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95" yWindow="75" windowWidth="27885" windowHeight="11310" tabRatio="672" firstSheet="1" activeTab="1"/>
  </bookViews>
  <sheets>
    <sheet name="MW-Cache" sheetId="159" state="veryHidden" r:id="rId1"/>
    <sheet name="ImportantDisclosures" sheetId="195" r:id="rId2"/>
    <sheet name="INPUT" sheetId="2" r:id="rId3"/>
    <sheet name="FORECAST-CORE" sheetId="3" r:id="rId4"/>
    <sheet name="FORECAST-REPORTED" sheetId="156" r:id="rId5"/>
    <sheet name="__FDSCACHE__" sheetId="166" state="veryHidden" r:id="rId6"/>
    <sheet name="SOTPs" sheetId="180" r:id="rId7"/>
    <sheet name="Guidance" sheetId="178" r:id="rId8"/>
    <sheet name="IndexInformation" sheetId="196" r:id="rId9"/>
    <sheet name="ModPubIndex" sheetId="197" r:id="rId10"/>
  </sheets>
  <definedNames>
    <definedName name="__FDS_HYPERLINK_TOGGLE_STATE__" hidden="1">"ON"</definedName>
    <definedName name="__FDS_UNIQUE_RANGE_ID_GENERATOR_COUNTER" hidden="1">1</definedName>
    <definedName name="_1Q13">INPUT!$C:$C</definedName>
    <definedName name="_1Q14">INPUT!$K:$K</definedName>
    <definedName name="_1Q15">INPUT!$S:$S</definedName>
    <definedName name="_1Q16">INPUT!$AA:$AA</definedName>
    <definedName name="_1Q17">INPUT!$AI:$AI</definedName>
    <definedName name="_1Q18">INPUT!$AQ:$AQ</definedName>
    <definedName name="_2Q13">INPUT!$E:$E</definedName>
    <definedName name="_2Q14">INPUT!$M:$M</definedName>
    <definedName name="_2Q15">INPUT!$U:$U</definedName>
    <definedName name="_2Q16">INPUT!$AC:$AC</definedName>
    <definedName name="_2Q17">INPUT!$AK:$AK</definedName>
    <definedName name="_2Q18">INPUT!$AS:$AS</definedName>
    <definedName name="_3Q13">INPUT!$G:$G</definedName>
    <definedName name="_3Q14">INPUT!$O:$O</definedName>
    <definedName name="_3Q15">INPUT!$W:$W</definedName>
    <definedName name="_3Q16">INPUT!$AE:$AE</definedName>
    <definedName name="_3Q17">INPUT!$AM:$AM</definedName>
    <definedName name="_3Q18">INPUT!$AU:$AU</definedName>
    <definedName name="_4Q13">INPUT!$I:$I</definedName>
    <definedName name="_4Q14">INPUT!$Q:$Q</definedName>
    <definedName name="_4Q15">INPUT!$Y:$Y</definedName>
    <definedName name="_4Q16">INPUT!$AG:$AG</definedName>
    <definedName name="_4Q17">INPUT!$AO:$AO</definedName>
    <definedName name="_4Q18">INPUT!$AW:$AW</definedName>
    <definedName name="_5_Yr">INPUT!$BY$4:$BY$981</definedName>
    <definedName name="_bdm.122F9D86D80540E1923267E0238241C2.edm" localSheetId="4" hidden="1">'FORECAST-REPORTED'!$A$3:$CM$44</definedName>
    <definedName name="_bdm.1588FDF8AE6C459494B930869543843D.edm" localSheetId="4" hidden="1">'FORECAST-REPORTED'!$A$51:$CM$72</definedName>
    <definedName name="_bdm.548FE021E5C74646AF12171E9662B0D5.edm" hidden="1">'FORECAST-CORE'!$1:$1048576</definedName>
    <definedName name="_bdm.60A7D909FD4C48A69460BF999B9F6D63.edm" hidden="1">INPUT!$1:$1048576</definedName>
    <definedName name="_bdm.621350235BC54CD7B9D6D365F6DEC0F8.edm" localSheetId="3" hidden="1">'FORECAST-CORE'!$A$3:$CM$47</definedName>
    <definedName name="_bdm.621350235BC54CD7B9D6D365F6DEC0F8.edm" localSheetId="4" hidden="1">'FORECAST-REPORTED'!$A$3:$CM$40</definedName>
    <definedName name="_bdm.63211AB4CCCB4811B8A2AD8846FD666F.edm" localSheetId="3" hidden="1">'FORECAST-CORE'!$A$58:$CM$64</definedName>
    <definedName name="_bdm.63211AB4CCCB4811B8A2AD8846FD666F.edm" localSheetId="4" hidden="1">'FORECAST-REPORTED'!$A$51:$CM$57</definedName>
    <definedName name="_bdm.910041FB1EE844608633725177B0B5BC.edm" localSheetId="3" hidden="1">'FORECAST-CORE'!$A$3:$CM$51</definedName>
    <definedName name="_bdm.97432507CFEA4DB6981BB72194940043.edm" localSheetId="3" hidden="1">'FORECAST-CORE'!$A$58:$CM$101</definedName>
    <definedName name="_bdm.99C977CAC1124130A8E24B1EF2D2D3D6.edm" localSheetId="4" hidden="1">'FORECAST-REPORTED'!$A$3:$CM$45</definedName>
    <definedName name="_bdm.9D72CDE47AE64E84BE5120D1E47093F6.edm" hidden="1">'FORECAST-REPORTED'!$1:$1048576</definedName>
    <definedName name="_bdm.C4E95F38BACC4C2B8741BF28F2B6F981.edm" localSheetId="4" hidden="1">'FORECAST-REPORTED'!$A$51:$CN$72</definedName>
    <definedName name="_bdm.F4CA09C7BCD240F69D8EFB039FDF5462.edm" localSheetId="4" hidden="1">'FORECAST-REPORTED'!$A$3:$CM$72</definedName>
    <definedName name="_bdm.FB8A5A4D10024913BC84E213E70F9CC8.edm" localSheetId="4" hidden="1">'FORECAST-REPORTED'!$A$75:$CM$94</definedName>
    <definedName name="_bdm.FDF2FFEE2B6C443C89BDB001C197BF31.edm" localSheetId="3" hidden="1">'FORECAST-CORE'!$A$3:$CM$54</definedName>
    <definedName name="aa">INPUT!$A$3:$BZ$981</definedName>
    <definedName name="AdditionalInstructions">IndexInformation!$B$42</definedName>
    <definedName name="Address" localSheetId="1">ImportantDisclosures!$A$2:$A$2</definedName>
    <definedName name="AmtIssued">INPUT!$825:$825</definedName>
    <definedName name="AmtRepurch">INPUT!$B$830:$BZ$830</definedName>
    <definedName name="ANA" localSheetId="9">ModPubIndex!$A$7</definedName>
    <definedName name="AssetMgmt_Deposits">INPUT!$994:$994</definedName>
    <definedName name="AssetMgmt_NetFlows">INPUT!$993:$993</definedName>
    <definedName name="AssetMgmt_Withdrawals">INPUT!$995:$995</definedName>
    <definedName name="Assets_Intl">INPUT!$B$211:$BZ$211</definedName>
    <definedName name="Assets_Specialty">INPUT!$B$473:$BZ$473</definedName>
    <definedName name="ATEarns_Health">INPUT!$B$453:$BZ$453</definedName>
    <definedName name="ATEarns_Insurance">INPUT!$532:$532</definedName>
    <definedName name="ATEarns_Intl">INPUT!$335:$335</definedName>
    <definedName name="ATEarns_LifeIns">INPUT!$410:$410</definedName>
    <definedName name="ATEarns_Specialty">INPUT!$497:$497</definedName>
    <definedName name="AUM_EOP_RISFee">INPUT!$40:$40</definedName>
    <definedName name="AUM_EOP_RISSpread">INPUT!$90:$90</definedName>
    <definedName name="Authors" localSheetId="1">ImportantDisclosures!$A$7</definedName>
    <definedName name="Authors" localSheetId="8">IndexInformation!$B$18</definedName>
    <definedName name="Avg_Eq_ex115">INPUT!$B$891:$BZ$891</definedName>
    <definedName name="Avg_Eq_incl115">INPUT!$B$890:$BZ$890</definedName>
    <definedName name="AvgBasicShrs">INPUT!$841:$841</definedName>
    <definedName name="AvgShrsOut">INPUT!$842:$842</definedName>
    <definedName name="BenefitsRatio_Group">INPUT!$488:$488</definedName>
    <definedName name="BIG">INPUT!$B$869:$BZ$869</definedName>
    <definedName name="BIG_FixPct">INPUT!$B$868:$BZ$868</definedName>
    <definedName name="BIG_ShrEqPct">INPUT!$B$870:$BZ$870</definedName>
    <definedName name="Brazil_EopAUM">INPUT!$228:$228</definedName>
    <definedName name="BRO" localSheetId="9">ModPubIndex!$A$1</definedName>
    <definedName name="Buybacks_AvgPrice">INPUT!$828:$828</definedName>
    <definedName name="BVPS_ex115">INPUT!$928:$928</definedName>
    <definedName name="BVPS_incl115">INPUT!$940:$940</definedName>
    <definedName name="Chile_EopAUM">INPUT!$246:$246</definedName>
    <definedName name="Consolidated_NII">INPUT!$574:$574</definedName>
    <definedName name="Consolidated_OperatingExpenses">INPUT!$581:$581</definedName>
    <definedName name="Consolidated_Premiums">INPUT!$573:$573</definedName>
    <definedName name="Consolidated_Revenues">INPUT!$575:$575</definedName>
    <definedName name="CopyrightStamp">ImportantDisclosures!$A$27</definedName>
    <definedName name="Core_AssetMgmt_PTEarns">INPUT!$964:$964</definedName>
    <definedName name="Core_ATEarns">INPUT!$B$967:$BZ$967</definedName>
    <definedName name="Core_CO_ATEarns">INPUT!$567:$567</definedName>
    <definedName name="Core_Corp_PT">INPUT!$667:$667</definedName>
    <definedName name="Core_Health_ATEarns">INPUT!$456:$456</definedName>
    <definedName name="Core_Insurance_ATEarns">INPUT!$535:$535</definedName>
    <definedName name="Core_Intl_ATEarns">INPUT!$338:$338</definedName>
    <definedName name="Core_Life_PT">INPUT!$665:$665</definedName>
    <definedName name="Core_Life_PTEarns">INPUT!$414:$414</definedName>
    <definedName name="Core_LifeIns_ATEarns">INPUT!$413:$413</definedName>
    <definedName name="Core_OpEPS">INPUT!$968:$968</definedName>
    <definedName name="Core_OpROE">INPUT!$985:$985</definedName>
    <definedName name="Core_PGI_PT">INPUT!$662:$662</definedName>
    <definedName name="Core_PGIEarns">INPUT!$187:$187</definedName>
    <definedName name="Core_PI_PT">INPUT!$663:$663</definedName>
    <definedName name="Core_PT">INPUT!$668:$668</definedName>
    <definedName name="Core_PTEarns_RIS_Spread">INPUT!$114:$114</definedName>
    <definedName name="Core_RISFee_PT">INPUT!$660:$660</definedName>
    <definedName name="Core_RISSpread_PT">INPUT!$661:$661</definedName>
    <definedName name="Core_ROE">INPUT!$904:$904</definedName>
    <definedName name="Core_SpBen_PT">INPUT!$666:$666</definedName>
    <definedName name="CoreOpEarns_AT">INPUT!$709:$709</definedName>
    <definedName name="CoreOpEarns_PT">INPUT!$980:$980</definedName>
    <definedName name="CorePT_Accumulation">INPUT!$956:$956</definedName>
    <definedName name="CorePT_Annuities">INPUT!$954:$954</definedName>
    <definedName name="CorePT_Bank">INPUT!$955:$955</definedName>
    <definedName name="CorePT_Consolidated">INPUT!$961:$961</definedName>
    <definedName name="CorePT_Fee">INPUT!$65:$65</definedName>
    <definedName name="CorePT_FSA">INPUT!$952:$952</definedName>
    <definedName name="CorePT_Guaranteed">INPUT!$959:$959</definedName>
    <definedName name="CorePT_Intl">INPUT!$339:$339</definedName>
    <definedName name="CorePT_Life">INPUT!$957:$957</definedName>
    <definedName name="CorePT_PGI">INPUT!$974:$974</definedName>
    <definedName name="CorePT_PI">INPUT!$975:$975</definedName>
    <definedName name="CorePT_RIS">INPUT!$146:$146</definedName>
    <definedName name="CorePT_SB">INPUT!$958:$958</definedName>
    <definedName name="CorePT_Specialty">INPUT!$500:$500</definedName>
    <definedName name="CorePT_Spread">INPUT!$953:$953</definedName>
    <definedName name="CorePTEarns_FSA">INPUT!$971:$971</definedName>
    <definedName name="CorePTEarns_Funds">INPUT!$972:$972</definedName>
    <definedName name="CorePTEarns_Guaranteed">INPUT!$978:$978</definedName>
    <definedName name="CorePTEarns_Life">INPUT!$976:$976</definedName>
    <definedName name="CorePTEarns_Ret">INPUT!$973:$973</definedName>
    <definedName name="CorePTEarns_SB">INPUT!$977:$977</definedName>
    <definedName name="CorePTEarns_Spread">INPUT!$972:$972</definedName>
    <definedName name="CorePTMargin_Life">INPUT!$418:$418</definedName>
    <definedName name="Corp_AT">INPUT!$689:$689</definedName>
    <definedName name="Corp_PT">INPUT!$686:$686</definedName>
    <definedName name="Corp_TaxRate">INPUT!$688:$688</definedName>
    <definedName name="COU" localSheetId="9">ModPubIndex!$A$5</definedName>
    <definedName name="CQEnd" localSheetId="8">IndexInformation!$B$31</definedName>
    <definedName name="Currency" localSheetId="8">IndexInformation!$B$24</definedName>
    <definedName name="CurrentStockPrice" localSheetId="8">IndexInformation!$B$23</definedName>
    <definedName name="CurrQtrEPS" localSheetId="8">IndexInformation!$B$29</definedName>
    <definedName name="CurrYearEPS" localSheetId="8">IndexInformation!$B$11</definedName>
    <definedName name="CurrYearTotalRevenue" localSheetId="8">IndexInformation!$B$10</definedName>
    <definedName name="CurrYearTotalRevenueActual" localSheetId="8">IndexInformation!$B$32</definedName>
    <definedName name="CUSIP" localSheetId="8">IndexInformation!$B$20</definedName>
    <definedName name="CYEnd" localSheetId="8">IndexInformation!$B$30</definedName>
    <definedName name="DAC">INPUT!$B$860:$BZ$860</definedName>
    <definedName name="DAC_Asset">INPUT!$860:$860</definedName>
    <definedName name="Date" localSheetId="1">ImportantDisclosures!$A$8</definedName>
    <definedName name="Deleted" localSheetId="8">IndexInformation!$B$27</definedName>
    <definedName name="Description" localSheetId="8">IndexInformation!$B$7</definedName>
    <definedName name="Discipline" localSheetId="8">IndexInformation!$B$3</definedName>
    <definedName name="DISCIPLINE" localSheetId="9">ModPubIndex!$A$12</definedName>
    <definedName name="DisclosuresText">ImportantDisclosures!$A$22</definedName>
    <definedName name="Distribution" localSheetId="8">IndexInformation!$B$26</definedName>
    <definedName name="DistTable" localSheetId="1">ImportantDisclosures!#REF!</definedName>
    <definedName name="DistTablePreamble" localSheetId="1">ImportantDisclosures!#REF!</definedName>
    <definedName name="DivAmt">INPUT!$B$819:$BZ$819</definedName>
    <definedName name="DiviAmt">INPUT!$819:$819</definedName>
    <definedName name="Dividend_and_Stock_Repurchases_Payout_Ratios">INPUT!$B$835:$BZ$835</definedName>
    <definedName name="DivPayout">INPUT!$818:$818</definedName>
    <definedName name="DivPS">INPUT!$B$817:$BZ$817</definedName>
    <definedName name="DOCDAT" localSheetId="9">ModPubIndex!$A$2</definedName>
    <definedName name="DOCTIME" localSheetId="9">ModPubIndex!$A$3</definedName>
    <definedName name="DocType" localSheetId="8">IndexInformation!$B$5</definedName>
    <definedName name="EMAIL_ALERT" localSheetId="9">ModPubIndex!$A$10</definedName>
    <definedName name="EmailAlert" localSheetId="8">IndexInformation!$B$28</definedName>
    <definedName name="EOP_Eq_ex115">INPUT!$889:$889</definedName>
    <definedName name="EOP_Eq_incl115">INPUT!$887:$887</definedName>
    <definedName name="EOPShrsOut">INPUT!$B$840:$BZ$840</definedName>
    <definedName name="EPS_ForConsensus">INPUT!$852:$852</definedName>
    <definedName name="F1998_">INPUT!$AZ$4:$AZ$981</definedName>
    <definedName name="F2013_">INPUT!$BB:$BB</definedName>
    <definedName name="F2014_">INPUT!$BD:$BD</definedName>
    <definedName name="F2015_">INPUT!$BF:$BF</definedName>
    <definedName name="F2016_">INPUT!$BH:$BH</definedName>
    <definedName name="F2017_">INPUT!$BJ:$BJ</definedName>
    <definedName name="F2018_">INPUT!$BL:$BL</definedName>
    <definedName name="F2019_">INPUT!$BN:$BN</definedName>
    <definedName name="F2020_">INPUT!$BP:$BP</definedName>
    <definedName name="F2021_">INPUT!$BR:$BR</definedName>
    <definedName name="F2022_">INPUT!$BT:$BT</definedName>
    <definedName name="FAS115_Adjmt">INPUT!$B$888:$BZ$888</definedName>
    <definedName name="Fee_RONR_Core">INPUT!$79:$79</definedName>
    <definedName name="Fee_TaxRate">INPUT!$676:$676</definedName>
    <definedName name="FiveYearGrowthRate" localSheetId="8">IndexInformation!$B$16</definedName>
    <definedName name="FollowingYearEPS" localSheetId="8">IndexInformation!$B$15</definedName>
    <definedName name="FollowingYearTotalRevenue" localSheetId="8">IndexInformation!$B$14</definedName>
    <definedName name="FollowingYearTotalRevenueActual" localSheetId="8">IndexInformation!$B$34</definedName>
    <definedName name="HL" localSheetId="9">ModPubIndex!$A$8</definedName>
    <definedName name="IND" localSheetId="9">ModPubIndex!$A$9</definedName>
    <definedName name="IndLife_ROPF">INPUT!$420:$420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nt_Exp">INPUT!$554:$554</definedName>
    <definedName name="Intl_Avg.AUM">INPUT!$303:$303</definedName>
    <definedName name="Intl_CorePTMargin">INPUT!$357:$357</definedName>
    <definedName name="Intl_CoreRONR">INPUT!$356:$356</definedName>
    <definedName name="Intl_Deposits">INPUT!$205:$205</definedName>
    <definedName name="Intl_Exp">INPUT!$327:$327</definedName>
    <definedName name="Intl_Fees">INPUT!$319:$319</definedName>
    <definedName name="Intl_NII">INPUT!$320:$320</definedName>
    <definedName name="Intl_PTMargin">INPUT!$649:$649</definedName>
    <definedName name="Intl_Revenues">INPUT!$321:$321</definedName>
    <definedName name="Intl_ROA">INPUT!$370:$370</definedName>
    <definedName name="Intl_RONR">INPUT!$372:$372</definedName>
    <definedName name="Intl_Withdrawals">INPUT!$206:$206</definedName>
    <definedName name="Investments">INPUT!$858:$858</definedName>
    <definedName name="InvInc">INPUT!$B$574:$BZ$574</definedName>
    <definedName name="Issuance_Timing">INPUT!$824:$824</definedName>
    <definedName name="KeepVersions" localSheetId="8">IndexInformation!$B$8</definedName>
    <definedName name="Label">INPUT!$B$4:$B$981</definedName>
    <definedName name="LanguageCode">IndexInformation!$B$38</definedName>
    <definedName name="LastCell" localSheetId="1">ImportantDisclosures!$A$22</definedName>
    <definedName name="Life_BenefitRatio">INPUT!$400:$400</definedName>
    <definedName name="Life_Exp">INPUT!$398:$398</definedName>
    <definedName name="Life_PTMargin">INPUT!$651:$651</definedName>
    <definedName name="Linking_Range_19">SOTPs!$A$1:$E$19</definedName>
    <definedName name="Linking_Range_2">'FORECAST-CORE'!$A$3:$CM$51</definedName>
    <definedName name="Linking_Range_22">SOTPs!$A$1:$D$22</definedName>
    <definedName name="Linking_Range_3">'FORECAST-CORE'!$A$58:$CM$98</definedName>
    <definedName name="LTD_to_Cap_ex115">INPUT!$B$922:$BZ$922</definedName>
    <definedName name="LTD_to_Cap_incl115">INPUT!$B$934:$BZ$934</definedName>
    <definedName name="LTD_to_Eq_ex115">INPUT!$923:$923</definedName>
    <definedName name="LTD_to_LTCap_ex115">INPUT!$B$920:$BZ$920</definedName>
    <definedName name="LTD_to_LTCap_incl115">INPUT!$B$932:$BZ$932</definedName>
    <definedName name="LTDebt">INPUT!$B$874:$BZ$874</definedName>
    <definedName name="MacroVersion" localSheetId="8">IndexInformation!$B$1</definedName>
    <definedName name="Margin_PT">INPUT!$B$656:$BZ$656</definedName>
    <definedName name="Mexico_EopAUM">INPUT!$264:$264</definedName>
    <definedName name="ModelPrice" localSheetId="1">ImportantDisclosures!$A$14</definedName>
    <definedName name="Multiplier" localSheetId="8">IndexInformation!$B$35</definedName>
    <definedName name="Net_EPS">INPUT!$B$848:$BZ$848</definedName>
    <definedName name="Net_Revenues">INPUT!$575:$575</definedName>
    <definedName name="NetEarns">INPUT!$B$731:$BZ$731</definedName>
    <definedName name="netflows_international">INPUT!$214:$214</definedName>
    <definedName name="NextYearEPS" localSheetId="8">IndexInformation!$B$13</definedName>
    <definedName name="NextYearTotalRevenue" localSheetId="8">IndexInformation!$B$12</definedName>
    <definedName name="NextYearTotalRevenueActual" localSheetId="8">IndexInformation!$B$33</definedName>
    <definedName name="NII_Life">INPUT!$390:$390</definedName>
    <definedName name="NOR_Intl">INPUT!$322:$322</definedName>
    <definedName name="NOR_RIS_Fee">INPUT!$55:$55</definedName>
    <definedName name="NOR_RIS_Spread">INPUT!$104:$104</definedName>
    <definedName name="O">INPUT!$B$605:$BZ$605</definedName>
    <definedName name="ObjectType">IndexInformation!$B$37</definedName>
    <definedName name="Op_Earnings_PI">INPUT!$335:$335</definedName>
    <definedName name="Op_EPS">INPUT!$845:$845</definedName>
    <definedName name="Op_ROE">INPUT!$903:$903</definedName>
    <definedName name="OpEarns_AT">INPUT!$707:$707</definedName>
    <definedName name="OpEarns_ForConsensus">INPUT!$712:$712</definedName>
    <definedName name="OpEarns_PT">INPUT!$B$634:$BZ$634</definedName>
    <definedName name="OpExpense_Life">INPUT!$397:$397</definedName>
    <definedName name="OpExpenses_Group">INPUT!$485:$485</definedName>
    <definedName name="OpExpenses_Intl">INPUT!$326:$326</definedName>
    <definedName name="OtherNonOpItems">INPUT!$B$728:$BZ$728</definedName>
    <definedName name="PANA" localSheetId="9">ModPubIndex!$A$11</definedName>
    <definedName name="PathName" localSheetId="8">IndexInformation!$B$25</definedName>
    <definedName name="Pctcontrib_CO">INPUT!$B$774:$BZ$774</definedName>
    <definedName name="Pctcontrib_Disab">INPUT!$B$773:$BZ$773</definedName>
    <definedName name="Pctcontrib_Intl">INPUT!$769:$769</definedName>
    <definedName name="Pctcontrib_LifeIns">INPUT!$B$771:$BZ$771</definedName>
    <definedName name="Period">INPUT!$B$6:$BZ$6</definedName>
    <definedName name="PGI_Avg.AUM">INPUT!$161:$161</definedName>
    <definedName name="PGI_Core_Margin">INPUT!$200:$200</definedName>
    <definedName name="PGI_Core_ROAR">INPUT!$197:$197</definedName>
    <definedName name="PGI_Deposits">INPUT!$155:$155</definedName>
    <definedName name="PGI_EoPAUM">INPUT!$159:$159</definedName>
    <definedName name="PGI_Exp">INPUT!$181:$181</definedName>
    <definedName name="PGI_Fees">INPUT!$176:$176</definedName>
    <definedName name="PGI_NetFlows">INPUT!$167:$167</definedName>
    <definedName name="PGI_NII">INPUT!$177:$177</definedName>
    <definedName name="PGI_PTMargin">INPUT!$648:$648</definedName>
    <definedName name="PGI_Rev">INPUT!$178:$178</definedName>
    <definedName name="PGI_ROA_PT">INPUT!$193:$193</definedName>
    <definedName name="PI_CombNetRev">INPUT!$316:$316</definedName>
    <definedName name="PI_Deposits">INPUT!$293:$293</definedName>
    <definedName name="PI_Netflows">INPUT!$305:$305</definedName>
    <definedName name="PI_ROA_PT">INPUT!$351:$351</definedName>
    <definedName name="PI_Withdrawals">INPUT!$294:$294</definedName>
    <definedName name="PolicyLiabilities">INPUT!$878:$878</definedName>
    <definedName name="Pref_Div">INPUT!$706:$706</definedName>
    <definedName name="Preferred_Stock">INPUT!$886:$886</definedName>
    <definedName name="Premiums_Group">INPUT!$477:$477</definedName>
    <definedName name="Premiums_Life">INPUT!$389:$389</definedName>
    <definedName name="Premiums_Total">INPUT!$983:$983</definedName>
    <definedName name="_xlnm.Print_Area" localSheetId="3">'FORECAST-CORE'!$A$1:$CM$459</definedName>
    <definedName name="_xlnm.Print_Area" localSheetId="4">'FORECAST-REPORTED'!$A$3:$A$18</definedName>
    <definedName name="_xlnm.Print_Area" localSheetId="2">INPUT!$B$4:$BY$29</definedName>
    <definedName name="_xlnm.Print_Titles" localSheetId="2">INPUT!$4:$6</definedName>
    <definedName name="PRODUCT" localSheetId="9">ModPubIndex!$A$6</definedName>
    <definedName name="PSYM" localSheetId="9">ModPubIndex!$A$4</definedName>
    <definedName name="PTEarns_Annuity">INPUT!$B$622:$BZ$622</definedName>
    <definedName name="PTEarns_Assetmgmt">INPUT!$B$627:$BZ$627</definedName>
    <definedName name="PTEarns_C_O">INPUT!$B$633:$BY$633</definedName>
    <definedName name="PTEarns_CO">INPUT!$B$633:$BZ$633</definedName>
    <definedName name="PTEarns_Corporate">INPUT!$557:$557</definedName>
    <definedName name="PTEarns_Disab">INPUT!$B$632:$BZ$632</definedName>
    <definedName name="PTEarns_Disab_InvInc">INPUT!$B$478:$BZ$478</definedName>
    <definedName name="PTEarns_Funds">INPUT!$B$621:$BZ$621</definedName>
    <definedName name="PTEarns_Health_InvInc">INPUT!$B$433:$BZ$433</definedName>
    <definedName name="PTEarns_Intl">INPUT!$328:$328</definedName>
    <definedName name="PTEarns_Life">INPUT!$407:$407</definedName>
    <definedName name="PTEarns_LifeIns">INPUT!$B$630:$BZ$630</definedName>
    <definedName name="PTEarns_Pension">INPUT!$B$620:$BZ$620</definedName>
    <definedName name="PTEarns_Specialty">INPUT!$494:$494</definedName>
    <definedName name="PTEarns_USAMA">INPUT!$B$617:$BZ$617</definedName>
    <definedName name="PTMargin_Life">INPUT!$417:$417</definedName>
    <definedName name="PTMargin_SB">INPUT!$503:$503</definedName>
    <definedName name="PublishDate" localSheetId="8">IndexInformation!$B$2</definedName>
    <definedName name="Rating" localSheetId="8">IndexInformation!$B$9</definedName>
    <definedName name="RatingsDefined" localSheetId="1">ImportantDisclosures!$A$21</definedName>
    <definedName name="RatingsDefs" localSheetId="1">ImportantDisclosures!#REF!</definedName>
    <definedName name="RealGainLoss">INPUT!$727:$727</definedName>
    <definedName name="RegACDisclosure" localSheetId="1">ImportantDisclosures!#REF!</definedName>
    <definedName name="Rep_ROE_ex115">INPUT!$B$905:$BZ$905</definedName>
    <definedName name="Rep_ROE_incl115">INPUT!$B$906:$BZ$906</definedName>
    <definedName name="Rep_Timing">INPUT!$829:$829</definedName>
    <definedName name="reported_PT_Earning">INPUT!$703:$703</definedName>
    <definedName name="ResearchTopic" localSheetId="8">IndexInformation!$B$4</definedName>
    <definedName name="Rev">INPUT!$B$575:$BZ$575</definedName>
    <definedName name="Rev_CO">INPUT!$548:$548</definedName>
    <definedName name="Rev_Health">INPUT!$B$434:$BZ$434</definedName>
    <definedName name="Rev_Intl">INPUT!$B$321:$BZ$321</definedName>
    <definedName name="Rev_LifeIns">INPUT!$391:$391</definedName>
    <definedName name="Rev_PGI">INPUT!$989:$989</definedName>
    <definedName name="Rev_Specialty">INPUT!$479:$479</definedName>
    <definedName name="RIC" localSheetId="8">IndexInformation!$B$21</definedName>
    <definedName name="RIS_Fee_Avg.AUM">INPUT!$42:$42</definedName>
    <definedName name="RIS_Fee_Benefits">INPUT!$57:$57</definedName>
    <definedName name="RIS_Fee_Deposits">INPUT!$35:$35</definedName>
    <definedName name="RIS_Fee_Exp">INPUT!$61:$61</definedName>
    <definedName name="RIS_Fee_Fees">INPUT!$52:$52</definedName>
    <definedName name="RIS_Fee_NetFlows">INPUT!$44:$44</definedName>
    <definedName name="RIS_Fee_NII">INPUT!$53:$53</definedName>
    <definedName name="RIS_Fee_Rev">INPUT!$54:$54</definedName>
    <definedName name="RIS_Rev">INPUT!$103:$103</definedName>
    <definedName name="RIS_Spread_Avg.AUM">INPUT!$92:$92</definedName>
    <definedName name="RIS_Spread_Deposits">INPUT!$85:$85</definedName>
    <definedName name="RIS_Spread_Exp">INPUT!$110:$110</definedName>
    <definedName name="RIS_Spread_Fees">INPUT!$101:$101</definedName>
    <definedName name="RIS_Spread_NetFlows">INPUT!$94:$94</definedName>
    <definedName name="RIS_Spread_NII">INPUT!$102:$102</definedName>
    <definedName name="Risk_ATEarns">INPUT!$685:$685</definedName>
    <definedName name="Risk_TaxRate">INPUT!$684:$684</definedName>
    <definedName name="RONR_Fee">INPUT!$694:$694</definedName>
    <definedName name="RONR_Risk">INPUT!$696:$696</definedName>
    <definedName name="RONR_Spread">INPUT!$695:$695</definedName>
    <definedName name="Sales_LifeIns">INPUT!$386:$386</definedName>
    <definedName name="Sales_term">INPUT!$385:$385</definedName>
    <definedName name="Sales_UL">INPUT!$384:$384</definedName>
    <definedName name="SECSettlement" localSheetId="1">ImportantDisclosures!#REF!</definedName>
    <definedName name="SEDOL" localSheetId="8">IndexInformation!$B$22</definedName>
    <definedName name="SeptAcct">INPUT!$861:$861</definedName>
    <definedName name="ShareBuyback">INPUT!$830:$830</definedName>
    <definedName name="ShrsIssued">INPUT!$822:$822</definedName>
    <definedName name="ShrsRepurch">INPUT!$B$827:$BZ$827</definedName>
    <definedName name="SOI_Life_Sales">INPUT!$B$991:$BZ$991</definedName>
    <definedName name="SOI_VAFlows">INPUT!$B$992:$BZ$992</definedName>
    <definedName name="solver_cvg" localSheetId="2" hidden="1">0.001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in" localSheetId="2" hidden="1">2</definedName>
    <definedName name="solver_neg" localSheetId="2" hidden="1">2</definedName>
    <definedName name="solver_num" localSheetId="2" hidden="1">0</definedName>
    <definedName name="solver_nwt" localSheetId="2" hidden="1">1</definedName>
    <definedName name="solver_pre" localSheetId="2" hidden="1">0.000001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3</definedName>
    <definedName name="solver_val" localSheetId="2" hidden="1">1149.32</definedName>
    <definedName name="SourceDefined" localSheetId="1">ImportantDisclosures!$A$19</definedName>
    <definedName name="SpecBenef_CorePTMargin">INPUT!$504:$504</definedName>
    <definedName name="SpecBenef_PTMargin">INPUT!$653:$653</definedName>
    <definedName name="Specialty_Exp">INPUT!$486:$486</definedName>
    <definedName name="Specialty_NII">INPUT!$478:$478</definedName>
    <definedName name="Spread_RONR_Core">INPUT!$128:$128</definedName>
    <definedName name="Spread_TaxRate">INPUT!$680:$680</definedName>
    <definedName name="STDebt">INPUT!$B$873:$BZ$873</definedName>
    <definedName name="StockRating" localSheetId="1">ImportantDisclosures!$A$11</definedName>
    <definedName name="SubjectCode" localSheetId="8">IndexInformation!$B$6</definedName>
    <definedName name="SubmitterUserId">IndexInformation!$B$39</definedName>
    <definedName name="SUPPRESSED" localSheetId="9">ModPubIndex!$A$13</definedName>
    <definedName name="TargetPrice" localSheetId="1">ImportantDisclosures!$A$15</definedName>
    <definedName name="Taxes">INPUT!$704:$704</definedName>
    <definedName name="TaxRate">INPUT!$705:$705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8">IndexInformation!$B$19</definedName>
    <definedName name="Tot_Debt">INPUT!$875:$875</definedName>
    <definedName name="Total_Cap_ex115">INPUT!$B$919:$BZ$919</definedName>
    <definedName name="Total_Cap_incl115">INPUT!$B$931:$BZ$931</definedName>
    <definedName name="Total_DAC">INPUT!$580:$580</definedName>
    <definedName name="Total_Expenses">INPUT!$582:$582</definedName>
    <definedName name="TotalAssets">INPUT!$863:$863</definedName>
    <definedName name="TotalNonOpItems">INPUT!$730:$730</definedName>
    <definedName name="TotalPI_EoPAUM">INPUT!$299:$299</definedName>
    <definedName name="UpdateReason" localSheetId="8">IndexInformation!$B$17</definedName>
    <definedName name="USRegDisclosures" localSheetId="1">ImportantDisclosures!#REF!</definedName>
  </definedNames>
  <calcPr calcId="145621" iterate="1"/>
</workbook>
</file>

<file path=xl/calcChain.xml><?xml version="1.0" encoding="utf-8"?>
<calcChain xmlns="http://schemas.openxmlformats.org/spreadsheetml/2006/main">
  <c r="D19" i="180" l="1"/>
  <c r="D17" i="180"/>
  <c r="B19" i="180"/>
  <c r="B15" i="180"/>
  <c r="B11" i="180"/>
  <c r="B10" i="180"/>
  <c r="B7" i="180"/>
  <c r="B8" i="180" s="1"/>
  <c r="B9" i="180" s="1"/>
  <c r="B4" i="180"/>
  <c r="B3" i="180"/>
  <c r="B2" i="180"/>
  <c r="B41" i="180"/>
  <c r="B39" i="180"/>
  <c r="B33" i="180"/>
  <c r="B34" i="180"/>
  <c r="B32" i="180"/>
  <c r="B27" i="180"/>
  <c r="B28" i="180"/>
  <c r="B26" i="180"/>
  <c r="B5" i="180" l="1"/>
  <c r="B6" i="180" s="1"/>
  <c r="D26" i="180"/>
  <c r="D28" i="180"/>
  <c r="D27" i="180"/>
  <c r="D32" i="180"/>
  <c r="D34" i="180"/>
  <c r="C4" i="180" s="1"/>
  <c r="D4" i="180" s="1"/>
  <c r="D33" i="180"/>
  <c r="D39" i="180"/>
  <c r="C13" i="180" s="1"/>
  <c r="D41" i="180"/>
  <c r="D21" i="180"/>
  <c r="B12" i="180"/>
  <c r="B13" i="180" s="1"/>
  <c r="AW1036" i="2"/>
  <c r="AU1036" i="2"/>
  <c r="AQ1036" i="2"/>
  <c r="AQ1030" i="2"/>
  <c r="BT1024" i="2"/>
  <c r="BR1024" i="2"/>
  <c r="BP1024" i="2"/>
  <c r="BN1024" i="2"/>
  <c r="BT1018" i="2"/>
  <c r="BR1018" i="2"/>
  <c r="BP1018" i="2"/>
  <c r="BN1018" i="2"/>
  <c r="BT1013" i="2"/>
  <c r="BR1013" i="2"/>
  <c r="BP1013" i="2"/>
  <c r="BN1013" i="2"/>
  <c r="E967" i="2"/>
  <c r="C967" i="2"/>
  <c r="AO947" i="2"/>
  <c r="AM947" i="2"/>
  <c r="AK947" i="2"/>
  <c r="AK946" i="2"/>
  <c r="AI947" i="2"/>
  <c r="AI946" i="2"/>
  <c r="AG947" i="2"/>
  <c r="AG946" i="2"/>
  <c r="AE947" i="2"/>
  <c r="AE946" i="2"/>
  <c r="AC947" i="2"/>
  <c r="AC946" i="2"/>
  <c r="AA947" i="2"/>
  <c r="AA946" i="2"/>
  <c r="Y947" i="2"/>
  <c r="Y946" i="2"/>
  <c r="W947" i="2"/>
  <c r="W946" i="2"/>
  <c r="U947" i="2"/>
  <c r="U946" i="2"/>
  <c r="S947" i="2"/>
  <c r="S946" i="2"/>
  <c r="Q947" i="2"/>
  <c r="Q946" i="2"/>
  <c r="O947" i="2"/>
  <c r="O946" i="2"/>
  <c r="M947" i="2"/>
  <c r="M946" i="2"/>
  <c r="K947" i="2"/>
  <c r="K946" i="2"/>
  <c r="I947" i="2"/>
  <c r="I946" i="2"/>
  <c r="G947" i="2"/>
  <c r="G946" i="2"/>
  <c r="E947" i="2"/>
  <c r="E946" i="2"/>
  <c r="C947" i="2"/>
  <c r="C946" i="2"/>
  <c r="BU945" i="2"/>
  <c r="BU944" i="2"/>
  <c r="BS945" i="2"/>
  <c r="BS944" i="2"/>
  <c r="BQ945" i="2"/>
  <c r="BQ944" i="2"/>
  <c r="BO945" i="2"/>
  <c r="BO944" i="2"/>
  <c r="BM945" i="2"/>
  <c r="BM944" i="2"/>
  <c r="BK945" i="2"/>
  <c r="BK944" i="2"/>
  <c r="BI945" i="2"/>
  <c r="BI944" i="2"/>
  <c r="BG945" i="2"/>
  <c r="BG944" i="2"/>
  <c r="BE945" i="2"/>
  <c r="BE944" i="2"/>
  <c r="BC945" i="2"/>
  <c r="BC944" i="2"/>
  <c r="BA940" i="2"/>
  <c r="BA939" i="2"/>
  <c r="BA938" i="2"/>
  <c r="BA937" i="2"/>
  <c r="BA936" i="2"/>
  <c r="BA935" i="2"/>
  <c r="BA934" i="2"/>
  <c r="BA933" i="2"/>
  <c r="BA932" i="2"/>
  <c r="BA931" i="2"/>
  <c r="AO940" i="2"/>
  <c r="AP940" i="2" s="1"/>
  <c r="AM940" i="2"/>
  <c r="AK940" i="2"/>
  <c r="AL940" i="2" s="1"/>
  <c r="AI940" i="2"/>
  <c r="AJ940" i="2" s="1"/>
  <c r="AG940" i="2"/>
  <c r="AH940" i="2" s="1"/>
  <c r="AE940" i="2"/>
  <c r="AD940" i="2"/>
  <c r="AC940" i="2"/>
  <c r="AA940" i="2"/>
  <c r="Y940" i="2"/>
  <c r="W940" i="2"/>
  <c r="U940" i="2"/>
  <c r="G940" i="2"/>
  <c r="H940" i="2" s="1"/>
  <c r="E940" i="2"/>
  <c r="F940" i="2" s="1"/>
  <c r="C940" i="2"/>
  <c r="D940" i="2" s="1"/>
  <c r="AO937" i="2"/>
  <c r="AP937" i="2" s="1"/>
  <c r="AM937" i="2"/>
  <c r="AN937" i="2" s="1"/>
  <c r="AK937" i="2"/>
  <c r="AL937" i="2" s="1"/>
  <c r="AI937" i="2"/>
  <c r="AH937" i="2"/>
  <c r="AG937" i="2"/>
  <c r="AE937" i="2"/>
  <c r="AC937" i="2"/>
  <c r="AD937" i="2" s="1"/>
  <c r="AA937" i="2"/>
  <c r="Y937" i="2"/>
  <c r="Z937" i="2" s="1"/>
  <c r="W937" i="2"/>
  <c r="X937" i="2" s="1"/>
  <c r="U937" i="2"/>
  <c r="V937" i="2" s="1"/>
  <c r="S937" i="2"/>
  <c r="R937" i="2"/>
  <c r="Q937" i="2"/>
  <c r="O937" i="2"/>
  <c r="M937" i="2"/>
  <c r="N937" i="2" s="1"/>
  <c r="K937" i="2"/>
  <c r="I937" i="2"/>
  <c r="J937" i="2" s="1"/>
  <c r="G937" i="2"/>
  <c r="H937" i="2" s="1"/>
  <c r="E937" i="2"/>
  <c r="F937" i="2" s="1"/>
  <c r="C937" i="2"/>
  <c r="D937" i="2" s="1"/>
  <c r="AP933" i="2"/>
  <c r="AO933" i="2"/>
  <c r="AM933" i="2"/>
  <c r="AK933" i="2"/>
  <c r="AL933" i="2" s="1"/>
  <c r="AI933" i="2"/>
  <c r="AG933" i="2"/>
  <c r="AH933" i="2" s="1"/>
  <c r="AE933" i="2"/>
  <c r="AF933" i="2" s="1"/>
  <c r="AC933" i="2"/>
  <c r="AD933" i="2" s="1"/>
  <c r="AA933" i="2"/>
  <c r="Z933" i="2"/>
  <c r="Y933" i="2"/>
  <c r="W933" i="2"/>
  <c r="U933" i="2"/>
  <c r="V933" i="2" s="1"/>
  <c r="S933" i="2"/>
  <c r="Q933" i="2"/>
  <c r="R933" i="2" s="1"/>
  <c r="O933" i="2"/>
  <c r="P933" i="2" s="1"/>
  <c r="M933" i="2"/>
  <c r="N933" i="2" s="1"/>
  <c r="K933" i="2"/>
  <c r="J933" i="2"/>
  <c r="I933" i="2"/>
  <c r="G933" i="2"/>
  <c r="H933" i="2" s="1"/>
  <c r="E933" i="2"/>
  <c r="F933" i="2" s="1"/>
  <c r="C933" i="2"/>
  <c r="D933" i="2" s="1"/>
  <c r="AP932" i="2"/>
  <c r="AO932" i="2"/>
  <c r="AM932" i="2"/>
  <c r="AN932" i="2" s="1"/>
  <c r="AK932" i="2"/>
  <c r="AL932" i="2" s="1"/>
  <c r="AI932" i="2"/>
  <c r="AH932" i="2"/>
  <c r="AG932" i="2"/>
  <c r="AE932" i="2"/>
  <c r="AC932" i="2"/>
  <c r="AD932" i="2" s="1"/>
  <c r="AA932" i="2"/>
  <c r="Y932" i="2"/>
  <c r="W932" i="2"/>
  <c r="V932" i="2"/>
  <c r="U932" i="2"/>
  <c r="S932" i="2"/>
  <c r="Q932" i="2"/>
  <c r="O932" i="2"/>
  <c r="M932" i="2"/>
  <c r="N932" i="2" s="1"/>
  <c r="K932" i="2"/>
  <c r="I932" i="2"/>
  <c r="J932" i="2" s="1"/>
  <c r="G932" i="2"/>
  <c r="H932" i="2" s="1"/>
  <c r="F932" i="2"/>
  <c r="E932" i="2"/>
  <c r="C932" i="2"/>
  <c r="D932" i="2" s="1"/>
  <c r="AO931" i="2"/>
  <c r="AM931" i="2"/>
  <c r="AN931" i="2" s="1"/>
  <c r="AK931" i="2"/>
  <c r="AI931" i="2"/>
  <c r="AG931" i="2"/>
  <c r="AH931" i="2" s="1"/>
  <c r="AE931" i="2"/>
  <c r="AC931" i="2"/>
  <c r="AL931" i="2" s="1"/>
  <c r="AA931" i="2"/>
  <c r="Y931" i="2"/>
  <c r="W931" i="2"/>
  <c r="U931" i="2"/>
  <c r="S931" i="2"/>
  <c r="Q931" i="2"/>
  <c r="O931" i="2"/>
  <c r="M931" i="2"/>
  <c r="K931" i="2"/>
  <c r="I931" i="2"/>
  <c r="J931" i="2" s="1"/>
  <c r="G931" i="2"/>
  <c r="P931" i="2" s="1"/>
  <c r="E931" i="2"/>
  <c r="F931" i="2" s="1"/>
  <c r="C931" i="2"/>
  <c r="D931" i="2" s="1"/>
  <c r="BA928" i="2"/>
  <c r="BA927" i="2"/>
  <c r="BA926" i="2"/>
  <c r="BA925" i="2"/>
  <c r="BA924" i="2"/>
  <c r="BA923" i="2"/>
  <c r="BA922" i="2"/>
  <c r="BA921" i="2"/>
  <c r="BA920" i="2"/>
  <c r="BA919" i="2"/>
  <c r="X916" i="2"/>
  <c r="X915" i="2"/>
  <c r="X914" i="2"/>
  <c r="X913" i="2"/>
  <c r="X912" i="2"/>
  <c r="X911" i="2"/>
  <c r="X910" i="2"/>
  <c r="X909" i="2"/>
  <c r="BA906" i="2"/>
  <c r="BA905" i="2"/>
  <c r="BA903" i="2"/>
  <c r="AX898" i="2"/>
  <c r="AX897" i="2"/>
  <c r="AX895" i="2"/>
  <c r="AX894" i="2"/>
  <c r="AV898" i="2"/>
  <c r="AV897" i="2"/>
  <c r="AV895" i="2"/>
  <c r="AV894" i="2"/>
  <c r="AT898" i="2"/>
  <c r="AT897" i="2"/>
  <c r="AT895" i="2"/>
  <c r="AT894" i="2"/>
  <c r="AR898" i="2"/>
  <c r="AR897" i="2"/>
  <c r="AR895" i="2"/>
  <c r="AR894" i="2"/>
  <c r="AP898" i="2"/>
  <c r="AP897" i="2"/>
  <c r="AP895" i="2"/>
  <c r="AP894" i="2"/>
  <c r="AN898" i="2"/>
  <c r="AN897" i="2"/>
  <c r="AN895" i="2"/>
  <c r="AN894" i="2"/>
  <c r="AL898" i="2"/>
  <c r="AL897" i="2"/>
  <c r="AL895" i="2"/>
  <c r="AL894" i="2"/>
  <c r="AJ898" i="2"/>
  <c r="AJ897" i="2"/>
  <c r="AJ895" i="2"/>
  <c r="AJ894" i="2"/>
  <c r="AH898" i="2"/>
  <c r="AH897" i="2"/>
  <c r="AH895" i="2"/>
  <c r="AH894" i="2"/>
  <c r="AF898" i="2"/>
  <c r="AF897" i="2"/>
  <c r="AF895" i="2"/>
  <c r="AF894" i="2"/>
  <c r="AD898" i="2"/>
  <c r="AD897" i="2"/>
  <c r="AD895" i="2"/>
  <c r="AD894" i="2"/>
  <c r="AB898" i="2"/>
  <c r="AB897" i="2"/>
  <c r="AB895" i="2"/>
  <c r="AB894" i="2"/>
  <c r="Z898" i="2"/>
  <c r="Z897" i="2"/>
  <c r="Z895" i="2"/>
  <c r="Z894" i="2"/>
  <c r="X898" i="2"/>
  <c r="X897" i="2"/>
  <c r="X895" i="2"/>
  <c r="X894" i="2"/>
  <c r="V898" i="2"/>
  <c r="V897" i="2"/>
  <c r="V895" i="2"/>
  <c r="V894" i="2"/>
  <c r="T898" i="2"/>
  <c r="T897" i="2"/>
  <c r="T895" i="2"/>
  <c r="T894" i="2"/>
  <c r="R898" i="2"/>
  <c r="R897" i="2"/>
  <c r="R895" i="2"/>
  <c r="R894" i="2"/>
  <c r="P898" i="2"/>
  <c r="P897" i="2"/>
  <c r="P895" i="2"/>
  <c r="P894" i="2"/>
  <c r="N898" i="2"/>
  <c r="N897" i="2"/>
  <c r="N895" i="2"/>
  <c r="N894" i="2"/>
  <c r="L898" i="2"/>
  <c r="L897" i="2"/>
  <c r="L895" i="2"/>
  <c r="L894" i="2"/>
  <c r="J898" i="2"/>
  <c r="J897" i="2"/>
  <c r="J895" i="2"/>
  <c r="J894" i="2"/>
  <c r="H898" i="2"/>
  <c r="H897" i="2"/>
  <c r="H895" i="2"/>
  <c r="H894" i="2"/>
  <c r="F898" i="2"/>
  <c r="F897" i="2"/>
  <c r="F895" i="2"/>
  <c r="F894" i="2"/>
  <c r="D898" i="2"/>
  <c r="D897" i="2"/>
  <c r="D895" i="2"/>
  <c r="D894" i="2"/>
  <c r="AO896" i="2"/>
  <c r="AM896" i="2"/>
  <c r="AV896" i="2" s="1"/>
  <c r="AK896" i="2"/>
  <c r="AT896" i="2" s="1"/>
  <c r="AI896" i="2"/>
  <c r="AG896" i="2"/>
  <c r="AE896" i="2"/>
  <c r="AC896" i="2"/>
  <c r="AD896" i="2" s="1"/>
  <c r="AA896" i="2"/>
  <c r="AB896" i="2" s="1"/>
  <c r="Y896" i="2"/>
  <c r="W896" i="2"/>
  <c r="U896" i="2"/>
  <c r="V896" i="2" s="1"/>
  <c r="S896" i="2"/>
  <c r="T896" i="2" s="1"/>
  <c r="Q896" i="2"/>
  <c r="O896" i="2"/>
  <c r="M896" i="2"/>
  <c r="N896" i="2" s="1"/>
  <c r="K896" i="2"/>
  <c r="L896" i="2" s="1"/>
  <c r="I896" i="2"/>
  <c r="J896" i="2" s="1"/>
  <c r="G896" i="2"/>
  <c r="H896" i="2" s="1"/>
  <c r="E896" i="2"/>
  <c r="F896" i="2" s="1"/>
  <c r="C896" i="2"/>
  <c r="D896" i="2" s="1"/>
  <c r="C891" i="2"/>
  <c r="C903" i="2" s="1"/>
  <c r="D903" i="2" s="1"/>
  <c r="AO890" i="2"/>
  <c r="AM890" i="2"/>
  <c r="AK890" i="2"/>
  <c r="AI890" i="2"/>
  <c r="AG890" i="2"/>
  <c r="AE890" i="2"/>
  <c r="AC890" i="2"/>
  <c r="AA890" i="2"/>
  <c r="Y890" i="2"/>
  <c r="W890" i="2"/>
  <c r="U890" i="2"/>
  <c r="S890" i="2"/>
  <c r="Q890" i="2"/>
  <c r="O890" i="2"/>
  <c r="M890" i="2"/>
  <c r="K890" i="2"/>
  <c r="I890" i="2"/>
  <c r="J890" i="2" s="1"/>
  <c r="G890" i="2"/>
  <c r="H890" i="2" s="1"/>
  <c r="E890" i="2"/>
  <c r="F890" i="2" s="1"/>
  <c r="C890" i="2"/>
  <c r="D890" i="2" s="1"/>
  <c r="AN887" i="2"/>
  <c r="AN886" i="2"/>
  <c r="AN885" i="2"/>
  <c r="AN884" i="2"/>
  <c r="AL887" i="2"/>
  <c r="AL886" i="2"/>
  <c r="AL885" i="2"/>
  <c r="AL884" i="2"/>
  <c r="AJ887" i="2"/>
  <c r="AJ886" i="2"/>
  <c r="AJ885" i="2"/>
  <c r="AJ884" i="2"/>
  <c r="AH887" i="2"/>
  <c r="AH886" i="2"/>
  <c r="AH885" i="2"/>
  <c r="AH884" i="2"/>
  <c r="AF887" i="2"/>
  <c r="AF886" i="2"/>
  <c r="AF885" i="2"/>
  <c r="AF884" i="2"/>
  <c r="AD887" i="2"/>
  <c r="AD886" i="2"/>
  <c r="AD885" i="2"/>
  <c r="AD884" i="2"/>
  <c r="AB887" i="2"/>
  <c r="AB885" i="2"/>
  <c r="AB884" i="2"/>
  <c r="Z887" i="2"/>
  <c r="Z885" i="2"/>
  <c r="Z884" i="2"/>
  <c r="X887" i="2"/>
  <c r="X885" i="2"/>
  <c r="X884" i="2"/>
  <c r="V887" i="2"/>
  <c r="V885" i="2"/>
  <c r="V884" i="2"/>
  <c r="T887" i="2"/>
  <c r="R887" i="2"/>
  <c r="P887" i="2"/>
  <c r="N887" i="2"/>
  <c r="L887" i="2"/>
  <c r="J887" i="2"/>
  <c r="H887" i="2"/>
  <c r="F887" i="2"/>
  <c r="D887" i="2"/>
  <c r="S886" i="2"/>
  <c r="S940" i="2" s="1"/>
  <c r="Q886" i="2"/>
  <c r="Q940" i="2" s="1"/>
  <c r="O886" i="2"/>
  <c r="O940" i="2" s="1"/>
  <c r="M886" i="2"/>
  <c r="M940" i="2" s="1"/>
  <c r="K886" i="2"/>
  <c r="K940" i="2" s="1"/>
  <c r="I886" i="2"/>
  <c r="I940" i="2" s="1"/>
  <c r="T885" i="2"/>
  <c r="T884" i="2"/>
  <c r="R885" i="2"/>
  <c r="R884" i="2"/>
  <c r="P885" i="2"/>
  <c r="P884" i="2"/>
  <c r="N885" i="2"/>
  <c r="N884" i="2"/>
  <c r="L885" i="2"/>
  <c r="L884" i="2"/>
  <c r="J885" i="2"/>
  <c r="J884" i="2"/>
  <c r="H885" i="2"/>
  <c r="H884" i="2"/>
  <c r="F885" i="2"/>
  <c r="F884" i="2"/>
  <c r="D885" i="2"/>
  <c r="D884" i="2"/>
  <c r="BA891" i="2"/>
  <c r="BC890" i="2"/>
  <c r="BB890" i="2"/>
  <c r="BA890" i="2"/>
  <c r="BA889" i="2"/>
  <c r="BA888" i="2"/>
  <c r="BJ887" i="2"/>
  <c r="BH887" i="2"/>
  <c r="BF887" i="2"/>
  <c r="BI887" i="2" s="1"/>
  <c r="BE887" i="2"/>
  <c r="BD887" i="2"/>
  <c r="BB887" i="2"/>
  <c r="BA887" i="2"/>
  <c r="BK886" i="2"/>
  <c r="BJ886" i="2"/>
  <c r="BH886" i="2"/>
  <c r="BG886" i="2"/>
  <c r="BF886" i="2"/>
  <c r="BD886" i="2"/>
  <c r="BB886" i="2"/>
  <c r="BC886" i="2" s="1"/>
  <c r="BA886" i="2"/>
  <c r="BJ885" i="2"/>
  <c r="BH885" i="2"/>
  <c r="BI885" i="2" s="1"/>
  <c r="BF885" i="2"/>
  <c r="BG885" i="2" s="1"/>
  <c r="BD885" i="2"/>
  <c r="BB885" i="2"/>
  <c r="BC885" i="2" s="1"/>
  <c r="BA885" i="2"/>
  <c r="BJ884" i="2"/>
  <c r="BH884" i="2"/>
  <c r="BI884" i="2" s="1"/>
  <c r="BG884" i="2"/>
  <c r="BF884" i="2"/>
  <c r="BD884" i="2"/>
  <c r="BC884" i="2"/>
  <c r="BB884" i="2"/>
  <c r="BA884" i="2"/>
  <c r="BA883" i="2"/>
  <c r="AP887" i="2"/>
  <c r="AS886" i="2"/>
  <c r="AT886" i="2" s="1"/>
  <c r="AR886" i="2"/>
  <c r="AQ886" i="2"/>
  <c r="AP886" i="2"/>
  <c r="AP885" i="2"/>
  <c r="AP884" i="2"/>
  <c r="BA880" i="2"/>
  <c r="BA879" i="2"/>
  <c r="BA878" i="2"/>
  <c r="AO879" i="2"/>
  <c r="AM879" i="2"/>
  <c r="AN879" i="2" s="1"/>
  <c r="AK879" i="2"/>
  <c r="AI879" i="2"/>
  <c r="AH879" i="2"/>
  <c r="AG879" i="2"/>
  <c r="AP879" i="2" s="1"/>
  <c r="AE879" i="2"/>
  <c r="AC879" i="2"/>
  <c r="AD879" i="2" s="1"/>
  <c r="AA879" i="2"/>
  <c r="AB879" i="2" s="1"/>
  <c r="Y879" i="2"/>
  <c r="W879" i="2"/>
  <c r="X879" i="2" s="1"/>
  <c r="U879" i="2"/>
  <c r="S879" i="2"/>
  <c r="R879" i="2"/>
  <c r="Q879" i="2"/>
  <c r="Z879" i="2" s="1"/>
  <c r="O879" i="2"/>
  <c r="M879" i="2"/>
  <c r="N879" i="2" s="1"/>
  <c r="K879" i="2"/>
  <c r="L879" i="2" s="1"/>
  <c r="J879" i="2"/>
  <c r="I879" i="2"/>
  <c r="G879" i="2"/>
  <c r="H879" i="2" s="1"/>
  <c r="F879" i="2"/>
  <c r="E879" i="2"/>
  <c r="C879" i="2"/>
  <c r="D879" i="2" s="1"/>
  <c r="AP875" i="2"/>
  <c r="AO875" i="2"/>
  <c r="AM875" i="2"/>
  <c r="AN875" i="2" s="1"/>
  <c r="AL875" i="2"/>
  <c r="AK875" i="2"/>
  <c r="AI875" i="2"/>
  <c r="AJ875" i="2" s="1"/>
  <c r="AH875" i="2"/>
  <c r="AG875" i="2"/>
  <c r="AE875" i="2"/>
  <c r="AF875" i="2" s="1"/>
  <c r="AD875" i="2"/>
  <c r="AC875" i="2"/>
  <c r="AA875" i="2"/>
  <c r="AB875" i="2" s="1"/>
  <c r="Z875" i="2"/>
  <c r="Y875" i="2"/>
  <c r="W875" i="2"/>
  <c r="X875" i="2" s="1"/>
  <c r="V875" i="2"/>
  <c r="U875" i="2"/>
  <c r="S875" i="2"/>
  <c r="R875" i="2"/>
  <c r="Q875" i="2"/>
  <c r="O875" i="2"/>
  <c r="N875" i="2"/>
  <c r="M875" i="2"/>
  <c r="K875" i="2"/>
  <c r="T875" i="2" s="1"/>
  <c r="J875" i="2"/>
  <c r="I875" i="2"/>
  <c r="H875" i="2"/>
  <c r="G875" i="2"/>
  <c r="P875" i="2" s="1"/>
  <c r="F875" i="2"/>
  <c r="E875" i="2"/>
  <c r="D875" i="2"/>
  <c r="C875" i="2"/>
  <c r="L875" i="2" s="1"/>
  <c r="AN874" i="2"/>
  <c r="AN873" i="2"/>
  <c r="AL874" i="2"/>
  <c r="AL873" i="2"/>
  <c r="AJ874" i="2"/>
  <c r="AJ873" i="2"/>
  <c r="AH874" i="2"/>
  <c r="AH873" i="2"/>
  <c r="AF874" i="2"/>
  <c r="AF873" i="2"/>
  <c r="AD874" i="2"/>
  <c r="AD873" i="2"/>
  <c r="AB874" i="2"/>
  <c r="AB873" i="2"/>
  <c r="Z874" i="2"/>
  <c r="Z873" i="2"/>
  <c r="X874" i="2"/>
  <c r="X873" i="2"/>
  <c r="V874" i="2"/>
  <c r="V873" i="2"/>
  <c r="T874" i="2"/>
  <c r="T873" i="2"/>
  <c r="R874" i="2"/>
  <c r="R873" i="2"/>
  <c r="P874" i="2"/>
  <c r="P873" i="2"/>
  <c r="N874" i="2"/>
  <c r="N873" i="2"/>
  <c r="L874" i="2"/>
  <c r="L873" i="2"/>
  <c r="J874" i="2"/>
  <c r="J873" i="2"/>
  <c r="H874" i="2"/>
  <c r="H873" i="2"/>
  <c r="F874" i="2"/>
  <c r="F873" i="2"/>
  <c r="D874" i="2"/>
  <c r="D873" i="2"/>
  <c r="BA875" i="2"/>
  <c r="BJ874" i="2"/>
  <c r="BJ875" i="2" s="1"/>
  <c r="BH874" i="2"/>
  <c r="BF874" i="2"/>
  <c r="BD874" i="2"/>
  <c r="BG874" i="2" s="1"/>
  <c r="BB874" i="2"/>
  <c r="BA874" i="2"/>
  <c r="BJ873" i="2"/>
  <c r="BI873" i="2"/>
  <c r="BH873" i="2"/>
  <c r="BF873" i="2"/>
  <c r="BF875" i="2" s="1"/>
  <c r="BD873" i="2"/>
  <c r="BB873" i="2"/>
  <c r="BC873" i="2" s="1"/>
  <c r="BA873" i="2"/>
  <c r="AQ874" i="2"/>
  <c r="AP874" i="2"/>
  <c r="AR873" i="2"/>
  <c r="AQ873" i="2"/>
  <c r="AQ875" i="2" s="1"/>
  <c r="AP873" i="2"/>
  <c r="AX868" i="2"/>
  <c r="AV869" i="2"/>
  <c r="AT868" i="2"/>
  <c r="K869" i="2"/>
  <c r="K868" i="2"/>
  <c r="I869" i="2"/>
  <c r="I868" i="2"/>
  <c r="G869" i="2"/>
  <c r="G868" i="2"/>
  <c r="E869" i="2"/>
  <c r="E868" i="2"/>
  <c r="C869" i="2"/>
  <c r="C868" i="2"/>
  <c r="AO869" i="2"/>
  <c r="AX869" i="2" s="1"/>
  <c r="AN869" i="2"/>
  <c r="AM869" i="2"/>
  <c r="AK869" i="2"/>
  <c r="AT869" i="2" s="1"/>
  <c r="AJ869" i="2"/>
  <c r="AI869" i="2"/>
  <c r="AR869" i="2" s="1"/>
  <c r="AG869" i="2"/>
  <c r="AF869" i="2"/>
  <c r="AE869" i="2"/>
  <c r="AC869" i="2"/>
  <c r="AL869" i="2" s="1"/>
  <c r="AB869" i="2"/>
  <c r="AA869" i="2"/>
  <c r="Y869" i="2"/>
  <c r="AH869" i="2" s="1"/>
  <c r="X869" i="2"/>
  <c r="W869" i="2"/>
  <c r="U869" i="2"/>
  <c r="AD869" i="2" s="1"/>
  <c r="T869" i="2"/>
  <c r="S869" i="2"/>
  <c r="Q869" i="2"/>
  <c r="P869" i="2"/>
  <c r="O869" i="2"/>
  <c r="M869" i="2"/>
  <c r="V869" i="2" s="1"/>
  <c r="AP868" i="2"/>
  <c r="AO868" i="2"/>
  <c r="AM868" i="2"/>
  <c r="AN868" i="2" s="1"/>
  <c r="AL868" i="2"/>
  <c r="AK868" i="2"/>
  <c r="AI868" i="2"/>
  <c r="AR868" i="2" s="1"/>
  <c r="AH868" i="2"/>
  <c r="AG868" i="2"/>
  <c r="AE868" i="2"/>
  <c r="AF868" i="2" s="1"/>
  <c r="AD868" i="2"/>
  <c r="AC868" i="2"/>
  <c r="AA868" i="2"/>
  <c r="AB868" i="2" s="1"/>
  <c r="Z868" i="2"/>
  <c r="Y868" i="2"/>
  <c r="W868" i="2"/>
  <c r="X868" i="2" s="1"/>
  <c r="V868" i="2"/>
  <c r="U868" i="2"/>
  <c r="S868" i="2"/>
  <c r="T868" i="2" s="1"/>
  <c r="R868" i="2"/>
  <c r="Q868" i="2"/>
  <c r="O868" i="2"/>
  <c r="P868" i="2" s="1"/>
  <c r="N868" i="2"/>
  <c r="M868" i="2"/>
  <c r="BE866" i="2"/>
  <c r="BC866" i="2"/>
  <c r="BA866" i="2"/>
  <c r="AK864" i="2"/>
  <c r="AC864" i="2"/>
  <c r="U864" i="2"/>
  <c r="M864" i="2"/>
  <c r="E864" i="2"/>
  <c r="AN863" i="2"/>
  <c r="AN861" i="2"/>
  <c r="AN860" i="2"/>
  <c r="AN858" i="2"/>
  <c r="AL863" i="2"/>
  <c r="AL861" i="2"/>
  <c r="AL860" i="2"/>
  <c r="AL858" i="2"/>
  <c r="AJ863" i="2"/>
  <c r="AJ861" i="2"/>
  <c r="AJ860" i="2"/>
  <c r="AJ859" i="2"/>
  <c r="AJ858" i="2"/>
  <c r="AH863" i="2"/>
  <c r="AH861" i="2"/>
  <c r="AH860" i="2"/>
  <c r="AH858" i="2"/>
  <c r="AF863" i="2"/>
  <c r="AF861" i="2"/>
  <c r="AF860" i="2"/>
  <c r="AF858" i="2"/>
  <c r="AD863" i="2"/>
  <c r="AD861" i="2"/>
  <c r="AD860" i="2"/>
  <c r="AD858" i="2"/>
  <c r="AB863" i="2"/>
  <c r="AB861" i="2"/>
  <c r="AB860" i="2"/>
  <c r="AB859" i="2"/>
  <c r="AB858" i="2"/>
  <c r="Z863" i="2"/>
  <c r="Z861" i="2"/>
  <c r="Z860" i="2"/>
  <c r="Z858" i="2"/>
  <c r="X863" i="2"/>
  <c r="X861" i="2"/>
  <c r="X860" i="2"/>
  <c r="X858" i="2"/>
  <c r="V863" i="2"/>
  <c r="V861" i="2"/>
  <c r="V860" i="2"/>
  <c r="V858" i="2"/>
  <c r="T863" i="2"/>
  <c r="T861" i="2"/>
  <c r="T860" i="2"/>
  <c r="T859" i="2"/>
  <c r="T858" i="2"/>
  <c r="R863" i="2"/>
  <c r="R861" i="2"/>
  <c r="R860" i="2"/>
  <c r="R858" i="2"/>
  <c r="P863" i="2"/>
  <c r="P861" i="2"/>
  <c r="P860" i="2"/>
  <c r="P858" i="2"/>
  <c r="N863" i="2"/>
  <c r="N861" i="2"/>
  <c r="N860" i="2"/>
  <c r="N858" i="2"/>
  <c r="L863" i="2"/>
  <c r="L861" i="2"/>
  <c r="L860" i="2"/>
  <c r="L859" i="2"/>
  <c r="L858" i="2"/>
  <c r="J863" i="2"/>
  <c r="J861" i="2"/>
  <c r="J860" i="2"/>
  <c r="J858" i="2"/>
  <c r="H863" i="2"/>
  <c r="H861" i="2"/>
  <c r="H860" i="2"/>
  <c r="H858" i="2"/>
  <c r="F863" i="2"/>
  <c r="F861" i="2"/>
  <c r="F860" i="2"/>
  <c r="F858" i="2"/>
  <c r="D863" i="2"/>
  <c r="D861" i="2"/>
  <c r="D860" i="2"/>
  <c r="D859" i="2"/>
  <c r="D858" i="2"/>
  <c r="AO859" i="2"/>
  <c r="BJ859" i="2" s="1"/>
  <c r="AM859" i="2"/>
  <c r="AM864" i="2" s="1"/>
  <c r="AK859" i="2"/>
  <c r="AI859" i="2"/>
  <c r="AI864" i="2" s="1"/>
  <c r="AG859" i="2"/>
  <c r="AE859" i="2"/>
  <c r="AE864" i="2" s="1"/>
  <c r="AC859" i="2"/>
  <c r="AA859" i="2"/>
  <c r="AA864" i="2" s="1"/>
  <c r="Y859" i="2"/>
  <c r="BF859" i="2" s="1"/>
  <c r="W859" i="2"/>
  <c r="W864" i="2" s="1"/>
  <c r="U859" i="2"/>
  <c r="S859" i="2"/>
  <c r="S888" i="2" s="1"/>
  <c r="Q859" i="2"/>
  <c r="Q888" i="2" s="1"/>
  <c r="O859" i="2"/>
  <c r="O888" i="2" s="1"/>
  <c r="M859" i="2"/>
  <c r="M888" i="2" s="1"/>
  <c r="K859" i="2"/>
  <c r="K888" i="2" s="1"/>
  <c r="I859" i="2"/>
  <c r="I888" i="2" s="1"/>
  <c r="G859" i="2"/>
  <c r="G864" i="2" s="1"/>
  <c r="E859" i="2"/>
  <c r="C859" i="2"/>
  <c r="C864" i="2" s="1"/>
  <c r="BA864" i="2"/>
  <c r="BA863" i="2"/>
  <c r="BA862" i="2"/>
  <c r="BK861" i="2"/>
  <c r="BJ861" i="2"/>
  <c r="BH861" i="2"/>
  <c r="BH879" i="2" s="1"/>
  <c r="BG861" i="2"/>
  <c r="BF861" i="2"/>
  <c r="BF879" i="2" s="1"/>
  <c r="BG879" i="2" s="1"/>
  <c r="BD861" i="2"/>
  <c r="BD879" i="2" s="1"/>
  <c r="BB861" i="2"/>
  <c r="BA861" i="2"/>
  <c r="BJ860" i="2"/>
  <c r="BH860" i="2"/>
  <c r="BI860" i="2" s="1"/>
  <c r="BF860" i="2"/>
  <c r="BD860" i="2"/>
  <c r="BE860" i="2" s="1"/>
  <c r="BB860" i="2"/>
  <c r="BA860" i="2"/>
  <c r="BH859" i="2"/>
  <c r="BH888" i="2" s="1"/>
  <c r="BB859" i="2"/>
  <c r="BA859" i="2"/>
  <c r="BJ858" i="2"/>
  <c r="BH858" i="2"/>
  <c r="BI858" i="2" s="1"/>
  <c r="BF858" i="2"/>
  <c r="BG858" i="2" s="1"/>
  <c r="BD858" i="2"/>
  <c r="BB858" i="2"/>
  <c r="BC858" i="2" s="1"/>
  <c r="BA858" i="2"/>
  <c r="BA857" i="2"/>
  <c r="AP863" i="2"/>
  <c r="AP861" i="2"/>
  <c r="AP860" i="2"/>
  <c r="AQ859" i="2"/>
  <c r="AP859" i="2"/>
  <c r="AQ858" i="2"/>
  <c r="AP858" i="2"/>
  <c r="AQ857" i="2"/>
  <c r="AO857" i="2"/>
  <c r="BJ857" i="2" s="1"/>
  <c r="AK857" i="2"/>
  <c r="AG857" i="2"/>
  <c r="AC857" i="2"/>
  <c r="AD857" i="2" s="1"/>
  <c r="Y857" i="2"/>
  <c r="Z857" i="2" s="1"/>
  <c r="U857" i="2"/>
  <c r="Q857" i="2"/>
  <c r="M857" i="2"/>
  <c r="N857" i="2" s="1"/>
  <c r="I857" i="2"/>
  <c r="J857" i="2" s="1"/>
  <c r="E857" i="2"/>
  <c r="F857" i="2" s="1"/>
  <c r="BU856" i="2"/>
  <c r="BS856" i="2"/>
  <c r="BQ856" i="2"/>
  <c r="BO856" i="2"/>
  <c r="BM856" i="2"/>
  <c r="BK856" i="2"/>
  <c r="BI856" i="2"/>
  <c r="BG856" i="2"/>
  <c r="BE856" i="2"/>
  <c r="BC856" i="2"/>
  <c r="BA856" i="2"/>
  <c r="E852" i="2"/>
  <c r="E711" i="2" s="1"/>
  <c r="E712" i="2" s="1"/>
  <c r="BA850" i="2"/>
  <c r="BA848" i="2"/>
  <c r="BA847" i="2"/>
  <c r="BA846" i="2"/>
  <c r="BA845" i="2"/>
  <c r="AK847" i="2"/>
  <c r="AL847" i="2" s="1"/>
  <c r="AI847" i="2"/>
  <c r="AJ847" i="2" s="1"/>
  <c r="AG847" i="2"/>
  <c r="AE847" i="2"/>
  <c r="AD847" i="2"/>
  <c r="AC847" i="2"/>
  <c r="AA847" i="2"/>
  <c r="Y847" i="2"/>
  <c r="W847" i="2"/>
  <c r="X847" i="2" s="1"/>
  <c r="U847" i="2"/>
  <c r="V847" i="2" s="1"/>
  <c r="S847" i="2"/>
  <c r="T847" i="2" s="1"/>
  <c r="Q847" i="2"/>
  <c r="O847" i="2"/>
  <c r="N847" i="2"/>
  <c r="M847" i="2"/>
  <c r="K847" i="2"/>
  <c r="I847" i="2"/>
  <c r="G847" i="2"/>
  <c r="H847" i="2" s="1"/>
  <c r="E847" i="2"/>
  <c r="F847" i="2" s="1"/>
  <c r="C847" i="2"/>
  <c r="D847" i="2" s="1"/>
  <c r="AK846" i="2"/>
  <c r="AI846" i="2"/>
  <c r="AH846" i="2"/>
  <c r="AG846" i="2"/>
  <c r="AE846" i="2"/>
  <c r="AC846" i="2"/>
  <c r="AA846" i="2"/>
  <c r="AB846" i="2" s="1"/>
  <c r="Y846" i="2"/>
  <c r="Z846" i="2" s="1"/>
  <c r="W846" i="2"/>
  <c r="X846" i="2" s="1"/>
  <c r="U846" i="2"/>
  <c r="S846" i="2"/>
  <c r="R846" i="2"/>
  <c r="Q846" i="2"/>
  <c r="O846" i="2"/>
  <c r="M846" i="2"/>
  <c r="K846" i="2"/>
  <c r="L846" i="2" s="1"/>
  <c r="I846" i="2"/>
  <c r="J846" i="2" s="1"/>
  <c r="G846" i="2"/>
  <c r="H846" i="2" s="1"/>
  <c r="F846" i="2"/>
  <c r="E846" i="2"/>
  <c r="C846" i="2"/>
  <c r="D846" i="2" s="1"/>
  <c r="N845" i="2"/>
  <c r="M845" i="2"/>
  <c r="M1043" i="2" s="1"/>
  <c r="K845" i="2"/>
  <c r="K1043" i="2" s="1"/>
  <c r="I845" i="2"/>
  <c r="G845" i="2"/>
  <c r="G1043" i="2" s="1"/>
  <c r="E845" i="2"/>
  <c r="E1043" i="2" s="1"/>
  <c r="C845" i="2"/>
  <c r="AP842" i="2"/>
  <c r="AO842" i="2"/>
  <c r="AO946" i="2" s="1"/>
  <c r="AM842" i="2"/>
  <c r="AM946" i="2" s="1"/>
  <c r="AL842" i="2"/>
  <c r="AJ842" i="2"/>
  <c r="AJ841" i="2"/>
  <c r="AJ840" i="2"/>
  <c r="AH842" i="2"/>
  <c r="AH841" i="2"/>
  <c r="AH840" i="2"/>
  <c r="AF842" i="2"/>
  <c r="AF841" i="2"/>
  <c r="AF840" i="2"/>
  <c r="AD842" i="2"/>
  <c r="AD841" i="2"/>
  <c r="AD840" i="2"/>
  <c r="AB842" i="2"/>
  <c r="AB841" i="2"/>
  <c r="AB840" i="2"/>
  <c r="Z842" i="2"/>
  <c r="Z841" i="2"/>
  <c r="Z840" i="2"/>
  <c r="X842" i="2"/>
  <c r="X840" i="2"/>
  <c r="V842" i="2"/>
  <c r="V840" i="2"/>
  <c r="T842" i="2"/>
  <c r="T840" i="2"/>
  <c r="R842" i="2"/>
  <c r="R841" i="2"/>
  <c r="R840" i="2"/>
  <c r="P842" i="2"/>
  <c r="P841" i="2"/>
  <c r="P840" i="2"/>
  <c r="N842" i="2"/>
  <c r="N840" i="2"/>
  <c r="L842" i="2"/>
  <c r="L841" i="2"/>
  <c r="L840" i="2"/>
  <c r="J842" i="2"/>
  <c r="J841" i="2"/>
  <c r="J840" i="2"/>
  <c r="H842" i="2"/>
  <c r="H841" i="2"/>
  <c r="H840" i="2"/>
  <c r="F842" i="2"/>
  <c r="F841" i="2"/>
  <c r="F840" i="2"/>
  <c r="D842" i="2"/>
  <c r="D841" i="2"/>
  <c r="D840" i="2"/>
  <c r="AN841" i="2"/>
  <c r="AN840" i="2"/>
  <c r="AL841" i="2"/>
  <c r="AL840" i="2"/>
  <c r="BJ842" i="2"/>
  <c r="BH842" i="2"/>
  <c r="BH946" i="2" s="1"/>
  <c r="BF842" i="2"/>
  <c r="BD842" i="2"/>
  <c r="BD946" i="2" s="1"/>
  <c r="BB842" i="2"/>
  <c r="BA842" i="2"/>
  <c r="BJ841" i="2"/>
  <c r="BK841" i="2" s="1"/>
  <c r="BH841" i="2"/>
  <c r="BI841" i="2" s="1"/>
  <c r="BF841" i="2"/>
  <c r="BG841" i="2" s="1"/>
  <c r="BD841" i="2"/>
  <c r="BB841" i="2"/>
  <c r="BC841" i="2" s="1"/>
  <c r="BA841" i="2"/>
  <c r="BJ840" i="2"/>
  <c r="BH840" i="2"/>
  <c r="BH947" i="2" s="1"/>
  <c r="BF840" i="2"/>
  <c r="BD840" i="2"/>
  <c r="BD947" i="2" s="1"/>
  <c r="BB840" i="2"/>
  <c r="BA840" i="2"/>
  <c r="AP841" i="2"/>
  <c r="AP840" i="2"/>
  <c r="BA837" i="2"/>
  <c r="BA836" i="2"/>
  <c r="BT831" i="2"/>
  <c r="BR831" i="2"/>
  <c r="BP830" i="2"/>
  <c r="BP831" i="2" s="1"/>
  <c r="BN831" i="2"/>
  <c r="AW831" i="2"/>
  <c r="AU831" i="2"/>
  <c r="AS831" i="2"/>
  <c r="AQ831" i="2"/>
  <c r="AQ885" i="2" s="1"/>
  <c r="AO831" i="2"/>
  <c r="AM831" i="2"/>
  <c r="AK831" i="2"/>
  <c r="AI831" i="2"/>
  <c r="AG831" i="2"/>
  <c r="AG830" i="2"/>
  <c r="AP830" i="2" s="1"/>
  <c r="AE831" i="2"/>
  <c r="AC831" i="2"/>
  <c r="AA831" i="2"/>
  <c r="W831" i="2"/>
  <c r="BS830" i="2"/>
  <c r="BS829" i="2"/>
  <c r="BQ830" i="2"/>
  <c r="BQ829" i="2"/>
  <c r="BO829" i="2"/>
  <c r="BL830" i="2"/>
  <c r="BO830" i="2" s="1"/>
  <c r="BJ830" i="2"/>
  <c r="BH830" i="2"/>
  <c r="BA830" i="2"/>
  <c r="AX830" i="2"/>
  <c r="AX829" i="2"/>
  <c r="AV830" i="2"/>
  <c r="AV829" i="2"/>
  <c r="AT830" i="2"/>
  <c r="AT829" i="2"/>
  <c r="AR830" i="2"/>
  <c r="AR829" i="2"/>
  <c r="AP829" i="2"/>
  <c r="AN830" i="2"/>
  <c r="AN829" i="2"/>
  <c r="AN828" i="2"/>
  <c r="AL830" i="2"/>
  <c r="AL829" i="2"/>
  <c r="AL828" i="2"/>
  <c r="AJ830" i="2"/>
  <c r="AJ829" i="2"/>
  <c r="AJ828" i="2"/>
  <c r="AH829" i="2"/>
  <c r="AF830" i="2"/>
  <c r="AF829" i="2"/>
  <c r="AF828" i="2"/>
  <c r="AF827" i="2"/>
  <c r="AD829" i="2"/>
  <c r="AD828" i="2"/>
  <c r="AD827" i="2"/>
  <c r="AB829" i="2"/>
  <c r="AB828" i="2"/>
  <c r="AB827" i="2"/>
  <c r="Z829" i="2"/>
  <c r="X829" i="2"/>
  <c r="X828" i="2"/>
  <c r="X827" i="2"/>
  <c r="U830" i="2"/>
  <c r="S830" i="2"/>
  <c r="AB830" i="2" s="1"/>
  <c r="Q830" i="2"/>
  <c r="O830" i="2"/>
  <c r="X830" i="2" s="1"/>
  <c r="M830" i="2"/>
  <c r="K830" i="2"/>
  <c r="I830" i="2"/>
  <c r="J830" i="2" s="1"/>
  <c r="G830" i="2"/>
  <c r="H830" i="2" s="1"/>
  <c r="E830" i="2"/>
  <c r="F830" i="2" s="1"/>
  <c r="C830" i="2"/>
  <c r="D830" i="2" s="1"/>
  <c r="BM829" i="2"/>
  <c r="BK829" i="2"/>
  <c r="BI829" i="2"/>
  <c r="BG829" i="2"/>
  <c r="BE829" i="2"/>
  <c r="BC829" i="2"/>
  <c r="BA829" i="2"/>
  <c r="BA828" i="2"/>
  <c r="BA827" i="2"/>
  <c r="V829" i="2"/>
  <c r="V828" i="2"/>
  <c r="V827" i="2"/>
  <c r="T829" i="2"/>
  <c r="T828" i="2"/>
  <c r="T827" i="2"/>
  <c r="R829" i="2"/>
  <c r="R828" i="2"/>
  <c r="R827" i="2"/>
  <c r="P829" i="2"/>
  <c r="P828" i="2"/>
  <c r="P827" i="2"/>
  <c r="N829" i="2"/>
  <c r="N828" i="2"/>
  <c r="N827" i="2"/>
  <c r="L829" i="2"/>
  <c r="L828" i="2"/>
  <c r="L827" i="2"/>
  <c r="J829" i="2"/>
  <c r="J828" i="2"/>
  <c r="J827" i="2"/>
  <c r="H829" i="2"/>
  <c r="H828" i="2"/>
  <c r="H827" i="2"/>
  <c r="F829" i="2"/>
  <c r="F828" i="2"/>
  <c r="F827" i="2"/>
  <c r="D829" i="2"/>
  <c r="D828" i="2"/>
  <c r="D827" i="2"/>
  <c r="BH828" i="2"/>
  <c r="BD828" i="2"/>
  <c r="BD827" i="2"/>
  <c r="BE827" i="2" s="1"/>
  <c r="BB828" i="2"/>
  <c r="BC828" i="2" s="1"/>
  <c r="BB827" i="2"/>
  <c r="BC827" i="2" s="1"/>
  <c r="AO828" i="2"/>
  <c r="Y827" i="2"/>
  <c r="Z827" i="2" s="1"/>
  <c r="BU830" i="2"/>
  <c r="BV829" i="2"/>
  <c r="BU829" i="2"/>
  <c r="AM827" i="2"/>
  <c r="AN827" i="2" s="1"/>
  <c r="AK827" i="2"/>
  <c r="AL827" i="2" s="1"/>
  <c r="AI827" i="2"/>
  <c r="AJ827" i="2" s="1"/>
  <c r="AG827" i="2"/>
  <c r="AH827" i="2" s="1"/>
  <c r="BA825" i="2"/>
  <c r="R825" i="2"/>
  <c r="Q825" i="2"/>
  <c r="O825" i="2"/>
  <c r="M825" i="2"/>
  <c r="N825" i="2" s="1"/>
  <c r="K825" i="2"/>
  <c r="L825" i="2" s="1"/>
  <c r="J825" i="2"/>
  <c r="I825" i="2"/>
  <c r="G825" i="2"/>
  <c r="H825" i="2" s="1"/>
  <c r="F825" i="2"/>
  <c r="E825" i="2"/>
  <c r="C825" i="2"/>
  <c r="D825" i="2" s="1"/>
  <c r="BS824" i="2"/>
  <c r="BQ824" i="2"/>
  <c r="BO824" i="2"/>
  <c r="BM824" i="2"/>
  <c r="BK824" i="2"/>
  <c r="BI824" i="2"/>
  <c r="BG824" i="2"/>
  <c r="BE824" i="2"/>
  <c r="BC824" i="2"/>
  <c r="BA824" i="2"/>
  <c r="BA823" i="2"/>
  <c r="BA822" i="2"/>
  <c r="AX824" i="2"/>
  <c r="AV824" i="2"/>
  <c r="AT824" i="2"/>
  <c r="AR824" i="2"/>
  <c r="AR822" i="2"/>
  <c r="AP824" i="2"/>
  <c r="AN824" i="2"/>
  <c r="AN822" i="2"/>
  <c r="AL824" i="2"/>
  <c r="AL822" i="2"/>
  <c r="AJ824" i="2"/>
  <c r="AJ822" i="2"/>
  <c r="AH824" i="2"/>
  <c r="AF824" i="2"/>
  <c r="AF822" i="2"/>
  <c r="AD824" i="2"/>
  <c r="AD822" i="2"/>
  <c r="AB824" i="2"/>
  <c r="AB823" i="2"/>
  <c r="AB822" i="2"/>
  <c r="Z824" i="2"/>
  <c r="Z822" i="2"/>
  <c r="X824" i="2"/>
  <c r="X822" i="2"/>
  <c r="V824" i="2"/>
  <c r="V822" i="2"/>
  <c r="T824" i="2"/>
  <c r="T822" i="2"/>
  <c r="R824" i="2"/>
  <c r="R823" i="2"/>
  <c r="R822" i="2"/>
  <c r="P824" i="2"/>
  <c r="P823" i="2"/>
  <c r="P822" i="2"/>
  <c r="N824" i="2"/>
  <c r="N823" i="2"/>
  <c r="N822" i="2"/>
  <c r="L824" i="2"/>
  <c r="L823" i="2"/>
  <c r="L822" i="2"/>
  <c r="J824" i="2"/>
  <c r="J823" i="2"/>
  <c r="J822" i="2"/>
  <c r="H824" i="2"/>
  <c r="H823" i="2"/>
  <c r="H822" i="2"/>
  <c r="F824" i="2"/>
  <c r="F823" i="2"/>
  <c r="F822" i="2"/>
  <c r="D824" i="2"/>
  <c r="D823" i="2"/>
  <c r="D822" i="2"/>
  <c r="BJ822" i="2"/>
  <c r="BH822" i="2"/>
  <c r="BF822" i="2"/>
  <c r="BD822" i="2"/>
  <c r="BE822" i="2" s="1"/>
  <c r="BB822" i="2"/>
  <c r="AS822" i="2"/>
  <c r="AT822" i="2" s="1"/>
  <c r="AQ823" i="2"/>
  <c r="AM823" i="2"/>
  <c r="AK823" i="2"/>
  <c r="AK825" i="2" s="1"/>
  <c r="AI823" i="2"/>
  <c r="AI825" i="2" s="1"/>
  <c r="AG823" i="2"/>
  <c r="AG822" i="2"/>
  <c r="AE823" i="2"/>
  <c r="AF823" i="2" s="1"/>
  <c r="AC823" i="2"/>
  <c r="AC825" i="2" s="1"/>
  <c r="AA823" i="2"/>
  <c r="W823" i="2"/>
  <c r="X823" i="2" s="1"/>
  <c r="U823" i="2"/>
  <c r="S823" i="2"/>
  <c r="BV824" i="2"/>
  <c r="BU824" i="2"/>
  <c r="AP819" i="2"/>
  <c r="AO819" i="2"/>
  <c r="AM819" i="2"/>
  <c r="AK819" i="2"/>
  <c r="AL819" i="2" s="1"/>
  <c r="AI819" i="2"/>
  <c r="AG819" i="2"/>
  <c r="AE819" i="2"/>
  <c r="AF819" i="2" s="1"/>
  <c r="AC819" i="2"/>
  <c r="AD819" i="2" s="1"/>
  <c r="AA819" i="2"/>
  <c r="Z819" i="2"/>
  <c r="Y819" i="2"/>
  <c r="AH819" i="2" s="1"/>
  <c r="W819" i="2"/>
  <c r="U819" i="2"/>
  <c r="V819" i="2" s="1"/>
  <c r="S819" i="2"/>
  <c r="Q819" i="2"/>
  <c r="R819" i="2" s="1"/>
  <c r="O819" i="2"/>
  <c r="P819" i="2" s="1"/>
  <c r="M819" i="2"/>
  <c r="K819" i="2"/>
  <c r="J819" i="2"/>
  <c r="I819" i="2"/>
  <c r="G819" i="2"/>
  <c r="H819" i="2" s="1"/>
  <c r="E819" i="2"/>
  <c r="F819" i="2" s="1"/>
  <c r="C819" i="2"/>
  <c r="D819" i="2" s="1"/>
  <c r="M818" i="2"/>
  <c r="K818" i="2"/>
  <c r="G818" i="2"/>
  <c r="H818" i="2" s="1"/>
  <c r="F818" i="2"/>
  <c r="E818" i="2"/>
  <c r="N818" i="2" s="1"/>
  <c r="BA819" i="2"/>
  <c r="BA818" i="2"/>
  <c r="BJ817" i="2"/>
  <c r="BH817" i="2"/>
  <c r="BH819" i="2" s="1"/>
  <c r="BF817" i="2"/>
  <c r="BD817" i="2"/>
  <c r="BD819" i="2" s="1"/>
  <c r="BB817" i="2"/>
  <c r="BA817" i="2"/>
  <c r="AW817" i="2"/>
  <c r="AX817" i="2" s="1"/>
  <c r="AV817" i="2"/>
  <c r="AS817" i="2"/>
  <c r="BL817" i="2" s="1"/>
  <c r="AR817" i="2"/>
  <c r="AP817" i="2"/>
  <c r="AN817" i="2"/>
  <c r="AL817" i="2"/>
  <c r="AJ817" i="2"/>
  <c r="AH817" i="2"/>
  <c r="AF817" i="2"/>
  <c r="AD817" i="2"/>
  <c r="AB817" i="2"/>
  <c r="Z817" i="2"/>
  <c r="X817" i="2"/>
  <c r="V817" i="2"/>
  <c r="T817" i="2"/>
  <c r="R817" i="2"/>
  <c r="P817" i="2"/>
  <c r="N817" i="2"/>
  <c r="L817" i="2"/>
  <c r="J817" i="2"/>
  <c r="H817" i="2"/>
  <c r="F817" i="2"/>
  <c r="D817" i="2"/>
  <c r="X812" i="2"/>
  <c r="X811" i="2"/>
  <c r="X810" i="2"/>
  <c r="X807" i="2"/>
  <c r="X806" i="2"/>
  <c r="X804" i="2"/>
  <c r="X803" i="2"/>
  <c r="X802" i="2"/>
  <c r="B801" i="2"/>
  <c r="X799" i="2"/>
  <c r="B798" i="2"/>
  <c r="X796" i="2"/>
  <c r="X795" i="2"/>
  <c r="X794" i="2"/>
  <c r="X793" i="2"/>
  <c r="X790" i="2"/>
  <c r="X789" i="2"/>
  <c r="X787" i="2"/>
  <c r="X786" i="2"/>
  <c r="X785" i="2"/>
  <c r="X784" i="2"/>
  <c r="X783" i="2"/>
  <c r="X782" i="2"/>
  <c r="X781" i="2"/>
  <c r="X780" i="2"/>
  <c r="X779" i="2"/>
  <c r="X778" i="2"/>
  <c r="B777" i="2"/>
  <c r="X774" i="2"/>
  <c r="X773" i="2"/>
  <c r="X771" i="2"/>
  <c r="X770" i="2"/>
  <c r="X769" i="2"/>
  <c r="X768" i="2"/>
  <c r="X767" i="2"/>
  <c r="X766" i="2"/>
  <c r="X765" i="2"/>
  <c r="X764" i="2"/>
  <c r="X763" i="2"/>
  <c r="X762" i="2"/>
  <c r="X761" i="2"/>
  <c r="B770" i="2"/>
  <c r="B769" i="2"/>
  <c r="B768" i="2"/>
  <c r="X758" i="2"/>
  <c r="B758" i="2"/>
  <c r="X755" i="2"/>
  <c r="X754" i="2"/>
  <c r="X753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BA736" i="2"/>
  <c r="BA735" i="2"/>
  <c r="M736" i="2"/>
  <c r="N736" i="2" s="1"/>
  <c r="L736" i="2"/>
  <c r="K736" i="2"/>
  <c r="I736" i="2"/>
  <c r="J736" i="2" s="1"/>
  <c r="G736" i="2"/>
  <c r="H736" i="2" s="1"/>
  <c r="E736" i="2"/>
  <c r="F736" i="2" s="1"/>
  <c r="C736" i="2"/>
  <c r="D736" i="2" s="1"/>
  <c r="AQ735" i="2"/>
  <c r="AO735" i="2"/>
  <c r="AK735" i="2"/>
  <c r="AG735" i="2"/>
  <c r="AH735" i="2" s="1"/>
  <c r="AC735" i="2"/>
  <c r="AD735" i="2" s="1"/>
  <c r="Y735" i="2"/>
  <c r="U735" i="2"/>
  <c r="Q735" i="2"/>
  <c r="R735" i="2" s="1"/>
  <c r="M735" i="2"/>
  <c r="N735" i="2" s="1"/>
  <c r="I735" i="2"/>
  <c r="J735" i="2" s="1"/>
  <c r="E735" i="2"/>
  <c r="F735" i="2" s="1"/>
  <c r="BA731" i="2"/>
  <c r="AO730" i="2"/>
  <c r="AP730" i="2" s="1"/>
  <c r="AM730" i="2"/>
  <c r="AN730" i="2" s="1"/>
  <c r="AK730" i="2"/>
  <c r="AL730" i="2" s="1"/>
  <c r="AJ730" i="2"/>
  <c r="AI730" i="2"/>
  <c r="AG730" i="2"/>
  <c r="AE730" i="2"/>
  <c r="AF730" i="2" s="1"/>
  <c r="AC730" i="2"/>
  <c r="AA730" i="2"/>
  <c r="AB730" i="2" s="1"/>
  <c r="Y730" i="2"/>
  <c r="Z730" i="2" s="1"/>
  <c r="W730" i="2"/>
  <c r="U730" i="2"/>
  <c r="V730" i="2" s="1"/>
  <c r="T730" i="2"/>
  <c r="S730" i="2"/>
  <c r="Q730" i="2"/>
  <c r="O730" i="2"/>
  <c r="P730" i="2" s="1"/>
  <c r="M730" i="2"/>
  <c r="K730" i="2"/>
  <c r="K731" i="2" s="1"/>
  <c r="I730" i="2"/>
  <c r="J730" i="2" s="1"/>
  <c r="G730" i="2"/>
  <c r="G731" i="2" s="1"/>
  <c r="E730" i="2"/>
  <c r="F730" i="2" s="1"/>
  <c r="D730" i="2"/>
  <c r="C730" i="2"/>
  <c r="C731" i="2" s="1"/>
  <c r="BS729" i="2"/>
  <c r="BS728" i="2"/>
  <c r="BQ729" i="2"/>
  <c r="BQ728" i="2"/>
  <c r="AX729" i="2"/>
  <c r="AX728" i="2"/>
  <c r="AV729" i="2"/>
  <c r="AV728" i="2"/>
  <c r="AT729" i="2"/>
  <c r="AT728" i="2"/>
  <c r="AR729" i="2"/>
  <c r="AR728" i="2"/>
  <c r="AP729" i="2"/>
  <c r="AP728" i="2"/>
  <c r="AP727" i="2"/>
  <c r="AN729" i="2"/>
  <c r="AN728" i="2"/>
  <c r="AN727" i="2"/>
  <c r="AL729" i="2"/>
  <c r="AL728" i="2"/>
  <c r="AL727" i="2"/>
  <c r="AJ729" i="2"/>
  <c r="AJ728" i="2"/>
  <c r="AJ727" i="2"/>
  <c r="AH729" i="2"/>
  <c r="AH728" i="2"/>
  <c r="AH727" i="2"/>
  <c r="AF729" i="2"/>
  <c r="AF728" i="2"/>
  <c r="AF727" i="2"/>
  <c r="AD729" i="2"/>
  <c r="AD728" i="2"/>
  <c r="AD727" i="2"/>
  <c r="AB729" i="2"/>
  <c r="AB728" i="2"/>
  <c r="AB727" i="2"/>
  <c r="Z729" i="2"/>
  <c r="Z728" i="2"/>
  <c r="Z727" i="2"/>
  <c r="X729" i="2"/>
  <c r="X728" i="2"/>
  <c r="X727" i="2"/>
  <c r="V729" i="2"/>
  <c r="V728" i="2"/>
  <c r="V727" i="2"/>
  <c r="T729" i="2"/>
  <c r="T728" i="2"/>
  <c r="T727" i="2"/>
  <c r="R729" i="2"/>
  <c r="R728" i="2"/>
  <c r="R727" i="2"/>
  <c r="P729" i="2"/>
  <c r="P728" i="2"/>
  <c r="P727" i="2"/>
  <c r="N729" i="2"/>
  <c r="N728" i="2"/>
  <c r="N727" i="2"/>
  <c r="L729" i="2"/>
  <c r="L728" i="2"/>
  <c r="L727" i="2"/>
  <c r="J729" i="2"/>
  <c r="J728" i="2"/>
  <c r="J727" i="2"/>
  <c r="H729" i="2"/>
  <c r="H728" i="2"/>
  <c r="H727" i="2"/>
  <c r="F729" i="2"/>
  <c r="F728" i="2"/>
  <c r="F727" i="2"/>
  <c r="D729" i="2"/>
  <c r="D728" i="2"/>
  <c r="D727" i="2"/>
  <c r="BL729" i="2"/>
  <c r="BJ729" i="2"/>
  <c r="BH729" i="2"/>
  <c r="BI729" i="2" s="1"/>
  <c r="BF729" i="2"/>
  <c r="BD729" i="2"/>
  <c r="BB729" i="2"/>
  <c r="BC729" i="2" s="1"/>
  <c r="BA729" i="2"/>
  <c r="BL728" i="2"/>
  <c r="BJ728" i="2"/>
  <c r="BH728" i="2"/>
  <c r="BH847" i="2" s="1"/>
  <c r="BF728" i="2"/>
  <c r="BE728" i="2"/>
  <c r="BD728" i="2"/>
  <c r="BD847" i="2" s="1"/>
  <c r="BB728" i="2"/>
  <c r="BB847" i="2" s="1"/>
  <c r="BC847" i="2" s="1"/>
  <c r="BA728" i="2"/>
  <c r="BV729" i="2"/>
  <c r="BU729" i="2"/>
  <c r="BU728" i="2"/>
  <c r="BJ727" i="2"/>
  <c r="BH727" i="2"/>
  <c r="BH846" i="2" s="1"/>
  <c r="BF727" i="2"/>
  <c r="BD727" i="2"/>
  <c r="BD846" i="2" s="1"/>
  <c r="BC727" i="2"/>
  <c r="BB727" i="2"/>
  <c r="BA727" i="2"/>
  <c r="BB707" i="2"/>
  <c r="N707" i="2"/>
  <c r="L707" i="2"/>
  <c r="L706" i="2"/>
  <c r="J707" i="2"/>
  <c r="J706" i="2"/>
  <c r="H707" i="2"/>
  <c r="H706" i="2"/>
  <c r="F707" i="2"/>
  <c r="F706" i="2"/>
  <c r="D707" i="2"/>
  <c r="D706" i="2"/>
  <c r="BJ706" i="2"/>
  <c r="BH706" i="2"/>
  <c r="BD706" i="2"/>
  <c r="BB706" i="2"/>
  <c r="BC706" i="2" s="1"/>
  <c r="AN706" i="2"/>
  <c r="AL706" i="2"/>
  <c r="AJ706" i="2"/>
  <c r="AH706" i="2"/>
  <c r="AF706" i="2"/>
  <c r="AB706" i="2"/>
  <c r="Z706" i="2"/>
  <c r="X706" i="2"/>
  <c r="V706" i="2"/>
  <c r="U706" i="2"/>
  <c r="BF706" i="2" s="1"/>
  <c r="T706" i="2"/>
  <c r="R706" i="2"/>
  <c r="P706" i="2"/>
  <c r="N706" i="2"/>
  <c r="AQ706" i="2"/>
  <c r="AS706" i="2" s="1"/>
  <c r="AT706" i="2" s="1"/>
  <c r="AP706" i="2"/>
  <c r="AE701" i="2"/>
  <c r="AE700" i="2"/>
  <c r="AE699" i="2"/>
  <c r="AC701" i="2"/>
  <c r="AC700" i="2"/>
  <c r="AC699" i="2"/>
  <c r="AA701" i="2"/>
  <c r="AA700" i="2"/>
  <c r="AA699" i="2"/>
  <c r="Y701" i="2"/>
  <c r="Y700" i="2"/>
  <c r="Y699" i="2"/>
  <c r="W701" i="2"/>
  <c r="W700" i="2"/>
  <c r="W699" i="2"/>
  <c r="U701" i="2"/>
  <c r="U700" i="2"/>
  <c r="U699" i="2"/>
  <c r="S701" i="2"/>
  <c r="S700" i="2"/>
  <c r="S699" i="2"/>
  <c r="Q701" i="2"/>
  <c r="Q700" i="2"/>
  <c r="Q699" i="2"/>
  <c r="O701" i="2"/>
  <c r="O700" i="2"/>
  <c r="O699" i="2"/>
  <c r="AO701" i="2"/>
  <c r="AM701" i="2"/>
  <c r="AN701" i="2" s="1"/>
  <c r="AK701" i="2"/>
  <c r="AL701" i="2" s="1"/>
  <c r="AI701" i="2"/>
  <c r="AG701" i="2"/>
  <c r="AH701" i="2" s="1"/>
  <c r="AO700" i="2"/>
  <c r="AM700" i="2"/>
  <c r="AN700" i="2" s="1"/>
  <c r="AK700" i="2"/>
  <c r="AI700" i="2"/>
  <c r="AJ700" i="2" s="1"/>
  <c r="AG700" i="2"/>
  <c r="AO699" i="2"/>
  <c r="AM699" i="2"/>
  <c r="AK699" i="2"/>
  <c r="AL699" i="2" s="1"/>
  <c r="AI699" i="2"/>
  <c r="AJ699" i="2" s="1"/>
  <c r="AG699" i="2"/>
  <c r="AH699" i="2" s="1"/>
  <c r="BJ689" i="2"/>
  <c r="BJ685" i="2"/>
  <c r="BJ701" i="2" s="1"/>
  <c r="BJ681" i="2"/>
  <c r="BJ677" i="2"/>
  <c r="BK677" i="2" s="1"/>
  <c r="BH689" i="2"/>
  <c r="BH685" i="2"/>
  <c r="BI685" i="2" s="1"/>
  <c r="BH681" i="2"/>
  <c r="BH677" i="2"/>
  <c r="BH699" i="2" s="1"/>
  <c r="BF689" i="2"/>
  <c r="BF685" i="2"/>
  <c r="BG685" i="2" s="1"/>
  <c r="BF681" i="2"/>
  <c r="BF677" i="2"/>
  <c r="BF699" i="2" s="1"/>
  <c r="BG699" i="2" s="1"/>
  <c r="AS688" i="2"/>
  <c r="AU688" i="2" s="1"/>
  <c r="AS684" i="2"/>
  <c r="AU684" i="2" s="1"/>
  <c r="AS680" i="2"/>
  <c r="AU680" i="2" s="1"/>
  <c r="AS676" i="2"/>
  <c r="AU676" i="2" s="1"/>
  <c r="BK689" i="2"/>
  <c r="BK685" i="2"/>
  <c r="BI689" i="2"/>
  <c r="BI681" i="2"/>
  <c r="BG689" i="2"/>
  <c r="BG681" i="2"/>
  <c r="AP689" i="2"/>
  <c r="AP685" i="2"/>
  <c r="AP681" i="2"/>
  <c r="AP677" i="2"/>
  <c r="AN689" i="2"/>
  <c r="AN685" i="2"/>
  <c r="AN681" i="2"/>
  <c r="AN677" i="2"/>
  <c r="AL689" i="2"/>
  <c r="AL685" i="2"/>
  <c r="AL681" i="2"/>
  <c r="AL677" i="2"/>
  <c r="AJ689" i="2"/>
  <c r="AJ685" i="2"/>
  <c r="AJ681" i="2"/>
  <c r="AJ677" i="2"/>
  <c r="AH689" i="2"/>
  <c r="AH685" i="2"/>
  <c r="AH681" i="2"/>
  <c r="AH677" i="2"/>
  <c r="AF689" i="2"/>
  <c r="AF685" i="2"/>
  <c r="AF681" i="2"/>
  <c r="AF677" i="2"/>
  <c r="AD689" i="2"/>
  <c r="AD685" i="2"/>
  <c r="AD681" i="2"/>
  <c r="AD677" i="2"/>
  <c r="AB689" i="2"/>
  <c r="AB685" i="2"/>
  <c r="AB681" i="2"/>
  <c r="AB677" i="2"/>
  <c r="Z689" i="2"/>
  <c r="Z685" i="2"/>
  <c r="Z681" i="2"/>
  <c r="Z677" i="2"/>
  <c r="X689" i="2"/>
  <c r="X685" i="2"/>
  <c r="X681" i="2"/>
  <c r="X677" i="2"/>
  <c r="V689" i="2"/>
  <c r="V685" i="2"/>
  <c r="V681" i="2"/>
  <c r="V677" i="2"/>
  <c r="T689" i="2"/>
  <c r="T685" i="2"/>
  <c r="T681" i="2"/>
  <c r="T677" i="2"/>
  <c r="R689" i="2"/>
  <c r="R685" i="2"/>
  <c r="R681" i="2"/>
  <c r="R677" i="2"/>
  <c r="P689" i="2"/>
  <c r="P685" i="2"/>
  <c r="P681" i="2"/>
  <c r="P677" i="2"/>
  <c r="BA656" i="2"/>
  <c r="BA655" i="2"/>
  <c r="BA653" i="2"/>
  <c r="BA651" i="2"/>
  <c r="BA650" i="2"/>
  <c r="BA649" i="2"/>
  <c r="BA648" i="2"/>
  <c r="BA638" i="2"/>
  <c r="BA634" i="2"/>
  <c r="BA633" i="2"/>
  <c r="BA632" i="2"/>
  <c r="AX631" i="2"/>
  <c r="AX626" i="2"/>
  <c r="AX625" i="2"/>
  <c r="AX624" i="2"/>
  <c r="AX623" i="2"/>
  <c r="AX622" i="2"/>
  <c r="AX621" i="2"/>
  <c r="AX620" i="2"/>
  <c r="AV631" i="2"/>
  <c r="AV626" i="2"/>
  <c r="AV625" i="2"/>
  <c r="AV624" i="2"/>
  <c r="AV623" i="2"/>
  <c r="AV622" i="2"/>
  <c r="AV621" i="2"/>
  <c r="AV620" i="2"/>
  <c r="AT631" i="2"/>
  <c r="AT626" i="2"/>
  <c r="AT625" i="2"/>
  <c r="AT624" i="2"/>
  <c r="AT623" i="2"/>
  <c r="AT622" i="2"/>
  <c r="AT621" i="2"/>
  <c r="AT620" i="2"/>
  <c r="AR631" i="2"/>
  <c r="AR626" i="2"/>
  <c r="AR625" i="2"/>
  <c r="AR624" i="2"/>
  <c r="AR623" i="2"/>
  <c r="AR622" i="2"/>
  <c r="AR621" i="2"/>
  <c r="AR620" i="2"/>
  <c r="AP631" i="2"/>
  <c r="AP626" i="2"/>
  <c r="AP625" i="2"/>
  <c r="AP624" i="2"/>
  <c r="AP623" i="2"/>
  <c r="AP622" i="2"/>
  <c r="AP621" i="2"/>
  <c r="AP620" i="2"/>
  <c r="AN631" i="2"/>
  <c r="AN626" i="2"/>
  <c r="AN625" i="2"/>
  <c r="AN624" i="2"/>
  <c r="AN623" i="2"/>
  <c r="AN622" i="2"/>
  <c r="AN621" i="2"/>
  <c r="AN620" i="2"/>
  <c r="AL631" i="2"/>
  <c r="AL626" i="2"/>
  <c r="AL625" i="2"/>
  <c r="AL624" i="2"/>
  <c r="AL623" i="2"/>
  <c r="AL622" i="2"/>
  <c r="AL621" i="2"/>
  <c r="AL620" i="2"/>
  <c r="AJ631" i="2"/>
  <c r="AJ626" i="2"/>
  <c r="AJ625" i="2"/>
  <c r="AJ624" i="2"/>
  <c r="AJ623" i="2"/>
  <c r="AJ622" i="2"/>
  <c r="AJ621" i="2"/>
  <c r="AJ620" i="2"/>
  <c r="AH631" i="2"/>
  <c r="AH626" i="2"/>
  <c r="AH625" i="2"/>
  <c r="AH624" i="2"/>
  <c r="AH623" i="2"/>
  <c r="AH622" i="2"/>
  <c r="AH621" i="2"/>
  <c r="AH620" i="2"/>
  <c r="L631" i="2"/>
  <c r="L626" i="2"/>
  <c r="L625" i="2"/>
  <c r="L624" i="2"/>
  <c r="L623" i="2"/>
  <c r="L622" i="2"/>
  <c r="L621" i="2"/>
  <c r="L620" i="2"/>
  <c r="D631" i="2"/>
  <c r="B628" i="2"/>
  <c r="B649" i="2" s="1"/>
  <c r="B627" i="2"/>
  <c r="BA630" i="2"/>
  <c r="BA629" i="2"/>
  <c r="BA628" i="2"/>
  <c r="BA627" i="2"/>
  <c r="BA617" i="2"/>
  <c r="B617" i="2"/>
  <c r="B638" i="2" s="1"/>
  <c r="B659" i="2" s="1"/>
  <c r="BA613" i="2"/>
  <c r="BA612" i="2"/>
  <c r="BA611" i="2"/>
  <c r="L610" i="2"/>
  <c r="L605" i="2"/>
  <c r="L604" i="2"/>
  <c r="L603" i="2"/>
  <c r="L602" i="2"/>
  <c r="L601" i="2"/>
  <c r="L600" i="2"/>
  <c r="L599" i="2"/>
  <c r="BV610" i="2"/>
  <c r="BA609" i="2"/>
  <c r="BA608" i="2"/>
  <c r="BA607" i="2"/>
  <c r="BA606" i="2"/>
  <c r="BA596" i="2"/>
  <c r="BA587" i="2"/>
  <c r="BA584" i="2"/>
  <c r="BA588" i="2" s="1"/>
  <c r="AO585" i="2"/>
  <c r="AP585" i="2" s="1"/>
  <c r="AN585" i="2"/>
  <c r="AM585" i="2"/>
  <c r="AK585" i="2"/>
  <c r="AI585" i="2"/>
  <c r="AJ585" i="2" s="1"/>
  <c r="AG585" i="2"/>
  <c r="AF585" i="2"/>
  <c r="AE585" i="2"/>
  <c r="AC585" i="2"/>
  <c r="AD585" i="2" s="1"/>
  <c r="AA585" i="2"/>
  <c r="AB585" i="2" s="1"/>
  <c r="Y585" i="2"/>
  <c r="Z585" i="2" s="1"/>
  <c r="X585" i="2"/>
  <c r="W585" i="2"/>
  <c r="U585" i="2"/>
  <c r="S585" i="2"/>
  <c r="T585" i="2" s="1"/>
  <c r="Q585" i="2"/>
  <c r="P585" i="2"/>
  <c r="O585" i="2"/>
  <c r="M585" i="2"/>
  <c r="N585" i="2" s="1"/>
  <c r="K585" i="2"/>
  <c r="L585" i="2" s="1"/>
  <c r="I585" i="2"/>
  <c r="J585" i="2" s="1"/>
  <c r="H585" i="2"/>
  <c r="G585" i="2"/>
  <c r="E585" i="2"/>
  <c r="F585" i="2" s="1"/>
  <c r="C585" i="2"/>
  <c r="D585" i="2" s="1"/>
  <c r="BA582" i="2"/>
  <c r="BA581" i="2"/>
  <c r="BA580" i="2"/>
  <c r="BA579" i="2"/>
  <c r="BA578" i="2"/>
  <c r="BA575" i="2"/>
  <c r="BA574" i="2"/>
  <c r="BA573" i="2"/>
  <c r="BA568" i="2"/>
  <c r="BT567" i="2"/>
  <c r="BR567" i="2"/>
  <c r="BP567" i="2"/>
  <c r="BN567" i="2"/>
  <c r="BA567" i="2"/>
  <c r="AW567" i="2"/>
  <c r="AU567" i="2"/>
  <c r="AS567" i="2"/>
  <c r="AQ567" i="2"/>
  <c r="BU566" i="2"/>
  <c r="BS566" i="2"/>
  <c r="BQ566" i="2"/>
  <c r="BL566" i="2"/>
  <c r="BJ566" i="2"/>
  <c r="BV566" i="2" s="1"/>
  <c r="BH566" i="2"/>
  <c r="BD566" i="2"/>
  <c r="BA566" i="2"/>
  <c r="AX566" i="2"/>
  <c r="AV566" i="2"/>
  <c r="AT566" i="2"/>
  <c r="AR566" i="2"/>
  <c r="AP566" i="2"/>
  <c r="AN566" i="2"/>
  <c r="AL566" i="2"/>
  <c r="AJ566" i="2"/>
  <c r="AH566" i="2"/>
  <c r="AF566" i="2"/>
  <c r="AB566" i="2"/>
  <c r="Z566" i="2"/>
  <c r="X566" i="2"/>
  <c r="U566" i="2"/>
  <c r="BF566" i="2" s="1"/>
  <c r="T566" i="2"/>
  <c r="Q566" i="2"/>
  <c r="P566" i="2"/>
  <c r="N566" i="2"/>
  <c r="L566" i="2"/>
  <c r="I566" i="2"/>
  <c r="BB566" i="2" s="1"/>
  <c r="H566" i="2"/>
  <c r="F566" i="2"/>
  <c r="D566" i="2"/>
  <c r="X560" i="2"/>
  <c r="X558" i="2"/>
  <c r="V563" i="2"/>
  <c r="U563" i="2"/>
  <c r="S563" i="2"/>
  <c r="T563" i="2" s="1"/>
  <c r="R563" i="2"/>
  <c r="Q563" i="2"/>
  <c r="O563" i="2"/>
  <c r="N563" i="2"/>
  <c r="M563" i="2"/>
  <c r="K563" i="2"/>
  <c r="J563" i="2"/>
  <c r="I563" i="2"/>
  <c r="G563" i="2"/>
  <c r="H563" i="2" s="1"/>
  <c r="F563" i="2"/>
  <c r="E563" i="2"/>
  <c r="C563" i="2"/>
  <c r="D563" i="2" s="1"/>
  <c r="V560" i="2"/>
  <c r="V558" i="2"/>
  <c r="T560" i="2"/>
  <c r="T558" i="2"/>
  <c r="R560" i="2"/>
  <c r="R558" i="2"/>
  <c r="P560" i="2"/>
  <c r="P558" i="2"/>
  <c r="N560" i="2"/>
  <c r="N558" i="2"/>
  <c r="L560" i="2"/>
  <c r="L558" i="2"/>
  <c r="J560" i="2"/>
  <c r="J558" i="2"/>
  <c r="H560" i="2"/>
  <c r="H558" i="2"/>
  <c r="F560" i="2"/>
  <c r="F558" i="2"/>
  <c r="D560" i="2"/>
  <c r="D558" i="2"/>
  <c r="AN558" i="2"/>
  <c r="AL558" i="2"/>
  <c r="AJ558" i="2"/>
  <c r="AH558" i="2"/>
  <c r="AF558" i="2"/>
  <c r="AD558" i="2"/>
  <c r="AB558" i="2"/>
  <c r="Z558" i="2"/>
  <c r="BJ558" i="2"/>
  <c r="BH558" i="2"/>
  <c r="BF558" i="2"/>
  <c r="BG558" i="2" s="1"/>
  <c r="BD558" i="2"/>
  <c r="BB558" i="2"/>
  <c r="BC558" i="2" s="1"/>
  <c r="BA557" i="2"/>
  <c r="AP558" i="2"/>
  <c r="AK555" i="2"/>
  <c r="AE555" i="2"/>
  <c r="U555" i="2"/>
  <c r="Q555" i="2"/>
  <c r="E555" i="2"/>
  <c r="C555" i="2"/>
  <c r="BA555" i="2"/>
  <c r="BA554" i="2"/>
  <c r="AQ554" i="2"/>
  <c r="AO554" i="2"/>
  <c r="AO555" i="2" s="1"/>
  <c r="AM554" i="2"/>
  <c r="AL554" i="2"/>
  <c r="AK554" i="2"/>
  <c r="AI554" i="2"/>
  <c r="AI555" i="2" s="1"/>
  <c r="AG554" i="2"/>
  <c r="AE554" i="2"/>
  <c r="AC554" i="2"/>
  <c r="AA554" i="2"/>
  <c r="BH554" i="2" s="1"/>
  <c r="Y554" i="2"/>
  <c r="Y555" i="2" s="1"/>
  <c r="W554" i="2"/>
  <c r="U554" i="2"/>
  <c r="V554" i="2" s="1"/>
  <c r="S554" i="2"/>
  <c r="S555" i="2" s="1"/>
  <c r="Q554" i="2"/>
  <c r="R554" i="2" s="1"/>
  <c r="O554" i="2"/>
  <c r="M554" i="2"/>
  <c r="N554" i="2" s="1"/>
  <c r="K554" i="2"/>
  <c r="I554" i="2"/>
  <c r="I555" i="2" s="1"/>
  <c r="G554" i="2"/>
  <c r="E554" i="2"/>
  <c r="F554" i="2" s="1"/>
  <c r="D554" i="2"/>
  <c r="AQ553" i="2"/>
  <c r="AR553" i="2" s="1"/>
  <c r="AP553" i="2"/>
  <c r="AN553" i="2"/>
  <c r="AN552" i="2"/>
  <c r="AN551" i="2"/>
  <c r="AL553" i="2"/>
  <c r="AL552" i="2"/>
  <c r="AL551" i="2"/>
  <c r="AJ553" i="2"/>
  <c r="AJ552" i="2"/>
  <c r="AJ551" i="2"/>
  <c r="AH553" i="2"/>
  <c r="AH552" i="2"/>
  <c r="AH551" i="2"/>
  <c r="AF553" i="2"/>
  <c r="AF552" i="2"/>
  <c r="AF551" i="2"/>
  <c r="AD553" i="2"/>
  <c r="AD552" i="2"/>
  <c r="AD551" i="2"/>
  <c r="AB553" i="2"/>
  <c r="AB552" i="2"/>
  <c r="AB551" i="2"/>
  <c r="Z553" i="2"/>
  <c r="Z552" i="2"/>
  <c r="Z551" i="2"/>
  <c r="X553" i="2"/>
  <c r="X552" i="2"/>
  <c r="X551" i="2"/>
  <c r="V553" i="2"/>
  <c r="V552" i="2"/>
  <c r="V551" i="2"/>
  <c r="T553" i="2"/>
  <c r="T552" i="2"/>
  <c r="T551" i="2"/>
  <c r="R553" i="2"/>
  <c r="R552" i="2"/>
  <c r="R551" i="2"/>
  <c r="P553" i="2"/>
  <c r="P552" i="2"/>
  <c r="P551" i="2"/>
  <c r="N553" i="2"/>
  <c r="N552" i="2"/>
  <c r="N551" i="2"/>
  <c r="L553" i="2"/>
  <c r="L552" i="2"/>
  <c r="L551" i="2"/>
  <c r="J553" i="2"/>
  <c r="J552" i="2"/>
  <c r="J551" i="2"/>
  <c r="H553" i="2"/>
  <c r="H552" i="2"/>
  <c r="H551" i="2"/>
  <c r="F553" i="2"/>
  <c r="F552" i="2"/>
  <c r="F551" i="2"/>
  <c r="D553" i="2"/>
  <c r="D552" i="2"/>
  <c r="D551" i="2"/>
  <c r="BA552" i="2"/>
  <c r="BA551" i="2"/>
  <c r="AP552" i="2"/>
  <c r="AP551" i="2"/>
  <c r="BJ553" i="2"/>
  <c r="BK553" i="2" s="1"/>
  <c r="BH553" i="2"/>
  <c r="BF553" i="2"/>
  <c r="BD553" i="2"/>
  <c r="BB553" i="2"/>
  <c r="BC553" i="2" s="1"/>
  <c r="BJ552" i="2"/>
  <c r="BH552" i="2"/>
  <c r="BI552" i="2" s="1"/>
  <c r="BF552" i="2"/>
  <c r="BD552" i="2"/>
  <c r="BE552" i="2" s="1"/>
  <c r="BB552" i="2"/>
  <c r="BJ551" i="2"/>
  <c r="BH551" i="2"/>
  <c r="BF551" i="2"/>
  <c r="BD551" i="2"/>
  <c r="BB551" i="2"/>
  <c r="AS552" i="2"/>
  <c r="AU552" i="2" s="1"/>
  <c r="AR552" i="2"/>
  <c r="AQ551" i="2"/>
  <c r="AS551" i="2" s="1"/>
  <c r="AO548" i="2"/>
  <c r="AO612" i="2" s="1"/>
  <c r="AM548" i="2"/>
  <c r="AM612" i="2" s="1"/>
  <c r="AL548" i="2"/>
  <c r="AK548" i="2"/>
  <c r="AI548" i="2"/>
  <c r="AI612" i="2" s="1"/>
  <c r="AG548" i="2"/>
  <c r="AG612" i="2" s="1"/>
  <c r="AE548" i="2"/>
  <c r="AE612" i="2" s="1"/>
  <c r="AC548" i="2"/>
  <c r="AD548" i="2" s="1"/>
  <c r="AA548" i="2"/>
  <c r="AA612" i="2" s="1"/>
  <c r="Y548" i="2"/>
  <c r="Y612" i="2" s="1"/>
  <c r="W548" i="2"/>
  <c r="W612" i="2" s="1"/>
  <c r="V548" i="2"/>
  <c r="U548" i="2"/>
  <c r="S548" i="2"/>
  <c r="S612" i="2" s="1"/>
  <c r="Q548" i="2"/>
  <c r="Q612" i="2" s="1"/>
  <c r="O548" i="2"/>
  <c r="O612" i="2" s="1"/>
  <c r="M548" i="2"/>
  <c r="N548" i="2" s="1"/>
  <c r="K548" i="2"/>
  <c r="K612" i="2" s="1"/>
  <c r="I548" i="2"/>
  <c r="I612" i="2" s="1"/>
  <c r="J612" i="2" s="1"/>
  <c r="G548" i="2"/>
  <c r="G612" i="2" s="1"/>
  <c r="H612" i="2" s="1"/>
  <c r="F548" i="2"/>
  <c r="E548" i="2"/>
  <c r="C548" i="2"/>
  <c r="C612" i="2" s="1"/>
  <c r="D612" i="2" s="1"/>
  <c r="AN547" i="2"/>
  <c r="AN546" i="2"/>
  <c r="AL547" i="2"/>
  <c r="AL546" i="2"/>
  <c r="AJ547" i="2"/>
  <c r="AJ546" i="2"/>
  <c r="AH547" i="2"/>
  <c r="AH546" i="2"/>
  <c r="AF547" i="2"/>
  <c r="AF546" i="2"/>
  <c r="AD547" i="2"/>
  <c r="AD546" i="2"/>
  <c r="AB547" i="2"/>
  <c r="AB546" i="2"/>
  <c r="Z547" i="2"/>
  <c r="Z546" i="2"/>
  <c r="X547" i="2"/>
  <c r="X546" i="2"/>
  <c r="V547" i="2"/>
  <c r="V546" i="2"/>
  <c r="T547" i="2"/>
  <c r="T546" i="2"/>
  <c r="R547" i="2"/>
  <c r="R546" i="2"/>
  <c r="P547" i="2"/>
  <c r="P546" i="2"/>
  <c r="N547" i="2"/>
  <c r="N546" i="2"/>
  <c r="L547" i="2"/>
  <c r="L546" i="2"/>
  <c r="J547" i="2"/>
  <c r="J546" i="2"/>
  <c r="H547" i="2"/>
  <c r="H546" i="2"/>
  <c r="F547" i="2"/>
  <c r="F546" i="2"/>
  <c r="D547" i="2"/>
  <c r="D546" i="2"/>
  <c r="BA548" i="2"/>
  <c r="BJ547" i="2"/>
  <c r="BH547" i="2"/>
  <c r="BF547" i="2"/>
  <c r="BG547" i="2" s="1"/>
  <c r="BD547" i="2"/>
  <c r="BB547" i="2"/>
  <c r="BC547" i="2" s="1"/>
  <c r="BA547" i="2"/>
  <c r="BJ546" i="2"/>
  <c r="BJ548" i="2" s="1"/>
  <c r="BH546" i="2"/>
  <c r="BF546" i="2"/>
  <c r="BD546" i="2"/>
  <c r="BG546" i="2" s="1"/>
  <c r="BC546" i="2"/>
  <c r="BB546" i="2"/>
  <c r="BA546" i="2"/>
  <c r="AQ547" i="2"/>
  <c r="AS547" i="2" s="1"/>
  <c r="AP547" i="2"/>
  <c r="AQ546" i="2"/>
  <c r="AP546" i="2"/>
  <c r="BD539" i="2"/>
  <c r="BE539" i="2" s="1"/>
  <c r="BB539" i="2"/>
  <c r="BC539" i="2" s="1"/>
  <c r="BA539" i="2"/>
  <c r="BA538" i="2"/>
  <c r="V539" i="2"/>
  <c r="T539" i="2"/>
  <c r="AX535" i="2"/>
  <c r="AV535" i="2"/>
  <c r="AT535" i="2"/>
  <c r="AR535" i="2"/>
  <c r="AP535" i="2"/>
  <c r="AN535" i="2"/>
  <c r="AL535" i="2"/>
  <c r="AJ535" i="2"/>
  <c r="AH535" i="2"/>
  <c r="AF535" i="2"/>
  <c r="AD535" i="2"/>
  <c r="AB535" i="2"/>
  <c r="Z535" i="2"/>
  <c r="BA536" i="2"/>
  <c r="BN535" i="2"/>
  <c r="BA535" i="2"/>
  <c r="BT534" i="2"/>
  <c r="BR534" i="2"/>
  <c r="BR535" i="2" s="1"/>
  <c r="BP534" i="2"/>
  <c r="BQ534" i="2" s="1"/>
  <c r="BN534" i="2"/>
  <c r="BA534" i="2"/>
  <c r="AW534" i="2"/>
  <c r="AU534" i="2"/>
  <c r="AS534" i="2"/>
  <c r="AQ534" i="2"/>
  <c r="AO534" i="2"/>
  <c r="AP534" i="2" s="1"/>
  <c r="AM534" i="2"/>
  <c r="AN534" i="2" s="1"/>
  <c r="AG534" i="2"/>
  <c r="AE534" i="2"/>
  <c r="AC534" i="2"/>
  <c r="AD534" i="2" s="1"/>
  <c r="AA534" i="2"/>
  <c r="Y534" i="2"/>
  <c r="U534" i="2"/>
  <c r="Q534" i="2"/>
  <c r="M534" i="2"/>
  <c r="N534" i="2" s="1"/>
  <c r="K534" i="2"/>
  <c r="L534" i="2" s="1"/>
  <c r="G534" i="2"/>
  <c r="H534" i="2" s="1"/>
  <c r="E534" i="2"/>
  <c r="F534" i="2" s="1"/>
  <c r="C534" i="2"/>
  <c r="D534" i="2" s="1"/>
  <c r="BU532" i="2"/>
  <c r="BU531" i="2"/>
  <c r="BS532" i="2"/>
  <c r="BS531" i="2"/>
  <c r="BQ532" i="2"/>
  <c r="BQ531" i="2"/>
  <c r="BO532" i="2"/>
  <c r="BO531" i="2"/>
  <c r="BM532" i="2"/>
  <c r="BM531" i="2"/>
  <c r="BK532" i="2"/>
  <c r="BK531" i="2"/>
  <c r="BI532" i="2"/>
  <c r="BI531" i="2"/>
  <c r="BG532" i="2"/>
  <c r="BG531" i="2"/>
  <c r="BE532" i="2"/>
  <c r="BE531" i="2"/>
  <c r="BC532" i="2"/>
  <c r="BC531" i="2"/>
  <c r="BA532" i="2"/>
  <c r="BA531" i="2"/>
  <c r="BA530" i="2"/>
  <c r="BA529" i="2"/>
  <c r="AX532" i="2"/>
  <c r="AX531" i="2"/>
  <c r="AX530" i="2"/>
  <c r="AV532" i="2"/>
  <c r="AV531" i="2"/>
  <c r="AV530" i="2"/>
  <c r="AT532" i="2"/>
  <c r="AT531" i="2"/>
  <c r="AT530" i="2"/>
  <c r="AR532" i="2"/>
  <c r="AR531" i="2"/>
  <c r="AR530" i="2"/>
  <c r="AP532" i="2"/>
  <c r="AP531" i="2"/>
  <c r="AP530" i="2"/>
  <c r="AN532" i="2"/>
  <c r="AN531" i="2"/>
  <c r="AN530" i="2"/>
  <c r="AL532" i="2"/>
  <c r="AL531" i="2"/>
  <c r="AL530" i="2"/>
  <c r="AJ532" i="2"/>
  <c r="AJ531" i="2"/>
  <c r="AJ530" i="2"/>
  <c r="AH532" i="2"/>
  <c r="AH531" i="2"/>
  <c r="AH530" i="2"/>
  <c r="AF532" i="2"/>
  <c r="AF531" i="2"/>
  <c r="AF530" i="2"/>
  <c r="AD532" i="2"/>
  <c r="AD531" i="2"/>
  <c r="AD530" i="2"/>
  <c r="AB532" i="2"/>
  <c r="AB531" i="2"/>
  <c r="AB530" i="2"/>
  <c r="Z532" i="2"/>
  <c r="Z531" i="2"/>
  <c r="Z530" i="2"/>
  <c r="V530" i="2"/>
  <c r="O530" i="2"/>
  <c r="P530" i="2" s="1"/>
  <c r="N530" i="2"/>
  <c r="M530" i="2"/>
  <c r="K530" i="2"/>
  <c r="T530" i="2" s="1"/>
  <c r="I530" i="2"/>
  <c r="I539" i="2" s="1"/>
  <c r="G530" i="2"/>
  <c r="H530" i="2" s="1"/>
  <c r="E530" i="2"/>
  <c r="F530" i="2" s="1"/>
  <c r="C530" i="2"/>
  <c r="D530" i="2" s="1"/>
  <c r="BA527" i="2"/>
  <c r="BA526" i="2"/>
  <c r="BA525" i="2"/>
  <c r="BA524" i="2"/>
  <c r="BA523" i="2"/>
  <c r="AO524" i="2"/>
  <c r="AM524" i="2"/>
  <c r="AN524" i="2" s="1"/>
  <c r="AK524" i="2"/>
  <c r="AJ524" i="2"/>
  <c r="AI524" i="2"/>
  <c r="AG524" i="2"/>
  <c r="AE524" i="2"/>
  <c r="AF524" i="2" s="1"/>
  <c r="AC524" i="2"/>
  <c r="AA524" i="2"/>
  <c r="AB524" i="2" s="1"/>
  <c r="Y524" i="2"/>
  <c r="W524" i="2"/>
  <c r="X524" i="2" s="1"/>
  <c r="U524" i="2"/>
  <c r="T524" i="2"/>
  <c r="S524" i="2"/>
  <c r="Q524" i="2"/>
  <c r="O524" i="2"/>
  <c r="P524" i="2" s="1"/>
  <c r="M524" i="2"/>
  <c r="K524" i="2"/>
  <c r="L524" i="2" s="1"/>
  <c r="I524" i="2"/>
  <c r="G524" i="2"/>
  <c r="H524" i="2" s="1"/>
  <c r="E524" i="2"/>
  <c r="D524" i="2"/>
  <c r="C524" i="2"/>
  <c r="BA520" i="2"/>
  <c r="BA519" i="2"/>
  <c r="BA518" i="2"/>
  <c r="AP519" i="2"/>
  <c r="AO519" i="2"/>
  <c r="AM519" i="2"/>
  <c r="AK519" i="2"/>
  <c r="AL519" i="2" s="1"/>
  <c r="AI519" i="2"/>
  <c r="BJ519" i="2" s="1"/>
  <c r="AG519" i="2"/>
  <c r="AH519" i="2" s="1"/>
  <c r="AE519" i="2"/>
  <c r="AC519" i="2"/>
  <c r="AD519" i="2" s="1"/>
  <c r="AA519" i="2"/>
  <c r="Z519" i="2"/>
  <c r="Y519" i="2"/>
  <c r="W519" i="2"/>
  <c r="U519" i="2"/>
  <c r="V519" i="2" s="1"/>
  <c r="S519" i="2"/>
  <c r="Q519" i="2"/>
  <c r="R519" i="2" s="1"/>
  <c r="O519" i="2"/>
  <c r="M519" i="2"/>
  <c r="N519" i="2" s="1"/>
  <c r="K519" i="2"/>
  <c r="J519" i="2"/>
  <c r="I519" i="2"/>
  <c r="G519" i="2"/>
  <c r="E519" i="2"/>
  <c r="F519" i="2" s="1"/>
  <c r="C519" i="2"/>
  <c r="BB519" i="2" s="1"/>
  <c r="BC519" i="2" s="1"/>
  <c r="AX513" i="2"/>
  <c r="AX512" i="2"/>
  <c r="AV513" i="2"/>
  <c r="AV512" i="2"/>
  <c r="AT513" i="2"/>
  <c r="AT512" i="2"/>
  <c r="AT511" i="2"/>
  <c r="AR513" i="2"/>
  <c r="AR512" i="2"/>
  <c r="AP513" i="2"/>
  <c r="AP512" i="2"/>
  <c r="AN513" i="2"/>
  <c r="AN512" i="2"/>
  <c r="AL513" i="2"/>
  <c r="AL512" i="2"/>
  <c r="AJ513" i="2"/>
  <c r="AJ512" i="2"/>
  <c r="AH513" i="2"/>
  <c r="AH512" i="2"/>
  <c r="AF513" i="2"/>
  <c r="AF512" i="2"/>
  <c r="AF510" i="2"/>
  <c r="AD513" i="2"/>
  <c r="AD512" i="2"/>
  <c r="AD510" i="2"/>
  <c r="AB513" i="2"/>
  <c r="AB512" i="2"/>
  <c r="AB510" i="2"/>
  <c r="Z513" i="2"/>
  <c r="Z512" i="2"/>
  <c r="Z510" i="2"/>
  <c r="X513" i="2"/>
  <c r="X512" i="2"/>
  <c r="X510" i="2"/>
  <c r="V513" i="2"/>
  <c r="V512" i="2"/>
  <c r="V511" i="2"/>
  <c r="V510" i="2"/>
  <c r="T513" i="2"/>
  <c r="T512" i="2"/>
  <c r="T510" i="2"/>
  <c r="R513" i="2"/>
  <c r="R512" i="2"/>
  <c r="R510" i="2"/>
  <c r="P513" i="2"/>
  <c r="P512" i="2"/>
  <c r="P510" i="2"/>
  <c r="N513" i="2"/>
  <c r="N512" i="2"/>
  <c r="N510" i="2"/>
  <c r="L513" i="2"/>
  <c r="L512" i="2"/>
  <c r="L510" i="2"/>
  <c r="J513" i="2"/>
  <c r="J512" i="2"/>
  <c r="J510" i="2"/>
  <c r="H513" i="2"/>
  <c r="H512" i="2"/>
  <c r="F513" i="2"/>
  <c r="F512" i="2"/>
  <c r="D513" i="2"/>
  <c r="D512" i="2"/>
  <c r="AO511" i="2"/>
  <c r="AX511" i="2" s="1"/>
  <c r="AM511" i="2"/>
  <c r="AV511" i="2" s="1"/>
  <c r="AK511" i="2"/>
  <c r="AL511" i="2" s="1"/>
  <c r="AI511" i="2"/>
  <c r="AR511" i="2" s="1"/>
  <c r="AG511" i="2"/>
  <c r="AE511" i="2"/>
  <c r="AC511" i="2"/>
  <c r="AD511" i="2" s="1"/>
  <c r="AA511" i="2"/>
  <c r="Y511" i="2"/>
  <c r="W511" i="2"/>
  <c r="U511" i="2"/>
  <c r="S511" i="2"/>
  <c r="Q511" i="2"/>
  <c r="O511" i="2"/>
  <c r="M511" i="2"/>
  <c r="N511" i="2" s="1"/>
  <c r="K511" i="2"/>
  <c r="I511" i="2"/>
  <c r="J511" i="2" s="1"/>
  <c r="G511" i="2"/>
  <c r="H511" i="2" s="1"/>
  <c r="E511" i="2"/>
  <c r="F511" i="2" s="1"/>
  <c r="C511" i="2"/>
  <c r="D511" i="2" s="1"/>
  <c r="BE507" i="2"/>
  <c r="BC507" i="2"/>
  <c r="AF507" i="2"/>
  <c r="AD507" i="2"/>
  <c r="AB507" i="2"/>
  <c r="Z507" i="2"/>
  <c r="X507" i="2"/>
  <c r="V507" i="2"/>
  <c r="T507" i="2"/>
  <c r="R507" i="2"/>
  <c r="P507" i="2"/>
  <c r="BA503" i="2"/>
  <c r="BA500" i="2"/>
  <c r="BU499" i="2"/>
  <c r="BS499" i="2"/>
  <c r="BQ499" i="2"/>
  <c r="BL499" i="2"/>
  <c r="BO499" i="2" s="1"/>
  <c r="BH499" i="2"/>
  <c r="BD499" i="2"/>
  <c r="BB499" i="2"/>
  <c r="BC499" i="2" s="1"/>
  <c r="BA499" i="2"/>
  <c r="AX499" i="2"/>
  <c r="AV499" i="2"/>
  <c r="AP499" i="2"/>
  <c r="AN499" i="2"/>
  <c r="AK499" i="2"/>
  <c r="AT499" i="2" s="1"/>
  <c r="AJ499" i="2"/>
  <c r="AI499" i="2"/>
  <c r="AI534" i="2" s="1"/>
  <c r="AH499" i="2"/>
  <c r="AD499" i="2"/>
  <c r="AB499" i="2"/>
  <c r="Z499" i="2"/>
  <c r="W499" i="2"/>
  <c r="AF499" i="2" s="1"/>
  <c r="V499" i="2"/>
  <c r="S499" i="2"/>
  <c r="S534" i="2" s="1"/>
  <c r="R499" i="2"/>
  <c r="P499" i="2"/>
  <c r="N499" i="2"/>
  <c r="L499" i="2"/>
  <c r="J499" i="2"/>
  <c r="H499" i="2"/>
  <c r="F499" i="2"/>
  <c r="D499" i="2"/>
  <c r="BU495" i="2"/>
  <c r="BS495" i="2"/>
  <c r="BQ495" i="2"/>
  <c r="BO495" i="2"/>
  <c r="BM495" i="2"/>
  <c r="BK495" i="2"/>
  <c r="BI495" i="2"/>
  <c r="BG495" i="2"/>
  <c r="BE495" i="2"/>
  <c r="BC495" i="2"/>
  <c r="AF495" i="2"/>
  <c r="AD495" i="2"/>
  <c r="AB495" i="2"/>
  <c r="Z495" i="2"/>
  <c r="X495" i="2"/>
  <c r="V495" i="2"/>
  <c r="T495" i="2"/>
  <c r="R495" i="2"/>
  <c r="P495" i="2"/>
  <c r="N495" i="2"/>
  <c r="L495" i="2"/>
  <c r="J495" i="2"/>
  <c r="H495" i="2"/>
  <c r="F495" i="2"/>
  <c r="D495" i="2"/>
  <c r="BA494" i="2"/>
  <c r="AW489" i="2"/>
  <c r="AU489" i="2"/>
  <c r="AQ489" i="2"/>
  <c r="BA492" i="2"/>
  <c r="BA491" i="2"/>
  <c r="BA490" i="2"/>
  <c r="BA489" i="2"/>
  <c r="BA488" i="2"/>
  <c r="AP485" i="2"/>
  <c r="AO485" i="2"/>
  <c r="AM485" i="2"/>
  <c r="AN485" i="2" s="1"/>
  <c r="AL485" i="2"/>
  <c r="AK485" i="2"/>
  <c r="AI485" i="2"/>
  <c r="AJ485" i="2" s="1"/>
  <c r="AH485" i="2"/>
  <c r="AG485" i="2"/>
  <c r="AE485" i="2"/>
  <c r="AF485" i="2" s="1"/>
  <c r="AD485" i="2"/>
  <c r="AC485" i="2"/>
  <c r="AA485" i="2"/>
  <c r="AB485" i="2" s="1"/>
  <c r="Z485" i="2"/>
  <c r="Y485" i="2"/>
  <c r="W485" i="2"/>
  <c r="X485" i="2" s="1"/>
  <c r="V485" i="2"/>
  <c r="U485" i="2"/>
  <c r="S485" i="2"/>
  <c r="T485" i="2" s="1"/>
  <c r="R485" i="2"/>
  <c r="Q485" i="2"/>
  <c r="O485" i="2"/>
  <c r="P485" i="2" s="1"/>
  <c r="N485" i="2"/>
  <c r="M485" i="2"/>
  <c r="K485" i="2"/>
  <c r="L485" i="2" s="1"/>
  <c r="J485" i="2"/>
  <c r="I485" i="2"/>
  <c r="G485" i="2"/>
  <c r="H485" i="2" s="1"/>
  <c r="F485" i="2"/>
  <c r="E485" i="2"/>
  <c r="C485" i="2"/>
  <c r="D485" i="2" s="1"/>
  <c r="AP484" i="2"/>
  <c r="AO484" i="2"/>
  <c r="AM484" i="2"/>
  <c r="AN484" i="2" s="1"/>
  <c r="AL484" i="2"/>
  <c r="AK484" i="2"/>
  <c r="AI484" i="2"/>
  <c r="AJ484" i="2" s="1"/>
  <c r="AH484" i="2"/>
  <c r="AG484" i="2"/>
  <c r="AE484" i="2"/>
  <c r="AF484" i="2" s="1"/>
  <c r="AD484" i="2"/>
  <c r="AC484" i="2"/>
  <c r="AA484" i="2"/>
  <c r="AB484" i="2" s="1"/>
  <c r="Z484" i="2"/>
  <c r="Y484" i="2"/>
  <c r="W484" i="2"/>
  <c r="X484" i="2" s="1"/>
  <c r="V484" i="2"/>
  <c r="U484" i="2"/>
  <c r="S484" i="2"/>
  <c r="T484" i="2" s="1"/>
  <c r="R484" i="2"/>
  <c r="Q484" i="2"/>
  <c r="O484" i="2"/>
  <c r="P484" i="2" s="1"/>
  <c r="N484" i="2"/>
  <c r="M484" i="2"/>
  <c r="K484" i="2"/>
  <c r="L484" i="2" s="1"/>
  <c r="J484" i="2"/>
  <c r="I484" i="2"/>
  <c r="G484" i="2"/>
  <c r="H484" i="2" s="1"/>
  <c r="F484" i="2"/>
  <c r="E484" i="2"/>
  <c r="C484" i="2"/>
  <c r="D484" i="2" s="1"/>
  <c r="AN483" i="2"/>
  <c r="AN482" i="2"/>
  <c r="AL483" i="2"/>
  <c r="AL482" i="2"/>
  <c r="AJ483" i="2"/>
  <c r="AJ482" i="2"/>
  <c r="AH483" i="2"/>
  <c r="AH482" i="2"/>
  <c r="AF483" i="2"/>
  <c r="AF482" i="2"/>
  <c r="AD483" i="2"/>
  <c r="AD482" i="2"/>
  <c r="AB483" i="2"/>
  <c r="AB482" i="2"/>
  <c r="Z483" i="2"/>
  <c r="Z482" i="2"/>
  <c r="X483" i="2"/>
  <c r="X482" i="2"/>
  <c r="V483" i="2"/>
  <c r="V482" i="2"/>
  <c r="T483" i="2"/>
  <c r="T482" i="2"/>
  <c r="R483" i="2"/>
  <c r="R482" i="2"/>
  <c r="P483" i="2"/>
  <c r="P482" i="2"/>
  <c r="N483" i="2"/>
  <c r="N482" i="2"/>
  <c r="L483" i="2"/>
  <c r="L482" i="2"/>
  <c r="J483" i="2"/>
  <c r="J482" i="2"/>
  <c r="H483" i="2"/>
  <c r="H482" i="2"/>
  <c r="F483" i="2"/>
  <c r="F482" i="2"/>
  <c r="D483" i="2"/>
  <c r="D482" i="2"/>
  <c r="BA486" i="2"/>
  <c r="BJ485" i="2"/>
  <c r="BK485" i="2" s="1"/>
  <c r="BH485" i="2"/>
  <c r="BF485" i="2"/>
  <c r="BD485" i="2"/>
  <c r="BB485" i="2"/>
  <c r="BC485" i="2" s="1"/>
  <c r="BA485" i="2"/>
  <c r="BJ484" i="2"/>
  <c r="BH484" i="2"/>
  <c r="BD484" i="2"/>
  <c r="BA484" i="2"/>
  <c r="BJ483" i="2"/>
  <c r="BH483" i="2"/>
  <c r="BF483" i="2"/>
  <c r="BG483" i="2" s="1"/>
  <c r="BD483" i="2"/>
  <c r="BB483" i="2"/>
  <c r="BC483" i="2" s="1"/>
  <c r="BA483" i="2"/>
  <c r="BJ482" i="2"/>
  <c r="BJ486" i="2" s="1"/>
  <c r="BH482" i="2"/>
  <c r="BF482" i="2"/>
  <c r="BD482" i="2"/>
  <c r="BC482" i="2"/>
  <c r="BB482" i="2"/>
  <c r="BA482" i="2"/>
  <c r="AP483" i="2"/>
  <c r="AP482" i="2"/>
  <c r="AN478" i="2"/>
  <c r="AL478" i="2"/>
  <c r="AL477" i="2"/>
  <c r="AJ478" i="2"/>
  <c r="AH478" i="2"/>
  <c r="AF478" i="2"/>
  <c r="AD478" i="2"/>
  <c r="AD477" i="2"/>
  <c r="AB478" i="2"/>
  <c r="Z478" i="2"/>
  <c r="X478" i="2"/>
  <c r="V478" i="2"/>
  <c r="V477" i="2"/>
  <c r="T478" i="2"/>
  <c r="R478" i="2"/>
  <c r="P478" i="2"/>
  <c r="N478" i="2"/>
  <c r="N477" i="2"/>
  <c r="L478" i="2"/>
  <c r="J478" i="2"/>
  <c r="H478" i="2"/>
  <c r="F478" i="2"/>
  <c r="F477" i="2"/>
  <c r="D478" i="2"/>
  <c r="BA479" i="2"/>
  <c r="BJ478" i="2"/>
  <c r="BH478" i="2"/>
  <c r="BF478" i="2"/>
  <c r="BD478" i="2"/>
  <c r="BC478" i="2"/>
  <c r="BB478" i="2"/>
  <c r="BA478" i="2"/>
  <c r="BA477" i="2"/>
  <c r="AW478" i="2"/>
  <c r="AX478" i="2" s="1"/>
  <c r="AV478" i="2"/>
  <c r="AU478" i="2"/>
  <c r="AS478" i="2"/>
  <c r="AT478" i="2" s="1"/>
  <c r="AR478" i="2"/>
  <c r="AQ478" i="2"/>
  <c r="BL478" i="2" s="1"/>
  <c r="AP478" i="2"/>
  <c r="AS477" i="2"/>
  <c r="AO477" i="2"/>
  <c r="AW477" i="2" s="1"/>
  <c r="AM477" i="2"/>
  <c r="AU477" i="2" s="1"/>
  <c r="AK477" i="2"/>
  <c r="AK479" i="2" s="1"/>
  <c r="AI477" i="2"/>
  <c r="AQ477" i="2" s="1"/>
  <c r="AG477" i="2"/>
  <c r="AE477" i="2"/>
  <c r="AE488" i="2" s="1"/>
  <c r="AC477" i="2"/>
  <c r="AC479" i="2" s="1"/>
  <c r="AA477" i="2"/>
  <c r="Y477" i="2"/>
  <c r="W477" i="2"/>
  <c r="W488" i="2" s="1"/>
  <c r="U477" i="2"/>
  <c r="U479" i="2" s="1"/>
  <c r="S477" i="2"/>
  <c r="S488" i="2" s="1"/>
  <c r="Q477" i="2"/>
  <c r="O477" i="2"/>
  <c r="O488" i="2" s="1"/>
  <c r="M477" i="2"/>
  <c r="M479" i="2" s="1"/>
  <c r="K477" i="2"/>
  <c r="I477" i="2"/>
  <c r="BB477" i="2" s="1"/>
  <c r="G477" i="2"/>
  <c r="G488" i="2" s="1"/>
  <c r="E477" i="2"/>
  <c r="E479" i="2" s="1"/>
  <c r="C477" i="2"/>
  <c r="C488" i="2" s="1"/>
  <c r="AX474" i="2"/>
  <c r="AX473" i="2"/>
  <c r="AX472" i="2"/>
  <c r="AX471" i="2"/>
  <c r="AX470" i="2"/>
  <c r="AX469" i="2"/>
  <c r="AV474" i="2"/>
  <c r="AV473" i="2"/>
  <c r="AV472" i="2"/>
  <c r="AV471" i="2"/>
  <c r="AV470" i="2"/>
  <c r="AV469" i="2"/>
  <c r="AT474" i="2"/>
  <c r="AT473" i="2"/>
  <c r="AT472" i="2"/>
  <c r="AT471" i="2"/>
  <c r="AT470" i="2"/>
  <c r="AT469" i="2"/>
  <c r="AR474" i="2"/>
  <c r="AR473" i="2"/>
  <c r="AR472" i="2"/>
  <c r="AR471" i="2"/>
  <c r="AR470" i="2"/>
  <c r="AR469" i="2"/>
  <c r="AP474" i="2"/>
  <c r="AP473" i="2"/>
  <c r="AP472" i="2"/>
  <c r="AP471" i="2"/>
  <c r="AP470" i="2"/>
  <c r="AP469" i="2"/>
  <c r="AN474" i="2"/>
  <c r="AN473" i="2"/>
  <c r="AN472" i="2"/>
  <c r="AN471" i="2"/>
  <c r="AN470" i="2"/>
  <c r="AN469" i="2"/>
  <c r="AL474" i="2"/>
  <c r="AL473" i="2"/>
  <c r="AL472" i="2"/>
  <c r="AL471" i="2"/>
  <c r="AL470" i="2"/>
  <c r="AL469" i="2"/>
  <c r="AJ474" i="2"/>
  <c r="AJ473" i="2"/>
  <c r="AJ472" i="2"/>
  <c r="AJ471" i="2"/>
  <c r="AJ470" i="2"/>
  <c r="AJ469" i="2"/>
  <c r="AH474" i="2"/>
  <c r="AH473" i="2"/>
  <c r="AH472" i="2"/>
  <c r="AH471" i="2"/>
  <c r="AH470" i="2"/>
  <c r="AH469" i="2"/>
  <c r="C474" i="2"/>
  <c r="D474" i="2" s="1"/>
  <c r="W473" i="2"/>
  <c r="W474" i="2" s="1"/>
  <c r="U473" i="2"/>
  <c r="V473" i="2" s="1"/>
  <c r="S473" i="2"/>
  <c r="Q473" i="2"/>
  <c r="R473" i="2" s="1"/>
  <c r="O473" i="2"/>
  <c r="O474" i="2" s="1"/>
  <c r="M473" i="2"/>
  <c r="L473" i="2"/>
  <c r="K473" i="2"/>
  <c r="K474" i="2" s="1"/>
  <c r="L474" i="2" s="1"/>
  <c r="I473" i="2"/>
  <c r="J473" i="2" s="1"/>
  <c r="G473" i="2"/>
  <c r="G474" i="2" s="1"/>
  <c r="H474" i="2" s="1"/>
  <c r="E473" i="2"/>
  <c r="F473" i="2" s="1"/>
  <c r="D473" i="2"/>
  <c r="C473" i="2"/>
  <c r="X472" i="2"/>
  <c r="X471" i="2"/>
  <c r="X470" i="2"/>
  <c r="X469" i="2"/>
  <c r="V472" i="2"/>
  <c r="V471" i="2"/>
  <c r="V470" i="2"/>
  <c r="V469" i="2"/>
  <c r="T472" i="2"/>
  <c r="T471" i="2"/>
  <c r="T470" i="2"/>
  <c r="T469" i="2"/>
  <c r="R472" i="2"/>
  <c r="R471" i="2"/>
  <c r="R470" i="2"/>
  <c r="R469" i="2"/>
  <c r="P472" i="2"/>
  <c r="P471" i="2"/>
  <c r="P470" i="2"/>
  <c r="P469" i="2"/>
  <c r="N472" i="2"/>
  <c r="N471" i="2"/>
  <c r="N470" i="2"/>
  <c r="N469" i="2"/>
  <c r="L472" i="2"/>
  <c r="L471" i="2"/>
  <c r="L470" i="2"/>
  <c r="L469" i="2"/>
  <c r="J472" i="2"/>
  <c r="J471" i="2"/>
  <c r="J470" i="2"/>
  <c r="J469" i="2"/>
  <c r="H472" i="2"/>
  <c r="H471" i="2"/>
  <c r="H470" i="2"/>
  <c r="H469" i="2"/>
  <c r="F472" i="2"/>
  <c r="F471" i="2"/>
  <c r="F470" i="2"/>
  <c r="F469" i="2"/>
  <c r="D472" i="2"/>
  <c r="D471" i="2"/>
  <c r="D470" i="2"/>
  <c r="D469" i="2"/>
  <c r="BC474" i="2"/>
  <c r="BB474" i="2"/>
  <c r="BA474" i="2"/>
  <c r="BA473" i="2"/>
  <c r="BL472" i="2"/>
  <c r="BJ472" i="2"/>
  <c r="BH472" i="2"/>
  <c r="BF472" i="2"/>
  <c r="BD472" i="2"/>
  <c r="BC472" i="2"/>
  <c r="BB472" i="2"/>
  <c r="BA472" i="2"/>
  <c r="BN471" i="2"/>
  <c r="BL471" i="2"/>
  <c r="BJ471" i="2"/>
  <c r="BH471" i="2"/>
  <c r="BF471" i="2"/>
  <c r="BD471" i="2"/>
  <c r="BB471" i="2"/>
  <c r="BA471" i="2"/>
  <c r="BL470" i="2"/>
  <c r="BJ470" i="2"/>
  <c r="BH470" i="2"/>
  <c r="BF470" i="2"/>
  <c r="BD470" i="2"/>
  <c r="BC470" i="2"/>
  <c r="BB470" i="2"/>
  <c r="BA470" i="2"/>
  <c r="BN469" i="2"/>
  <c r="BL469" i="2"/>
  <c r="BJ469" i="2"/>
  <c r="BJ473" i="2" s="1"/>
  <c r="BH469" i="2"/>
  <c r="BH473" i="2" s="1"/>
  <c r="BF469" i="2"/>
  <c r="BD469" i="2"/>
  <c r="BB469" i="2"/>
  <c r="BC469" i="2" s="1"/>
  <c r="BA469" i="2"/>
  <c r="AF426" i="2"/>
  <c r="AD426" i="2"/>
  <c r="AB426" i="2"/>
  <c r="Z426" i="2"/>
  <c r="X426" i="2"/>
  <c r="V426" i="2"/>
  <c r="T426" i="2"/>
  <c r="R426" i="2"/>
  <c r="AX424" i="2"/>
  <c r="AV424" i="2"/>
  <c r="AT424" i="2"/>
  <c r="AR424" i="2"/>
  <c r="AP424" i="2"/>
  <c r="AN424" i="2"/>
  <c r="AL424" i="2"/>
  <c r="AJ424" i="2"/>
  <c r="AH424" i="2"/>
  <c r="X424" i="2"/>
  <c r="V424" i="2"/>
  <c r="T424" i="2"/>
  <c r="R424" i="2"/>
  <c r="P424" i="2"/>
  <c r="N424" i="2"/>
  <c r="L424" i="2"/>
  <c r="J424" i="2"/>
  <c r="H424" i="2"/>
  <c r="F424" i="2"/>
  <c r="D424" i="2"/>
  <c r="BE421" i="2"/>
  <c r="BC421" i="2"/>
  <c r="BA421" i="2"/>
  <c r="AX421" i="2"/>
  <c r="AV421" i="2"/>
  <c r="AT421" i="2"/>
  <c r="AR421" i="2"/>
  <c r="AP421" i="2"/>
  <c r="AN421" i="2"/>
  <c r="AL421" i="2"/>
  <c r="AJ421" i="2"/>
  <c r="AH421" i="2"/>
  <c r="AF421" i="2"/>
  <c r="AD421" i="2"/>
  <c r="AB421" i="2"/>
  <c r="Z421" i="2"/>
  <c r="X421" i="2"/>
  <c r="BA417" i="2"/>
  <c r="BA414" i="2"/>
  <c r="BU413" i="2"/>
  <c r="BU412" i="2"/>
  <c r="BS413" i="2"/>
  <c r="BS412" i="2"/>
  <c r="BQ413" i="2"/>
  <c r="BQ412" i="2"/>
  <c r="BO413" i="2"/>
  <c r="BM413" i="2"/>
  <c r="BK413" i="2"/>
  <c r="BI413" i="2"/>
  <c r="BG413" i="2"/>
  <c r="BE413" i="2"/>
  <c r="BC413" i="2"/>
  <c r="AX412" i="2"/>
  <c r="AV412" i="2"/>
  <c r="AT412" i="2"/>
  <c r="AR412" i="2"/>
  <c r="BV412" i="2"/>
  <c r="BL412" i="2"/>
  <c r="BM412" i="2" s="1"/>
  <c r="BJ412" i="2"/>
  <c r="BH412" i="2"/>
  <c r="BI412" i="2" s="1"/>
  <c r="BF412" i="2"/>
  <c r="BA412" i="2"/>
  <c r="AP412" i="2"/>
  <c r="AN412" i="2"/>
  <c r="AL412" i="2"/>
  <c r="AJ412" i="2"/>
  <c r="AH412" i="2"/>
  <c r="AF412" i="2"/>
  <c r="AD412" i="2"/>
  <c r="AB412" i="2"/>
  <c r="Z412" i="2"/>
  <c r="W412" i="2"/>
  <c r="V412" i="2"/>
  <c r="T412" i="2"/>
  <c r="O412" i="2"/>
  <c r="O534" i="2" s="1"/>
  <c r="P534" i="2" s="1"/>
  <c r="N412" i="2"/>
  <c r="L412" i="2"/>
  <c r="I412" i="2"/>
  <c r="I534" i="2" s="1"/>
  <c r="J534" i="2" s="1"/>
  <c r="H412" i="2"/>
  <c r="F412" i="2"/>
  <c r="D412" i="2"/>
  <c r="AX408" i="2"/>
  <c r="AV408" i="2"/>
  <c r="AT408" i="2"/>
  <c r="AR408" i="2"/>
  <c r="AP408" i="2"/>
  <c r="AN408" i="2"/>
  <c r="AL408" i="2"/>
  <c r="AJ408" i="2"/>
  <c r="AH408" i="2"/>
  <c r="AF408" i="2"/>
  <c r="AD408" i="2"/>
  <c r="AB408" i="2"/>
  <c r="Z408" i="2"/>
  <c r="X408" i="2"/>
  <c r="V408" i="2"/>
  <c r="T408" i="2"/>
  <c r="R408" i="2"/>
  <c r="P408" i="2"/>
  <c r="N408" i="2"/>
  <c r="L408" i="2"/>
  <c r="J408" i="2"/>
  <c r="H408" i="2"/>
  <c r="F408" i="2"/>
  <c r="D408" i="2"/>
  <c r="BA407" i="2"/>
  <c r="BA404" i="2"/>
  <c r="BA403" i="2"/>
  <c r="BA402" i="2"/>
  <c r="BA401" i="2"/>
  <c r="BA400" i="2"/>
  <c r="AQ401" i="2"/>
  <c r="AS400" i="2"/>
  <c r="AO397" i="2"/>
  <c r="AM397" i="2"/>
  <c r="AK397" i="2"/>
  <c r="AI397" i="2"/>
  <c r="BJ397" i="2" s="1"/>
  <c r="AG397" i="2"/>
  <c r="AE397" i="2"/>
  <c r="AC397" i="2"/>
  <c r="AA397" i="2"/>
  <c r="Y397" i="2"/>
  <c r="W397" i="2"/>
  <c r="U397" i="2"/>
  <c r="S397" i="2"/>
  <c r="BF397" i="2" s="1"/>
  <c r="Q397" i="2"/>
  <c r="O397" i="2"/>
  <c r="M397" i="2"/>
  <c r="K397" i="2"/>
  <c r="I397" i="2"/>
  <c r="G397" i="2"/>
  <c r="E397" i="2"/>
  <c r="F397" i="2" s="1"/>
  <c r="C397" i="2"/>
  <c r="AO396" i="2"/>
  <c r="AP396" i="2" s="1"/>
  <c r="AM396" i="2"/>
  <c r="AK396" i="2"/>
  <c r="AL396" i="2" s="1"/>
  <c r="AI396" i="2"/>
  <c r="AG396" i="2"/>
  <c r="AH396" i="2" s="1"/>
  <c r="AE396" i="2"/>
  <c r="AC396" i="2"/>
  <c r="AD396" i="2" s="1"/>
  <c r="AA396" i="2"/>
  <c r="Y396" i="2"/>
  <c r="Z396" i="2" s="1"/>
  <c r="W396" i="2"/>
  <c r="U396" i="2"/>
  <c r="V396" i="2" s="1"/>
  <c r="S396" i="2"/>
  <c r="Q396" i="2"/>
  <c r="R396" i="2" s="1"/>
  <c r="O396" i="2"/>
  <c r="M396" i="2"/>
  <c r="N396" i="2" s="1"/>
  <c r="K396" i="2"/>
  <c r="I396" i="2"/>
  <c r="J396" i="2" s="1"/>
  <c r="G396" i="2"/>
  <c r="E396" i="2"/>
  <c r="C396" i="2"/>
  <c r="AN395" i="2"/>
  <c r="AL395" i="2"/>
  <c r="AJ395" i="2"/>
  <c r="AH395" i="2"/>
  <c r="AF395" i="2"/>
  <c r="AD395" i="2"/>
  <c r="AB395" i="2"/>
  <c r="Z395" i="2"/>
  <c r="X395" i="2"/>
  <c r="V395" i="2"/>
  <c r="T395" i="2"/>
  <c r="R395" i="2"/>
  <c r="P395" i="2"/>
  <c r="N395" i="2"/>
  <c r="L395" i="2"/>
  <c r="J395" i="2"/>
  <c r="H395" i="2"/>
  <c r="F395" i="2"/>
  <c r="D395" i="2"/>
  <c r="BA398" i="2"/>
  <c r="BH397" i="2"/>
  <c r="BD397" i="2"/>
  <c r="BA397" i="2"/>
  <c r="BJ396" i="2"/>
  <c r="BF396" i="2"/>
  <c r="BB396" i="2"/>
  <c r="BA396" i="2"/>
  <c r="BJ395" i="2"/>
  <c r="BH395" i="2"/>
  <c r="BK395" i="2" s="1"/>
  <c r="BF395" i="2"/>
  <c r="BD395" i="2"/>
  <c r="BG395" i="2" s="1"/>
  <c r="BB395" i="2"/>
  <c r="BC395" i="2" s="1"/>
  <c r="BA395" i="2"/>
  <c r="BA394" i="2"/>
  <c r="AP395" i="2"/>
  <c r="AO394" i="2"/>
  <c r="AO523" i="2" s="1"/>
  <c r="AM394" i="2"/>
  <c r="AM523" i="2" s="1"/>
  <c r="AK394" i="2"/>
  <c r="AK523" i="2" s="1"/>
  <c r="AI394" i="2"/>
  <c r="AI523" i="2" s="1"/>
  <c r="AG394" i="2"/>
  <c r="AG523" i="2" s="1"/>
  <c r="AE394" i="2"/>
  <c r="AE523" i="2" s="1"/>
  <c r="AC394" i="2"/>
  <c r="AC523" i="2" s="1"/>
  <c r="AA394" i="2"/>
  <c r="AA523" i="2" s="1"/>
  <c r="Y394" i="2"/>
  <c r="Y523" i="2" s="1"/>
  <c r="W394" i="2"/>
  <c r="W523" i="2" s="1"/>
  <c r="U394" i="2"/>
  <c r="U523" i="2" s="1"/>
  <c r="S394" i="2"/>
  <c r="S523" i="2" s="1"/>
  <c r="Q394" i="2"/>
  <c r="Q523" i="2" s="1"/>
  <c r="O394" i="2"/>
  <c r="O523" i="2" s="1"/>
  <c r="M394" i="2"/>
  <c r="M523" i="2" s="1"/>
  <c r="K394" i="2"/>
  <c r="K523" i="2" s="1"/>
  <c r="I394" i="2"/>
  <c r="I523" i="2" s="1"/>
  <c r="G394" i="2"/>
  <c r="G523" i="2" s="1"/>
  <c r="E394" i="2"/>
  <c r="E523" i="2" s="1"/>
  <c r="C394" i="2"/>
  <c r="C523" i="2" s="1"/>
  <c r="AN390" i="2"/>
  <c r="AL390" i="2"/>
  <c r="AJ390" i="2"/>
  <c r="AH390" i="2"/>
  <c r="AF390" i="2"/>
  <c r="AD390" i="2"/>
  <c r="AB390" i="2"/>
  <c r="Z390" i="2"/>
  <c r="X390" i="2"/>
  <c r="V390" i="2"/>
  <c r="T390" i="2"/>
  <c r="R390" i="2"/>
  <c r="P390" i="2"/>
  <c r="N390" i="2"/>
  <c r="L390" i="2"/>
  <c r="J390" i="2"/>
  <c r="H390" i="2"/>
  <c r="F390" i="2"/>
  <c r="D390" i="2"/>
  <c r="BA391" i="2"/>
  <c r="BJ390" i="2"/>
  <c r="BK390" i="2" s="1"/>
  <c r="BH390" i="2"/>
  <c r="BF390" i="2"/>
  <c r="BG390" i="2" s="1"/>
  <c r="BD390" i="2"/>
  <c r="BB390" i="2"/>
  <c r="BC390" i="2" s="1"/>
  <c r="BA390" i="2"/>
  <c r="BA389" i="2"/>
  <c r="AQ390" i="2"/>
  <c r="AS390" i="2" s="1"/>
  <c r="AP390" i="2"/>
  <c r="AQ389" i="2"/>
  <c r="AQ518" i="2" s="1"/>
  <c r="AO389" i="2"/>
  <c r="AO518" i="2" s="1"/>
  <c r="AM389" i="2"/>
  <c r="AM518" i="2" s="1"/>
  <c r="AK389" i="2"/>
  <c r="AK518" i="2" s="1"/>
  <c r="AI389" i="2"/>
  <c r="AI518" i="2" s="1"/>
  <c r="AG389" i="2"/>
  <c r="AG518" i="2" s="1"/>
  <c r="AE389" i="2"/>
  <c r="AE518" i="2" s="1"/>
  <c r="AC389" i="2"/>
  <c r="AC518" i="2" s="1"/>
  <c r="AA389" i="2"/>
  <c r="AA518" i="2" s="1"/>
  <c r="Y389" i="2"/>
  <c r="Y518" i="2" s="1"/>
  <c r="W389" i="2"/>
  <c r="W518" i="2" s="1"/>
  <c r="U389" i="2"/>
  <c r="U518" i="2" s="1"/>
  <c r="S389" i="2"/>
  <c r="S518" i="2" s="1"/>
  <c r="Q389" i="2"/>
  <c r="Q518" i="2" s="1"/>
  <c r="O389" i="2"/>
  <c r="O518" i="2" s="1"/>
  <c r="M389" i="2"/>
  <c r="M518" i="2" s="1"/>
  <c r="K389" i="2"/>
  <c r="K518" i="2" s="1"/>
  <c r="I389" i="2"/>
  <c r="I518" i="2" s="1"/>
  <c r="G389" i="2"/>
  <c r="G518" i="2" s="1"/>
  <c r="E389" i="2"/>
  <c r="E518" i="2" s="1"/>
  <c r="C389" i="2"/>
  <c r="C518" i="2" s="1"/>
  <c r="BU386" i="2"/>
  <c r="BU385" i="2"/>
  <c r="BU384" i="2"/>
  <c r="BS386" i="2"/>
  <c r="BS385" i="2"/>
  <c r="BS384" i="2"/>
  <c r="BQ386" i="2"/>
  <c r="BQ385" i="2"/>
  <c r="BQ384" i="2"/>
  <c r="BO385" i="2"/>
  <c r="E386" i="2"/>
  <c r="C386" i="2"/>
  <c r="BL386" i="2"/>
  <c r="BO386" i="2" s="1"/>
  <c r="BJ386" i="2"/>
  <c r="BI386" i="2"/>
  <c r="BH386" i="2"/>
  <c r="BF386" i="2"/>
  <c r="BD386" i="2"/>
  <c r="BE386" i="2" s="1"/>
  <c r="BB386" i="2"/>
  <c r="BC386" i="2" s="1"/>
  <c r="BL385" i="2"/>
  <c r="BJ385" i="2"/>
  <c r="BK385" i="2" s="1"/>
  <c r="BH385" i="2"/>
  <c r="BI385" i="2" s="1"/>
  <c r="BF385" i="2"/>
  <c r="BE385" i="2"/>
  <c r="BD385" i="2"/>
  <c r="BB385" i="2"/>
  <c r="BC385" i="2" s="1"/>
  <c r="BL384" i="2"/>
  <c r="BO384" i="2" s="1"/>
  <c r="BJ384" i="2"/>
  <c r="BK384" i="2" s="1"/>
  <c r="BH384" i="2"/>
  <c r="BF384" i="2"/>
  <c r="BG384" i="2" s="1"/>
  <c r="BD384" i="2"/>
  <c r="BE384" i="2" s="1"/>
  <c r="BB384" i="2"/>
  <c r="BC384" i="2" s="1"/>
  <c r="BN381" i="2"/>
  <c r="BP381" i="2" s="1"/>
  <c r="BL381" i="2"/>
  <c r="BJ381" i="2"/>
  <c r="BC381" i="2"/>
  <c r="BA381" i="2"/>
  <c r="AX381" i="2"/>
  <c r="AX380" i="2"/>
  <c r="AX379" i="2"/>
  <c r="AV381" i="2"/>
  <c r="AV380" i="2"/>
  <c r="AV379" i="2"/>
  <c r="AT380" i="2"/>
  <c r="AT379" i="2"/>
  <c r="AR380" i="2"/>
  <c r="AR379" i="2"/>
  <c r="AP380" i="2"/>
  <c r="AP379" i="2"/>
  <c r="AN380" i="2"/>
  <c r="AN379" i="2"/>
  <c r="AK381" i="2"/>
  <c r="AT381" i="2" s="1"/>
  <c r="AI381" i="2"/>
  <c r="AG381" i="2"/>
  <c r="AP381" i="2" s="1"/>
  <c r="AE381" i="2"/>
  <c r="AN381" i="2" s="1"/>
  <c r="AC381" i="2"/>
  <c r="AA381" i="2"/>
  <c r="Y381" i="2"/>
  <c r="W381" i="2"/>
  <c r="U381" i="2"/>
  <c r="S381" i="2"/>
  <c r="Q381" i="2"/>
  <c r="BD381" i="2" s="1"/>
  <c r="BE381" i="2" s="1"/>
  <c r="O381" i="2"/>
  <c r="M381" i="2"/>
  <c r="K381" i="2"/>
  <c r="I381" i="2"/>
  <c r="J381" i="2" s="1"/>
  <c r="G381" i="2"/>
  <c r="H381" i="2" s="1"/>
  <c r="E381" i="2"/>
  <c r="F381" i="2" s="1"/>
  <c r="C381" i="2"/>
  <c r="D381" i="2" s="1"/>
  <c r="AL380" i="2"/>
  <c r="AL379" i="2"/>
  <c r="AJ380" i="2"/>
  <c r="AJ379" i="2"/>
  <c r="AH380" i="2"/>
  <c r="AH379" i="2"/>
  <c r="AF380" i="2"/>
  <c r="AF379" i="2"/>
  <c r="AD380" i="2"/>
  <c r="AD379" i="2"/>
  <c r="AB380" i="2"/>
  <c r="AB379" i="2"/>
  <c r="Z380" i="2"/>
  <c r="Z379" i="2"/>
  <c r="X380" i="2"/>
  <c r="X379" i="2"/>
  <c r="V380" i="2"/>
  <c r="V379" i="2"/>
  <c r="T380" i="2"/>
  <c r="T379" i="2"/>
  <c r="R380" i="2"/>
  <c r="R379" i="2"/>
  <c r="P380" i="2"/>
  <c r="P379" i="2"/>
  <c r="N380" i="2"/>
  <c r="N379" i="2"/>
  <c r="F380" i="2"/>
  <c r="F379" i="2"/>
  <c r="D380" i="2"/>
  <c r="D379" i="2"/>
  <c r="BA370" i="2"/>
  <c r="BE369" i="2"/>
  <c r="BE367" i="2"/>
  <c r="BE366" i="2"/>
  <c r="BE365" i="2"/>
  <c r="BE364" i="2"/>
  <c r="BE362" i="2"/>
  <c r="BE361" i="2"/>
  <c r="BE360" i="2"/>
  <c r="BE359" i="2"/>
  <c r="T356" i="2"/>
  <c r="T355" i="2"/>
  <c r="R356" i="2"/>
  <c r="R355" i="2"/>
  <c r="BU355" i="2"/>
  <c r="BS355" i="2"/>
  <c r="BQ355" i="2"/>
  <c r="BO355" i="2"/>
  <c r="BM355" i="2"/>
  <c r="BK355" i="2"/>
  <c r="BI355" i="2"/>
  <c r="V356" i="2"/>
  <c r="V355" i="2"/>
  <c r="BE351" i="2"/>
  <c r="BC351" i="2"/>
  <c r="BC349" i="2"/>
  <c r="BC348" i="2"/>
  <c r="BC347" i="2"/>
  <c r="BC346" i="2"/>
  <c r="BE349" i="2"/>
  <c r="BE348" i="2"/>
  <c r="BE347" i="2"/>
  <c r="BE346" i="2"/>
  <c r="BC344" i="2"/>
  <c r="BC343" i="2"/>
  <c r="BC342" i="2"/>
  <c r="BC341" i="2"/>
  <c r="AQ343" i="2"/>
  <c r="BE344" i="2"/>
  <c r="BE343" i="2"/>
  <c r="BE342" i="2"/>
  <c r="BE341" i="2"/>
  <c r="AU344" i="2"/>
  <c r="AW344" i="2" s="1"/>
  <c r="AS344" i="2"/>
  <c r="AS342" i="2"/>
  <c r="AU342" i="2" s="1"/>
  <c r="AS341" i="2"/>
  <c r="BA339" i="2"/>
  <c r="BL337" i="2"/>
  <c r="BO337" i="2" s="1"/>
  <c r="BJ337" i="2"/>
  <c r="BV337" i="2" s="1"/>
  <c r="BH337" i="2"/>
  <c r="BU337" i="2"/>
  <c r="BS337" i="2"/>
  <c r="BQ337" i="2"/>
  <c r="BB337" i="2"/>
  <c r="BC337" i="2" s="1"/>
  <c r="BA337" i="2"/>
  <c r="AX337" i="2"/>
  <c r="AV337" i="2"/>
  <c r="AT337" i="2"/>
  <c r="AR337" i="2"/>
  <c r="AP337" i="2"/>
  <c r="AN337" i="2"/>
  <c r="AL337" i="2"/>
  <c r="AJ337" i="2"/>
  <c r="AH337" i="2"/>
  <c r="AD337" i="2"/>
  <c r="AB337" i="2"/>
  <c r="Z337" i="2"/>
  <c r="W337" i="2"/>
  <c r="BF337" i="2" s="1"/>
  <c r="T337" i="2"/>
  <c r="P337" i="2"/>
  <c r="O337" i="2"/>
  <c r="M337" i="2"/>
  <c r="V337" i="2" s="1"/>
  <c r="L337" i="2"/>
  <c r="K337" i="2"/>
  <c r="I337" i="2"/>
  <c r="J337" i="2" s="1"/>
  <c r="H337" i="2"/>
  <c r="G337" i="2"/>
  <c r="E337" i="2"/>
  <c r="F337" i="2" s="1"/>
  <c r="D337" i="2"/>
  <c r="C337" i="2"/>
  <c r="BD334" i="2"/>
  <c r="BF334" i="2" s="1"/>
  <c r="BH334" i="2" s="1"/>
  <c r="BJ334" i="2" s="1"/>
  <c r="BL334" i="2" s="1"/>
  <c r="BN334" i="2" s="1"/>
  <c r="BP334" i="2" s="1"/>
  <c r="BR334" i="2" s="1"/>
  <c r="BT334" i="2" s="1"/>
  <c r="BV334" i="2" s="1"/>
  <c r="AS334" i="2"/>
  <c r="AU334" i="2" s="1"/>
  <c r="AR334" i="2"/>
  <c r="AQ334" i="2"/>
  <c r="AP334" i="2"/>
  <c r="AN334" i="2"/>
  <c r="AN332" i="2"/>
  <c r="AL334" i="2"/>
  <c r="AL332" i="2"/>
  <c r="AJ334" i="2"/>
  <c r="AJ332" i="2"/>
  <c r="AH334" i="2"/>
  <c r="AH332" i="2"/>
  <c r="AF334" i="2"/>
  <c r="AF332" i="2"/>
  <c r="AD334" i="2"/>
  <c r="AD332" i="2"/>
  <c r="AB334" i="2"/>
  <c r="AB332" i="2"/>
  <c r="Z334" i="2"/>
  <c r="Z332" i="2"/>
  <c r="X334" i="2"/>
  <c r="X332" i="2"/>
  <c r="V334" i="2"/>
  <c r="V332" i="2"/>
  <c r="T334" i="2"/>
  <c r="T332" i="2"/>
  <c r="R334" i="2"/>
  <c r="R332" i="2"/>
  <c r="P334" i="2"/>
  <c r="P332" i="2"/>
  <c r="N334" i="2"/>
  <c r="N332" i="2"/>
  <c r="L334" i="2"/>
  <c r="L332" i="2"/>
  <c r="J334" i="2"/>
  <c r="J332" i="2"/>
  <c r="F334" i="2"/>
  <c r="F332" i="2"/>
  <c r="D334" i="2"/>
  <c r="D332" i="2"/>
  <c r="BC332" i="2"/>
  <c r="AP332" i="2"/>
  <c r="H332" i="2"/>
  <c r="AN329" i="2"/>
  <c r="AN324" i="2"/>
  <c r="AN323" i="2"/>
  <c r="AN320" i="2"/>
  <c r="AL329" i="2"/>
  <c r="AL324" i="2"/>
  <c r="AL323" i="2"/>
  <c r="AL320" i="2"/>
  <c r="AJ329" i="2"/>
  <c r="AJ324" i="2"/>
  <c r="AJ323" i="2"/>
  <c r="AJ320" i="2"/>
  <c r="AH329" i="2"/>
  <c r="AH324" i="2"/>
  <c r="AH323" i="2"/>
  <c r="AH320" i="2"/>
  <c r="AF329" i="2"/>
  <c r="AF324" i="2"/>
  <c r="AF323" i="2"/>
  <c r="AF320" i="2"/>
  <c r="AD329" i="2"/>
  <c r="AD324" i="2"/>
  <c r="AD323" i="2"/>
  <c r="AD320" i="2"/>
  <c r="AB329" i="2"/>
  <c r="AB324" i="2"/>
  <c r="AB323" i="2"/>
  <c r="AB320" i="2"/>
  <c r="Z329" i="2"/>
  <c r="Z324" i="2"/>
  <c r="Z323" i="2"/>
  <c r="Z320" i="2"/>
  <c r="X329" i="2"/>
  <c r="X324" i="2"/>
  <c r="X323" i="2"/>
  <c r="X320" i="2"/>
  <c r="V329" i="2"/>
  <c r="V324" i="2"/>
  <c r="V323" i="2"/>
  <c r="V320" i="2"/>
  <c r="T329" i="2"/>
  <c r="T324" i="2"/>
  <c r="T323" i="2"/>
  <c r="T320" i="2"/>
  <c r="R329" i="2"/>
  <c r="R324" i="2"/>
  <c r="R323" i="2"/>
  <c r="R320" i="2"/>
  <c r="P329" i="2"/>
  <c r="P324" i="2"/>
  <c r="P323" i="2"/>
  <c r="P320" i="2"/>
  <c r="N329" i="2"/>
  <c r="N324" i="2"/>
  <c r="N323" i="2"/>
  <c r="N320" i="2"/>
  <c r="L329" i="2"/>
  <c r="L324" i="2"/>
  <c r="L323" i="2"/>
  <c r="L320" i="2"/>
  <c r="J329" i="2"/>
  <c r="J324" i="2"/>
  <c r="J323" i="2"/>
  <c r="J320" i="2"/>
  <c r="H329" i="2"/>
  <c r="H324" i="2"/>
  <c r="H323" i="2"/>
  <c r="H320" i="2"/>
  <c r="F329" i="2"/>
  <c r="F324" i="2"/>
  <c r="F323" i="2"/>
  <c r="F320" i="2"/>
  <c r="D329" i="2"/>
  <c r="D324" i="2"/>
  <c r="D323" i="2"/>
  <c r="D320" i="2"/>
  <c r="BA328" i="2"/>
  <c r="BA327" i="2"/>
  <c r="BA326" i="2"/>
  <c r="BA325" i="2"/>
  <c r="BA324" i="2"/>
  <c r="BA323" i="2"/>
  <c r="BA322" i="2"/>
  <c r="BA321" i="2"/>
  <c r="BA320" i="2"/>
  <c r="BA319" i="2"/>
  <c r="AO326" i="2"/>
  <c r="AO325" i="2"/>
  <c r="AM326" i="2"/>
  <c r="AN326" i="2" s="1"/>
  <c r="AM325" i="2"/>
  <c r="AK326" i="2"/>
  <c r="AK325" i="2"/>
  <c r="AI326" i="2"/>
  <c r="AI325" i="2"/>
  <c r="AJ325" i="2" s="1"/>
  <c r="AG326" i="2"/>
  <c r="AG325" i="2"/>
  <c r="AE326" i="2"/>
  <c r="AF326" i="2" s="1"/>
  <c r="AE325" i="2"/>
  <c r="AC326" i="2"/>
  <c r="AD326" i="2" s="1"/>
  <c r="AC325" i="2"/>
  <c r="AD325" i="2" s="1"/>
  <c r="AA326" i="2"/>
  <c r="AA325" i="2"/>
  <c r="Y326" i="2"/>
  <c r="Y325" i="2"/>
  <c r="W326" i="2"/>
  <c r="X326" i="2" s="1"/>
  <c r="W325" i="2"/>
  <c r="U326" i="2"/>
  <c r="V326" i="2" s="1"/>
  <c r="U325" i="2"/>
  <c r="V325" i="2" s="1"/>
  <c r="S326" i="2"/>
  <c r="S325" i="2"/>
  <c r="Q326" i="2"/>
  <c r="Q325" i="2"/>
  <c r="O326" i="2"/>
  <c r="P326" i="2" s="1"/>
  <c r="O325" i="2"/>
  <c r="P325" i="2" s="1"/>
  <c r="M326" i="2"/>
  <c r="N326" i="2" s="1"/>
  <c r="M325" i="2"/>
  <c r="N325" i="2" s="1"/>
  <c r="K326" i="2"/>
  <c r="K325" i="2"/>
  <c r="I326" i="2"/>
  <c r="I325" i="2"/>
  <c r="G326" i="2"/>
  <c r="H326" i="2" s="1"/>
  <c r="G325" i="2"/>
  <c r="E326" i="2"/>
  <c r="F326" i="2" s="1"/>
  <c r="E325" i="2"/>
  <c r="F325" i="2" s="1"/>
  <c r="C326" i="2"/>
  <c r="C325" i="2"/>
  <c r="BJ329" i="2"/>
  <c r="BK329" i="2" s="1"/>
  <c r="BH329" i="2"/>
  <c r="BF329" i="2"/>
  <c r="BG329" i="2" s="1"/>
  <c r="BD329" i="2"/>
  <c r="BB329" i="2"/>
  <c r="BC329" i="2" s="1"/>
  <c r="BJ326" i="2"/>
  <c r="BK326" i="2" s="1"/>
  <c r="BH326" i="2"/>
  <c r="BG326" i="2"/>
  <c r="BF326" i="2"/>
  <c r="BD326" i="2"/>
  <c r="BB326" i="2"/>
  <c r="BC326" i="2" s="1"/>
  <c r="BJ325" i="2"/>
  <c r="BH325" i="2"/>
  <c r="BF325" i="2"/>
  <c r="BD325" i="2"/>
  <c r="BJ324" i="2"/>
  <c r="BH324" i="2"/>
  <c r="BF324" i="2"/>
  <c r="BI324" i="2" s="1"/>
  <c r="BD324" i="2"/>
  <c r="BE324" i="2" s="1"/>
  <c r="BB324" i="2"/>
  <c r="BC324" i="2" s="1"/>
  <c r="BJ323" i="2"/>
  <c r="BH323" i="2"/>
  <c r="BF323" i="2"/>
  <c r="BD323" i="2"/>
  <c r="BB323" i="2"/>
  <c r="BC323" i="2" s="1"/>
  <c r="BJ320" i="2"/>
  <c r="BH320" i="2"/>
  <c r="BF320" i="2"/>
  <c r="BI320" i="2" s="1"/>
  <c r="BD320" i="2"/>
  <c r="BE320" i="2" s="1"/>
  <c r="BB320" i="2"/>
  <c r="BC320" i="2" s="1"/>
  <c r="AP329" i="2"/>
  <c r="AP326" i="2"/>
  <c r="AP325" i="2"/>
  <c r="AP324" i="2"/>
  <c r="AP323" i="2"/>
  <c r="AP320" i="2"/>
  <c r="AO319" i="2"/>
  <c r="AM319" i="2"/>
  <c r="AK319" i="2"/>
  <c r="AI319" i="2"/>
  <c r="AI321" i="2" s="1"/>
  <c r="AG319" i="2"/>
  <c r="AH319" i="2" s="1"/>
  <c r="AE319" i="2"/>
  <c r="AC319" i="2"/>
  <c r="AD319" i="2" s="1"/>
  <c r="AA319" i="2"/>
  <c r="AA321" i="2" s="1"/>
  <c r="Y319" i="2"/>
  <c r="Z319" i="2" s="1"/>
  <c r="W319" i="2"/>
  <c r="U319" i="2"/>
  <c r="V319" i="2" s="1"/>
  <c r="S319" i="2"/>
  <c r="S321" i="2" s="1"/>
  <c r="Q319" i="2"/>
  <c r="R319" i="2" s="1"/>
  <c r="O319" i="2"/>
  <c r="P319" i="2" s="1"/>
  <c r="M319" i="2"/>
  <c r="N319" i="2" s="1"/>
  <c r="K319" i="2"/>
  <c r="K321" i="2" s="1"/>
  <c r="I319" i="2"/>
  <c r="J319" i="2" s="1"/>
  <c r="G319" i="2"/>
  <c r="E319" i="2"/>
  <c r="F319" i="2" s="1"/>
  <c r="C319" i="2"/>
  <c r="C321" i="2" s="1"/>
  <c r="BJ316" i="2"/>
  <c r="BK316" i="2" s="1"/>
  <c r="BH316" i="2"/>
  <c r="BF316" i="2"/>
  <c r="BG316" i="2" s="1"/>
  <c r="AP316" i="2"/>
  <c r="AN316" i="2"/>
  <c r="AL316" i="2"/>
  <c r="AJ316" i="2"/>
  <c r="AH316" i="2"/>
  <c r="AF316" i="2"/>
  <c r="AD316" i="2"/>
  <c r="AB316" i="2"/>
  <c r="Z316" i="2"/>
  <c r="X316" i="2"/>
  <c r="X314" i="2"/>
  <c r="X313" i="2"/>
  <c r="X312" i="2"/>
  <c r="V316" i="2"/>
  <c r="V314" i="2"/>
  <c r="V313" i="2"/>
  <c r="V312" i="2"/>
  <c r="AO315" i="2"/>
  <c r="AO314" i="2"/>
  <c r="AM315" i="2"/>
  <c r="AK315" i="2"/>
  <c r="AI315" i="2"/>
  <c r="AG315" i="2"/>
  <c r="AE315" i="2"/>
  <c r="AC315" i="2"/>
  <c r="AA315" i="2"/>
  <c r="Y315" i="2"/>
  <c r="W315" i="2"/>
  <c r="U315" i="2"/>
  <c r="V315" i="2" s="1"/>
  <c r="S315" i="2"/>
  <c r="Q315" i="2"/>
  <c r="O315" i="2"/>
  <c r="BV309" i="2"/>
  <c r="BC308" i="2"/>
  <c r="BC307" i="2"/>
  <c r="BE308" i="2"/>
  <c r="BE307" i="2"/>
  <c r="O308" i="2"/>
  <c r="O309" i="2" s="1"/>
  <c r="P309" i="2" s="1"/>
  <c r="BE305" i="2"/>
  <c r="BC305" i="2"/>
  <c r="AP305" i="2"/>
  <c r="AO305" i="2"/>
  <c r="AM305" i="2"/>
  <c r="AN305" i="2" s="1"/>
  <c r="AK305" i="2"/>
  <c r="AL305" i="2" s="1"/>
  <c r="AI305" i="2"/>
  <c r="AJ305" i="2" s="1"/>
  <c r="AH305" i="2"/>
  <c r="AG305" i="2"/>
  <c r="AE305" i="2"/>
  <c r="AC305" i="2"/>
  <c r="AD305" i="2" s="1"/>
  <c r="AA305" i="2"/>
  <c r="Z305" i="2"/>
  <c r="Y305" i="2"/>
  <c r="W305" i="2"/>
  <c r="X305" i="2" s="1"/>
  <c r="U305" i="2"/>
  <c r="V305" i="2" s="1"/>
  <c r="S305" i="2"/>
  <c r="T305" i="2" s="1"/>
  <c r="R305" i="2"/>
  <c r="Q305" i="2"/>
  <c r="O305" i="2"/>
  <c r="P305" i="2" s="1"/>
  <c r="BE303" i="2"/>
  <c r="BC303" i="2"/>
  <c r="BJ301" i="2"/>
  <c r="BJ298" i="2"/>
  <c r="BK298" i="2" s="1"/>
  <c r="BJ297" i="2"/>
  <c r="BJ296" i="2"/>
  <c r="BK296" i="2" s="1"/>
  <c r="BJ295" i="2"/>
  <c r="BJ294" i="2"/>
  <c r="BK294" i="2" s="1"/>
  <c r="BJ293" i="2"/>
  <c r="BH301" i="2"/>
  <c r="BK301" i="2" s="1"/>
  <c r="BH298" i="2"/>
  <c r="BH297" i="2"/>
  <c r="BH296" i="2"/>
  <c r="BI296" i="2" s="1"/>
  <c r="BH295" i="2"/>
  <c r="BI295" i="2" s="1"/>
  <c r="BH294" i="2"/>
  <c r="BH293" i="2"/>
  <c r="BF301" i="2"/>
  <c r="BF298" i="2"/>
  <c r="BI298" i="2" s="1"/>
  <c r="BF297" i="2"/>
  <c r="BF296" i="2"/>
  <c r="BG296" i="2" s="1"/>
  <c r="BF295" i="2"/>
  <c r="BF294" i="2"/>
  <c r="BI294" i="2" s="1"/>
  <c r="BF293" i="2"/>
  <c r="BE301" i="2"/>
  <c r="BC301" i="2"/>
  <c r="AQ301" i="2"/>
  <c r="AS301" i="2" s="1"/>
  <c r="AP301" i="2"/>
  <c r="AN301" i="2"/>
  <c r="AL301" i="2"/>
  <c r="AJ301" i="2"/>
  <c r="AH301" i="2"/>
  <c r="AF301" i="2"/>
  <c r="AD301" i="2"/>
  <c r="AB301" i="2"/>
  <c r="Z301" i="2"/>
  <c r="X301" i="2"/>
  <c r="V301" i="2"/>
  <c r="T301" i="2"/>
  <c r="R301" i="2"/>
  <c r="P301" i="2"/>
  <c r="AW296" i="2"/>
  <c r="AU296" i="2"/>
  <c r="AV296" i="2" s="1"/>
  <c r="AS296" i="2"/>
  <c r="AT296" i="2" s="1"/>
  <c r="AQ296" i="2"/>
  <c r="BL296" i="2" s="1"/>
  <c r="BK297" i="2"/>
  <c r="BK295" i="2"/>
  <c r="BK293" i="2"/>
  <c r="BI297" i="2"/>
  <c r="BI293" i="2"/>
  <c r="BG297" i="2"/>
  <c r="BG295" i="2"/>
  <c r="BG293" i="2"/>
  <c r="BE298" i="2"/>
  <c r="BE297" i="2"/>
  <c r="BE296" i="2"/>
  <c r="BE295" i="2"/>
  <c r="BE294" i="2"/>
  <c r="BE293" i="2"/>
  <c r="BE292" i="2"/>
  <c r="BC299" i="2"/>
  <c r="BC298" i="2"/>
  <c r="BC297" i="2"/>
  <c r="BC296" i="2"/>
  <c r="BC295" i="2"/>
  <c r="BC294" i="2"/>
  <c r="BC293" i="2"/>
  <c r="BC292" i="2"/>
  <c r="AX296" i="2"/>
  <c r="AR296" i="2"/>
  <c r="AP298" i="2"/>
  <c r="AP297" i="2"/>
  <c r="AP296" i="2"/>
  <c r="AP295" i="2"/>
  <c r="AP294" i="2"/>
  <c r="AP293" i="2"/>
  <c r="AN298" i="2"/>
  <c r="AN297" i="2"/>
  <c r="AN296" i="2"/>
  <c r="AN295" i="2"/>
  <c r="AN294" i="2"/>
  <c r="AN293" i="2"/>
  <c r="AL298" i="2"/>
  <c r="AL297" i="2"/>
  <c r="AL296" i="2"/>
  <c r="AL295" i="2"/>
  <c r="AL294" i="2"/>
  <c r="AL293" i="2"/>
  <c r="AJ298" i="2"/>
  <c r="AJ297" i="2"/>
  <c r="AJ296" i="2"/>
  <c r="AJ295" i="2"/>
  <c r="AJ294" i="2"/>
  <c r="AJ293" i="2"/>
  <c r="AH298" i="2"/>
  <c r="AH297" i="2"/>
  <c r="AH296" i="2"/>
  <c r="AH295" i="2"/>
  <c r="AH294" i="2"/>
  <c r="AH293" i="2"/>
  <c r="AF298" i="2"/>
  <c r="AF297" i="2"/>
  <c r="AF296" i="2"/>
  <c r="AF295" i="2"/>
  <c r="AF294" i="2"/>
  <c r="AF293" i="2"/>
  <c r="AD298" i="2"/>
  <c r="AD297" i="2"/>
  <c r="AD296" i="2"/>
  <c r="AD295" i="2"/>
  <c r="AD294" i="2"/>
  <c r="AD293" i="2"/>
  <c r="AB298" i="2"/>
  <c r="AB297" i="2"/>
  <c r="AB296" i="2"/>
  <c r="AB295" i="2"/>
  <c r="AB294" i="2"/>
  <c r="AB293" i="2"/>
  <c r="Z298" i="2"/>
  <c r="Z297" i="2"/>
  <c r="Z296" i="2"/>
  <c r="Z295" i="2"/>
  <c r="Z294" i="2"/>
  <c r="Z293" i="2"/>
  <c r="O299" i="2"/>
  <c r="X298" i="2"/>
  <c r="X297" i="2"/>
  <c r="X296" i="2"/>
  <c r="X295" i="2"/>
  <c r="X294" i="2"/>
  <c r="X293" i="2"/>
  <c r="V298" i="2"/>
  <c r="V297" i="2"/>
  <c r="V296" i="2"/>
  <c r="V295" i="2"/>
  <c r="V294" i="2"/>
  <c r="V293" i="2"/>
  <c r="T298" i="2"/>
  <c r="T297" i="2"/>
  <c r="T296" i="2"/>
  <c r="T295" i="2"/>
  <c r="T294" i="2"/>
  <c r="T293" i="2"/>
  <c r="R298" i="2"/>
  <c r="R297" i="2"/>
  <c r="R296" i="2"/>
  <c r="R295" i="2"/>
  <c r="R294" i="2"/>
  <c r="R293" i="2"/>
  <c r="P298" i="2"/>
  <c r="P297" i="2"/>
  <c r="P296" i="2"/>
  <c r="P295" i="2"/>
  <c r="P308" i="2" s="1"/>
  <c r="P294" i="2"/>
  <c r="P293" i="2"/>
  <c r="P292" i="2"/>
  <c r="BU298" i="2"/>
  <c r="BT298" i="2"/>
  <c r="BV298" i="2" s="1"/>
  <c r="BR298" i="2"/>
  <c r="BP298" i="2"/>
  <c r="BN298" i="2"/>
  <c r="BV297" i="2"/>
  <c r="BT297" i="2"/>
  <c r="BR297" i="2"/>
  <c r="BU297" i="2" s="1"/>
  <c r="BP297" i="2"/>
  <c r="BN297" i="2"/>
  <c r="BQ297" i="2" s="1"/>
  <c r="BT296" i="2"/>
  <c r="BR296" i="2"/>
  <c r="BP296" i="2"/>
  <c r="BN296" i="2"/>
  <c r="BV289" i="2"/>
  <c r="BC288" i="2"/>
  <c r="BC287" i="2"/>
  <c r="BE288" i="2"/>
  <c r="BE287" i="2"/>
  <c r="BE285" i="2"/>
  <c r="BC285" i="2"/>
  <c r="BC283" i="2"/>
  <c r="BC282" i="2"/>
  <c r="BC281" i="2"/>
  <c r="BC280" i="2"/>
  <c r="BC279" i="2"/>
  <c r="BC278" i="2"/>
  <c r="BC277" i="2"/>
  <c r="BC276" i="2"/>
  <c r="BC275" i="2"/>
  <c r="BE283" i="2"/>
  <c r="BE282" i="2"/>
  <c r="P283" i="2"/>
  <c r="O281" i="2"/>
  <c r="O280" i="2"/>
  <c r="O279" i="2"/>
  <c r="O278" i="2"/>
  <c r="O288" i="2" s="1"/>
  <c r="O277" i="2"/>
  <c r="O276" i="2"/>
  <c r="O285" i="2" s="1"/>
  <c r="O275" i="2"/>
  <c r="BS281" i="2"/>
  <c r="BS280" i="2"/>
  <c r="BS279" i="2"/>
  <c r="BQ281" i="2"/>
  <c r="BQ280" i="2"/>
  <c r="BQ279" i="2"/>
  <c r="BL281" i="2"/>
  <c r="BE281" i="2"/>
  <c r="BL280" i="2"/>
  <c r="BO280" i="2" s="1"/>
  <c r="BE280" i="2"/>
  <c r="BL279" i="2"/>
  <c r="BE279" i="2"/>
  <c r="AO281" i="2"/>
  <c r="AP281" i="2" s="1"/>
  <c r="AN281" i="2"/>
  <c r="AM281" i="2"/>
  <c r="AV281" i="2" s="1"/>
  <c r="AK281" i="2"/>
  <c r="AT281" i="2" s="1"/>
  <c r="AI281" i="2"/>
  <c r="AR281" i="2" s="1"/>
  <c r="AG281" i="2"/>
  <c r="AF281" i="2"/>
  <c r="AE281" i="2"/>
  <c r="AC281" i="2"/>
  <c r="AA281" i="2"/>
  <c r="Y281" i="2"/>
  <c r="Z281" i="2" s="1"/>
  <c r="W281" i="2"/>
  <c r="X281" i="2" s="1"/>
  <c r="U281" i="2"/>
  <c r="T281" i="2"/>
  <c r="S281" i="2"/>
  <c r="Q281" i="2"/>
  <c r="R281" i="2" s="1"/>
  <c r="P281" i="2"/>
  <c r="AO280" i="2"/>
  <c r="AX280" i="2" s="1"/>
  <c r="AM280" i="2"/>
  <c r="AV280" i="2" s="1"/>
  <c r="AK280" i="2"/>
  <c r="AI280" i="2"/>
  <c r="AR280" i="2" s="1"/>
  <c r="AG280" i="2"/>
  <c r="AE280" i="2"/>
  <c r="AC280" i="2"/>
  <c r="AA280" i="2"/>
  <c r="Y280" i="2"/>
  <c r="W280" i="2"/>
  <c r="X280" i="2" s="1"/>
  <c r="U280" i="2"/>
  <c r="V280" i="2" s="1"/>
  <c r="S280" i="2"/>
  <c r="Q280" i="2"/>
  <c r="R280" i="2" s="1"/>
  <c r="P280" i="2"/>
  <c r="AO279" i="2"/>
  <c r="AX279" i="2" s="1"/>
  <c r="AM279" i="2"/>
  <c r="AN279" i="2" s="1"/>
  <c r="AK279" i="2"/>
  <c r="AT279" i="2" s="1"/>
  <c r="AI279" i="2"/>
  <c r="AR279" i="2" s="1"/>
  <c r="AH279" i="2"/>
  <c r="AG279" i="2"/>
  <c r="AE279" i="2"/>
  <c r="AC279" i="2"/>
  <c r="AD279" i="2" s="1"/>
  <c r="AA279" i="2"/>
  <c r="Y279" i="2"/>
  <c r="Z279" i="2" s="1"/>
  <c r="W279" i="2"/>
  <c r="X279" i="2" s="1"/>
  <c r="U279" i="2"/>
  <c r="V279" i="2" s="1"/>
  <c r="S279" i="2"/>
  <c r="T279" i="2" s="1"/>
  <c r="R279" i="2"/>
  <c r="Q279" i="2"/>
  <c r="P279" i="2"/>
  <c r="BU281" i="2"/>
  <c r="BU280" i="2"/>
  <c r="BU279" i="2"/>
  <c r="BE278" i="2"/>
  <c r="BE277" i="2"/>
  <c r="BE276" i="2"/>
  <c r="BE275" i="2"/>
  <c r="AO278" i="2"/>
  <c r="AM278" i="2"/>
  <c r="AN278" i="2" s="1"/>
  <c r="AK278" i="2"/>
  <c r="AI278" i="2"/>
  <c r="AG278" i="2"/>
  <c r="AE278" i="2"/>
  <c r="AF278" i="2" s="1"/>
  <c r="AC278" i="2"/>
  <c r="AB278" i="2"/>
  <c r="AA278" i="2"/>
  <c r="Y278" i="2"/>
  <c r="W278" i="2"/>
  <c r="X278" i="2" s="1"/>
  <c r="U278" i="2"/>
  <c r="S278" i="2"/>
  <c r="Q278" i="2"/>
  <c r="AO277" i="2"/>
  <c r="AM277" i="2"/>
  <c r="AN277" i="2" s="1"/>
  <c r="AK277" i="2"/>
  <c r="AI277" i="2"/>
  <c r="AJ277" i="2" s="1"/>
  <c r="AG277" i="2"/>
  <c r="AH277" i="2" s="1"/>
  <c r="AE277" i="2"/>
  <c r="AF277" i="2" s="1"/>
  <c r="AC277" i="2"/>
  <c r="AD277" i="2" s="1"/>
  <c r="AB277" i="2"/>
  <c r="AA277" i="2"/>
  <c r="Y277" i="2"/>
  <c r="W277" i="2"/>
  <c r="X277" i="2" s="1"/>
  <c r="U277" i="2"/>
  <c r="V277" i="2" s="1"/>
  <c r="S277" i="2"/>
  <c r="T277" i="2" s="1"/>
  <c r="Q277" i="2"/>
  <c r="R277" i="2" s="1"/>
  <c r="P277" i="2"/>
  <c r="AO276" i="2"/>
  <c r="AQ276" i="2" s="1"/>
  <c r="AM276" i="2"/>
  <c r="AM285" i="2" s="1"/>
  <c r="AK276" i="2"/>
  <c r="AI276" i="2"/>
  <c r="AG276" i="2"/>
  <c r="AH276" i="2" s="1"/>
  <c r="AE276" i="2"/>
  <c r="AE285" i="2" s="1"/>
  <c r="AC276" i="2"/>
  <c r="AD276" i="2" s="1"/>
  <c r="AB276" i="2"/>
  <c r="AA276" i="2"/>
  <c r="AA285" i="2" s="1"/>
  <c r="Y276" i="2"/>
  <c r="W276" i="2"/>
  <c r="W285" i="2" s="1"/>
  <c r="U276" i="2"/>
  <c r="V276" i="2" s="1"/>
  <c r="S276" i="2"/>
  <c r="Q276" i="2"/>
  <c r="R276" i="2" s="1"/>
  <c r="P276" i="2"/>
  <c r="P275" i="2"/>
  <c r="BV272" i="2"/>
  <c r="BC271" i="2"/>
  <c r="BC270" i="2"/>
  <c r="BE271" i="2"/>
  <c r="BE270" i="2"/>
  <c r="O271" i="2"/>
  <c r="O272" i="2" s="1"/>
  <c r="P272" i="2" s="1"/>
  <c r="BE268" i="2"/>
  <c r="BC268" i="2"/>
  <c r="AO268" i="2"/>
  <c r="AM268" i="2"/>
  <c r="AK268" i="2"/>
  <c r="AI268" i="2"/>
  <c r="AG268" i="2"/>
  <c r="AE268" i="2"/>
  <c r="AC268" i="2"/>
  <c r="AA268" i="2"/>
  <c r="Y268" i="2"/>
  <c r="W268" i="2"/>
  <c r="U268" i="2"/>
  <c r="S268" i="2"/>
  <c r="T268" i="2" s="1"/>
  <c r="Q268" i="2"/>
  <c r="O268" i="2"/>
  <c r="P268" i="2" s="1"/>
  <c r="BE266" i="2"/>
  <c r="BC266" i="2"/>
  <c r="BL263" i="2"/>
  <c r="BL262" i="2"/>
  <c r="BL261" i="2"/>
  <c r="BJ263" i="2"/>
  <c r="BV263" i="2" s="1"/>
  <c r="BJ262" i="2"/>
  <c r="BV262" i="2" s="1"/>
  <c r="BJ261" i="2"/>
  <c r="BJ260" i="2"/>
  <c r="BJ259" i="2"/>
  <c r="BJ258" i="2"/>
  <c r="BH263" i="2"/>
  <c r="BH262" i="2"/>
  <c r="BK262" i="2" s="1"/>
  <c r="BH261" i="2"/>
  <c r="BK261" i="2" s="1"/>
  <c r="BH260" i="2"/>
  <c r="BH259" i="2"/>
  <c r="BH258" i="2"/>
  <c r="BH268" i="2" s="1"/>
  <c r="BF263" i="2"/>
  <c r="BG263" i="2" s="1"/>
  <c r="BF262" i="2"/>
  <c r="BF261" i="2"/>
  <c r="BF260" i="2"/>
  <c r="BF259" i="2"/>
  <c r="BF268" i="2" s="1"/>
  <c r="BF258" i="2"/>
  <c r="BK258" i="2"/>
  <c r="BG262" i="2"/>
  <c r="BG258" i="2"/>
  <c r="BE263" i="2"/>
  <c r="BE262" i="2"/>
  <c r="BE261" i="2"/>
  <c r="BE260" i="2"/>
  <c r="BE259" i="2"/>
  <c r="BE258" i="2"/>
  <c r="BE257" i="2"/>
  <c r="BC264" i="2"/>
  <c r="BC263" i="2"/>
  <c r="BC262" i="2"/>
  <c r="BC261" i="2"/>
  <c r="BC260" i="2"/>
  <c r="BC259" i="2"/>
  <c r="BC258" i="2"/>
  <c r="BC257" i="2"/>
  <c r="AX263" i="2"/>
  <c r="AX262" i="2"/>
  <c r="AX261" i="2"/>
  <c r="AV263" i="2"/>
  <c r="AV262" i="2"/>
  <c r="AV261" i="2"/>
  <c r="AT263" i="2"/>
  <c r="AT262" i="2"/>
  <c r="AT261" i="2"/>
  <c r="AR263" i="2"/>
  <c r="AR262" i="2"/>
  <c r="AR261" i="2"/>
  <c r="AP263" i="2"/>
  <c r="AP262" i="2"/>
  <c r="AP261" i="2"/>
  <c r="AP260" i="2"/>
  <c r="AP259" i="2"/>
  <c r="AP258" i="2"/>
  <c r="AN263" i="2"/>
  <c r="AN262" i="2"/>
  <c r="AN261" i="2"/>
  <c r="AN260" i="2"/>
  <c r="AN259" i="2"/>
  <c r="AN258" i="2"/>
  <c r="AL263" i="2"/>
  <c r="AL262" i="2"/>
  <c r="AL261" i="2"/>
  <c r="AL260" i="2"/>
  <c r="AL259" i="2"/>
  <c r="AL258" i="2"/>
  <c r="AJ263" i="2"/>
  <c r="AJ262" i="2"/>
  <c r="AJ261" i="2"/>
  <c r="AJ260" i="2"/>
  <c r="AJ259" i="2"/>
  <c r="AJ258" i="2"/>
  <c r="AH263" i="2"/>
  <c r="AH262" i="2"/>
  <c r="AH261" i="2"/>
  <c r="AH260" i="2"/>
  <c r="AH259" i="2"/>
  <c r="AH258" i="2"/>
  <c r="AF263" i="2"/>
  <c r="AF262" i="2"/>
  <c r="AF261" i="2"/>
  <c r="AF260" i="2"/>
  <c r="AF259" i="2"/>
  <c r="AF258" i="2"/>
  <c r="AD263" i="2"/>
  <c r="AD262" i="2"/>
  <c r="AD261" i="2"/>
  <c r="AD260" i="2"/>
  <c r="AD259" i="2"/>
  <c r="AD258" i="2"/>
  <c r="AB263" i="2"/>
  <c r="AB262" i="2"/>
  <c r="AB261" i="2"/>
  <c r="AB260" i="2"/>
  <c r="AB259" i="2"/>
  <c r="AB258" i="2"/>
  <c r="Z263" i="2"/>
  <c r="Z262" i="2"/>
  <c r="Z261" i="2"/>
  <c r="Z260" i="2"/>
  <c r="Z259" i="2"/>
  <c r="Z258" i="2"/>
  <c r="O264" i="2"/>
  <c r="Q257" i="2" s="1"/>
  <c r="BS263" i="2"/>
  <c r="BS262" i="2"/>
  <c r="BS261" i="2"/>
  <c r="BQ263" i="2"/>
  <c r="BQ262" i="2"/>
  <c r="BQ261" i="2"/>
  <c r="BO263" i="2"/>
  <c r="BO262" i="2"/>
  <c r="BO261" i="2"/>
  <c r="BM263" i="2"/>
  <c r="BM261" i="2"/>
  <c r="X263" i="2"/>
  <c r="X262" i="2"/>
  <c r="X261" i="2"/>
  <c r="X260" i="2"/>
  <c r="X259" i="2"/>
  <c r="X258" i="2"/>
  <c r="V263" i="2"/>
  <c r="V262" i="2"/>
  <c r="V261" i="2"/>
  <c r="V260" i="2"/>
  <c r="V259" i="2"/>
  <c r="V258" i="2"/>
  <c r="T263" i="2"/>
  <c r="T262" i="2"/>
  <c r="T261" i="2"/>
  <c r="T260" i="2"/>
  <c r="T259" i="2"/>
  <c r="T258" i="2"/>
  <c r="R263" i="2"/>
  <c r="R262" i="2"/>
  <c r="R261" i="2"/>
  <c r="R260" i="2"/>
  <c r="R259" i="2"/>
  <c r="R258" i="2"/>
  <c r="P263" i="2"/>
  <c r="P262" i="2"/>
  <c r="P261" i="2"/>
  <c r="P260" i="2"/>
  <c r="P271" i="2" s="1"/>
  <c r="P259" i="2"/>
  <c r="P258" i="2"/>
  <c r="P257" i="2"/>
  <c r="AQ258" i="2"/>
  <c r="AS258" i="2" s="1"/>
  <c r="BU263" i="2"/>
  <c r="BU262" i="2"/>
  <c r="BV261" i="2"/>
  <c r="BU261" i="2"/>
  <c r="BV254" i="2"/>
  <c r="BC253" i="2"/>
  <c r="BC252" i="2"/>
  <c r="BE253" i="2"/>
  <c r="BE252" i="2"/>
  <c r="O253" i="2"/>
  <c r="O254" i="2" s="1"/>
  <c r="P254" i="2" s="1"/>
  <c r="BE250" i="2"/>
  <c r="BC250" i="2"/>
  <c r="AX250" i="2"/>
  <c r="AO250" i="2"/>
  <c r="AP250" i="2" s="1"/>
  <c r="AM250" i="2"/>
  <c r="AV250" i="2" s="1"/>
  <c r="AK250" i="2"/>
  <c r="AT250" i="2" s="1"/>
  <c r="AI250" i="2"/>
  <c r="AJ250" i="2" s="1"/>
  <c r="AH250" i="2"/>
  <c r="AG250" i="2"/>
  <c r="AE250" i="2"/>
  <c r="AC250" i="2"/>
  <c r="AD250" i="2" s="1"/>
  <c r="AA250" i="2"/>
  <c r="Y250" i="2"/>
  <c r="Z250" i="2" s="1"/>
  <c r="W250" i="2"/>
  <c r="X250" i="2" s="1"/>
  <c r="U250" i="2"/>
  <c r="V250" i="2" s="1"/>
  <c r="S250" i="2"/>
  <c r="T250" i="2" s="1"/>
  <c r="R250" i="2"/>
  <c r="Q250" i="2"/>
  <c r="O250" i="2"/>
  <c r="P250" i="2" s="1"/>
  <c r="BE248" i="2"/>
  <c r="BC248" i="2"/>
  <c r="P248" i="2"/>
  <c r="BL245" i="2"/>
  <c r="BL244" i="2"/>
  <c r="BL243" i="2"/>
  <c r="BO243" i="2" s="1"/>
  <c r="BJ245" i="2"/>
  <c r="BJ244" i="2"/>
  <c r="BJ243" i="2"/>
  <c r="BJ242" i="2"/>
  <c r="BK242" i="2" s="1"/>
  <c r="BJ241" i="2"/>
  <c r="BJ240" i="2"/>
  <c r="BJ250" i="2" s="1"/>
  <c r="BH245" i="2"/>
  <c r="BK245" i="2" s="1"/>
  <c r="BH244" i="2"/>
  <c r="BK244" i="2" s="1"/>
  <c r="BH243" i="2"/>
  <c r="BH242" i="2"/>
  <c r="BH241" i="2"/>
  <c r="BK241" i="2" s="1"/>
  <c r="BH240" i="2"/>
  <c r="BK240" i="2" s="1"/>
  <c r="BF245" i="2"/>
  <c r="BG245" i="2" s="1"/>
  <c r="BF244" i="2"/>
  <c r="BG244" i="2" s="1"/>
  <c r="BF243" i="2"/>
  <c r="BG243" i="2" s="1"/>
  <c r="BF242" i="2"/>
  <c r="BG242" i="2" s="1"/>
  <c r="BF241" i="2"/>
  <c r="BG241" i="2" s="1"/>
  <c r="BF240" i="2"/>
  <c r="BF250" i="2" s="1"/>
  <c r="BI242" i="2"/>
  <c r="BE245" i="2"/>
  <c r="BE244" i="2"/>
  <c r="BE243" i="2"/>
  <c r="BE242" i="2"/>
  <c r="BE241" i="2"/>
  <c r="BE240" i="2"/>
  <c r="BE239" i="2"/>
  <c r="BC246" i="2"/>
  <c r="BC245" i="2"/>
  <c r="BC244" i="2"/>
  <c r="BC243" i="2"/>
  <c r="BC242" i="2"/>
  <c r="BC241" i="2"/>
  <c r="BC240" i="2"/>
  <c r="BC239" i="2"/>
  <c r="AX245" i="2"/>
  <c r="AX244" i="2"/>
  <c r="AX243" i="2"/>
  <c r="AV245" i="2"/>
  <c r="AV244" i="2"/>
  <c r="AV243" i="2"/>
  <c r="AT245" i="2"/>
  <c r="AT244" i="2"/>
  <c r="AT243" i="2"/>
  <c r="AR245" i="2"/>
  <c r="AR244" i="2"/>
  <c r="AR243" i="2"/>
  <c r="AP245" i="2"/>
  <c r="AP244" i="2"/>
  <c r="AP243" i="2"/>
  <c r="AP242" i="2"/>
  <c r="AP241" i="2"/>
  <c r="AP240" i="2"/>
  <c r="AN245" i="2"/>
  <c r="AN244" i="2"/>
  <c r="AN243" i="2"/>
  <c r="AN242" i="2"/>
  <c r="AN241" i="2"/>
  <c r="AN240" i="2"/>
  <c r="AL245" i="2"/>
  <c r="AL244" i="2"/>
  <c r="AL243" i="2"/>
  <c r="AL242" i="2"/>
  <c r="AL241" i="2"/>
  <c r="AL240" i="2"/>
  <c r="AJ245" i="2"/>
  <c r="AJ244" i="2"/>
  <c r="AJ243" i="2"/>
  <c r="AJ242" i="2"/>
  <c r="AJ241" i="2"/>
  <c r="AJ240" i="2"/>
  <c r="AH245" i="2"/>
  <c r="AH244" i="2"/>
  <c r="AH243" i="2"/>
  <c r="AH242" i="2"/>
  <c r="AH241" i="2"/>
  <c r="AH240" i="2"/>
  <c r="AF245" i="2"/>
  <c r="AF244" i="2"/>
  <c r="AF243" i="2"/>
  <c r="AF242" i="2"/>
  <c r="AF241" i="2"/>
  <c r="AF240" i="2"/>
  <c r="AD245" i="2"/>
  <c r="AD244" i="2"/>
  <c r="AD243" i="2"/>
  <c r="AD242" i="2"/>
  <c r="AD241" i="2"/>
  <c r="AD240" i="2"/>
  <c r="AB245" i="2"/>
  <c r="AB244" i="2"/>
  <c r="AB243" i="2"/>
  <c r="AB242" i="2"/>
  <c r="AB241" i="2"/>
  <c r="AB240" i="2"/>
  <c r="Z245" i="2"/>
  <c r="Z244" i="2"/>
  <c r="Z243" i="2"/>
  <c r="Z242" i="2"/>
  <c r="Z241" i="2"/>
  <c r="Z240" i="2"/>
  <c r="P246" i="2"/>
  <c r="O246" i="2"/>
  <c r="BS245" i="2"/>
  <c r="BS244" i="2"/>
  <c r="BS243" i="2"/>
  <c r="BQ245" i="2"/>
  <c r="BQ244" i="2"/>
  <c r="BQ243" i="2"/>
  <c r="BO245" i="2"/>
  <c r="BO244" i="2"/>
  <c r="BM245" i="2"/>
  <c r="BM244" i="2"/>
  <c r="X245" i="2"/>
  <c r="X244" i="2"/>
  <c r="X243" i="2"/>
  <c r="X242" i="2"/>
  <c r="X241" i="2"/>
  <c r="X240" i="2"/>
  <c r="V245" i="2"/>
  <c r="V244" i="2"/>
  <c r="V243" i="2"/>
  <c r="V242" i="2"/>
  <c r="V241" i="2"/>
  <c r="V240" i="2"/>
  <c r="T245" i="2"/>
  <c r="T244" i="2"/>
  <c r="T243" i="2"/>
  <c r="T242" i="2"/>
  <c r="T241" i="2"/>
  <c r="T240" i="2"/>
  <c r="R245" i="2"/>
  <c r="R244" i="2"/>
  <c r="R243" i="2"/>
  <c r="R242" i="2"/>
  <c r="R241" i="2"/>
  <c r="R240" i="2"/>
  <c r="P245" i="2"/>
  <c r="P244" i="2"/>
  <c r="P243" i="2"/>
  <c r="P242" i="2"/>
  <c r="P241" i="2"/>
  <c r="P240" i="2"/>
  <c r="P239" i="2"/>
  <c r="AQ240" i="2"/>
  <c r="BV245" i="2"/>
  <c r="BU245" i="2"/>
  <c r="BV244" i="2"/>
  <c r="BU244" i="2"/>
  <c r="BV243" i="2"/>
  <c r="BU243" i="2"/>
  <c r="Q239" i="2"/>
  <c r="Q253" i="2" s="1"/>
  <c r="Q254" i="2" s="1"/>
  <c r="R254" i="2" s="1"/>
  <c r="BV236" i="2"/>
  <c r="O236" i="2"/>
  <c r="P236" i="2" s="1"/>
  <c r="BC235" i="2"/>
  <c r="BC234" i="2"/>
  <c r="BE235" i="2"/>
  <c r="BE234" i="2"/>
  <c r="O235" i="2"/>
  <c r="O234" i="2"/>
  <c r="BE232" i="2"/>
  <c r="BC232" i="2"/>
  <c r="AO232" i="2"/>
  <c r="AQ232" i="2" s="1"/>
  <c r="AN232" i="2"/>
  <c r="AM232" i="2"/>
  <c r="AK232" i="2"/>
  <c r="AI232" i="2"/>
  <c r="AJ232" i="2" s="1"/>
  <c r="AG232" i="2"/>
  <c r="AF232" i="2"/>
  <c r="AE232" i="2"/>
  <c r="AC232" i="2"/>
  <c r="AD232" i="2" s="1"/>
  <c r="AA232" i="2"/>
  <c r="AB232" i="2" s="1"/>
  <c r="Y232" i="2"/>
  <c r="Z232" i="2" s="1"/>
  <c r="X232" i="2"/>
  <c r="W232" i="2"/>
  <c r="U232" i="2"/>
  <c r="V232" i="2" s="1"/>
  <c r="S232" i="2"/>
  <c r="T232" i="2" s="1"/>
  <c r="Q232" i="2"/>
  <c r="R232" i="2" s="1"/>
  <c r="P232" i="2"/>
  <c r="O232" i="2"/>
  <c r="BE230" i="2"/>
  <c r="BC230" i="2"/>
  <c r="BL225" i="2"/>
  <c r="BJ227" i="2"/>
  <c r="BJ226" i="2"/>
  <c r="BV226" i="2" s="1"/>
  <c r="BJ225" i="2"/>
  <c r="BJ224" i="2"/>
  <c r="BJ223" i="2"/>
  <c r="BK223" i="2" s="1"/>
  <c r="BJ222" i="2"/>
  <c r="BJ232" i="2" s="1"/>
  <c r="BH227" i="2"/>
  <c r="BH226" i="2"/>
  <c r="BH225" i="2"/>
  <c r="BH224" i="2"/>
  <c r="BK224" i="2" s="1"/>
  <c r="BH223" i="2"/>
  <c r="BH222" i="2"/>
  <c r="BH232" i="2" s="1"/>
  <c r="BF227" i="2"/>
  <c r="BI227" i="2" s="1"/>
  <c r="BF226" i="2"/>
  <c r="BG226" i="2" s="1"/>
  <c r="BF225" i="2"/>
  <c r="BF224" i="2"/>
  <c r="BG224" i="2" s="1"/>
  <c r="BF223" i="2"/>
  <c r="BI223" i="2" s="1"/>
  <c r="BF222" i="2"/>
  <c r="BF232" i="2" s="1"/>
  <c r="AQ227" i="2"/>
  <c r="AQ226" i="2"/>
  <c r="BK227" i="2"/>
  <c r="BK225" i="2"/>
  <c r="BI225" i="2"/>
  <c r="BG225" i="2"/>
  <c r="BE227" i="2"/>
  <c r="BE226" i="2"/>
  <c r="BE225" i="2"/>
  <c r="BE224" i="2"/>
  <c r="BE223" i="2"/>
  <c r="BE222" i="2"/>
  <c r="BE221" i="2"/>
  <c r="BC228" i="2"/>
  <c r="BC227" i="2"/>
  <c r="BC226" i="2"/>
  <c r="BC225" i="2"/>
  <c r="BC224" i="2"/>
  <c r="BC223" i="2"/>
  <c r="BC222" i="2"/>
  <c r="BC221" i="2"/>
  <c r="AX225" i="2"/>
  <c r="AV225" i="2"/>
  <c r="AT225" i="2"/>
  <c r="AR227" i="2"/>
  <c r="AR225" i="2"/>
  <c r="AP227" i="2"/>
  <c r="AP226" i="2"/>
  <c r="AP225" i="2"/>
  <c r="AP224" i="2"/>
  <c r="AP223" i="2"/>
  <c r="AP222" i="2"/>
  <c r="AN227" i="2"/>
  <c r="AN226" i="2"/>
  <c r="AN225" i="2"/>
  <c r="AN224" i="2"/>
  <c r="AN223" i="2"/>
  <c r="AN222" i="2"/>
  <c r="AL227" i="2"/>
  <c r="AL226" i="2"/>
  <c r="AL225" i="2"/>
  <c r="AL224" i="2"/>
  <c r="AL223" i="2"/>
  <c r="AL222" i="2"/>
  <c r="AJ227" i="2"/>
  <c r="AJ226" i="2"/>
  <c r="AJ225" i="2"/>
  <c r="AJ224" i="2"/>
  <c r="AJ223" i="2"/>
  <c r="AJ222" i="2"/>
  <c r="AH227" i="2"/>
  <c r="AH226" i="2"/>
  <c r="AH225" i="2"/>
  <c r="AH224" i="2"/>
  <c r="AH223" i="2"/>
  <c r="AH222" i="2"/>
  <c r="AF227" i="2"/>
  <c r="AF226" i="2"/>
  <c r="AF225" i="2"/>
  <c r="AF224" i="2"/>
  <c r="AF223" i="2"/>
  <c r="AF222" i="2"/>
  <c r="AD227" i="2"/>
  <c r="AD226" i="2"/>
  <c r="AD225" i="2"/>
  <c r="AD224" i="2"/>
  <c r="AD223" i="2"/>
  <c r="AD222" i="2"/>
  <c r="AB227" i="2"/>
  <c r="AB226" i="2"/>
  <c r="AB225" i="2"/>
  <c r="AB224" i="2"/>
  <c r="AB223" i="2"/>
  <c r="AB222" i="2"/>
  <c r="Z227" i="2"/>
  <c r="Z226" i="2"/>
  <c r="Z225" i="2"/>
  <c r="Z224" i="2"/>
  <c r="Z223" i="2"/>
  <c r="Z222" i="2"/>
  <c r="O228" i="2"/>
  <c r="P228" i="2" s="1"/>
  <c r="BS227" i="2"/>
  <c r="BS226" i="2"/>
  <c r="BS225" i="2"/>
  <c r="BQ227" i="2"/>
  <c r="BQ226" i="2"/>
  <c r="BQ225" i="2"/>
  <c r="BO225" i="2"/>
  <c r="BM225" i="2"/>
  <c r="X227" i="2"/>
  <c r="X226" i="2"/>
  <c r="X225" i="2"/>
  <c r="X224" i="2"/>
  <c r="X223" i="2"/>
  <c r="X222" i="2"/>
  <c r="V227" i="2"/>
  <c r="V226" i="2"/>
  <c r="V225" i="2"/>
  <c r="V224" i="2"/>
  <c r="V223" i="2"/>
  <c r="V222" i="2"/>
  <c r="T227" i="2"/>
  <c r="T226" i="2"/>
  <c r="T225" i="2"/>
  <c r="T224" i="2"/>
  <c r="T223" i="2"/>
  <c r="T222" i="2"/>
  <c r="R227" i="2"/>
  <c r="R226" i="2"/>
  <c r="R225" i="2"/>
  <c r="R224" i="2"/>
  <c r="R223" i="2"/>
  <c r="R222" i="2"/>
  <c r="P227" i="2"/>
  <c r="P226" i="2"/>
  <c r="P225" i="2"/>
  <c r="P224" i="2"/>
  <c r="P235" i="2" s="1"/>
  <c r="P223" i="2"/>
  <c r="P222" i="2"/>
  <c r="P221" i="2"/>
  <c r="AQ222" i="2"/>
  <c r="BV227" i="2"/>
  <c r="BU227" i="2"/>
  <c r="BU226" i="2"/>
  <c r="BV225" i="2"/>
  <c r="BU225" i="2"/>
  <c r="C217" i="2"/>
  <c r="C218" i="2" s="1"/>
  <c r="U214" i="2"/>
  <c r="T214" i="2"/>
  <c r="S214" i="2"/>
  <c r="Q214" i="2"/>
  <c r="O214" i="2"/>
  <c r="P214" i="2" s="1"/>
  <c r="M214" i="2"/>
  <c r="L214" i="2"/>
  <c r="K214" i="2"/>
  <c r="I214" i="2"/>
  <c r="J214" i="2" s="1"/>
  <c r="G214" i="2"/>
  <c r="H214" i="2" s="1"/>
  <c r="E214" i="2"/>
  <c r="D214" i="2"/>
  <c r="C214" i="2"/>
  <c r="C216" i="2" s="1"/>
  <c r="V210" i="2"/>
  <c r="V209" i="2"/>
  <c r="V208" i="2"/>
  <c r="V207" i="2"/>
  <c r="V206" i="2"/>
  <c r="V205" i="2"/>
  <c r="T210" i="2"/>
  <c r="T209" i="2"/>
  <c r="T208" i="2"/>
  <c r="T207" i="2"/>
  <c r="T206" i="2"/>
  <c r="T205" i="2"/>
  <c r="R210" i="2"/>
  <c r="R209" i="2"/>
  <c r="R208" i="2"/>
  <c r="R207" i="2"/>
  <c r="R206" i="2"/>
  <c r="R205" i="2"/>
  <c r="O210" i="2"/>
  <c r="P210" i="2" s="1"/>
  <c r="N210" i="2"/>
  <c r="L210" i="2"/>
  <c r="L209" i="2"/>
  <c r="L208" i="2"/>
  <c r="L207" i="2"/>
  <c r="L206" i="2"/>
  <c r="L205" i="2"/>
  <c r="J210" i="2"/>
  <c r="J209" i="2"/>
  <c r="J208" i="2"/>
  <c r="J207" i="2"/>
  <c r="J206" i="2"/>
  <c r="J205" i="2"/>
  <c r="H210" i="2"/>
  <c r="H209" i="2"/>
  <c r="H208" i="2"/>
  <c r="H207" i="2"/>
  <c r="H206" i="2"/>
  <c r="H205" i="2"/>
  <c r="F210" i="2"/>
  <c r="F209" i="2"/>
  <c r="F208" i="2"/>
  <c r="F207" i="2"/>
  <c r="F206" i="2"/>
  <c r="F205" i="2"/>
  <c r="D210" i="2"/>
  <c r="D209" i="2"/>
  <c r="D208" i="2"/>
  <c r="D207" i="2"/>
  <c r="D206" i="2"/>
  <c r="D205" i="2"/>
  <c r="D204" i="2"/>
  <c r="P209" i="2"/>
  <c r="P208" i="2"/>
  <c r="P207" i="2"/>
  <c r="P206" i="2"/>
  <c r="P205" i="2"/>
  <c r="N209" i="2"/>
  <c r="N208" i="2"/>
  <c r="N207" i="2"/>
  <c r="N206" i="2"/>
  <c r="N205" i="2"/>
  <c r="C204" i="2"/>
  <c r="C211" i="2" s="1"/>
  <c r="BU198" i="2"/>
  <c r="BS198" i="2"/>
  <c r="BQ198" i="2"/>
  <c r="BO198" i="2"/>
  <c r="BM198" i="2"/>
  <c r="BK198" i="2"/>
  <c r="BI198" i="2"/>
  <c r="BD194" i="2"/>
  <c r="BB194" i="2"/>
  <c r="AS193" i="2"/>
  <c r="AU193" i="2" s="1"/>
  <c r="AS190" i="2"/>
  <c r="AU190" i="2" s="1"/>
  <c r="AS189" i="2"/>
  <c r="AQ194" i="2"/>
  <c r="BE193" i="2"/>
  <c r="BE192" i="2"/>
  <c r="BE191" i="2"/>
  <c r="BE190" i="2"/>
  <c r="BE189" i="2"/>
  <c r="BC193" i="2"/>
  <c r="BC192" i="2"/>
  <c r="BC191" i="2"/>
  <c r="BC190" i="2"/>
  <c r="BC189" i="2"/>
  <c r="BD186" i="2"/>
  <c r="BL186" i="2"/>
  <c r="BN186" i="2" s="1"/>
  <c r="BJ186" i="2"/>
  <c r="BK186" i="2" s="1"/>
  <c r="BH186" i="2"/>
  <c r="BG186" i="2"/>
  <c r="BF186" i="2"/>
  <c r="AX186" i="2"/>
  <c r="AV186" i="2"/>
  <c r="AT186" i="2"/>
  <c r="AR186" i="2"/>
  <c r="AP186" i="2"/>
  <c r="AN186" i="2"/>
  <c r="AL186" i="2"/>
  <c r="AJ186" i="2"/>
  <c r="AH186" i="2"/>
  <c r="AF186" i="2"/>
  <c r="AD186" i="2"/>
  <c r="AB186" i="2"/>
  <c r="Z186" i="2"/>
  <c r="X186" i="2"/>
  <c r="V186" i="2"/>
  <c r="T186" i="2"/>
  <c r="R186" i="2"/>
  <c r="P186" i="2"/>
  <c r="L186" i="2"/>
  <c r="J186" i="2"/>
  <c r="H186" i="2"/>
  <c r="E186" i="2"/>
  <c r="N186" i="2" s="1"/>
  <c r="D186" i="2"/>
  <c r="C186" i="2"/>
  <c r="AN183" i="2"/>
  <c r="AN181" i="2"/>
  <c r="AL183" i="2"/>
  <c r="AJ183" i="2"/>
  <c r="AH183" i="2"/>
  <c r="AF183" i="2"/>
  <c r="AF181" i="2"/>
  <c r="AD183" i="2"/>
  <c r="AB183" i="2"/>
  <c r="Z183" i="2"/>
  <c r="X183" i="2"/>
  <c r="X181" i="2"/>
  <c r="V183" i="2"/>
  <c r="T183" i="2"/>
  <c r="R183" i="2"/>
  <c r="P183" i="2"/>
  <c r="P181" i="2"/>
  <c r="N183" i="2"/>
  <c r="L183" i="2"/>
  <c r="J183" i="2"/>
  <c r="H183" i="2"/>
  <c r="H181" i="2"/>
  <c r="F183" i="2"/>
  <c r="D183" i="2"/>
  <c r="AO181" i="2"/>
  <c r="AP181" i="2" s="1"/>
  <c r="AM181" i="2"/>
  <c r="AM182" i="2" s="1"/>
  <c r="AK181" i="2"/>
  <c r="BJ181" i="2" s="1"/>
  <c r="AI181" i="2"/>
  <c r="AI182" i="2" s="1"/>
  <c r="AG181" i="2"/>
  <c r="AH181" i="2" s="1"/>
  <c r="AE181" i="2"/>
  <c r="AE182" i="2" s="1"/>
  <c r="AC181" i="2"/>
  <c r="AA181" i="2"/>
  <c r="AA182" i="2" s="1"/>
  <c r="Y181" i="2"/>
  <c r="Z181" i="2" s="1"/>
  <c r="W181" i="2"/>
  <c r="W182" i="2" s="1"/>
  <c r="U181" i="2"/>
  <c r="BF181" i="2" s="1"/>
  <c r="S181" i="2"/>
  <c r="S182" i="2" s="1"/>
  <c r="Q181" i="2"/>
  <c r="R181" i="2" s="1"/>
  <c r="O181" i="2"/>
  <c r="O182" i="2" s="1"/>
  <c r="M181" i="2"/>
  <c r="N181" i="2" s="1"/>
  <c r="K181" i="2"/>
  <c r="K182" i="2" s="1"/>
  <c r="I181" i="2"/>
  <c r="J181" i="2" s="1"/>
  <c r="G181" i="2"/>
  <c r="G182" i="2" s="1"/>
  <c r="E181" i="2"/>
  <c r="BB181" i="2" s="1"/>
  <c r="BC181" i="2" s="1"/>
  <c r="C181" i="2"/>
  <c r="C182" i="2" s="1"/>
  <c r="AP183" i="2"/>
  <c r="BJ183" i="2"/>
  <c r="BJ585" i="2" s="1"/>
  <c r="BH183" i="2"/>
  <c r="BH585" i="2" s="1"/>
  <c r="BF183" i="2"/>
  <c r="BF585" i="2" s="1"/>
  <c r="BG585" i="2" s="1"/>
  <c r="BD183" i="2"/>
  <c r="BD585" i="2" s="1"/>
  <c r="BB183" i="2"/>
  <c r="BB585" i="2" s="1"/>
  <c r="BC585" i="2" s="1"/>
  <c r="BH181" i="2"/>
  <c r="BD181" i="2"/>
  <c r="BJ180" i="2"/>
  <c r="BH180" i="2"/>
  <c r="BF180" i="2"/>
  <c r="BD180" i="2"/>
  <c r="BB180" i="2"/>
  <c r="BC180" i="2" s="1"/>
  <c r="BF177" i="2"/>
  <c r="BF178" i="2" s="1"/>
  <c r="BF176" i="2"/>
  <c r="BD177" i="2"/>
  <c r="BD176" i="2"/>
  <c r="BD178" i="2" s="1"/>
  <c r="BB177" i="2"/>
  <c r="BB176" i="2"/>
  <c r="BB178" i="2" s="1"/>
  <c r="AO178" i="2"/>
  <c r="AP178" i="2" s="1"/>
  <c r="AM178" i="2"/>
  <c r="AK178" i="2"/>
  <c r="AI178" i="2"/>
  <c r="AG178" i="2"/>
  <c r="AH178" i="2" s="1"/>
  <c r="AE178" i="2"/>
  <c r="AC178" i="2"/>
  <c r="AA178" i="2"/>
  <c r="Y178" i="2"/>
  <c r="W178" i="2"/>
  <c r="U178" i="2"/>
  <c r="S178" i="2"/>
  <c r="Q178" i="2"/>
  <c r="R178" i="2" s="1"/>
  <c r="O178" i="2"/>
  <c r="M178" i="2"/>
  <c r="K178" i="2"/>
  <c r="I178" i="2"/>
  <c r="J178" i="2" s="1"/>
  <c r="G178" i="2"/>
  <c r="E178" i="2"/>
  <c r="C178" i="2"/>
  <c r="BG177" i="2"/>
  <c r="BE177" i="2"/>
  <c r="BC177" i="2"/>
  <c r="AP177" i="2"/>
  <c r="AP176" i="2"/>
  <c r="AN178" i="2"/>
  <c r="AN177" i="2"/>
  <c r="AN176" i="2"/>
  <c r="AL177" i="2"/>
  <c r="AL176" i="2"/>
  <c r="AJ178" i="2"/>
  <c r="AJ177" i="2"/>
  <c r="AJ176" i="2"/>
  <c r="AH177" i="2"/>
  <c r="AH176" i="2"/>
  <c r="AF178" i="2"/>
  <c r="AF177" i="2"/>
  <c r="AF176" i="2"/>
  <c r="AD177" i="2"/>
  <c r="AD176" i="2"/>
  <c r="AB178" i="2"/>
  <c r="AB177" i="2"/>
  <c r="AB176" i="2"/>
  <c r="Z178" i="2"/>
  <c r="Z177" i="2"/>
  <c r="Z176" i="2"/>
  <c r="X178" i="2"/>
  <c r="X177" i="2"/>
  <c r="X176" i="2"/>
  <c r="V177" i="2"/>
  <c r="V176" i="2"/>
  <c r="T178" i="2"/>
  <c r="T177" i="2"/>
  <c r="T176" i="2"/>
  <c r="R177" i="2"/>
  <c r="R176" i="2"/>
  <c r="P178" i="2"/>
  <c r="P177" i="2"/>
  <c r="P176" i="2"/>
  <c r="N177" i="2"/>
  <c r="N176" i="2"/>
  <c r="L178" i="2"/>
  <c r="L177" i="2"/>
  <c r="L176" i="2"/>
  <c r="J177" i="2"/>
  <c r="J176" i="2"/>
  <c r="H178" i="2"/>
  <c r="H177" i="2"/>
  <c r="H176" i="2"/>
  <c r="F177" i="2"/>
  <c r="F176" i="2"/>
  <c r="D178" i="2"/>
  <c r="D177" i="2"/>
  <c r="D176" i="2"/>
  <c r="BJ177" i="2"/>
  <c r="BH177" i="2"/>
  <c r="BK177" i="2" s="1"/>
  <c r="BJ176" i="2"/>
  <c r="BJ178" i="2" s="1"/>
  <c r="BJ179" i="2" s="1"/>
  <c r="BH176" i="2"/>
  <c r="BC172" i="2"/>
  <c r="BC171" i="2"/>
  <c r="BC170" i="2"/>
  <c r="BC169" i="2"/>
  <c r="O172" i="2"/>
  <c r="O173" i="2" s="1"/>
  <c r="P173" i="2" s="1"/>
  <c r="O170" i="2"/>
  <c r="P170" i="2" s="1"/>
  <c r="BE172" i="2"/>
  <c r="BE171" i="2"/>
  <c r="BE170" i="2"/>
  <c r="BE169" i="2"/>
  <c r="AS173" i="2"/>
  <c r="AU173" i="2" s="1"/>
  <c r="AS170" i="2"/>
  <c r="AU170" i="2" s="1"/>
  <c r="O169" i="2"/>
  <c r="P169" i="2" s="1"/>
  <c r="BE167" i="2"/>
  <c r="BC167" i="2"/>
  <c r="AO167" i="2"/>
  <c r="AM167" i="2"/>
  <c r="AK167" i="2"/>
  <c r="AI167" i="2"/>
  <c r="AG167" i="2"/>
  <c r="AE167" i="2"/>
  <c r="AC167" i="2"/>
  <c r="AA167" i="2"/>
  <c r="Y167" i="2"/>
  <c r="W167" i="2"/>
  <c r="U167" i="2"/>
  <c r="V167" i="2" s="1"/>
  <c r="S167" i="2"/>
  <c r="Q167" i="2"/>
  <c r="R167" i="2" s="1"/>
  <c r="O167" i="2"/>
  <c r="O171" i="2" s="1"/>
  <c r="P171" i="2" s="1"/>
  <c r="BJ165" i="2"/>
  <c r="BJ164" i="2"/>
  <c r="BJ163" i="2"/>
  <c r="BH165" i="2"/>
  <c r="BH164" i="2"/>
  <c r="BH163" i="2"/>
  <c r="AO165" i="2"/>
  <c r="AM165" i="2"/>
  <c r="AK165" i="2"/>
  <c r="AI165" i="2"/>
  <c r="AG165" i="2"/>
  <c r="BE161" i="2"/>
  <c r="BC161" i="2"/>
  <c r="BL158" i="2"/>
  <c r="BJ157" i="2"/>
  <c r="BJ156" i="2"/>
  <c r="BJ155" i="2"/>
  <c r="BH157" i="2"/>
  <c r="BI157" i="2" s="1"/>
  <c r="BH156" i="2"/>
  <c r="BH155" i="2"/>
  <c r="BF157" i="2"/>
  <c r="BF156" i="2"/>
  <c r="BG156" i="2" s="1"/>
  <c r="BF155" i="2"/>
  <c r="AM158" i="2"/>
  <c r="AV158" i="2" s="1"/>
  <c r="AI158" i="2"/>
  <c r="AG158" i="2"/>
  <c r="AE158" i="2"/>
  <c r="AF158" i="2" s="1"/>
  <c r="AC158" i="2"/>
  <c r="AA158" i="2"/>
  <c r="BH158" i="2" s="1"/>
  <c r="BK155" i="2"/>
  <c r="BG157" i="2"/>
  <c r="BG155" i="2"/>
  <c r="BE158" i="2"/>
  <c r="BE157" i="2"/>
  <c r="BE156" i="2"/>
  <c r="BE155" i="2"/>
  <c r="BE154" i="2"/>
  <c r="BC159" i="2"/>
  <c r="BC158" i="2"/>
  <c r="BC157" i="2"/>
  <c r="BC156" i="2"/>
  <c r="BC155" i="2"/>
  <c r="BC154" i="2"/>
  <c r="AX158" i="2"/>
  <c r="AT158" i="2"/>
  <c r="AT155" i="2"/>
  <c r="AR158" i="2"/>
  <c r="AP158" i="2"/>
  <c r="AP157" i="2"/>
  <c r="AP156" i="2"/>
  <c r="AP155" i="2"/>
  <c r="AN157" i="2"/>
  <c r="AN156" i="2"/>
  <c r="AN155" i="2"/>
  <c r="AL158" i="2"/>
  <c r="AL157" i="2"/>
  <c r="AL156" i="2"/>
  <c r="AL155" i="2"/>
  <c r="AJ158" i="2"/>
  <c r="AJ157" i="2"/>
  <c r="AJ156" i="2"/>
  <c r="AJ155" i="2"/>
  <c r="AH158" i="2"/>
  <c r="AH157" i="2"/>
  <c r="AH156" i="2"/>
  <c r="AH155" i="2"/>
  <c r="AF157" i="2"/>
  <c r="AF156" i="2"/>
  <c r="AF155" i="2"/>
  <c r="AD158" i="2"/>
  <c r="AD157" i="2"/>
  <c r="AD156" i="2"/>
  <c r="AD155" i="2"/>
  <c r="AB157" i="2"/>
  <c r="AB156" i="2"/>
  <c r="AB155" i="2"/>
  <c r="Z158" i="2"/>
  <c r="Z157" i="2"/>
  <c r="Z156" i="2"/>
  <c r="Z155" i="2"/>
  <c r="W158" i="2"/>
  <c r="X158" i="2" s="1"/>
  <c r="V158" i="2"/>
  <c r="U158" i="2"/>
  <c r="S158" i="2"/>
  <c r="BF158" i="2" s="1"/>
  <c r="BG158" i="2" s="1"/>
  <c r="R158" i="2"/>
  <c r="Q158" i="2"/>
  <c r="O158" i="2"/>
  <c r="O159" i="2" s="1"/>
  <c r="AW155" i="2"/>
  <c r="AU155" i="2"/>
  <c r="AV155" i="2" s="1"/>
  <c r="AQ155" i="2"/>
  <c r="X157" i="2"/>
  <c r="X156" i="2"/>
  <c r="X155" i="2"/>
  <c r="V157" i="2"/>
  <c r="V156" i="2"/>
  <c r="V155" i="2"/>
  <c r="T157" i="2"/>
  <c r="T156" i="2"/>
  <c r="T155" i="2"/>
  <c r="R157" i="2"/>
  <c r="R156" i="2"/>
  <c r="R155" i="2"/>
  <c r="P157" i="2"/>
  <c r="P156" i="2"/>
  <c r="P155" i="2"/>
  <c r="P154" i="2"/>
  <c r="BN158" i="2"/>
  <c r="BP158" i="2" s="1"/>
  <c r="BE149" i="2"/>
  <c r="BC149" i="2"/>
  <c r="AW145" i="2"/>
  <c r="AW669" i="2" s="1"/>
  <c r="AU145" i="2"/>
  <c r="AU669" i="2" s="1"/>
  <c r="AS145" i="2"/>
  <c r="AS669" i="2" s="1"/>
  <c r="AQ145" i="2"/>
  <c r="AQ669" i="2" s="1"/>
  <c r="AO145" i="2"/>
  <c r="AO669" i="2" s="1"/>
  <c r="AM145" i="2"/>
  <c r="AM669" i="2" s="1"/>
  <c r="AK145" i="2"/>
  <c r="AI145" i="2"/>
  <c r="AI669" i="2" s="1"/>
  <c r="AG145" i="2"/>
  <c r="AG669" i="2" s="1"/>
  <c r="AC145" i="2"/>
  <c r="AC669" i="2" s="1"/>
  <c r="AA145" i="2"/>
  <c r="AA669" i="2" s="1"/>
  <c r="Y145" i="2"/>
  <c r="Y669" i="2" s="1"/>
  <c r="Q145" i="2"/>
  <c r="Q669" i="2" s="1"/>
  <c r="O145" i="2"/>
  <c r="O669" i="2" s="1"/>
  <c r="G145" i="2"/>
  <c r="G669" i="2" s="1"/>
  <c r="E145" i="2"/>
  <c r="E669" i="2" s="1"/>
  <c r="AO138" i="2"/>
  <c r="AM138" i="2"/>
  <c r="AN138" i="2" s="1"/>
  <c r="AM137" i="2"/>
  <c r="AK138" i="2"/>
  <c r="AI138" i="2"/>
  <c r="AI137" i="2"/>
  <c r="AG138" i="2"/>
  <c r="AH138" i="2" s="1"/>
  <c r="AE138" i="2"/>
  <c r="AD138" i="2"/>
  <c r="AC138" i="2"/>
  <c r="AL138" i="2" s="1"/>
  <c r="AA138" i="2"/>
  <c r="Y138" i="2"/>
  <c r="Z138" i="2" s="1"/>
  <c r="W138" i="2"/>
  <c r="U138" i="2"/>
  <c r="V138" i="2" s="1"/>
  <c r="S138" i="2"/>
  <c r="T138" i="2" s="1"/>
  <c r="Q138" i="2"/>
  <c r="O138" i="2"/>
  <c r="N138" i="2"/>
  <c r="M138" i="2"/>
  <c r="K138" i="2"/>
  <c r="I138" i="2"/>
  <c r="J138" i="2" s="1"/>
  <c r="G138" i="2"/>
  <c r="H138" i="2" s="1"/>
  <c r="E138" i="2"/>
  <c r="F138" i="2" s="1"/>
  <c r="C138" i="2"/>
  <c r="D138" i="2" s="1"/>
  <c r="AG137" i="2"/>
  <c r="AO134" i="2"/>
  <c r="AM134" i="2"/>
  <c r="AK134" i="2"/>
  <c r="AL134" i="2" s="1"/>
  <c r="AI134" i="2"/>
  <c r="AG134" i="2"/>
  <c r="AE134" i="2"/>
  <c r="AD134" i="2"/>
  <c r="AC134" i="2"/>
  <c r="AA134" i="2"/>
  <c r="Y134" i="2"/>
  <c r="W134" i="2"/>
  <c r="U134" i="2"/>
  <c r="S134" i="2"/>
  <c r="Q134" i="2"/>
  <c r="O134" i="2"/>
  <c r="P134" i="2" s="1"/>
  <c r="M134" i="2"/>
  <c r="N134" i="2" s="1"/>
  <c r="K134" i="2"/>
  <c r="I134" i="2"/>
  <c r="J134" i="2" s="1"/>
  <c r="G134" i="2"/>
  <c r="H134" i="2" s="1"/>
  <c r="E134" i="2"/>
  <c r="F134" i="2" s="1"/>
  <c r="C134" i="2"/>
  <c r="D134" i="2" s="1"/>
  <c r="BS129" i="2"/>
  <c r="BQ129" i="2"/>
  <c r="BO129" i="2"/>
  <c r="BM129" i="2"/>
  <c r="BK129" i="2"/>
  <c r="BI129" i="2"/>
  <c r="AB129" i="2"/>
  <c r="Z129" i="2"/>
  <c r="X129" i="2"/>
  <c r="V129" i="2"/>
  <c r="T129" i="2"/>
  <c r="BV129" i="2"/>
  <c r="BU129" i="2"/>
  <c r="BE127" i="2"/>
  <c r="BC127" i="2"/>
  <c r="AD129" i="2"/>
  <c r="BC124" i="2"/>
  <c r="BC125" i="2" s="1"/>
  <c r="BC123" i="2"/>
  <c r="BC122" i="2"/>
  <c r="BC121" i="2"/>
  <c r="AN125" i="2"/>
  <c r="AL125" i="2"/>
  <c r="AJ125" i="2"/>
  <c r="AH125" i="2"/>
  <c r="BE125" i="2"/>
  <c r="BE124" i="2"/>
  <c r="BE123" i="2"/>
  <c r="BE122" i="2"/>
  <c r="BE121" i="2"/>
  <c r="AP125" i="2"/>
  <c r="BC119" i="2"/>
  <c r="BC118" i="2"/>
  <c r="BC117" i="2"/>
  <c r="BC116" i="2"/>
  <c r="AS116" i="2"/>
  <c r="AU116" i="2" s="1"/>
  <c r="AW116" i="2" s="1"/>
  <c r="BE119" i="2"/>
  <c r="BE118" i="2"/>
  <c r="BE117" i="2"/>
  <c r="BE116" i="2"/>
  <c r="AU119" i="2"/>
  <c r="AW119" i="2" s="1"/>
  <c r="BN113" i="2"/>
  <c r="BP113" i="2" s="1"/>
  <c r="BL113" i="2"/>
  <c r="BJ113" i="2"/>
  <c r="BK113" i="2" s="1"/>
  <c r="BH113" i="2"/>
  <c r="BF113" i="2"/>
  <c r="BB113" i="2"/>
  <c r="BC113" i="2" s="1"/>
  <c r="AX113" i="2"/>
  <c r="AV113" i="2"/>
  <c r="AT113" i="2"/>
  <c r="AR113" i="2"/>
  <c r="AP113" i="2"/>
  <c r="AN113" i="2"/>
  <c r="AL113" i="2"/>
  <c r="AJ113" i="2"/>
  <c r="AH113" i="2"/>
  <c r="AD113" i="2"/>
  <c r="AB113" i="2"/>
  <c r="Z113" i="2"/>
  <c r="W113" i="2"/>
  <c r="AF113" i="2" s="1"/>
  <c r="V113" i="2"/>
  <c r="S113" i="2"/>
  <c r="R113" i="2"/>
  <c r="P113" i="2"/>
  <c r="N113" i="2"/>
  <c r="M113" i="2"/>
  <c r="K113" i="2"/>
  <c r="BD113" i="2" s="1"/>
  <c r="BE113" i="2" s="1"/>
  <c r="J113" i="2"/>
  <c r="H113" i="2"/>
  <c r="F113" i="2"/>
  <c r="D113" i="2"/>
  <c r="AP109" i="2"/>
  <c r="AO109" i="2"/>
  <c r="AO110" i="2" s="1"/>
  <c r="AM109" i="2"/>
  <c r="AN109" i="2" s="1"/>
  <c r="AL109" i="2"/>
  <c r="AK109" i="2"/>
  <c r="AK110" i="2" s="1"/>
  <c r="AL110" i="2" s="1"/>
  <c r="AI109" i="2"/>
  <c r="AJ109" i="2" s="1"/>
  <c r="AH109" i="2"/>
  <c r="AG109" i="2"/>
  <c r="AG110" i="2" s="1"/>
  <c r="AE109" i="2"/>
  <c r="AD109" i="2"/>
  <c r="AC109" i="2"/>
  <c r="AC110" i="2" s="1"/>
  <c r="AA109" i="2"/>
  <c r="Z109" i="2"/>
  <c r="Y109" i="2"/>
  <c r="Y110" i="2" s="1"/>
  <c r="W109" i="2"/>
  <c r="V109" i="2"/>
  <c r="U109" i="2"/>
  <c r="U110" i="2" s="1"/>
  <c r="V110" i="2" s="1"/>
  <c r="S109" i="2"/>
  <c r="R109" i="2"/>
  <c r="Q109" i="2"/>
  <c r="Q110" i="2" s="1"/>
  <c r="O109" i="2"/>
  <c r="N109" i="2"/>
  <c r="M109" i="2"/>
  <c r="M110" i="2" s="1"/>
  <c r="K109" i="2"/>
  <c r="L109" i="2" s="1"/>
  <c r="J109" i="2"/>
  <c r="I109" i="2"/>
  <c r="I110" i="2" s="1"/>
  <c r="J110" i="2" s="1"/>
  <c r="G109" i="2"/>
  <c r="H109" i="2" s="1"/>
  <c r="F109" i="2"/>
  <c r="E109" i="2"/>
  <c r="E110" i="2" s="1"/>
  <c r="F110" i="2" s="1"/>
  <c r="C109" i="2"/>
  <c r="D109" i="2" s="1"/>
  <c r="AP108" i="2"/>
  <c r="AO108" i="2"/>
  <c r="AM108" i="2"/>
  <c r="AN108" i="2" s="1"/>
  <c r="AL108" i="2"/>
  <c r="AK108" i="2"/>
  <c r="AI108" i="2"/>
  <c r="AJ108" i="2" s="1"/>
  <c r="AH108" i="2"/>
  <c r="AG108" i="2"/>
  <c r="AE108" i="2"/>
  <c r="AD108" i="2"/>
  <c r="AC108" i="2"/>
  <c r="AA108" i="2"/>
  <c r="Z108" i="2"/>
  <c r="Y108" i="2"/>
  <c r="W108" i="2"/>
  <c r="V108" i="2"/>
  <c r="U108" i="2"/>
  <c r="S108" i="2"/>
  <c r="R108" i="2"/>
  <c r="Q108" i="2"/>
  <c r="O108" i="2"/>
  <c r="N108" i="2"/>
  <c r="M108" i="2"/>
  <c r="K108" i="2"/>
  <c r="L108" i="2" s="1"/>
  <c r="J108" i="2"/>
  <c r="I108" i="2"/>
  <c r="G108" i="2"/>
  <c r="H108" i="2" s="1"/>
  <c r="F108" i="2"/>
  <c r="E108" i="2"/>
  <c r="C108" i="2"/>
  <c r="D108" i="2" s="1"/>
  <c r="AN107" i="2"/>
  <c r="AN106" i="2"/>
  <c r="AL107" i="2"/>
  <c r="AL106" i="2"/>
  <c r="AJ107" i="2"/>
  <c r="AJ106" i="2"/>
  <c r="AH107" i="2"/>
  <c r="AH106" i="2"/>
  <c r="AF107" i="2"/>
  <c r="AF106" i="2"/>
  <c r="AD107" i="2"/>
  <c r="AD106" i="2"/>
  <c r="AB107" i="2"/>
  <c r="AB106" i="2"/>
  <c r="Z107" i="2"/>
  <c r="Z106" i="2"/>
  <c r="X107" i="2"/>
  <c r="X106" i="2"/>
  <c r="V107" i="2"/>
  <c r="V106" i="2"/>
  <c r="T107" i="2"/>
  <c r="T106" i="2"/>
  <c r="R107" i="2"/>
  <c r="R106" i="2"/>
  <c r="P107" i="2"/>
  <c r="P106" i="2"/>
  <c r="N107" i="2"/>
  <c r="N106" i="2"/>
  <c r="L107" i="2"/>
  <c r="L106" i="2"/>
  <c r="J107" i="2"/>
  <c r="J106" i="2"/>
  <c r="H107" i="2"/>
  <c r="H106" i="2"/>
  <c r="F107" i="2"/>
  <c r="F106" i="2"/>
  <c r="D107" i="2"/>
  <c r="D106" i="2"/>
  <c r="BJ109" i="2"/>
  <c r="BH109" i="2"/>
  <c r="BF109" i="2"/>
  <c r="BD109" i="2"/>
  <c r="BE109" i="2" s="1"/>
  <c r="BB109" i="2"/>
  <c r="BC109" i="2" s="1"/>
  <c r="BJ108" i="2"/>
  <c r="BK108" i="2" s="1"/>
  <c r="BH108" i="2"/>
  <c r="BF108" i="2"/>
  <c r="BG108" i="2" s="1"/>
  <c r="BD108" i="2"/>
  <c r="BE108" i="2" s="1"/>
  <c r="BC108" i="2"/>
  <c r="BB108" i="2"/>
  <c r="BJ107" i="2"/>
  <c r="BH107" i="2"/>
  <c r="BI107" i="2" s="1"/>
  <c r="BF107" i="2"/>
  <c r="BG107" i="2" s="1"/>
  <c r="BD107" i="2"/>
  <c r="BB107" i="2"/>
  <c r="BC107" i="2" s="1"/>
  <c r="BJ106" i="2"/>
  <c r="BK106" i="2" s="1"/>
  <c r="BI106" i="2"/>
  <c r="BH106" i="2"/>
  <c r="BF106" i="2"/>
  <c r="BE106" i="2"/>
  <c r="BD106" i="2"/>
  <c r="BB106" i="2"/>
  <c r="BC106" i="2" s="1"/>
  <c r="AP107" i="2"/>
  <c r="AP106" i="2"/>
  <c r="AN102" i="2"/>
  <c r="AL102" i="2"/>
  <c r="AJ102" i="2"/>
  <c r="AH102" i="2"/>
  <c r="AF102" i="2"/>
  <c r="AD102" i="2"/>
  <c r="AB102" i="2"/>
  <c r="Z102" i="2"/>
  <c r="X102" i="2"/>
  <c r="V102" i="2"/>
  <c r="T102" i="2"/>
  <c r="R102" i="2"/>
  <c r="P102" i="2"/>
  <c r="N102" i="2"/>
  <c r="L102" i="2"/>
  <c r="J102" i="2"/>
  <c r="H102" i="2"/>
  <c r="F102" i="2"/>
  <c r="D102" i="2"/>
  <c r="D101" i="2"/>
  <c r="BJ102" i="2"/>
  <c r="BK102" i="2" s="1"/>
  <c r="BH102" i="2"/>
  <c r="BF102" i="2"/>
  <c r="BD102" i="2"/>
  <c r="BE102" i="2" s="1"/>
  <c r="BB102" i="2"/>
  <c r="BC102" i="2" s="1"/>
  <c r="AP102" i="2"/>
  <c r="AO101" i="2"/>
  <c r="AP101" i="2" s="1"/>
  <c r="AM101" i="2"/>
  <c r="AK101" i="2"/>
  <c r="AL101" i="2" s="1"/>
  <c r="AI101" i="2"/>
  <c r="AG101" i="2"/>
  <c r="AH101" i="2" s="1"/>
  <c r="AE101" i="2"/>
  <c r="AE133" i="2" s="1"/>
  <c r="AC101" i="2"/>
  <c r="AD101" i="2" s="1"/>
  <c r="AA101" i="2"/>
  <c r="AA133" i="2" s="1"/>
  <c r="Y101" i="2"/>
  <c r="Y133" i="2" s="1"/>
  <c r="W101" i="2"/>
  <c r="W133" i="2" s="1"/>
  <c r="U101" i="2"/>
  <c r="V101" i="2" s="1"/>
  <c r="S101" i="2"/>
  <c r="S133" i="2" s="1"/>
  <c r="Q101" i="2"/>
  <c r="Q133" i="2" s="1"/>
  <c r="O101" i="2"/>
  <c r="O133" i="2" s="1"/>
  <c r="M101" i="2"/>
  <c r="N101" i="2" s="1"/>
  <c r="K101" i="2"/>
  <c r="K133" i="2" s="1"/>
  <c r="I101" i="2"/>
  <c r="I133" i="2" s="1"/>
  <c r="G101" i="2"/>
  <c r="G133" i="2" s="1"/>
  <c r="E101" i="2"/>
  <c r="F101" i="2" s="1"/>
  <c r="C101" i="2"/>
  <c r="C133" i="2" s="1"/>
  <c r="BC99" i="2"/>
  <c r="BC98" i="2"/>
  <c r="BC97" i="2"/>
  <c r="BC96" i="2"/>
  <c r="O99" i="2"/>
  <c r="P99" i="2" s="1"/>
  <c r="P97" i="2"/>
  <c r="O97" i="2"/>
  <c r="BE99" i="2"/>
  <c r="BE98" i="2"/>
  <c r="BE97" i="2"/>
  <c r="BE96" i="2"/>
  <c r="AS97" i="2"/>
  <c r="AU97" i="2" s="1"/>
  <c r="O96" i="2"/>
  <c r="P96" i="2" s="1"/>
  <c r="BE94" i="2"/>
  <c r="BC94" i="2"/>
  <c r="AO94" i="2"/>
  <c r="AP94" i="2" s="1"/>
  <c r="AM94" i="2"/>
  <c r="AK94" i="2"/>
  <c r="AL94" i="2" s="1"/>
  <c r="AI94" i="2"/>
  <c r="AG94" i="2"/>
  <c r="AE94" i="2"/>
  <c r="AD94" i="2"/>
  <c r="AC94" i="2"/>
  <c r="AA94" i="2"/>
  <c r="Y94" i="2"/>
  <c r="Z94" i="2" s="1"/>
  <c r="W94" i="2"/>
  <c r="U94" i="2"/>
  <c r="V94" i="2" s="1"/>
  <c r="S94" i="2"/>
  <c r="R94" i="2"/>
  <c r="Q94" i="2"/>
  <c r="O94" i="2"/>
  <c r="O98" i="2" s="1"/>
  <c r="P98" i="2" s="1"/>
  <c r="BE92" i="2"/>
  <c r="BC92" i="2"/>
  <c r="BL89" i="2"/>
  <c r="BJ89" i="2"/>
  <c r="BJ88" i="2"/>
  <c r="BK88" i="2" s="1"/>
  <c r="BJ87" i="2"/>
  <c r="BJ85" i="2"/>
  <c r="BH89" i="2"/>
  <c r="BK89" i="2" s="1"/>
  <c r="BH88" i="2"/>
  <c r="BI88" i="2" s="1"/>
  <c r="BH87" i="2"/>
  <c r="BH85" i="2"/>
  <c r="BK85" i="2" s="1"/>
  <c r="BF88" i="2"/>
  <c r="BF87" i="2"/>
  <c r="BF85" i="2"/>
  <c r="BF94" i="2" s="1"/>
  <c r="BI85" i="2"/>
  <c r="BG88" i="2"/>
  <c r="BG87" i="2"/>
  <c r="BE89" i="2"/>
  <c r="BE88" i="2"/>
  <c r="BE87" i="2"/>
  <c r="BE85" i="2"/>
  <c r="BE84" i="2"/>
  <c r="BC90" i="2"/>
  <c r="BC89" i="2"/>
  <c r="BC88" i="2"/>
  <c r="BC87" i="2"/>
  <c r="BC85" i="2"/>
  <c r="BC84" i="2"/>
  <c r="AX89" i="2"/>
  <c r="AV89" i="2"/>
  <c r="AT89" i="2"/>
  <c r="AR89" i="2"/>
  <c r="AP89" i="2"/>
  <c r="AP88" i="2"/>
  <c r="AP87" i="2"/>
  <c r="AP85" i="2"/>
  <c r="AN89" i="2"/>
  <c r="AN88" i="2"/>
  <c r="AN87" i="2"/>
  <c r="AN85" i="2"/>
  <c r="AL89" i="2"/>
  <c r="AL88" i="2"/>
  <c r="AL87" i="2"/>
  <c r="AL85" i="2"/>
  <c r="AJ89" i="2"/>
  <c r="AJ88" i="2"/>
  <c r="AJ87" i="2"/>
  <c r="AJ85" i="2"/>
  <c r="AH89" i="2"/>
  <c r="AH88" i="2"/>
  <c r="AH87" i="2"/>
  <c r="AH85" i="2"/>
  <c r="AF89" i="2"/>
  <c r="AF88" i="2"/>
  <c r="AF87" i="2"/>
  <c r="AF85" i="2"/>
  <c r="AD89" i="2"/>
  <c r="AD88" i="2"/>
  <c r="AD87" i="2"/>
  <c r="AD86" i="2"/>
  <c r="AD85" i="2"/>
  <c r="AB88" i="2"/>
  <c r="AB87" i="2"/>
  <c r="AB85" i="2"/>
  <c r="Z89" i="2"/>
  <c r="Z88" i="2"/>
  <c r="Z87" i="2"/>
  <c r="Z85" i="2"/>
  <c r="O90" i="2"/>
  <c r="P90" i="2" s="1"/>
  <c r="X89" i="2"/>
  <c r="X88" i="2"/>
  <c r="X87" i="2"/>
  <c r="X85" i="2"/>
  <c r="V89" i="2"/>
  <c r="V88" i="2"/>
  <c r="V87" i="2"/>
  <c r="V85" i="2"/>
  <c r="S89" i="2"/>
  <c r="BF89" i="2" s="1"/>
  <c r="Q89" i="2"/>
  <c r="R89" i="2" s="1"/>
  <c r="P89" i="2"/>
  <c r="AQ85" i="2"/>
  <c r="AR85" i="2" s="1"/>
  <c r="T88" i="2"/>
  <c r="T87" i="2"/>
  <c r="T85" i="2"/>
  <c r="R88" i="2"/>
  <c r="R87" i="2"/>
  <c r="R85" i="2"/>
  <c r="P88" i="2"/>
  <c r="P87" i="2"/>
  <c r="P85" i="2"/>
  <c r="P84" i="2"/>
  <c r="BB86" i="2"/>
  <c r="BC86" i="2" s="1"/>
  <c r="AO86" i="2"/>
  <c r="AM86" i="2"/>
  <c r="AK86" i="2"/>
  <c r="AL86" i="2" s="1"/>
  <c r="AI86" i="2"/>
  <c r="AG86" i="2"/>
  <c r="AE86" i="2"/>
  <c r="AC86" i="2"/>
  <c r="AA86" i="2"/>
  <c r="Y86" i="2"/>
  <c r="W86" i="2"/>
  <c r="U86" i="2"/>
  <c r="V86" i="2" s="1"/>
  <c r="S86" i="2"/>
  <c r="T86" i="2" s="1"/>
  <c r="Q86" i="2"/>
  <c r="R86" i="2" s="1"/>
  <c r="O86" i="2"/>
  <c r="P86" i="2" s="1"/>
  <c r="BN89" i="2"/>
  <c r="BP89" i="2" s="1"/>
  <c r="BM89" i="2"/>
  <c r="Q84" i="2"/>
  <c r="R84" i="2" s="1"/>
  <c r="BS80" i="2"/>
  <c r="BQ80" i="2"/>
  <c r="BO80" i="2"/>
  <c r="BM80" i="2"/>
  <c r="BK80" i="2"/>
  <c r="BI80" i="2"/>
  <c r="Z80" i="2"/>
  <c r="X80" i="2"/>
  <c r="V80" i="2"/>
  <c r="T80" i="2"/>
  <c r="BV80" i="2"/>
  <c r="BU80" i="2"/>
  <c r="BE78" i="2"/>
  <c r="BC78" i="2"/>
  <c r="AB80" i="2"/>
  <c r="AQ76" i="2"/>
  <c r="AR76" i="2" s="1"/>
  <c r="AP76" i="2"/>
  <c r="AN76" i="2"/>
  <c r="AL76" i="2"/>
  <c r="AJ76" i="2"/>
  <c r="AH76" i="2"/>
  <c r="AF76" i="2"/>
  <c r="AD76" i="2"/>
  <c r="AB76" i="2"/>
  <c r="Z76" i="2"/>
  <c r="BC75" i="2"/>
  <c r="BC74" i="2"/>
  <c r="BC73" i="2"/>
  <c r="BC72" i="2"/>
  <c r="BE75" i="2"/>
  <c r="BE74" i="2"/>
  <c r="BE73" i="2"/>
  <c r="BE72" i="2"/>
  <c r="AS75" i="2"/>
  <c r="AU75" i="2" s="1"/>
  <c r="AS73" i="2"/>
  <c r="AU73" i="2" s="1"/>
  <c r="AW73" i="2" s="1"/>
  <c r="BC70" i="2"/>
  <c r="BC69" i="2"/>
  <c r="BC68" i="2"/>
  <c r="BC67" i="2"/>
  <c r="BE70" i="2"/>
  <c r="BE69" i="2"/>
  <c r="BE68" i="2"/>
  <c r="BE67" i="2"/>
  <c r="AU68" i="2"/>
  <c r="AW68" i="2" s="1"/>
  <c r="AS68" i="2"/>
  <c r="BU64" i="2"/>
  <c r="BS64" i="2"/>
  <c r="BQ64" i="2"/>
  <c r="BL64" i="2"/>
  <c r="BO64" i="2" s="1"/>
  <c r="BJ64" i="2"/>
  <c r="BV64" i="2" s="1"/>
  <c r="AX64" i="2"/>
  <c r="AV64" i="2"/>
  <c r="AT64" i="2"/>
  <c r="AR64" i="2"/>
  <c r="AP64" i="2"/>
  <c r="AL64" i="2"/>
  <c r="AJ64" i="2"/>
  <c r="AH64" i="2"/>
  <c r="AE64" i="2"/>
  <c r="AE145" i="2" s="1"/>
  <c r="AB64" i="2"/>
  <c r="Z64" i="2"/>
  <c r="X64" i="2"/>
  <c r="W64" i="2"/>
  <c r="W145" i="2" s="1"/>
  <c r="U64" i="2"/>
  <c r="U145" i="2" s="1"/>
  <c r="T64" i="2"/>
  <c r="S64" i="2"/>
  <c r="S145" i="2" s="1"/>
  <c r="R64" i="2"/>
  <c r="P64" i="2"/>
  <c r="N64" i="2"/>
  <c r="M64" i="2"/>
  <c r="M145" i="2" s="1"/>
  <c r="K64" i="2"/>
  <c r="K145" i="2" s="1"/>
  <c r="J64" i="2"/>
  <c r="I64" i="2"/>
  <c r="I145" i="2" s="1"/>
  <c r="H64" i="2"/>
  <c r="F64" i="2"/>
  <c r="D64" i="2"/>
  <c r="C64" i="2"/>
  <c r="C145" i="2" s="1"/>
  <c r="AO60" i="2"/>
  <c r="AO140" i="2" s="1"/>
  <c r="AN60" i="2"/>
  <c r="AM60" i="2"/>
  <c r="AM140" i="2" s="1"/>
  <c r="AK60" i="2"/>
  <c r="AK140" i="2" s="1"/>
  <c r="AJ60" i="2"/>
  <c r="AI60" i="2"/>
  <c r="AI140" i="2" s="1"/>
  <c r="AG60" i="2"/>
  <c r="AG140" i="2" s="1"/>
  <c r="AF60" i="2"/>
  <c r="AE60" i="2"/>
  <c r="AE140" i="2" s="1"/>
  <c r="AC60" i="2"/>
  <c r="AC140" i="2" s="1"/>
  <c r="AB60" i="2"/>
  <c r="AA60" i="2"/>
  <c r="AA140" i="2" s="1"/>
  <c r="Y60" i="2"/>
  <c r="Y140" i="2" s="1"/>
  <c r="X60" i="2"/>
  <c r="W60" i="2"/>
  <c r="W140" i="2" s="1"/>
  <c r="U60" i="2"/>
  <c r="U140" i="2" s="1"/>
  <c r="T60" i="2"/>
  <c r="S60" i="2"/>
  <c r="S140" i="2" s="1"/>
  <c r="Q60" i="2"/>
  <c r="Q140" i="2" s="1"/>
  <c r="P60" i="2"/>
  <c r="O60" i="2"/>
  <c r="O140" i="2" s="1"/>
  <c r="M60" i="2"/>
  <c r="M140" i="2" s="1"/>
  <c r="L60" i="2"/>
  <c r="K60" i="2"/>
  <c r="K140" i="2" s="1"/>
  <c r="I60" i="2"/>
  <c r="I140" i="2" s="1"/>
  <c r="J140" i="2" s="1"/>
  <c r="H60" i="2"/>
  <c r="G60" i="2"/>
  <c r="G140" i="2" s="1"/>
  <c r="H140" i="2" s="1"/>
  <c r="E60" i="2"/>
  <c r="E140" i="2" s="1"/>
  <c r="F140" i="2" s="1"/>
  <c r="D60" i="2"/>
  <c r="C60" i="2"/>
  <c r="C140" i="2" s="1"/>
  <c r="D140" i="2" s="1"/>
  <c r="AO59" i="2"/>
  <c r="AO139" i="2" s="1"/>
  <c r="AN59" i="2"/>
  <c r="AM59" i="2"/>
  <c r="AM139" i="2" s="1"/>
  <c r="AK59" i="2"/>
  <c r="AK139" i="2" s="1"/>
  <c r="AJ59" i="2"/>
  <c r="AI59" i="2"/>
  <c r="AI139" i="2" s="1"/>
  <c r="AG59" i="2"/>
  <c r="AG139" i="2" s="1"/>
  <c r="AF59" i="2"/>
  <c r="AE59" i="2"/>
  <c r="AE139" i="2" s="1"/>
  <c r="AC59" i="2"/>
  <c r="AC139" i="2" s="1"/>
  <c r="AB59" i="2"/>
  <c r="AA59" i="2"/>
  <c r="AA139" i="2" s="1"/>
  <c r="Y59" i="2"/>
  <c r="Y139" i="2" s="1"/>
  <c r="X59" i="2"/>
  <c r="W59" i="2"/>
  <c r="W139" i="2" s="1"/>
  <c r="U59" i="2"/>
  <c r="U139" i="2" s="1"/>
  <c r="T59" i="2"/>
  <c r="S59" i="2"/>
  <c r="S139" i="2" s="1"/>
  <c r="Q59" i="2"/>
  <c r="Q139" i="2" s="1"/>
  <c r="P59" i="2"/>
  <c r="O59" i="2"/>
  <c r="O139" i="2" s="1"/>
  <c r="M59" i="2"/>
  <c r="M139" i="2" s="1"/>
  <c r="L59" i="2"/>
  <c r="K59" i="2"/>
  <c r="K139" i="2" s="1"/>
  <c r="I59" i="2"/>
  <c r="I139" i="2" s="1"/>
  <c r="J139" i="2" s="1"/>
  <c r="H59" i="2"/>
  <c r="G59" i="2"/>
  <c r="G139" i="2" s="1"/>
  <c r="H139" i="2" s="1"/>
  <c r="E59" i="2"/>
  <c r="E139" i="2" s="1"/>
  <c r="F139" i="2" s="1"/>
  <c r="D59" i="2"/>
  <c r="C59" i="2"/>
  <c r="C139" i="2" s="1"/>
  <c r="D139" i="2" s="1"/>
  <c r="AN58" i="2"/>
  <c r="AL58" i="2"/>
  <c r="AJ58" i="2"/>
  <c r="AH58" i="2"/>
  <c r="AF58" i="2"/>
  <c r="AD58" i="2"/>
  <c r="AB58" i="2"/>
  <c r="Z58" i="2"/>
  <c r="X58" i="2"/>
  <c r="V58" i="2"/>
  <c r="T58" i="2"/>
  <c r="R58" i="2"/>
  <c r="P58" i="2"/>
  <c r="N58" i="2"/>
  <c r="L58" i="2"/>
  <c r="J58" i="2"/>
  <c r="H58" i="2"/>
  <c r="F58" i="2"/>
  <c r="D58" i="2"/>
  <c r="BJ60" i="2"/>
  <c r="BJ140" i="2" s="1"/>
  <c r="BH60" i="2"/>
  <c r="BH140" i="2" s="1"/>
  <c r="BI140" i="2" s="1"/>
  <c r="BF60" i="2"/>
  <c r="BF140" i="2" s="1"/>
  <c r="BD60" i="2"/>
  <c r="BD140" i="2" s="1"/>
  <c r="BE140" i="2" s="1"/>
  <c r="BB60" i="2"/>
  <c r="BB140" i="2" s="1"/>
  <c r="BC140" i="2" s="1"/>
  <c r="BJ59" i="2"/>
  <c r="BJ139" i="2" s="1"/>
  <c r="BH59" i="2"/>
  <c r="BH139" i="2" s="1"/>
  <c r="BF59" i="2"/>
  <c r="BF139" i="2" s="1"/>
  <c r="BG139" i="2" s="1"/>
  <c r="BD59" i="2"/>
  <c r="BD139" i="2" s="1"/>
  <c r="BB59" i="2"/>
  <c r="BB139" i="2" s="1"/>
  <c r="BC139" i="2" s="1"/>
  <c r="BJ58" i="2"/>
  <c r="BJ138" i="2" s="1"/>
  <c r="BK138" i="2" s="1"/>
  <c r="BH58" i="2"/>
  <c r="BH138" i="2" s="1"/>
  <c r="BF58" i="2"/>
  <c r="BF138" i="2" s="1"/>
  <c r="BD58" i="2"/>
  <c r="BD138" i="2" s="1"/>
  <c r="BB58" i="2"/>
  <c r="BB138" i="2" s="1"/>
  <c r="BC138" i="2" s="1"/>
  <c r="AP58" i="2"/>
  <c r="AO57" i="2"/>
  <c r="AO137" i="2" s="1"/>
  <c r="AK57" i="2"/>
  <c r="AK137" i="2" s="1"/>
  <c r="AE57" i="2"/>
  <c r="AE137" i="2" s="1"/>
  <c r="AC57" i="2"/>
  <c r="AC137" i="2" s="1"/>
  <c r="AC141" i="2" s="1"/>
  <c r="AA57" i="2"/>
  <c r="AA137" i="2" s="1"/>
  <c r="Y57" i="2"/>
  <c r="Y137" i="2" s="1"/>
  <c r="Y141" i="2" s="1"/>
  <c r="W57" i="2"/>
  <c r="W137" i="2" s="1"/>
  <c r="U57" i="2"/>
  <c r="U137" i="2" s="1"/>
  <c r="U141" i="2" s="1"/>
  <c r="S57" i="2"/>
  <c r="S137" i="2" s="1"/>
  <c r="Q57" i="2"/>
  <c r="Q137" i="2" s="1"/>
  <c r="Q141" i="2" s="1"/>
  <c r="O57" i="2"/>
  <c r="O137" i="2" s="1"/>
  <c r="M57" i="2"/>
  <c r="M137" i="2" s="1"/>
  <c r="M141" i="2" s="1"/>
  <c r="K57" i="2"/>
  <c r="K137" i="2" s="1"/>
  <c r="I57" i="2"/>
  <c r="I137" i="2" s="1"/>
  <c r="I141" i="2" s="1"/>
  <c r="J141" i="2" s="1"/>
  <c r="G57" i="2"/>
  <c r="G137" i="2" s="1"/>
  <c r="E57" i="2"/>
  <c r="E137" i="2" s="1"/>
  <c r="E141" i="2" s="1"/>
  <c r="F141" i="2" s="1"/>
  <c r="C57" i="2"/>
  <c r="C137" i="2" s="1"/>
  <c r="AM54" i="2"/>
  <c r="AM597" i="2" s="1"/>
  <c r="AE54" i="2"/>
  <c r="AE597" i="2" s="1"/>
  <c r="AC54" i="2"/>
  <c r="AC597" i="2" s="1"/>
  <c r="AA54" i="2"/>
  <c r="AA597" i="2" s="1"/>
  <c r="Y54" i="2"/>
  <c r="Y597" i="2" s="1"/>
  <c r="W54" i="2"/>
  <c r="W597" i="2" s="1"/>
  <c r="U54" i="2"/>
  <c r="U597" i="2" s="1"/>
  <c r="S54" i="2"/>
  <c r="S597" i="2" s="1"/>
  <c r="Q54" i="2"/>
  <c r="Q597" i="2" s="1"/>
  <c r="O54" i="2"/>
  <c r="O597" i="2" s="1"/>
  <c r="M54" i="2"/>
  <c r="M597" i="2" s="1"/>
  <c r="K54" i="2"/>
  <c r="K597" i="2" s="1"/>
  <c r="I54" i="2"/>
  <c r="I597" i="2" s="1"/>
  <c r="J597" i="2" s="1"/>
  <c r="G54" i="2"/>
  <c r="G597" i="2" s="1"/>
  <c r="H597" i="2" s="1"/>
  <c r="E54" i="2"/>
  <c r="E597" i="2" s="1"/>
  <c r="F597" i="2" s="1"/>
  <c r="C54" i="2"/>
  <c r="C597" i="2" s="1"/>
  <c r="D597" i="2" s="1"/>
  <c r="AN53" i="2"/>
  <c r="AL53" i="2"/>
  <c r="AL52" i="2"/>
  <c r="AJ53" i="2"/>
  <c r="AH53" i="2"/>
  <c r="AH52" i="2"/>
  <c r="AF53" i="2"/>
  <c r="AF52" i="2"/>
  <c r="AD53" i="2"/>
  <c r="AD52" i="2"/>
  <c r="AB53" i="2"/>
  <c r="AB52" i="2"/>
  <c r="Z53" i="2"/>
  <c r="Z52" i="2"/>
  <c r="X53" i="2"/>
  <c r="X52" i="2"/>
  <c r="V53" i="2"/>
  <c r="V52" i="2"/>
  <c r="T53" i="2"/>
  <c r="T52" i="2"/>
  <c r="R53" i="2"/>
  <c r="R52" i="2"/>
  <c r="P53" i="2"/>
  <c r="P52" i="2"/>
  <c r="N53" i="2"/>
  <c r="N52" i="2"/>
  <c r="L53" i="2"/>
  <c r="L52" i="2"/>
  <c r="J53" i="2"/>
  <c r="J52" i="2"/>
  <c r="H53" i="2"/>
  <c r="H52" i="2"/>
  <c r="F53" i="2"/>
  <c r="F52" i="2"/>
  <c r="D53" i="2"/>
  <c r="D52" i="2"/>
  <c r="BF54" i="2"/>
  <c r="BF597" i="2" s="1"/>
  <c r="BJ53" i="2"/>
  <c r="BJ134" i="2" s="1"/>
  <c r="BJ574" i="2" s="1"/>
  <c r="BH53" i="2"/>
  <c r="BH134" i="2" s="1"/>
  <c r="BF53" i="2"/>
  <c r="BF134" i="2" s="1"/>
  <c r="BD53" i="2"/>
  <c r="BD134" i="2" s="1"/>
  <c r="BC53" i="2"/>
  <c r="BB53" i="2"/>
  <c r="BB134" i="2" s="1"/>
  <c r="BB574" i="2" s="1"/>
  <c r="BC574" i="2" s="1"/>
  <c r="BH52" i="2"/>
  <c r="BF52" i="2"/>
  <c r="BD52" i="2"/>
  <c r="BG52" i="2" s="1"/>
  <c r="BB52" i="2"/>
  <c r="BB54" i="2" s="1"/>
  <c r="BB597" i="2" s="1"/>
  <c r="BC597" i="2" s="1"/>
  <c r="AP53" i="2"/>
  <c r="AP52" i="2"/>
  <c r="AO52" i="2"/>
  <c r="AO133" i="2" s="1"/>
  <c r="AM52" i="2"/>
  <c r="AM133" i="2" s="1"/>
  <c r="AK52" i="2"/>
  <c r="AI52" i="2"/>
  <c r="AI133" i="2" s="1"/>
  <c r="AG52" i="2"/>
  <c r="AG133" i="2" s="1"/>
  <c r="BU50" i="2"/>
  <c r="BS50" i="2"/>
  <c r="BQ50" i="2"/>
  <c r="BO50" i="2"/>
  <c r="BM50" i="2"/>
  <c r="BK50" i="2"/>
  <c r="BI50" i="2"/>
  <c r="BG50" i="2"/>
  <c r="BE50" i="2"/>
  <c r="BE49" i="2"/>
  <c r="BE48" i="2"/>
  <c r="BE47" i="2"/>
  <c r="BE46" i="2"/>
  <c r="BC50" i="2"/>
  <c r="BC49" i="2"/>
  <c r="BC48" i="2"/>
  <c r="BC47" i="2"/>
  <c r="BC46" i="2"/>
  <c r="O49" i="2"/>
  <c r="P49" i="2" s="1"/>
  <c r="O47" i="2"/>
  <c r="P47" i="2" s="1"/>
  <c r="O46" i="2"/>
  <c r="P46" i="2" s="1"/>
  <c r="BE44" i="2"/>
  <c r="BC44" i="2"/>
  <c r="U44" i="2"/>
  <c r="S44" i="2"/>
  <c r="Q44" i="2"/>
  <c r="O44" i="2"/>
  <c r="O48" i="2" s="1"/>
  <c r="P48" i="2" s="1"/>
  <c r="BE42" i="2"/>
  <c r="BC42" i="2"/>
  <c r="BJ39" i="2"/>
  <c r="BJ38" i="2"/>
  <c r="BJ37" i="2"/>
  <c r="BJ35" i="2"/>
  <c r="BJ36" i="2" s="1"/>
  <c r="BH39" i="2"/>
  <c r="BI39" i="2" s="1"/>
  <c r="BH38" i="2"/>
  <c r="BH37" i="2"/>
  <c r="BH35" i="2"/>
  <c r="BH36" i="2" s="1"/>
  <c r="BF39" i="2"/>
  <c r="BG39" i="2" s="1"/>
  <c r="BF38" i="2"/>
  <c r="BF37" i="2"/>
  <c r="BG37" i="2" s="1"/>
  <c r="BF35" i="2"/>
  <c r="BF36" i="2" s="1"/>
  <c r="AW39" i="2"/>
  <c r="AX39" i="2" s="1"/>
  <c r="AW35" i="2"/>
  <c r="AW36" i="2" s="1"/>
  <c r="AU39" i="2"/>
  <c r="AV39" i="2" s="1"/>
  <c r="AU35" i="2"/>
  <c r="AS39" i="2"/>
  <c r="AT39" i="2" s="1"/>
  <c r="AS35" i="2"/>
  <c r="AQ39" i="2"/>
  <c r="AR39" i="2" s="1"/>
  <c r="AQ35" i="2"/>
  <c r="BK39" i="2"/>
  <c r="BK38" i="2"/>
  <c r="BI38" i="2"/>
  <c r="BG38" i="2"/>
  <c r="BG35" i="2"/>
  <c r="BE39" i="2"/>
  <c r="BE38" i="2"/>
  <c r="BE37" i="2"/>
  <c r="BE36" i="2"/>
  <c r="BE35" i="2"/>
  <c r="BE34" i="2"/>
  <c r="BC40" i="2"/>
  <c r="BC39" i="2"/>
  <c r="BC38" i="2"/>
  <c r="BC37" i="2"/>
  <c r="BC36" i="2"/>
  <c r="BC35" i="2"/>
  <c r="BC34" i="2"/>
  <c r="AX35" i="2"/>
  <c r="AP39" i="2"/>
  <c r="AP38" i="2"/>
  <c r="AP37" i="2"/>
  <c r="AP35" i="2"/>
  <c r="AN39" i="2"/>
  <c r="AN38" i="2"/>
  <c r="AN37" i="2"/>
  <c r="AN35" i="2"/>
  <c r="AL39" i="2"/>
  <c r="AL38" i="2"/>
  <c r="AL37" i="2"/>
  <c r="AL35" i="2"/>
  <c r="AJ39" i="2"/>
  <c r="AJ38" i="2"/>
  <c r="AJ37" i="2"/>
  <c r="AJ35" i="2"/>
  <c r="AH39" i="2"/>
  <c r="AH38" i="2"/>
  <c r="AH37" i="2"/>
  <c r="AH35" i="2"/>
  <c r="AF39" i="2"/>
  <c r="AF38" i="2"/>
  <c r="AF37" i="2"/>
  <c r="AF35" i="2"/>
  <c r="AD39" i="2"/>
  <c r="AD38" i="2"/>
  <c r="AD37" i="2"/>
  <c r="AD35" i="2"/>
  <c r="AB39" i="2"/>
  <c r="AB38" i="2"/>
  <c r="AB37" i="2"/>
  <c r="AB35" i="2"/>
  <c r="Z39" i="2"/>
  <c r="Z38" i="2"/>
  <c r="Z37" i="2"/>
  <c r="Z35" i="2"/>
  <c r="O40" i="2"/>
  <c r="X39" i="2"/>
  <c r="X38" i="2"/>
  <c r="X37" i="2"/>
  <c r="X35" i="2"/>
  <c r="V39" i="2"/>
  <c r="V38" i="2"/>
  <c r="V37" i="2"/>
  <c r="V35" i="2"/>
  <c r="T39" i="2"/>
  <c r="T38" i="2"/>
  <c r="T37" i="2"/>
  <c r="T35" i="2"/>
  <c r="R39" i="2"/>
  <c r="R38" i="2"/>
  <c r="R37" i="2"/>
  <c r="R35" i="2"/>
  <c r="P39" i="2"/>
  <c r="P38" i="2"/>
  <c r="P37" i="2"/>
  <c r="P35" i="2"/>
  <c r="P34" i="2"/>
  <c r="AO36" i="2"/>
  <c r="AO44" i="2" s="1"/>
  <c r="AM36" i="2"/>
  <c r="AK36" i="2"/>
  <c r="AI36" i="2"/>
  <c r="AI44" i="2" s="1"/>
  <c r="AG36" i="2"/>
  <c r="AG44" i="2" s="1"/>
  <c r="AE36" i="2"/>
  <c r="AC36" i="2"/>
  <c r="AA36" i="2"/>
  <c r="AA44" i="2" s="1"/>
  <c r="Y36" i="2"/>
  <c r="Y44" i="2" s="1"/>
  <c r="W36" i="2"/>
  <c r="U36" i="2"/>
  <c r="V36" i="2" s="1"/>
  <c r="S36" i="2"/>
  <c r="T36" i="2" s="1"/>
  <c r="Q36" i="2"/>
  <c r="R36" i="2" s="1"/>
  <c r="O36" i="2"/>
  <c r="P36" i="2" s="1"/>
  <c r="Q34" i="2"/>
  <c r="Q47" i="2" s="1"/>
  <c r="R47" i="2" s="1"/>
  <c r="BT30" i="2"/>
  <c r="BT31" i="2" s="1"/>
  <c r="BR30" i="2"/>
  <c r="BR31" i="2" s="1"/>
  <c r="BP30" i="2"/>
  <c r="BP31" i="2" s="1"/>
  <c r="BN30" i="2"/>
  <c r="BN31" i="2" s="1"/>
  <c r="BL30" i="2"/>
  <c r="BL31" i="2" s="1"/>
  <c r="AW30" i="2"/>
  <c r="AW31" i="2" s="1"/>
  <c r="AU30" i="2"/>
  <c r="AU31" i="2" s="1"/>
  <c r="AS30" i="2"/>
  <c r="AS31" i="2" s="1"/>
  <c r="AQ30" i="2"/>
  <c r="AQ31" i="2" s="1"/>
  <c r="AQ157" i="2" s="1"/>
  <c r="E24" i="2"/>
  <c r="F24" i="2" s="1"/>
  <c r="M22" i="2"/>
  <c r="N22" i="2" s="1"/>
  <c r="K22" i="2"/>
  <c r="I22" i="2"/>
  <c r="J22" i="2" s="1"/>
  <c r="G22" i="2"/>
  <c r="H22" i="2" s="1"/>
  <c r="E22" i="2"/>
  <c r="F22" i="2" s="1"/>
  <c r="C22" i="2"/>
  <c r="D22" i="2" s="1"/>
  <c r="BV21" i="2"/>
  <c r="BJ19" i="2"/>
  <c r="BH19" i="2"/>
  <c r="BF19" i="2"/>
  <c r="BG19" i="2" s="1"/>
  <c r="BD19" i="2"/>
  <c r="BB19" i="2"/>
  <c r="AS19" i="2"/>
  <c r="AQ19" i="2"/>
  <c r="AO19" i="2"/>
  <c r="AP19" i="2" s="1"/>
  <c r="AM19" i="2"/>
  <c r="AK19" i="2"/>
  <c r="AI19" i="2"/>
  <c r="AG19" i="2"/>
  <c r="AH19" i="2" s="1"/>
  <c r="AE19" i="2"/>
  <c r="AC19" i="2"/>
  <c r="AA19" i="2"/>
  <c r="Y19" i="2"/>
  <c r="Z19" i="2" s="1"/>
  <c r="W19" i="2"/>
  <c r="U19" i="2"/>
  <c r="S19" i="2"/>
  <c r="Q19" i="2"/>
  <c r="R19" i="2" s="1"/>
  <c r="O19" i="2"/>
  <c r="M19" i="2"/>
  <c r="K19" i="2"/>
  <c r="I19" i="2"/>
  <c r="J19" i="2" s="1"/>
  <c r="G19" i="2"/>
  <c r="E19" i="2"/>
  <c r="C19" i="2"/>
  <c r="BK19" i="2"/>
  <c r="AT19" i="2"/>
  <c r="AR19" i="2"/>
  <c r="AN19" i="2"/>
  <c r="AL19" i="2"/>
  <c r="AJ19" i="2"/>
  <c r="AF19" i="2"/>
  <c r="AD19" i="2"/>
  <c r="AB19" i="2"/>
  <c r="X19" i="2"/>
  <c r="V19" i="2"/>
  <c r="T19" i="2"/>
  <c r="P19" i="2"/>
  <c r="N19" i="2"/>
  <c r="L19" i="2"/>
  <c r="H19" i="2"/>
  <c r="F19" i="2"/>
  <c r="D19" i="2"/>
  <c r="BU5" i="2"/>
  <c r="BU4" i="2"/>
  <c r="BS5" i="2"/>
  <c r="BS4" i="2"/>
  <c r="BQ5" i="2"/>
  <c r="BQ4" i="2"/>
  <c r="BO5" i="2"/>
  <c r="BO4" i="2"/>
  <c r="BM5" i="2"/>
  <c r="BM4" i="2"/>
  <c r="BK5" i="2"/>
  <c r="BK4" i="2"/>
  <c r="BI5" i="2"/>
  <c r="BI4" i="2"/>
  <c r="BG5" i="2"/>
  <c r="BG4" i="2"/>
  <c r="BE5" i="2"/>
  <c r="BE4" i="2"/>
  <c r="BA5" i="2"/>
  <c r="BA4" i="2"/>
  <c r="AX5" i="2"/>
  <c r="AX4" i="2"/>
  <c r="AV5" i="2"/>
  <c r="AV4" i="2"/>
  <c r="AT5" i="2"/>
  <c r="AT4" i="2"/>
  <c r="AR5" i="2"/>
  <c r="AR4" i="2"/>
  <c r="AP5" i="2"/>
  <c r="AP4" i="2"/>
  <c r="AN5" i="2"/>
  <c r="AN4" i="2"/>
  <c r="AL5" i="2"/>
  <c r="AL4" i="2"/>
  <c r="AJ5" i="2"/>
  <c r="AJ4" i="2"/>
  <c r="AH5" i="2"/>
  <c r="AH4" i="2"/>
  <c r="AF5" i="2"/>
  <c r="AF4" i="2"/>
  <c r="AD5" i="2"/>
  <c r="AD4" i="2"/>
  <c r="AB5" i="2"/>
  <c r="AB4" i="2"/>
  <c r="Z5" i="2"/>
  <c r="Z4" i="2"/>
  <c r="X5" i="2"/>
  <c r="X4" i="2"/>
  <c r="V5" i="2"/>
  <c r="V4" i="2"/>
  <c r="T5" i="2"/>
  <c r="T4" i="2"/>
  <c r="R5" i="2"/>
  <c r="R4" i="2"/>
  <c r="P5" i="2"/>
  <c r="P4" i="2"/>
  <c r="N5" i="2"/>
  <c r="N4" i="2"/>
  <c r="L5" i="2"/>
  <c r="L4" i="2"/>
  <c r="D29" i="180" l="1"/>
  <c r="B14" i="180"/>
  <c r="B16" i="180" s="1"/>
  <c r="B18" i="180" s="1"/>
  <c r="D35" i="180"/>
  <c r="C3" i="180" s="1"/>
  <c r="D3" i="180" s="1"/>
  <c r="D13" i="180"/>
  <c r="C2" i="180"/>
  <c r="D2" i="180" s="1"/>
  <c r="C9" i="180"/>
  <c r="D9" i="180" s="1"/>
  <c r="BI19" i="2"/>
  <c r="L22" i="2"/>
  <c r="BI35" i="2"/>
  <c r="BC52" i="2"/>
  <c r="BG53" i="2"/>
  <c r="AH94" i="2"/>
  <c r="BD110" i="2"/>
  <c r="V134" i="2"/>
  <c r="AJ134" i="2"/>
  <c r="R138" i="2"/>
  <c r="X138" i="2"/>
  <c r="BF167" i="2"/>
  <c r="BI156" i="2"/>
  <c r="Z167" i="2"/>
  <c r="AH167" i="2"/>
  <c r="AP167" i="2"/>
  <c r="BK176" i="2"/>
  <c r="BC176" i="2"/>
  <c r="BG176" i="2"/>
  <c r="BE180" i="2"/>
  <c r="BE183" i="2"/>
  <c r="BK585" i="2"/>
  <c r="BI186" i="2"/>
  <c r="BG222" i="2"/>
  <c r="AH232" i="2"/>
  <c r="P253" i="2"/>
  <c r="BM243" i="2"/>
  <c r="BK243" i="2"/>
  <c r="AB250" i="2"/>
  <c r="AL250" i="2"/>
  <c r="O252" i="2"/>
  <c r="BG259" i="2"/>
  <c r="BI262" i="2"/>
  <c r="BK260" i="2"/>
  <c r="BJ268" i="2"/>
  <c r="O270" i="2"/>
  <c r="AF276" i="2"/>
  <c r="AL276" i="2"/>
  <c r="BH277" i="2"/>
  <c r="AL277" i="2"/>
  <c r="P278" i="2"/>
  <c r="BH279" i="2"/>
  <c r="AL279" i="2"/>
  <c r="AF280" i="2"/>
  <c r="AJ281" i="2"/>
  <c r="AB36" i="2"/>
  <c r="Q48" i="2"/>
  <c r="R48" i="2" s="1"/>
  <c r="X86" i="2"/>
  <c r="AF86" i="2"/>
  <c r="AN86" i="2"/>
  <c r="X134" i="2"/>
  <c r="AB268" i="2"/>
  <c r="AJ268" i="2"/>
  <c r="Z280" i="2"/>
  <c r="AH280" i="2"/>
  <c r="AP280" i="2"/>
  <c r="AD36" i="2"/>
  <c r="AL36" i="2"/>
  <c r="AJ36" i="2"/>
  <c r="BG138" i="2"/>
  <c r="BI59" i="2"/>
  <c r="Z86" i="2"/>
  <c r="AH86" i="2"/>
  <c r="AP86" i="2"/>
  <c r="BG85" i="2"/>
  <c r="BF86" i="2"/>
  <c r="BG86" i="2" s="1"/>
  <c r="BH86" i="2"/>
  <c r="BJ94" i="2"/>
  <c r="BG102" i="2"/>
  <c r="BG106" i="2"/>
  <c r="BK107" i="2"/>
  <c r="BI109" i="2"/>
  <c r="R110" i="2"/>
  <c r="AH110" i="2"/>
  <c r="L134" i="2"/>
  <c r="Z134" i="2"/>
  <c r="AF134" i="2"/>
  <c r="AN134" i="2"/>
  <c r="P138" i="2"/>
  <c r="AF138" i="2"/>
  <c r="AJ138" i="2"/>
  <c r="AP138" i="2"/>
  <c r="BI158" i="2"/>
  <c r="BJ167" i="2"/>
  <c r="AD167" i="2"/>
  <c r="AL167" i="2"/>
  <c r="BE176" i="2"/>
  <c r="Q221" i="2"/>
  <c r="R221" i="2" s="1"/>
  <c r="BF276" i="2"/>
  <c r="X276" i="2"/>
  <c r="BJ276" i="2"/>
  <c r="AN276" i="2"/>
  <c r="BF278" i="2"/>
  <c r="BJ278" i="2"/>
  <c r="BF280" i="2"/>
  <c r="BG280" i="2" s="1"/>
  <c r="BH280" i="2"/>
  <c r="BF281" i="2"/>
  <c r="BG281" i="2" s="1"/>
  <c r="BH281" i="2"/>
  <c r="AB281" i="2"/>
  <c r="O302" i="2"/>
  <c r="P299" i="2"/>
  <c r="Q292" i="2"/>
  <c r="Q308" i="2" s="1"/>
  <c r="Q309" i="2" s="1"/>
  <c r="R309" i="2" s="1"/>
  <c r="X36" i="2"/>
  <c r="AF36" i="2"/>
  <c r="AN36" i="2"/>
  <c r="O866" i="2"/>
  <c r="P866" i="2" s="1"/>
  <c r="BK35" i="2"/>
  <c r="BK53" i="2"/>
  <c r="BE59" i="2"/>
  <c r="BK139" i="2"/>
  <c r="AB86" i="2"/>
  <c r="AJ86" i="2"/>
  <c r="BI87" i="2"/>
  <c r="BJ86" i="2"/>
  <c r="BK86" i="2" s="1"/>
  <c r="Q98" i="2"/>
  <c r="R98" i="2" s="1"/>
  <c r="BI102" i="2"/>
  <c r="BH110" i="2"/>
  <c r="BE107" i="2"/>
  <c r="T134" i="2"/>
  <c r="AB134" i="2"/>
  <c r="AP134" i="2"/>
  <c r="L138" i="2"/>
  <c r="AB138" i="2"/>
  <c r="BI183" i="2"/>
  <c r="BK226" i="2"/>
  <c r="P234" i="2"/>
  <c r="AL232" i="2"/>
  <c r="P252" i="2"/>
  <c r="AF250" i="2"/>
  <c r="AR258" i="2"/>
  <c r="BI258" i="2"/>
  <c r="BI261" i="2"/>
  <c r="BK259" i="2"/>
  <c r="BK263" i="2"/>
  <c r="P270" i="2"/>
  <c r="X268" i="2"/>
  <c r="AF268" i="2"/>
  <c r="AN268" i="2"/>
  <c r="T276" i="2"/>
  <c r="Z276" i="2"/>
  <c r="AJ276" i="2"/>
  <c r="Z277" i="2"/>
  <c r="AP277" i="2"/>
  <c r="T278" i="2"/>
  <c r="AJ278" i="2"/>
  <c r="AF279" i="2"/>
  <c r="AP279" i="2"/>
  <c r="AD280" i="2"/>
  <c r="AL280" i="2"/>
  <c r="AD281" i="2"/>
  <c r="BS298" i="2"/>
  <c r="BQ298" i="2"/>
  <c r="AH281" i="2"/>
  <c r="BS296" i="2"/>
  <c r="BG294" i="2"/>
  <c r="BG298" i="2"/>
  <c r="AR301" i="2"/>
  <c r="BF305" i="2"/>
  <c r="BH305" i="2"/>
  <c r="Q307" i="2"/>
  <c r="AB305" i="2"/>
  <c r="X315" i="2"/>
  <c r="BI323" i="2"/>
  <c r="BK325" i="2"/>
  <c r="BI329" i="2"/>
  <c r="BK337" i="2"/>
  <c r="AS343" i="2"/>
  <c r="L381" i="2"/>
  <c r="T381" i="2"/>
  <c r="AB381" i="2"/>
  <c r="AJ381" i="2"/>
  <c r="BM381" i="2"/>
  <c r="BM386" i="2"/>
  <c r="BE390" i="2"/>
  <c r="AS1030" i="2"/>
  <c r="AU400" i="2"/>
  <c r="BF473" i="2"/>
  <c r="P473" i="2"/>
  <c r="P511" i="2"/>
  <c r="X511" i="2"/>
  <c r="AF511" i="2"/>
  <c r="BD524" i="2"/>
  <c r="Z534" i="2"/>
  <c r="AH534" i="2"/>
  <c r="BU534" i="2"/>
  <c r="E539" i="2"/>
  <c r="N539" i="2" s="1"/>
  <c r="BI546" i="2"/>
  <c r="J548" i="2"/>
  <c r="Z548" i="2"/>
  <c r="AP548" i="2"/>
  <c r="BI551" i="2"/>
  <c r="BI553" i="2"/>
  <c r="BI558" i="2"/>
  <c r="R585" i="2"/>
  <c r="AH585" i="2"/>
  <c r="AN699" i="2"/>
  <c r="AL700" i="2"/>
  <c r="AJ701" i="2"/>
  <c r="BM728" i="2"/>
  <c r="X730" i="2"/>
  <c r="L818" i="2"/>
  <c r="N819" i="2"/>
  <c r="AD846" i="2"/>
  <c r="AL846" i="2"/>
  <c r="BE858" i="2"/>
  <c r="N381" i="2"/>
  <c r="V381" i="2"/>
  <c r="AD381" i="2"/>
  <c r="R511" i="2"/>
  <c r="Z511" i="2"/>
  <c r="AH511" i="2"/>
  <c r="BF519" i="2"/>
  <c r="BF574" i="2" s="1"/>
  <c r="BH524" i="2"/>
  <c r="AV534" i="2"/>
  <c r="BI699" i="2"/>
  <c r="AP828" i="2"/>
  <c r="AO823" i="2"/>
  <c r="AP823" i="2" s="1"/>
  <c r="BJ828" i="2"/>
  <c r="BK828" i="2" s="1"/>
  <c r="I1043" i="2"/>
  <c r="I818" i="2"/>
  <c r="J818" i="2" s="1"/>
  <c r="I852" i="2"/>
  <c r="J845" i="2"/>
  <c r="J847" i="2"/>
  <c r="R847" i="2"/>
  <c r="AQ888" i="2"/>
  <c r="AS859" i="2"/>
  <c r="AS888" i="2" s="1"/>
  <c r="BB888" i="2"/>
  <c r="BC888" i="2" s="1"/>
  <c r="BC859" i="2"/>
  <c r="BV296" i="2"/>
  <c r="BI301" i="2"/>
  <c r="BJ305" i="2"/>
  <c r="BD327" i="2"/>
  <c r="BG325" i="2"/>
  <c r="BE329" i="2"/>
  <c r="P381" i="2"/>
  <c r="X381" i="2"/>
  <c r="AF381" i="2"/>
  <c r="BM384" i="2"/>
  <c r="BG385" i="2"/>
  <c r="BK386" i="2"/>
  <c r="BI390" i="2"/>
  <c r="E474" i="2"/>
  <c r="F474" i="2" s="1"/>
  <c r="H473" i="2"/>
  <c r="N473" i="2"/>
  <c r="S474" i="2"/>
  <c r="T474" i="2" s="1"/>
  <c r="X473" i="2"/>
  <c r="BK483" i="2"/>
  <c r="BG485" i="2"/>
  <c r="L511" i="2"/>
  <c r="T511" i="2"/>
  <c r="AB511" i="2"/>
  <c r="J530" i="2"/>
  <c r="X530" i="2"/>
  <c r="AX534" i="2"/>
  <c r="R548" i="2"/>
  <c r="AH548" i="2"/>
  <c r="BE551" i="2"/>
  <c r="BE553" i="2"/>
  <c r="BE558" i="2"/>
  <c r="BS567" i="2"/>
  <c r="BG677" i="2"/>
  <c r="BI677" i="2"/>
  <c r="BH700" i="2"/>
  <c r="AH700" i="2"/>
  <c r="AP700" i="2"/>
  <c r="AR706" i="2"/>
  <c r="AS735" i="2"/>
  <c r="AQ727" i="2"/>
  <c r="L830" i="2"/>
  <c r="C1043" i="2"/>
  <c r="C818" i="2"/>
  <c r="D818" i="2" s="1"/>
  <c r="Z847" i="2"/>
  <c r="AH847" i="2"/>
  <c r="BB879" i="2"/>
  <c r="BC879" i="2" s="1"/>
  <c r="BC861" i="2"/>
  <c r="P307" i="2"/>
  <c r="AF305" i="2"/>
  <c r="BE326" i="2"/>
  <c r="Z381" i="2"/>
  <c r="BI384" i="2"/>
  <c r="BM385" i="2"/>
  <c r="BG386" i="2"/>
  <c r="P474" i="2"/>
  <c r="T473" i="2"/>
  <c r="L530" i="2"/>
  <c r="R530" i="2"/>
  <c r="V534" i="2"/>
  <c r="BS534" i="2"/>
  <c r="BF548" i="2"/>
  <c r="BK547" i="2"/>
  <c r="BG553" i="2"/>
  <c r="BJ567" i="2"/>
  <c r="V585" i="2"/>
  <c r="AL585" i="2"/>
  <c r="BF701" i="2"/>
  <c r="BG701" i="2" s="1"/>
  <c r="BJ847" i="2"/>
  <c r="BV728" i="2"/>
  <c r="BK830" i="2"/>
  <c r="BV830" i="2"/>
  <c r="AO827" i="2"/>
  <c r="AP827" i="2" s="1"/>
  <c r="N841" i="2"/>
  <c r="N846" i="2"/>
  <c r="V846" i="2"/>
  <c r="BE847" i="2"/>
  <c r="BI728" i="2"/>
  <c r="H730" i="2"/>
  <c r="N730" i="2"/>
  <c r="AD730" i="2"/>
  <c r="Z735" i="2"/>
  <c r="AP735" i="2"/>
  <c r="AT817" i="2"/>
  <c r="T819" i="2"/>
  <c r="AJ819" i="2"/>
  <c r="BD823" i="2"/>
  <c r="T823" i="2"/>
  <c r="R830" i="2"/>
  <c r="V879" i="2"/>
  <c r="AL879" i="2"/>
  <c r="L890" i="2"/>
  <c r="T890" i="2"/>
  <c r="AB890" i="2"/>
  <c r="AJ890" i="2"/>
  <c r="R896" i="2"/>
  <c r="Z896" i="2"/>
  <c r="AH896" i="2"/>
  <c r="L931" i="2"/>
  <c r="AB931" i="2"/>
  <c r="AB932" i="2"/>
  <c r="T933" i="2"/>
  <c r="AJ933" i="2"/>
  <c r="L937" i="2"/>
  <c r="AB937" i="2"/>
  <c r="AN940" i="2"/>
  <c r="N890" i="2"/>
  <c r="V890" i="2"/>
  <c r="AD890" i="2"/>
  <c r="AL890" i="2"/>
  <c r="AJ896" i="2"/>
  <c r="V931" i="2"/>
  <c r="BF847" i="2"/>
  <c r="L819" i="2"/>
  <c r="AB819" i="2"/>
  <c r="AG825" i="2"/>
  <c r="AN823" i="2"/>
  <c r="BH827" i="2"/>
  <c r="N830" i="2"/>
  <c r="Y830" i="2"/>
  <c r="BE841" i="2"/>
  <c r="T846" i="2"/>
  <c r="AJ846" i="2"/>
  <c r="P847" i="2"/>
  <c r="AF847" i="2"/>
  <c r="R857" i="2"/>
  <c r="AH857" i="2"/>
  <c r="BE873" i="2"/>
  <c r="BK873" i="2"/>
  <c r="T879" i="2"/>
  <c r="AJ879" i="2"/>
  <c r="BE884" i="2"/>
  <c r="BI886" i="2"/>
  <c r="P890" i="2"/>
  <c r="X890" i="2"/>
  <c r="AF890" i="2"/>
  <c r="AN890" i="2"/>
  <c r="X931" i="2"/>
  <c r="R932" i="2"/>
  <c r="X932" i="2"/>
  <c r="AF940" i="2"/>
  <c r="BI847" i="2"/>
  <c r="BE729" i="2"/>
  <c r="BM729" i="2"/>
  <c r="L730" i="2"/>
  <c r="R730" i="2"/>
  <c r="AH730" i="2"/>
  <c r="V735" i="2"/>
  <c r="AL735" i="2"/>
  <c r="X819" i="2"/>
  <c r="AN819" i="2"/>
  <c r="BH823" i="2"/>
  <c r="AH822" i="2"/>
  <c r="AP822" i="2"/>
  <c r="P825" i="2"/>
  <c r="BB830" i="2"/>
  <c r="BC830" i="2" s="1"/>
  <c r="T841" i="2"/>
  <c r="V841" i="2" s="1"/>
  <c r="X841" i="2" s="1"/>
  <c r="F845" i="2"/>
  <c r="P846" i="2"/>
  <c r="AF846" i="2"/>
  <c r="L847" i="2"/>
  <c r="AB847" i="2"/>
  <c r="M852" i="2"/>
  <c r="V857" i="2"/>
  <c r="AL857" i="2"/>
  <c r="BH857" i="2"/>
  <c r="BK857" i="2" s="1"/>
  <c r="BK858" i="2"/>
  <c r="P879" i="2"/>
  <c r="AF879" i="2"/>
  <c r="BK884" i="2"/>
  <c r="BE885" i="2"/>
  <c r="BK885" i="2"/>
  <c r="BE886" i="2"/>
  <c r="R890" i="2"/>
  <c r="Z890" i="2"/>
  <c r="AH890" i="2"/>
  <c r="AP890" i="2"/>
  <c r="P896" i="2"/>
  <c r="X896" i="2"/>
  <c r="AF896" i="2"/>
  <c r="AL896" i="2"/>
  <c r="R931" i="2"/>
  <c r="AR157" i="2"/>
  <c r="AB44" i="2"/>
  <c r="AJ44" i="2"/>
  <c r="BQ89" i="2"/>
  <c r="BR89" i="2"/>
  <c r="Z110" i="2"/>
  <c r="AP110" i="2"/>
  <c r="BF44" i="2"/>
  <c r="BG36" i="2"/>
  <c r="BI36" i="2"/>
  <c r="BH44" i="2"/>
  <c r="BJ44" i="2"/>
  <c r="BK36" i="2"/>
  <c r="BG94" i="2"/>
  <c r="BG89" i="2"/>
  <c r="BI89" i="2"/>
  <c r="AW97" i="2"/>
  <c r="I135" i="2"/>
  <c r="J133" i="2"/>
  <c r="Q135" i="2"/>
  <c r="R133" i="2"/>
  <c r="Y135" i="2"/>
  <c r="Z133" i="2"/>
  <c r="Z44" i="2"/>
  <c r="AH44" i="2"/>
  <c r="AP44" i="2"/>
  <c r="AX36" i="2"/>
  <c r="AG135" i="2"/>
  <c r="AH133" i="2"/>
  <c r="AO135" i="2"/>
  <c r="AP133" i="2"/>
  <c r="AU76" i="2"/>
  <c r="AW75" i="2"/>
  <c r="N110" i="2"/>
  <c r="AD110" i="2"/>
  <c r="BG113" i="2"/>
  <c r="BR113" i="2"/>
  <c r="BQ113" i="2"/>
  <c r="W44" i="2"/>
  <c r="AE44" i="2"/>
  <c r="AM44" i="2"/>
  <c r="Q49" i="2"/>
  <c r="AJ133" i="2"/>
  <c r="AI135" i="2"/>
  <c r="L597" i="2"/>
  <c r="P597" i="2"/>
  <c r="T597" i="2"/>
  <c r="X597" i="2"/>
  <c r="AB597" i="2"/>
  <c r="AF597" i="2"/>
  <c r="AI54" i="2"/>
  <c r="AN597" i="2"/>
  <c r="C55" i="2"/>
  <c r="G55" i="2"/>
  <c r="K55" i="2"/>
  <c r="L55" i="2" s="1"/>
  <c r="O55" i="2"/>
  <c r="S55" i="2"/>
  <c r="W55" i="2"/>
  <c r="X55" i="2" s="1"/>
  <c r="AA55" i="2"/>
  <c r="AB55" i="2" s="1"/>
  <c r="AE55" i="2"/>
  <c r="AM55" i="2"/>
  <c r="AN55" i="2" s="1"/>
  <c r="C141" i="2"/>
  <c r="D141" i="2" s="1"/>
  <c r="D137" i="2"/>
  <c r="K141" i="2"/>
  <c r="L137" i="2"/>
  <c r="S141" i="2"/>
  <c r="T141" i="2" s="1"/>
  <c r="T137" i="2"/>
  <c r="AA141" i="2"/>
  <c r="AB137" i="2"/>
  <c r="AP137" i="2"/>
  <c r="AO141" i="2"/>
  <c r="AE669" i="2"/>
  <c r="AF145" i="2"/>
  <c r="Q90" i="2"/>
  <c r="AB89" i="2"/>
  <c r="BE86" i="2"/>
  <c r="T113" i="2"/>
  <c r="BI113" i="2"/>
  <c r="BM113" i="2"/>
  <c r="R134" i="2"/>
  <c r="AH134" i="2"/>
  <c r="F137" i="2"/>
  <c r="V137" i="2"/>
  <c r="AH137" i="2"/>
  <c r="AM141" i="2"/>
  <c r="BG167" i="2"/>
  <c r="BE181" i="2"/>
  <c r="G184" i="2"/>
  <c r="H182" i="2"/>
  <c r="G199" i="2"/>
  <c r="O184" i="2"/>
  <c r="O197" i="2"/>
  <c r="P182" i="2"/>
  <c r="O199" i="2"/>
  <c r="P199" i="2" s="1"/>
  <c r="W184" i="2"/>
  <c r="W197" i="2"/>
  <c r="X182" i="2"/>
  <c r="W199" i="2"/>
  <c r="X199" i="2" s="1"/>
  <c r="AE184" i="2"/>
  <c r="AE197" i="2"/>
  <c r="AF182" i="2"/>
  <c r="AE199" i="2"/>
  <c r="AM184" i="2"/>
  <c r="AM197" i="2"/>
  <c r="AN182" i="2"/>
  <c r="AM199" i="2"/>
  <c r="AN199" i="2" s="1"/>
  <c r="C212" i="2"/>
  <c r="E204" i="2"/>
  <c r="D211" i="2"/>
  <c r="R234" i="2"/>
  <c r="Q271" i="2"/>
  <c r="Q272" i="2" s="1"/>
  <c r="R272" i="2" s="1"/>
  <c r="Q264" i="2"/>
  <c r="R257" i="2"/>
  <c r="BK268" i="2"/>
  <c r="Q270" i="2"/>
  <c r="P285" i="2"/>
  <c r="O287" i="2"/>
  <c r="P287" i="2" s="1"/>
  <c r="P302" i="2"/>
  <c r="BO296" i="2"/>
  <c r="BM296" i="2"/>
  <c r="R34" i="2"/>
  <c r="Z36" i="2"/>
  <c r="AH36" i="2"/>
  <c r="AP36" i="2"/>
  <c r="AV35" i="2"/>
  <c r="BK37" i="2"/>
  <c r="AQ36" i="2"/>
  <c r="AS36" i="2"/>
  <c r="AU36" i="2"/>
  <c r="O42" i="2"/>
  <c r="O69" i="2" s="1"/>
  <c r="P69" i="2" s="1"/>
  <c r="P44" i="2"/>
  <c r="T44" i="2"/>
  <c r="Q46" i="2"/>
  <c r="R46" i="2" s="1"/>
  <c r="O50" i="2"/>
  <c r="P50" i="2" s="1"/>
  <c r="BE52" i="2"/>
  <c r="BI52" i="2"/>
  <c r="BE134" i="2"/>
  <c r="BI134" i="2"/>
  <c r="BC54" i="2"/>
  <c r="D54" i="2"/>
  <c r="H54" i="2"/>
  <c r="L54" i="2"/>
  <c r="P54" i="2"/>
  <c r="T54" i="2"/>
  <c r="X54" i="2"/>
  <c r="AB54" i="2"/>
  <c r="AF54" i="2"/>
  <c r="AN54" i="2"/>
  <c r="N141" i="2"/>
  <c r="V141" i="2"/>
  <c r="AD141" i="2"/>
  <c r="AP57" i="2"/>
  <c r="BD57" i="2"/>
  <c r="BH57" i="2"/>
  <c r="BC58" i="2"/>
  <c r="BG58" i="2"/>
  <c r="BK58" i="2"/>
  <c r="BE60" i="2"/>
  <c r="BI60" i="2"/>
  <c r="D57" i="2"/>
  <c r="H57" i="2"/>
  <c r="L57" i="2"/>
  <c r="P57" i="2"/>
  <c r="T57" i="2"/>
  <c r="X57" i="2"/>
  <c r="AB57" i="2"/>
  <c r="AF57" i="2"/>
  <c r="AJ57" i="2"/>
  <c r="AN57" i="2"/>
  <c r="N139" i="2"/>
  <c r="R139" i="2"/>
  <c r="V139" i="2"/>
  <c r="Z139" i="2"/>
  <c r="AD139" i="2"/>
  <c r="AG141" i="2"/>
  <c r="AH139" i="2"/>
  <c r="AL139" i="2"/>
  <c r="AP139" i="2"/>
  <c r="N140" i="2"/>
  <c r="R140" i="2"/>
  <c r="V140" i="2"/>
  <c r="Z140" i="2"/>
  <c r="AD140" i="2"/>
  <c r="AH140" i="2"/>
  <c r="AL140" i="2"/>
  <c r="AP140" i="2"/>
  <c r="E61" i="2"/>
  <c r="F61" i="2" s="1"/>
  <c r="I61" i="2"/>
  <c r="J61" i="2" s="1"/>
  <c r="M61" i="2"/>
  <c r="Q61" i="2"/>
  <c r="U61" i="2"/>
  <c r="Y61" i="2"/>
  <c r="AC61" i="2"/>
  <c r="AG61" i="2"/>
  <c r="AK61" i="2"/>
  <c r="AO61" i="2"/>
  <c r="Q62" i="2"/>
  <c r="U62" i="2"/>
  <c r="K669" i="2"/>
  <c r="L145" i="2"/>
  <c r="BD145" i="2"/>
  <c r="U669" i="2"/>
  <c r="V145" i="2"/>
  <c r="AF64" i="2"/>
  <c r="AN64" i="2"/>
  <c r="BD64" i="2"/>
  <c r="BH64" i="2"/>
  <c r="AS76" i="2"/>
  <c r="BO89" i="2"/>
  <c r="T89" i="2"/>
  <c r="BH94" i="2"/>
  <c r="Q97" i="2"/>
  <c r="R97" i="2" s="1"/>
  <c r="Q99" i="2"/>
  <c r="R99" i="2" s="1"/>
  <c r="H133" i="2"/>
  <c r="G135" i="2"/>
  <c r="P133" i="2"/>
  <c r="O135" i="2"/>
  <c r="X133" i="2"/>
  <c r="W135" i="2"/>
  <c r="AF133" i="2"/>
  <c r="AE135" i="2"/>
  <c r="BB101" i="2"/>
  <c r="BB133" i="2" s="1"/>
  <c r="BB573" i="2" s="1"/>
  <c r="BF101" i="2"/>
  <c r="BJ101" i="2"/>
  <c r="H101" i="2"/>
  <c r="L101" i="2"/>
  <c r="P101" i="2"/>
  <c r="T101" i="2"/>
  <c r="X101" i="2"/>
  <c r="AB101" i="2"/>
  <c r="AF101" i="2"/>
  <c r="AJ101" i="2"/>
  <c r="AN101" i="2"/>
  <c r="E103" i="2"/>
  <c r="I103" i="2"/>
  <c r="M103" i="2"/>
  <c r="Q103" i="2"/>
  <c r="U103" i="2"/>
  <c r="Y103" i="2"/>
  <c r="AC103" i="2"/>
  <c r="AG103" i="2"/>
  <c r="AK103" i="2"/>
  <c r="AO103" i="2"/>
  <c r="BG109" i="2"/>
  <c r="BK109" i="2"/>
  <c r="BB110" i="2"/>
  <c r="BC110" i="2" s="1"/>
  <c r="BF110" i="2"/>
  <c r="BG110" i="2" s="1"/>
  <c r="BJ110" i="2"/>
  <c r="BK110" i="2" s="1"/>
  <c r="C110" i="2"/>
  <c r="D110" i="2" s="1"/>
  <c r="G110" i="2"/>
  <c r="H110" i="2" s="1"/>
  <c r="K110" i="2"/>
  <c r="O110" i="2"/>
  <c r="S110" i="2"/>
  <c r="T110" i="2" s="1"/>
  <c r="W110" i="2"/>
  <c r="X110" i="2" s="1"/>
  <c r="AA110" i="2"/>
  <c r="AE110" i="2"/>
  <c r="AI110" i="2"/>
  <c r="AJ110" i="2" s="1"/>
  <c r="AM110" i="2"/>
  <c r="AN110" i="2" s="1"/>
  <c r="E133" i="2"/>
  <c r="M133" i="2"/>
  <c r="U133" i="2"/>
  <c r="AC133" i="2"/>
  <c r="AK133" i="2"/>
  <c r="BC134" i="2"/>
  <c r="J137" i="2"/>
  <c r="Z137" i="2"/>
  <c r="AJ137" i="2"/>
  <c r="BQ158" i="2"/>
  <c r="BR158" i="2"/>
  <c r="O161" i="2"/>
  <c r="O122" i="2" s="1"/>
  <c r="P122" i="2" s="1"/>
  <c r="Q154" i="2"/>
  <c r="P159" i="2"/>
  <c r="AW170" i="2"/>
  <c r="AW190" i="2"/>
  <c r="BG232" i="2"/>
  <c r="BK232" i="2"/>
  <c r="AU258" i="2"/>
  <c r="AT258" i="2"/>
  <c r="X285" i="2"/>
  <c r="AN285" i="2"/>
  <c r="BK305" i="2"/>
  <c r="P40" i="2"/>
  <c r="AT35" i="2"/>
  <c r="BI37" i="2"/>
  <c r="BL35" i="2"/>
  <c r="BL39" i="2"/>
  <c r="AC44" i="2"/>
  <c r="AK44" i="2"/>
  <c r="AN133" i="2"/>
  <c r="AM135" i="2"/>
  <c r="BF133" i="2"/>
  <c r="BJ52" i="2"/>
  <c r="BE53" i="2"/>
  <c r="BI53" i="2"/>
  <c r="BD54" i="2"/>
  <c r="BH54" i="2"/>
  <c r="AJ52" i="2"/>
  <c r="AN52" i="2"/>
  <c r="N597" i="2"/>
  <c r="R597" i="2"/>
  <c r="V597" i="2"/>
  <c r="Z597" i="2"/>
  <c r="AD597" i="2"/>
  <c r="AG54" i="2"/>
  <c r="AK54" i="2"/>
  <c r="AO54" i="2"/>
  <c r="E55" i="2"/>
  <c r="I55" i="2"/>
  <c r="M55" i="2"/>
  <c r="Q55" i="2"/>
  <c r="U55" i="2"/>
  <c r="Y55" i="2"/>
  <c r="AC55" i="2"/>
  <c r="G141" i="2"/>
  <c r="H141" i="2" s="1"/>
  <c r="H137" i="2"/>
  <c r="O141" i="2"/>
  <c r="P137" i="2"/>
  <c r="W141" i="2"/>
  <c r="X137" i="2"/>
  <c r="AE141" i="2"/>
  <c r="AN137" i="2"/>
  <c r="AF137" i="2"/>
  <c r="BE138" i="2"/>
  <c r="BI138" i="2"/>
  <c r="BC59" i="2"/>
  <c r="BG59" i="2"/>
  <c r="BK59" i="2"/>
  <c r="BG140" i="2"/>
  <c r="BK140" i="2"/>
  <c r="F59" i="2"/>
  <c r="J59" i="2"/>
  <c r="N59" i="2"/>
  <c r="R59" i="2"/>
  <c r="V59" i="2"/>
  <c r="Z59" i="2"/>
  <c r="AD59" i="2"/>
  <c r="AH59" i="2"/>
  <c r="AL59" i="2"/>
  <c r="AP59" i="2"/>
  <c r="F60" i="2"/>
  <c r="J60" i="2"/>
  <c r="N60" i="2"/>
  <c r="R60" i="2"/>
  <c r="V60" i="2"/>
  <c r="Z60" i="2"/>
  <c r="AD60" i="2"/>
  <c r="AH60" i="2"/>
  <c r="AL60" i="2"/>
  <c r="AP60" i="2"/>
  <c r="L64" i="2"/>
  <c r="V64" i="2"/>
  <c r="BM64" i="2"/>
  <c r="O74" i="2"/>
  <c r="BK87" i="2"/>
  <c r="O92" i="2"/>
  <c r="O123" i="2" s="1"/>
  <c r="P94" i="2"/>
  <c r="T94" i="2"/>
  <c r="X94" i="2"/>
  <c r="AB94" i="2"/>
  <c r="AF94" i="2"/>
  <c r="AJ94" i="2"/>
  <c r="AN94" i="2"/>
  <c r="Q96" i="2"/>
  <c r="R96" i="2" s="1"/>
  <c r="BI108" i="2"/>
  <c r="P108" i="2"/>
  <c r="T108" i="2"/>
  <c r="X108" i="2"/>
  <c r="AB108" i="2"/>
  <c r="AF108" i="2"/>
  <c r="P109" i="2"/>
  <c r="T109" i="2"/>
  <c r="X109" i="2"/>
  <c r="AB109" i="2"/>
  <c r="AF109" i="2"/>
  <c r="L113" i="2"/>
  <c r="BO113" i="2"/>
  <c r="BG134" i="2"/>
  <c r="N137" i="2"/>
  <c r="AD137" i="2"/>
  <c r="AW173" i="2"/>
  <c r="C184" i="2"/>
  <c r="D182" i="2"/>
  <c r="C199" i="2"/>
  <c r="K184" i="2"/>
  <c r="L182" i="2"/>
  <c r="K199" i="2"/>
  <c r="K197" i="2"/>
  <c r="S184" i="2"/>
  <c r="T182" i="2"/>
  <c r="S199" i="2"/>
  <c r="S197" i="2"/>
  <c r="AA184" i="2"/>
  <c r="AB182" i="2"/>
  <c r="AA197" i="2"/>
  <c r="AA199" i="2"/>
  <c r="AB199" i="2" s="1"/>
  <c r="AI184" i="2"/>
  <c r="AJ182" i="2"/>
  <c r="AI197" i="2"/>
  <c r="AI199" i="2"/>
  <c r="AU194" i="2"/>
  <c r="AW193" i="2"/>
  <c r="AS232" i="2"/>
  <c r="AQ223" i="2"/>
  <c r="AR232" i="2"/>
  <c r="BI268" i="2"/>
  <c r="BG276" i="2"/>
  <c r="BG278" i="2"/>
  <c r="BI280" i="2"/>
  <c r="P288" i="2"/>
  <c r="O289" i="2"/>
  <c r="P289" i="2" s="1"/>
  <c r="AT301" i="2"/>
  <c r="AU301" i="2"/>
  <c r="Q40" i="2"/>
  <c r="AR35" i="2"/>
  <c r="R44" i="2"/>
  <c r="V44" i="2"/>
  <c r="F54" i="2"/>
  <c r="J54" i="2"/>
  <c r="N54" i="2"/>
  <c r="R54" i="2"/>
  <c r="V54" i="2"/>
  <c r="Z54" i="2"/>
  <c r="AD54" i="2"/>
  <c r="R141" i="2"/>
  <c r="Z141" i="2"/>
  <c r="AK141" i="2"/>
  <c r="AL137" i="2"/>
  <c r="BB57" i="2"/>
  <c r="BF57" i="2"/>
  <c r="BJ57" i="2"/>
  <c r="BE58" i="2"/>
  <c r="BI58" i="2"/>
  <c r="BE139" i="2"/>
  <c r="BI139" i="2"/>
  <c r="BC60" i="2"/>
  <c r="BG60" i="2"/>
  <c r="BK60" i="2"/>
  <c r="F57" i="2"/>
  <c r="J57" i="2"/>
  <c r="N57" i="2"/>
  <c r="R57" i="2"/>
  <c r="V57" i="2"/>
  <c r="Z57" i="2"/>
  <c r="AD57" i="2"/>
  <c r="AH57" i="2"/>
  <c r="AL57" i="2"/>
  <c r="L139" i="2"/>
  <c r="P139" i="2"/>
  <c r="T139" i="2"/>
  <c r="X139" i="2"/>
  <c r="AB139" i="2"/>
  <c r="AF139" i="2"/>
  <c r="AJ139" i="2"/>
  <c r="AN139" i="2"/>
  <c r="L140" i="2"/>
  <c r="P140" i="2"/>
  <c r="T140" i="2"/>
  <c r="X140" i="2"/>
  <c r="AB140" i="2"/>
  <c r="AF140" i="2"/>
  <c r="AJ140" i="2"/>
  <c r="AN140" i="2"/>
  <c r="C61" i="2"/>
  <c r="D61" i="2" s="1"/>
  <c r="G61" i="2"/>
  <c r="H61" i="2" s="1"/>
  <c r="K61" i="2"/>
  <c r="K62" i="2" s="1"/>
  <c r="O61" i="2"/>
  <c r="S61" i="2"/>
  <c r="W61" i="2"/>
  <c r="W62" i="2" s="1"/>
  <c r="AA61" i="2"/>
  <c r="AE61" i="2"/>
  <c r="AI61" i="2"/>
  <c r="AM61" i="2"/>
  <c r="AM62" i="2" s="1"/>
  <c r="AA62" i="2"/>
  <c r="C669" i="2"/>
  <c r="D145" i="2"/>
  <c r="BB145" i="2"/>
  <c r="I669" i="2"/>
  <c r="J145" i="2"/>
  <c r="M669" i="2"/>
  <c r="N145" i="2"/>
  <c r="S669" i="2"/>
  <c r="T145" i="2"/>
  <c r="BF145" i="2"/>
  <c r="X145" i="2"/>
  <c r="AD64" i="2"/>
  <c r="BB64" i="2"/>
  <c r="BC64" i="2" s="1"/>
  <c r="BF64" i="2"/>
  <c r="BG64" i="2" s="1"/>
  <c r="O73" i="2"/>
  <c r="P73" i="2" s="1"/>
  <c r="AQ86" i="2"/>
  <c r="AR86" i="2" s="1"/>
  <c r="AS85" i="2"/>
  <c r="D133" i="2"/>
  <c r="C135" i="2"/>
  <c r="L133" i="2"/>
  <c r="K135" i="2"/>
  <c r="T133" i="2"/>
  <c r="S135" i="2"/>
  <c r="AB133" i="2"/>
  <c r="AA135" i="2"/>
  <c r="BD101" i="2"/>
  <c r="BH101" i="2"/>
  <c r="J101" i="2"/>
  <c r="R101" i="2"/>
  <c r="Z101" i="2"/>
  <c r="C103" i="2"/>
  <c r="G103" i="2"/>
  <c r="K103" i="2"/>
  <c r="O103" i="2"/>
  <c r="S103" i="2"/>
  <c r="W103" i="2"/>
  <c r="AA103" i="2"/>
  <c r="AE103" i="2"/>
  <c r="AI103" i="2"/>
  <c r="AM103" i="2"/>
  <c r="X113" i="2"/>
  <c r="O116" i="2"/>
  <c r="P116" i="2" s="1"/>
  <c r="BK134" i="2"/>
  <c r="R137" i="2"/>
  <c r="BG181" i="2"/>
  <c r="BK181" i="2"/>
  <c r="BP186" i="2"/>
  <c r="BO186" i="2"/>
  <c r="R235" i="2"/>
  <c r="BI232" i="2"/>
  <c r="BG250" i="2"/>
  <c r="R271" i="2"/>
  <c r="AF285" i="2"/>
  <c r="AR276" i="2"/>
  <c r="AS276" i="2"/>
  <c r="AQ293" i="2"/>
  <c r="BI281" i="2"/>
  <c r="BG305" i="2"/>
  <c r="BI305" i="2"/>
  <c r="C607" i="2"/>
  <c r="D607" i="2" s="1"/>
  <c r="C322" i="2"/>
  <c r="D322" i="2" s="1"/>
  <c r="D321" i="2"/>
  <c r="K607" i="2"/>
  <c r="L607" i="2" s="1"/>
  <c r="K322" i="2"/>
  <c r="L322" i="2" s="1"/>
  <c r="L321" i="2"/>
  <c r="S607" i="2"/>
  <c r="S322" i="2"/>
  <c r="T321" i="2"/>
  <c r="AA607" i="2"/>
  <c r="AA322" i="2"/>
  <c r="AB321" i="2"/>
  <c r="AI607" i="2"/>
  <c r="AJ607" i="2" s="1"/>
  <c r="AI322" i="2"/>
  <c r="AJ321" i="2"/>
  <c r="E708" i="2"/>
  <c r="F669" i="2"/>
  <c r="Q708" i="2"/>
  <c r="R669" i="2"/>
  <c r="Q690" i="2"/>
  <c r="Y708" i="2"/>
  <c r="Z708" i="2" s="1"/>
  <c r="Z669" i="2"/>
  <c r="Y690" i="2"/>
  <c r="AC708" i="2"/>
  <c r="AC690" i="2"/>
  <c r="AD669" i="2"/>
  <c r="AG690" i="2"/>
  <c r="AG708" i="2" s="1"/>
  <c r="AH669" i="2"/>
  <c r="AP669" i="2"/>
  <c r="AO690" i="2"/>
  <c r="AO708" i="2" s="1"/>
  <c r="AS690" i="2"/>
  <c r="AS708" i="2" s="1"/>
  <c r="AW708" i="2"/>
  <c r="AW690" i="2"/>
  <c r="AX669" i="2"/>
  <c r="BH145" i="2"/>
  <c r="BL145" i="2"/>
  <c r="AR155" i="2"/>
  <c r="BH167" i="2"/>
  <c r="E989" i="2"/>
  <c r="E606" i="2"/>
  <c r="F606" i="2" s="1"/>
  <c r="I989" i="2"/>
  <c r="I606" i="2"/>
  <c r="J606" i="2" s="1"/>
  <c r="M989" i="2"/>
  <c r="M606" i="2"/>
  <c r="N606" i="2" s="1"/>
  <c r="Q989" i="2"/>
  <c r="Q606" i="2"/>
  <c r="R606" i="2" s="1"/>
  <c r="U989" i="2"/>
  <c r="U606" i="2"/>
  <c r="V606" i="2" s="1"/>
  <c r="Y989" i="2"/>
  <c r="Y606" i="2"/>
  <c r="Z606" i="2" s="1"/>
  <c r="AC989" i="2"/>
  <c r="AC606" i="2"/>
  <c r="AD606" i="2" s="1"/>
  <c r="AG989" i="2"/>
  <c r="AG606" i="2"/>
  <c r="AK989" i="2"/>
  <c r="AK606" i="2"/>
  <c r="AO989" i="2"/>
  <c r="AO606" i="2"/>
  <c r="BB989" i="2"/>
  <c r="BC989" i="2" s="1"/>
  <c r="BB606" i="2"/>
  <c r="BC606" i="2" s="1"/>
  <c r="BD989" i="2"/>
  <c r="BD606" i="2"/>
  <c r="BF989" i="2"/>
  <c r="BF606" i="2"/>
  <c r="BG606" i="2" s="1"/>
  <c r="O192" i="2"/>
  <c r="P192" i="2" s="1"/>
  <c r="AS222" i="2"/>
  <c r="Q228" i="2"/>
  <c r="AS226" i="2"/>
  <c r="Q234" i="2"/>
  <c r="BF279" i="2"/>
  <c r="BG279" i="2" s="1"/>
  <c r="BJ279" i="2"/>
  <c r="BM279" i="2" s="1"/>
  <c r="AV279" i="2"/>
  <c r="BO281" i="2"/>
  <c r="Q285" i="2"/>
  <c r="U285" i="2"/>
  <c r="Y285" i="2"/>
  <c r="AC285" i="2"/>
  <c r="AG285" i="2"/>
  <c r="AK285" i="2"/>
  <c r="AO285" i="2"/>
  <c r="R292" i="2"/>
  <c r="R307" i="2" s="1"/>
  <c r="O307" i="2"/>
  <c r="BI316" i="2"/>
  <c r="BE323" i="2"/>
  <c r="BI337" i="2"/>
  <c r="AW342" i="2"/>
  <c r="BQ381" i="2"/>
  <c r="BR381" i="2"/>
  <c r="BC477" i="2"/>
  <c r="BB479" i="2"/>
  <c r="AW482" i="2"/>
  <c r="AW479" i="2"/>
  <c r="AX477" i="2"/>
  <c r="AI141" i="2"/>
  <c r="F145" i="2"/>
  <c r="R145" i="2"/>
  <c r="Z145" i="2"/>
  <c r="AD145" i="2"/>
  <c r="AH145" i="2"/>
  <c r="AL145" i="2"/>
  <c r="AP145" i="2"/>
  <c r="AT145" i="2"/>
  <c r="AX145" i="2"/>
  <c r="BO158" i="2"/>
  <c r="BK156" i="2"/>
  <c r="BJ158" i="2"/>
  <c r="BL155" i="2"/>
  <c r="P167" i="2"/>
  <c r="T167" i="2"/>
  <c r="X167" i="2"/>
  <c r="AB167" i="2"/>
  <c r="AF167" i="2"/>
  <c r="AJ167" i="2"/>
  <c r="AN167" i="2"/>
  <c r="Q171" i="2"/>
  <c r="R171" i="2" s="1"/>
  <c r="P172" i="2"/>
  <c r="BI177" i="2"/>
  <c r="BJ989" i="2"/>
  <c r="BJ606" i="2"/>
  <c r="BG178" i="2"/>
  <c r="E179" i="2"/>
  <c r="E198" i="2" s="1"/>
  <c r="I179" i="2"/>
  <c r="I198" i="2" s="1"/>
  <c r="M179" i="2"/>
  <c r="Q179" i="2"/>
  <c r="U179" i="2"/>
  <c r="Y179" i="2"/>
  <c r="AC179" i="2"/>
  <c r="AG179" i="2"/>
  <c r="AK179" i="2"/>
  <c r="AO179" i="2"/>
  <c r="BB179" i="2"/>
  <c r="BB198" i="2" s="1"/>
  <c r="BD179" i="2"/>
  <c r="BD198" i="2" s="1"/>
  <c r="BF179" i="2"/>
  <c r="BI180" i="2"/>
  <c r="E182" i="2"/>
  <c r="BB182" i="2" s="1"/>
  <c r="I182" i="2"/>
  <c r="M182" i="2"/>
  <c r="Q182" i="2"/>
  <c r="U182" i="2"/>
  <c r="Y182" i="2"/>
  <c r="AC182" i="2"/>
  <c r="AG182" i="2"/>
  <c r="AK182" i="2"/>
  <c r="BJ182" i="2" s="1"/>
  <c r="AO182" i="2"/>
  <c r="F181" i="2"/>
  <c r="V181" i="2"/>
  <c r="AD181" i="2"/>
  <c r="AL181" i="2"/>
  <c r="BB186" i="2"/>
  <c r="AS194" i="2"/>
  <c r="AR222" i="2"/>
  <c r="AR226" i="2"/>
  <c r="BI222" i="2"/>
  <c r="BI226" i="2"/>
  <c r="BK222" i="2"/>
  <c r="AS227" i="2"/>
  <c r="Q235" i="2"/>
  <c r="Q236" i="2" s="1"/>
  <c r="R236" i="2" s="1"/>
  <c r="AS240" i="2"/>
  <c r="Q246" i="2"/>
  <c r="BI243" i="2"/>
  <c r="AR250" i="2"/>
  <c r="BH250" i="2"/>
  <c r="BI259" i="2"/>
  <c r="BI263" i="2"/>
  <c r="Q266" i="2"/>
  <c r="R266" i="2" s="1"/>
  <c r="R268" i="2"/>
  <c r="R270" i="2" s="1"/>
  <c r="V268" i="2"/>
  <c r="Z268" i="2"/>
  <c r="AD268" i="2"/>
  <c r="AH268" i="2"/>
  <c r="AL268" i="2"/>
  <c r="AP268" i="2"/>
  <c r="BG268" i="2"/>
  <c r="BH276" i="2"/>
  <c r="BK276" i="2" s="1"/>
  <c r="BF277" i="2"/>
  <c r="BG277" i="2" s="1"/>
  <c r="BJ277" i="2"/>
  <c r="BK277" i="2" s="1"/>
  <c r="BH278" i="2"/>
  <c r="BK278" i="2" s="1"/>
  <c r="T280" i="2"/>
  <c r="AB280" i="2"/>
  <c r="AJ280" i="2"/>
  <c r="AN280" i="2"/>
  <c r="BJ280" i="2"/>
  <c r="AX281" i="2"/>
  <c r="BQ296" i="2"/>
  <c r="BU296" i="2"/>
  <c r="BS297" i="2"/>
  <c r="AQ297" i="2"/>
  <c r="BB319" i="2"/>
  <c r="BF319" i="2"/>
  <c r="BJ319" i="2"/>
  <c r="BF327" i="2"/>
  <c r="BG327" i="2" s="1"/>
  <c r="BJ327" i="2"/>
  <c r="G321" i="2"/>
  <c r="O321" i="2"/>
  <c r="W321" i="2"/>
  <c r="AE321" i="2"/>
  <c r="AM321" i="2"/>
  <c r="C365" i="2"/>
  <c r="D365" i="2" s="1"/>
  <c r="D325" i="2"/>
  <c r="H319" i="2"/>
  <c r="L325" i="2"/>
  <c r="T325" i="2"/>
  <c r="X319" i="2"/>
  <c r="AB325" i="2"/>
  <c r="AF319" i="2"/>
  <c r="AL325" i="2"/>
  <c r="AN319" i="2"/>
  <c r="AW334" i="2"/>
  <c r="AX334" i="2" s="1"/>
  <c r="AV334" i="2"/>
  <c r="G708" i="2"/>
  <c r="H669" i="2"/>
  <c r="O690" i="2"/>
  <c r="O708" i="2"/>
  <c r="P669" i="2"/>
  <c r="AA690" i="2"/>
  <c r="AA708" i="2"/>
  <c r="AB669" i="2"/>
  <c r="AI690" i="2"/>
  <c r="AI708" i="2" s="1"/>
  <c r="AJ708" i="2" s="1"/>
  <c r="AJ669" i="2"/>
  <c r="AM690" i="2"/>
  <c r="AM708" i="2" s="1"/>
  <c r="AN669" i="2"/>
  <c r="AQ690" i="2"/>
  <c r="AQ708" i="2" s="1"/>
  <c r="AR708" i="2" s="1"/>
  <c r="AR669" i="2"/>
  <c r="AU690" i="2"/>
  <c r="AU708" i="2" s="1"/>
  <c r="AV669" i="2"/>
  <c r="BJ145" i="2"/>
  <c r="P158" i="2"/>
  <c r="T158" i="2"/>
  <c r="AX155" i="2"/>
  <c r="BI155" i="2"/>
  <c r="BK157" i="2"/>
  <c r="BI176" i="2"/>
  <c r="F178" i="2"/>
  <c r="N178" i="2"/>
  <c r="V178" i="2"/>
  <c r="AD178" i="2"/>
  <c r="AL178" i="2"/>
  <c r="BE178" i="2"/>
  <c r="C989" i="2"/>
  <c r="C606" i="2"/>
  <c r="D606" i="2" s="1"/>
  <c r="G989" i="2"/>
  <c r="G606" i="2"/>
  <c r="H606" i="2" s="1"/>
  <c r="K989" i="2"/>
  <c r="K606" i="2"/>
  <c r="L606" i="2" s="1"/>
  <c r="O989" i="2"/>
  <c r="O606" i="2"/>
  <c r="P606" i="2" s="1"/>
  <c r="S989" i="2"/>
  <c r="S606" i="2"/>
  <c r="T606" i="2" s="1"/>
  <c r="W989" i="2"/>
  <c r="W606" i="2"/>
  <c r="X606" i="2" s="1"/>
  <c r="AA989" i="2"/>
  <c r="AA606" i="2"/>
  <c r="AB606" i="2" s="1"/>
  <c r="AE989" i="2"/>
  <c r="AE606" i="2"/>
  <c r="AF606" i="2" s="1"/>
  <c r="AI989" i="2"/>
  <c r="AI606" i="2"/>
  <c r="AJ606" i="2" s="1"/>
  <c r="AM989" i="2"/>
  <c r="AM606" i="2"/>
  <c r="AN606" i="2" s="1"/>
  <c r="BI181" i="2"/>
  <c r="BC183" i="2"/>
  <c r="BG183" i="2"/>
  <c r="BK183" i="2"/>
  <c r="D181" i="2"/>
  <c r="L181" i="2"/>
  <c r="T181" i="2"/>
  <c r="AB181" i="2"/>
  <c r="AJ181" i="2"/>
  <c r="F186" i="2"/>
  <c r="BM186" i="2"/>
  <c r="AU189" i="2"/>
  <c r="F214" i="2"/>
  <c r="N214" i="2"/>
  <c r="R214" i="2"/>
  <c r="V214" i="2"/>
  <c r="BG223" i="2"/>
  <c r="BG227" i="2"/>
  <c r="Q230" i="2"/>
  <c r="R230" i="2" s="1"/>
  <c r="AP232" i="2"/>
  <c r="AQ241" i="2"/>
  <c r="AR240" i="2"/>
  <c r="BG240" i="2"/>
  <c r="BI240" i="2"/>
  <c r="BI244" i="2"/>
  <c r="AN250" i="2"/>
  <c r="Q252" i="2"/>
  <c r="BM262" i="2"/>
  <c r="P264" i="2"/>
  <c r="BG260" i="2"/>
  <c r="BI260" i="2"/>
  <c r="AQ268" i="2"/>
  <c r="AP276" i="2"/>
  <c r="R278" i="2"/>
  <c r="V278" i="2"/>
  <c r="Z278" i="2"/>
  <c r="AD278" i="2"/>
  <c r="AH278" i="2"/>
  <c r="AL278" i="2"/>
  <c r="AP278" i="2"/>
  <c r="AB279" i="2"/>
  <c r="AJ279" i="2"/>
  <c r="V281" i="2"/>
  <c r="AL281" i="2"/>
  <c r="BJ281" i="2"/>
  <c r="AT280" i="2"/>
  <c r="BO279" i="2"/>
  <c r="O282" i="2"/>
  <c r="S285" i="2"/>
  <c r="AB285" i="2" s="1"/>
  <c r="AI285" i="2"/>
  <c r="Q299" i="2"/>
  <c r="AQ298" i="2"/>
  <c r="BG301" i="2"/>
  <c r="C359" i="2"/>
  <c r="AP319" i="2"/>
  <c r="BG323" i="2"/>
  <c r="BK323" i="2"/>
  <c r="BI325" i="2"/>
  <c r="C366" i="2"/>
  <c r="D366" i="2" s="1"/>
  <c r="AJ326" i="2"/>
  <c r="D326" i="2"/>
  <c r="J325" i="2"/>
  <c r="L326" i="2"/>
  <c r="R325" i="2"/>
  <c r="T326" i="2"/>
  <c r="Z325" i="2"/>
  <c r="AB326" i="2"/>
  <c r="AH325" i="2"/>
  <c r="AL326" i="2"/>
  <c r="H145" i="2"/>
  <c r="P145" i="2"/>
  <c r="AB145" i="2"/>
  <c r="AJ145" i="2"/>
  <c r="AN145" i="2"/>
  <c r="AR145" i="2"/>
  <c r="AV145" i="2"/>
  <c r="AB158" i="2"/>
  <c r="AN158" i="2"/>
  <c r="BH178" i="2"/>
  <c r="BC178" i="2"/>
  <c r="C179" i="2"/>
  <c r="C198" i="2" s="1"/>
  <c r="G179" i="2"/>
  <c r="G198" i="2" s="1"/>
  <c r="K179" i="2"/>
  <c r="O179" i="2"/>
  <c r="S179" i="2"/>
  <c r="W179" i="2"/>
  <c r="AA179" i="2"/>
  <c r="AE179" i="2"/>
  <c r="AI179" i="2"/>
  <c r="AM179" i="2"/>
  <c r="BG180" i="2"/>
  <c r="BK180" i="2"/>
  <c r="BE585" i="2"/>
  <c r="BI585" i="2"/>
  <c r="BI224" i="2"/>
  <c r="R239" i="2"/>
  <c r="R252" i="2" s="1"/>
  <c r="BI241" i="2"/>
  <c r="BI245" i="2"/>
  <c r="BG261" i="2"/>
  <c r="AL319" i="2"/>
  <c r="BD319" i="2"/>
  <c r="BH319" i="2"/>
  <c r="BG320" i="2"/>
  <c r="BK320" i="2"/>
  <c r="BG324" i="2"/>
  <c r="BK324" i="2"/>
  <c r="BB325" i="2"/>
  <c r="BC325" i="2" s="1"/>
  <c r="BI326" i="2"/>
  <c r="BH327" i="2"/>
  <c r="BI327" i="2" s="1"/>
  <c r="E321" i="2"/>
  <c r="I321" i="2"/>
  <c r="M321" i="2"/>
  <c r="Q321" i="2"/>
  <c r="U321" i="2"/>
  <c r="Y321" i="2"/>
  <c r="AC321" i="2"/>
  <c r="AG321" i="2"/>
  <c r="AK321" i="2"/>
  <c r="AO321" i="2"/>
  <c r="C327" i="2"/>
  <c r="D327" i="2" s="1"/>
  <c r="E327" i="2"/>
  <c r="F327" i="2" s="1"/>
  <c r="G327" i="2"/>
  <c r="H327" i="2" s="1"/>
  <c r="I327" i="2"/>
  <c r="J327" i="2" s="1"/>
  <c r="K327" i="2"/>
  <c r="L327" i="2" s="1"/>
  <c r="M327" i="2"/>
  <c r="N327" i="2" s="1"/>
  <c r="O327" i="2"/>
  <c r="P327" i="2" s="1"/>
  <c r="Q327" i="2"/>
  <c r="R327" i="2" s="1"/>
  <c r="S327" i="2"/>
  <c r="T327" i="2" s="1"/>
  <c r="U327" i="2"/>
  <c r="V327" i="2" s="1"/>
  <c r="W327" i="2"/>
  <c r="X327" i="2" s="1"/>
  <c r="Y327" i="2"/>
  <c r="Z327" i="2" s="1"/>
  <c r="AA327" i="2"/>
  <c r="AB327" i="2" s="1"/>
  <c r="AC327" i="2"/>
  <c r="AD327" i="2" s="1"/>
  <c r="AE327" i="2"/>
  <c r="AF327" i="2" s="1"/>
  <c r="AG327" i="2"/>
  <c r="AH327" i="2" s="1"/>
  <c r="AI327" i="2"/>
  <c r="AJ327" i="2" s="1"/>
  <c r="AK327" i="2"/>
  <c r="AL327" i="2" s="1"/>
  <c r="AM327" i="2"/>
  <c r="AN327" i="2" s="1"/>
  <c r="AO327" i="2"/>
  <c r="AP327" i="2" s="1"/>
  <c r="D319" i="2"/>
  <c r="H325" i="2"/>
  <c r="J326" i="2"/>
  <c r="L319" i="2"/>
  <c r="R326" i="2"/>
  <c r="T319" i="2"/>
  <c r="X325" i="2"/>
  <c r="Z326" i="2"/>
  <c r="AB319" i="2"/>
  <c r="AF325" i="2"/>
  <c r="AH326" i="2"/>
  <c r="AJ319" i="2"/>
  <c r="AN325" i="2"/>
  <c r="AU390" i="2"/>
  <c r="AT390" i="2"/>
  <c r="BG397" i="2"/>
  <c r="BK397" i="2"/>
  <c r="BD337" i="2"/>
  <c r="BE337" i="2" s="1"/>
  <c r="BF381" i="2"/>
  <c r="BG381" i="2" s="1"/>
  <c r="E573" i="2"/>
  <c r="F518" i="2"/>
  <c r="E520" i="2"/>
  <c r="M573" i="2"/>
  <c r="N518" i="2"/>
  <c r="M520" i="2"/>
  <c r="U573" i="2"/>
  <c r="V518" i="2"/>
  <c r="U520" i="2"/>
  <c r="AC573" i="2"/>
  <c r="AD518" i="2"/>
  <c r="AC520" i="2"/>
  <c r="AK573" i="2"/>
  <c r="AL518" i="2"/>
  <c r="AK520" i="2"/>
  <c r="AR518" i="2"/>
  <c r="BD389" i="2"/>
  <c r="BH389" i="2"/>
  <c r="I578" i="2"/>
  <c r="J578" i="2" s="1"/>
  <c r="J523" i="2"/>
  <c r="Q578" i="2"/>
  <c r="R578" i="2" s="1"/>
  <c r="R523" i="2"/>
  <c r="Y578" i="2"/>
  <c r="Z523" i="2"/>
  <c r="AG578" i="2"/>
  <c r="AH578" i="2" s="1"/>
  <c r="AH523" i="2"/>
  <c r="AO578" i="2"/>
  <c r="AP523" i="2"/>
  <c r="BB394" i="2"/>
  <c r="BF394" i="2"/>
  <c r="BJ394" i="2"/>
  <c r="D396" i="2"/>
  <c r="H396" i="2"/>
  <c r="L396" i="2"/>
  <c r="P396" i="2"/>
  <c r="T396" i="2"/>
  <c r="X396" i="2"/>
  <c r="AB396" i="2"/>
  <c r="AF396" i="2"/>
  <c r="AJ396" i="2"/>
  <c r="AN396" i="2"/>
  <c r="D397" i="2"/>
  <c r="H397" i="2"/>
  <c r="L397" i="2"/>
  <c r="P397" i="2"/>
  <c r="T397" i="2"/>
  <c r="X397" i="2"/>
  <c r="AB397" i="2"/>
  <c r="AF397" i="2"/>
  <c r="AJ397" i="2"/>
  <c r="AN397" i="2"/>
  <c r="AS401" i="2"/>
  <c r="I405" i="2"/>
  <c r="J405" i="2" s="1"/>
  <c r="M405" i="2"/>
  <c r="N405" i="2" s="1"/>
  <c r="Q405" i="2"/>
  <c r="U405" i="2"/>
  <c r="V405" i="2" s="1"/>
  <c r="Y405" i="2"/>
  <c r="Z405" i="2" s="1"/>
  <c r="AC405" i="2"/>
  <c r="AG405" i="2"/>
  <c r="AK405" i="2"/>
  <c r="AL405" i="2" s="1"/>
  <c r="AO405" i="2"/>
  <c r="AP405" i="2" s="1"/>
  <c r="BI473" i="2"/>
  <c r="D488" i="2"/>
  <c r="C489" i="2"/>
  <c r="D489" i="2" s="1"/>
  <c r="BD477" i="2"/>
  <c r="BD488" i="2" s="1"/>
  <c r="S489" i="2"/>
  <c r="BH477" i="2"/>
  <c r="BH490" i="2" s="1"/>
  <c r="BL477" i="2"/>
  <c r="AQ482" i="2"/>
  <c r="AQ479" i="2"/>
  <c r="AR477" i="2"/>
  <c r="AS479" i="2"/>
  <c r="AT477" i="2"/>
  <c r="BJ477" i="2"/>
  <c r="E491" i="2"/>
  <c r="F491" i="2" s="1"/>
  <c r="U491" i="2"/>
  <c r="AK491" i="2"/>
  <c r="M492" i="2"/>
  <c r="AC492" i="2"/>
  <c r="AR534" i="2"/>
  <c r="AJ534" i="2"/>
  <c r="R539" i="2"/>
  <c r="J539" i="2"/>
  <c r="BJ612" i="2"/>
  <c r="AU551" i="2"/>
  <c r="AT551" i="2"/>
  <c r="R337" i="2"/>
  <c r="X337" i="2"/>
  <c r="AF337" i="2"/>
  <c r="R381" i="2"/>
  <c r="AH381" i="2"/>
  <c r="AL381" i="2"/>
  <c r="BO381" i="2"/>
  <c r="G573" i="2"/>
  <c r="H518" i="2"/>
  <c r="G520" i="2"/>
  <c r="O573" i="2"/>
  <c r="P518" i="2"/>
  <c r="O520" i="2"/>
  <c r="W573" i="2"/>
  <c r="X518" i="2"/>
  <c r="W520" i="2"/>
  <c r="AE573" i="2"/>
  <c r="AF518" i="2"/>
  <c r="AE520" i="2"/>
  <c r="AM573" i="2"/>
  <c r="AN518" i="2"/>
  <c r="AM520" i="2"/>
  <c r="AR389" i="2"/>
  <c r="F389" i="2"/>
  <c r="J389" i="2"/>
  <c r="N389" i="2"/>
  <c r="R389" i="2"/>
  <c r="V389" i="2"/>
  <c r="Z389" i="2"/>
  <c r="AD389" i="2"/>
  <c r="AH389" i="2"/>
  <c r="AL389" i="2"/>
  <c r="C391" i="2"/>
  <c r="C403" i="2" s="1"/>
  <c r="D403" i="2" s="1"/>
  <c r="G391" i="2"/>
  <c r="K391" i="2"/>
  <c r="K404" i="2" s="1"/>
  <c r="O391" i="2"/>
  <c r="O403" i="2" s="1"/>
  <c r="S391" i="2"/>
  <c r="W391" i="2"/>
  <c r="AA391" i="2"/>
  <c r="AA403" i="2" s="1"/>
  <c r="AE391" i="2"/>
  <c r="AE404" i="2" s="1"/>
  <c r="AI391" i="2"/>
  <c r="AI403" i="2" s="1"/>
  <c r="AJ403" i="2" s="1"/>
  <c r="AM391" i="2"/>
  <c r="AQ391" i="2"/>
  <c r="C578" i="2"/>
  <c r="D578" i="2" s="1"/>
  <c r="BB523" i="2"/>
  <c r="BC523" i="2" s="1"/>
  <c r="D523" i="2"/>
  <c r="K578" i="2"/>
  <c r="L578" i="2" s="1"/>
  <c r="BD523" i="2"/>
  <c r="L523" i="2"/>
  <c r="S578" i="2"/>
  <c r="BF523" i="2"/>
  <c r="BG523" i="2" s="1"/>
  <c r="T523" i="2"/>
  <c r="AA578" i="2"/>
  <c r="AB578" i="2" s="1"/>
  <c r="BH523" i="2"/>
  <c r="AB523" i="2"/>
  <c r="AI578" i="2"/>
  <c r="BJ523" i="2"/>
  <c r="BK523" i="2" s="1"/>
  <c r="AJ523" i="2"/>
  <c r="AP394" i="2"/>
  <c r="BE395" i="2"/>
  <c r="BI395" i="2"/>
  <c r="BC396" i="2"/>
  <c r="BI397" i="2"/>
  <c r="D394" i="2"/>
  <c r="H394" i="2"/>
  <c r="L394" i="2"/>
  <c r="P394" i="2"/>
  <c r="T394" i="2"/>
  <c r="X394" i="2"/>
  <c r="AB394" i="2"/>
  <c r="AF394" i="2"/>
  <c r="AJ394" i="2"/>
  <c r="AN394" i="2"/>
  <c r="E398" i="2"/>
  <c r="F398" i="2" s="1"/>
  <c r="I398" i="2"/>
  <c r="J398" i="2" s="1"/>
  <c r="M398" i="2"/>
  <c r="Q398" i="2"/>
  <c r="U398" i="2"/>
  <c r="V398" i="2" s="1"/>
  <c r="Y398" i="2"/>
  <c r="AC398" i="2"/>
  <c r="AG398" i="2"/>
  <c r="AK398" i="2"/>
  <c r="AL398" i="2" s="1"/>
  <c r="AO398" i="2"/>
  <c r="BK412" i="2"/>
  <c r="BO412" i="2"/>
  <c r="BK469" i="2"/>
  <c r="BM469" i="2"/>
  <c r="BE470" i="2"/>
  <c r="BG470" i="2"/>
  <c r="BN470" i="2"/>
  <c r="BM470" i="2"/>
  <c r="BC471" i="2"/>
  <c r="BE471" i="2"/>
  <c r="BK471" i="2"/>
  <c r="BM471" i="2"/>
  <c r="BE472" i="2"/>
  <c r="BG472" i="2"/>
  <c r="BN472" i="2"/>
  <c r="BM472" i="2"/>
  <c r="BB473" i="2"/>
  <c r="BC473" i="2" s="1"/>
  <c r="E611" i="2"/>
  <c r="F611" i="2" s="1"/>
  <c r="E490" i="2"/>
  <c r="F490" i="2" s="1"/>
  <c r="F479" i="2"/>
  <c r="M611" i="2"/>
  <c r="M490" i="2"/>
  <c r="N490" i="2" s="1"/>
  <c r="N479" i="2"/>
  <c r="U611" i="2"/>
  <c r="V611" i="2" s="1"/>
  <c r="U490" i="2"/>
  <c r="V479" i="2"/>
  <c r="AC611" i="2"/>
  <c r="AD611" i="2" s="1"/>
  <c r="AC490" i="2"/>
  <c r="AD490" i="2" s="1"/>
  <c r="AD479" i="2"/>
  <c r="AK611" i="2"/>
  <c r="AL611" i="2" s="1"/>
  <c r="AK490" i="2"/>
  <c r="AL490" i="2" s="1"/>
  <c r="AL479" i="2"/>
  <c r="BI478" i="2"/>
  <c r="BK478" i="2"/>
  <c r="BJ491" i="2"/>
  <c r="AB534" i="2"/>
  <c r="T534" i="2"/>
  <c r="R534" i="2"/>
  <c r="AU547" i="2"/>
  <c r="AT547" i="2"/>
  <c r="AT334" i="2"/>
  <c r="N337" i="2"/>
  <c r="BM337" i="2"/>
  <c r="AR381" i="2"/>
  <c r="BH381" i="2"/>
  <c r="BI381" i="2" s="1"/>
  <c r="I573" i="2"/>
  <c r="J518" i="2"/>
  <c r="I520" i="2"/>
  <c r="Q573" i="2"/>
  <c r="R518" i="2"/>
  <c r="Q520" i="2"/>
  <c r="Y573" i="2"/>
  <c r="Z518" i="2"/>
  <c r="Y520" i="2"/>
  <c r="AG573" i="2"/>
  <c r="AH518" i="2"/>
  <c r="AG520" i="2"/>
  <c r="AO573" i="2"/>
  <c r="AP518" i="2"/>
  <c r="AO520" i="2"/>
  <c r="AS389" i="2"/>
  <c r="AR390" i="2"/>
  <c r="BB389" i="2"/>
  <c r="BF389" i="2"/>
  <c r="BJ389" i="2"/>
  <c r="E578" i="2"/>
  <c r="F578" i="2" s="1"/>
  <c r="F523" i="2"/>
  <c r="M578" i="2"/>
  <c r="N523" i="2"/>
  <c r="U578" i="2"/>
  <c r="V578" i="2" s="1"/>
  <c r="V523" i="2"/>
  <c r="AC578" i="2"/>
  <c r="AD523" i="2"/>
  <c r="AK578" i="2"/>
  <c r="AL578" i="2" s="1"/>
  <c r="AL523" i="2"/>
  <c r="BD394" i="2"/>
  <c r="BH394" i="2"/>
  <c r="BD396" i="2"/>
  <c r="BH396" i="2"/>
  <c r="BB397" i="2"/>
  <c r="F396" i="2"/>
  <c r="J397" i="2"/>
  <c r="N397" i="2"/>
  <c r="R397" i="2"/>
  <c r="V397" i="2"/>
  <c r="Z397" i="2"/>
  <c r="AD397" i="2"/>
  <c r="AH397" i="2"/>
  <c r="AL397" i="2"/>
  <c r="AP397" i="2"/>
  <c r="K405" i="2"/>
  <c r="L405" i="2" s="1"/>
  <c r="O405" i="2"/>
  <c r="P405" i="2" s="1"/>
  <c r="S405" i="2"/>
  <c r="T405" i="2" s="1"/>
  <c r="W405" i="2"/>
  <c r="AA405" i="2"/>
  <c r="AE405" i="2"/>
  <c r="AI405" i="2"/>
  <c r="AJ405" i="2" s="1"/>
  <c r="AM405" i="2"/>
  <c r="J412" i="2"/>
  <c r="P412" i="2"/>
  <c r="BB412" i="2"/>
  <c r="BC412" i="2" s="1"/>
  <c r="BD473" i="2"/>
  <c r="BL473" i="2"/>
  <c r="X474" i="2"/>
  <c r="H488" i="2"/>
  <c r="G489" i="2"/>
  <c r="H489" i="2" s="1"/>
  <c r="P488" i="2"/>
  <c r="O489" i="2"/>
  <c r="W1036" i="2"/>
  <c r="X488" i="2"/>
  <c r="W489" i="2"/>
  <c r="AE1036" i="2"/>
  <c r="AF488" i="2"/>
  <c r="AE489" i="2"/>
  <c r="AF489" i="2" s="1"/>
  <c r="AU482" i="2"/>
  <c r="AU479" i="2"/>
  <c r="AV477" i="2"/>
  <c r="AU519" i="2"/>
  <c r="AV519" i="2" s="1"/>
  <c r="BH488" i="2"/>
  <c r="BD490" i="2"/>
  <c r="M491" i="2"/>
  <c r="N491" i="2" s="1"/>
  <c r="AC491" i="2"/>
  <c r="AD491" i="2" s="1"/>
  <c r="E492" i="2"/>
  <c r="F492" i="2" s="1"/>
  <c r="U492" i="2"/>
  <c r="V492" i="2" s="1"/>
  <c r="AK492" i="2"/>
  <c r="BF612" i="2"/>
  <c r="AU341" i="2"/>
  <c r="C573" i="2"/>
  <c r="BB518" i="2"/>
  <c r="D518" i="2"/>
  <c r="C520" i="2"/>
  <c r="K573" i="2"/>
  <c r="L518" i="2"/>
  <c r="K520" i="2"/>
  <c r="BD518" i="2"/>
  <c r="S573" i="2"/>
  <c r="BF518" i="2"/>
  <c r="T518" i="2"/>
  <c r="S520" i="2"/>
  <c r="AA573" i="2"/>
  <c r="AB518" i="2"/>
  <c r="AA520" i="2"/>
  <c r="BH518" i="2"/>
  <c r="AI573" i="2"/>
  <c r="BJ518" i="2"/>
  <c r="AJ518" i="2"/>
  <c r="AI520" i="2"/>
  <c r="AP389" i="2"/>
  <c r="D389" i="2"/>
  <c r="H389" i="2"/>
  <c r="L389" i="2"/>
  <c r="P389" i="2"/>
  <c r="T389" i="2"/>
  <c r="X389" i="2"/>
  <c r="AB389" i="2"/>
  <c r="AF389" i="2"/>
  <c r="AJ389" i="2"/>
  <c r="AN389" i="2"/>
  <c r="E391" i="2"/>
  <c r="E403" i="2" s="1"/>
  <c r="F403" i="2" s="1"/>
  <c r="I391" i="2"/>
  <c r="M391" i="2"/>
  <c r="M403" i="2" s="1"/>
  <c r="Q391" i="2"/>
  <c r="Q403" i="2" s="1"/>
  <c r="U391" i="2"/>
  <c r="U403" i="2" s="1"/>
  <c r="Y391" i="2"/>
  <c r="AC391" i="2"/>
  <c r="AC403" i="2" s="1"/>
  <c r="AG391" i="2"/>
  <c r="AG403" i="2" s="1"/>
  <c r="AK391" i="2"/>
  <c r="AK404" i="2" s="1"/>
  <c r="AO391" i="2"/>
  <c r="G578" i="2"/>
  <c r="H578" i="2" s="1"/>
  <c r="H523" i="2"/>
  <c r="O578" i="2"/>
  <c r="P523" i="2"/>
  <c r="W578" i="2"/>
  <c r="X578" i="2" s="1"/>
  <c r="X523" i="2"/>
  <c r="AE578" i="2"/>
  <c r="AF523" i="2"/>
  <c r="AM578" i="2"/>
  <c r="AN578" i="2" s="1"/>
  <c r="AN523" i="2"/>
  <c r="F394" i="2"/>
  <c r="J394" i="2"/>
  <c r="N394" i="2"/>
  <c r="R394" i="2"/>
  <c r="V394" i="2"/>
  <c r="Z394" i="2"/>
  <c r="AD394" i="2"/>
  <c r="AH394" i="2"/>
  <c r="AL394" i="2"/>
  <c r="C398" i="2"/>
  <c r="D398" i="2" s="1"/>
  <c r="G398" i="2"/>
  <c r="H398" i="2" s="1"/>
  <c r="K398" i="2"/>
  <c r="O398" i="2"/>
  <c r="S398" i="2"/>
  <c r="W398" i="2"/>
  <c r="X398" i="2" s="1"/>
  <c r="AA398" i="2"/>
  <c r="AE398" i="2"/>
  <c r="AI398" i="2"/>
  <c r="AM398" i="2"/>
  <c r="AN398" i="2" s="1"/>
  <c r="C400" i="2"/>
  <c r="G400" i="2"/>
  <c r="K400" i="2"/>
  <c r="O400" i="2"/>
  <c r="S400" i="2"/>
  <c r="W400" i="2"/>
  <c r="AA400" i="2"/>
  <c r="AE400" i="2"/>
  <c r="AI400" i="2"/>
  <c r="AM400" i="2"/>
  <c r="R412" i="2"/>
  <c r="X412" i="2"/>
  <c r="BD412" i="2"/>
  <c r="BG469" i="2"/>
  <c r="BI469" i="2"/>
  <c r="BP469" i="2"/>
  <c r="BO469" i="2"/>
  <c r="BI470" i="2"/>
  <c r="BK470" i="2"/>
  <c r="BG471" i="2"/>
  <c r="BI471" i="2"/>
  <c r="BP471" i="2"/>
  <c r="BO471" i="2"/>
  <c r="BI472" i="2"/>
  <c r="BK472" i="2"/>
  <c r="BJ474" i="2"/>
  <c r="BK473" i="2"/>
  <c r="BH474" i="2"/>
  <c r="I479" i="2"/>
  <c r="I488" i="2"/>
  <c r="J477" i="2"/>
  <c r="Q479" i="2"/>
  <c r="Q491" i="2" s="1"/>
  <c r="Q488" i="2"/>
  <c r="R477" i="2"/>
  <c r="Y479" i="2"/>
  <c r="Y491" i="2" s="1"/>
  <c r="Y488" i="2"/>
  <c r="Z477" i="2"/>
  <c r="AG479" i="2"/>
  <c r="AG491" i="2" s="1"/>
  <c r="AH491" i="2" s="1"/>
  <c r="AG488" i="2"/>
  <c r="AH477" i="2"/>
  <c r="AO479" i="2"/>
  <c r="AO492" i="2" s="1"/>
  <c r="AP492" i="2" s="1"/>
  <c r="AP477" i="2"/>
  <c r="AO488" i="2"/>
  <c r="AQ519" i="2"/>
  <c r="BF477" i="2"/>
  <c r="BE478" i="2"/>
  <c r="BG478" i="2"/>
  <c r="BN478" i="2"/>
  <c r="BM478" i="2"/>
  <c r="I491" i="2"/>
  <c r="J491" i="2" s="1"/>
  <c r="AG492" i="2"/>
  <c r="BH534" i="2"/>
  <c r="J555" i="2"/>
  <c r="Z555" i="2"/>
  <c r="BE469" i="2"/>
  <c r="I474" i="2"/>
  <c r="J474" i="2" s="1"/>
  <c r="M474" i="2"/>
  <c r="N474" i="2" s="1"/>
  <c r="Q474" i="2"/>
  <c r="U474" i="2"/>
  <c r="C479" i="2"/>
  <c r="G479" i="2"/>
  <c r="K479" i="2"/>
  <c r="O479" i="2"/>
  <c r="S479" i="2"/>
  <c r="W479" i="2"/>
  <c r="AA479" i="2"/>
  <c r="AE479" i="2"/>
  <c r="AI479" i="2"/>
  <c r="AM479" i="2"/>
  <c r="BG482" i="2"/>
  <c r="BK482" i="2"/>
  <c r="BE483" i="2"/>
  <c r="BI483" i="2"/>
  <c r="BK484" i="2"/>
  <c r="BE485" i="2"/>
  <c r="BI485" i="2"/>
  <c r="E486" i="2"/>
  <c r="I486" i="2"/>
  <c r="M486" i="2"/>
  <c r="M494" i="2" s="1"/>
  <c r="Q486" i="2"/>
  <c r="U486" i="2"/>
  <c r="Y486" i="2"/>
  <c r="AC486" i="2"/>
  <c r="AC494" i="2" s="1"/>
  <c r="AG486" i="2"/>
  <c r="AK486" i="2"/>
  <c r="AO486" i="2"/>
  <c r="E488" i="2"/>
  <c r="M488" i="2"/>
  <c r="U488" i="2"/>
  <c r="AC488" i="2"/>
  <c r="AK488" i="2"/>
  <c r="BB488" i="2"/>
  <c r="BF488" i="2"/>
  <c r="BJ488" i="2"/>
  <c r="BB490" i="2"/>
  <c r="BC490" i="2" s="1"/>
  <c r="BF490" i="2"/>
  <c r="BG490" i="2" s="1"/>
  <c r="BJ490" i="2"/>
  <c r="BD491" i="2"/>
  <c r="BH491" i="2"/>
  <c r="BB492" i="2"/>
  <c r="BC492" i="2" s="1"/>
  <c r="AN511" i="2"/>
  <c r="E574" i="2"/>
  <c r="F574" i="2" s="1"/>
  <c r="I574" i="2"/>
  <c r="J574" i="2" s="1"/>
  <c r="M574" i="2"/>
  <c r="N574" i="2" s="1"/>
  <c r="Q574" i="2"/>
  <c r="R574" i="2" s="1"/>
  <c r="U574" i="2"/>
  <c r="Y574" i="2"/>
  <c r="AC574" i="2"/>
  <c r="AD574" i="2" s="1"/>
  <c r="AG574" i="2"/>
  <c r="AH574" i="2" s="1"/>
  <c r="AK574" i="2"/>
  <c r="AO574" i="2"/>
  <c r="AS519" i="2"/>
  <c r="AT519" i="2" s="1"/>
  <c r="C579" i="2"/>
  <c r="D579" i="2" s="1"/>
  <c r="G579" i="2"/>
  <c r="H579" i="2" s="1"/>
  <c r="K579" i="2"/>
  <c r="O579" i="2"/>
  <c r="P579" i="2" s="1"/>
  <c r="S579" i="2"/>
  <c r="W579" i="2"/>
  <c r="AA579" i="2"/>
  <c r="AE579" i="2"/>
  <c r="AF579" i="2" s="1"/>
  <c r="AI579" i="2"/>
  <c r="AM579" i="2"/>
  <c r="C525" i="2"/>
  <c r="G525" i="2"/>
  <c r="K525" i="2"/>
  <c r="O525" i="2"/>
  <c r="S525" i="2"/>
  <c r="W525" i="2"/>
  <c r="AA525" i="2"/>
  <c r="AE525" i="2"/>
  <c r="AI525" i="2"/>
  <c r="AM525" i="2"/>
  <c r="C526" i="2"/>
  <c r="G526" i="2"/>
  <c r="H526" i="2" s="1"/>
  <c r="K526" i="2"/>
  <c r="K581" i="2" s="1"/>
  <c r="O526" i="2"/>
  <c r="P526" i="2" s="1"/>
  <c r="S526" i="2"/>
  <c r="S581" i="2" s="1"/>
  <c r="W526" i="2"/>
  <c r="AA526" i="2"/>
  <c r="AA581" i="2" s="1"/>
  <c r="AE526" i="2"/>
  <c r="AF526" i="2" s="1"/>
  <c r="AI526" i="2"/>
  <c r="AM526" i="2"/>
  <c r="AK534" i="2"/>
  <c r="AL534" i="2" s="1"/>
  <c r="BP535" i="2"/>
  <c r="BQ535" i="2" s="1"/>
  <c r="BT535" i="2"/>
  <c r="G539" i="2"/>
  <c r="BK546" i="2"/>
  <c r="BE547" i="2"/>
  <c r="BI547" i="2"/>
  <c r="E557" i="2"/>
  <c r="E612" i="2"/>
  <c r="F612" i="2" s="1"/>
  <c r="M612" i="2"/>
  <c r="R612" i="2"/>
  <c r="U557" i="2"/>
  <c r="U612" i="2"/>
  <c r="Z612" i="2"/>
  <c r="AC612" i="2"/>
  <c r="AH612" i="2"/>
  <c r="AK557" i="2"/>
  <c r="AK612" i="2"/>
  <c r="AL612" i="2" s="1"/>
  <c r="AP612" i="2"/>
  <c r="AT552" i="2"/>
  <c r="BD579" i="2"/>
  <c r="BH579" i="2"/>
  <c r="AS553" i="2"/>
  <c r="J554" i="2"/>
  <c r="Z554" i="2"/>
  <c r="AF554" i="2"/>
  <c r="AP554" i="2"/>
  <c r="D555" i="2"/>
  <c r="C557" i="2"/>
  <c r="Y557" i="2"/>
  <c r="AI557" i="2"/>
  <c r="BK558" i="2"/>
  <c r="L563" i="2"/>
  <c r="BB567" i="2"/>
  <c r="BC567" i="2" s="1"/>
  <c r="BC566" i="2"/>
  <c r="BL567" i="2"/>
  <c r="BM567" i="2" s="1"/>
  <c r="BO566" i="2"/>
  <c r="BM566" i="2"/>
  <c r="BD486" i="2"/>
  <c r="BH486" i="2"/>
  <c r="W534" i="2"/>
  <c r="X534" i="2" s="1"/>
  <c r="BD548" i="2"/>
  <c r="BH548" i="2"/>
  <c r="BK548" i="2" s="1"/>
  <c r="G581" i="2"/>
  <c r="H581" i="2" s="1"/>
  <c r="O581" i="2"/>
  <c r="BF554" i="2"/>
  <c r="BI554" i="2" s="1"/>
  <c r="W581" i="2"/>
  <c r="AB554" i="2"/>
  <c r="AR554" i="2"/>
  <c r="BD554" i="2"/>
  <c r="O555" i="2"/>
  <c r="Q557" i="2"/>
  <c r="BD567" i="2"/>
  <c r="BE567" i="2" s="1"/>
  <c r="BE566" i="2"/>
  <c r="D477" i="2"/>
  <c r="H477" i="2"/>
  <c r="L477" i="2"/>
  <c r="P477" i="2"/>
  <c r="T477" i="2"/>
  <c r="X477" i="2"/>
  <c r="AB477" i="2"/>
  <c r="AF477" i="2"/>
  <c r="AJ477" i="2"/>
  <c r="AN477" i="2"/>
  <c r="BE482" i="2"/>
  <c r="BI482" i="2"/>
  <c r="C486" i="2"/>
  <c r="G486" i="2"/>
  <c r="K486" i="2"/>
  <c r="O486" i="2"/>
  <c r="S486" i="2"/>
  <c r="W486" i="2"/>
  <c r="AA486" i="2"/>
  <c r="AE486" i="2"/>
  <c r="AI486" i="2"/>
  <c r="AM486" i="2"/>
  <c r="K488" i="2"/>
  <c r="T488" i="2" s="1"/>
  <c r="AA488" i="2"/>
  <c r="AI488" i="2"/>
  <c r="AM488" i="2"/>
  <c r="X499" i="2"/>
  <c r="AR499" i="2"/>
  <c r="BE499" i="2"/>
  <c r="AJ511" i="2"/>
  <c r="C574" i="2"/>
  <c r="D574" i="2" s="1"/>
  <c r="G574" i="2"/>
  <c r="H574" i="2" s="1"/>
  <c r="K574" i="2"/>
  <c r="L574" i="2" s="1"/>
  <c r="O574" i="2"/>
  <c r="S574" i="2"/>
  <c r="W574" i="2"/>
  <c r="X574" i="2" s="1"/>
  <c r="AA574" i="2"/>
  <c r="AB574" i="2" s="1"/>
  <c r="AE574" i="2"/>
  <c r="AI574" i="2"/>
  <c r="AM574" i="2"/>
  <c r="AN574" i="2" s="1"/>
  <c r="E579" i="2"/>
  <c r="F579" i="2" s="1"/>
  <c r="I579" i="2"/>
  <c r="J579" i="2" s="1"/>
  <c r="M579" i="2"/>
  <c r="Q579" i="2"/>
  <c r="R579" i="2" s="1"/>
  <c r="U579" i="2"/>
  <c r="V579" i="2" s="1"/>
  <c r="Y579" i="2"/>
  <c r="AC579" i="2"/>
  <c r="AG579" i="2"/>
  <c r="AH579" i="2" s="1"/>
  <c r="AK579" i="2"/>
  <c r="AL579" i="2" s="1"/>
  <c r="AO579" i="2"/>
  <c r="E525" i="2"/>
  <c r="I525" i="2"/>
  <c r="M525" i="2"/>
  <c r="Q525" i="2"/>
  <c r="U525" i="2"/>
  <c r="Y525" i="2"/>
  <c r="AC525" i="2"/>
  <c r="AG525" i="2"/>
  <c r="AK525" i="2"/>
  <c r="AO525" i="2"/>
  <c r="E526" i="2"/>
  <c r="F526" i="2" s="1"/>
  <c r="I526" i="2"/>
  <c r="J526" i="2" s="1"/>
  <c r="M526" i="2"/>
  <c r="Q526" i="2"/>
  <c r="R526" i="2" s="1"/>
  <c r="U526" i="2"/>
  <c r="V526" i="2" s="1"/>
  <c r="Y526" i="2"/>
  <c r="AC526" i="2"/>
  <c r="AG526" i="2"/>
  <c r="AH526" i="2" s="1"/>
  <c r="AK526" i="2"/>
  <c r="AL526" i="2" s="1"/>
  <c r="AO526" i="2"/>
  <c r="BL534" i="2"/>
  <c r="F539" i="2"/>
  <c r="C539" i="2"/>
  <c r="AR546" i="2"/>
  <c r="BE546" i="2"/>
  <c r="L612" i="2"/>
  <c r="P612" i="2"/>
  <c r="T612" i="2"/>
  <c r="X612" i="2"/>
  <c r="AB612" i="2"/>
  <c r="AF612" i="2"/>
  <c r="AJ612" i="2"/>
  <c r="AN612" i="2"/>
  <c r="AQ548" i="2"/>
  <c r="AV552" i="2"/>
  <c r="BC551" i="2"/>
  <c r="BG551" i="2"/>
  <c r="BK551" i="2"/>
  <c r="BJ579" i="2"/>
  <c r="BK579" i="2" s="1"/>
  <c r="H554" i="2"/>
  <c r="L554" i="2"/>
  <c r="P554" i="2"/>
  <c r="T554" i="2"/>
  <c r="X554" i="2"/>
  <c r="AC581" i="2"/>
  <c r="AH554" i="2"/>
  <c r="AN554" i="2"/>
  <c r="AM581" i="2"/>
  <c r="AS554" i="2"/>
  <c r="F555" i="2"/>
  <c r="K555" i="2"/>
  <c r="AA555" i="2"/>
  <c r="AA557" i="2" s="1"/>
  <c r="AG555" i="2"/>
  <c r="AP555" i="2" s="1"/>
  <c r="AQ555" i="2"/>
  <c r="I557" i="2"/>
  <c r="S557" i="2"/>
  <c r="AE557" i="2"/>
  <c r="AO557" i="2"/>
  <c r="BF567" i="2"/>
  <c r="BG567" i="2" s="1"/>
  <c r="BG566" i="2"/>
  <c r="BH567" i="2"/>
  <c r="BK567" i="2" s="1"/>
  <c r="BI566" i="2"/>
  <c r="BK566" i="2"/>
  <c r="BB484" i="2"/>
  <c r="BE484" i="2" s="1"/>
  <c r="BF484" i="2"/>
  <c r="BF486" i="2" s="1"/>
  <c r="T499" i="2"/>
  <c r="AL499" i="2"/>
  <c r="BF499" i="2"/>
  <c r="BJ499" i="2"/>
  <c r="AP511" i="2"/>
  <c r="D519" i="2"/>
  <c r="H519" i="2"/>
  <c r="L519" i="2"/>
  <c r="P519" i="2"/>
  <c r="T519" i="2"/>
  <c r="X519" i="2"/>
  <c r="AB519" i="2"/>
  <c r="AF519" i="2"/>
  <c r="AJ519" i="2"/>
  <c r="AN519" i="2"/>
  <c r="BD519" i="2"/>
  <c r="BE519" i="2" s="1"/>
  <c r="BH519" i="2"/>
  <c r="BI519" i="2" s="1"/>
  <c r="F524" i="2"/>
  <c r="J524" i="2"/>
  <c r="N524" i="2"/>
  <c r="R524" i="2"/>
  <c r="V524" i="2"/>
  <c r="Z524" i="2"/>
  <c r="AD524" i="2"/>
  <c r="AH524" i="2"/>
  <c r="AL524" i="2"/>
  <c r="AP524" i="2"/>
  <c r="BB524" i="2"/>
  <c r="BC524" i="2" s="1"/>
  <c r="BF524" i="2"/>
  <c r="BG524" i="2" s="1"/>
  <c r="BJ524" i="2"/>
  <c r="BK524" i="2" s="1"/>
  <c r="AS546" i="2"/>
  <c r="AR547" i="2"/>
  <c r="BB548" i="2"/>
  <c r="D548" i="2"/>
  <c r="H548" i="2"/>
  <c r="L548" i="2"/>
  <c r="P548" i="2"/>
  <c r="T548" i="2"/>
  <c r="X548" i="2"/>
  <c r="AB548" i="2"/>
  <c r="AF548" i="2"/>
  <c r="AJ548" i="2"/>
  <c r="AN548" i="2"/>
  <c r="AR551" i="2"/>
  <c r="AW552" i="2"/>
  <c r="BL552" i="2" s="1"/>
  <c r="BD555" i="2"/>
  <c r="BH555" i="2"/>
  <c r="BI555" i="2" s="1"/>
  <c r="BC552" i="2"/>
  <c r="BG552" i="2"/>
  <c r="BK552" i="2"/>
  <c r="BB554" i="2"/>
  <c r="BB555" i="2" s="1"/>
  <c r="BC555" i="2" s="1"/>
  <c r="I581" i="2"/>
  <c r="J581" i="2" s="1"/>
  <c r="M581" i="2"/>
  <c r="Y581" i="2"/>
  <c r="AD554" i="2"/>
  <c r="BJ554" i="2"/>
  <c r="BJ555" i="2" s="1"/>
  <c r="AJ554" i="2"/>
  <c r="AI581" i="2"/>
  <c r="AO581" i="2"/>
  <c r="BF555" i="2"/>
  <c r="G555" i="2"/>
  <c r="G557" i="2" s="1"/>
  <c r="M555" i="2"/>
  <c r="M557" i="2" s="1"/>
  <c r="R555" i="2"/>
  <c r="W555" i="2"/>
  <c r="AC555" i="2"/>
  <c r="AC557" i="2" s="1"/>
  <c r="AM555" i="2"/>
  <c r="AM557" i="2" s="1"/>
  <c r="K557" i="2"/>
  <c r="W557" i="2"/>
  <c r="AG557" i="2"/>
  <c r="X563" i="2"/>
  <c r="P563" i="2"/>
  <c r="R566" i="2"/>
  <c r="BQ567" i="2"/>
  <c r="BU567" i="2"/>
  <c r="BA589" i="2"/>
  <c r="AW680" i="2"/>
  <c r="BV567" i="2"/>
  <c r="B662" i="2"/>
  <c r="B648" i="2"/>
  <c r="AW688" i="2"/>
  <c r="J566" i="2"/>
  <c r="V566" i="2"/>
  <c r="AD566" i="2"/>
  <c r="AP701" i="2"/>
  <c r="G939" i="2"/>
  <c r="H939" i="2" s="1"/>
  <c r="G906" i="2"/>
  <c r="H906" i="2" s="1"/>
  <c r="G927" i="2"/>
  <c r="H927" i="2" s="1"/>
  <c r="G848" i="2"/>
  <c r="H848" i="2" s="1"/>
  <c r="H731" i="2"/>
  <c r="BN817" i="2"/>
  <c r="BM817" i="2"/>
  <c r="Y831" i="2"/>
  <c r="AH830" i="2"/>
  <c r="Z830" i="2"/>
  <c r="Y828" i="2"/>
  <c r="AW676" i="2"/>
  <c r="AW684" i="2"/>
  <c r="BJ700" i="2"/>
  <c r="BK700" i="2" s="1"/>
  <c r="BK681" i="2"/>
  <c r="BH701" i="2"/>
  <c r="BI701" i="2" s="1"/>
  <c r="BJ699" i="2"/>
  <c r="BK699" i="2" s="1"/>
  <c r="BF700" i="2"/>
  <c r="BG700" i="2" s="1"/>
  <c r="AP699" i="2"/>
  <c r="E832" i="2"/>
  <c r="F712" i="2"/>
  <c r="AU706" i="2"/>
  <c r="AD706" i="2"/>
  <c r="F711" i="2"/>
  <c r="K939" i="2"/>
  <c r="K906" i="2"/>
  <c r="K848" i="2"/>
  <c r="L731" i="2"/>
  <c r="BF830" i="2"/>
  <c r="BB845" i="2"/>
  <c r="BB818" i="2" s="1"/>
  <c r="BC818" i="2" s="1"/>
  <c r="C939" i="2"/>
  <c r="D939" i="2" s="1"/>
  <c r="C927" i="2"/>
  <c r="D927" i="2" s="1"/>
  <c r="C906" i="2"/>
  <c r="D906" i="2" s="1"/>
  <c r="C905" i="2"/>
  <c r="D905" i="2" s="1"/>
  <c r="C848" i="2"/>
  <c r="D848" i="2" s="1"/>
  <c r="D731" i="2"/>
  <c r="BC707" i="2"/>
  <c r="AT735" i="2"/>
  <c r="AU735" i="2"/>
  <c r="AL825" i="2"/>
  <c r="BH825" i="2"/>
  <c r="BG727" i="2"/>
  <c r="BK727" i="2"/>
  <c r="BG729" i="2"/>
  <c r="BK729" i="2"/>
  <c r="BO728" i="2"/>
  <c r="AQ730" i="2"/>
  <c r="AR730" i="2" s="1"/>
  <c r="BB730" i="2"/>
  <c r="BC730" i="2" s="1"/>
  <c r="BF730" i="2"/>
  <c r="BJ730" i="2"/>
  <c r="BE817" i="2"/>
  <c r="BI817" i="2"/>
  <c r="AU822" i="2"/>
  <c r="V823" i="2"/>
  <c r="AD823" i="2"/>
  <c r="AL823" i="2"/>
  <c r="BI822" i="2"/>
  <c r="U825" i="2"/>
  <c r="V825" i="2" s="1"/>
  <c r="AO825" i="2"/>
  <c r="AP825" i="2" s="1"/>
  <c r="AQ827" i="2"/>
  <c r="BF827" i="2"/>
  <c r="BG827" i="2" s="1"/>
  <c r="BJ827" i="2"/>
  <c r="BK827" i="2" s="1"/>
  <c r="P830" i="2"/>
  <c r="T830" i="2"/>
  <c r="AR828" i="2"/>
  <c r="BM830" i="2"/>
  <c r="AR885" i="2"/>
  <c r="AS885" i="2"/>
  <c r="C837" i="2"/>
  <c r="D837" i="2" s="1"/>
  <c r="K837" i="2"/>
  <c r="BF947" i="2"/>
  <c r="BG947" i="2" s="1"/>
  <c r="BG840" i="2"/>
  <c r="BB946" i="2"/>
  <c r="BC946" i="2" s="1"/>
  <c r="BC842" i="2"/>
  <c r="BJ946" i="2"/>
  <c r="BK946" i="2" s="1"/>
  <c r="BK842" i="2"/>
  <c r="BB846" i="2"/>
  <c r="BC846" i="2" s="1"/>
  <c r="BJ935" i="2"/>
  <c r="BJ934" i="2"/>
  <c r="BE846" i="2"/>
  <c r="BI846" i="2"/>
  <c r="BO729" i="2"/>
  <c r="BJ735" i="2"/>
  <c r="BB819" i="2"/>
  <c r="BF819" i="2"/>
  <c r="BI819" i="2" s="1"/>
  <c r="BJ819" i="2"/>
  <c r="BB823" i="2"/>
  <c r="BC823" i="2" s="1"/>
  <c r="BJ823" i="2"/>
  <c r="BK823" i="2" s="1"/>
  <c r="AJ823" i="2"/>
  <c r="AR823" i="2"/>
  <c r="BG822" i="2"/>
  <c r="BD825" i="2"/>
  <c r="BE828" i="2"/>
  <c r="BD830" i="2"/>
  <c r="BE830" i="2" s="1"/>
  <c r="BF846" i="2"/>
  <c r="BG846" i="2" s="1"/>
  <c r="H864" i="2"/>
  <c r="AF864" i="2"/>
  <c r="AN864" i="2"/>
  <c r="BE727" i="2"/>
  <c r="BI727" i="2"/>
  <c r="BG847" i="2"/>
  <c r="BK847" i="2"/>
  <c r="E731" i="2"/>
  <c r="I731" i="2"/>
  <c r="I837" i="2" s="1"/>
  <c r="J837" i="2" s="1"/>
  <c r="M731" i="2"/>
  <c r="BD730" i="2"/>
  <c r="BH730" i="2"/>
  <c r="BI730" i="2" s="1"/>
  <c r="BC817" i="2"/>
  <c r="BG817" i="2"/>
  <c r="BK817" i="2"/>
  <c r="S825" i="2"/>
  <c r="T825" i="2" s="1"/>
  <c r="W825" i="2"/>
  <c r="X825" i="2" s="1"/>
  <c r="AA825" i="2"/>
  <c r="AE825" i="2"/>
  <c r="AM825" i="2"/>
  <c r="AN825" i="2" s="1"/>
  <c r="AQ825" i="2"/>
  <c r="AR825" i="2" s="1"/>
  <c r="V830" i="2"/>
  <c r="AD830" i="2"/>
  <c r="G837" i="2"/>
  <c r="H837" i="2" s="1"/>
  <c r="BB947" i="2"/>
  <c r="BC947" i="2" s="1"/>
  <c r="BC840" i="2"/>
  <c r="BJ947" i="2"/>
  <c r="BK947" i="2" s="1"/>
  <c r="BK840" i="2"/>
  <c r="BF946" i="2"/>
  <c r="BG946" i="2" s="1"/>
  <c r="BG842" i="2"/>
  <c r="BJ846" i="2"/>
  <c r="BK846" i="2" s="1"/>
  <c r="BF888" i="2"/>
  <c r="BF889" i="2" s="1"/>
  <c r="BJ888" i="2"/>
  <c r="BK888" i="2" s="1"/>
  <c r="BK859" i="2"/>
  <c r="BC728" i="2"/>
  <c r="BG728" i="2"/>
  <c r="BK728" i="2"/>
  <c r="AR727" i="2"/>
  <c r="BH735" i="2"/>
  <c r="BC822" i="2"/>
  <c r="BK822" i="2"/>
  <c r="AS828" i="2"/>
  <c r="D864" i="2"/>
  <c r="AJ864" i="2"/>
  <c r="AR875" i="2"/>
  <c r="BE840" i="2"/>
  <c r="BI840" i="2"/>
  <c r="BE842" i="2"/>
  <c r="BI842" i="2"/>
  <c r="AO846" i="2"/>
  <c r="AP846" i="2" s="1"/>
  <c r="AO847" i="2"/>
  <c r="AP847" i="2" s="1"/>
  <c r="C852" i="2"/>
  <c r="K852" i="2"/>
  <c r="C857" i="2"/>
  <c r="K857" i="2"/>
  <c r="S857" i="2"/>
  <c r="AA857" i="2"/>
  <c r="AI857" i="2"/>
  <c r="AR857" i="2" s="1"/>
  <c r="AP857" i="2"/>
  <c r="AS858" i="2"/>
  <c r="AR859" i="2"/>
  <c r="BB857" i="2"/>
  <c r="BC857" i="2" s="1"/>
  <c r="BF857" i="2"/>
  <c r="BF735" i="2" s="1"/>
  <c r="BD933" i="2"/>
  <c r="BH933" i="2"/>
  <c r="E928" i="2"/>
  <c r="F928" i="2" s="1"/>
  <c r="E888" i="2"/>
  <c r="N888" i="2"/>
  <c r="M889" i="2"/>
  <c r="M880" i="2" s="1"/>
  <c r="U928" i="2"/>
  <c r="U888" i="2"/>
  <c r="AC928" i="2"/>
  <c r="AD928" i="2" s="1"/>
  <c r="AC888" i="2"/>
  <c r="AK928" i="2"/>
  <c r="AK888" i="2"/>
  <c r="E862" i="2"/>
  <c r="F862" i="2" s="1"/>
  <c r="M862" i="2"/>
  <c r="U862" i="2"/>
  <c r="AC862" i="2"/>
  <c r="AK862" i="2"/>
  <c r="AL862" i="2" s="1"/>
  <c r="F859" i="2"/>
  <c r="N859" i="2"/>
  <c r="V859" i="2"/>
  <c r="AD859" i="2"/>
  <c r="AL859" i="2"/>
  <c r="K864" i="2"/>
  <c r="O864" i="2"/>
  <c r="X864" i="2" s="1"/>
  <c r="S864" i="2"/>
  <c r="M870" i="2"/>
  <c r="AV868" i="2"/>
  <c r="AS873" i="2"/>
  <c r="BF931" i="2"/>
  <c r="BF932" i="2"/>
  <c r="BG932" i="2" s="1"/>
  <c r="BK874" i="2"/>
  <c r="C935" i="2"/>
  <c r="D935" i="2" s="1"/>
  <c r="C934" i="2"/>
  <c r="D934" i="2" s="1"/>
  <c r="G935" i="2"/>
  <c r="H935" i="2" s="1"/>
  <c r="G934" i="2"/>
  <c r="H934" i="2" s="1"/>
  <c r="K935" i="2"/>
  <c r="L935" i="2" s="1"/>
  <c r="K934" i="2"/>
  <c r="L934" i="2" s="1"/>
  <c r="O935" i="2"/>
  <c r="O934" i="2"/>
  <c r="P934" i="2" s="1"/>
  <c r="S935" i="2"/>
  <c r="T935" i="2" s="1"/>
  <c r="S934" i="2"/>
  <c r="W935" i="2"/>
  <c r="X935" i="2" s="1"/>
  <c r="W934" i="2"/>
  <c r="X934" i="2" s="1"/>
  <c r="AA935" i="2"/>
  <c r="AA934" i="2"/>
  <c r="AE935" i="2"/>
  <c r="AF935" i="2" s="1"/>
  <c r="AE934" i="2"/>
  <c r="AF934" i="2" s="1"/>
  <c r="AI935" i="2"/>
  <c r="AJ935" i="2" s="1"/>
  <c r="AI934" i="2"/>
  <c r="AJ934" i="2" s="1"/>
  <c r="AM935" i="2"/>
  <c r="AN935" i="2" s="1"/>
  <c r="AM934" i="2"/>
  <c r="AN934" i="2" s="1"/>
  <c r="BJ879" i="2"/>
  <c r="BK879" i="2" s="1"/>
  <c r="AT888" i="2"/>
  <c r="G928" i="2"/>
  <c r="H928" i="2" s="1"/>
  <c r="G888" i="2"/>
  <c r="P888" i="2" s="1"/>
  <c r="O889" i="2"/>
  <c r="O923" i="2" s="1"/>
  <c r="O883" i="2"/>
  <c r="W928" i="2"/>
  <c r="W888" i="2"/>
  <c r="AE928" i="2"/>
  <c r="AE888" i="2"/>
  <c r="AM928" i="2"/>
  <c r="AN928" i="2" s="1"/>
  <c r="AM888" i="2"/>
  <c r="G862" i="2"/>
  <c r="H862" i="2" s="1"/>
  <c r="O862" i="2"/>
  <c r="P862" i="2" s="1"/>
  <c r="W862" i="2"/>
  <c r="AE862" i="2"/>
  <c r="AM862" i="2"/>
  <c r="AS874" i="2"/>
  <c r="BB931" i="2"/>
  <c r="BC931" i="2" s="1"/>
  <c r="BB932" i="2"/>
  <c r="BC932" i="2" s="1"/>
  <c r="BF935" i="2"/>
  <c r="BF934" i="2"/>
  <c r="AM846" i="2"/>
  <c r="AN846" i="2" s="1"/>
  <c r="AM847" i="2"/>
  <c r="AN847" i="2" s="1"/>
  <c r="G852" i="2"/>
  <c r="G857" i="2"/>
  <c r="O857" i="2"/>
  <c r="W857" i="2"/>
  <c r="AE857" i="2"/>
  <c r="AM857" i="2"/>
  <c r="AT859" i="2"/>
  <c r="BD859" i="2"/>
  <c r="BG859" i="2" s="1"/>
  <c r="BI888" i="2"/>
  <c r="BB933" i="2"/>
  <c r="BC933" i="2" s="1"/>
  <c r="BF933" i="2"/>
  <c r="BG933" i="2" s="1"/>
  <c r="BJ933" i="2"/>
  <c r="BK933" i="2" s="1"/>
  <c r="BE879" i="2"/>
  <c r="BI879" i="2"/>
  <c r="I883" i="2"/>
  <c r="J883" i="2" s="1"/>
  <c r="J888" i="2"/>
  <c r="I889" i="2"/>
  <c r="I922" i="2" s="1"/>
  <c r="J922" i="2" s="1"/>
  <c r="Q883" i="2"/>
  <c r="R888" i="2"/>
  <c r="Q889" i="2"/>
  <c r="Q870" i="2" s="1"/>
  <c r="Y928" i="2"/>
  <c r="Y888" i="2"/>
  <c r="AG928" i="2"/>
  <c r="AG888" i="2"/>
  <c r="AO928" i="2"/>
  <c r="AO888" i="2"/>
  <c r="I862" i="2"/>
  <c r="J862" i="2" s="1"/>
  <c r="Q862" i="2"/>
  <c r="Y862" i="2"/>
  <c r="AG862" i="2"/>
  <c r="AO862" i="2"/>
  <c r="J859" i="2"/>
  <c r="R859" i="2"/>
  <c r="Z859" i="2"/>
  <c r="AH859" i="2"/>
  <c r="I864" i="2"/>
  <c r="Q864" i="2"/>
  <c r="Y864" i="2"/>
  <c r="AG864" i="2"/>
  <c r="AO864" i="2"/>
  <c r="AR874" i="2"/>
  <c r="BC874" i="2"/>
  <c r="BH932" i="2"/>
  <c r="BH931" i="2"/>
  <c r="BI874" i="2"/>
  <c r="BB875" i="2"/>
  <c r="BH875" i="2"/>
  <c r="BK875" i="2" s="1"/>
  <c r="BI947" i="2"/>
  <c r="BE946" i="2"/>
  <c r="BI946" i="2"/>
  <c r="AN842" i="2"/>
  <c r="D845" i="2"/>
  <c r="H845" i="2"/>
  <c r="L845" i="2"/>
  <c r="AR858" i="2"/>
  <c r="AU859" i="2"/>
  <c r="BI859" i="2"/>
  <c r="BC860" i="2"/>
  <c r="BG860" i="2"/>
  <c r="BK860" i="2"/>
  <c r="BE861" i="2"/>
  <c r="BI861" i="2"/>
  <c r="C928" i="2"/>
  <c r="D928" i="2" s="1"/>
  <c r="C888" i="2"/>
  <c r="K889" i="2"/>
  <c r="K922" i="2" s="1"/>
  <c r="L888" i="2"/>
  <c r="K883" i="2"/>
  <c r="S889" i="2"/>
  <c r="S923" i="2" s="1"/>
  <c r="T888" i="2"/>
  <c r="S883" i="2"/>
  <c r="T883" i="2" s="1"/>
  <c r="AA928" i="2"/>
  <c r="AA888" i="2"/>
  <c r="AI928" i="2"/>
  <c r="AJ928" i="2" s="1"/>
  <c r="AI888" i="2"/>
  <c r="C862" i="2"/>
  <c r="D862" i="2" s="1"/>
  <c r="K862" i="2"/>
  <c r="S862" i="2"/>
  <c r="AA862" i="2"/>
  <c r="AI862" i="2"/>
  <c r="H859" i="2"/>
  <c r="P859" i="2"/>
  <c r="X859" i="2"/>
  <c r="AF859" i="2"/>
  <c r="AN859" i="2"/>
  <c r="F864" i="2"/>
  <c r="N864" i="2"/>
  <c r="V864" i="2"/>
  <c r="AD864" i="2"/>
  <c r="AL864" i="2"/>
  <c r="AJ868" i="2"/>
  <c r="N869" i="2"/>
  <c r="R869" i="2"/>
  <c r="Z869" i="2"/>
  <c r="AP869" i="2"/>
  <c r="BG873" i="2"/>
  <c r="BD932" i="2"/>
  <c r="BD931" i="2"/>
  <c r="BE931" i="2" s="1"/>
  <c r="BE874" i="2"/>
  <c r="BJ931" i="2"/>
  <c r="BK931" i="2" s="1"/>
  <c r="BJ932" i="2"/>
  <c r="BD875" i="2"/>
  <c r="BG875" i="2" s="1"/>
  <c r="M883" i="2"/>
  <c r="E935" i="2"/>
  <c r="F935" i="2" s="1"/>
  <c r="E934" i="2"/>
  <c r="F934" i="2" s="1"/>
  <c r="I935" i="2"/>
  <c r="J935" i="2" s="1"/>
  <c r="I934" i="2"/>
  <c r="J934" i="2" s="1"/>
  <c r="I923" i="2"/>
  <c r="J923" i="2" s="1"/>
  <c r="M935" i="2"/>
  <c r="M934" i="2"/>
  <c r="N934" i="2" s="1"/>
  <c r="M923" i="2"/>
  <c r="M922" i="2"/>
  <c r="Q935" i="2"/>
  <c r="Q934" i="2"/>
  <c r="R934" i="2" s="1"/>
  <c r="Q923" i="2"/>
  <c r="R923" i="2" s="1"/>
  <c r="U935" i="2"/>
  <c r="V935" i="2" s="1"/>
  <c r="U934" i="2"/>
  <c r="V934" i="2" s="1"/>
  <c r="Y935" i="2"/>
  <c r="Z935" i="2" s="1"/>
  <c r="Y934" i="2"/>
  <c r="AC935" i="2"/>
  <c r="AD935" i="2" s="1"/>
  <c r="AC934" i="2"/>
  <c r="AD934" i="2" s="1"/>
  <c r="AG935" i="2"/>
  <c r="AH935" i="2" s="1"/>
  <c r="AG934" i="2"/>
  <c r="AH934" i="2" s="1"/>
  <c r="AK935" i="2"/>
  <c r="AL935" i="2" s="1"/>
  <c r="AK934" i="2"/>
  <c r="AL934" i="2" s="1"/>
  <c r="AO935" i="2"/>
  <c r="AP935" i="2" s="1"/>
  <c r="AO934" i="2"/>
  <c r="AP934" i="2" s="1"/>
  <c r="AU886" i="2"/>
  <c r="BD940" i="2"/>
  <c r="BH940" i="2"/>
  <c r="BH889" i="2"/>
  <c r="BF890" i="2"/>
  <c r="BJ890" i="2"/>
  <c r="V940" i="2"/>
  <c r="N940" i="2"/>
  <c r="M928" i="2"/>
  <c r="N928" i="2" s="1"/>
  <c r="V886" i="2"/>
  <c r="D891" i="2"/>
  <c r="AR896" i="2"/>
  <c r="P940" i="2"/>
  <c r="O928" i="2"/>
  <c r="P928" i="2" s="1"/>
  <c r="X886" i="2"/>
  <c r="BB940" i="2"/>
  <c r="BC940" i="2" s="1"/>
  <c r="BF940" i="2"/>
  <c r="BJ940" i="2"/>
  <c r="BK940" i="2" s="1"/>
  <c r="BB889" i="2"/>
  <c r="BJ889" i="2"/>
  <c r="BJ923" i="2" s="1"/>
  <c r="BD890" i="2"/>
  <c r="BE890" i="2" s="1"/>
  <c r="BH890" i="2"/>
  <c r="BI890" i="2" s="1"/>
  <c r="J940" i="2"/>
  <c r="I928" i="2"/>
  <c r="J928" i="2" s="1"/>
  <c r="Z940" i="2"/>
  <c r="R940" i="2"/>
  <c r="Q928" i="2"/>
  <c r="R928" i="2" s="1"/>
  <c r="Z886" i="2"/>
  <c r="AP896" i="2"/>
  <c r="AX896" i="2"/>
  <c r="BC887" i="2"/>
  <c r="BG887" i="2"/>
  <c r="BK887" i="2"/>
  <c r="L940" i="2"/>
  <c r="K928" i="2"/>
  <c r="L928" i="2" s="1"/>
  <c r="T940" i="2"/>
  <c r="S928" i="2"/>
  <c r="AB886" i="2"/>
  <c r="AN896" i="2"/>
  <c r="H931" i="2"/>
  <c r="N931" i="2"/>
  <c r="AD931" i="2"/>
  <c r="AJ931" i="2"/>
  <c r="AP931" i="2"/>
  <c r="T931" i="2"/>
  <c r="Z931" i="2"/>
  <c r="Z932" i="2"/>
  <c r="L932" i="2"/>
  <c r="AF931" i="2"/>
  <c r="P932" i="2"/>
  <c r="AF932" i="2"/>
  <c r="X933" i="2"/>
  <c r="AN933" i="2"/>
  <c r="P937" i="2"/>
  <c r="AF937" i="2"/>
  <c r="X940" i="2"/>
  <c r="AB940" i="2"/>
  <c r="T932" i="2"/>
  <c r="AJ932" i="2"/>
  <c r="L933" i="2"/>
  <c r="AB933" i="2"/>
  <c r="T937" i="2"/>
  <c r="AJ937" i="2"/>
  <c r="C985" i="2"/>
  <c r="BC4" i="2"/>
  <c r="C5" i="180" l="1"/>
  <c r="D5" i="180" s="1"/>
  <c r="D6" i="180" s="1"/>
  <c r="D14" i="180" s="1"/>
  <c r="Z934" i="2"/>
  <c r="Q922" i="2"/>
  <c r="BE947" i="2"/>
  <c r="BI931" i="2"/>
  <c r="AP928" i="2"/>
  <c r="Z928" i="2"/>
  <c r="AF928" i="2"/>
  <c r="AB934" i="2"/>
  <c r="P935" i="2"/>
  <c r="K927" i="2"/>
  <c r="L927" i="2" s="1"/>
  <c r="AF825" i="2"/>
  <c r="BB735" i="2"/>
  <c r="BC735" i="2" s="1"/>
  <c r="BO567" i="2"/>
  <c r="BK555" i="2"/>
  <c r="AP526" i="2"/>
  <c r="Z526" i="2"/>
  <c r="AP579" i="2"/>
  <c r="Z579" i="2"/>
  <c r="AF574" i="2"/>
  <c r="P574" i="2"/>
  <c r="AE581" i="2"/>
  <c r="AN581" i="2" s="1"/>
  <c r="AD612" i="2"/>
  <c r="R474" i="2"/>
  <c r="Q492" i="2"/>
  <c r="BE412" i="2"/>
  <c r="AB398" i="2"/>
  <c r="L398" i="2"/>
  <c r="AP398" i="2"/>
  <c r="Z398" i="2"/>
  <c r="P708" i="2"/>
  <c r="BE989" i="2"/>
  <c r="AB607" i="2"/>
  <c r="AF61" i="2"/>
  <c r="P61" i="2"/>
  <c r="X141" i="2"/>
  <c r="R55" i="2"/>
  <c r="AP61" i="2"/>
  <c r="Z61" i="2"/>
  <c r="N852" i="2"/>
  <c r="M711" i="2"/>
  <c r="M24" i="2"/>
  <c r="N24" i="2" s="1"/>
  <c r="AB862" i="2"/>
  <c r="AF862" i="2"/>
  <c r="AB935" i="2"/>
  <c r="T934" i="2"/>
  <c r="P581" i="2"/>
  <c r="R491" i="2"/>
  <c r="BD534" i="2"/>
  <c r="G62" i="2"/>
  <c r="BI86" i="2"/>
  <c r="AV708" i="2"/>
  <c r="I711" i="2"/>
  <c r="I24" i="2"/>
  <c r="J24" i="2" s="1"/>
  <c r="T928" i="2"/>
  <c r="BG940" i="2"/>
  <c r="R935" i="2"/>
  <c r="N935" i="2"/>
  <c r="BK932" i="2"/>
  <c r="BE932" i="2"/>
  <c r="L862" i="2"/>
  <c r="BK730" i="2"/>
  <c r="Q581" i="2"/>
  <c r="R581" i="2" s="1"/>
  <c r="V612" i="2"/>
  <c r="AB581" i="2"/>
  <c r="AB579" i="2"/>
  <c r="L579" i="2"/>
  <c r="V474" i="2"/>
  <c r="V403" i="2"/>
  <c r="P489" i="2"/>
  <c r="AF405" i="2"/>
  <c r="V490" i="2"/>
  <c r="N611" i="2"/>
  <c r="BI490" i="2"/>
  <c r="AH708" i="2"/>
  <c r="T607" i="2"/>
  <c r="AJ61" i="2"/>
  <c r="T61" i="2"/>
  <c r="V55" i="2"/>
  <c r="E62" i="2"/>
  <c r="AD61" i="2"/>
  <c r="N61" i="2"/>
  <c r="BF928" i="2"/>
  <c r="BH891" i="2"/>
  <c r="BF919" i="2"/>
  <c r="BF921" i="2"/>
  <c r="BF922" i="2"/>
  <c r="BF923" i="2"/>
  <c r="BF920" i="2"/>
  <c r="AD403" i="2"/>
  <c r="N403" i="2"/>
  <c r="AP708" i="2"/>
  <c r="AM562" i="2"/>
  <c r="AN557" i="2"/>
  <c r="AM561" i="2"/>
  <c r="AM564" i="2"/>
  <c r="AM567" i="2" s="1"/>
  <c r="AM559" i="2"/>
  <c r="M561" i="2"/>
  <c r="M564" i="2"/>
  <c r="M562" i="2"/>
  <c r="M559" i="2"/>
  <c r="N557" i="2"/>
  <c r="BG486" i="2"/>
  <c r="AC977" i="2"/>
  <c r="AC632" i="2"/>
  <c r="AC500" i="2"/>
  <c r="AC496" i="2"/>
  <c r="AC503" i="2"/>
  <c r="AC497" i="2"/>
  <c r="AC12" i="2"/>
  <c r="M977" i="2"/>
  <c r="M632" i="2"/>
  <c r="M500" i="2"/>
  <c r="M496" i="2"/>
  <c r="M497" i="2"/>
  <c r="M503" i="2"/>
  <c r="M12" i="2"/>
  <c r="BJ184" i="2"/>
  <c r="BJ197" i="2"/>
  <c r="BJ199" i="2"/>
  <c r="BB184" i="2"/>
  <c r="BC182" i="2"/>
  <c r="BB199" i="2"/>
  <c r="BC199" i="2" s="1"/>
  <c r="BN552" i="2"/>
  <c r="BM552" i="2"/>
  <c r="AA564" i="2"/>
  <c r="AA567" i="2" s="1"/>
  <c r="BH557" i="2"/>
  <c r="AA562" i="2"/>
  <c r="AA559" i="2"/>
  <c r="AB557" i="2"/>
  <c r="AA561" i="2"/>
  <c r="P123" i="2"/>
  <c r="BH928" i="2"/>
  <c r="BI928" i="2" s="1"/>
  <c r="BJ891" i="2"/>
  <c r="BK891" i="2" s="1"/>
  <c r="BI889" i="2"/>
  <c r="AI889" i="2"/>
  <c r="AJ888" i="2"/>
  <c r="AI883" i="2"/>
  <c r="AP864" i="2"/>
  <c r="I880" i="2"/>
  <c r="J864" i="2"/>
  <c r="BF862" i="2"/>
  <c r="Z862" i="2"/>
  <c r="BK890" i="2"/>
  <c r="AW886" i="2"/>
  <c r="AV886" i="2"/>
  <c r="BG890" i="2"/>
  <c r="R922" i="2"/>
  <c r="AJ862" i="2"/>
  <c r="AB928" i="2"/>
  <c r="AR888" i="2"/>
  <c r="BI932" i="2"/>
  <c r="M878" i="2"/>
  <c r="AH862" i="2"/>
  <c r="BH862" i="2"/>
  <c r="AO883" i="2"/>
  <c r="AP888" i="2"/>
  <c r="AO889" i="2"/>
  <c r="AO880" i="2" s="1"/>
  <c r="Y883" i="2"/>
  <c r="Z888" i="2"/>
  <c r="Y889" i="2"/>
  <c r="R883" i="2"/>
  <c r="AN857" i="2"/>
  <c r="AM735" i="2"/>
  <c r="H857" i="2"/>
  <c r="G735" i="2"/>
  <c r="H735" i="2" s="1"/>
  <c r="AN862" i="2"/>
  <c r="S922" i="2"/>
  <c r="T922" i="2" s="1"/>
  <c r="N862" i="2"/>
  <c r="AD888" i="2"/>
  <c r="AC889" i="2"/>
  <c r="AC883" i="2"/>
  <c r="M926" i="2"/>
  <c r="M925" i="2"/>
  <c r="M921" i="2"/>
  <c r="M920" i="2"/>
  <c r="M919" i="2"/>
  <c r="M900" i="2"/>
  <c r="M891" i="2"/>
  <c r="BI933" i="2"/>
  <c r="AJ857" i="2"/>
  <c r="AI735" i="2"/>
  <c r="D857" i="2"/>
  <c r="C735" i="2"/>
  <c r="D735" i="2" s="1"/>
  <c r="M939" i="2"/>
  <c r="M927" i="2"/>
  <c r="M906" i="2"/>
  <c r="M905" i="2"/>
  <c r="M848" i="2"/>
  <c r="N731" i="2"/>
  <c r="M733" i="2"/>
  <c r="BB836" i="2"/>
  <c r="BC836" i="2" s="1"/>
  <c r="BC819" i="2"/>
  <c r="AU885" i="2"/>
  <c r="AT885" i="2"/>
  <c r="AQ840" i="2"/>
  <c r="AQ841" i="2"/>
  <c r="AR827" i="2"/>
  <c r="AV822" i="2"/>
  <c r="AW822" i="2"/>
  <c r="BG730" i="2"/>
  <c r="BE819" i="2"/>
  <c r="AD825" i="2"/>
  <c r="BG830" i="2"/>
  <c r="BI830" i="2"/>
  <c r="L848" i="2"/>
  <c r="L939" i="2"/>
  <c r="BK701" i="2"/>
  <c r="AG561" i="2"/>
  <c r="AG559" i="2"/>
  <c r="AG564" i="2"/>
  <c r="AG567" i="2" s="1"/>
  <c r="AG562" i="2"/>
  <c r="AH557" i="2"/>
  <c r="AD555" i="2"/>
  <c r="H555" i="2"/>
  <c r="AJ581" i="2"/>
  <c r="Z581" i="2"/>
  <c r="BB612" i="2"/>
  <c r="BC612" i="2" s="1"/>
  <c r="BC548" i="2"/>
  <c r="AU546" i="2"/>
  <c r="AT546" i="2"/>
  <c r="BF534" i="2"/>
  <c r="BG499" i="2"/>
  <c r="BB491" i="2"/>
  <c r="BC491" i="2" s="1"/>
  <c r="BC484" i="2"/>
  <c r="AO561" i="2"/>
  <c r="AO559" i="2"/>
  <c r="AO564" i="2"/>
  <c r="AO567" i="2" s="1"/>
  <c r="AO562" i="2"/>
  <c r="AP557" i="2"/>
  <c r="AR555" i="2"/>
  <c r="V555" i="2"/>
  <c r="BF579" i="2"/>
  <c r="BG579" i="2" s="1"/>
  <c r="AO580" i="2"/>
  <c r="AP525" i="2"/>
  <c r="Y580" i="2"/>
  <c r="Z525" i="2"/>
  <c r="I580" i="2"/>
  <c r="J580" i="2" s="1"/>
  <c r="J525" i="2"/>
  <c r="BI499" i="2"/>
  <c r="AM1036" i="2"/>
  <c r="AN488" i="2"/>
  <c r="AM489" i="2"/>
  <c r="AV488" i="2"/>
  <c r="AN486" i="2"/>
  <c r="AM527" i="2"/>
  <c r="X486" i="2"/>
  <c r="W527" i="2"/>
  <c r="H486" i="2"/>
  <c r="G527" i="2"/>
  <c r="H527" i="2" s="1"/>
  <c r="P555" i="2"/>
  <c r="X581" i="2"/>
  <c r="BI486" i="2"/>
  <c r="O557" i="2"/>
  <c r="AK561" i="2"/>
  <c r="AK559" i="2"/>
  <c r="AK564" i="2"/>
  <c r="AK567" i="2" s="1"/>
  <c r="AK562" i="2"/>
  <c r="AL557" i="2"/>
  <c r="N612" i="2"/>
  <c r="BU535" i="2"/>
  <c r="AN526" i="2"/>
  <c r="X526" i="2"/>
  <c r="AE580" i="2"/>
  <c r="AF525" i="2"/>
  <c r="O580" i="2"/>
  <c r="P525" i="2"/>
  <c r="AN579" i="2"/>
  <c r="X579" i="2"/>
  <c r="AP574" i="2"/>
  <c r="Z574" i="2"/>
  <c r="BK490" i="2"/>
  <c r="BF489" i="2"/>
  <c r="BG488" i="2"/>
  <c r="U489" i="2"/>
  <c r="V488" i="2"/>
  <c r="AK527" i="2"/>
  <c r="AL486" i="2"/>
  <c r="U527" i="2"/>
  <c r="V486" i="2"/>
  <c r="E527" i="2"/>
  <c r="F486" i="2"/>
  <c r="AM611" i="2"/>
  <c r="AM494" i="2"/>
  <c r="AM492" i="2"/>
  <c r="AM491" i="2"/>
  <c r="AM490" i="2"/>
  <c r="AN479" i="2"/>
  <c r="W611" i="2"/>
  <c r="W494" i="2"/>
  <c r="W492" i="2"/>
  <c r="W491" i="2"/>
  <c r="W490" i="2"/>
  <c r="X479" i="2"/>
  <c r="G611" i="2"/>
  <c r="H611" i="2" s="1"/>
  <c r="G494" i="2"/>
  <c r="G492" i="2"/>
  <c r="H492" i="2" s="1"/>
  <c r="G491" i="2"/>
  <c r="H491" i="2" s="1"/>
  <c r="G490" i="2"/>
  <c r="H490" i="2" s="1"/>
  <c r="H479" i="2"/>
  <c r="BE524" i="2"/>
  <c r="AO491" i="2"/>
  <c r="BK486" i="2"/>
  <c r="AO1036" i="2"/>
  <c r="AO489" i="2"/>
  <c r="AX488" i="2"/>
  <c r="AP488" i="2"/>
  <c r="AG1036" i="2"/>
  <c r="AG489" i="2"/>
  <c r="AH488" i="2"/>
  <c r="Y611" i="2"/>
  <c r="Y490" i="2"/>
  <c r="Z479" i="2"/>
  <c r="Y494" i="2"/>
  <c r="AA1030" i="2"/>
  <c r="AA401" i="2"/>
  <c r="AB400" i="2"/>
  <c r="K401" i="2"/>
  <c r="L400" i="2"/>
  <c r="AJ398" i="2"/>
  <c r="T398" i="2"/>
  <c r="AO609" i="2"/>
  <c r="AO407" i="2"/>
  <c r="AO402" i="2"/>
  <c r="AP391" i="2"/>
  <c r="Y609" i="2"/>
  <c r="Y407" i="2"/>
  <c r="Y402" i="2"/>
  <c r="Z391" i="2"/>
  <c r="I609" i="2"/>
  <c r="J609" i="2" s="1"/>
  <c r="I407" i="2"/>
  <c r="I402" i="2"/>
  <c r="J402" i="2" s="1"/>
  <c r="J391" i="2"/>
  <c r="AI983" i="2"/>
  <c r="AJ573" i="2"/>
  <c r="AI575" i="2"/>
  <c r="AA983" i="2"/>
  <c r="AB573" i="2"/>
  <c r="AA575" i="2"/>
  <c r="S983" i="2"/>
  <c r="T573" i="2"/>
  <c r="S575" i="2"/>
  <c r="K983" i="2"/>
  <c r="L573" i="2"/>
  <c r="K575" i="2"/>
  <c r="C983" i="2"/>
  <c r="D573" i="2"/>
  <c r="C575" i="2"/>
  <c r="AS492" i="2"/>
  <c r="AL492" i="2"/>
  <c r="BB486" i="2"/>
  <c r="AV482" i="2"/>
  <c r="X489" i="2"/>
  <c r="BM473" i="2"/>
  <c r="BL474" i="2"/>
  <c r="BM474" i="2" s="1"/>
  <c r="AB405" i="2"/>
  <c r="BC397" i="2"/>
  <c r="BD405" i="2"/>
  <c r="BE394" i="2"/>
  <c r="BD398" i="2"/>
  <c r="AD578" i="2"/>
  <c r="N578" i="2"/>
  <c r="BK389" i="2"/>
  <c r="BJ391" i="2"/>
  <c r="BJ421" i="2"/>
  <c r="AS518" i="2"/>
  <c r="AS391" i="2"/>
  <c r="AT389" i="2"/>
  <c r="AU389" i="2"/>
  <c r="AG608" i="2"/>
  <c r="AH520" i="2"/>
  <c r="Q983" i="2"/>
  <c r="R573" i="2"/>
  <c r="Q575" i="2"/>
  <c r="AV547" i="2"/>
  <c r="AU548" i="2"/>
  <c r="AW547" i="2"/>
  <c r="BK519" i="2"/>
  <c r="AG400" i="2"/>
  <c r="Q400" i="2"/>
  <c r="BI523" i="2"/>
  <c r="T578" i="2"/>
  <c r="AM609" i="2"/>
  <c r="AM407" i="2"/>
  <c r="AN391" i="2"/>
  <c r="AM402" i="2"/>
  <c r="W609" i="2"/>
  <c r="W407" i="2"/>
  <c r="X391" i="2"/>
  <c r="W402" i="2"/>
  <c r="G609" i="2"/>
  <c r="H609" i="2" s="1"/>
  <c r="G407" i="2"/>
  <c r="G402" i="2"/>
  <c r="H402" i="2" s="1"/>
  <c r="H391" i="2"/>
  <c r="AM608" i="2"/>
  <c r="AN520" i="2"/>
  <c r="W983" i="2"/>
  <c r="X573" i="2"/>
  <c r="W575" i="2"/>
  <c r="G608" i="2"/>
  <c r="H608" i="2" s="1"/>
  <c r="H520" i="2"/>
  <c r="N492" i="2"/>
  <c r="BK477" i="2"/>
  <c r="BJ479" i="2"/>
  <c r="AQ611" i="2"/>
  <c r="AR479" i="2"/>
  <c r="AK403" i="2"/>
  <c r="AL403" i="2" s="1"/>
  <c r="AS394" i="2"/>
  <c r="BB405" i="2"/>
  <c r="BC394" i="2"/>
  <c r="BB398" i="2"/>
  <c r="BC398" i="2" s="1"/>
  <c r="BI389" i="2"/>
  <c r="BH421" i="2"/>
  <c r="BH391" i="2"/>
  <c r="AC608" i="2"/>
  <c r="AD520" i="2"/>
  <c r="M983" i="2"/>
  <c r="N573" i="2"/>
  <c r="M575" i="2"/>
  <c r="BG412" i="2"/>
  <c r="AW390" i="2"/>
  <c r="AV390" i="2"/>
  <c r="AK607" i="2"/>
  <c r="AL321" i="2"/>
  <c r="AK328" i="2"/>
  <c r="AK322" i="2"/>
  <c r="U607" i="2"/>
  <c r="V321" i="2"/>
  <c r="U328" i="2"/>
  <c r="U322" i="2"/>
  <c r="E607" i="2"/>
  <c r="F607" i="2" s="1"/>
  <c r="F321" i="2"/>
  <c r="E328" i="2"/>
  <c r="E322" i="2"/>
  <c r="F322" i="2" s="1"/>
  <c r="Q404" i="2"/>
  <c r="AR298" i="2"/>
  <c r="P282" i="2"/>
  <c r="Q275" i="2"/>
  <c r="AR268" i="2"/>
  <c r="AS268" i="2"/>
  <c r="AQ259" i="2"/>
  <c r="AM404" i="2"/>
  <c r="AN404" i="2" s="1"/>
  <c r="G404" i="2"/>
  <c r="H404" i="2" s="1"/>
  <c r="AM607" i="2"/>
  <c r="AN321" i="2"/>
  <c r="AM322" i="2"/>
  <c r="AM328" i="2"/>
  <c r="G607" i="2"/>
  <c r="H607" i="2" s="1"/>
  <c r="H321" i="2"/>
  <c r="G322" i="2"/>
  <c r="H322" i="2" s="1"/>
  <c r="G328" i="2"/>
  <c r="BB321" i="2"/>
  <c r="BC319" i="2"/>
  <c r="BI250" i="2"/>
  <c r="AT240" i="2"/>
  <c r="AS241" i="2"/>
  <c r="AT241" i="2" s="1"/>
  <c r="AU240" i="2"/>
  <c r="AG199" i="2"/>
  <c r="AG198" i="2"/>
  <c r="AG184" i="2"/>
  <c r="AG197" i="2"/>
  <c r="AH182" i="2"/>
  <c r="Q197" i="2"/>
  <c r="Q199" i="2"/>
  <c r="Q184" i="2"/>
  <c r="R182" i="2"/>
  <c r="AW611" i="2"/>
  <c r="AX479" i="2"/>
  <c r="AD285" i="2"/>
  <c r="AL606" i="2"/>
  <c r="BI167" i="2"/>
  <c r="BL669" i="2"/>
  <c r="BN145" i="2"/>
  <c r="BM145" i="2"/>
  <c r="AX708" i="2"/>
  <c r="AJ322" i="2"/>
  <c r="AB322" i="2"/>
  <c r="T322" i="2"/>
  <c r="BK250" i="2"/>
  <c r="AM598" i="2"/>
  <c r="AM104" i="2"/>
  <c r="AM111" i="2"/>
  <c r="AN103" i="2"/>
  <c r="W598" i="2"/>
  <c r="W104" i="2"/>
  <c r="W111" i="2"/>
  <c r="X103" i="2"/>
  <c r="G598" i="2"/>
  <c r="H598" i="2" s="1"/>
  <c r="G104" i="2"/>
  <c r="G111" i="2"/>
  <c r="H103" i="2"/>
  <c r="C708" i="2"/>
  <c r="D669" i="2"/>
  <c r="W971" i="2"/>
  <c r="W618" i="2"/>
  <c r="W7" i="2"/>
  <c r="W65" i="2"/>
  <c r="G971" i="2"/>
  <c r="G618" i="2"/>
  <c r="G7" i="2"/>
  <c r="H7" i="2" s="1"/>
  <c r="G79" i="2"/>
  <c r="G65" i="2"/>
  <c r="H62" i="2"/>
  <c r="BJ137" i="2"/>
  <c r="BJ61" i="2"/>
  <c r="BK57" i="2"/>
  <c r="R308" i="2"/>
  <c r="BF285" i="2"/>
  <c r="AU232" i="2"/>
  <c r="AT232" i="2"/>
  <c r="AS223" i="2"/>
  <c r="AT223" i="2" s="1"/>
  <c r="S974" i="2"/>
  <c r="S627" i="2"/>
  <c r="S187" i="2"/>
  <c r="T184" i="2"/>
  <c r="S10" i="2"/>
  <c r="BK167" i="2"/>
  <c r="AO597" i="2"/>
  <c r="AP54" i="2"/>
  <c r="AO55" i="2"/>
  <c r="AO62" i="2"/>
  <c r="BC133" i="2"/>
  <c r="BB135" i="2"/>
  <c r="AL44" i="2"/>
  <c r="BT158" i="2"/>
  <c r="BS158" i="2"/>
  <c r="AC135" i="2"/>
  <c r="AD133" i="2"/>
  <c r="AG598" i="2"/>
  <c r="AG111" i="2"/>
  <c r="AH103" i="2"/>
  <c r="AG104" i="2"/>
  <c r="Q598" i="2"/>
  <c r="Q111" i="2"/>
  <c r="R103" i="2"/>
  <c r="Q104" i="2"/>
  <c r="AE596" i="2"/>
  <c r="AF135" i="2"/>
  <c r="O596" i="2"/>
  <c r="P135" i="2"/>
  <c r="BI64" i="2"/>
  <c r="BK64" i="2"/>
  <c r="K708" i="2"/>
  <c r="L669" i="2"/>
  <c r="Q971" i="2"/>
  <c r="Q618" i="2"/>
  <c r="Q143" i="2"/>
  <c r="Q79" i="2"/>
  <c r="Q65" i="2"/>
  <c r="Q7" i="2"/>
  <c r="BD574" i="2"/>
  <c r="AT36" i="2"/>
  <c r="BE325" i="2"/>
  <c r="BI279" i="2"/>
  <c r="BI277" i="2"/>
  <c r="E217" i="2"/>
  <c r="E218" i="2" s="1"/>
  <c r="F204" i="2"/>
  <c r="E211" i="2"/>
  <c r="AM198" i="2"/>
  <c r="O974" i="2"/>
  <c r="O627" i="2"/>
  <c r="O187" i="2"/>
  <c r="P184" i="2"/>
  <c r="O10" i="2"/>
  <c r="T55" i="2"/>
  <c r="C80" i="2"/>
  <c r="D55" i="2"/>
  <c r="Q50" i="2"/>
  <c r="R50" i="2" s="1"/>
  <c r="R49" i="2"/>
  <c r="X44" i="2"/>
  <c r="BI110" i="2"/>
  <c r="AV76" i="2"/>
  <c r="BD934" i="2"/>
  <c r="BD935" i="2"/>
  <c r="BE875" i="2"/>
  <c r="AF857" i="2"/>
  <c r="AE735" i="2"/>
  <c r="AM889" i="2"/>
  <c r="AM883" i="2"/>
  <c r="AN888" i="2"/>
  <c r="O921" i="2"/>
  <c r="O920" i="2"/>
  <c r="O919" i="2"/>
  <c r="O925" i="2"/>
  <c r="O891" i="2"/>
  <c r="O900" i="2"/>
  <c r="O870" i="2"/>
  <c r="AB857" i="2"/>
  <c r="AA735" i="2"/>
  <c r="L852" i="2"/>
  <c r="K711" i="2"/>
  <c r="K24" i="2"/>
  <c r="BI735" i="2"/>
  <c r="I939" i="2"/>
  <c r="J939" i="2" s="1"/>
  <c r="I927" i="2"/>
  <c r="J927" i="2" s="1"/>
  <c r="I906" i="2"/>
  <c r="J906" i="2" s="1"/>
  <c r="I848" i="2"/>
  <c r="J848" i="2" s="1"/>
  <c r="J731" i="2"/>
  <c r="I733" i="2"/>
  <c r="J733" i="2" s="1"/>
  <c r="BE823" i="2"/>
  <c r="BB731" i="2"/>
  <c r="BB837" i="2" s="1"/>
  <c r="BC837" i="2" s="1"/>
  <c r="W562" i="2"/>
  <c r="W564" i="2"/>
  <c r="X557" i="2"/>
  <c r="W559" i="2"/>
  <c r="W561" i="2"/>
  <c r="X555" i="2"/>
  <c r="W582" i="2"/>
  <c r="BG555" i="2"/>
  <c r="U581" i="2"/>
  <c r="V581" i="2" s="1"/>
  <c r="E581" i="2"/>
  <c r="F581" i="2" s="1"/>
  <c r="BI567" i="2"/>
  <c r="AE562" i="2"/>
  <c r="AE564" i="2"/>
  <c r="AE567" i="2" s="1"/>
  <c r="AE561" i="2"/>
  <c r="AF557" i="2"/>
  <c r="AE559" i="2"/>
  <c r="AL555" i="2"/>
  <c r="AT554" i="2"/>
  <c r="AU554" i="2"/>
  <c r="AD581" i="2"/>
  <c r="BB579" i="2"/>
  <c r="BC579" i="2" s="1"/>
  <c r="BO534" i="2"/>
  <c r="BL535" i="2"/>
  <c r="AD526" i="2"/>
  <c r="N526" i="2"/>
  <c r="AK580" i="2"/>
  <c r="AL525" i="2"/>
  <c r="U580" i="2"/>
  <c r="V525" i="2"/>
  <c r="E580" i="2"/>
  <c r="F580" i="2" s="1"/>
  <c r="F525" i="2"/>
  <c r="AD579" i="2"/>
  <c r="N579" i="2"/>
  <c r="AJ574" i="2"/>
  <c r="T574" i="2"/>
  <c r="AI1036" i="2"/>
  <c r="AJ488" i="2"/>
  <c r="AR488" i="2"/>
  <c r="AI489" i="2"/>
  <c r="AJ486" i="2"/>
  <c r="AI527" i="2"/>
  <c r="T486" i="2"/>
  <c r="S527" i="2"/>
  <c r="D486" i="2"/>
  <c r="C527" i="2"/>
  <c r="AG581" i="2"/>
  <c r="AH581" i="2" s="1"/>
  <c r="T581" i="2"/>
  <c r="BD527" i="2"/>
  <c r="BE486" i="2"/>
  <c r="C562" i="2"/>
  <c r="D562" i="2" s="1"/>
  <c r="C564" i="2"/>
  <c r="C561" i="2"/>
  <c r="D561" i="2" s="1"/>
  <c r="BB557" i="2"/>
  <c r="D557" i="2"/>
  <c r="C559" i="2"/>
  <c r="AK581" i="2"/>
  <c r="AL581" i="2" s="1"/>
  <c r="BJ526" i="2"/>
  <c r="AJ526" i="2"/>
  <c r="BF526" i="2"/>
  <c r="T526" i="2"/>
  <c r="C581" i="2"/>
  <c r="D581" i="2" s="1"/>
  <c r="BB526" i="2"/>
  <c r="BC526" i="2" s="1"/>
  <c r="D526" i="2"/>
  <c r="AA580" i="2"/>
  <c r="BH525" i="2"/>
  <c r="AB525" i="2"/>
  <c r="K580" i="2"/>
  <c r="BD525" i="2"/>
  <c r="L525" i="2"/>
  <c r="AJ579" i="2"/>
  <c r="T579" i="2"/>
  <c r="AL574" i="2"/>
  <c r="V574" i="2"/>
  <c r="BB489" i="2"/>
  <c r="BC489" i="2" s="1"/>
  <c r="BC488" i="2"/>
  <c r="M489" i="2"/>
  <c r="N488" i="2"/>
  <c r="AG527" i="2"/>
  <c r="AH486" i="2"/>
  <c r="Q527" i="2"/>
  <c r="R486" i="2"/>
  <c r="AI611" i="2"/>
  <c r="AI494" i="2"/>
  <c r="AI492" i="2"/>
  <c r="AI491" i="2"/>
  <c r="AI490" i="2"/>
  <c r="AJ479" i="2"/>
  <c r="S611" i="2"/>
  <c r="S494" i="2"/>
  <c r="S492" i="2"/>
  <c r="S491" i="2"/>
  <c r="S490" i="2"/>
  <c r="T479" i="2"/>
  <c r="C611" i="2"/>
  <c r="D611" i="2" s="1"/>
  <c r="C494" i="2"/>
  <c r="C492" i="2"/>
  <c r="D492" i="2" s="1"/>
  <c r="C491" i="2"/>
  <c r="D491" i="2" s="1"/>
  <c r="C490" i="2"/>
  <c r="D490" i="2" s="1"/>
  <c r="D479" i="2"/>
  <c r="BI534" i="2"/>
  <c r="BH535" i="2"/>
  <c r="Z491" i="2"/>
  <c r="AG611" i="2"/>
  <c r="AH611" i="2" s="1"/>
  <c r="AG490" i="2"/>
  <c r="AH490" i="2" s="1"/>
  <c r="AH479" i="2"/>
  <c r="AG494" i="2"/>
  <c r="I489" i="2"/>
  <c r="J489" i="2" s="1"/>
  <c r="J488" i="2"/>
  <c r="BK474" i="2"/>
  <c r="BQ471" i="2"/>
  <c r="BR471" i="2"/>
  <c r="AM1030" i="2"/>
  <c r="AM401" i="2"/>
  <c r="AN400" i="2"/>
  <c r="W1030" i="2"/>
  <c r="W401" i="2"/>
  <c r="X400" i="2"/>
  <c r="G401" i="2"/>
  <c r="H401" i="2" s="1"/>
  <c r="H400" i="2"/>
  <c r="AF398" i="2"/>
  <c r="P398" i="2"/>
  <c r="AF578" i="2"/>
  <c r="P578" i="2"/>
  <c r="AK609" i="2"/>
  <c r="AK402" i="2"/>
  <c r="AK407" i="2"/>
  <c r="AL391" i="2"/>
  <c r="U609" i="2"/>
  <c r="U402" i="2"/>
  <c r="U407" i="2"/>
  <c r="V391" i="2"/>
  <c r="E609" i="2"/>
  <c r="F609" i="2" s="1"/>
  <c r="E407" i="2"/>
  <c r="E402" i="2"/>
  <c r="F402" i="2" s="1"/>
  <c r="F391" i="2"/>
  <c r="AI608" i="2"/>
  <c r="AJ520" i="2"/>
  <c r="BI518" i="2"/>
  <c r="BH520" i="2"/>
  <c r="S608" i="2"/>
  <c r="T520" i="2"/>
  <c r="BE518" i="2"/>
  <c r="BD520" i="2"/>
  <c r="C608" i="2"/>
  <c r="D608" i="2" s="1"/>
  <c r="D520" i="2"/>
  <c r="AU343" i="2"/>
  <c r="AW341" i="2"/>
  <c r="BS535" i="2"/>
  <c r="BE473" i="2"/>
  <c r="BD474" i="2"/>
  <c r="BE474" i="2" s="1"/>
  <c r="AN405" i="2"/>
  <c r="X405" i="2"/>
  <c r="AU1030" i="2"/>
  <c r="AV400" i="2"/>
  <c r="AU401" i="2"/>
  <c r="AW400" i="2"/>
  <c r="BI396" i="2"/>
  <c r="BH403" i="2"/>
  <c r="BF421" i="2"/>
  <c r="BG421" i="2" s="1"/>
  <c r="BG389" i="2"/>
  <c r="BF391" i="2"/>
  <c r="AO608" i="2"/>
  <c r="AP608" i="2" s="1"/>
  <c r="AP520" i="2"/>
  <c r="Y983" i="2"/>
  <c r="Z573" i="2"/>
  <c r="Y575" i="2"/>
  <c r="I608" i="2"/>
  <c r="J608" i="2" s="1"/>
  <c r="J520" i="2"/>
  <c r="Y492" i="2"/>
  <c r="Z492" i="2" s="1"/>
  <c r="BK491" i="2"/>
  <c r="AK494" i="2"/>
  <c r="U494" i="2"/>
  <c r="AD494" i="2" s="1"/>
  <c r="E494" i="2"/>
  <c r="N494" i="2" s="1"/>
  <c r="AC400" i="2"/>
  <c r="M400" i="2"/>
  <c r="BE397" i="2"/>
  <c r="AI609" i="2"/>
  <c r="AJ391" i="2"/>
  <c r="AI407" i="2"/>
  <c r="AI402" i="2"/>
  <c r="S609" i="2"/>
  <c r="T391" i="2"/>
  <c r="S407" i="2"/>
  <c r="S402" i="2"/>
  <c r="C609" i="2"/>
  <c r="D609" i="2" s="1"/>
  <c r="C402" i="2"/>
  <c r="D402" i="2" s="1"/>
  <c r="D391" i="2"/>
  <c r="C407" i="2"/>
  <c r="AE983" i="2"/>
  <c r="AF573" i="2"/>
  <c r="AE575" i="2"/>
  <c r="O608" i="2"/>
  <c r="P608" i="2" s="1"/>
  <c r="P520" i="2"/>
  <c r="BI524" i="2"/>
  <c r="AL491" i="2"/>
  <c r="BI484" i="2"/>
  <c r="AR482" i="2"/>
  <c r="AI404" i="2"/>
  <c r="E404" i="2"/>
  <c r="F404" i="2" s="1"/>
  <c r="BE389" i="2"/>
  <c r="BD391" i="2"/>
  <c r="BD400" i="2" s="1"/>
  <c r="AK608" i="2"/>
  <c r="AL608" i="2" s="1"/>
  <c r="AL520" i="2"/>
  <c r="U983" i="2"/>
  <c r="V573" i="2"/>
  <c r="U575" i="2"/>
  <c r="E608" i="2"/>
  <c r="F608" i="2" s="1"/>
  <c r="F520" i="2"/>
  <c r="AG607" i="2"/>
  <c r="AH321" i="2"/>
  <c r="AG328" i="2"/>
  <c r="AG322" i="2"/>
  <c r="Q607" i="2"/>
  <c r="R321" i="2"/>
  <c r="Q328" i="2"/>
  <c r="Q322" i="2"/>
  <c r="AO404" i="2"/>
  <c r="I404" i="2"/>
  <c r="J404" i="2" s="1"/>
  <c r="BK381" i="2"/>
  <c r="R299" i="2"/>
  <c r="BD300" i="2"/>
  <c r="S292" i="2"/>
  <c r="Q302" i="2"/>
  <c r="BD299" i="2"/>
  <c r="AW189" i="2"/>
  <c r="AM403" i="2"/>
  <c r="G403" i="2"/>
  <c r="H403" i="2" s="1"/>
  <c r="AE607" i="2"/>
  <c r="AF321" i="2"/>
  <c r="AE322" i="2"/>
  <c r="AE328" i="2"/>
  <c r="BK327" i="2"/>
  <c r="BE186" i="2"/>
  <c r="BC186" i="2"/>
  <c r="AC199" i="2"/>
  <c r="AD182" i="2"/>
  <c r="AC198" i="2"/>
  <c r="AC184" i="2"/>
  <c r="AC197" i="2"/>
  <c r="N182" i="2"/>
  <c r="M197" i="2"/>
  <c r="M184" i="2"/>
  <c r="M199" i="2"/>
  <c r="BN155" i="2"/>
  <c r="BM155" i="2"/>
  <c r="AX482" i="2"/>
  <c r="AC404" i="2"/>
  <c r="BT381" i="2"/>
  <c r="BS381" i="2"/>
  <c r="AQ285" i="2"/>
  <c r="AP285" i="2"/>
  <c r="Z285" i="2"/>
  <c r="AS297" i="2"/>
  <c r="AT297" i="2" s="1"/>
  <c r="AT226" i="2"/>
  <c r="AU226" i="2"/>
  <c r="BG989" i="2"/>
  <c r="BH669" i="2"/>
  <c r="BI145" i="2"/>
  <c r="E709" i="2"/>
  <c r="F708" i="2"/>
  <c r="AI598" i="2"/>
  <c r="AI104" i="2"/>
  <c r="AI111" i="2"/>
  <c r="AJ103" i="2"/>
  <c r="S598" i="2"/>
  <c r="S104" i="2"/>
  <c r="S111" i="2"/>
  <c r="T103" i="2"/>
  <c r="C598" i="2"/>
  <c r="D598" i="2" s="1"/>
  <c r="C104" i="2"/>
  <c r="C111" i="2"/>
  <c r="D103" i="2"/>
  <c r="BH103" i="2"/>
  <c r="BI101" i="2"/>
  <c r="S596" i="2"/>
  <c r="T135" i="2"/>
  <c r="C596" i="2"/>
  <c r="D135" i="2"/>
  <c r="S708" i="2"/>
  <c r="T708" i="2" s="1"/>
  <c r="S690" i="2"/>
  <c r="T669" i="2"/>
  <c r="I708" i="2"/>
  <c r="J669" i="2"/>
  <c r="AM971" i="2"/>
  <c r="AM618" i="2"/>
  <c r="AM143" i="2"/>
  <c r="AM7" i="2"/>
  <c r="AM65" i="2"/>
  <c r="S62" i="2"/>
  <c r="C62" i="2"/>
  <c r="AB61" i="2"/>
  <c r="L61" i="2"/>
  <c r="BF137" i="2"/>
  <c r="BF61" i="2"/>
  <c r="BG57" i="2"/>
  <c r="R253" i="2"/>
  <c r="AA974" i="2"/>
  <c r="AA627" i="2"/>
  <c r="AA187" i="2"/>
  <c r="AB184" i="2"/>
  <c r="AA10" i="2"/>
  <c r="AB10" i="2" s="1"/>
  <c r="T199" i="2"/>
  <c r="K974" i="2"/>
  <c r="K627" i="2"/>
  <c r="K187" i="2"/>
  <c r="L184" i="2"/>
  <c r="K10" i="2"/>
  <c r="C974" i="2"/>
  <c r="C627" i="2"/>
  <c r="C187" i="2"/>
  <c r="D184" i="2"/>
  <c r="C10" i="2"/>
  <c r="D10" i="2" s="1"/>
  <c r="AD55" i="2"/>
  <c r="N55" i="2"/>
  <c r="AK597" i="2"/>
  <c r="AL597" i="2" s="1"/>
  <c r="AL54" i="2"/>
  <c r="AK55" i="2"/>
  <c r="AL55" i="2" s="1"/>
  <c r="AK62" i="2"/>
  <c r="AM596" i="2"/>
  <c r="AN135" i="2"/>
  <c r="AD44" i="2"/>
  <c r="AW258" i="2"/>
  <c r="AV258" i="2"/>
  <c r="U135" i="2"/>
  <c r="V133" i="2"/>
  <c r="AF110" i="2"/>
  <c r="P110" i="2"/>
  <c r="AC598" i="2"/>
  <c r="AC111" i="2"/>
  <c r="AD103" i="2"/>
  <c r="AC104" i="2"/>
  <c r="M598" i="2"/>
  <c r="M111" i="2"/>
  <c r="N103" i="2"/>
  <c r="M104" i="2"/>
  <c r="BJ103" i="2"/>
  <c r="BK101" i="2"/>
  <c r="BE64" i="2"/>
  <c r="U708" i="2"/>
  <c r="U690" i="2"/>
  <c r="V669" i="2"/>
  <c r="AC62" i="2"/>
  <c r="M62" i="2"/>
  <c r="AL61" i="2"/>
  <c r="V61" i="2"/>
  <c r="BF55" i="2"/>
  <c r="AR36" i="2"/>
  <c r="C364" i="2"/>
  <c r="C361" i="2"/>
  <c r="D361" i="2" s="1"/>
  <c r="C360" i="2"/>
  <c r="D360" i="2" s="1"/>
  <c r="D212" i="2"/>
  <c r="AF199" i="2"/>
  <c r="AE974" i="2"/>
  <c r="AE627" i="2"/>
  <c r="AE187" i="2"/>
  <c r="AF184" i="2"/>
  <c r="AE10" i="2"/>
  <c r="BF84" i="2"/>
  <c r="R90" i="2"/>
  <c r="S84" i="2"/>
  <c r="Q92" i="2"/>
  <c r="BD90" i="2"/>
  <c r="BE90" i="2" s="1"/>
  <c r="AB141" i="2"/>
  <c r="L141" i="2"/>
  <c r="AF55" i="2"/>
  <c r="P55" i="2"/>
  <c r="AG596" i="2"/>
  <c r="AH135" i="2"/>
  <c r="Q596" i="2"/>
  <c r="R135" i="2"/>
  <c r="BK44" i="2"/>
  <c r="BG44" i="2"/>
  <c r="BT89" i="2"/>
  <c r="BS89" i="2"/>
  <c r="BB928" i="2"/>
  <c r="BC928" i="2" s="1"/>
  <c r="BC889" i="2"/>
  <c r="BB891" i="2"/>
  <c r="Y880" i="2"/>
  <c r="Z864" i="2"/>
  <c r="I925" i="2"/>
  <c r="J925" i="2" s="1"/>
  <c r="I921" i="2"/>
  <c r="J921" i="2" s="1"/>
  <c r="I920" i="2"/>
  <c r="J920" i="2" s="1"/>
  <c r="I919" i="2"/>
  <c r="J919" i="2" s="1"/>
  <c r="J889" i="2"/>
  <c r="I900" i="2"/>
  <c r="G711" i="2"/>
  <c r="G24" i="2"/>
  <c r="H24" i="2" s="1"/>
  <c r="W889" i="2"/>
  <c r="W883" i="2"/>
  <c r="X888" i="2"/>
  <c r="I870" i="2"/>
  <c r="R870" i="2" s="1"/>
  <c r="T864" i="2"/>
  <c r="S880" i="2"/>
  <c r="BI940" i="2"/>
  <c r="BE940" i="2"/>
  <c r="BJ919" i="2"/>
  <c r="T862" i="2"/>
  <c r="K921" i="2"/>
  <c r="K920" i="2"/>
  <c r="K919" i="2"/>
  <c r="K925" i="2"/>
  <c r="K891" i="2"/>
  <c r="K900" i="2"/>
  <c r="K870" i="2"/>
  <c r="BH934" i="2"/>
  <c r="BI934" i="2" s="1"/>
  <c r="BH935" i="2"/>
  <c r="BI935" i="2" s="1"/>
  <c r="BH923" i="2"/>
  <c r="BI923" i="2" s="1"/>
  <c r="BH922" i="2"/>
  <c r="BI922" i="2" s="1"/>
  <c r="BI875" i="2"/>
  <c r="BH919" i="2"/>
  <c r="BI919" i="2" s="1"/>
  <c r="R862" i="2"/>
  <c r="AG883" i="2"/>
  <c r="AH888" i="2"/>
  <c r="AG889" i="2"/>
  <c r="Q925" i="2"/>
  <c r="R925" i="2" s="1"/>
  <c r="Q921" i="2"/>
  <c r="R921" i="2" s="1"/>
  <c r="Q920" i="2"/>
  <c r="R920" i="2" s="1"/>
  <c r="Q919" i="2"/>
  <c r="R919" i="2" s="1"/>
  <c r="Q900" i="2"/>
  <c r="R889" i="2"/>
  <c r="Q891" i="2"/>
  <c r="BD888" i="2"/>
  <c r="BG888" i="2" s="1"/>
  <c r="BE859" i="2"/>
  <c r="BD857" i="2"/>
  <c r="X857" i="2"/>
  <c r="W735" i="2"/>
  <c r="BB919" i="2"/>
  <c r="BC919" i="2" s="1"/>
  <c r="AT874" i="2"/>
  <c r="AU874" i="2"/>
  <c r="X862" i="2"/>
  <c r="BD862" i="2"/>
  <c r="X928" i="2"/>
  <c r="G889" i="2"/>
  <c r="P889" i="2" s="1"/>
  <c r="G883" i="2"/>
  <c r="H883" i="2" s="1"/>
  <c r="H888" i="2"/>
  <c r="K923" i="2"/>
  <c r="T923" i="2" s="1"/>
  <c r="BG931" i="2"/>
  <c r="O880" i="2"/>
  <c r="P864" i="2"/>
  <c r="AD862" i="2"/>
  <c r="AL888" i="2"/>
  <c r="AK889" i="2"/>
  <c r="AK883" i="2"/>
  <c r="AL883" i="2" s="1"/>
  <c r="V888" i="2"/>
  <c r="U889" i="2"/>
  <c r="U883" i="2"/>
  <c r="F888" i="2"/>
  <c r="E889" i="2"/>
  <c r="E883" i="2"/>
  <c r="F883" i="2" s="1"/>
  <c r="BE933" i="2"/>
  <c r="AS857" i="2"/>
  <c r="AU858" i="2"/>
  <c r="AT858" i="2"/>
  <c r="T857" i="2"/>
  <c r="S735" i="2"/>
  <c r="C711" i="2"/>
  <c r="C24" i="2"/>
  <c r="D24" i="2" s="1"/>
  <c r="AB864" i="2"/>
  <c r="AS823" i="2"/>
  <c r="AS827" i="2"/>
  <c r="AT827" i="2" s="1"/>
  <c r="AU828" i="2"/>
  <c r="AT828" i="2"/>
  <c r="E939" i="2"/>
  <c r="F939" i="2" s="1"/>
  <c r="E927" i="2"/>
  <c r="F927" i="2" s="1"/>
  <c r="E906" i="2"/>
  <c r="F906" i="2" s="1"/>
  <c r="E848" i="2"/>
  <c r="F848" i="2" s="1"/>
  <c r="F731" i="2"/>
  <c r="E733" i="2"/>
  <c r="F733" i="2" s="1"/>
  <c r="BK819" i="2"/>
  <c r="BK935" i="2"/>
  <c r="L837" i="2"/>
  <c r="M837" i="2"/>
  <c r="E837" i="2"/>
  <c r="F837" i="2" s="1"/>
  <c r="BB1043" i="2"/>
  <c r="BC845" i="2"/>
  <c r="BB22" i="2"/>
  <c r="BC22" i="2" s="1"/>
  <c r="BJ825" i="2"/>
  <c r="BK825" i="2" s="1"/>
  <c r="BI700" i="2"/>
  <c r="BP817" i="2"/>
  <c r="BO817" i="2"/>
  <c r="BD557" i="2"/>
  <c r="K562" i="2"/>
  <c r="L562" i="2" s="1"/>
  <c r="K564" i="2"/>
  <c r="K561" i="2"/>
  <c r="L561" i="2" s="1"/>
  <c r="L557" i="2"/>
  <c r="K559" i="2"/>
  <c r="BJ581" i="2"/>
  <c r="BK554" i="2"/>
  <c r="BB581" i="2"/>
  <c r="BC581" i="2" s="1"/>
  <c r="BC554" i="2"/>
  <c r="BE555" i="2"/>
  <c r="BB983" i="2"/>
  <c r="BC573" i="2"/>
  <c r="BC983" i="2" s="1"/>
  <c r="BB575" i="2"/>
  <c r="S562" i="2"/>
  <c r="S564" i="2"/>
  <c r="S561" i="2"/>
  <c r="T561" i="2" s="1"/>
  <c r="S559" i="2"/>
  <c r="T557" i="2"/>
  <c r="BF557" i="2"/>
  <c r="AG582" i="2"/>
  <c r="AH555" i="2"/>
  <c r="L555" i="2"/>
  <c r="AG580" i="2"/>
  <c r="AH580" i="2" s="1"/>
  <c r="AH525" i="2"/>
  <c r="Q580" i="2"/>
  <c r="R580" i="2" s="1"/>
  <c r="R525" i="2"/>
  <c r="AA1036" i="2"/>
  <c r="AB488" i="2"/>
  <c r="AA489" i="2"/>
  <c r="AB489" i="2" s="1"/>
  <c r="AF486" i="2"/>
  <c r="AE527" i="2"/>
  <c r="P486" i="2"/>
  <c r="O527" i="2"/>
  <c r="P527" i="2" s="1"/>
  <c r="Q561" i="2"/>
  <c r="Q559" i="2"/>
  <c r="Q564" i="2"/>
  <c r="Q562" i="2"/>
  <c r="R557" i="2"/>
  <c r="AF555" i="2"/>
  <c r="BE554" i="2"/>
  <c r="BF581" i="2"/>
  <c r="BG554" i="2"/>
  <c r="BH612" i="2"/>
  <c r="BI612" i="2" s="1"/>
  <c r="BI548" i="2"/>
  <c r="AI564" i="2"/>
  <c r="AI567" i="2" s="1"/>
  <c r="AI562" i="2"/>
  <c r="AJ557" i="2"/>
  <c r="AI559" i="2"/>
  <c r="AI561" i="2"/>
  <c r="BJ557" i="2"/>
  <c r="AF581" i="2"/>
  <c r="AU553" i="2"/>
  <c r="AT553" i="2"/>
  <c r="U561" i="2"/>
  <c r="V561" i="2" s="1"/>
  <c r="U564" i="2"/>
  <c r="U562" i="2"/>
  <c r="V562" i="2" s="1"/>
  <c r="V557" i="2"/>
  <c r="U559" i="2"/>
  <c r="AM580" i="2"/>
  <c r="AN580" i="2" s="1"/>
  <c r="AN525" i="2"/>
  <c r="W580" i="2"/>
  <c r="X580" i="2" s="1"/>
  <c r="X525" i="2"/>
  <c r="G580" i="2"/>
  <c r="H580" i="2" s="1"/>
  <c r="H525" i="2"/>
  <c r="AK1036" i="2"/>
  <c r="AK489" i="2"/>
  <c r="AS488" i="2"/>
  <c r="AL488" i="2"/>
  <c r="E489" i="2"/>
  <c r="F489" i="2" s="1"/>
  <c r="F488" i="2"/>
  <c r="AC527" i="2"/>
  <c r="AD527" i="2" s="1"/>
  <c r="AD486" i="2"/>
  <c r="M527" i="2"/>
  <c r="N527" i="2" s="1"/>
  <c r="N486" i="2"/>
  <c r="AE611" i="2"/>
  <c r="AF611" i="2" s="1"/>
  <c r="AE494" i="2"/>
  <c r="AE492" i="2"/>
  <c r="AF492" i="2" s="1"/>
  <c r="AE491" i="2"/>
  <c r="AF491" i="2" s="1"/>
  <c r="AE490" i="2"/>
  <c r="AF490" i="2" s="1"/>
  <c r="AF479" i="2"/>
  <c r="O611" i="2"/>
  <c r="P611" i="2" s="1"/>
  <c r="O494" i="2"/>
  <c r="O492" i="2"/>
  <c r="P492" i="2" s="1"/>
  <c r="O491" i="2"/>
  <c r="P491" i="2" s="1"/>
  <c r="O490" i="2"/>
  <c r="P490" i="2" s="1"/>
  <c r="P479" i="2"/>
  <c r="AH492" i="2"/>
  <c r="BG477" i="2"/>
  <c r="BF479" i="2"/>
  <c r="AO611" i="2"/>
  <c r="AP611" i="2" s="1"/>
  <c r="AO490" i="2"/>
  <c r="AP479" i="2"/>
  <c r="AO494" i="2"/>
  <c r="Q489" i="2"/>
  <c r="R489" i="2" s="1"/>
  <c r="R488" i="2"/>
  <c r="I611" i="2"/>
  <c r="J611" i="2" s="1"/>
  <c r="I490" i="2"/>
  <c r="J490" i="2" s="1"/>
  <c r="J479" i="2"/>
  <c r="I494" i="2"/>
  <c r="AI1030" i="2"/>
  <c r="AR400" i="2"/>
  <c r="AI401" i="2"/>
  <c r="AJ400" i="2"/>
  <c r="S401" i="2"/>
  <c r="T401" i="2" s="1"/>
  <c r="T400" i="2"/>
  <c r="C401" i="2"/>
  <c r="D401" i="2" s="1"/>
  <c r="D400" i="2"/>
  <c r="AG609" i="2"/>
  <c r="AH609" i="2" s="1"/>
  <c r="AG407" i="2"/>
  <c r="AG402" i="2"/>
  <c r="AH402" i="2" s="1"/>
  <c r="AH391" i="2"/>
  <c r="Q609" i="2"/>
  <c r="R609" i="2" s="1"/>
  <c r="Q407" i="2"/>
  <c r="Q402" i="2"/>
  <c r="R402" i="2" s="1"/>
  <c r="R391" i="2"/>
  <c r="AA608" i="2"/>
  <c r="AB608" i="2" s="1"/>
  <c r="AB520" i="2"/>
  <c r="K608" i="2"/>
  <c r="L608" i="2" s="1"/>
  <c r="L520" i="2"/>
  <c r="AF534" i="2"/>
  <c r="BE490" i="2"/>
  <c r="BE396" i="2"/>
  <c r="BD403" i="2"/>
  <c r="BC389" i="2"/>
  <c r="BB391" i="2"/>
  <c r="BB400" i="2" s="1"/>
  <c r="AG983" i="2"/>
  <c r="AH573" i="2"/>
  <c r="AG575" i="2"/>
  <c r="Q608" i="2"/>
  <c r="R608" i="2" s="1"/>
  <c r="R520" i="2"/>
  <c r="AS548" i="2"/>
  <c r="I492" i="2"/>
  <c r="J492" i="2" s="1"/>
  <c r="AO400" i="2"/>
  <c r="Y400" i="2"/>
  <c r="I400" i="2"/>
  <c r="AH398" i="2"/>
  <c r="R398" i="2"/>
  <c r="BK396" i="2"/>
  <c r="AJ578" i="2"/>
  <c r="BE523" i="2"/>
  <c r="AE609" i="2"/>
  <c r="AF609" i="2" s="1"/>
  <c r="AE407" i="2"/>
  <c r="AF391" i="2"/>
  <c r="AE402" i="2"/>
  <c r="AF402" i="2" s="1"/>
  <c r="O609" i="2"/>
  <c r="P609" i="2" s="1"/>
  <c r="O407" i="2"/>
  <c r="P391" i="2"/>
  <c r="O402" i="2"/>
  <c r="P402" i="2" s="1"/>
  <c r="AM983" i="2"/>
  <c r="AN573" i="2"/>
  <c r="AM575" i="2"/>
  <c r="W608" i="2"/>
  <c r="X608" i="2" s="1"/>
  <c r="X520" i="2"/>
  <c r="G983" i="2"/>
  <c r="H573" i="2"/>
  <c r="G575" i="2"/>
  <c r="AV551" i="2"/>
  <c r="AU555" i="2"/>
  <c r="AW551" i="2"/>
  <c r="BK612" i="2"/>
  <c r="BG519" i="2"/>
  <c r="V491" i="2"/>
  <c r="AS611" i="2"/>
  <c r="AT611" i="2" s="1"/>
  <c r="AT479" i="2"/>
  <c r="BL479" i="2"/>
  <c r="BM477" i="2"/>
  <c r="BN477" i="2"/>
  <c r="BD479" i="2"/>
  <c r="BE477" i="2"/>
  <c r="AH405" i="2"/>
  <c r="R405" i="2"/>
  <c r="S404" i="2"/>
  <c r="T404" i="2" s="1"/>
  <c r="BJ405" i="2"/>
  <c r="BK394" i="2"/>
  <c r="BJ400" i="2"/>
  <c r="BJ398" i="2"/>
  <c r="AP578" i="2"/>
  <c r="Z578" i="2"/>
  <c r="AC983" i="2"/>
  <c r="AD573" i="2"/>
  <c r="AC575" i="2"/>
  <c r="M608" i="2"/>
  <c r="N608" i="2" s="1"/>
  <c r="N520" i="2"/>
  <c r="BG473" i="2"/>
  <c r="S403" i="2"/>
  <c r="AC607" i="2"/>
  <c r="AD607" i="2" s="1"/>
  <c r="AD321" i="2"/>
  <c r="AC328" i="2"/>
  <c r="AC322" i="2"/>
  <c r="M607" i="2"/>
  <c r="N607" i="2" s="1"/>
  <c r="N321" i="2"/>
  <c r="M328" i="2"/>
  <c r="M322" i="2"/>
  <c r="N322" i="2" s="1"/>
  <c r="BH321" i="2"/>
  <c r="BI319" i="2"/>
  <c r="AG404" i="2"/>
  <c r="C362" i="2"/>
  <c r="D362" i="2" s="1"/>
  <c r="D359" i="2"/>
  <c r="AJ285" i="2"/>
  <c r="W404" i="2"/>
  <c r="AE403" i="2"/>
  <c r="W607" i="2"/>
  <c r="X321" i="2"/>
  <c r="W322" i="2"/>
  <c r="W328" i="2"/>
  <c r="BJ321" i="2"/>
  <c r="BK319" i="2"/>
  <c r="AR297" i="2"/>
  <c r="BV280" i="2"/>
  <c r="BK280" i="2"/>
  <c r="BM280" i="2"/>
  <c r="BH285" i="2"/>
  <c r="BI276" i="2"/>
  <c r="AS298" i="2"/>
  <c r="AT298" i="2" s="1"/>
  <c r="AT227" i="2"/>
  <c r="AU227" i="2"/>
  <c r="AO199" i="2"/>
  <c r="AP199" i="2" s="1"/>
  <c r="AO198" i="2"/>
  <c r="AO184" i="2"/>
  <c r="AO197" i="2"/>
  <c r="AP182" i="2"/>
  <c r="Y199" i="2"/>
  <c r="Z199" i="2" s="1"/>
  <c r="Y198" i="2"/>
  <c r="Y184" i="2"/>
  <c r="Y197" i="2"/>
  <c r="Z182" i="2"/>
  <c r="I184" i="2"/>
  <c r="I199" i="2"/>
  <c r="J182" i="2"/>
  <c r="BK158" i="2"/>
  <c r="BM158" i="2"/>
  <c r="BB611" i="2"/>
  <c r="BC611" i="2" s="1"/>
  <c r="BB494" i="2"/>
  <c r="BC479" i="2"/>
  <c r="U404" i="2"/>
  <c r="BG337" i="2"/>
  <c r="AL285" i="2"/>
  <c r="V285" i="2"/>
  <c r="BK279" i="2"/>
  <c r="BV279" i="2"/>
  <c r="BF221" i="2"/>
  <c r="R228" i="2"/>
  <c r="S221" i="2"/>
  <c r="BD228" i="2"/>
  <c r="BE228" i="2" s="1"/>
  <c r="BE606" i="2"/>
  <c r="AP606" i="2"/>
  <c r="AH606" i="2"/>
  <c r="AI328" i="2"/>
  <c r="AA328" i="2"/>
  <c r="S328" i="2"/>
  <c r="K328" i="2"/>
  <c r="C328" i="2"/>
  <c r="AR293" i="2"/>
  <c r="BR186" i="2"/>
  <c r="BQ186" i="2"/>
  <c r="AE598" i="2"/>
  <c r="AF598" i="2" s="1"/>
  <c r="AE104" i="2"/>
  <c r="AF104" i="2" s="1"/>
  <c r="AE111" i="2"/>
  <c r="AF103" i="2"/>
  <c r="O598" i="2"/>
  <c r="P598" i="2" s="1"/>
  <c r="O104" i="2"/>
  <c r="P104" i="2" s="1"/>
  <c r="O111" i="2"/>
  <c r="P103" i="2"/>
  <c r="BD103" i="2"/>
  <c r="BE101" i="2"/>
  <c r="W669" i="2"/>
  <c r="BC145" i="2"/>
  <c r="AE62" i="2"/>
  <c r="O62" i="2"/>
  <c r="X62" i="2" s="1"/>
  <c r="AN61" i="2"/>
  <c r="X61" i="2"/>
  <c r="BB137" i="2"/>
  <c r="BB61" i="2"/>
  <c r="BC57" i="2"/>
  <c r="AW301" i="2"/>
  <c r="AV301" i="2"/>
  <c r="BJ285" i="2"/>
  <c r="AW194" i="2"/>
  <c r="AJ199" i="2"/>
  <c r="AI974" i="2"/>
  <c r="AI627" i="2"/>
  <c r="AI187" i="2"/>
  <c r="AJ184" i="2"/>
  <c r="AI10" i="2"/>
  <c r="AJ10" i="2" s="1"/>
  <c r="BH182" i="2"/>
  <c r="BK182" i="2" s="1"/>
  <c r="AA198" i="2"/>
  <c r="BD182" i="2"/>
  <c r="O117" i="2"/>
  <c r="P92" i="2"/>
  <c r="O121" i="2"/>
  <c r="P121" i="2" s="1"/>
  <c r="O118" i="2"/>
  <c r="P118" i="2" s="1"/>
  <c r="P74" i="2"/>
  <c r="AF141" i="2"/>
  <c r="P141" i="2"/>
  <c r="Z55" i="2"/>
  <c r="J55" i="2"/>
  <c r="I80" i="2"/>
  <c r="R80" i="2" s="1"/>
  <c r="AG597" i="2"/>
  <c r="AH597" i="2" s="1"/>
  <c r="AH54" i="2"/>
  <c r="AG55" i="2"/>
  <c r="AH55" i="2" s="1"/>
  <c r="AG62" i="2"/>
  <c r="BH597" i="2"/>
  <c r="BI597" i="2" s="1"/>
  <c r="BH55" i="2"/>
  <c r="BI55" i="2" s="1"/>
  <c r="BI54" i="2"/>
  <c r="BJ133" i="2"/>
  <c r="BK52" i="2"/>
  <c r="BJ54" i="2"/>
  <c r="BN39" i="2"/>
  <c r="BM39" i="2"/>
  <c r="R154" i="2"/>
  <c r="Q172" i="2"/>
  <c r="Q170" i="2"/>
  <c r="R170" i="2" s="1"/>
  <c r="Q169" i="2"/>
  <c r="R169" i="2" s="1"/>
  <c r="Q159" i="2"/>
  <c r="BH133" i="2"/>
  <c r="M135" i="2"/>
  <c r="N133" i="2"/>
  <c r="AB110" i="2"/>
  <c r="L110" i="2"/>
  <c r="AO598" i="2"/>
  <c r="AP598" i="2" s="1"/>
  <c r="AO111" i="2"/>
  <c r="AP103" i="2"/>
  <c r="AO104" i="2"/>
  <c r="AP104" i="2" s="1"/>
  <c r="Y598" i="2"/>
  <c r="Z598" i="2" s="1"/>
  <c r="Y111" i="2"/>
  <c r="Z103" i="2"/>
  <c r="Y104" i="2"/>
  <c r="Z104" i="2" s="1"/>
  <c r="I598" i="2"/>
  <c r="J598" i="2" s="1"/>
  <c r="I111" i="2"/>
  <c r="J103" i="2"/>
  <c r="I104" i="2"/>
  <c r="BF103" i="2"/>
  <c r="BG101" i="2"/>
  <c r="W596" i="2"/>
  <c r="X135" i="2"/>
  <c r="G596" i="2"/>
  <c r="H135" i="2"/>
  <c r="BI94" i="2"/>
  <c r="AT76" i="2"/>
  <c r="BD669" i="2"/>
  <c r="BE145" i="2"/>
  <c r="Y62" i="2"/>
  <c r="I62" i="2"/>
  <c r="AH61" i="2"/>
  <c r="R61" i="2"/>
  <c r="BH137" i="2"/>
  <c r="BI57" i="2"/>
  <c r="BH61" i="2"/>
  <c r="BI61" i="2" s="1"/>
  <c r="BB55" i="2"/>
  <c r="BH574" i="2"/>
  <c r="P42" i="2"/>
  <c r="O67" i="2"/>
  <c r="P67" i="2" s="1"/>
  <c r="O72" i="2"/>
  <c r="P72" i="2" s="1"/>
  <c r="O68" i="2"/>
  <c r="BD264" i="2"/>
  <c r="BE264" i="2" s="1"/>
  <c r="BF257" i="2"/>
  <c r="R264" i="2"/>
  <c r="S257" i="2"/>
  <c r="E216" i="2"/>
  <c r="AE198" i="2"/>
  <c r="O193" i="2"/>
  <c r="P193" i="2" s="1"/>
  <c r="AI597" i="2"/>
  <c r="AJ597" i="2" s="1"/>
  <c r="AI62" i="2"/>
  <c r="AJ54" i="2"/>
  <c r="AI55" i="2"/>
  <c r="AJ55" i="2" s="1"/>
  <c r="AI596" i="2"/>
  <c r="AJ135" i="2"/>
  <c r="AN44" i="2"/>
  <c r="BT113" i="2"/>
  <c r="BS113" i="2"/>
  <c r="BK94" i="2"/>
  <c r="BI44" i="2"/>
  <c r="BE110" i="2"/>
  <c r="BH920" i="2"/>
  <c r="BI920" i="2" s="1"/>
  <c r="BJ928" i="2"/>
  <c r="BK928" i="2" s="1"/>
  <c r="BK889" i="2"/>
  <c r="BJ920" i="2"/>
  <c r="AA889" i="2"/>
  <c r="AB888" i="2"/>
  <c r="AA883" i="2"/>
  <c r="AB883" i="2" s="1"/>
  <c r="S925" i="2"/>
  <c r="T925" i="2" s="1"/>
  <c r="S921" i="2"/>
  <c r="T921" i="2" s="1"/>
  <c r="S920" i="2"/>
  <c r="T920" i="2" s="1"/>
  <c r="S919" i="2"/>
  <c r="T919" i="2" s="1"/>
  <c r="S891" i="2"/>
  <c r="T891" i="2" s="1"/>
  <c r="S900" i="2"/>
  <c r="T889" i="2"/>
  <c r="C889" i="2"/>
  <c r="L889" i="2" s="1"/>
  <c r="D888" i="2"/>
  <c r="C883" i="2"/>
  <c r="D883" i="2" s="1"/>
  <c r="AU888" i="2"/>
  <c r="AV888" i="2" s="1"/>
  <c r="AW859" i="2"/>
  <c r="AV859" i="2"/>
  <c r="BB935" i="2"/>
  <c r="BC935" i="2" s="1"/>
  <c r="BB934" i="2"/>
  <c r="BC934" i="2" s="1"/>
  <c r="BB922" i="2"/>
  <c r="BC922" i="2" s="1"/>
  <c r="BB923" i="2"/>
  <c r="BC923" i="2" s="1"/>
  <c r="BC875" i="2"/>
  <c r="AG880" i="2"/>
  <c r="AH864" i="2"/>
  <c r="Q880" i="2"/>
  <c r="R864" i="2"/>
  <c r="BJ862" i="2"/>
  <c r="AQ862" i="2"/>
  <c r="AP862" i="2"/>
  <c r="AH928" i="2"/>
  <c r="BJ921" i="2"/>
  <c r="BB921" i="2"/>
  <c r="BC921" i="2" s="1"/>
  <c r="P857" i="2"/>
  <c r="O735" i="2"/>
  <c r="P735" i="2" s="1"/>
  <c r="BB920" i="2"/>
  <c r="BC920" i="2" s="1"/>
  <c r="AE889" i="2"/>
  <c r="AE883" i="2"/>
  <c r="AF883" i="2" s="1"/>
  <c r="AF888" i="2"/>
  <c r="O922" i="2"/>
  <c r="AS875" i="2"/>
  <c r="AT873" i="2"/>
  <c r="AU873" i="2"/>
  <c r="K880" i="2"/>
  <c r="L864" i="2"/>
  <c r="V862" i="2"/>
  <c r="BB862" i="2"/>
  <c r="AL928" i="2"/>
  <c r="V928" i="2"/>
  <c r="BH921" i="2"/>
  <c r="BI921" i="2" s="1"/>
  <c r="BG857" i="2"/>
  <c r="L857" i="2"/>
  <c r="K735" i="2"/>
  <c r="L735" i="2" s="1"/>
  <c r="S870" i="2"/>
  <c r="T870" i="2" s="1"/>
  <c r="BI857" i="2"/>
  <c r="AB825" i="2"/>
  <c r="BE730" i="2"/>
  <c r="BG819" i="2"/>
  <c r="BK735" i="2"/>
  <c r="BJ922" i="2"/>
  <c r="BK922" i="2" s="1"/>
  <c r="AW735" i="2"/>
  <c r="AV735" i="2"/>
  <c r="AJ825" i="2"/>
  <c r="BB825" i="2"/>
  <c r="BC825" i="2" s="1"/>
  <c r="L906" i="2"/>
  <c r="AW706" i="2"/>
  <c r="AV706" i="2"/>
  <c r="AU19" i="2"/>
  <c r="AV19" i="2" s="1"/>
  <c r="Y823" i="2"/>
  <c r="BF828" i="2"/>
  <c r="AH828" i="2"/>
  <c r="Z828" i="2"/>
  <c r="BI827" i="2"/>
  <c r="AN555" i="2"/>
  <c r="AM582" i="2"/>
  <c r="M582" i="2"/>
  <c r="N555" i="2"/>
  <c r="N582" i="2" s="1"/>
  <c r="AP581" i="2"/>
  <c r="N581" i="2"/>
  <c r="AX552" i="2"/>
  <c r="BV499" i="2"/>
  <c r="BJ534" i="2"/>
  <c r="BM534" i="2" s="1"/>
  <c r="BK499" i="2"/>
  <c r="BF491" i="2"/>
  <c r="BG491" i="2" s="1"/>
  <c r="BG484" i="2"/>
  <c r="I561" i="2"/>
  <c r="J561" i="2" s="1"/>
  <c r="I559" i="2"/>
  <c r="I564" i="2"/>
  <c r="I562" i="2"/>
  <c r="J562" i="2" s="1"/>
  <c r="J557" i="2"/>
  <c r="AB555" i="2"/>
  <c r="AQ557" i="2"/>
  <c r="AQ558" i="2" s="1"/>
  <c r="AQ612" i="2"/>
  <c r="AR612" i="2" s="1"/>
  <c r="AR548" i="2"/>
  <c r="L539" i="2"/>
  <c r="D539" i="2"/>
  <c r="AC580" i="2"/>
  <c r="AD580" i="2" s="1"/>
  <c r="AD525" i="2"/>
  <c r="M580" i="2"/>
  <c r="N580" i="2" s="1"/>
  <c r="N525" i="2"/>
  <c r="BM499" i="2"/>
  <c r="L488" i="2"/>
  <c r="K489" i="2"/>
  <c r="L489" i="2" s="1"/>
  <c r="AB486" i="2"/>
  <c r="AA527" i="2"/>
  <c r="AB527" i="2" s="1"/>
  <c r="L486" i="2"/>
  <c r="K527" i="2"/>
  <c r="L527" i="2" s="1"/>
  <c r="G562" i="2"/>
  <c r="H562" i="2" s="1"/>
  <c r="G564" i="2"/>
  <c r="H557" i="2"/>
  <c r="G559" i="2"/>
  <c r="G561" i="2"/>
  <c r="H561" i="2" s="1"/>
  <c r="BD612" i="2"/>
  <c r="BE612" i="2" s="1"/>
  <c r="BE548" i="2"/>
  <c r="Y561" i="2"/>
  <c r="Y559" i="2"/>
  <c r="Y564" i="2"/>
  <c r="Y567" i="2" s="1"/>
  <c r="Y562" i="2"/>
  <c r="Z557" i="2"/>
  <c r="BI579" i="2"/>
  <c r="AC561" i="2"/>
  <c r="AC559" i="2"/>
  <c r="AC564" i="2"/>
  <c r="AC567" i="2" s="1"/>
  <c r="AC562" i="2"/>
  <c r="AD557" i="2"/>
  <c r="E561" i="2"/>
  <c r="F561" i="2" s="1"/>
  <c r="E564" i="2"/>
  <c r="E562" i="2"/>
  <c r="F562" i="2" s="1"/>
  <c r="E559" i="2"/>
  <c r="F557" i="2"/>
  <c r="P539" i="2"/>
  <c r="H539" i="2"/>
  <c r="BH526" i="2"/>
  <c r="AB526" i="2"/>
  <c r="BD526" i="2"/>
  <c r="BE526" i="2" s="1"/>
  <c r="L526" i="2"/>
  <c r="AI580" i="2"/>
  <c r="AJ580" i="2" s="1"/>
  <c r="BJ525" i="2"/>
  <c r="AJ525" i="2"/>
  <c r="S580" i="2"/>
  <c r="T580" i="2" s="1"/>
  <c r="BF525" i="2"/>
  <c r="T525" i="2"/>
  <c r="C580" i="2"/>
  <c r="D580" i="2" s="1"/>
  <c r="BB525" i="2"/>
  <c r="D525" i="2"/>
  <c r="BE491" i="2"/>
  <c r="BJ489" i="2"/>
  <c r="BK488" i="2"/>
  <c r="AC1036" i="2"/>
  <c r="AC489" i="2"/>
  <c r="AD489" i="2" s="1"/>
  <c r="AD488" i="2"/>
  <c r="AO527" i="2"/>
  <c r="AP486" i="2"/>
  <c r="Y527" i="2"/>
  <c r="Z486" i="2"/>
  <c r="I527" i="2"/>
  <c r="J486" i="2"/>
  <c r="AA611" i="2"/>
  <c r="AB611" i="2" s="1"/>
  <c r="AA494" i="2"/>
  <c r="AC505" i="2" s="1"/>
  <c r="AA492" i="2"/>
  <c r="AB492" i="2" s="1"/>
  <c r="AA491" i="2"/>
  <c r="AB491" i="2" s="1"/>
  <c r="AA490" i="2"/>
  <c r="AB490" i="2" s="1"/>
  <c r="AB479" i="2"/>
  <c r="K611" i="2"/>
  <c r="L611" i="2" s="1"/>
  <c r="K494" i="2"/>
  <c r="K492" i="2"/>
  <c r="L492" i="2" s="1"/>
  <c r="K491" i="2"/>
  <c r="L491" i="2" s="1"/>
  <c r="K490" i="2"/>
  <c r="L490" i="2" s="1"/>
  <c r="L479" i="2"/>
  <c r="AT534" i="2"/>
  <c r="R492" i="2"/>
  <c r="BO478" i="2"/>
  <c r="BP478" i="2"/>
  <c r="AR519" i="2"/>
  <c r="Y1036" i="2"/>
  <c r="Y489" i="2"/>
  <c r="Z489" i="2" s="1"/>
  <c r="Z488" i="2"/>
  <c r="Q611" i="2"/>
  <c r="R611" i="2" s="1"/>
  <c r="Q490" i="2"/>
  <c r="R490" i="2" s="1"/>
  <c r="R479" i="2"/>
  <c r="Q494" i="2"/>
  <c r="BQ469" i="2"/>
  <c r="BR469" i="2"/>
  <c r="AE1030" i="2"/>
  <c r="AE401" i="2"/>
  <c r="AF401" i="2" s="1"/>
  <c r="AF400" i="2"/>
  <c r="O401" i="2"/>
  <c r="P401" i="2" s="1"/>
  <c r="P400" i="2"/>
  <c r="AC609" i="2"/>
  <c r="AD609" i="2" s="1"/>
  <c r="AC402" i="2"/>
  <c r="AD402" i="2" s="1"/>
  <c r="AC407" i="2"/>
  <c r="AD391" i="2"/>
  <c r="M609" i="2"/>
  <c r="N609" i="2" s="1"/>
  <c r="M402" i="2"/>
  <c r="N402" i="2" s="1"/>
  <c r="M407" i="2"/>
  <c r="N391" i="2"/>
  <c r="BJ520" i="2"/>
  <c r="BK518" i="2"/>
  <c r="BF520" i="2"/>
  <c r="BG518" i="2"/>
  <c r="BB520" i="2"/>
  <c r="BC518" i="2"/>
  <c r="BG548" i="2"/>
  <c r="BD535" i="2"/>
  <c r="BI488" i="2"/>
  <c r="BH489" i="2"/>
  <c r="BI489" i="2" s="1"/>
  <c r="AU611" i="2"/>
  <c r="AV611" i="2" s="1"/>
  <c r="AV479" i="2"/>
  <c r="BH405" i="2"/>
  <c r="BI394" i="2"/>
  <c r="BH400" i="2"/>
  <c r="BH398" i="2"/>
  <c r="AO983" i="2"/>
  <c r="AP573" i="2"/>
  <c r="AO575" i="2"/>
  <c r="Y608" i="2"/>
  <c r="Z608" i="2" s="1"/>
  <c r="Z520" i="2"/>
  <c r="I983" i="2"/>
  <c r="J573" i="2"/>
  <c r="I575" i="2"/>
  <c r="BO472" i="2"/>
  <c r="BP472" i="2"/>
  <c r="BO470" i="2"/>
  <c r="BP470" i="2"/>
  <c r="BN473" i="2"/>
  <c r="AK400" i="2"/>
  <c r="U400" i="2"/>
  <c r="E400" i="2"/>
  <c r="AD398" i="2"/>
  <c r="N398" i="2"/>
  <c r="BG396" i="2"/>
  <c r="AQ609" i="2"/>
  <c r="AR609" i="2" s="1"/>
  <c r="AQ394" i="2"/>
  <c r="AR391" i="2"/>
  <c r="AA609" i="2"/>
  <c r="AB609" i="2" s="1"/>
  <c r="AB391" i="2"/>
  <c r="AA407" i="2"/>
  <c r="AA402" i="2"/>
  <c r="AB402" i="2" s="1"/>
  <c r="K609" i="2"/>
  <c r="L609" i="2" s="1"/>
  <c r="L391" i="2"/>
  <c r="K407" i="2"/>
  <c r="K402" i="2"/>
  <c r="L402" i="2" s="1"/>
  <c r="AE608" i="2"/>
  <c r="AF608" i="2" s="1"/>
  <c r="AF520" i="2"/>
  <c r="O983" i="2"/>
  <c r="P573" i="2"/>
  <c r="O575" i="2"/>
  <c r="AJ555" i="2"/>
  <c r="T555" i="2"/>
  <c r="AS555" i="2"/>
  <c r="BB534" i="2"/>
  <c r="BB669" i="2" s="1"/>
  <c r="AD492" i="2"/>
  <c r="BE488" i="2"/>
  <c r="BD489" i="2"/>
  <c r="BE489" i="2" s="1"/>
  <c r="BH479" i="2"/>
  <c r="BI477" i="2"/>
  <c r="AD405" i="2"/>
  <c r="AO403" i="2"/>
  <c r="Y403" i="2"/>
  <c r="Z403" i="2" s="1"/>
  <c r="I403" i="2"/>
  <c r="J403" i="2" s="1"/>
  <c r="BF405" i="2"/>
  <c r="BG394" i="2"/>
  <c r="BF400" i="2"/>
  <c r="BF398" i="2"/>
  <c r="BG398" i="2" s="1"/>
  <c r="AQ520" i="2"/>
  <c r="AK983" i="2"/>
  <c r="AL573" i="2"/>
  <c r="AK575" i="2"/>
  <c r="U608" i="2"/>
  <c r="V608" i="2" s="1"/>
  <c r="V520" i="2"/>
  <c r="E983" i="2"/>
  <c r="F573" i="2"/>
  <c r="E575" i="2"/>
  <c r="BF474" i="2"/>
  <c r="BG474" i="2" s="1"/>
  <c r="AA404" i="2"/>
  <c r="AB404" i="2" s="1"/>
  <c r="C404" i="2"/>
  <c r="D404" i="2" s="1"/>
  <c r="K403" i="2"/>
  <c r="L403" i="2" s="1"/>
  <c r="AO607" i="2"/>
  <c r="AP607" i="2" s="1"/>
  <c r="AO328" i="2"/>
  <c r="AO322" i="2"/>
  <c r="AP321" i="2"/>
  <c r="Y607" i="2"/>
  <c r="Z607" i="2" s="1"/>
  <c r="Z321" i="2"/>
  <c r="Y328" i="2"/>
  <c r="Y322" i="2"/>
  <c r="I607" i="2"/>
  <c r="J607" i="2" s="1"/>
  <c r="J321" i="2"/>
  <c r="I328" i="2"/>
  <c r="I322" i="2"/>
  <c r="J322" i="2" s="1"/>
  <c r="BD321" i="2"/>
  <c r="BE319" i="2"/>
  <c r="BH989" i="2"/>
  <c r="BI989" i="2" s="1"/>
  <c r="BH606" i="2"/>
  <c r="BI606" i="2" s="1"/>
  <c r="BH179" i="2"/>
  <c r="BI178" i="2"/>
  <c r="Y404" i="2"/>
  <c r="Z404" i="2" s="1"/>
  <c r="T285" i="2"/>
  <c r="BK281" i="2"/>
  <c r="BV281" i="2"/>
  <c r="AR241" i="2"/>
  <c r="BK178" i="2"/>
  <c r="BJ669" i="2"/>
  <c r="BK145" i="2"/>
  <c r="H708" i="2"/>
  <c r="G709" i="2"/>
  <c r="O404" i="2"/>
  <c r="P404" i="2" s="1"/>
  <c r="W403" i="2"/>
  <c r="X403" i="2" s="1"/>
  <c r="O607" i="2"/>
  <c r="P607" i="2" s="1"/>
  <c r="P321" i="2"/>
  <c r="O322" i="2"/>
  <c r="P322" i="2" s="1"/>
  <c r="O328" i="2"/>
  <c r="BB327" i="2"/>
  <c r="BF321" i="2"/>
  <c r="BG319" i="2"/>
  <c r="BI278" i="2"/>
  <c r="BF239" i="2"/>
  <c r="R246" i="2"/>
  <c r="S239" i="2"/>
  <c r="BD246" i="2"/>
  <c r="BE246" i="2" s="1"/>
  <c r="Q248" i="2"/>
  <c r="R248" i="2" s="1"/>
  <c r="AK199" i="2"/>
  <c r="AL199" i="2" s="1"/>
  <c r="AL182" i="2"/>
  <c r="AK198" i="2"/>
  <c r="AK184" i="2"/>
  <c r="AK197" i="2"/>
  <c r="U199" i="2"/>
  <c r="V199" i="2" s="1"/>
  <c r="V182" i="2"/>
  <c r="U197" i="2"/>
  <c r="U184" i="2"/>
  <c r="F182" i="2"/>
  <c r="E184" i="2"/>
  <c r="E199" i="2"/>
  <c r="BK606" i="2"/>
  <c r="M404" i="2"/>
  <c r="N404" i="2" s="1"/>
  <c r="AH285" i="2"/>
  <c r="Q287" i="2"/>
  <c r="R287" i="2" s="1"/>
  <c r="R285" i="2"/>
  <c r="AT222" i="2"/>
  <c r="AU222" i="2"/>
  <c r="AK669" i="2"/>
  <c r="R708" i="2"/>
  <c r="AU276" i="2"/>
  <c r="AS293" i="2"/>
  <c r="AT293" i="2" s="1"/>
  <c r="AT276" i="2"/>
  <c r="AA598" i="2"/>
  <c r="AB598" i="2" s="1"/>
  <c r="AA104" i="2"/>
  <c r="AB104" i="2" s="1"/>
  <c r="AA111" i="2"/>
  <c r="AB103" i="2"/>
  <c r="K598" i="2"/>
  <c r="L598" i="2" s="1"/>
  <c r="K104" i="2"/>
  <c r="L104" i="2" s="1"/>
  <c r="K111" i="2"/>
  <c r="K143" i="2" s="1"/>
  <c r="L103" i="2"/>
  <c r="AA596" i="2"/>
  <c r="AB135" i="2"/>
  <c r="K596" i="2"/>
  <c r="L135" i="2"/>
  <c r="AT85" i="2"/>
  <c r="AU85" i="2"/>
  <c r="AS86" i="2"/>
  <c r="AT86" i="2" s="1"/>
  <c r="BF669" i="2"/>
  <c r="BG145" i="2"/>
  <c r="M708" i="2"/>
  <c r="N669" i="2"/>
  <c r="AA971" i="2"/>
  <c r="AA618" i="2"/>
  <c r="AA143" i="2"/>
  <c r="AA65" i="2"/>
  <c r="AB62" i="2"/>
  <c r="AA7" i="2"/>
  <c r="K971" i="2"/>
  <c r="K618" i="2"/>
  <c r="K79" i="2"/>
  <c r="K65" i="2"/>
  <c r="L62" i="2"/>
  <c r="K7" i="2"/>
  <c r="Q866" i="2"/>
  <c r="R866" i="2" s="1"/>
  <c r="Q42" i="2"/>
  <c r="Q78" i="2" s="1"/>
  <c r="R78" i="2" s="1"/>
  <c r="BD40" i="2"/>
  <c r="BE40" i="2" s="1"/>
  <c r="S34" i="2"/>
  <c r="BF34" i="2"/>
  <c r="BD41" i="2"/>
  <c r="R40" i="2"/>
  <c r="AR223" i="2"/>
  <c r="AI198" i="2"/>
  <c r="BF182" i="2"/>
  <c r="F55" i="2"/>
  <c r="E80" i="2"/>
  <c r="BD597" i="2"/>
  <c r="BD55" i="2"/>
  <c r="BE54" i="2"/>
  <c r="BF573" i="2"/>
  <c r="BF135" i="2"/>
  <c r="BL36" i="2"/>
  <c r="BN35" i="2"/>
  <c r="BM35" i="2"/>
  <c r="O191" i="2"/>
  <c r="P191" i="2" s="1"/>
  <c r="O190" i="2"/>
  <c r="P190" i="2" s="1"/>
  <c r="O189" i="2"/>
  <c r="P189" i="2" s="1"/>
  <c r="P161" i="2"/>
  <c r="AL133" i="2"/>
  <c r="AK135" i="2"/>
  <c r="E135" i="2"/>
  <c r="F133" i="2"/>
  <c r="AK598" i="2"/>
  <c r="AL598" i="2" s="1"/>
  <c r="AK111" i="2"/>
  <c r="AL103" i="2"/>
  <c r="AK104" i="2"/>
  <c r="AL104" i="2" s="1"/>
  <c r="U598" i="2"/>
  <c r="V598" i="2" s="1"/>
  <c r="U111" i="2"/>
  <c r="U143" i="2" s="1"/>
  <c r="V103" i="2"/>
  <c r="U104" i="2"/>
  <c r="V104" i="2" s="1"/>
  <c r="E598" i="2"/>
  <c r="F598" i="2" s="1"/>
  <c r="E111" i="2"/>
  <c r="E143" i="2" s="1"/>
  <c r="F103" i="2"/>
  <c r="E104" i="2"/>
  <c r="BB103" i="2"/>
  <c r="BC101" i="2"/>
  <c r="U971" i="2"/>
  <c r="U618" i="2"/>
  <c r="U7" i="2"/>
  <c r="U65" i="2"/>
  <c r="V62" i="2"/>
  <c r="E971" i="2"/>
  <c r="E618" i="2"/>
  <c r="E79" i="2"/>
  <c r="E7" i="2"/>
  <c r="F7" i="2" s="1"/>
  <c r="E65" i="2"/>
  <c r="F62" i="2"/>
  <c r="BD137" i="2"/>
  <c r="BE57" i="2"/>
  <c r="BD61" i="2"/>
  <c r="BE61" i="2" s="1"/>
  <c r="BG54" i="2"/>
  <c r="AV36" i="2"/>
  <c r="BM281" i="2"/>
  <c r="AM974" i="2"/>
  <c r="AM627" i="2"/>
  <c r="AM187" i="2"/>
  <c r="AN184" i="2"/>
  <c r="AM10" i="2"/>
  <c r="AN10" i="2" s="1"/>
  <c r="W974" i="2"/>
  <c r="W627" i="2"/>
  <c r="W187" i="2"/>
  <c r="X184" i="2"/>
  <c r="W10" i="2"/>
  <c r="X10" i="2" s="1"/>
  <c r="G974" i="2"/>
  <c r="G627" i="2"/>
  <c r="G187" i="2"/>
  <c r="H184" i="2"/>
  <c r="G10" i="2"/>
  <c r="H10" i="2" s="1"/>
  <c r="BD133" i="2"/>
  <c r="AE690" i="2"/>
  <c r="AE708" i="2"/>
  <c r="AN708" i="2" s="1"/>
  <c r="AF669" i="2"/>
  <c r="G80" i="2"/>
  <c r="P80" i="2" s="1"/>
  <c r="H55" i="2"/>
  <c r="AF44" i="2"/>
  <c r="AW76" i="2"/>
  <c r="AO596" i="2"/>
  <c r="AP135" i="2"/>
  <c r="Y596" i="2"/>
  <c r="Z135" i="2"/>
  <c r="I596" i="2"/>
  <c r="J135" i="2"/>
  <c r="J4" i="2"/>
  <c r="H4" i="2"/>
  <c r="F4" i="2"/>
  <c r="D4" i="2"/>
  <c r="C6" i="180" l="1"/>
  <c r="C14" i="180"/>
  <c r="C15" i="180" s="1"/>
  <c r="D15" i="180" s="1"/>
  <c r="D16" i="180" s="1"/>
  <c r="BP473" i="2"/>
  <c r="BP474" i="2" s="1"/>
  <c r="BK919" i="2"/>
  <c r="T562" i="2"/>
  <c r="BD247" i="2"/>
  <c r="I712" i="2"/>
  <c r="J711" i="2"/>
  <c r="M712" i="2"/>
  <c r="N711" i="2"/>
  <c r="E617" i="2"/>
  <c r="E146" i="2"/>
  <c r="F143" i="2"/>
  <c r="BQ473" i="2"/>
  <c r="AR558" i="2"/>
  <c r="U617" i="2"/>
  <c r="U146" i="2"/>
  <c r="BB708" i="2"/>
  <c r="BC669" i="2"/>
  <c r="BC400" i="2"/>
  <c r="BB401" i="2"/>
  <c r="BC401" i="2" s="1"/>
  <c r="BD401" i="2"/>
  <c r="BE400" i="2"/>
  <c r="W648" i="2"/>
  <c r="X627" i="2"/>
  <c r="K952" i="2"/>
  <c r="K660" i="2"/>
  <c r="I613" i="2"/>
  <c r="J596" i="2"/>
  <c r="AX76" i="2"/>
  <c r="G955" i="2"/>
  <c r="G662" i="2"/>
  <c r="G197" i="2"/>
  <c r="H187" i="2"/>
  <c r="G200" i="2"/>
  <c r="U952" i="2"/>
  <c r="U660" i="2"/>
  <c r="U79" i="2"/>
  <c r="U639" i="2"/>
  <c r="E129" i="2"/>
  <c r="F104" i="2"/>
  <c r="BF596" i="2"/>
  <c r="S46" i="2"/>
  <c r="T46" i="2" s="1"/>
  <c r="T34" i="2"/>
  <c r="S49" i="2"/>
  <c r="S47" i="2"/>
  <c r="T47" i="2" s="1"/>
  <c r="S40" i="2"/>
  <c r="S48" i="2"/>
  <c r="T48" i="2" s="1"/>
  <c r="K617" i="2"/>
  <c r="K146" i="2"/>
  <c r="AA639" i="2"/>
  <c r="L596" i="2"/>
  <c r="K613" i="2"/>
  <c r="K972" i="2"/>
  <c r="K619" i="2"/>
  <c r="K128" i="2"/>
  <c r="K114" i="2"/>
  <c r="L111" i="2"/>
  <c r="K8" i="2"/>
  <c r="AA972" i="2"/>
  <c r="AA619" i="2"/>
  <c r="AA114" i="2"/>
  <c r="AB111" i="2"/>
  <c r="AA8" i="2"/>
  <c r="AK690" i="2"/>
  <c r="AK708" i="2" s="1"/>
  <c r="AL669" i="2"/>
  <c r="AT669" i="2"/>
  <c r="S246" i="2"/>
  <c r="T239" i="2"/>
  <c r="S253" i="2"/>
  <c r="S254" i="2" s="1"/>
  <c r="T254" i="2" s="1"/>
  <c r="S252" i="2"/>
  <c r="BF246" i="2"/>
  <c r="BG239" i="2"/>
  <c r="BG252" i="2" s="1"/>
  <c r="BF253" i="2"/>
  <c r="BG253" i="2" s="1"/>
  <c r="BF252" i="2"/>
  <c r="BF607" i="2"/>
  <c r="BF322" i="2"/>
  <c r="BG321" i="2"/>
  <c r="O335" i="2"/>
  <c r="O333" i="2"/>
  <c r="O330" i="2"/>
  <c r="P328" i="2"/>
  <c r="Z322" i="2"/>
  <c r="F575" i="2"/>
  <c r="AQ608" i="2"/>
  <c r="AR608" i="2" s="1"/>
  <c r="AR520" i="2"/>
  <c r="AQ403" i="2"/>
  <c r="AP403" i="2"/>
  <c r="AT555" i="2"/>
  <c r="V400" i="2"/>
  <c r="U401" i="2"/>
  <c r="AP575" i="2"/>
  <c r="BH401" i="2"/>
  <c r="BI400" i="2"/>
  <c r="BB608" i="2"/>
  <c r="BC608" i="2" s="1"/>
  <c r="BC520" i="2"/>
  <c r="BJ608" i="2"/>
  <c r="BK520" i="2"/>
  <c r="Z527" i="2"/>
  <c r="Z582" i="2" s="1"/>
  <c r="Y582" i="2"/>
  <c r="BJ580" i="2"/>
  <c r="BK525" i="2"/>
  <c r="AC979" i="2"/>
  <c r="AC633" i="2"/>
  <c r="AC568" i="2"/>
  <c r="AD559" i="2"/>
  <c r="AC15" i="2"/>
  <c r="G979" i="2"/>
  <c r="G633" i="2"/>
  <c r="H559" i="2"/>
  <c r="G568" i="2"/>
  <c r="G15" i="2"/>
  <c r="H15" i="2" s="1"/>
  <c r="BG828" i="2"/>
  <c r="BI828" i="2"/>
  <c r="AX706" i="2"/>
  <c r="AW19" i="2"/>
  <c r="AX19" i="2" s="1"/>
  <c r="AT875" i="2"/>
  <c r="AE921" i="2"/>
  <c r="AE920" i="2"/>
  <c r="AE919" i="2"/>
  <c r="AE925" i="2"/>
  <c r="AE891" i="2"/>
  <c r="AE900" i="2"/>
  <c r="AF889" i="2"/>
  <c r="AE870" i="2"/>
  <c r="AE922" i="2"/>
  <c r="AE880" i="2"/>
  <c r="AE923" i="2"/>
  <c r="AR862" i="2"/>
  <c r="AS862" i="2"/>
  <c r="AA921" i="2"/>
  <c r="AB921" i="2" s="1"/>
  <c r="AA920" i="2"/>
  <c r="AB920" i="2" s="1"/>
  <c r="AA919" i="2"/>
  <c r="AB919" i="2" s="1"/>
  <c r="AA925" i="2"/>
  <c r="AB925" i="2" s="1"/>
  <c r="AA891" i="2"/>
  <c r="AB891" i="2" s="1"/>
  <c r="AA900" i="2"/>
  <c r="AB889" i="2"/>
  <c r="AA870" i="2"/>
  <c r="AB870" i="2" s="1"/>
  <c r="AA880" i="2"/>
  <c r="AA923" i="2"/>
  <c r="AB923" i="2" s="1"/>
  <c r="AA922" i="2"/>
  <c r="AB922" i="2" s="1"/>
  <c r="AI971" i="2"/>
  <c r="AI618" i="2"/>
  <c r="AI143" i="2"/>
  <c r="AI80" i="2"/>
  <c r="AJ80" i="2" s="1"/>
  <c r="AI65" i="2"/>
  <c r="AJ62" i="2"/>
  <c r="AI7" i="2"/>
  <c r="AJ7" i="2" s="1"/>
  <c r="BD265" i="2"/>
  <c r="P68" i="2"/>
  <c r="O70" i="2"/>
  <c r="P70" i="2" s="1"/>
  <c r="BI574" i="2"/>
  <c r="BK574" i="2"/>
  <c r="I971" i="2"/>
  <c r="I618" i="2"/>
  <c r="I143" i="2"/>
  <c r="I79" i="2"/>
  <c r="I65" i="2"/>
  <c r="J62" i="2"/>
  <c r="I7" i="2"/>
  <c r="J7" i="2" s="1"/>
  <c r="R159" i="2"/>
  <c r="S154" i="2"/>
  <c r="Q161" i="2"/>
  <c r="BD159" i="2"/>
  <c r="BJ597" i="2"/>
  <c r="BK597" i="2" s="1"/>
  <c r="BJ55" i="2"/>
  <c r="BK55" i="2" s="1"/>
  <c r="BK54" i="2"/>
  <c r="BJ62" i="2"/>
  <c r="BH62" i="2"/>
  <c r="AG971" i="2"/>
  <c r="AG618" i="2"/>
  <c r="AG143" i="2"/>
  <c r="AG80" i="2"/>
  <c r="AH80" i="2" s="1"/>
  <c r="AG65" i="2"/>
  <c r="AH62" i="2"/>
  <c r="AG7" i="2"/>
  <c r="BE182" i="2"/>
  <c r="BD199" i="2"/>
  <c r="BE199" i="2" s="1"/>
  <c r="BD184" i="2"/>
  <c r="BC137" i="2"/>
  <c r="BB141" i="2"/>
  <c r="BC141" i="2" s="1"/>
  <c r="BB578" i="2"/>
  <c r="AE971" i="2"/>
  <c r="AE618" i="2"/>
  <c r="AE143" i="2"/>
  <c r="AN143" i="2" s="1"/>
  <c r="AE7" i="2"/>
  <c r="AF7" i="2" s="1"/>
  <c r="AE80" i="2"/>
  <c r="AF80" i="2" s="1"/>
  <c r="AE65" i="2"/>
  <c r="AF62" i="2"/>
  <c r="K335" i="2"/>
  <c r="K333" i="2"/>
  <c r="K372" i="2"/>
  <c r="K330" i="2"/>
  <c r="L328" i="2"/>
  <c r="BD328" i="2"/>
  <c r="BF228" i="2"/>
  <c r="BG221" i="2"/>
  <c r="BG234" i="2" s="1"/>
  <c r="BF234" i="2"/>
  <c r="BF235" i="2"/>
  <c r="BG235" i="2" s="1"/>
  <c r="V404" i="2"/>
  <c r="I974" i="2"/>
  <c r="I627" i="2"/>
  <c r="I187" i="2"/>
  <c r="J184" i="2"/>
  <c r="I10" i="2"/>
  <c r="J10" i="2" s="1"/>
  <c r="X607" i="2"/>
  <c r="AD322" i="2"/>
  <c r="T403" i="2"/>
  <c r="AD575" i="2"/>
  <c r="BL611" i="2"/>
  <c r="BM479" i="2"/>
  <c r="AV555" i="2"/>
  <c r="AN575" i="2"/>
  <c r="AM584" i="2"/>
  <c r="J400" i="2"/>
  <c r="I401" i="2"/>
  <c r="J401" i="2" s="1"/>
  <c r="AS612" i="2"/>
  <c r="AT612" i="2" s="1"/>
  <c r="AS557" i="2"/>
  <c r="AS558" i="2" s="1"/>
  <c r="AT548" i="2"/>
  <c r="I977" i="2"/>
  <c r="I632" i="2"/>
  <c r="I500" i="2"/>
  <c r="I496" i="2"/>
  <c r="J496" i="2" s="1"/>
  <c r="I497" i="2"/>
  <c r="J497" i="2" s="1"/>
  <c r="I529" i="2"/>
  <c r="I503" i="2"/>
  <c r="J503" i="2" s="1"/>
  <c r="J494" i="2"/>
  <c r="I12" i="2"/>
  <c r="J12" i="2" s="1"/>
  <c r="AQ490" i="2"/>
  <c r="AP490" i="2"/>
  <c r="AS1036" i="2"/>
  <c r="AS489" i="2"/>
  <c r="AT488" i="2"/>
  <c r="AR567" i="2"/>
  <c r="AJ567" i="2"/>
  <c r="R561" i="2"/>
  <c r="K582" i="2"/>
  <c r="BF559" i="2"/>
  <c r="BG557" i="2"/>
  <c r="S567" i="2"/>
  <c r="T564" i="2"/>
  <c r="BD559" i="2"/>
  <c r="BE557" i="2"/>
  <c r="AT857" i="2"/>
  <c r="AS727" i="2"/>
  <c r="BE857" i="2"/>
  <c r="BD735" i="2"/>
  <c r="AG925" i="2"/>
  <c r="AG921" i="2"/>
  <c r="AG920" i="2"/>
  <c r="AG919" i="2"/>
  <c r="AG900" i="2"/>
  <c r="AH889" i="2"/>
  <c r="AG891" i="2"/>
  <c r="AG870" i="2"/>
  <c r="AG922" i="2"/>
  <c r="AG923" i="2"/>
  <c r="X883" i="2"/>
  <c r="BD883" i="2"/>
  <c r="I899" i="2"/>
  <c r="J899" i="2" s="1"/>
  <c r="J900" i="2"/>
  <c r="BD91" i="2"/>
  <c r="AE955" i="2"/>
  <c r="AE662" i="2"/>
  <c r="AF187" i="2"/>
  <c r="AE200" i="2"/>
  <c r="M972" i="2"/>
  <c r="M619" i="2"/>
  <c r="M114" i="2"/>
  <c r="M128" i="2"/>
  <c r="N111" i="2"/>
  <c r="M8" i="2"/>
  <c r="AC972" i="2"/>
  <c r="AC619" i="2"/>
  <c r="AC114" i="2"/>
  <c r="AD111" i="2"/>
  <c r="AC8" i="2"/>
  <c r="AK971" i="2"/>
  <c r="AK618" i="2"/>
  <c r="AK143" i="2"/>
  <c r="AK80" i="2"/>
  <c r="AK7" i="2"/>
  <c r="AK65" i="2"/>
  <c r="AL62" i="2"/>
  <c r="C955" i="2"/>
  <c r="C662" i="2"/>
  <c r="C197" i="2"/>
  <c r="D187" i="2"/>
  <c r="C200" i="2"/>
  <c r="AA648" i="2"/>
  <c r="AB627" i="2"/>
  <c r="AM952" i="2"/>
  <c r="AM660" i="2"/>
  <c r="AM79" i="2"/>
  <c r="AN65" i="2"/>
  <c r="AM617" i="2"/>
  <c r="AM146" i="2"/>
  <c r="I709" i="2"/>
  <c r="J708" i="2"/>
  <c r="C972" i="2"/>
  <c r="C619" i="2"/>
  <c r="C128" i="2"/>
  <c r="C114" i="2"/>
  <c r="D111" i="2"/>
  <c r="C8" i="2"/>
  <c r="S972" i="2"/>
  <c r="S619" i="2"/>
  <c r="S114" i="2"/>
  <c r="T111" i="2"/>
  <c r="S8" i="2"/>
  <c r="AI972" i="2"/>
  <c r="AI619" i="2"/>
  <c r="AI114" i="2"/>
  <c r="AJ111" i="2"/>
  <c r="AI8" i="2"/>
  <c r="AI129" i="2"/>
  <c r="AJ129" i="2" s="1"/>
  <c r="E850" i="2"/>
  <c r="F709" i="2"/>
  <c r="E836" i="2"/>
  <c r="F836" i="2" s="1"/>
  <c r="M974" i="2"/>
  <c r="M627" i="2"/>
  <c r="M187" i="2"/>
  <c r="N184" i="2"/>
  <c r="M10" i="2"/>
  <c r="AC974" i="2"/>
  <c r="AC627" i="2"/>
  <c r="AC187" i="2"/>
  <c r="AD184" i="2"/>
  <c r="AC10" i="2"/>
  <c r="AF607" i="2"/>
  <c r="BE299" i="2"/>
  <c r="BF292" i="2"/>
  <c r="R322" i="2"/>
  <c r="AH322" i="2"/>
  <c r="AF575" i="2"/>
  <c r="S976" i="2"/>
  <c r="S630" i="2"/>
  <c r="S417" i="2"/>
  <c r="S410" i="2"/>
  <c r="S409" i="2"/>
  <c r="T407" i="2"/>
  <c r="S414" i="2"/>
  <c r="S13" i="2"/>
  <c r="AI976" i="2"/>
  <c r="AI630" i="2"/>
  <c r="AI410" i="2"/>
  <c r="AI409" i="2"/>
  <c r="AJ407" i="2"/>
  <c r="AI419" i="2"/>
  <c r="AI414" i="2"/>
  <c r="AI417" i="2"/>
  <c r="AI13" i="2"/>
  <c r="N400" i="2"/>
  <c r="M401" i="2"/>
  <c r="AK977" i="2"/>
  <c r="AK632" i="2"/>
  <c r="AK505" i="2"/>
  <c r="AK529" i="2"/>
  <c r="AK500" i="2"/>
  <c r="AK503" i="2"/>
  <c r="AL503" i="2" s="1"/>
  <c r="AK497" i="2"/>
  <c r="AL494" i="2"/>
  <c r="AK496" i="2"/>
  <c r="AK12" i="2"/>
  <c r="AL12" i="2" s="1"/>
  <c r="AW1030" i="2"/>
  <c r="AX400" i="2"/>
  <c r="AW401" i="2"/>
  <c r="U976" i="2"/>
  <c r="U630" i="2"/>
  <c r="U414" i="2"/>
  <c r="U417" i="2"/>
  <c r="U410" i="2"/>
  <c r="U409" i="2"/>
  <c r="V407" i="2"/>
  <c r="U13" i="2"/>
  <c r="AK976" i="2"/>
  <c r="AK630" i="2"/>
  <c r="AK417" i="2"/>
  <c r="AK414" i="2"/>
  <c r="AK419" i="2"/>
  <c r="AK410" i="2"/>
  <c r="AK409" i="2"/>
  <c r="AL407" i="2"/>
  <c r="AK13" i="2"/>
  <c r="AG977" i="2"/>
  <c r="AG632" i="2"/>
  <c r="AG505" i="2"/>
  <c r="AG500" i="2"/>
  <c r="AG496" i="2"/>
  <c r="AG503" i="2"/>
  <c r="AG497" i="2"/>
  <c r="AH494" i="2"/>
  <c r="AG529" i="2"/>
  <c r="AG12" i="2"/>
  <c r="C977" i="2"/>
  <c r="C632" i="2"/>
  <c r="C497" i="2"/>
  <c r="D497" i="2" s="1"/>
  <c r="C529" i="2"/>
  <c r="C503" i="2"/>
  <c r="D503" i="2" s="1"/>
  <c r="D494" i="2"/>
  <c r="C500" i="2"/>
  <c r="C496" i="2"/>
  <c r="D496" i="2" s="1"/>
  <c r="C12" i="2"/>
  <c r="D12" i="2" s="1"/>
  <c r="T491" i="2"/>
  <c r="AI977" i="2"/>
  <c r="AI632" i="2"/>
  <c r="AI505" i="2"/>
  <c r="AI497" i="2"/>
  <c r="AJ494" i="2"/>
  <c r="AI496" i="2"/>
  <c r="AI529" i="2"/>
  <c r="AI503" i="2"/>
  <c r="AI500" i="2"/>
  <c r="AI12" i="2"/>
  <c r="L580" i="2"/>
  <c r="BG526" i="2"/>
  <c r="C979" i="2"/>
  <c r="C633" i="2"/>
  <c r="D559" i="2"/>
  <c r="C568" i="2"/>
  <c r="C15" i="2"/>
  <c r="D15" i="2" s="1"/>
  <c r="C567" i="2"/>
  <c r="D567" i="2" s="1"/>
  <c r="D564" i="2"/>
  <c r="T527" i="2"/>
  <c r="S582" i="2"/>
  <c r="AJ489" i="2"/>
  <c r="AR489" i="2"/>
  <c r="BO535" i="2"/>
  <c r="L24" i="2"/>
  <c r="AM925" i="2"/>
  <c r="AN925" i="2" s="1"/>
  <c r="AM921" i="2"/>
  <c r="AN921" i="2" s="1"/>
  <c r="AM920" i="2"/>
  <c r="AN920" i="2" s="1"/>
  <c r="AM919" i="2"/>
  <c r="AN919" i="2" s="1"/>
  <c r="AM900" i="2"/>
  <c r="AM891" i="2"/>
  <c r="AN891" i="2" s="1"/>
  <c r="AN889" i="2"/>
  <c r="AM870" i="2"/>
  <c r="AM923" i="2"/>
  <c r="AN923" i="2" s="1"/>
  <c r="AM922" i="2"/>
  <c r="AN922" i="2" s="1"/>
  <c r="AM880" i="2"/>
  <c r="BE934" i="2"/>
  <c r="Q952" i="2"/>
  <c r="Q660" i="2"/>
  <c r="R65" i="2"/>
  <c r="Q639" i="2"/>
  <c r="R618" i="2"/>
  <c r="Q972" i="2"/>
  <c r="Q619" i="2"/>
  <c r="Q127" i="2"/>
  <c r="R127" i="2" s="1"/>
  <c r="Q128" i="2"/>
  <c r="Q8" i="2"/>
  <c r="Q114" i="2"/>
  <c r="R111" i="2"/>
  <c r="AG972" i="2"/>
  <c r="AG619" i="2"/>
  <c r="AG129" i="2"/>
  <c r="AH129" i="2" s="1"/>
  <c r="AG8" i="2"/>
  <c r="AG114" i="2"/>
  <c r="AH111" i="2"/>
  <c r="AP55" i="2"/>
  <c r="T10" i="2"/>
  <c r="AW232" i="2"/>
  <c r="AU223" i="2"/>
  <c r="AV232" i="2"/>
  <c r="G952" i="2"/>
  <c r="G660" i="2"/>
  <c r="H65" i="2"/>
  <c r="G639" i="2"/>
  <c r="H639" i="2" s="1"/>
  <c r="H618" i="2"/>
  <c r="W973" i="2"/>
  <c r="G972" i="2"/>
  <c r="G619" i="2"/>
  <c r="G114" i="2"/>
  <c r="G8" i="2"/>
  <c r="G128" i="2"/>
  <c r="H111" i="2"/>
  <c r="W972" i="2"/>
  <c r="W619" i="2"/>
  <c r="W114" i="2"/>
  <c r="W8" i="2"/>
  <c r="X111" i="2"/>
  <c r="AM972" i="2"/>
  <c r="AM619" i="2"/>
  <c r="AM129" i="2"/>
  <c r="AM114" i="2"/>
  <c r="AM8" i="2"/>
  <c r="AN111" i="2"/>
  <c r="G372" i="2"/>
  <c r="G335" i="2"/>
  <c r="G330" i="2"/>
  <c r="H328" i="2"/>
  <c r="G333" i="2"/>
  <c r="H333" i="2" s="1"/>
  <c r="AM335" i="2"/>
  <c r="AN328" i="2"/>
  <c r="AM333" i="2"/>
  <c r="AM330" i="2"/>
  <c r="AU268" i="2"/>
  <c r="AT268" i="2"/>
  <c r="AS259" i="2"/>
  <c r="AT259" i="2" s="1"/>
  <c r="R404" i="2"/>
  <c r="V607" i="2"/>
  <c r="AL607" i="2"/>
  <c r="N575" i="2"/>
  <c r="M584" i="2"/>
  <c r="AD608" i="2"/>
  <c r="AT394" i="2"/>
  <c r="AS405" i="2"/>
  <c r="AT405" i="2" s="1"/>
  <c r="X575" i="2"/>
  <c r="W584" i="2"/>
  <c r="AN608" i="2"/>
  <c r="X609" i="2"/>
  <c r="AN609" i="2"/>
  <c r="AG1030" i="2"/>
  <c r="AH400" i="2"/>
  <c r="AG401" i="2"/>
  <c r="BJ609" i="2"/>
  <c r="BK391" i="2"/>
  <c r="BJ407" i="2"/>
  <c r="BJ402" i="2"/>
  <c r="BJ403" i="2"/>
  <c r="BK403" i="2" s="1"/>
  <c r="BJ404" i="2"/>
  <c r="BE398" i="2"/>
  <c r="BB404" i="2"/>
  <c r="BC404" i="2" s="1"/>
  <c r="BG612" i="2"/>
  <c r="L575" i="2"/>
  <c r="K584" i="2"/>
  <c r="AH489" i="2"/>
  <c r="AX489" i="2"/>
  <c r="AP489" i="2"/>
  <c r="X490" i="2"/>
  <c r="X611" i="2"/>
  <c r="AN492" i="2"/>
  <c r="AU492" i="2"/>
  <c r="F527" i="2"/>
  <c r="F582" i="2" s="1"/>
  <c r="E582" i="2"/>
  <c r="E584" i="2" s="1"/>
  <c r="AL527" i="2"/>
  <c r="AK582" i="2"/>
  <c r="BG489" i="2"/>
  <c r="BE579" i="2"/>
  <c r="AN527" i="2"/>
  <c r="AP580" i="2"/>
  <c r="AP567" i="2"/>
  <c r="AX567" i="2"/>
  <c r="AW546" i="2"/>
  <c r="AV546" i="2"/>
  <c r="AD582" i="2"/>
  <c r="AH567" i="2"/>
  <c r="AX822" i="2"/>
  <c r="BL822" i="2"/>
  <c r="AV885" i="2"/>
  <c r="AW885" i="2"/>
  <c r="N848" i="2"/>
  <c r="N939" i="2"/>
  <c r="M899" i="2"/>
  <c r="P883" i="2"/>
  <c r="Y925" i="2"/>
  <c r="Z925" i="2" s="1"/>
  <c r="Y921" i="2"/>
  <c r="Z921" i="2" s="1"/>
  <c r="Y920" i="2"/>
  <c r="Z920" i="2" s="1"/>
  <c r="Y919" i="2"/>
  <c r="Z919" i="2" s="1"/>
  <c r="Z889" i="2"/>
  <c r="Y891" i="2"/>
  <c r="Z891" i="2" s="1"/>
  <c r="Y900" i="2"/>
  <c r="Y870" i="2"/>
  <c r="Z870" i="2" s="1"/>
  <c r="Y923" i="2"/>
  <c r="Z923" i="2" s="1"/>
  <c r="Y922" i="2"/>
  <c r="Z922" i="2" s="1"/>
  <c r="L883" i="2"/>
  <c r="AI925" i="2"/>
  <c r="AJ925" i="2" s="1"/>
  <c r="AI921" i="2"/>
  <c r="AJ921" i="2" s="1"/>
  <c r="AI920" i="2"/>
  <c r="AJ920" i="2" s="1"/>
  <c r="AI919" i="2"/>
  <c r="AJ919" i="2" s="1"/>
  <c r="AI891" i="2"/>
  <c r="AJ891" i="2" s="1"/>
  <c r="AI900" i="2"/>
  <c r="AJ889" i="2"/>
  <c r="AI870" i="2"/>
  <c r="AI880" i="2"/>
  <c r="AI923" i="2"/>
  <c r="AJ923" i="2" s="1"/>
  <c r="AI922" i="2"/>
  <c r="AJ922" i="2" s="1"/>
  <c r="R403" i="2"/>
  <c r="AA979" i="2"/>
  <c r="AA633" i="2"/>
  <c r="AA568" i="2"/>
  <c r="AB559" i="2"/>
  <c r="AA15" i="2"/>
  <c r="N561" i="2"/>
  <c r="AB403" i="2"/>
  <c r="BL706" i="2"/>
  <c r="AM955" i="2"/>
  <c r="AM662" i="2"/>
  <c r="AN187" i="2"/>
  <c r="AM200" i="2"/>
  <c r="AN200" i="2" s="1"/>
  <c r="E972" i="2"/>
  <c r="E973" i="2" s="1"/>
  <c r="E619" i="2"/>
  <c r="E128" i="2"/>
  <c r="E114" i="2"/>
  <c r="F111" i="2"/>
  <c r="E8" i="2"/>
  <c r="AK972" i="2"/>
  <c r="AK619" i="2"/>
  <c r="AK129" i="2"/>
  <c r="AL129" i="2" s="1"/>
  <c r="AK114" i="2"/>
  <c r="AL111" i="2"/>
  <c r="AK8" i="2"/>
  <c r="BF983" i="2"/>
  <c r="BG573" i="2"/>
  <c r="BG983" i="2" s="1"/>
  <c r="BF575" i="2"/>
  <c r="K973" i="2"/>
  <c r="Y613" i="2"/>
  <c r="Z596" i="2"/>
  <c r="BD135" i="2"/>
  <c r="BG135" i="2" s="1"/>
  <c r="BE133" i="2"/>
  <c r="BD573" i="2"/>
  <c r="G648" i="2"/>
  <c r="H648" i="2" s="1"/>
  <c r="H627" i="2"/>
  <c r="W955" i="2"/>
  <c r="W662" i="2"/>
  <c r="X187" i="2"/>
  <c r="W200" i="2"/>
  <c r="E952" i="2"/>
  <c r="E660" i="2"/>
  <c r="F65" i="2"/>
  <c r="E639" i="2"/>
  <c r="F618" i="2"/>
  <c r="F639" i="2" s="1"/>
  <c r="E596" i="2"/>
  <c r="F135" i="2"/>
  <c r="BG133" i="2"/>
  <c r="BD80" i="2"/>
  <c r="BE55" i="2"/>
  <c r="BF197" i="2"/>
  <c r="BF184" i="2"/>
  <c r="BG182" i="2"/>
  <c r="BF199" i="2"/>
  <c r="BG199" i="2" s="1"/>
  <c r="K639" i="2"/>
  <c r="AA952" i="2"/>
  <c r="AA660" i="2"/>
  <c r="AA79" i="2"/>
  <c r="AA973" i="2"/>
  <c r="BF708" i="2"/>
  <c r="BF690" i="2"/>
  <c r="BG669" i="2"/>
  <c r="E974" i="2"/>
  <c r="E627" i="2"/>
  <c r="E648" i="2" s="1"/>
  <c r="F648" i="2" s="1"/>
  <c r="E187" i="2"/>
  <c r="F184" i="2"/>
  <c r="F627" i="2" s="1"/>
  <c r="E10" i="2"/>
  <c r="F10" i="2" s="1"/>
  <c r="AK974" i="2"/>
  <c r="AK627" i="2"/>
  <c r="AK187" i="2"/>
  <c r="AL184" i="2"/>
  <c r="AK10" i="2"/>
  <c r="AL10" i="2" s="1"/>
  <c r="BJ708" i="2"/>
  <c r="BJ690" i="2"/>
  <c r="BK669" i="2"/>
  <c r="I330" i="2"/>
  <c r="I372" i="2"/>
  <c r="I333" i="2"/>
  <c r="J333" i="2" s="1"/>
  <c r="I335" i="2"/>
  <c r="J328" i="2"/>
  <c r="Y330" i="2"/>
  <c r="Y333" i="2"/>
  <c r="Y335" i="2"/>
  <c r="Z328" i="2"/>
  <c r="AP322" i="2"/>
  <c r="AL575" i="2"/>
  <c r="AK584" i="2"/>
  <c r="T582" i="2"/>
  <c r="K976" i="2"/>
  <c r="K630" i="2"/>
  <c r="K417" i="2"/>
  <c r="K410" i="2"/>
  <c r="K409" i="2"/>
  <c r="L407" i="2"/>
  <c r="K414" i="2"/>
  <c r="K13" i="2"/>
  <c r="AA976" i="2"/>
  <c r="AA630" i="2"/>
  <c r="AA410" i="2"/>
  <c r="AA409" i="2"/>
  <c r="AB409" i="2" s="1"/>
  <c r="AB407" i="2"/>
  <c r="AA419" i="2"/>
  <c r="AA414" i="2"/>
  <c r="AA417" i="2"/>
  <c r="AB417" i="2" s="1"/>
  <c r="AA13" i="2"/>
  <c r="AK1030" i="2"/>
  <c r="AL400" i="2"/>
  <c r="AT400" i="2"/>
  <c r="AK401" i="2"/>
  <c r="BR472" i="2"/>
  <c r="BQ472" i="2"/>
  <c r="BE534" i="2"/>
  <c r="BI474" i="2"/>
  <c r="K977" i="2"/>
  <c r="K632" i="2"/>
  <c r="K497" i="2"/>
  <c r="L497" i="2" s="1"/>
  <c r="K529" i="2"/>
  <c r="K503" i="2"/>
  <c r="L503" i="2" s="1"/>
  <c r="L494" i="2"/>
  <c r="K500" i="2"/>
  <c r="K496" i="2"/>
  <c r="L496" i="2" s="1"/>
  <c r="K12" i="2"/>
  <c r="L12" i="2" s="1"/>
  <c r="BF580" i="2"/>
  <c r="BG525" i="2"/>
  <c r="BI526" i="2"/>
  <c r="BH581" i="2"/>
  <c r="BI581" i="2" s="1"/>
  <c r="E979" i="2"/>
  <c r="E633" i="2"/>
  <c r="E655" i="2" s="1"/>
  <c r="F655" i="2" s="1"/>
  <c r="F559" i="2"/>
  <c r="F633" i="2" s="1"/>
  <c r="E568" i="2"/>
  <c r="E15" i="2"/>
  <c r="F15" i="2" s="1"/>
  <c r="AA582" i="2"/>
  <c r="J564" i="2"/>
  <c r="I567" i="2"/>
  <c r="J567" i="2" s="1"/>
  <c r="Z823" i="2"/>
  <c r="Y825" i="2"/>
  <c r="BF823" i="2"/>
  <c r="AH823" i="2"/>
  <c r="K878" i="2"/>
  <c r="BK921" i="2"/>
  <c r="BK862" i="2"/>
  <c r="BJ863" i="2"/>
  <c r="AG878" i="2"/>
  <c r="AG926" i="2" s="1"/>
  <c r="AH880" i="2"/>
  <c r="AW888" i="2"/>
  <c r="AX888" i="2" s="1"/>
  <c r="BL859" i="2"/>
  <c r="AX859" i="2"/>
  <c r="C925" i="2"/>
  <c r="D925" i="2" s="1"/>
  <c r="C921" i="2"/>
  <c r="D921" i="2" s="1"/>
  <c r="C920" i="2"/>
  <c r="D920" i="2" s="1"/>
  <c r="C919" i="2"/>
  <c r="D919" i="2" s="1"/>
  <c r="C900" i="2"/>
  <c r="D889" i="2"/>
  <c r="C870" i="2"/>
  <c r="C923" i="2"/>
  <c r="D923" i="2" s="1"/>
  <c r="C880" i="2"/>
  <c r="L880" i="2" s="1"/>
  <c r="C922" i="2"/>
  <c r="BK920" i="2"/>
  <c r="BV113" i="2"/>
  <c r="BU113" i="2"/>
  <c r="AJ596" i="2"/>
  <c r="AI613" i="2"/>
  <c r="BG257" i="2"/>
  <c r="BG270" i="2" s="1"/>
  <c r="BF264" i="2"/>
  <c r="BF271" i="2"/>
  <c r="BG271" i="2" s="1"/>
  <c r="BF270" i="2"/>
  <c r="BB80" i="2"/>
  <c r="BC80" i="2" s="1"/>
  <c r="BC55" i="2"/>
  <c r="BH141" i="2"/>
  <c r="BI137" i="2"/>
  <c r="BH578" i="2"/>
  <c r="Y971" i="2"/>
  <c r="Y618" i="2"/>
  <c r="Y143" i="2"/>
  <c r="Y65" i="2"/>
  <c r="Z62" i="2"/>
  <c r="Y7" i="2"/>
  <c r="Z7" i="2" s="1"/>
  <c r="G613" i="2"/>
  <c r="H596" i="2"/>
  <c r="I972" i="2"/>
  <c r="I619" i="2"/>
  <c r="I8" i="2"/>
  <c r="I114" i="2"/>
  <c r="I128" i="2"/>
  <c r="J111" i="2"/>
  <c r="Y972" i="2"/>
  <c r="Y619" i="2"/>
  <c r="Y8" i="2"/>
  <c r="Y114" i="2"/>
  <c r="Z111" i="2"/>
  <c r="AO972" i="2"/>
  <c r="AO619" i="2"/>
  <c r="AO8" i="2"/>
  <c r="AO114" i="2"/>
  <c r="AO129" i="2"/>
  <c r="AP129" i="2" s="1"/>
  <c r="AP111" i="2"/>
  <c r="O75" i="2"/>
  <c r="P75" i="2" s="1"/>
  <c r="AI955" i="2"/>
  <c r="AI662" i="2"/>
  <c r="AJ187" i="2"/>
  <c r="AI200" i="2"/>
  <c r="AX301" i="2"/>
  <c r="BL301" i="2"/>
  <c r="BD598" i="2"/>
  <c r="BD104" i="2"/>
  <c r="BE103" i="2"/>
  <c r="BD111" i="2"/>
  <c r="S335" i="2"/>
  <c r="S333" i="2"/>
  <c r="T333" i="2" s="1"/>
  <c r="S330" i="2"/>
  <c r="BF328" i="2"/>
  <c r="T328" i="2"/>
  <c r="S235" i="2"/>
  <c r="S236" i="2" s="1"/>
  <c r="T236" i="2" s="1"/>
  <c r="S234" i="2"/>
  <c r="S228" i="2"/>
  <c r="T221" i="2"/>
  <c r="AO974" i="2"/>
  <c r="AO627" i="2"/>
  <c r="AO187" i="2"/>
  <c r="AP184" i="2"/>
  <c r="AO10" i="2"/>
  <c r="W335" i="2"/>
  <c r="W333" i="2"/>
  <c r="X333" i="2" s="1"/>
  <c r="W330" i="2"/>
  <c r="X328" i="2"/>
  <c r="AF403" i="2"/>
  <c r="BH607" i="2"/>
  <c r="BI607" i="2" s="1"/>
  <c r="BH322" i="2"/>
  <c r="BI321" i="2"/>
  <c r="M330" i="2"/>
  <c r="M335" i="2"/>
  <c r="M372" i="2"/>
  <c r="N328" i="2"/>
  <c r="M333" i="2"/>
  <c r="AC330" i="2"/>
  <c r="AC335" i="2"/>
  <c r="AD328" i="2"/>
  <c r="AC333" i="2"/>
  <c r="BK398" i="2"/>
  <c r="BJ527" i="2"/>
  <c r="BD611" i="2"/>
  <c r="BE611" i="2" s="1"/>
  <c r="BD494" i="2"/>
  <c r="BE479" i="2"/>
  <c r="BD492" i="2"/>
  <c r="BE492" i="2" s="1"/>
  <c r="O976" i="2"/>
  <c r="O978" i="2" s="1"/>
  <c r="O630" i="2"/>
  <c r="O417" i="2"/>
  <c r="O410" i="2"/>
  <c r="O409" i="2"/>
  <c r="P407" i="2"/>
  <c r="O414" i="2"/>
  <c r="O13" i="2"/>
  <c r="AE976" i="2"/>
  <c r="AE630" i="2"/>
  <c r="AE419" i="2"/>
  <c r="AE417" i="2"/>
  <c r="AE410" i="2"/>
  <c r="AE409" i="2"/>
  <c r="AF407" i="2"/>
  <c r="AE414" i="2"/>
  <c r="AE13" i="2"/>
  <c r="Y1030" i="2"/>
  <c r="Z400" i="2"/>
  <c r="Y401" i="2"/>
  <c r="AR401" i="2"/>
  <c r="AJ401" i="2"/>
  <c r="O977" i="2"/>
  <c r="O632" i="2"/>
  <c r="O497" i="2"/>
  <c r="O529" i="2"/>
  <c r="O503" i="2"/>
  <c r="P494" i="2"/>
  <c r="O500" i="2"/>
  <c r="O496" i="2"/>
  <c r="O12" i="2"/>
  <c r="AL489" i="2"/>
  <c r="V564" i="2"/>
  <c r="U567" i="2"/>
  <c r="AV553" i="2"/>
  <c r="AW553" i="2"/>
  <c r="AX553" i="2" s="1"/>
  <c r="AI979" i="2"/>
  <c r="AI633" i="2"/>
  <c r="AI568" i="2"/>
  <c r="AJ559" i="2"/>
  <c r="AI15" i="2"/>
  <c r="AJ15" i="2" s="1"/>
  <c r="R562" i="2"/>
  <c r="L582" i="2"/>
  <c r="BK581" i="2"/>
  <c r="BR817" i="2"/>
  <c r="BQ817" i="2"/>
  <c r="AW828" i="2"/>
  <c r="AU823" i="2"/>
  <c r="AV828" i="2"/>
  <c r="AU827" i="2"/>
  <c r="AV827" i="2" s="1"/>
  <c r="BL828" i="2"/>
  <c r="BB883" i="2"/>
  <c r="BC883" i="2" s="1"/>
  <c r="V883" i="2"/>
  <c r="AK925" i="2"/>
  <c r="AK921" i="2"/>
  <c r="AK920" i="2"/>
  <c r="AK919" i="2"/>
  <c r="AL889" i="2"/>
  <c r="AK900" i="2"/>
  <c r="AK891" i="2"/>
  <c r="AK870" i="2"/>
  <c r="AK923" i="2"/>
  <c r="AK880" i="2"/>
  <c r="AK922" i="2"/>
  <c r="O878" i="2"/>
  <c r="BE862" i="2"/>
  <c r="BD863" i="2"/>
  <c r="L900" i="2"/>
  <c r="K899" i="2"/>
  <c r="L919" i="2"/>
  <c r="W925" i="2"/>
  <c r="X925" i="2" s="1"/>
  <c r="W921" i="2"/>
  <c r="X921" i="2" s="1"/>
  <c r="W920" i="2"/>
  <c r="X920" i="2" s="1"/>
  <c r="W919" i="2"/>
  <c r="X919" i="2" s="1"/>
  <c r="W900" i="2"/>
  <c r="W891" i="2"/>
  <c r="X891" i="2" s="1"/>
  <c r="X889" i="2"/>
  <c r="W870" i="2"/>
  <c r="X870" i="2" s="1"/>
  <c r="W923" i="2"/>
  <c r="X923" i="2" s="1"/>
  <c r="W922" i="2"/>
  <c r="X922" i="2" s="1"/>
  <c r="W880" i="2"/>
  <c r="I891" i="2"/>
  <c r="Y878" i="2"/>
  <c r="Y926" i="2" s="1"/>
  <c r="Z880" i="2"/>
  <c r="BU89" i="2"/>
  <c r="BV89" i="2"/>
  <c r="Q613" i="2"/>
  <c r="R596" i="2"/>
  <c r="Q121" i="2"/>
  <c r="R121" i="2" s="1"/>
  <c r="Q118" i="2"/>
  <c r="R118" i="2" s="1"/>
  <c r="Q117" i="2"/>
  <c r="R92" i="2"/>
  <c r="Q123" i="2"/>
  <c r="Q116" i="2"/>
  <c r="R116" i="2" s="1"/>
  <c r="Q122" i="2"/>
  <c r="R122" i="2" s="1"/>
  <c r="BG84" i="2"/>
  <c r="BF96" i="2"/>
  <c r="BG96" i="2" s="1"/>
  <c r="BF90" i="2"/>
  <c r="BF99" i="2"/>
  <c r="BG99" i="2" s="1"/>
  <c r="BF98" i="2"/>
  <c r="BG98" i="2" s="1"/>
  <c r="BF97" i="2"/>
  <c r="BG97" i="2" s="1"/>
  <c r="AE648" i="2"/>
  <c r="AF648" i="2" s="1"/>
  <c r="AF627" i="2"/>
  <c r="M971" i="2"/>
  <c r="M973" i="2" s="1"/>
  <c r="M618" i="2"/>
  <c r="V618" i="2" s="1"/>
  <c r="M143" i="2"/>
  <c r="M79" i="2"/>
  <c r="M7" i="2"/>
  <c r="N7" i="2" s="1"/>
  <c r="M65" i="2"/>
  <c r="V65" i="2" s="1"/>
  <c r="N62" i="2"/>
  <c r="V708" i="2"/>
  <c r="BJ598" i="2"/>
  <c r="BJ111" i="2"/>
  <c r="BJ104" i="2"/>
  <c r="BK103" i="2"/>
  <c r="N598" i="2"/>
  <c r="AD598" i="2"/>
  <c r="U596" i="2"/>
  <c r="V135" i="2"/>
  <c r="C648" i="2"/>
  <c r="D648" i="2" s="1"/>
  <c r="D627" i="2"/>
  <c r="K955" i="2"/>
  <c r="K662" i="2"/>
  <c r="K200" i="2"/>
  <c r="L187" i="2"/>
  <c r="BG61" i="2"/>
  <c r="BF62" i="2"/>
  <c r="C971" i="2"/>
  <c r="C973" i="2" s="1"/>
  <c r="C618" i="2"/>
  <c r="L618" i="2" s="1"/>
  <c r="C143" i="2"/>
  <c r="C79" i="2"/>
  <c r="C65" i="2"/>
  <c r="D62" i="2"/>
  <c r="C7" i="2"/>
  <c r="D7" i="2" s="1"/>
  <c r="AM80" i="2"/>
  <c r="AN80" i="2" s="1"/>
  <c r="AM639" i="2"/>
  <c r="AN618" i="2"/>
  <c r="C613" i="2"/>
  <c r="D596" i="2"/>
  <c r="BH598" i="2"/>
  <c r="BH104" i="2"/>
  <c r="BI103" i="2"/>
  <c r="BH111" i="2"/>
  <c r="C129" i="2"/>
  <c r="D104" i="2"/>
  <c r="T104" i="2"/>
  <c r="AJ104" i="2"/>
  <c r="AD708" i="2"/>
  <c r="AU297" i="2"/>
  <c r="AV226" i="2"/>
  <c r="AW226" i="2"/>
  <c r="BO155" i="2"/>
  <c r="BP155" i="2"/>
  <c r="AE335" i="2"/>
  <c r="AE333" i="2"/>
  <c r="AF333" i="2" s="1"/>
  <c r="AE330" i="2"/>
  <c r="AF328" i="2"/>
  <c r="R302" i="2"/>
  <c r="Q303" i="2"/>
  <c r="Q344" i="2" s="1"/>
  <c r="R344" i="2" s="1"/>
  <c r="Q330" i="2"/>
  <c r="Q333" i="2"/>
  <c r="R333" i="2" s="1"/>
  <c r="Q335" i="2"/>
  <c r="R328" i="2"/>
  <c r="AG330" i="2"/>
  <c r="AG333" i="2"/>
  <c r="AH333" i="2" s="1"/>
  <c r="AG335" i="2"/>
  <c r="AH328" i="2"/>
  <c r="AC1030" i="2"/>
  <c r="AD400" i="2"/>
  <c r="AC401" i="2"/>
  <c r="AD401" i="2" s="1"/>
  <c r="AV401" i="2"/>
  <c r="E976" i="2"/>
  <c r="E630" i="2"/>
  <c r="E651" i="2" s="1"/>
  <c r="F651" i="2" s="1"/>
  <c r="E414" i="2"/>
  <c r="E417" i="2"/>
  <c r="F417" i="2" s="1"/>
  <c r="E410" i="2"/>
  <c r="E409" i="2"/>
  <c r="F409" i="2" s="1"/>
  <c r="F407" i="2"/>
  <c r="F630" i="2" s="1"/>
  <c r="E13" i="2"/>
  <c r="V402" i="2"/>
  <c r="AL402" i="2"/>
  <c r="AN401" i="2"/>
  <c r="T492" i="2"/>
  <c r="AJ490" i="2"/>
  <c r="AJ611" i="2"/>
  <c r="AH527" i="2"/>
  <c r="AL580" i="2"/>
  <c r="AV554" i="2"/>
  <c r="AW554" i="2"/>
  <c r="BL554" i="2" s="1"/>
  <c r="AE979" i="2"/>
  <c r="AE633" i="2"/>
  <c r="AE568" i="2"/>
  <c r="AF559" i="2"/>
  <c r="AE15" i="2"/>
  <c r="W979" i="2"/>
  <c r="W633" i="2"/>
  <c r="W568" i="2"/>
  <c r="W15" i="2"/>
  <c r="BK934" i="2"/>
  <c r="L711" i="2"/>
  <c r="K712" i="2"/>
  <c r="K733" i="2"/>
  <c r="AF735" i="2"/>
  <c r="O955" i="2"/>
  <c r="O662" i="2"/>
  <c r="P187" i="2"/>
  <c r="O200" i="2"/>
  <c r="P200" i="2" s="1"/>
  <c r="F211" i="2"/>
  <c r="E212" i="2"/>
  <c r="G204" i="2"/>
  <c r="BE574" i="2"/>
  <c r="BG574" i="2"/>
  <c r="Q973" i="2"/>
  <c r="AF596" i="2"/>
  <c r="AE613" i="2"/>
  <c r="R598" i="2"/>
  <c r="AH598" i="2"/>
  <c r="BU158" i="2"/>
  <c r="BV158" i="2"/>
  <c r="BB596" i="2"/>
  <c r="BB143" i="2"/>
  <c r="BC135" i="2"/>
  <c r="BG285" i="2"/>
  <c r="BK61" i="2"/>
  <c r="G973" i="2"/>
  <c r="G129" i="2"/>
  <c r="P129" i="2" s="1"/>
  <c r="H104" i="2"/>
  <c r="X104" i="2"/>
  <c r="AN104" i="2"/>
  <c r="BN669" i="2"/>
  <c r="BO145" i="2"/>
  <c r="BP145" i="2"/>
  <c r="Q974" i="2"/>
  <c r="Q627" i="2"/>
  <c r="Q187" i="2"/>
  <c r="R184" i="2"/>
  <c r="Q10" i="2"/>
  <c r="R10" i="2" s="1"/>
  <c r="AH199" i="2"/>
  <c r="AN322" i="2"/>
  <c r="V322" i="2"/>
  <c r="AL322" i="2"/>
  <c r="BH609" i="2"/>
  <c r="BH407" i="2"/>
  <c r="BI391" i="2"/>
  <c r="BH404" i="2"/>
  <c r="BH402" i="2"/>
  <c r="X402" i="2"/>
  <c r="AN402" i="2"/>
  <c r="AS609" i="2"/>
  <c r="AT609" i="2" s="1"/>
  <c r="AT391" i="2"/>
  <c r="BB527" i="2"/>
  <c r="BC527" i="2" s="1"/>
  <c r="BC486" i="2"/>
  <c r="D575" i="2"/>
  <c r="AJ575" i="2"/>
  <c r="Z402" i="2"/>
  <c r="AP402" i="2"/>
  <c r="AQ402" i="2"/>
  <c r="AB401" i="2"/>
  <c r="Z490" i="2"/>
  <c r="G977" i="2"/>
  <c r="G632" i="2"/>
  <c r="G497" i="2"/>
  <c r="H497" i="2" s="1"/>
  <c r="G529" i="2"/>
  <c r="G503" i="2"/>
  <c r="H503" i="2" s="1"/>
  <c r="H494" i="2"/>
  <c r="G500" i="2"/>
  <c r="G496" i="2"/>
  <c r="H496" i="2" s="1"/>
  <c r="G12" i="2"/>
  <c r="H12" i="2" s="1"/>
  <c r="X491" i="2"/>
  <c r="AM977" i="2"/>
  <c r="AM632" i="2"/>
  <c r="AM529" i="2"/>
  <c r="AM505" i="2"/>
  <c r="AM497" i="2"/>
  <c r="AN494" i="2"/>
  <c r="AM496" i="2"/>
  <c r="AM503" i="2"/>
  <c r="AM500" i="2"/>
  <c r="AM12" i="2"/>
  <c r="AF580" i="2"/>
  <c r="AL567" i="2"/>
  <c r="AT567" i="2"/>
  <c r="O562" i="2"/>
  <c r="P562" i="2" s="1"/>
  <c r="O564" i="2"/>
  <c r="P557" i="2"/>
  <c r="O561" i="2"/>
  <c r="P561" i="2" s="1"/>
  <c r="O559" i="2"/>
  <c r="X559" i="2" s="1"/>
  <c r="AO979" i="2"/>
  <c r="AO633" i="2"/>
  <c r="AO568" i="2"/>
  <c r="AP559" i="2"/>
  <c r="AO15" i="2"/>
  <c r="AC582" i="2"/>
  <c r="AC584" i="2" s="1"/>
  <c r="AG979" i="2"/>
  <c r="AG633" i="2"/>
  <c r="AG568" i="2"/>
  <c r="AH559" i="2"/>
  <c r="AG15" i="2"/>
  <c r="AQ842" i="2"/>
  <c r="AR841" i="2"/>
  <c r="BE825" i="2"/>
  <c r="AN735" i="2"/>
  <c r="BJ883" i="2"/>
  <c r="AP883" i="2"/>
  <c r="M938" i="2"/>
  <c r="M924" i="2"/>
  <c r="M936" i="2"/>
  <c r="AX886" i="2"/>
  <c r="BL886" i="2"/>
  <c r="BG862" i="2"/>
  <c r="BF863" i="2"/>
  <c r="AO878" i="2"/>
  <c r="AP880" i="2"/>
  <c r="AH403" i="2"/>
  <c r="BO552" i="2"/>
  <c r="BP552" i="2"/>
  <c r="AC653" i="2"/>
  <c r="M979" i="2"/>
  <c r="M633" i="2"/>
  <c r="N559" i="2"/>
  <c r="M568" i="2"/>
  <c r="M15" i="2"/>
  <c r="N15" i="2" s="1"/>
  <c r="AM979" i="2"/>
  <c r="AM633" i="2"/>
  <c r="AM568" i="2"/>
  <c r="AN559" i="2"/>
  <c r="AM15" i="2"/>
  <c r="AN15" i="2" s="1"/>
  <c r="U972" i="2"/>
  <c r="U973" i="2" s="1"/>
  <c r="U619" i="2"/>
  <c r="U114" i="2"/>
  <c r="V111" i="2"/>
  <c r="U8" i="2"/>
  <c r="AK596" i="2"/>
  <c r="AL135" i="2"/>
  <c r="BO35" i="2"/>
  <c r="BN36" i="2"/>
  <c r="BP35" i="2"/>
  <c r="BE597" i="2"/>
  <c r="BG597" i="2"/>
  <c r="Q67" i="2"/>
  <c r="R67" i="2" s="1"/>
  <c r="Q72" i="2"/>
  <c r="R72" i="2" s="1"/>
  <c r="Q68" i="2"/>
  <c r="R42" i="2"/>
  <c r="Q74" i="2"/>
  <c r="Q73" i="2"/>
  <c r="R73" i="2" s="1"/>
  <c r="Q69" i="2"/>
  <c r="R69" i="2" s="1"/>
  <c r="AB596" i="2"/>
  <c r="AA613" i="2"/>
  <c r="AU293" i="2"/>
  <c r="AV293" i="2" s="1"/>
  <c r="AW276" i="2"/>
  <c r="AV276" i="2"/>
  <c r="AV222" i="2"/>
  <c r="AW222" i="2"/>
  <c r="AX222" i="2" s="1"/>
  <c r="G967" i="2"/>
  <c r="G850" i="2"/>
  <c r="G738" i="2"/>
  <c r="H738" i="2" s="1"/>
  <c r="H709" i="2"/>
  <c r="G836" i="2"/>
  <c r="H836" i="2" s="1"/>
  <c r="AO330" i="2"/>
  <c r="AO333" i="2"/>
  <c r="AO335" i="2"/>
  <c r="AP328" i="2"/>
  <c r="AR394" i="2"/>
  <c r="AQ405" i="2"/>
  <c r="AR405" i="2" s="1"/>
  <c r="BN474" i="2"/>
  <c r="BO474" i="2" s="1"/>
  <c r="BO473" i="2"/>
  <c r="BF608" i="2"/>
  <c r="BG520" i="2"/>
  <c r="M976" i="2"/>
  <c r="M978" i="2" s="1"/>
  <c r="M630" i="2"/>
  <c r="M414" i="2"/>
  <c r="M417" i="2"/>
  <c r="N417" i="2" s="1"/>
  <c r="M410" i="2"/>
  <c r="M409" i="2"/>
  <c r="N409" i="2" s="1"/>
  <c r="N407" i="2"/>
  <c r="M13" i="2"/>
  <c r="AC976" i="2"/>
  <c r="AC978" i="2" s="1"/>
  <c r="AC630" i="2"/>
  <c r="AC417" i="2"/>
  <c r="AD417" i="2" s="1"/>
  <c r="AC414" i="2"/>
  <c r="AC419" i="2"/>
  <c r="AC410" i="2"/>
  <c r="AC409" i="2"/>
  <c r="AD409" i="2" s="1"/>
  <c r="AD407" i="2"/>
  <c r="AC13" i="2"/>
  <c r="BT469" i="2"/>
  <c r="BS469" i="2"/>
  <c r="Q977" i="2"/>
  <c r="Q632" i="2"/>
  <c r="Q500" i="2"/>
  <c r="Q496" i="2"/>
  <c r="R496" i="2" s="1"/>
  <c r="Q497" i="2"/>
  <c r="R497" i="2" s="1"/>
  <c r="Q529" i="2"/>
  <c r="Q503" i="2"/>
  <c r="R503" i="2" s="1"/>
  <c r="R494" i="2"/>
  <c r="Q12" i="2"/>
  <c r="R12" i="2" s="1"/>
  <c r="J527" i="2"/>
  <c r="J582" i="2" s="1"/>
  <c r="I582" i="2"/>
  <c r="AP527" i="2"/>
  <c r="AO582" i="2"/>
  <c r="AP582" i="2" s="1"/>
  <c r="BB580" i="2"/>
  <c r="BC580" i="2" s="1"/>
  <c r="BC525" i="2"/>
  <c r="G567" i="2"/>
  <c r="H567" i="2" s="1"/>
  <c r="H564" i="2"/>
  <c r="AB582" i="2"/>
  <c r="I979" i="2"/>
  <c r="I633" i="2"/>
  <c r="J559" i="2"/>
  <c r="I568" i="2"/>
  <c r="I15" i="2"/>
  <c r="J15" i="2" s="1"/>
  <c r="AX735" i="2"/>
  <c r="BC862" i="2"/>
  <c r="BB863" i="2"/>
  <c r="AU875" i="2"/>
  <c r="AW873" i="2"/>
  <c r="AV873" i="2"/>
  <c r="S271" i="2"/>
  <c r="S272" i="2" s="1"/>
  <c r="T272" i="2" s="1"/>
  <c r="S270" i="2"/>
  <c r="S264" i="2"/>
  <c r="T257" i="2"/>
  <c r="BF598" i="2"/>
  <c r="BG598" i="2" s="1"/>
  <c r="BF111" i="2"/>
  <c r="BF104" i="2"/>
  <c r="BG104" i="2" s="1"/>
  <c r="BG103" i="2"/>
  <c r="M596" i="2"/>
  <c r="N135" i="2"/>
  <c r="O119" i="2"/>
  <c r="P119" i="2" s="1"/>
  <c r="P117" i="2"/>
  <c r="BI182" i="2"/>
  <c r="BH199" i="2"/>
  <c r="BI199" i="2" s="1"/>
  <c r="BH197" i="2"/>
  <c r="BI197" i="2" s="1"/>
  <c r="BH184" i="2"/>
  <c r="AI648" i="2"/>
  <c r="AJ648" i="2" s="1"/>
  <c r="AJ627" i="2"/>
  <c r="AA335" i="2"/>
  <c r="AA333" i="2"/>
  <c r="AB333" i="2" s="1"/>
  <c r="AA330" i="2"/>
  <c r="AB328" i="2"/>
  <c r="BH328" i="2"/>
  <c r="BB977" i="2"/>
  <c r="BC977" i="2" s="1"/>
  <c r="BB632" i="2"/>
  <c r="BB503" i="2"/>
  <c r="BC503" i="2" s="1"/>
  <c r="BB500" i="2"/>
  <c r="BC494" i="2"/>
  <c r="BB12" i="2"/>
  <c r="BC12" i="2" s="1"/>
  <c r="AV227" i="2"/>
  <c r="AW227" i="2"/>
  <c r="AU298" i="2"/>
  <c r="AV298" i="2" s="1"/>
  <c r="BJ607" i="2"/>
  <c r="BK607" i="2" s="1"/>
  <c r="BJ322" i="2"/>
  <c r="BK321" i="2"/>
  <c r="X322" i="2"/>
  <c r="X404" i="2"/>
  <c r="BK400" i="2"/>
  <c r="BJ401" i="2"/>
  <c r="BK401" i="2" s="1"/>
  <c r="BP477" i="2"/>
  <c r="BO477" i="2"/>
  <c r="BN479" i="2"/>
  <c r="AO1030" i="2"/>
  <c r="AP400" i="2"/>
  <c r="AO401" i="2"/>
  <c r="AP401" i="2" s="1"/>
  <c r="BB609" i="2"/>
  <c r="BC609" i="2" s="1"/>
  <c r="BC391" i="2"/>
  <c r="BB407" i="2"/>
  <c r="BB529" i="2" s="1"/>
  <c r="BB403" i="2"/>
  <c r="BC403" i="2" s="1"/>
  <c r="BB402" i="2"/>
  <c r="BC402" i="2" s="1"/>
  <c r="Q976" i="2"/>
  <c r="Q978" i="2" s="1"/>
  <c r="Q630" i="2"/>
  <c r="Q414" i="2"/>
  <c r="Q417" i="2"/>
  <c r="Q410" i="2"/>
  <c r="Q409" i="2"/>
  <c r="R407" i="2"/>
  <c r="Q13" i="2"/>
  <c r="AG976" i="2"/>
  <c r="AG978" i="2" s="1"/>
  <c r="AG630" i="2"/>
  <c r="AG414" i="2"/>
  <c r="AG419" i="2"/>
  <c r="AG417" i="2"/>
  <c r="AG410" i="2"/>
  <c r="AG409" i="2"/>
  <c r="AH407" i="2"/>
  <c r="AG13" i="2"/>
  <c r="AO977" i="2"/>
  <c r="AO632" i="2"/>
  <c r="AO505" i="2"/>
  <c r="AO500" i="2"/>
  <c r="AO503" i="2"/>
  <c r="AP503" i="2" s="1"/>
  <c r="AO497" i="2"/>
  <c r="AP494" i="2"/>
  <c r="AO529" i="2"/>
  <c r="AO496" i="2"/>
  <c r="AO12" i="2"/>
  <c r="AP12" i="2" s="1"/>
  <c r="BF611" i="2"/>
  <c r="BG611" i="2" s="1"/>
  <c r="BG479" i="2"/>
  <c r="BF494" i="2"/>
  <c r="BF492" i="2"/>
  <c r="BG492" i="2" s="1"/>
  <c r="U979" i="2"/>
  <c r="U633" i="2"/>
  <c r="V559" i="2"/>
  <c r="U568" i="2"/>
  <c r="U15" i="2"/>
  <c r="V15" i="2" s="1"/>
  <c r="BD581" i="2"/>
  <c r="BE581" i="2" s="1"/>
  <c r="R564" i="2"/>
  <c r="Q567" i="2"/>
  <c r="R567" i="2" s="1"/>
  <c r="S979" i="2"/>
  <c r="S633" i="2"/>
  <c r="T559" i="2"/>
  <c r="S568" i="2"/>
  <c r="S15" i="2"/>
  <c r="BC575" i="2"/>
  <c r="K567" i="2"/>
  <c r="L567" i="2" s="1"/>
  <c r="L564" i="2"/>
  <c r="D711" i="2"/>
  <c r="C712" i="2"/>
  <c r="C733" i="2"/>
  <c r="D733" i="2" s="1"/>
  <c r="U925" i="2"/>
  <c r="V925" i="2" s="1"/>
  <c r="U921" i="2"/>
  <c r="V921" i="2" s="1"/>
  <c r="U920" i="2"/>
  <c r="V920" i="2" s="1"/>
  <c r="U919" i="2"/>
  <c r="V919" i="2" s="1"/>
  <c r="V889" i="2"/>
  <c r="U900" i="2"/>
  <c r="U891" i="2"/>
  <c r="V891" i="2" s="1"/>
  <c r="U880" i="2"/>
  <c r="U922" i="2"/>
  <c r="V922" i="2" s="1"/>
  <c r="U870" i="2"/>
  <c r="V870" i="2" s="1"/>
  <c r="U923" i="2"/>
  <c r="V923" i="2" s="1"/>
  <c r="X735" i="2"/>
  <c r="R900" i="2"/>
  <c r="Q899" i="2"/>
  <c r="R899" i="2" s="1"/>
  <c r="AH883" i="2"/>
  <c r="BH883" i="2"/>
  <c r="K903" i="2"/>
  <c r="L903" i="2" s="1"/>
  <c r="L891" i="2"/>
  <c r="K905" i="2"/>
  <c r="L905" i="2" s="1"/>
  <c r="L920" i="2"/>
  <c r="S878" i="2"/>
  <c r="T880" i="2"/>
  <c r="S99" i="2"/>
  <c r="T99" i="2" s="1"/>
  <c r="S97" i="2"/>
  <c r="T97" i="2" s="1"/>
  <c r="S90" i="2"/>
  <c r="S96" i="2"/>
  <c r="T96" i="2" s="1"/>
  <c r="T84" i="2"/>
  <c r="S98" i="2"/>
  <c r="T98" i="2" s="1"/>
  <c r="AF10" i="2"/>
  <c r="BG55" i="2"/>
  <c r="AC971" i="2"/>
  <c r="AC973" i="2" s="1"/>
  <c r="AC618" i="2"/>
  <c r="AC143" i="2"/>
  <c r="AC80" i="2"/>
  <c r="AD80" i="2" s="1"/>
  <c r="AC7" i="2"/>
  <c r="AD7" i="2" s="1"/>
  <c r="AC65" i="2"/>
  <c r="AD62" i="2"/>
  <c r="N104" i="2"/>
  <c r="AD104" i="2"/>
  <c r="K648" i="2"/>
  <c r="L648" i="2" s="1"/>
  <c r="L627" i="2"/>
  <c r="BG137" i="2"/>
  <c r="BF141" i="2"/>
  <c r="BF143" i="2" s="1"/>
  <c r="BF578" i="2"/>
  <c r="S971" i="2"/>
  <c r="S973" i="2" s="1"/>
  <c r="S618" i="2"/>
  <c r="S143" i="2"/>
  <c r="S65" i="2"/>
  <c r="T62" i="2"/>
  <c r="S7" i="2"/>
  <c r="T7" i="2" s="1"/>
  <c r="AN7" i="2"/>
  <c r="AM973" i="2"/>
  <c r="T598" i="2"/>
  <c r="AJ598" i="2"/>
  <c r="BU381" i="2"/>
  <c r="BV381" i="2"/>
  <c r="AF322" i="2"/>
  <c r="AN403" i="2"/>
  <c r="T292" i="2"/>
  <c r="S308" i="2"/>
  <c r="S309" i="2" s="1"/>
  <c r="T309" i="2" s="1"/>
  <c r="S299" i="2"/>
  <c r="S307" i="2"/>
  <c r="V575" i="2"/>
  <c r="AJ404" i="2"/>
  <c r="T609" i="2"/>
  <c r="AJ609" i="2"/>
  <c r="E977" i="2"/>
  <c r="E632" i="2"/>
  <c r="E653" i="2" s="1"/>
  <c r="F653" i="2" s="1"/>
  <c r="E500" i="2"/>
  <c r="E496" i="2"/>
  <c r="F496" i="2" s="1"/>
  <c r="E497" i="2"/>
  <c r="F497" i="2" s="1"/>
  <c r="E529" i="2"/>
  <c r="E503" i="2"/>
  <c r="F503" i="2" s="1"/>
  <c r="F494" i="2"/>
  <c r="F632" i="2" s="1"/>
  <c r="E12" i="2"/>
  <c r="F12" i="2" s="1"/>
  <c r="Z575" i="2"/>
  <c r="Y584" i="2"/>
  <c r="T608" i="2"/>
  <c r="AJ608" i="2"/>
  <c r="V609" i="2"/>
  <c r="AL609" i="2"/>
  <c r="X401" i="2"/>
  <c r="S977" i="2"/>
  <c r="S632" i="2"/>
  <c r="S497" i="2"/>
  <c r="T497" i="2" s="1"/>
  <c r="S503" i="2"/>
  <c r="T503" i="2" s="1"/>
  <c r="T494" i="2"/>
  <c r="S529" i="2"/>
  <c r="S500" i="2"/>
  <c r="S496" i="2"/>
  <c r="T496" i="2" s="1"/>
  <c r="S12" i="2"/>
  <c r="T12" i="2" s="1"/>
  <c r="AJ491" i="2"/>
  <c r="BH580" i="2"/>
  <c r="BI580" i="2" s="1"/>
  <c r="BI525" i="2"/>
  <c r="BK526" i="2"/>
  <c r="BB559" i="2"/>
  <c r="BC557" i="2"/>
  <c r="D527" i="2"/>
  <c r="D582" i="2" s="1"/>
  <c r="C582" i="2"/>
  <c r="C584" i="2" s="1"/>
  <c r="AJ527" i="2"/>
  <c r="AI582" i="2"/>
  <c r="AJ582" i="2" s="1"/>
  <c r="O648" i="2"/>
  <c r="P648" i="2" s="1"/>
  <c r="P627" i="2"/>
  <c r="R7" i="2"/>
  <c r="R79" i="2"/>
  <c r="R104" i="2"/>
  <c r="AH104" i="2"/>
  <c r="AP597" i="2"/>
  <c r="S955" i="2"/>
  <c r="S662" i="2"/>
  <c r="T187" i="2"/>
  <c r="S200" i="2"/>
  <c r="T200" i="2" s="1"/>
  <c r="BK137" i="2"/>
  <c r="BJ141" i="2"/>
  <c r="BK141" i="2" s="1"/>
  <c r="BJ578" i="2"/>
  <c r="W143" i="2"/>
  <c r="D708" i="2"/>
  <c r="C709" i="2"/>
  <c r="X598" i="2"/>
  <c r="AN598" i="2"/>
  <c r="BL690" i="2"/>
  <c r="BL708" i="2"/>
  <c r="BM708" i="2" s="1"/>
  <c r="BM669" i="2"/>
  <c r="AX611" i="2"/>
  <c r="R199" i="2"/>
  <c r="E333" i="2"/>
  <c r="F333" i="2" s="1"/>
  <c r="E330" i="2"/>
  <c r="E369" i="2"/>
  <c r="F369" i="2" s="1"/>
  <c r="E335" i="2"/>
  <c r="E372" i="2"/>
  <c r="F328" i="2"/>
  <c r="U330" i="2"/>
  <c r="U335" i="2"/>
  <c r="U333" i="2"/>
  <c r="V333" i="2" s="1"/>
  <c r="V328" i="2"/>
  <c r="AK330" i="2"/>
  <c r="AK335" i="2"/>
  <c r="AL328" i="2"/>
  <c r="AK333" i="2"/>
  <c r="AX390" i="2"/>
  <c r="BL390" i="2"/>
  <c r="AW519" i="2"/>
  <c r="BI421" i="2"/>
  <c r="AR611" i="2"/>
  <c r="AX547" i="2"/>
  <c r="AW548" i="2"/>
  <c r="BL547" i="2"/>
  <c r="R575" i="2"/>
  <c r="AH608" i="2"/>
  <c r="AT518" i="2"/>
  <c r="AS520" i="2"/>
  <c r="AB575" i="2"/>
  <c r="AA584" i="2"/>
  <c r="I976" i="2"/>
  <c r="I978" i="2" s="1"/>
  <c r="I630" i="2"/>
  <c r="I414" i="2"/>
  <c r="I417" i="2"/>
  <c r="J417" i="2" s="1"/>
  <c r="I410" i="2"/>
  <c r="I409" i="2"/>
  <c r="J409" i="2" s="1"/>
  <c r="J407" i="2"/>
  <c r="I13" i="2"/>
  <c r="Y976" i="2"/>
  <c r="Y630" i="2"/>
  <c r="Y414" i="2"/>
  <c r="Y419" i="2"/>
  <c r="Y417" i="2"/>
  <c r="Z417" i="2" s="1"/>
  <c r="Y410" i="2"/>
  <c r="Y409" i="2"/>
  <c r="Z409" i="2" s="1"/>
  <c r="Z407" i="2"/>
  <c r="Y13" i="2"/>
  <c r="AO976" i="2"/>
  <c r="AO978" i="2" s="1"/>
  <c r="AO630" i="2"/>
  <c r="AO414" i="2"/>
  <c r="AO419" i="2"/>
  <c r="AO417" i="2"/>
  <c r="AP417" i="2" s="1"/>
  <c r="AO410" i="2"/>
  <c r="AO409" i="2"/>
  <c r="AP407" i="2"/>
  <c r="AO13" i="2"/>
  <c r="Z611" i="2"/>
  <c r="X492" i="2"/>
  <c r="AN490" i="2"/>
  <c r="AN611" i="2"/>
  <c r="V527" i="2"/>
  <c r="U582" i="2"/>
  <c r="U584" i="2" s="1"/>
  <c r="V489" i="2"/>
  <c r="AK979" i="2"/>
  <c r="AK633" i="2"/>
  <c r="AK568" i="2"/>
  <c r="AL559" i="2"/>
  <c r="AK15" i="2"/>
  <c r="AL15" i="2" s="1"/>
  <c r="O582" i="2"/>
  <c r="X527" i="2"/>
  <c r="Z580" i="2"/>
  <c r="V582" i="2"/>
  <c r="BF535" i="2"/>
  <c r="BG535" i="2" s="1"/>
  <c r="BG534" i="2"/>
  <c r="G582" i="2"/>
  <c r="AQ947" i="2"/>
  <c r="AS841" i="2"/>
  <c r="AT841" i="2" s="1"/>
  <c r="AR840" i="2"/>
  <c r="AQ819" i="2"/>
  <c r="AS840" i="2"/>
  <c r="N733" i="2"/>
  <c r="N906" i="2"/>
  <c r="M903" i="2"/>
  <c r="AD883" i="2"/>
  <c r="BG934" i="2"/>
  <c r="Z883" i="2"/>
  <c r="BF883" i="2"/>
  <c r="BG883" i="2" s="1"/>
  <c r="BI862" i="2"/>
  <c r="BH863" i="2"/>
  <c r="AJ883" i="2"/>
  <c r="O124" i="2"/>
  <c r="P124" i="2" s="1"/>
  <c r="P403" i="2"/>
  <c r="BI557" i="2"/>
  <c r="BH559" i="2"/>
  <c r="BB974" i="2"/>
  <c r="BC974" i="2" s="1"/>
  <c r="BB627" i="2"/>
  <c r="BC184" i="2"/>
  <c r="BB187" i="2"/>
  <c r="BB10" i="2"/>
  <c r="BC10" i="2" s="1"/>
  <c r="BJ974" i="2"/>
  <c r="BJ627" i="2"/>
  <c r="BK184" i="2"/>
  <c r="BJ187" i="2"/>
  <c r="BJ10" i="2"/>
  <c r="N503" i="2"/>
  <c r="M958" i="2"/>
  <c r="M666" i="2"/>
  <c r="N500" i="2"/>
  <c r="M504" i="2"/>
  <c r="AC958" i="2"/>
  <c r="AC666" i="2"/>
  <c r="AC504" i="2"/>
  <c r="N562" i="2"/>
  <c r="AV567" i="2"/>
  <c r="AN567" i="2"/>
  <c r="AO613" i="2"/>
  <c r="AP596" i="2"/>
  <c r="AM648" i="2"/>
  <c r="AN648" i="2" s="1"/>
  <c r="AN627" i="2"/>
  <c r="BD141" i="2"/>
  <c r="BE141" i="2" s="1"/>
  <c r="BE137" i="2"/>
  <c r="BD578" i="2"/>
  <c r="BB598" i="2"/>
  <c r="BC598" i="2" s="1"/>
  <c r="BB111" i="2"/>
  <c r="BB104" i="2"/>
  <c r="BC103" i="2"/>
  <c r="BM36" i="2"/>
  <c r="BD62" i="2"/>
  <c r="BF40" i="2"/>
  <c r="BF49" i="2"/>
  <c r="BG49" i="2" s="1"/>
  <c r="BG34" i="2"/>
  <c r="BF47" i="2"/>
  <c r="BG47" i="2" s="1"/>
  <c r="BF46" i="2"/>
  <c r="BG46" i="2" s="1"/>
  <c r="AB7" i="2"/>
  <c r="AA617" i="2"/>
  <c r="AA146" i="2"/>
  <c r="AB143" i="2"/>
  <c r="M709" i="2"/>
  <c r="N708" i="2"/>
  <c r="AV85" i="2"/>
  <c r="AW85" i="2"/>
  <c r="AU86" i="2"/>
  <c r="AV86" i="2" s="1"/>
  <c r="U974" i="2"/>
  <c r="U627" i="2"/>
  <c r="U187" i="2"/>
  <c r="V184" i="2"/>
  <c r="U10" i="2"/>
  <c r="V10" i="2" s="1"/>
  <c r="BC327" i="2"/>
  <c r="BE327" i="2"/>
  <c r="BI179" i="2"/>
  <c r="BK179" i="2"/>
  <c r="BD607" i="2"/>
  <c r="BD322" i="2"/>
  <c r="BE321" i="2"/>
  <c r="BF401" i="2"/>
  <c r="BG401" i="2" s="1"/>
  <c r="BG400" i="2"/>
  <c r="BH611" i="2"/>
  <c r="BI611" i="2" s="1"/>
  <c r="BH494" i="2"/>
  <c r="BI479" i="2"/>
  <c r="BH492" i="2"/>
  <c r="BI492" i="2" s="1"/>
  <c r="BB535" i="2"/>
  <c r="BC535" i="2" s="1"/>
  <c r="BC534" i="2"/>
  <c r="P575" i="2"/>
  <c r="O584" i="2"/>
  <c r="E401" i="2"/>
  <c r="F401" i="2" s="1"/>
  <c r="F400" i="2"/>
  <c r="BR470" i="2"/>
  <c r="BQ470" i="2"/>
  <c r="J575" i="2"/>
  <c r="I584" i="2"/>
  <c r="BI398" i="2"/>
  <c r="BR478" i="2"/>
  <c r="BQ478" i="2"/>
  <c r="AA977" i="2"/>
  <c r="AA632" i="2"/>
  <c r="AA505" i="2"/>
  <c r="AA497" i="2"/>
  <c r="AB497" i="2" s="1"/>
  <c r="AB494" i="2"/>
  <c r="AA529" i="2"/>
  <c r="AA503" i="2"/>
  <c r="AB503" i="2" s="1"/>
  <c r="AA500" i="2"/>
  <c r="AA496" i="2"/>
  <c r="AB496" i="2" s="1"/>
  <c r="AA12" i="2"/>
  <c r="AB12" i="2" s="1"/>
  <c r="BK489" i="2"/>
  <c r="F564" i="2"/>
  <c r="E567" i="2"/>
  <c r="F567" i="2" s="1"/>
  <c r="AD567" i="2"/>
  <c r="Y979" i="2"/>
  <c r="Y633" i="2"/>
  <c r="Y568" i="2"/>
  <c r="Z559" i="2"/>
  <c r="Y15" i="2"/>
  <c r="AQ559" i="2"/>
  <c r="AR557" i="2"/>
  <c r="BJ535" i="2"/>
  <c r="BM535" i="2" s="1"/>
  <c r="BK534" i="2"/>
  <c r="BV534" i="2"/>
  <c r="Q878" i="2"/>
  <c r="R880" i="2"/>
  <c r="T900" i="2"/>
  <c r="S899" i="2"/>
  <c r="T899" i="2" s="1"/>
  <c r="BD708" i="2"/>
  <c r="BE708" i="2" s="1"/>
  <c r="BE669" i="2"/>
  <c r="X596" i="2"/>
  <c r="W613" i="2"/>
  <c r="I129" i="2"/>
  <c r="R129" i="2" s="1"/>
  <c r="J104" i="2"/>
  <c r="BH573" i="2"/>
  <c r="BH135" i="2"/>
  <c r="BI133" i="2"/>
  <c r="Q173" i="2"/>
  <c r="R173" i="2" s="1"/>
  <c r="R172" i="2"/>
  <c r="BO39" i="2"/>
  <c r="BP39" i="2"/>
  <c r="BJ573" i="2"/>
  <c r="BK133" i="2"/>
  <c r="BJ135" i="2"/>
  <c r="BK285" i="2"/>
  <c r="BC61" i="2"/>
  <c r="BB62" i="2"/>
  <c r="O971" i="2"/>
  <c r="O973" i="2" s="1"/>
  <c r="O618" i="2"/>
  <c r="O143" i="2"/>
  <c r="O7" i="2"/>
  <c r="P7" i="2" s="1"/>
  <c r="O79" i="2"/>
  <c r="P79" i="2" s="1"/>
  <c r="O78" i="2"/>
  <c r="P78" i="2" s="1"/>
  <c r="O65" i="2"/>
  <c r="P62" i="2"/>
  <c r="W708" i="2"/>
  <c r="X708" i="2" s="1"/>
  <c r="W690" i="2"/>
  <c r="X669" i="2"/>
  <c r="O972" i="2"/>
  <c r="O619" i="2"/>
  <c r="O114" i="2"/>
  <c r="O8" i="2"/>
  <c r="O128" i="2"/>
  <c r="P128" i="2" s="1"/>
  <c r="P111" i="2"/>
  <c r="O127" i="2"/>
  <c r="P127" i="2" s="1"/>
  <c r="AE972" i="2"/>
  <c r="AE619" i="2"/>
  <c r="AE114" i="2"/>
  <c r="AE8" i="2"/>
  <c r="AF111" i="2"/>
  <c r="AE129" i="2"/>
  <c r="AF129" i="2" s="1"/>
  <c r="BT186" i="2"/>
  <c r="BS186" i="2"/>
  <c r="C369" i="2"/>
  <c r="D369" i="2" s="1"/>
  <c r="C335" i="2"/>
  <c r="C333" i="2"/>
  <c r="D333" i="2" s="1"/>
  <c r="C372" i="2"/>
  <c r="C330" i="2"/>
  <c r="BB328" i="2"/>
  <c r="D328" i="2"/>
  <c r="AI335" i="2"/>
  <c r="AI333" i="2"/>
  <c r="AI330" i="2"/>
  <c r="AJ328" i="2"/>
  <c r="BJ328" i="2"/>
  <c r="BD229" i="2"/>
  <c r="Y974" i="2"/>
  <c r="Y627" i="2"/>
  <c r="Y187" i="2"/>
  <c r="Z184" i="2"/>
  <c r="Y10" i="2"/>
  <c r="Z10" i="2" s="1"/>
  <c r="BI285" i="2"/>
  <c r="AH404" i="2"/>
  <c r="AW555" i="2"/>
  <c r="AX551" i="2"/>
  <c r="BL551" i="2"/>
  <c r="H575" i="2"/>
  <c r="G584" i="2"/>
  <c r="AH575" i="2"/>
  <c r="AG584" i="2"/>
  <c r="AE977" i="2"/>
  <c r="AE632" i="2"/>
  <c r="AE529" i="2"/>
  <c r="AE505" i="2"/>
  <c r="AE497" i="2"/>
  <c r="AF494" i="2"/>
  <c r="AE503" i="2"/>
  <c r="AE500" i="2"/>
  <c r="AE496" i="2"/>
  <c r="AE12" i="2"/>
  <c r="BI491" i="2"/>
  <c r="BL553" i="2"/>
  <c r="BJ559" i="2"/>
  <c r="BK557" i="2"/>
  <c r="Q979" i="2"/>
  <c r="Q633" i="2"/>
  <c r="R559" i="2"/>
  <c r="Q568" i="2"/>
  <c r="Q15" i="2"/>
  <c r="R15" i="2" s="1"/>
  <c r="AF527" i="2"/>
  <c r="AF582" i="2" s="1"/>
  <c r="AE582" i="2"/>
  <c r="AE584" i="2" s="1"/>
  <c r="AH582" i="2"/>
  <c r="K979" i="2"/>
  <c r="K633" i="2"/>
  <c r="L559" i="2"/>
  <c r="K568" i="2"/>
  <c r="K15" i="2"/>
  <c r="L15" i="2" s="1"/>
  <c r="N837" i="2"/>
  <c r="AT823" i="2"/>
  <c r="AS825" i="2"/>
  <c r="AT825" i="2" s="1"/>
  <c r="T735" i="2"/>
  <c r="AV858" i="2"/>
  <c r="AU857" i="2"/>
  <c r="AW858" i="2"/>
  <c r="E925" i="2"/>
  <c r="F925" i="2" s="1"/>
  <c r="E921" i="2"/>
  <c r="F921" i="2" s="1"/>
  <c r="E920" i="2"/>
  <c r="F920" i="2" s="1"/>
  <c r="E919" i="2"/>
  <c r="F919" i="2" s="1"/>
  <c r="F889" i="2"/>
  <c r="E900" i="2"/>
  <c r="E891" i="2"/>
  <c r="E904" i="2" s="1"/>
  <c r="F904" i="2" s="1"/>
  <c r="E870" i="2"/>
  <c r="N870" i="2" s="1"/>
  <c r="E923" i="2"/>
  <c r="E880" i="2"/>
  <c r="E922" i="2"/>
  <c r="L923" i="2"/>
  <c r="G925" i="2"/>
  <c r="H925" i="2" s="1"/>
  <c r="G921" i="2"/>
  <c r="H921" i="2" s="1"/>
  <c r="G920" i="2"/>
  <c r="H920" i="2" s="1"/>
  <c r="G919" i="2"/>
  <c r="H919" i="2" s="1"/>
  <c r="G900" i="2"/>
  <c r="G891" i="2"/>
  <c r="H889" i="2"/>
  <c r="G870" i="2"/>
  <c r="P870" i="2" s="1"/>
  <c r="G880" i="2"/>
  <c r="P880" i="2" s="1"/>
  <c r="G923" i="2"/>
  <c r="G922" i="2"/>
  <c r="H922" i="2" s="1"/>
  <c r="AW874" i="2"/>
  <c r="AV874" i="2"/>
  <c r="BE888" i="2"/>
  <c r="BD889" i="2"/>
  <c r="L925" i="2"/>
  <c r="L921" i="2"/>
  <c r="H711" i="2"/>
  <c r="G712" i="2"/>
  <c r="G733" i="2"/>
  <c r="H733" i="2" s="1"/>
  <c r="BC891" i="2"/>
  <c r="BB903" i="2"/>
  <c r="BC903" i="2" s="1"/>
  <c r="BF48" i="2"/>
  <c r="BG48" i="2" s="1"/>
  <c r="AG613" i="2"/>
  <c r="AH596" i="2"/>
  <c r="C367" i="2"/>
  <c r="D367" i="2" s="1"/>
  <c r="D364" i="2"/>
  <c r="AX258" i="2"/>
  <c r="BL258" i="2"/>
  <c r="AN596" i="2"/>
  <c r="AM613" i="2"/>
  <c r="L10" i="2"/>
  <c r="AA955" i="2"/>
  <c r="AA662" i="2"/>
  <c r="AB187" i="2"/>
  <c r="AA200" i="2"/>
  <c r="AB200" i="2" s="1"/>
  <c r="AN62" i="2"/>
  <c r="T596" i="2"/>
  <c r="S613" i="2"/>
  <c r="BH690" i="2"/>
  <c r="BI669" i="2"/>
  <c r="BH708" i="2"/>
  <c r="BI708" i="2" s="1"/>
  <c r="AR285" i="2"/>
  <c r="AQ277" i="2"/>
  <c r="AQ305" i="2"/>
  <c r="AS285" i="2"/>
  <c r="AD404" i="2"/>
  <c r="AD199" i="2"/>
  <c r="AB708" i="2"/>
  <c r="AP404" i="2"/>
  <c r="AQ404" i="2"/>
  <c r="R607" i="2"/>
  <c r="AH607" i="2"/>
  <c r="BD609" i="2"/>
  <c r="BE609" i="2" s="1"/>
  <c r="BD407" i="2"/>
  <c r="BE391" i="2"/>
  <c r="BD402" i="2"/>
  <c r="BE402" i="2" s="1"/>
  <c r="BD404" i="2"/>
  <c r="BE404" i="2" s="1"/>
  <c r="AQ523" i="2"/>
  <c r="C976" i="2"/>
  <c r="C978" i="2" s="1"/>
  <c r="C630" i="2"/>
  <c r="C417" i="2"/>
  <c r="D417" i="2" s="1"/>
  <c r="C410" i="2"/>
  <c r="C409" i="2"/>
  <c r="D409" i="2" s="1"/>
  <c r="D407" i="2"/>
  <c r="C414" i="2"/>
  <c r="C13" i="2"/>
  <c r="T402" i="2"/>
  <c r="AJ402" i="2"/>
  <c r="U977" i="2"/>
  <c r="U632" i="2"/>
  <c r="AD632" i="2" s="1"/>
  <c r="U529" i="2"/>
  <c r="U500" i="2"/>
  <c r="U496" i="2"/>
  <c r="V496" i="2" s="1"/>
  <c r="U497" i="2"/>
  <c r="V497" i="2" s="1"/>
  <c r="U503" i="2"/>
  <c r="V503" i="2" s="1"/>
  <c r="V494" i="2"/>
  <c r="U12" i="2"/>
  <c r="V12" i="2" s="1"/>
  <c r="BF609" i="2"/>
  <c r="BG609" i="2" s="1"/>
  <c r="BG391" i="2"/>
  <c r="BF407" i="2"/>
  <c r="BF403" i="2"/>
  <c r="BG403" i="2" s="1"/>
  <c r="BF402" i="2"/>
  <c r="BF404" i="2"/>
  <c r="AW343" i="2"/>
  <c r="BD608" i="2"/>
  <c r="BE608" i="2" s="1"/>
  <c r="BE520" i="2"/>
  <c r="BH608" i="2"/>
  <c r="BI608" i="2" s="1"/>
  <c r="BI520" i="2"/>
  <c r="BT471" i="2"/>
  <c r="BS471" i="2"/>
  <c r="T490" i="2"/>
  <c r="T611" i="2"/>
  <c r="AJ492" i="2"/>
  <c r="AQ492" i="2"/>
  <c r="R527" i="2"/>
  <c r="R582" i="2" s="1"/>
  <c r="Q582" i="2"/>
  <c r="Q584" i="2" s="1"/>
  <c r="N489" i="2"/>
  <c r="BD580" i="2"/>
  <c r="BE580" i="2" s="1"/>
  <c r="BE525" i="2"/>
  <c r="AB580" i="2"/>
  <c r="BE527" i="2"/>
  <c r="V580" i="2"/>
  <c r="X582" i="2"/>
  <c r="W567" i="2"/>
  <c r="AF567" i="2" s="1"/>
  <c r="X564" i="2"/>
  <c r="BB939" i="2"/>
  <c r="BC939" i="2" s="1"/>
  <c r="BB905" i="2"/>
  <c r="BC905" i="2" s="1"/>
  <c r="BB906" i="2"/>
  <c r="BC906" i="2" s="1"/>
  <c r="BB927" i="2"/>
  <c r="BC927" i="2" s="1"/>
  <c r="BC731" i="2"/>
  <c r="BB848" i="2"/>
  <c r="BC848" i="2" s="1"/>
  <c r="AB735" i="2"/>
  <c r="P900" i="2"/>
  <c r="O899" i="2"/>
  <c r="P919" i="2"/>
  <c r="AN883" i="2"/>
  <c r="BE935" i="2"/>
  <c r="P10" i="2"/>
  <c r="R62" i="2"/>
  <c r="Q617" i="2"/>
  <c r="Q146" i="2"/>
  <c r="R143" i="2"/>
  <c r="L708" i="2"/>
  <c r="K709" i="2"/>
  <c r="P596" i="2"/>
  <c r="O613" i="2"/>
  <c r="AC596" i="2"/>
  <c r="AD135" i="2"/>
  <c r="AO971" i="2"/>
  <c r="AO973" i="2" s="1"/>
  <c r="AO618" i="2"/>
  <c r="AO143" i="2"/>
  <c r="AO80" i="2"/>
  <c r="AP80" i="2" s="1"/>
  <c r="AO65" i="2"/>
  <c r="AP62" i="2"/>
  <c r="AO7" i="2"/>
  <c r="AP7" i="2" s="1"/>
  <c r="S648" i="2"/>
  <c r="T648" i="2" s="1"/>
  <c r="T627" i="2"/>
  <c r="G143" i="2"/>
  <c r="W952" i="2"/>
  <c r="W660" i="2"/>
  <c r="W79" i="2"/>
  <c r="X79" i="2" s="1"/>
  <c r="X65" i="2"/>
  <c r="W639" i="2"/>
  <c r="X618" i="2"/>
  <c r="BK989" i="2"/>
  <c r="AG974" i="2"/>
  <c r="AG627" i="2"/>
  <c r="AG187" i="2"/>
  <c r="AH184" i="2"/>
  <c r="AG10" i="2"/>
  <c r="AH10" i="2" s="1"/>
  <c r="AV240" i="2"/>
  <c r="AU241" i="2"/>
  <c r="AW240" i="2"/>
  <c r="BB607" i="2"/>
  <c r="BC607" i="2" s="1"/>
  <c r="BB322" i="2"/>
  <c r="BC321" i="2"/>
  <c r="AN607" i="2"/>
  <c r="AR259" i="2"/>
  <c r="R275" i="2"/>
  <c r="Q282" i="2"/>
  <c r="Q288" i="2"/>
  <c r="T489" i="2"/>
  <c r="BJ611" i="2"/>
  <c r="BK611" i="2" s="1"/>
  <c r="BJ494" i="2"/>
  <c r="BK479" i="2"/>
  <c r="BJ492" i="2"/>
  <c r="BK492" i="2" s="1"/>
  <c r="G976" i="2"/>
  <c r="G978" i="2" s="1"/>
  <c r="G630" i="2"/>
  <c r="G417" i="2"/>
  <c r="H417" i="2" s="1"/>
  <c r="G410" i="2"/>
  <c r="G409" i="2"/>
  <c r="H409" i="2" s="1"/>
  <c r="H407" i="2"/>
  <c r="G414" i="2"/>
  <c r="G13" i="2"/>
  <c r="W976" i="2"/>
  <c r="W630" i="2"/>
  <c r="W419" i="2"/>
  <c r="W410" i="2"/>
  <c r="W409" i="2"/>
  <c r="X409" i="2" s="1"/>
  <c r="X407" i="2"/>
  <c r="W414" i="2"/>
  <c r="W417" i="2"/>
  <c r="X417" i="2" s="1"/>
  <c r="W13" i="2"/>
  <c r="AM976" i="2"/>
  <c r="AM978" i="2" s="1"/>
  <c r="AM630" i="2"/>
  <c r="AM419" i="2"/>
  <c r="AM417" i="2"/>
  <c r="AN417" i="2" s="1"/>
  <c r="AM410" i="2"/>
  <c r="AM409" i="2"/>
  <c r="AN407" i="2"/>
  <c r="AM414" i="2"/>
  <c r="AM13" i="2"/>
  <c r="R400" i="2"/>
  <c r="Q401" i="2"/>
  <c r="R401" i="2" s="1"/>
  <c r="AU557" i="2"/>
  <c r="AU612" i="2"/>
  <c r="AV612" i="2" s="1"/>
  <c r="AV548" i="2"/>
  <c r="AU518" i="2"/>
  <c r="AW389" i="2"/>
  <c r="AU391" i="2"/>
  <c r="AV389" i="2"/>
  <c r="BK421" i="2"/>
  <c r="AT492" i="2"/>
  <c r="AS485" i="2"/>
  <c r="T575" i="2"/>
  <c r="S584" i="2"/>
  <c r="Z609" i="2"/>
  <c r="AP609" i="2"/>
  <c r="L401" i="2"/>
  <c r="Y977" i="2"/>
  <c r="Y632" i="2"/>
  <c r="Y505" i="2"/>
  <c r="Y500" i="2"/>
  <c r="Y496" i="2"/>
  <c r="Z496" i="2" s="1"/>
  <c r="Y503" i="2"/>
  <c r="Z503" i="2" s="1"/>
  <c r="Y497" i="2"/>
  <c r="Z497" i="2" s="1"/>
  <c r="Y529" i="2"/>
  <c r="Z494" i="2"/>
  <c r="Y12" i="2"/>
  <c r="Z12" i="2" s="1"/>
  <c r="AQ491" i="2"/>
  <c r="AP491" i="2"/>
  <c r="W977" i="2"/>
  <c r="W632" i="2"/>
  <c r="W529" i="2"/>
  <c r="W505" i="2"/>
  <c r="W497" i="2"/>
  <c r="X497" i="2" s="1"/>
  <c r="X494" i="2"/>
  <c r="W503" i="2"/>
  <c r="X503" i="2" s="1"/>
  <c r="W500" i="2"/>
  <c r="W496" i="2"/>
  <c r="X496" i="2" s="1"/>
  <c r="W12" i="2"/>
  <c r="X12" i="2" s="1"/>
  <c r="AN491" i="2"/>
  <c r="P580" i="2"/>
  <c r="BH527" i="2"/>
  <c r="P582" i="2"/>
  <c r="AN489" i="2"/>
  <c r="AV489" i="2"/>
  <c r="H582" i="2"/>
  <c r="N927" i="2"/>
  <c r="AR735" i="2"/>
  <c r="AJ735" i="2"/>
  <c r="N889" i="2"/>
  <c r="N921" i="2"/>
  <c r="AC925" i="2"/>
  <c r="AD925" i="2" s="1"/>
  <c r="AC921" i="2"/>
  <c r="AD921" i="2" s="1"/>
  <c r="AC920" i="2"/>
  <c r="AD920" i="2" s="1"/>
  <c r="AC919" i="2"/>
  <c r="AD919" i="2" s="1"/>
  <c r="AC900" i="2"/>
  <c r="AD889" i="2"/>
  <c r="AC891" i="2"/>
  <c r="AD891" i="2" s="1"/>
  <c r="AC870" i="2"/>
  <c r="AD870" i="2" s="1"/>
  <c r="AC923" i="2"/>
  <c r="AD923" i="2" s="1"/>
  <c r="AC922" i="2"/>
  <c r="AD922" i="2" s="1"/>
  <c r="AC880" i="2"/>
  <c r="AO926" i="2"/>
  <c r="AO925" i="2"/>
  <c r="AP925" i="2" s="1"/>
  <c r="AO921" i="2"/>
  <c r="AP921" i="2" s="1"/>
  <c r="AO920" i="2"/>
  <c r="AP920" i="2" s="1"/>
  <c r="AO919" i="2"/>
  <c r="AP919" i="2" s="1"/>
  <c r="AP889" i="2"/>
  <c r="AO891" i="2"/>
  <c r="AP891" i="2" s="1"/>
  <c r="AO900" i="2"/>
  <c r="AO870" i="2"/>
  <c r="AO924" i="2"/>
  <c r="AO922" i="2"/>
  <c r="AP922" i="2" s="1"/>
  <c r="AO923" i="2"/>
  <c r="AP923" i="2" s="1"/>
  <c r="N883" i="2"/>
  <c r="BG935" i="2"/>
  <c r="I878" i="2"/>
  <c r="J880" i="2"/>
  <c r="AF404" i="2"/>
  <c r="AB567" i="2"/>
  <c r="BL276" i="2"/>
  <c r="BK199" i="2"/>
  <c r="AL404" i="2"/>
  <c r="M529" i="2"/>
  <c r="M653" i="2"/>
  <c r="N653" i="2" s="1"/>
  <c r="N632" i="2"/>
  <c r="AD497" i="2"/>
  <c r="AC529" i="2"/>
  <c r="L581" i="2"/>
  <c r="BF527" i="2"/>
  <c r="BG527" i="2" s="1"/>
  <c r="N564" i="2"/>
  <c r="M567" i="2"/>
  <c r="N567" i="2" s="1"/>
  <c r="L404" i="2"/>
  <c r="BK923" i="2"/>
  <c r="D18" i="180" l="1"/>
  <c r="D20" i="180"/>
  <c r="D22" i="180" s="1"/>
  <c r="BG404" i="2"/>
  <c r="BE401" i="2"/>
  <c r="M832" i="2"/>
  <c r="N712" i="2"/>
  <c r="I832" i="2"/>
  <c r="J712" i="2"/>
  <c r="R584" i="2"/>
  <c r="Q586" i="2"/>
  <c r="BF617" i="2"/>
  <c r="BF146" i="2"/>
  <c r="AF584" i="2"/>
  <c r="AE586" i="2"/>
  <c r="AL708" i="2"/>
  <c r="AT708" i="2"/>
  <c r="V584" i="2"/>
  <c r="U586" i="2"/>
  <c r="AD584" i="2"/>
  <c r="AC586" i="2"/>
  <c r="BN554" i="2"/>
  <c r="BM554" i="2"/>
  <c r="F584" i="2"/>
  <c r="E586" i="2"/>
  <c r="BB629" i="2"/>
  <c r="BB538" i="2"/>
  <c r="BC538" i="2" s="1"/>
  <c r="BC529" i="2"/>
  <c r="BB536" i="2"/>
  <c r="D584" i="2"/>
  <c r="C586" i="2"/>
  <c r="AH926" i="2"/>
  <c r="AT558" i="2"/>
  <c r="AU558" i="2"/>
  <c r="W629" i="2"/>
  <c r="W539" i="2"/>
  <c r="X539" i="2" s="1"/>
  <c r="W538" i="2"/>
  <c r="W536" i="2"/>
  <c r="X529" i="2"/>
  <c r="AS491" i="2"/>
  <c r="AR491" i="2"/>
  <c r="AQ484" i="2"/>
  <c r="AU609" i="2"/>
  <c r="AV609" i="2" s="1"/>
  <c r="AV391" i="2"/>
  <c r="AN410" i="2"/>
  <c r="AM413" i="2"/>
  <c r="AV410" i="2"/>
  <c r="AP870" i="2"/>
  <c r="AX870" i="2"/>
  <c r="AP926" i="2"/>
  <c r="AC899" i="2"/>
  <c r="AD900" i="2"/>
  <c r="BI527" i="2"/>
  <c r="T584" i="2"/>
  <c r="S586" i="2"/>
  <c r="AV518" i="2"/>
  <c r="AU520" i="2"/>
  <c r="X410" i="2"/>
  <c r="W413" i="2"/>
  <c r="G14" i="2"/>
  <c r="H14" i="2" s="1"/>
  <c r="H13" i="2"/>
  <c r="G421" i="2"/>
  <c r="H410" i="2"/>
  <c r="G413" i="2"/>
  <c r="H413" i="2" s="1"/>
  <c r="AV241" i="2"/>
  <c r="AG955" i="2"/>
  <c r="AG662" i="2"/>
  <c r="AG200" i="2"/>
  <c r="AH187" i="2"/>
  <c r="AO639" i="2"/>
  <c r="AP618" i="2"/>
  <c r="O614" i="2"/>
  <c r="P613" i="2"/>
  <c r="C957" i="2"/>
  <c r="C665" i="2"/>
  <c r="C536" i="2"/>
  <c r="C418" i="2"/>
  <c r="D418" i="2" s="1"/>
  <c r="C420" i="2"/>
  <c r="D414" i="2"/>
  <c r="D420" i="2" s="1"/>
  <c r="AS305" i="2"/>
  <c r="AU285" i="2"/>
  <c r="AT285" i="2"/>
  <c r="AS277" i="2"/>
  <c r="AT277" i="2" s="1"/>
  <c r="S614" i="2"/>
  <c r="T613" i="2"/>
  <c r="AM614" i="2"/>
  <c r="AN613" i="2"/>
  <c r="G832" i="2"/>
  <c r="H712" i="2"/>
  <c r="BD928" i="2"/>
  <c r="BF891" i="2"/>
  <c r="BE889" i="2"/>
  <c r="BD920" i="2"/>
  <c r="BD921" i="2"/>
  <c r="BD919" i="2"/>
  <c r="BG889" i="2"/>
  <c r="BD923" i="2"/>
  <c r="BD891" i="2"/>
  <c r="BE891" i="2" s="1"/>
  <c r="BD922" i="2"/>
  <c r="E878" i="2"/>
  <c r="F880" i="2"/>
  <c r="N880" i="2"/>
  <c r="E899" i="2"/>
  <c r="F899" i="2" s="1"/>
  <c r="F900" i="2"/>
  <c r="AV857" i="2"/>
  <c r="AU727" i="2"/>
  <c r="BN553" i="2"/>
  <c r="BM553" i="2"/>
  <c r="AE958" i="2"/>
  <c r="AE666" i="2"/>
  <c r="AE504" i="2"/>
  <c r="AF500" i="2"/>
  <c r="AE506" i="2"/>
  <c r="AH584" i="2"/>
  <c r="AG586" i="2"/>
  <c r="BL555" i="2"/>
  <c r="BM555" i="2" s="1"/>
  <c r="BN551" i="2"/>
  <c r="BM551" i="2"/>
  <c r="AJ333" i="2"/>
  <c r="AR333" i="2"/>
  <c r="C975" i="2"/>
  <c r="C628" i="2"/>
  <c r="D330" i="2"/>
  <c r="C339" i="2"/>
  <c r="C11" i="2"/>
  <c r="D11" i="2" s="1"/>
  <c r="AE640" i="2"/>
  <c r="AE678" i="2"/>
  <c r="AF619" i="2"/>
  <c r="BB971" i="2"/>
  <c r="BB618" i="2"/>
  <c r="BB79" i="2"/>
  <c r="BC79" i="2" s="1"/>
  <c r="BC62" i="2"/>
  <c r="BB65" i="2"/>
  <c r="BB7" i="2"/>
  <c r="BC7" i="2" s="1"/>
  <c r="BJ596" i="2"/>
  <c r="BJ143" i="2"/>
  <c r="BK135" i="2"/>
  <c r="BH596" i="2"/>
  <c r="BH143" i="2"/>
  <c r="BI135" i="2"/>
  <c r="W614" i="2"/>
  <c r="X613" i="2"/>
  <c r="AN582" i="2"/>
  <c r="AA629" i="2"/>
  <c r="AA538" i="2"/>
  <c r="AA536" i="2"/>
  <c r="AA539" i="2"/>
  <c r="AB539" i="2" s="1"/>
  <c r="AB529" i="2"/>
  <c r="AA653" i="2"/>
  <c r="AB632" i="2"/>
  <c r="P584" i="2"/>
  <c r="O586" i="2"/>
  <c r="BE607" i="2"/>
  <c r="U648" i="2"/>
  <c r="V627" i="2"/>
  <c r="AW86" i="2"/>
  <c r="AX86" i="2" s="1"/>
  <c r="AX85" i="2"/>
  <c r="M967" i="2"/>
  <c r="M985" i="2" s="1"/>
  <c r="M904" i="2"/>
  <c r="N904" i="2" s="1"/>
  <c r="M850" i="2"/>
  <c r="N709" i="2"/>
  <c r="M836" i="2"/>
  <c r="N836" i="2" s="1"/>
  <c r="AO614" i="2"/>
  <c r="AP613" i="2"/>
  <c r="BJ648" i="2"/>
  <c r="BI863" i="2"/>
  <c r="BH864" i="2"/>
  <c r="BH937" i="2"/>
  <c r="AR819" i="2"/>
  <c r="Z13" i="2"/>
  <c r="Y14" i="2"/>
  <c r="Y978" i="2"/>
  <c r="I421" i="2"/>
  <c r="I413" i="2"/>
  <c r="J413" i="2" s="1"/>
  <c r="J410" i="2"/>
  <c r="AS608" i="2"/>
  <c r="AT608" i="2" s="1"/>
  <c r="AT520" i="2"/>
  <c r="BM390" i="2"/>
  <c r="BN390" i="2"/>
  <c r="AK338" i="2"/>
  <c r="AL335" i="2"/>
  <c r="U338" i="2"/>
  <c r="V335" i="2"/>
  <c r="E338" i="2"/>
  <c r="F338" i="2" s="1"/>
  <c r="F335" i="2"/>
  <c r="S958" i="2"/>
  <c r="S666" i="2"/>
  <c r="S504" i="2"/>
  <c r="T500" i="2"/>
  <c r="BI403" i="2"/>
  <c r="T307" i="2"/>
  <c r="T308" i="2"/>
  <c r="S952" i="2"/>
  <c r="S660" i="2"/>
  <c r="S79" i="2"/>
  <c r="T79" i="2" s="1"/>
  <c r="T65" i="2"/>
  <c r="S960" i="2"/>
  <c r="S667" i="2"/>
  <c r="T568" i="2"/>
  <c r="U960" i="2"/>
  <c r="U667" i="2"/>
  <c r="V568" i="2"/>
  <c r="AO653" i="2"/>
  <c r="AP632" i="2"/>
  <c r="AH409" i="2"/>
  <c r="AG957" i="2"/>
  <c r="AG665" i="2"/>
  <c r="AG418" i="2"/>
  <c r="AG420" i="2"/>
  <c r="AH414" i="2"/>
  <c r="Q957" i="2"/>
  <c r="Q665" i="2"/>
  <c r="Q418" i="2"/>
  <c r="R414" i="2"/>
  <c r="R420" i="2" s="1"/>
  <c r="BK322" i="2"/>
  <c r="BH372" i="2"/>
  <c r="BH330" i="2"/>
  <c r="BH332" i="2"/>
  <c r="BH335" i="2" s="1"/>
  <c r="BH338" i="2" s="1"/>
  <c r="BI328" i="2"/>
  <c r="AA338" i="2"/>
  <c r="AB335" i="2"/>
  <c r="T264" i="2"/>
  <c r="U257" i="2"/>
  <c r="S266" i="2"/>
  <c r="AW875" i="2"/>
  <c r="AX873" i="2"/>
  <c r="BL873" i="2"/>
  <c r="Q629" i="2"/>
  <c r="Q536" i="2"/>
  <c r="Q538" i="2"/>
  <c r="R529" i="2"/>
  <c r="Q653" i="2"/>
  <c r="R632" i="2"/>
  <c r="BU469" i="2"/>
  <c r="BV469" i="2"/>
  <c r="AC413" i="2"/>
  <c r="AD410" i="2"/>
  <c r="AC651" i="2"/>
  <c r="AD630" i="2"/>
  <c r="M651" i="2"/>
  <c r="N651" i="2" s="1"/>
  <c r="N630" i="2"/>
  <c r="AO338" i="2"/>
  <c r="AP335" i="2"/>
  <c r="G985" i="2"/>
  <c r="AW293" i="2"/>
  <c r="AX293" i="2" s="1"/>
  <c r="AX276" i="2"/>
  <c r="R68" i="2"/>
  <c r="Q70" i="2"/>
  <c r="R70" i="2" s="1"/>
  <c r="AD12" i="2"/>
  <c r="AO938" i="2"/>
  <c r="AP878" i="2"/>
  <c r="AO936" i="2"/>
  <c r="AO655" i="2"/>
  <c r="AO686" i="2"/>
  <c r="AP633" i="2"/>
  <c r="AN503" i="2"/>
  <c r="G653" i="2"/>
  <c r="H653" i="2" s="1"/>
  <c r="H632" i="2"/>
  <c r="AQ395" i="2"/>
  <c r="AS402" i="2"/>
  <c r="AR402" i="2"/>
  <c r="Q955" i="2"/>
  <c r="Q662" i="2"/>
  <c r="Q200" i="2"/>
  <c r="R187" i="2"/>
  <c r="BB617" i="2"/>
  <c r="BB146" i="2"/>
  <c r="BC143" i="2"/>
  <c r="E364" i="2"/>
  <c r="E361" i="2"/>
  <c r="F361" i="2" s="1"/>
  <c r="E360" i="2"/>
  <c r="F360" i="2" s="1"/>
  <c r="F212" i="2"/>
  <c r="E365" i="2"/>
  <c r="F365" i="2" s="1"/>
  <c r="E366" i="2"/>
  <c r="F366" i="2" s="1"/>
  <c r="E359" i="2"/>
  <c r="P662" i="2"/>
  <c r="P925" i="2"/>
  <c r="E421" i="2"/>
  <c r="F421" i="2" s="1"/>
  <c r="E413" i="2"/>
  <c r="F413" i="2" s="1"/>
  <c r="F410" i="2"/>
  <c r="E978" i="2"/>
  <c r="BR155" i="2"/>
  <c r="BQ155" i="2"/>
  <c r="AX226" i="2"/>
  <c r="AW297" i="2"/>
  <c r="AX297" i="2" s="1"/>
  <c r="BL226" i="2"/>
  <c r="BH972" i="2"/>
  <c r="BH619" i="2"/>
  <c r="BH8" i="2"/>
  <c r="BI111" i="2"/>
  <c r="BH114" i="2"/>
  <c r="C952" i="2"/>
  <c r="C660" i="2"/>
  <c r="D65" i="2"/>
  <c r="C980" i="2"/>
  <c r="BK598" i="2"/>
  <c r="W878" i="2"/>
  <c r="X880" i="2"/>
  <c r="AL922" i="2"/>
  <c r="AL891" i="2"/>
  <c r="AL920" i="2"/>
  <c r="BT817" i="2"/>
  <c r="BS817" i="2"/>
  <c r="AI960" i="2"/>
  <c r="AI667" i="2"/>
  <c r="AJ568" i="2"/>
  <c r="P12" i="2"/>
  <c r="P503" i="2"/>
  <c r="O957" i="2"/>
  <c r="O665" i="2"/>
  <c r="O418" i="2"/>
  <c r="P414" i="2"/>
  <c r="P420" i="2" s="1"/>
  <c r="P417" i="2"/>
  <c r="AC975" i="2"/>
  <c r="AC628" i="2"/>
  <c r="AC355" i="2"/>
  <c r="AD355" i="2" s="1"/>
  <c r="AC339" i="2"/>
  <c r="AD330" i="2"/>
  <c r="AC11" i="2"/>
  <c r="M338" i="2"/>
  <c r="N338" i="2" s="1"/>
  <c r="N335" i="2"/>
  <c r="BI322" i="2"/>
  <c r="W975" i="2"/>
  <c r="W628" i="2"/>
  <c r="X330" i="2"/>
  <c r="W355" i="2"/>
  <c r="X355" i="2" s="1"/>
  <c r="W339" i="2"/>
  <c r="W11" i="2"/>
  <c r="T234" i="2"/>
  <c r="T235" i="2"/>
  <c r="S338" i="2"/>
  <c r="T335" i="2"/>
  <c r="BD129" i="2"/>
  <c r="BE104" i="2"/>
  <c r="AJ200" i="2"/>
  <c r="AO9" i="2"/>
  <c r="AP8" i="2"/>
  <c r="Y678" i="2"/>
  <c r="Y640" i="2"/>
  <c r="Z619" i="2"/>
  <c r="I953" i="2"/>
  <c r="I661" i="2"/>
  <c r="J114" i="2"/>
  <c r="Y952" i="2"/>
  <c r="Y660" i="2"/>
  <c r="Y79" i="2"/>
  <c r="Z79" i="2" s="1"/>
  <c r="Z65" i="2"/>
  <c r="Y973" i="2"/>
  <c r="BH257" i="2"/>
  <c r="BG264" i="2"/>
  <c r="C878" i="2"/>
  <c r="L878" i="2" s="1"/>
  <c r="D880" i="2"/>
  <c r="BL888" i="2"/>
  <c r="BM888" i="2" s="1"/>
  <c r="BM859" i="2"/>
  <c r="BN859" i="2"/>
  <c r="BJ864" i="2"/>
  <c r="BK863" i="2"/>
  <c r="BJ937" i="2"/>
  <c r="BK937" i="2" s="1"/>
  <c r="K938" i="2"/>
  <c r="K936" i="2"/>
  <c r="K924" i="2"/>
  <c r="K926" i="2"/>
  <c r="Z825" i="2"/>
  <c r="AH825" i="2"/>
  <c r="K958" i="2"/>
  <c r="K666" i="2"/>
  <c r="K504" i="2"/>
  <c r="L500" i="2"/>
  <c r="K14" i="2"/>
  <c r="L13" i="2"/>
  <c r="K421" i="2"/>
  <c r="L410" i="2"/>
  <c r="K413" i="2"/>
  <c r="Y975" i="2"/>
  <c r="Y628" i="2"/>
  <c r="Y355" i="2"/>
  <c r="Z355" i="2" s="1"/>
  <c r="Y339" i="2"/>
  <c r="Z330" i="2"/>
  <c r="Y11" i="2"/>
  <c r="AK955" i="2"/>
  <c r="AK662" i="2"/>
  <c r="AK200" i="2"/>
  <c r="AL187" i="2"/>
  <c r="AB65" i="2"/>
  <c r="BF974" i="2"/>
  <c r="BF627" i="2"/>
  <c r="BG184" i="2"/>
  <c r="BF187" i="2"/>
  <c r="BF10" i="2"/>
  <c r="AK9" i="2"/>
  <c r="AL8" i="2"/>
  <c r="AN662" i="2"/>
  <c r="N12" i="2"/>
  <c r="AA686" i="2"/>
  <c r="AA655" i="2"/>
  <c r="AB633" i="2"/>
  <c r="N899" i="2"/>
  <c r="BK609" i="2"/>
  <c r="AV268" i="2"/>
  <c r="AW268" i="2"/>
  <c r="AU259" i="2"/>
  <c r="G975" i="2"/>
  <c r="G628" i="2"/>
  <c r="H330" i="2"/>
  <c r="G339" i="2"/>
  <c r="G11" i="2"/>
  <c r="H11" i="2" s="1"/>
  <c r="AN129" i="2"/>
  <c r="X8" i="2"/>
  <c r="W9" i="2"/>
  <c r="G953" i="2"/>
  <c r="G954" i="2" s="1"/>
  <c r="G661" i="2"/>
  <c r="H114" i="2"/>
  <c r="AX232" i="2"/>
  <c r="AW223" i="2"/>
  <c r="AX223" i="2" s="1"/>
  <c r="AG953" i="2"/>
  <c r="AG661" i="2"/>
  <c r="AH114" i="2"/>
  <c r="AG128" i="2"/>
  <c r="AG678" i="2"/>
  <c r="AG640" i="2"/>
  <c r="AH640" i="2" s="1"/>
  <c r="AH619" i="2"/>
  <c r="Q9" i="2"/>
  <c r="R8" i="2"/>
  <c r="AV870" i="2"/>
  <c r="AN870" i="2"/>
  <c r="X562" i="2"/>
  <c r="C960" i="2"/>
  <c r="C667" i="2"/>
  <c r="D568" i="2"/>
  <c r="AJ503" i="2"/>
  <c r="C653" i="2"/>
  <c r="D653" i="2" s="1"/>
  <c r="D632" i="2"/>
  <c r="AG958" i="2"/>
  <c r="AG666" i="2"/>
  <c r="AH500" i="2"/>
  <c r="AG504" i="2"/>
  <c r="AG506" i="2"/>
  <c r="AK14" i="2"/>
  <c r="AL13" i="2"/>
  <c r="AK978" i="2"/>
  <c r="U413" i="2"/>
  <c r="V410" i="2"/>
  <c r="U978" i="2"/>
  <c r="AK629" i="2"/>
  <c r="AK539" i="2"/>
  <c r="AK536" i="2"/>
  <c r="AK538" i="2"/>
  <c r="AL529" i="2"/>
  <c r="N401" i="2"/>
  <c r="AI957" i="2"/>
  <c r="AI665" i="2"/>
  <c r="AI418" i="2"/>
  <c r="AI420" i="2"/>
  <c r="AJ414" i="2"/>
  <c r="AJ410" i="2"/>
  <c r="AI413" i="2"/>
  <c r="AR410" i="2"/>
  <c r="S957" i="2"/>
  <c r="S959" i="2" s="1"/>
  <c r="S665" i="2"/>
  <c r="S418" i="2"/>
  <c r="T414" i="2"/>
  <c r="T420" i="2" s="1"/>
  <c r="T417" i="2"/>
  <c r="AD10" i="2"/>
  <c r="M648" i="2"/>
  <c r="N648" i="2" s="1"/>
  <c r="N627" i="2"/>
  <c r="AJ8" i="2"/>
  <c r="AI9" i="2"/>
  <c r="AI678" i="2"/>
  <c r="AI640" i="2"/>
  <c r="AJ619" i="2"/>
  <c r="D8" i="2"/>
  <c r="C9" i="2"/>
  <c r="C640" i="2"/>
  <c r="D640" i="2" s="1"/>
  <c r="D619" i="2"/>
  <c r="AB648" i="2"/>
  <c r="D662" i="2"/>
  <c r="AK952" i="2"/>
  <c r="AK660" i="2"/>
  <c r="AL65" i="2"/>
  <c r="AK79" i="2"/>
  <c r="AK639" i="2"/>
  <c r="AL618" i="2"/>
  <c r="AC953" i="2"/>
  <c r="AC661" i="2"/>
  <c r="AD114" i="2"/>
  <c r="AC128" i="2"/>
  <c r="M9" i="2"/>
  <c r="N8" i="2"/>
  <c r="M640" i="2"/>
  <c r="N619" i="2"/>
  <c r="AF662" i="2"/>
  <c r="AH922" i="2"/>
  <c r="AH921" i="2"/>
  <c r="BE735" i="2"/>
  <c r="BG735" i="2"/>
  <c r="BG581" i="2"/>
  <c r="AS482" i="2"/>
  <c r="AT489" i="2"/>
  <c r="K975" i="2"/>
  <c r="K628" i="2"/>
  <c r="L330" i="2"/>
  <c r="K339" i="2"/>
  <c r="K11" i="2"/>
  <c r="L11" i="2" s="1"/>
  <c r="AE973" i="2"/>
  <c r="BD974" i="2"/>
  <c r="BE974" i="2" s="1"/>
  <c r="BD627" i="2"/>
  <c r="BE184" i="2"/>
  <c r="BD187" i="2"/>
  <c r="BD10" i="2"/>
  <c r="BE10" i="2" s="1"/>
  <c r="AG617" i="2"/>
  <c r="AG146" i="2"/>
  <c r="AH143" i="2"/>
  <c r="BJ971" i="2"/>
  <c r="BJ618" i="2"/>
  <c r="BK62" i="2"/>
  <c r="BJ65" i="2"/>
  <c r="BJ7" i="2"/>
  <c r="BF154" i="2"/>
  <c r="BE159" i="2"/>
  <c r="BD160" i="2"/>
  <c r="AI973" i="2"/>
  <c r="AB880" i="2"/>
  <c r="AA878" i="2"/>
  <c r="AF923" i="2"/>
  <c r="AF870" i="2"/>
  <c r="AF925" i="2"/>
  <c r="AF921" i="2"/>
  <c r="G960" i="2"/>
  <c r="G667" i="2"/>
  <c r="H568" i="2"/>
  <c r="AD15" i="2"/>
  <c r="AO584" i="2"/>
  <c r="P333" i="2"/>
  <c r="BG607" i="2"/>
  <c r="BH239" i="2"/>
  <c r="BG246" i="2"/>
  <c r="U239" i="2"/>
  <c r="T246" i="2"/>
  <c r="S248" i="2"/>
  <c r="AA953" i="2"/>
  <c r="AA661" i="2"/>
  <c r="AA128" i="2"/>
  <c r="AB114" i="2"/>
  <c r="K638" i="2"/>
  <c r="I614" i="2"/>
  <c r="J613" i="2"/>
  <c r="U638" i="2"/>
  <c r="BQ474" i="2"/>
  <c r="BL85" i="2"/>
  <c r="AX900" i="2"/>
  <c r="AO899" i="2"/>
  <c r="AP900" i="2"/>
  <c r="W958" i="2"/>
  <c r="W666" i="2"/>
  <c r="W504" i="2"/>
  <c r="X500" i="2"/>
  <c r="W506" i="2"/>
  <c r="Y629" i="2"/>
  <c r="Y536" i="2"/>
  <c r="Y539" i="2"/>
  <c r="Z539" i="2" s="1"/>
  <c r="Y538" i="2"/>
  <c r="Z538" i="2" s="1"/>
  <c r="Z529" i="2"/>
  <c r="Y958" i="2"/>
  <c r="Y666" i="2"/>
  <c r="Z500" i="2"/>
  <c r="Y504" i="2"/>
  <c r="Y506" i="2"/>
  <c r="AN409" i="2"/>
  <c r="AV409" i="2"/>
  <c r="AM651" i="2"/>
  <c r="AN630" i="2"/>
  <c r="W957" i="2"/>
  <c r="W665" i="2"/>
  <c r="W420" i="2"/>
  <c r="X414" i="2"/>
  <c r="X420" i="2" s="1"/>
  <c r="W418" i="2"/>
  <c r="X418" i="2" s="1"/>
  <c r="G957" i="2"/>
  <c r="G665" i="2"/>
  <c r="G536" i="2"/>
  <c r="G418" i="2"/>
  <c r="H418" i="2" s="1"/>
  <c r="G420" i="2"/>
  <c r="H414" i="2"/>
  <c r="H420" i="2" s="1"/>
  <c r="BB355" i="2"/>
  <c r="BC355" i="2" s="1"/>
  <c r="BC322" i="2"/>
  <c r="AG648" i="2"/>
  <c r="AH627" i="2"/>
  <c r="AO952" i="2"/>
  <c r="AO660" i="2"/>
  <c r="AP65" i="2"/>
  <c r="AO79" i="2"/>
  <c r="Q659" i="2"/>
  <c r="Q148" i="2"/>
  <c r="AR492" i="2"/>
  <c r="AQ485" i="2"/>
  <c r="BF976" i="2"/>
  <c r="BF630" i="2"/>
  <c r="BF414" i="2"/>
  <c r="BG407" i="2"/>
  <c r="BF417" i="2"/>
  <c r="BF13" i="2"/>
  <c r="U958" i="2"/>
  <c r="U666" i="2"/>
  <c r="V500" i="2"/>
  <c r="U504" i="2"/>
  <c r="V504" i="2" s="1"/>
  <c r="C651" i="2"/>
  <c r="D651" i="2" s="1"/>
  <c r="D630" i="2"/>
  <c r="AB662" i="2"/>
  <c r="F923" i="2"/>
  <c r="N923" i="2"/>
  <c r="K960" i="2"/>
  <c r="K667" i="2"/>
  <c r="L568" i="2"/>
  <c r="Q960" i="2"/>
  <c r="Q667" i="2"/>
  <c r="R568" i="2"/>
  <c r="AF503" i="2"/>
  <c r="AE629" i="2"/>
  <c r="AE539" i="2"/>
  <c r="AF539" i="2" s="1"/>
  <c r="AE538" i="2"/>
  <c r="AF538" i="2" s="1"/>
  <c r="AE536" i="2"/>
  <c r="AF529" i="2"/>
  <c r="Y955" i="2"/>
  <c r="Y662" i="2"/>
  <c r="Y200" i="2"/>
  <c r="Z200" i="2" s="1"/>
  <c r="Z187" i="2"/>
  <c r="BJ372" i="2"/>
  <c r="BK372" i="2" s="1"/>
  <c r="BJ332" i="2"/>
  <c r="BK332" i="2" s="1"/>
  <c r="BK328" i="2"/>
  <c r="BJ330" i="2"/>
  <c r="AI338" i="2"/>
  <c r="AJ338" i="2" s="1"/>
  <c r="AJ335" i="2"/>
  <c r="P8" i="2"/>
  <c r="O9" i="2"/>
  <c r="O952" i="2"/>
  <c r="O660" i="2"/>
  <c r="P65" i="2"/>
  <c r="O617" i="2"/>
  <c r="O146" i="2"/>
  <c r="P143" i="2"/>
  <c r="BH983" i="2"/>
  <c r="BH575" i="2"/>
  <c r="BI573" i="2"/>
  <c r="BI983" i="2" s="1"/>
  <c r="AQ979" i="2"/>
  <c r="AQ633" i="2"/>
  <c r="AQ568" i="2"/>
  <c r="AR559" i="2"/>
  <c r="AQ15" i="2"/>
  <c r="AR15" i="2" s="1"/>
  <c r="Y960" i="2"/>
  <c r="Y667" i="2"/>
  <c r="Z568" i="2"/>
  <c r="BS470" i="2"/>
  <c r="BT470" i="2"/>
  <c r="BG40" i="2"/>
  <c r="BH34" i="2"/>
  <c r="BE578" i="2"/>
  <c r="BD582" i="2"/>
  <c r="AD500" i="2"/>
  <c r="BB648" i="2"/>
  <c r="BC648" i="2" s="1"/>
  <c r="BC627" i="2"/>
  <c r="AK960" i="2"/>
  <c r="AK667" i="2"/>
  <c r="AL568" i="2"/>
  <c r="AP409" i="2"/>
  <c r="AX409" i="2"/>
  <c r="AO957" i="2"/>
  <c r="AO665" i="2"/>
  <c r="AO418" i="2"/>
  <c r="AP418" i="2" s="1"/>
  <c r="AO420" i="2"/>
  <c r="AP414" i="2"/>
  <c r="J13" i="2"/>
  <c r="I14" i="2"/>
  <c r="J14" i="2" s="1"/>
  <c r="AB584" i="2"/>
  <c r="AA586" i="2"/>
  <c r="BN547" i="2"/>
  <c r="BM547" i="2"/>
  <c r="AK975" i="2"/>
  <c r="AK628" i="2"/>
  <c r="AK355" i="2"/>
  <c r="AL355" i="2" s="1"/>
  <c r="AK339" i="2"/>
  <c r="AL330" i="2"/>
  <c r="AK11" i="2"/>
  <c r="AL11" i="2" s="1"/>
  <c r="U975" i="2"/>
  <c r="U980" i="2" s="1"/>
  <c r="U628" i="2"/>
  <c r="U339" i="2"/>
  <c r="V330" i="2"/>
  <c r="U11" i="2"/>
  <c r="W617" i="2"/>
  <c r="W146" i="2"/>
  <c r="X143" i="2"/>
  <c r="BB979" i="2"/>
  <c r="BC979" i="2" s="1"/>
  <c r="BB568" i="2"/>
  <c r="BB633" i="2"/>
  <c r="BC559" i="2"/>
  <c r="BB15" i="2"/>
  <c r="BC15" i="2" s="1"/>
  <c r="S629" i="2"/>
  <c r="S538" i="2"/>
  <c r="S536" i="2"/>
  <c r="T529" i="2"/>
  <c r="S653" i="2"/>
  <c r="T632" i="2"/>
  <c r="Z584" i="2"/>
  <c r="Y586" i="2"/>
  <c r="E958" i="2"/>
  <c r="E666" i="2"/>
  <c r="F500" i="2"/>
  <c r="E506" i="2"/>
  <c r="E504" i="2"/>
  <c r="F504" i="2" s="1"/>
  <c r="BF582" i="2"/>
  <c r="BG582" i="2" s="1"/>
  <c r="BG578" i="2"/>
  <c r="AC617" i="2"/>
  <c r="AC146" i="2"/>
  <c r="AD143" i="2"/>
  <c r="T90" i="2"/>
  <c r="S92" i="2"/>
  <c r="U84" i="2"/>
  <c r="S938" i="2"/>
  <c r="T938" i="2" s="1"/>
  <c r="T878" i="2"/>
  <c r="S936" i="2"/>
  <c r="T936" i="2" s="1"/>
  <c r="S926" i="2"/>
  <c r="T926" i="2" s="1"/>
  <c r="S924" i="2"/>
  <c r="T924" i="2" s="1"/>
  <c r="U899" i="2"/>
  <c r="V899" i="2" s="1"/>
  <c r="V900" i="2"/>
  <c r="C832" i="2"/>
  <c r="D712" i="2"/>
  <c r="BB712" i="2"/>
  <c r="BF977" i="2"/>
  <c r="BF632" i="2"/>
  <c r="BF503" i="2"/>
  <c r="BF529" i="2"/>
  <c r="BF500" i="2"/>
  <c r="BG494" i="2"/>
  <c r="BF12" i="2"/>
  <c r="AG413" i="2"/>
  <c r="AH410" i="2"/>
  <c r="AG651" i="2"/>
  <c r="AH630" i="2"/>
  <c r="R409" i="2"/>
  <c r="Q651" i="2"/>
  <c r="R630" i="2"/>
  <c r="BB976" i="2"/>
  <c r="BB630" i="2"/>
  <c r="BB414" i="2"/>
  <c r="BC407" i="2"/>
  <c r="BB417" i="2"/>
  <c r="BC417" i="2" s="1"/>
  <c r="BB13" i="2"/>
  <c r="BP479" i="2"/>
  <c r="BQ477" i="2"/>
  <c r="BR477" i="2"/>
  <c r="BF972" i="2"/>
  <c r="BF619" i="2"/>
  <c r="BG111" i="2"/>
  <c r="BF8" i="2"/>
  <c r="BF114" i="2"/>
  <c r="AV875" i="2"/>
  <c r="I655" i="2"/>
  <c r="J655" i="2" s="1"/>
  <c r="J633" i="2"/>
  <c r="AC14" i="2"/>
  <c r="AD13" i="2"/>
  <c r="M421" i="2"/>
  <c r="M413" i="2"/>
  <c r="N413" i="2" s="1"/>
  <c r="N410" i="2"/>
  <c r="AX333" i="2"/>
  <c r="AP333" i="2"/>
  <c r="BP36" i="2"/>
  <c r="BR35" i="2"/>
  <c r="BQ35" i="2"/>
  <c r="U953" i="2"/>
  <c r="U661" i="2"/>
  <c r="U128" i="2"/>
  <c r="V128" i="2" s="1"/>
  <c r="V114" i="2"/>
  <c r="AM960" i="2"/>
  <c r="AM667" i="2"/>
  <c r="AN568" i="2"/>
  <c r="M960" i="2"/>
  <c r="M667" i="2"/>
  <c r="N568" i="2"/>
  <c r="N496" i="2"/>
  <c r="BF864" i="2"/>
  <c r="BG863" i="2"/>
  <c r="BF937" i="2"/>
  <c r="N919" i="2"/>
  <c r="AG960" i="2"/>
  <c r="AG667" i="2"/>
  <c r="AH568" i="2"/>
  <c r="AP15" i="2"/>
  <c r="O567" i="2"/>
  <c r="P567" i="2" s="1"/>
  <c r="P564" i="2"/>
  <c r="AM629" i="2"/>
  <c r="AM539" i="2"/>
  <c r="AN539" i="2" s="1"/>
  <c r="AM538" i="2"/>
  <c r="AN538" i="2" s="1"/>
  <c r="AM536" i="2"/>
  <c r="AN529" i="2"/>
  <c r="BH976" i="2"/>
  <c r="BH630" i="2"/>
  <c r="BH417" i="2"/>
  <c r="BI417" i="2" s="1"/>
  <c r="BH414" i="2"/>
  <c r="BI407" i="2"/>
  <c r="BH13" i="2"/>
  <c r="Q648" i="2"/>
  <c r="R627" i="2"/>
  <c r="BN708" i="2"/>
  <c r="BO708" i="2" s="1"/>
  <c r="BN690" i="2"/>
  <c r="BO669" i="2"/>
  <c r="BB613" i="2"/>
  <c r="BC596" i="2"/>
  <c r="W686" i="2"/>
  <c r="W655" i="2"/>
  <c r="AE960" i="2"/>
  <c r="AE667" i="2"/>
  <c r="AF568" i="2"/>
  <c r="AX554" i="2"/>
  <c r="BI535" i="2"/>
  <c r="E14" i="2"/>
  <c r="F14" i="2" s="1"/>
  <c r="F13" i="2"/>
  <c r="AU394" i="2"/>
  <c r="AG975" i="2"/>
  <c r="AG628" i="2"/>
  <c r="AG355" i="2"/>
  <c r="AH355" i="2" s="1"/>
  <c r="AG339" i="2"/>
  <c r="AH330" i="2"/>
  <c r="AG11" i="2"/>
  <c r="AH11" i="2" s="1"/>
  <c r="Q975" i="2"/>
  <c r="Q980" i="2" s="1"/>
  <c r="Q628" i="2"/>
  <c r="Q354" i="2"/>
  <c r="R354" i="2" s="1"/>
  <c r="Q339" i="2"/>
  <c r="Q351" i="2"/>
  <c r="R351" i="2" s="1"/>
  <c r="R330" i="2"/>
  <c r="Q11" i="2"/>
  <c r="AE975" i="2"/>
  <c r="AE628" i="2"/>
  <c r="AF330" i="2"/>
  <c r="AE355" i="2"/>
  <c r="AF355" i="2" s="1"/>
  <c r="AE339" i="2"/>
  <c r="AE11" i="2"/>
  <c r="AF11" i="2" s="1"/>
  <c r="C614" i="2"/>
  <c r="D613" i="2"/>
  <c r="BF971" i="2"/>
  <c r="BF618" i="2"/>
  <c r="BF7" i="2"/>
  <c r="BG62" i="2"/>
  <c r="BF65" i="2"/>
  <c r="L662" i="2"/>
  <c r="Q119" i="2"/>
  <c r="R119" i="2" s="1"/>
  <c r="R117" i="2"/>
  <c r="Q614" i="2"/>
  <c r="R613" i="2"/>
  <c r="Y938" i="2"/>
  <c r="Z878" i="2"/>
  <c r="Y936" i="2"/>
  <c r="AK878" i="2"/>
  <c r="AL880" i="2"/>
  <c r="AT900" i="2"/>
  <c r="AK899" i="2"/>
  <c r="AL900" i="2"/>
  <c r="AL921" i="2"/>
  <c r="AV823" i="2"/>
  <c r="AU825" i="2"/>
  <c r="AV825" i="2" s="1"/>
  <c r="AI686" i="2"/>
  <c r="AJ633" i="2"/>
  <c r="AI655" i="2"/>
  <c r="AJ655" i="2" s="1"/>
  <c r="V567" i="2"/>
  <c r="P496" i="2"/>
  <c r="O629" i="2"/>
  <c r="O538" i="2"/>
  <c r="P529" i="2"/>
  <c r="O532" i="2"/>
  <c r="O536" i="2"/>
  <c r="O531" i="2"/>
  <c r="AF409" i="2"/>
  <c r="AE651" i="2"/>
  <c r="AF630" i="2"/>
  <c r="O651" i="2"/>
  <c r="P630" i="2"/>
  <c r="BD977" i="2"/>
  <c r="BE977" i="2" s="1"/>
  <c r="BD632" i="2"/>
  <c r="BD529" i="2"/>
  <c r="BD500" i="2"/>
  <c r="BE494" i="2"/>
  <c r="BD503" i="2"/>
  <c r="BE503" i="2" s="1"/>
  <c r="BD12" i="2"/>
  <c r="AD333" i="2"/>
  <c r="N333" i="2"/>
  <c r="AO955" i="2"/>
  <c r="AO662" i="2"/>
  <c r="AO200" i="2"/>
  <c r="AP200" i="2" s="1"/>
  <c r="AP187" i="2"/>
  <c r="T228" i="2"/>
  <c r="U221" i="2"/>
  <c r="S230" i="2"/>
  <c r="BF332" i="2"/>
  <c r="BF372" i="2"/>
  <c r="BG328" i="2"/>
  <c r="BF330" i="2"/>
  <c r="BL293" i="2"/>
  <c r="BE598" i="2"/>
  <c r="Y953" i="2"/>
  <c r="Y661" i="2"/>
  <c r="Z114" i="2"/>
  <c r="Y128" i="2"/>
  <c r="Z128" i="2" s="1"/>
  <c r="I9" i="2"/>
  <c r="J8" i="2"/>
  <c r="H613" i="2"/>
  <c r="G614" i="2"/>
  <c r="H614" i="2" s="1"/>
  <c r="BI578" i="2"/>
  <c r="BH582" i="2"/>
  <c r="BI582" i="2" s="1"/>
  <c r="D900" i="2"/>
  <c r="C899" i="2"/>
  <c r="D899" i="2" s="1"/>
  <c r="BG580" i="2"/>
  <c r="K653" i="2"/>
  <c r="L653" i="2" s="1"/>
  <c r="L632" i="2"/>
  <c r="AA957" i="2"/>
  <c r="AA665" i="2"/>
  <c r="AA418" i="2"/>
  <c r="AB418" i="2" s="1"/>
  <c r="AA420" i="2"/>
  <c r="AB414" i="2"/>
  <c r="AB420" i="2" s="1"/>
  <c r="AB410" i="2"/>
  <c r="AA413" i="2"/>
  <c r="K957" i="2"/>
  <c r="K959" i="2" s="1"/>
  <c r="K665" i="2"/>
  <c r="K536" i="2"/>
  <c r="K418" i="2"/>
  <c r="L418" i="2" s="1"/>
  <c r="L414" i="2"/>
  <c r="L420" i="2" s="1"/>
  <c r="L417" i="2"/>
  <c r="AL584" i="2"/>
  <c r="AK586" i="2"/>
  <c r="BK708" i="2"/>
  <c r="AK648" i="2"/>
  <c r="AL627" i="2"/>
  <c r="E955" i="2"/>
  <c r="E662" i="2"/>
  <c r="E197" i="2"/>
  <c r="E200" i="2"/>
  <c r="F187" i="2"/>
  <c r="AB79" i="2"/>
  <c r="X200" i="2"/>
  <c r="BD596" i="2"/>
  <c r="BD143" i="2"/>
  <c r="BE135" i="2"/>
  <c r="BF584" i="2"/>
  <c r="AK640" i="2"/>
  <c r="AL619" i="2"/>
  <c r="AK678" i="2"/>
  <c r="E953" i="2"/>
  <c r="E954" i="2" s="1"/>
  <c r="E661" i="2"/>
  <c r="F114" i="2"/>
  <c r="V7" i="2"/>
  <c r="AB15" i="2"/>
  <c r="AJ880" i="2"/>
  <c r="AI878" i="2"/>
  <c r="AJ900" i="2"/>
  <c r="AR900" i="2"/>
  <c r="AI899" i="2"/>
  <c r="Y899" i="2"/>
  <c r="Z899" i="2" s="1"/>
  <c r="Z900" i="2"/>
  <c r="BM822" i="2"/>
  <c r="BN822" i="2"/>
  <c r="BK402" i="2"/>
  <c r="AH401" i="2"/>
  <c r="N584" i="2"/>
  <c r="M586" i="2"/>
  <c r="AM338" i="2"/>
  <c r="AN335" i="2"/>
  <c r="G338" i="2"/>
  <c r="H338" i="2" s="1"/>
  <c r="H335" i="2"/>
  <c r="AM640" i="2"/>
  <c r="AN640" i="2" s="1"/>
  <c r="AM678" i="2"/>
  <c r="AN619" i="2"/>
  <c r="W953" i="2"/>
  <c r="W661" i="2"/>
  <c r="W128" i="2"/>
  <c r="X128" i="2" s="1"/>
  <c r="X114" i="2"/>
  <c r="G640" i="2"/>
  <c r="H640" i="2" s="1"/>
  <c r="H619" i="2"/>
  <c r="AG9" i="2"/>
  <c r="AH8" i="2"/>
  <c r="R128" i="2"/>
  <c r="AN880" i="2"/>
  <c r="AM878" i="2"/>
  <c r="P920" i="2"/>
  <c r="X561" i="2"/>
  <c r="AI629" i="2"/>
  <c r="AI538" i="2"/>
  <c r="AJ538" i="2" s="1"/>
  <c r="AI536" i="2"/>
  <c r="AI539" i="2"/>
  <c r="AJ539" i="2" s="1"/>
  <c r="AJ529" i="2"/>
  <c r="AK957" i="2"/>
  <c r="AK665" i="2"/>
  <c r="AK418" i="2"/>
  <c r="AK420" i="2"/>
  <c r="AL414" i="2"/>
  <c r="U14" i="2"/>
  <c r="V13" i="2"/>
  <c r="V417" i="2"/>
  <c r="AI651" i="2"/>
  <c r="AJ630" i="2"/>
  <c r="S651" i="2"/>
  <c r="T630" i="2"/>
  <c r="BF299" i="2"/>
  <c r="BG292" i="2"/>
  <c r="BF307" i="2"/>
  <c r="BG307" i="2" s="1"/>
  <c r="BF308" i="2"/>
  <c r="BG308" i="2" s="1"/>
  <c r="N10" i="2"/>
  <c r="E968" i="2"/>
  <c r="F850" i="2"/>
  <c r="E23" i="2"/>
  <c r="F23" i="2" s="1"/>
  <c r="S953" i="2"/>
  <c r="S661" i="2"/>
  <c r="S128" i="2"/>
  <c r="T128" i="2" s="1"/>
  <c r="T114" i="2"/>
  <c r="AM659" i="2"/>
  <c r="AM148" i="2"/>
  <c r="AL7" i="2"/>
  <c r="AK973" i="2"/>
  <c r="AK980" i="2" s="1"/>
  <c r="BE883" i="2"/>
  <c r="AH870" i="2"/>
  <c r="AH900" i="2"/>
  <c r="AG899" i="2"/>
  <c r="AH899" i="2" s="1"/>
  <c r="AH925" i="2"/>
  <c r="BD979" i="2"/>
  <c r="BE979" i="2" s="1"/>
  <c r="BD633" i="2"/>
  <c r="BD568" i="2"/>
  <c r="BE559" i="2"/>
  <c r="BD15" i="2"/>
  <c r="BE15" i="2" s="1"/>
  <c r="BF979" i="2"/>
  <c r="BG979" i="2" s="1"/>
  <c r="BF633" i="2"/>
  <c r="BF568" i="2"/>
  <c r="BG559" i="2"/>
  <c r="BF15" i="2"/>
  <c r="BG15" i="2" s="1"/>
  <c r="BE403" i="2"/>
  <c r="BM611" i="2"/>
  <c r="BH221" i="2"/>
  <c r="BG228" i="2"/>
  <c r="BB582" i="2"/>
  <c r="BC578" i="2"/>
  <c r="AG674" i="2"/>
  <c r="AG639" i="2"/>
  <c r="AH618" i="2"/>
  <c r="Q190" i="2"/>
  <c r="R190" i="2" s="1"/>
  <c r="Q189" i="2"/>
  <c r="R189" i="2" s="1"/>
  <c r="R161" i="2"/>
  <c r="Q191" i="2"/>
  <c r="R191" i="2" s="1"/>
  <c r="Q192" i="2"/>
  <c r="R192" i="2" s="1"/>
  <c r="Q193" i="2"/>
  <c r="R193" i="2" s="1"/>
  <c r="I617" i="2"/>
  <c r="I146" i="2"/>
  <c r="J143" i="2"/>
  <c r="BE535" i="2"/>
  <c r="O338" i="2"/>
  <c r="P338" i="2" s="1"/>
  <c r="P335" i="2"/>
  <c r="AB8" i="2"/>
  <c r="AA9" i="2"/>
  <c r="AA678" i="2"/>
  <c r="AA640" i="2"/>
  <c r="AB619" i="2"/>
  <c r="K953" i="2"/>
  <c r="K661" i="2"/>
  <c r="L114" i="2"/>
  <c r="K614" i="2"/>
  <c r="L613" i="2"/>
  <c r="L7" i="2"/>
  <c r="T49" i="2"/>
  <c r="S50" i="2"/>
  <c r="T50" i="2" s="1"/>
  <c r="V79" i="2"/>
  <c r="L65" i="2"/>
  <c r="BC708" i="2"/>
  <c r="BB709" i="2"/>
  <c r="BN276" i="2"/>
  <c r="BM276" i="2"/>
  <c r="AC878" i="2"/>
  <c r="AD880" i="2"/>
  <c r="AT485" i="2"/>
  <c r="AM14" i="2"/>
  <c r="AN13" i="2"/>
  <c r="W651" i="2"/>
  <c r="X651" i="2" s="1"/>
  <c r="X630" i="2"/>
  <c r="G651" i="2"/>
  <c r="H651" i="2" s="1"/>
  <c r="H630" i="2"/>
  <c r="BU471" i="2"/>
  <c r="BV471" i="2"/>
  <c r="U629" i="2"/>
  <c r="U536" i="2"/>
  <c r="U538" i="2"/>
  <c r="V529" i="2"/>
  <c r="AR305" i="2"/>
  <c r="AQ294" i="2"/>
  <c r="BN258" i="2"/>
  <c r="BM258" i="2"/>
  <c r="H923" i="2"/>
  <c r="P923" i="2"/>
  <c r="G903" i="2"/>
  <c r="H903" i="2" s="1"/>
  <c r="H891" i="2"/>
  <c r="G905" i="2"/>
  <c r="H905" i="2" s="1"/>
  <c r="AF12" i="2"/>
  <c r="AE653" i="2"/>
  <c r="AF632" i="2"/>
  <c r="H584" i="2"/>
  <c r="G586" i="2"/>
  <c r="AX555" i="2"/>
  <c r="Y648" i="2"/>
  <c r="Z648" i="2" s="1"/>
  <c r="Z627" i="2"/>
  <c r="BV186" i="2"/>
  <c r="BU186" i="2"/>
  <c r="AF8" i="2"/>
  <c r="AE9" i="2"/>
  <c r="O953" i="2"/>
  <c r="O661" i="2"/>
  <c r="P114" i="2"/>
  <c r="O639" i="2"/>
  <c r="P639" i="2" s="1"/>
  <c r="P618" i="2"/>
  <c r="BJ983" i="2"/>
  <c r="BK573" i="2"/>
  <c r="BK983" i="2" s="1"/>
  <c r="BJ575" i="2"/>
  <c r="Y655" i="2"/>
  <c r="Y686" i="2"/>
  <c r="Z633" i="2"/>
  <c r="AA958" i="2"/>
  <c r="AA666" i="2"/>
  <c r="AA504" i="2"/>
  <c r="AB504" i="2" s="1"/>
  <c r="AB500" i="2"/>
  <c r="AA506" i="2"/>
  <c r="J584" i="2"/>
  <c r="I586" i="2"/>
  <c r="BH977" i="2"/>
  <c r="BI977" i="2" s="1"/>
  <c r="BH632" i="2"/>
  <c r="BH529" i="2"/>
  <c r="BH500" i="2"/>
  <c r="BI494" i="2"/>
  <c r="BH503" i="2"/>
  <c r="BI503" i="2" s="1"/>
  <c r="BH12" i="2"/>
  <c r="BI12" i="2" s="1"/>
  <c r="AA659" i="2"/>
  <c r="AA148" i="2"/>
  <c r="BD971" i="2"/>
  <c r="BD618" i="2"/>
  <c r="BE62" i="2"/>
  <c r="BD7" i="2"/>
  <c r="BD65" i="2"/>
  <c r="BD79" i="2"/>
  <c r="BE79" i="2" s="1"/>
  <c r="BB129" i="2"/>
  <c r="BC129" i="2" s="1"/>
  <c r="BC104" i="2"/>
  <c r="AF708" i="2"/>
  <c r="AD666" i="2"/>
  <c r="N666" i="2"/>
  <c r="BJ955" i="2"/>
  <c r="BJ662" i="2"/>
  <c r="BJ200" i="2"/>
  <c r="N920" i="2"/>
  <c r="AK686" i="2"/>
  <c r="AK655" i="2"/>
  <c r="AL633" i="2"/>
  <c r="AO413" i="2"/>
  <c r="AX410" i="2"/>
  <c r="AP410" i="2"/>
  <c r="AO651" i="2"/>
  <c r="AP651" i="2" s="1"/>
  <c r="AP630" i="2"/>
  <c r="Y957" i="2"/>
  <c r="Y959" i="2" s="1"/>
  <c r="Y665" i="2"/>
  <c r="Y420" i="2"/>
  <c r="Y418" i="2"/>
  <c r="Z418" i="2" s="1"/>
  <c r="Z414" i="2"/>
  <c r="Z420" i="2" s="1"/>
  <c r="I957" i="2"/>
  <c r="I665" i="2"/>
  <c r="I536" i="2"/>
  <c r="I418" i="2"/>
  <c r="J418" i="2" s="1"/>
  <c r="I420" i="2"/>
  <c r="J414" i="2"/>
  <c r="J420" i="2" s="1"/>
  <c r="AW612" i="2"/>
  <c r="AX612" i="2" s="1"/>
  <c r="AX548" i="2"/>
  <c r="AW557" i="2"/>
  <c r="BL557" i="2" s="1"/>
  <c r="AT333" i="2"/>
  <c r="AL333" i="2"/>
  <c r="E975" i="2"/>
  <c r="E980" i="2" s="1"/>
  <c r="E628" i="2"/>
  <c r="E649" i="2" s="1"/>
  <c r="F649" i="2" s="1"/>
  <c r="E339" i="2"/>
  <c r="F330" i="2"/>
  <c r="F628" i="2" s="1"/>
  <c r="E11" i="2"/>
  <c r="F11" i="2" s="1"/>
  <c r="BJ582" i="2"/>
  <c r="BK582" i="2" s="1"/>
  <c r="BK578" i="2"/>
  <c r="E629" i="2"/>
  <c r="E650" i="2" s="1"/>
  <c r="F650" i="2" s="1"/>
  <c r="E531" i="2"/>
  <c r="F531" i="2" s="1"/>
  <c r="F529" i="2"/>
  <c r="F629" i="2" s="1"/>
  <c r="E538" i="2"/>
  <c r="F538" i="2" s="1"/>
  <c r="E532" i="2"/>
  <c r="S302" i="2"/>
  <c r="U292" i="2"/>
  <c r="T299" i="2"/>
  <c r="S617" i="2"/>
  <c r="S146" i="2"/>
  <c r="AB146" i="2" s="1"/>
  <c r="T143" i="2"/>
  <c r="BG141" i="2"/>
  <c r="AC952" i="2"/>
  <c r="AC954" i="2" s="1"/>
  <c r="AC660" i="2"/>
  <c r="AD65" i="2"/>
  <c r="AC79" i="2"/>
  <c r="AD79" i="2" s="1"/>
  <c r="AC674" i="2"/>
  <c r="AC639" i="2"/>
  <c r="AD639" i="2" s="1"/>
  <c r="AD618" i="2"/>
  <c r="BI883" i="2"/>
  <c r="S686" i="2"/>
  <c r="T633" i="2"/>
  <c r="S655" i="2"/>
  <c r="U686" i="2"/>
  <c r="U655" i="2"/>
  <c r="V633" i="2"/>
  <c r="AO629" i="2"/>
  <c r="AO536" i="2"/>
  <c r="AO539" i="2"/>
  <c r="AO538" i="2"/>
  <c r="AP529" i="2"/>
  <c r="AO958" i="2"/>
  <c r="AO666" i="2"/>
  <c r="AP500" i="2"/>
  <c r="AO504" i="2"/>
  <c r="AP504" i="2" s="1"/>
  <c r="AO506" i="2"/>
  <c r="AH13" i="2"/>
  <c r="AG14" i="2"/>
  <c r="AH14" i="2" s="1"/>
  <c r="AH417" i="2"/>
  <c r="Q413" i="2"/>
  <c r="R413" i="2" s="1"/>
  <c r="R410" i="2"/>
  <c r="BC632" i="2"/>
  <c r="BB653" i="2"/>
  <c r="BC653" i="2" s="1"/>
  <c r="AA975" i="2"/>
  <c r="AA628" i="2"/>
  <c r="AB330" i="2"/>
  <c r="AA355" i="2"/>
  <c r="AB355" i="2" s="1"/>
  <c r="AA339" i="2"/>
  <c r="AA11" i="2"/>
  <c r="M613" i="2"/>
  <c r="M738" i="2" s="1"/>
  <c r="N596" i="2"/>
  <c r="BB864" i="2"/>
  <c r="BC863" i="2"/>
  <c r="BB937" i="2"/>
  <c r="BC937" i="2" s="1"/>
  <c r="Z567" i="2"/>
  <c r="BR473" i="2"/>
  <c r="AC957" i="2"/>
  <c r="AC959" i="2" s="1"/>
  <c r="AC665" i="2"/>
  <c r="AC418" i="2"/>
  <c r="AC420" i="2"/>
  <c r="AD414" i="2"/>
  <c r="AD420" i="2" s="1"/>
  <c r="M14" i="2"/>
  <c r="N14" i="2" s="1"/>
  <c r="N13" i="2"/>
  <c r="AO975" i="2"/>
  <c r="AO980" i="2" s="1"/>
  <c r="AO628" i="2"/>
  <c r="AO674" i="2" s="1"/>
  <c r="AO355" i="2"/>
  <c r="AP355" i="2" s="1"/>
  <c r="AO339" i="2"/>
  <c r="AP330" i="2"/>
  <c r="AO11" i="2"/>
  <c r="AP11" i="2" s="1"/>
  <c r="G968" i="2"/>
  <c r="H850" i="2"/>
  <c r="G23" i="2"/>
  <c r="H23" i="2" s="1"/>
  <c r="AA614" i="2"/>
  <c r="AB613" i="2"/>
  <c r="Q75" i="2"/>
  <c r="R75" i="2" s="1"/>
  <c r="R74" i="2"/>
  <c r="BO36" i="2"/>
  <c r="AK613" i="2"/>
  <c r="AL596" i="2"/>
  <c r="AM686" i="2"/>
  <c r="AM655" i="2"/>
  <c r="AN633" i="2"/>
  <c r="BK197" i="2"/>
  <c r="BK883" i="2"/>
  <c r="AQ946" i="2"/>
  <c r="AR842" i="2"/>
  <c r="AQ847" i="2"/>
  <c r="AR847" i="2" s="1"/>
  <c r="AS842" i="2"/>
  <c r="AQ846" i="2"/>
  <c r="AR846" i="2" s="1"/>
  <c r="AG655" i="2"/>
  <c r="AH655" i="2" s="1"/>
  <c r="AG686" i="2"/>
  <c r="AH633" i="2"/>
  <c r="O979" i="2"/>
  <c r="O633" i="2"/>
  <c r="P559" i="2"/>
  <c r="O568" i="2"/>
  <c r="O15" i="2"/>
  <c r="P15" i="2" s="1"/>
  <c r="AN12" i="2"/>
  <c r="AM653" i="2"/>
  <c r="AN653" i="2" s="1"/>
  <c r="AN632" i="2"/>
  <c r="G629" i="2"/>
  <c r="G538" i="2"/>
  <c r="H538" i="2" s="1"/>
  <c r="H529" i="2"/>
  <c r="G532" i="2"/>
  <c r="G531" i="2"/>
  <c r="H531" i="2" s="1"/>
  <c r="BI402" i="2"/>
  <c r="BI609" i="2"/>
  <c r="X7" i="2"/>
  <c r="AE614" i="2"/>
  <c r="AF613" i="2"/>
  <c r="L733" i="2"/>
  <c r="AE686" i="2"/>
  <c r="AF633" i="2"/>
  <c r="AE655" i="2"/>
  <c r="AF655" i="2" s="1"/>
  <c r="E957" i="2"/>
  <c r="E959" i="2" s="1"/>
  <c r="E665" i="2"/>
  <c r="E536" i="2"/>
  <c r="E418" i="2"/>
  <c r="F418" i="2" s="1"/>
  <c r="E420" i="2"/>
  <c r="F414" i="2"/>
  <c r="F420" i="2" s="1"/>
  <c r="Q342" i="2"/>
  <c r="R342" i="2" s="1"/>
  <c r="Q346" i="2"/>
  <c r="Q343" i="2"/>
  <c r="R343" i="2" s="1"/>
  <c r="R303" i="2"/>
  <c r="Q347" i="2"/>
  <c r="R347" i="2" s="1"/>
  <c r="Q348" i="2"/>
  <c r="R348" i="2" s="1"/>
  <c r="Q341" i="2"/>
  <c r="R341" i="2" s="1"/>
  <c r="AV297" i="2"/>
  <c r="BL297" i="2"/>
  <c r="BI104" i="2"/>
  <c r="C617" i="2"/>
  <c r="C146" i="2"/>
  <c r="D143" i="2"/>
  <c r="U613" i="2"/>
  <c r="V596" i="2"/>
  <c r="BK104" i="2"/>
  <c r="M617" i="2"/>
  <c r="M146" i="2"/>
  <c r="N143" i="2"/>
  <c r="BG90" i="2"/>
  <c r="BH84" i="2"/>
  <c r="I903" i="2"/>
  <c r="J903" i="2" s="1"/>
  <c r="J891" i="2"/>
  <c r="I905" i="2"/>
  <c r="J905" i="2" s="1"/>
  <c r="X900" i="2"/>
  <c r="W899" i="2"/>
  <c r="X899" i="2" s="1"/>
  <c r="O938" i="2"/>
  <c r="O936" i="2"/>
  <c r="O926" i="2"/>
  <c r="O924" i="2"/>
  <c r="AL923" i="2"/>
  <c r="AL925" i="2"/>
  <c r="BM828" i="2"/>
  <c r="BN828" i="2"/>
  <c r="AW823" i="2"/>
  <c r="AW827" i="2"/>
  <c r="AX828" i="2"/>
  <c r="O958" i="2"/>
  <c r="O666" i="2"/>
  <c r="O504" i="2"/>
  <c r="P500" i="2"/>
  <c r="P497" i="2"/>
  <c r="AE14" i="2"/>
  <c r="AF13" i="2"/>
  <c r="AF410" i="2"/>
  <c r="AE413" i="2"/>
  <c r="AF413" i="2" s="1"/>
  <c r="AE978" i="2"/>
  <c r="P409" i="2"/>
  <c r="M975" i="2"/>
  <c r="M980" i="2" s="1"/>
  <c r="M628" i="2"/>
  <c r="M339" i="2"/>
  <c r="N330" i="2"/>
  <c r="M11" i="2"/>
  <c r="N11" i="2" s="1"/>
  <c r="W338" i="2"/>
  <c r="X338" i="2" s="1"/>
  <c r="X335" i="2"/>
  <c r="AO648" i="2"/>
  <c r="AP648" i="2" s="1"/>
  <c r="AP627" i="2"/>
  <c r="S975" i="2"/>
  <c r="S628" i="2"/>
  <c r="T330" i="2"/>
  <c r="S339" i="2"/>
  <c r="S11" i="2"/>
  <c r="T11" i="2" s="1"/>
  <c r="BD972" i="2"/>
  <c r="BD619" i="2"/>
  <c r="BD128" i="2"/>
  <c r="BE111" i="2"/>
  <c r="BD114" i="2"/>
  <c r="BD8" i="2"/>
  <c r="BD9" i="2" s="1"/>
  <c r="BM301" i="2"/>
  <c r="BN301" i="2"/>
  <c r="AJ662" i="2"/>
  <c r="AO678" i="2"/>
  <c r="AO640" i="2"/>
  <c r="AP640" i="2" s="1"/>
  <c r="AP619" i="2"/>
  <c r="Y9" i="2"/>
  <c r="Z8" i="2"/>
  <c r="I640" i="2"/>
  <c r="J640" i="2" s="1"/>
  <c r="J619" i="2"/>
  <c r="Y617" i="2"/>
  <c r="Y146" i="2"/>
  <c r="Z143" i="2"/>
  <c r="AI614" i="2"/>
  <c r="AJ613" i="2"/>
  <c r="E960" i="2"/>
  <c r="E667" i="2"/>
  <c r="F568" i="2"/>
  <c r="BS472" i="2"/>
  <c r="BT472" i="2"/>
  <c r="AA651" i="2"/>
  <c r="AB651" i="2" s="1"/>
  <c r="AB630" i="2"/>
  <c r="K651" i="2"/>
  <c r="L651" i="2" s="1"/>
  <c r="L630" i="2"/>
  <c r="Y338" i="2"/>
  <c r="Z335" i="2"/>
  <c r="I338" i="2"/>
  <c r="J338" i="2" s="1"/>
  <c r="J335" i="2"/>
  <c r="I975" i="2"/>
  <c r="I628" i="2"/>
  <c r="I339" i="2"/>
  <c r="J330" i="2"/>
  <c r="I11" i="2"/>
  <c r="J11" i="2" s="1"/>
  <c r="BG708" i="2"/>
  <c r="AB660" i="2"/>
  <c r="E613" i="2"/>
  <c r="F596" i="2"/>
  <c r="AK953" i="2"/>
  <c r="AK661" i="2"/>
  <c r="AL114" i="2"/>
  <c r="AK128" i="2"/>
  <c r="AL128" i="2" s="1"/>
  <c r="AD503" i="2"/>
  <c r="Y924" i="2"/>
  <c r="N925" i="2"/>
  <c r="L584" i="2"/>
  <c r="K586" i="2"/>
  <c r="BJ976" i="2"/>
  <c r="BJ630" i="2"/>
  <c r="BJ414" i="2"/>
  <c r="BK407" i="2"/>
  <c r="BJ417" i="2"/>
  <c r="BK417" i="2" s="1"/>
  <c r="BJ13" i="2"/>
  <c r="AM975" i="2"/>
  <c r="AM980" i="2" s="1"/>
  <c r="AM628" i="2"/>
  <c r="AN330" i="2"/>
  <c r="AM355" i="2"/>
  <c r="AN355" i="2" s="1"/>
  <c r="AM339" i="2"/>
  <c r="AM11" i="2"/>
  <c r="AN11" i="2" s="1"/>
  <c r="AN8" i="2"/>
  <c r="AM9" i="2"/>
  <c r="P891" i="2"/>
  <c r="C655" i="2"/>
  <c r="D655" i="2" s="1"/>
  <c r="D633" i="2"/>
  <c r="AJ12" i="2"/>
  <c r="AI653" i="2"/>
  <c r="AJ653" i="2" s="1"/>
  <c r="AJ632" i="2"/>
  <c r="C629" i="2"/>
  <c r="D529" i="2"/>
  <c r="C532" i="2"/>
  <c r="C538" i="2"/>
  <c r="D538" i="2" s="1"/>
  <c r="C531" i="2"/>
  <c r="D531" i="2" s="1"/>
  <c r="AH12" i="2"/>
  <c r="AH503" i="2"/>
  <c r="AG653" i="2"/>
  <c r="AH632" i="2"/>
  <c r="AL409" i="2"/>
  <c r="AT409" i="2"/>
  <c r="AL417" i="2"/>
  <c r="U957" i="2"/>
  <c r="U959" i="2" s="1"/>
  <c r="U665" i="2"/>
  <c r="U418" i="2"/>
  <c r="V414" i="2"/>
  <c r="V420" i="2" s="1"/>
  <c r="AK653" i="2"/>
  <c r="AL653" i="2" s="1"/>
  <c r="AL632" i="2"/>
  <c r="AI14" i="2"/>
  <c r="AJ13" i="2"/>
  <c r="AI978" i="2"/>
  <c r="T409" i="2"/>
  <c r="S978" i="2"/>
  <c r="AC955" i="2"/>
  <c r="AC662" i="2"/>
  <c r="AC200" i="2"/>
  <c r="AD187" i="2"/>
  <c r="S678" i="2"/>
  <c r="S640" i="2"/>
  <c r="T619" i="2"/>
  <c r="C953" i="2"/>
  <c r="C661" i="2"/>
  <c r="D114" i="2"/>
  <c r="AM638" i="2"/>
  <c r="AM634" i="2"/>
  <c r="AL80" i="2"/>
  <c r="AC9" i="2"/>
  <c r="AD8" i="2"/>
  <c r="AC640" i="2"/>
  <c r="AC678" i="2"/>
  <c r="AD619" i="2"/>
  <c r="AF200" i="2"/>
  <c r="AG924" i="2"/>
  <c r="AH919" i="2"/>
  <c r="AS846" i="2"/>
  <c r="AT846" i="2" s="1"/>
  <c r="AS730" i="2"/>
  <c r="AT730" i="2" s="1"/>
  <c r="AT727" i="2"/>
  <c r="I958" i="2"/>
  <c r="I666" i="2"/>
  <c r="J500" i="2"/>
  <c r="I506" i="2"/>
  <c r="I504" i="2"/>
  <c r="J504" i="2" s="1"/>
  <c r="I955" i="2"/>
  <c r="I662" i="2"/>
  <c r="I197" i="2"/>
  <c r="I200" i="2"/>
  <c r="J187" i="2"/>
  <c r="BD372" i="2"/>
  <c r="BD335" i="2"/>
  <c r="BD338" i="2" s="1"/>
  <c r="BD330" i="2"/>
  <c r="BE328" i="2"/>
  <c r="BD332" i="2"/>
  <c r="BE332" i="2" s="1"/>
  <c r="L333" i="2"/>
  <c r="AE952" i="2"/>
  <c r="AE660" i="2"/>
  <c r="AE79" i="2"/>
  <c r="AF79" i="2" s="1"/>
  <c r="AF65" i="2"/>
  <c r="AE617" i="2"/>
  <c r="AN617" i="2" s="1"/>
  <c r="AE146" i="2"/>
  <c r="AN146" i="2" s="1"/>
  <c r="AF143" i="2"/>
  <c r="AG952" i="2"/>
  <c r="AG954" i="2" s="1"/>
  <c r="AG660" i="2"/>
  <c r="AH65" i="2"/>
  <c r="AG79" i="2"/>
  <c r="AH79" i="2" s="1"/>
  <c r="AG973" i="2"/>
  <c r="AG980" i="2" s="1"/>
  <c r="S170" i="2"/>
  <c r="T170" i="2" s="1"/>
  <c r="S169" i="2"/>
  <c r="T169" i="2" s="1"/>
  <c r="S159" i="2"/>
  <c r="T154" i="2"/>
  <c r="S172" i="2"/>
  <c r="S171" i="2"/>
  <c r="T171" i="2" s="1"/>
  <c r="I639" i="2"/>
  <c r="J639" i="2" s="1"/>
  <c r="J618" i="2"/>
  <c r="AI617" i="2"/>
  <c r="AI146" i="2"/>
  <c r="AJ143" i="2"/>
  <c r="AU862" i="2"/>
  <c r="AT862" i="2"/>
  <c r="AF880" i="2"/>
  <c r="AE878" i="2"/>
  <c r="AF900" i="2"/>
  <c r="AE899" i="2"/>
  <c r="AF899" i="2" s="1"/>
  <c r="AF919" i="2"/>
  <c r="G655" i="2"/>
  <c r="H655" i="2" s="1"/>
  <c r="H633" i="2"/>
  <c r="AC960" i="2"/>
  <c r="AC667" i="2"/>
  <c r="AD568" i="2"/>
  <c r="BK580" i="2"/>
  <c r="BK608" i="2"/>
  <c r="V401" i="2"/>
  <c r="L143" i="2"/>
  <c r="BF613" i="2"/>
  <c r="BG596" i="2"/>
  <c r="L660" i="2"/>
  <c r="X648" i="2"/>
  <c r="V143" i="2"/>
  <c r="BL222" i="2"/>
  <c r="E659" i="2"/>
  <c r="E148" i="2"/>
  <c r="F146" i="2"/>
  <c r="I938" i="2"/>
  <c r="J938" i="2" s="1"/>
  <c r="J878" i="2"/>
  <c r="I936" i="2"/>
  <c r="J936" i="2" s="1"/>
  <c r="I926" i="2"/>
  <c r="J926" i="2" s="1"/>
  <c r="I924" i="2"/>
  <c r="J924" i="2" s="1"/>
  <c r="BJ977" i="2"/>
  <c r="BK977" i="2" s="1"/>
  <c r="BJ632" i="2"/>
  <c r="BJ503" i="2"/>
  <c r="BK503" i="2" s="1"/>
  <c r="BJ529" i="2"/>
  <c r="BJ500" i="2"/>
  <c r="BK494" i="2"/>
  <c r="BJ12" i="2"/>
  <c r="BK12" i="2" s="1"/>
  <c r="Q289" i="2"/>
  <c r="R289" i="2" s="1"/>
  <c r="R288" i="2"/>
  <c r="W954" i="2"/>
  <c r="K967" i="2"/>
  <c r="K985" i="2" s="1"/>
  <c r="K904" i="2"/>
  <c r="K850" i="2"/>
  <c r="K738" i="2"/>
  <c r="L709" i="2"/>
  <c r="K836" i="2"/>
  <c r="Q638" i="2"/>
  <c r="Q634" i="2"/>
  <c r="R617" i="2"/>
  <c r="AC629" i="2"/>
  <c r="AC539" i="2"/>
  <c r="AD539" i="2" s="1"/>
  <c r="AC536" i="2"/>
  <c r="AC538" i="2"/>
  <c r="AD538" i="2" s="1"/>
  <c r="AD529" i="2"/>
  <c r="M629" i="2"/>
  <c r="M538" i="2"/>
  <c r="N538" i="2" s="1"/>
  <c r="M531" i="2"/>
  <c r="N529" i="2"/>
  <c r="M532" i="2"/>
  <c r="AP924" i="2"/>
  <c r="W653" i="2"/>
  <c r="X632" i="2"/>
  <c r="Y653" i="2"/>
  <c r="Z653" i="2" s="1"/>
  <c r="Z632" i="2"/>
  <c r="AW518" i="2"/>
  <c r="AW391" i="2"/>
  <c r="AX389" i="2"/>
  <c r="BL389" i="2"/>
  <c r="AV557" i="2"/>
  <c r="AU559" i="2"/>
  <c r="AM957" i="2"/>
  <c r="AM665" i="2"/>
  <c r="AM418" i="2"/>
  <c r="AN414" i="2"/>
  <c r="AM420" i="2"/>
  <c r="W14" i="2"/>
  <c r="X13" i="2"/>
  <c r="W978" i="2"/>
  <c r="S275" i="2"/>
  <c r="R282" i="2"/>
  <c r="BF275" i="2"/>
  <c r="Q283" i="2"/>
  <c r="R283" i="2" s="1"/>
  <c r="AX240" i="2"/>
  <c r="AW241" i="2"/>
  <c r="AX241" i="2" s="1"/>
  <c r="BL240" i="2"/>
  <c r="G617" i="2"/>
  <c r="G146" i="2"/>
  <c r="H143" i="2"/>
  <c r="AO617" i="2"/>
  <c r="AO146" i="2"/>
  <c r="AP143" i="2"/>
  <c r="AC613" i="2"/>
  <c r="AD596" i="2"/>
  <c r="X567" i="2"/>
  <c r="BG402" i="2"/>
  <c r="U653" i="2"/>
  <c r="V653" i="2" s="1"/>
  <c r="V632" i="2"/>
  <c r="C14" i="2"/>
  <c r="D14" i="2" s="1"/>
  <c r="D13" i="2"/>
  <c r="C421" i="2"/>
  <c r="D421" i="2" s="1"/>
  <c r="D410" i="2"/>
  <c r="C413" i="2"/>
  <c r="D413" i="2" s="1"/>
  <c r="AR523" i="2"/>
  <c r="BD976" i="2"/>
  <c r="BD630" i="2"/>
  <c r="BD417" i="2"/>
  <c r="BE417" i="2" s="1"/>
  <c r="BD414" i="2"/>
  <c r="BE407" i="2"/>
  <c r="BD13" i="2"/>
  <c r="BD14" i="2" s="1"/>
  <c r="AQ397" i="2"/>
  <c r="AS404" i="2"/>
  <c r="AR404" i="2"/>
  <c r="AR277" i="2"/>
  <c r="AG614" i="2"/>
  <c r="AH613" i="2"/>
  <c r="AX874" i="2"/>
  <c r="BL874" i="2"/>
  <c r="G878" i="2"/>
  <c r="H880" i="2"/>
  <c r="H900" i="2"/>
  <c r="G899" i="2"/>
  <c r="H899" i="2" s="1"/>
  <c r="F922" i="2"/>
  <c r="N922" i="2"/>
  <c r="F891" i="2"/>
  <c r="E903" i="2"/>
  <c r="F903" i="2" s="1"/>
  <c r="E985" i="2"/>
  <c r="E905" i="2"/>
  <c r="AW857" i="2"/>
  <c r="AX858" i="2"/>
  <c r="BL858" i="2"/>
  <c r="K655" i="2"/>
  <c r="L655" i="2" s="1"/>
  <c r="L633" i="2"/>
  <c r="Q655" i="2"/>
  <c r="R655" i="2" s="1"/>
  <c r="Q686" i="2"/>
  <c r="R633" i="2"/>
  <c r="BJ979" i="2"/>
  <c r="BJ633" i="2"/>
  <c r="BJ568" i="2"/>
  <c r="BK559" i="2"/>
  <c r="BJ15" i="2"/>
  <c r="AF496" i="2"/>
  <c r="AF497" i="2"/>
  <c r="AI975" i="2"/>
  <c r="AI628" i="2"/>
  <c r="AJ330" i="2"/>
  <c r="AI355" i="2"/>
  <c r="AJ355" i="2" s="1"/>
  <c r="AI339" i="2"/>
  <c r="AI11" i="2"/>
  <c r="AJ11" i="2" s="1"/>
  <c r="BB372" i="2"/>
  <c r="BC372" i="2" s="1"/>
  <c r="BC328" i="2"/>
  <c r="BB330" i="2"/>
  <c r="C338" i="2"/>
  <c r="D338" i="2" s="1"/>
  <c r="D335" i="2"/>
  <c r="AE953" i="2"/>
  <c r="AE661" i="2"/>
  <c r="AE128" i="2"/>
  <c r="AF128" i="2" s="1"/>
  <c r="AF114" i="2"/>
  <c r="O640" i="2"/>
  <c r="P640" i="2" s="1"/>
  <c r="O678" i="2"/>
  <c r="P619" i="2"/>
  <c r="BR39" i="2"/>
  <c r="BQ39" i="2"/>
  <c r="Q938" i="2"/>
  <c r="R938" i="2" s="1"/>
  <c r="R878" i="2"/>
  <c r="Q924" i="2"/>
  <c r="R924" i="2" s="1"/>
  <c r="Q936" i="2"/>
  <c r="R936" i="2" s="1"/>
  <c r="Q926" i="2"/>
  <c r="BK535" i="2"/>
  <c r="BV535" i="2"/>
  <c r="Z15" i="2"/>
  <c r="BS478" i="2"/>
  <c r="BT478" i="2"/>
  <c r="BD355" i="2"/>
  <c r="BE322" i="2"/>
  <c r="U955" i="2"/>
  <c r="U662" i="2"/>
  <c r="U200" i="2"/>
  <c r="V187" i="2"/>
  <c r="AA638" i="2"/>
  <c r="AA634" i="2"/>
  <c r="AB617" i="2"/>
  <c r="BB972" i="2"/>
  <c r="BC972" i="2" s="1"/>
  <c r="BB619" i="2"/>
  <c r="BC111" i="2"/>
  <c r="BB114" i="2"/>
  <c r="BB128" i="2"/>
  <c r="BC128" i="2" s="1"/>
  <c r="BB8" i="2"/>
  <c r="AC506" i="2"/>
  <c r="BB955" i="2"/>
  <c r="BC955" i="2" s="1"/>
  <c r="BB662" i="2"/>
  <c r="BB197" i="2"/>
  <c r="BB200" i="2"/>
  <c r="BC200" i="2" s="1"/>
  <c r="BH979" i="2"/>
  <c r="BI979" i="2" s="1"/>
  <c r="BH633" i="2"/>
  <c r="BH568" i="2"/>
  <c r="BI559" i="2"/>
  <c r="BH15" i="2"/>
  <c r="BI15" i="2" s="1"/>
  <c r="N891" i="2"/>
  <c r="AS947" i="2"/>
  <c r="AU840" i="2"/>
  <c r="AT840" i="2"/>
  <c r="AU841" i="2"/>
  <c r="AV841" i="2" s="1"/>
  <c r="AS819" i="2"/>
  <c r="AP13" i="2"/>
  <c r="AO14" i="2"/>
  <c r="AP14" i="2" s="1"/>
  <c r="Y413" i="2"/>
  <c r="Z413" i="2" s="1"/>
  <c r="Z410" i="2"/>
  <c r="Y651" i="2"/>
  <c r="Z651" i="2" s="1"/>
  <c r="Z630" i="2"/>
  <c r="I651" i="2"/>
  <c r="J651" i="2" s="1"/>
  <c r="J630" i="2"/>
  <c r="BL518" i="2"/>
  <c r="AX519" i="2"/>
  <c r="BL519" i="2"/>
  <c r="BM519" i="2" s="1"/>
  <c r="C904" i="2"/>
  <c r="D904" i="2" s="1"/>
  <c r="C850" i="2"/>
  <c r="C738" i="2"/>
  <c r="D738" i="2" s="1"/>
  <c r="D709" i="2"/>
  <c r="C836" i="2"/>
  <c r="D836" i="2" s="1"/>
  <c r="T662" i="2"/>
  <c r="S639" i="2"/>
  <c r="T639" i="2" s="1"/>
  <c r="S674" i="2"/>
  <c r="T618" i="2"/>
  <c r="AC980" i="2"/>
  <c r="U878" i="2"/>
  <c r="V880" i="2"/>
  <c r="T15" i="2"/>
  <c r="R13" i="2"/>
  <c r="Q14" i="2"/>
  <c r="R14" i="2" s="1"/>
  <c r="R417" i="2"/>
  <c r="BN611" i="2"/>
  <c r="BO611" i="2" s="1"/>
  <c r="BO479" i="2"/>
  <c r="AX227" i="2"/>
  <c r="AW298" i="2"/>
  <c r="BB958" i="2"/>
  <c r="BC958" i="2" s="1"/>
  <c r="BB666" i="2"/>
  <c r="BC500" i="2"/>
  <c r="BB506" i="2"/>
  <c r="BB504" i="2"/>
  <c r="BC504" i="2" s="1"/>
  <c r="BH974" i="2"/>
  <c r="BI974" i="2" s="1"/>
  <c r="BH627" i="2"/>
  <c r="BK627" i="2" s="1"/>
  <c r="BH187" i="2"/>
  <c r="BK187" i="2" s="1"/>
  <c r="BI184" i="2"/>
  <c r="BH10" i="2"/>
  <c r="BI10" i="2" s="1"/>
  <c r="T271" i="2"/>
  <c r="T270" i="2"/>
  <c r="I960" i="2"/>
  <c r="I667" i="2"/>
  <c r="J568" i="2"/>
  <c r="Q958" i="2"/>
  <c r="Q666" i="2"/>
  <c r="R500" i="2"/>
  <c r="Q504" i="2"/>
  <c r="R504" i="2" s="1"/>
  <c r="M957" i="2"/>
  <c r="M959" i="2" s="1"/>
  <c r="M665" i="2"/>
  <c r="M536" i="2"/>
  <c r="M418" i="2"/>
  <c r="N418" i="2" s="1"/>
  <c r="N414" i="2"/>
  <c r="N420" i="2" s="1"/>
  <c r="BG608" i="2"/>
  <c r="G904" i="2"/>
  <c r="H904" i="2" s="1"/>
  <c r="U9" i="2"/>
  <c r="V8" i="2"/>
  <c r="U640" i="2"/>
  <c r="V640" i="2" s="1"/>
  <c r="U678" i="2"/>
  <c r="V619" i="2"/>
  <c r="M655" i="2"/>
  <c r="N655" i="2" s="1"/>
  <c r="N633" i="2"/>
  <c r="AD496" i="2"/>
  <c r="BR552" i="2"/>
  <c r="BQ552" i="2"/>
  <c r="BM886" i="2"/>
  <c r="BN886" i="2"/>
  <c r="AH15" i="2"/>
  <c r="AO960" i="2"/>
  <c r="AO667" i="2"/>
  <c r="AP568" i="2"/>
  <c r="AM958" i="2"/>
  <c r="AM666" i="2"/>
  <c r="AM504" i="2"/>
  <c r="AN504" i="2" s="1"/>
  <c r="AN500" i="2"/>
  <c r="AM506" i="2"/>
  <c r="G958" i="2"/>
  <c r="G666" i="2"/>
  <c r="G506" i="2"/>
  <c r="G504" i="2"/>
  <c r="H504" i="2" s="1"/>
  <c r="H500" i="2"/>
  <c r="AI584" i="2"/>
  <c r="BI404" i="2"/>
  <c r="BP669" i="2"/>
  <c r="BR145" i="2"/>
  <c r="BQ145" i="2"/>
  <c r="G980" i="2"/>
  <c r="G211" i="2"/>
  <c r="G217" i="2"/>
  <c r="G218" i="2" s="1"/>
  <c r="H204" i="2"/>
  <c r="G216" i="2"/>
  <c r="P921" i="2"/>
  <c r="K832" i="2"/>
  <c r="L712" i="2"/>
  <c r="W960" i="2"/>
  <c r="W667" i="2"/>
  <c r="X568" i="2"/>
  <c r="AF15" i="2"/>
  <c r="AG338" i="2"/>
  <c r="AH338" i="2" s="1"/>
  <c r="AH335" i="2"/>
  <c r="Q338" i="2"/>
  <c r="R338" i="2" s="1"/>
  <c r="R335" i="2"/>
  <c r="AE338" i="2"/>
  <c r="AF338" i="2" s="1"/>
  <c r="AF335" i="2"/>
  <c r="BI598" i="2"/>
  <c r="C639" i="2"/>
  <c r="D639" i="2" s="1"/>
  <c r="D618" i="2"/>
  <c r="BJ972" i="2"/>
  <c r="BK972" i="2" s="1"/>
  <c r="BJ619" i="2"/>
  <c r="BK111" i="2"/>
  <c r="BJ114" i="2"/>
  <c r="BJ8" i="2"/>
  <c r="M952" i="2"/>
  <c r="M660" i="2"/>
  <c r="N65" i="2"/>
  <c r="M639" i="2"/>
  <c r="N639" i="2" s="1"/>
  <c r="N618" i="2"/>
  <c r="Q124" i="2"/>
  <c r="R124" i="2" s="1"/>
  <c r="R123" i="2"/>
  <c r="BE863" i="2"/>
  <c r="BD864" i="2"/>
  <c r="BD937" i="2"/>
  <c r="BE937" i="2" s="1"/>
  <c r="AL870" i="2"/>
  <c r="AT870" i="2"/>
  <c r="AL919" i="2"/>
  <c r="O653" i="2"/>
  <c r="P653" i="2" s="1"/>
  <c r="P632" i="2"/>
  <c r="Z401" i="2"/>
  <c r="AE957" i="2"/>
  <c r="AE959" i="2" s="1"/>
  <c r="AE665" i="2"/>
  <c r="AE418" i="2"/>
  <c r="AF418" i="2" s="1"/>
  <c r="AF414" i="2"/>
  <c r="AF420" i="2" s="1"/>
  <c r="AE420" i="2"/>
  <c r="AF417" i="2"/>
  <c r="O14" i="2"/>
  <c r="P14" i="2" s="1"/>
  <c r="P13" i="2"/>
  <c r="P410" i="2"/>
  <c r="O413" i="2"/>
  <c r="P413" i="2" s="1"/>
  <c r="BK527" i="2"/>
  <c r="AC338" i="2"/>
  <c r="AD338" i="2" s="1"/>
  <c r="AD335" i="2"/>
  <c r="AP10" i="2"/>
  <c r="AO953" i="2"/>
  <c r="AO661" i="2"/>
  <c r="AP114" i="2"/>
  <c r="AO128" i="2"/>
  <c r="AP128" i="2" s="1"/>
  <c r="Y674" i="2"/>
  <c r="Y639" i="2"/>
  <c r="Z639" i="2" s="1"/>
  <c r="Z618" i="2"/>
  <c r="BI141" i="2"/>
  <c r="D922" i="2"/>
  <c r="L922" i="2"/>
  <c r="AG938" i="2"/>
  <c r="AH938" i="2" s="1"/>
  <c r="AH878" i="2"/>
  <c r="AG936" i="2"/>
  <c r="AH936" i="2" s="1"/>
  <c r="P922" i="2"/>
  <c r="BG823" i="2"/>
  <c r="BI823" i="2"/>
  <c r="BF825" i="2"/>
  <c r="K629" i="2"/>
  <c r="K634" i="2" s="1"/>
  <c r="L529" i="2"/>
  <c r="K532" i="2"/>
  <c r="K538" i="2"/>
  <c r="L538" i="2" s="1"/>
  <c r="K531" i="2"/>
  <c r="AL401" i="2"/>
  <c r="AT401" i="2"/>
  <c r="AA14" i="2"/>
  <c r="AB13" i="2"/>
  <c r="AA978" i="2"/>
  <c r="L409" i="2"/>
  <c r="K978" i="2"/>
  <c r="Z333" i="2"/>
  <c r="AA980" i="2"/>
  <c r="AA954" i="2"/>
  <c r="BE80" i="2"/>
  <c r="BG80" i="2"/>
  <c r="F660" i="2"/>
  <c r="X662" i="2"/>
  <c r="BD983" i="2"/>
  <c r="BD575" i="2"/>
  <c r="BE573" i="2"/>
  <c r="BE983" i="2" s="1"/>
  <c r="Y614" i="2"/>
  <c r="Z613" i="2"/>
  <c r="E9" i="2"/>
  <c r="F8" i="2"/>
  <c r="E640" i="2"/>
  <c r="F619" i="2"/>
  <c r="F640" i="2" s="1"/>
  <c r="BN706" i="2"/>
  <c r="BL19" i="2"/>
  <c r="BM19" i="2" s="1"/>
  <c r="N497" i="2"/>
  <c r="AA960" i="2"/>
  <c r="AA667" i="2"/>
  <c r="AB568" i="2"/>
  <c r="AR870" i="2"/>
  <c r="AJ870" i="2"/>
  <c r="N900" i="2"/>
  <c r="AX885" i="2"/>
  <c r="BL885" i="2"/>
  <c r="AX546" i="2"/>
  <c r="BL546" i="2"/>
  <c r="AL582" i="2"/>
  <c r="AW492" i="2"/>
  <c r="AV492" i="2"/>
  <c r="AU485" i="2"/>
  <c r="BK404" i="2"/>
  <c r="X584" i="2"/>
  <c r="W586" i="2"/>
  <c r="AV333" i="2"/>
  <c r="AN333" i="2"/>
  <c r="AM953" i="2"/>
  <c r="AM954" i="2" s="1"/>
  <c r="AM661" i="2"/>
  <c r="AM128" i="2"/>
  <c r="AN128" i="2" s="1"/>
  <c r="AN114" i="2"/>
  <c r="W640" i="2"/>
  <c r="X640" i="2" s="1"/>
  <c r="W678" i="2"/>
  <c r="X619" i="2"/>
  <c r="H8" i="2"/>
  <c r="G9" i="2"/>
  <c r="W980" i="2"/>
  <c r="H660" i="2"/>
  <c r="AV223" i="2"/>
  <c r="BL223" i="2"/>
  <c r="BM223" i="2" s="1"/>
  <c r="Q953" i="2"/>
  <c r="Q954" i="2" s="1"/>
  <c r="Q661" i="2"/>
  <c r="R114" i="2"/>
  <c r="Q678" i="2"/>
  <c r="Q640" i="2"/>
  <c r="R640" i="2" s="1"/>
  <c r="R619" i="2"/>
  <c r="Q674" i="2"/>
  <c r="AN900" i="2"/>
  <c r="AV900" i="2"/>
  <c r="AM899" i="2"/>
  <c r="AI958" i="2"/>
  <c r="AI666" i="2"/>
  <c r="AI504" i="2"/>
  <c r="AJ504" i="2" s="1"/>
  <c r="AJ500" i="2"/>
  <c r="AI506" i="2"/>
  <c r="C958" i="2"/>
  <c r="C666" i="2"/>
  <c r="C504" i="2"/>
  <c r="D504" i="2" s="1"/>
  <c r="C506" i="2"/>
  <c r="D500" i="2"/>
  <c r="AG629" i="2"/>
  <c r="AG536" i="2"/>
  <c r="AG539" i="2"/>
  <c r="AH539" i="2" s="1"/>
  <c r="AG538" i="2"/>
  <c r="AH538" i="2" s="1"/>
  <c r="AH529" i="2"/>
  <c r="AK413" i="2"/>
  <c r="AT410" i="2"/>
  <c r="AL410" i="2"/>
  <c r="AK651" i="2"/>
  <c r="AL651" i="2" s="1"/>
  <c r="AL630" i="2"/>
  <c r="V409" i="2"/>
  <c r="U651" i="2"/>
  <c r="V651" i="2" s="1"/>
  <c r="V630" i="2"/>
  <c r="AX401" i="2"/>
  <c r="AW394" i="2"/>
  <c r="AK958" i="2"/>
  <c r="AK666" i="2"/>
  <c r="AL500" i="2"/>
  <c r="AK504" i="2"/>
  <c r="AL504" i="2" s="1"/>
  <c r="AK506" i="2"/>
  <c r="AJ417" i="2"/>
  <c r="AJ409" i="2"/>
  <c r="AR409" i="2"/>
  <c r="S14" i="2"/>
  <c r="T14" i="2" s="1"/>
  <c r="T13" i="2"/>
  <c r="T410" i="2"/>
  <c r="S413" i="2"/>
  <c r="T413" i="2" s="1"/>
  <c r="AC648" i="2"/>
  <c r="AD648" i="2" s="1"/>
  <c r="AD627" i="2"/>
  <c r="M955" i="2"/>
  <c r="M662" i="2"/>
  <c r="M200" i="2"/>
  <c r="N187" i="2"/>
  <c r="AI953" i="2"/>
  <c r="AI661" i="2"/>
  <c r="AI128" i="2"/>
  <c r="AJ128" i="2" s="1"/>
  <c r="AJ114" i="2"/>
  <c r="T8" i="2"/>
  <c r="S9" i="2"/>
  <c r="I967" i="2"/>
  <c r="I985" i="2" s="1"/>
  <c r="I904" i="2"/>
  <c r="J904" i="2" s="1"/>
  <c r="I850" i="2"/>
  <c r="I738" i="2"/>
  <c r="J738" i="2" s="1"/>
  <c r="J709" i="2"/>
  <c r="I836" i="2"/>
  <c r="J836" i="2" s="1"/>
  <c r="AK617" i="2"/>
  <c r="AK146" i="2"/>
  <c r="AL143" i="2"/>
  <c r="M953" i="2"/>
  <c r="M661" i="2"/>
  <c r="N114" i="2"/>
  <c r="AH923" i="2"/>
  <c r="AH891" i="2"/>
  <c r="AH920" i="2"/>
  <c r="R891" i="2"/>
  <c r="T567" i="2"/>
  <c r="AS490" i="2"/>
  <c r="AR490" i="2"/>
  <c r="AQ483" i="2"/>
  <c r="I629" i="2"/>
  <c r="I538" i="2"/>
  <c r="J538" i="2" s="1"/>
  <c r="I531" i="2"/>
  <c r="J529" i="2"/>
  <c r="I532" i="2"/>
  <c r="I653" i="2"/>
  <c r="J653" i="2" s="1"/>
  <c r="J632" i="2"/>
  <c r="AS559" i="2"/>
  <c r="AT557" i="2"/>
  <c r="AN584" i="2"/>
  <c r="AM586" i="2"/>
  <c r="I648" i="2"/>
  <c r="J648" i="2" s="1"/>
  <c r="J627" i="2"/>
  <c r="K338" i="2"/>
  <c r="L338" i="2" s="1"/>
  <c r="L335" i="2"/>
  <c r="AE674" i="2"/>
  <c r="AE639" i="2"/>
  <c r="AF639" i="2" s="1"/>
  <c r="AF618" i="2"/>
  <c r="AH7" i="2"/>
  <c r="BH971" i="2"/>
  <c r="BH618" i="2"/>
  <c r="BI62" i="2"/>
  <c r="BH65" i="2"/>
  <c r="BH7" i="2"/>
  <c r="BI7" i="2" s="1"/>
  <c r="I952" i="2"/>
  <c r="I954" i="2" s="1"/>
  <c r="I660" i="2"/>
  <c r="R660" i="2" s="1"/>
  <c r="J65" i="2"/>
  <c r="I973" i="2"/>
  <c r="I980" i="2" s="1"/>
  <c r="AI952" i="2"/>
  <c r="AI660" i="2"/>
  <c r="AI79" i="2"/>
  <c r="AJ79" i="2" s="1"/>
  <c r="AJ65" i="2"/>
  <c r="AI639" i="2"/>
  <c r="AJ639" i="2" s="1"/>
  <c r="AJ618" i="2"/>
  <c r="AI674" i="2"/>
  <c r="AB900" i="2"/>
  <c r="AA899" i="2"/>
  <c r="AB899" i="2" s="1"/>
  <c r="AF922" i="2"/>
  <c r="AF891" i="2"/>
  <c r="AF920" i="2"/>
  <c r="AC686" i="2"/>
  <c r="AC655" i="2"/>
  <c r="AD655" i="2" s="1"/>
  <c r="AD633" i="2"/>
  <c r="BI401" i="2"/>
  <c r="AR403" i="2"/>
  <c r="AQ396" i="2"/>
  <c r="AS403" i="2"/>
  <c r="O975" i="2"/>
  <c r="O980" i="2" s="1"/>
  <c r="O628" i="2"/>
  <c r="O354" i="2"/>
  <c r="P330" i="2"/>
  <c r="O339" i="2"/>
  <c r="O11" i="2"/>
  <c r="P11" i="2" s="1"/>
  <c r="BG322" i="2"/>
  <c r="T253" i="2"/>
  <c r="T252" i="2"/>
  <c r="L8" i="2"/>
  <c r="K9" i="2"/>
  <c r="K640" i="2"/>
  <c r="L640" i="2" s="1"/>
  <c r="L619" i="2"/>
  <c r="AB618" i="2"/>
  <c r="K659" i="2"/>
  <c r="L146" i="2"/>
  <c r="K148" i="2"/>
  <c r="S866" i="2"/>
  <c r="T866" i="2" s="1"/>
  <c r="T40" i="2"/>
  <c r="S42" i="2"/>
  <c r="U34" i="2"/>
  <c r="U674" i="2"/>
  <c r="U954" i="2"/>
  <c r="H662" i="2"/>
  <c r="K954" i="2"/>
  <c r="U659" i="2"/>
  <c r="U148" i="2"/>
  <c r="V146" i="2"/>
  <c r="BL227" i="2"/>
  <c r="E638" i="2"/>
  <c r="F638" i="2" s="1"/>
  <c r="E634" i="2"/>
  <c r="F617" i="2"/>
  <c r="F634" i="2" s="1"/>
  <c r="AI954" i="2" l="1"/>
  <c r="L899" i="2"/>
  <c r="BJ335" i="2"/>
  <c r="BJ338" i="2" s="1"/>
  <c r="K980" i="2"/>
  <c r="K981" i="2" s="1"/>
  <c r="Y980" i="2"/>
  <c r="AB338" i="2"/>
  <c r="S980" i="2"/>
  <c r="AB14" i="2"/>
  <c r="AN655" i="2"/>
  <c r="U634" i="2"/>
  <c r="U987" i="2" s="1"/>
  <c r="BM557" i="2"/>
  <c r="K987" i="2"/>
  <c r="K656" i="2"/>
  <c r="K635" i="2"/>
  <c r="AO675" i="2"/>
  <c r="AO694" i="2"/>
  <c r="AP674" i="2"/>
  <c r="U981" i="2"/>
  <c r="U635" i="2"/>
  <c r="U656" i="2"/>
  <c r="U47" i="2"/>
  <c r="V47" i="2" s="1"/>
  <c r="U40" i="2"/>
  <c r="U46" i="2"/>
  <c r="V46" i="2" s="1"/>
  <c r="V34" i="2"/>
  <c r="U49" i="2"/>
  <c r="U48" i="2"/>
  <c r="V48" i="2" s="1"/>
  <c r="O649" i="2"/>
  <c r="P628" i="2"/>
  <c r="AD686" i="2"/>
  <c r="AC687" i="2"/>
  <c r="AU490" i="2"/>
  <c r="AT490" i="2"/>
  <c r="AS483" i="2"/>
  <c r="AL666" i="2"/>
  <c r="AG682" i="2"/>
  <c r="AG650" i="2"/>
  <c r="AH629" i="2"/>
  <c r="D666" i="2"/>
  <c r="AV485" i="2"/>
  <c r="BN546" i="2"/>
  <c r="BM546" i="2"/>
  <c r="BL548" i="2"/>
  <c r="BG825" i="2"/>
  <c r="BI825" i="2"/>
  <c r="Y675" i="2"/>
  <c r="Y694" i="2"/>
  <c r="Z674" i="2"/>
  <c r="BJ953" i="2"/>
  <c r="BJ661" i="2"/>
  <c r="BJ128" i="2"/>
  <c r="BK114" i="2"/>
  <c r="AJ584" i="2"/>
  <c r="AI586" i="2"/>
  <c r="H666" i="2"/>
  <c r="AP667" i="2"/>
  <c r="U695" i="2"/>
  <c r="U679" i="2"/>
  <c r="V678" i="2"/>
  <c r="M664" i="2"/>
  <c r="N536" i="2"/>
  <c r="J667" i="2"/>
  <c r="BC666" i="2"/>
  <c r="U938" i="2"/>
  <c r="V938" i="2" s="1"/>
  <c r="V878" i="2"/>
  <c r="U936" i="2"/>
  <c r="V936" i="2" s="1"/>
  <c r="U926" i="2"/>
  <c r="V926" i="2" s="1"/>
  <c r="U924" i="2"/>
  <c r="V924" i="2" s="1"/>
  <c r="BH655" i="2"/>
  <c r="BH686" i="2"/>
  <c r="BI633" i="2"/>
  <c r="BC662" i="2"/>
  <c r="R926" i="2"/>
  <c r="BJ686" i="2"/>
  <c r="BJ655" i="2"/>
  <c r="BK633" i="2"/>
  <c r="G938" i="2"/>
  <c r="H938" i="2" s="1"/>
  <c r="H878" i="2"/>
  <c r="G936" i="2"/>
  <c r="H936" i="2" s="1"/>
  <c r="G926" i="2"/>
  <c r="H926" i="2" s="1"/>
  <c r="G924" i="2"/>
  <c r="H924" i="2" s="1"/>
  <c r="AT404" i="2"/>
  <c r="AS397" i="2"/>
  <c r="AU404" i="2"/>
  <c r="BD957" i="2"/>
  <c r="BD665" i="2"/>
  <c r="BD420" i="2"/>
  <c r="BD418" i="2"/>
  <c r="BE414" i="2"/>
  <c r="AO638" i="2"/>
  <c r="AP617" i="2"/>
  <c r="AO634" i="2"/>
  <c r="BN240" i="2"/>
  <c r="BM240" i="2"/>
  <c r="BF282" i="2"/>
  <c r="BG275" i="2"/>
  <c r="BF288" i="2"/>
  <c r="BG288" i="2" s="1"/>
  <c r="BF287" i="2"/>
  <c r="BG287" i="2" s="1"/>
  <c r="AU979" i="2"/>
  <c r="AU633" i="2"/>
  <c r="AU568" i="2"/>
  <c r="AV559" i="2"/>
  <c r="AU15" i="2"/>
  <c r="AV15" i="2" s="1"/>
  <c r="AW609" i="2"/>
  <c r="AX609" i="2" s="1"/>
  <c r="AX391" i="2"/>
  <c r="AC682" i="2"/>
  <c r="AC650" i="2"/>
  <c r="AD629" i="2"/>
  <c r="L836" i="2"/>
  <c r="L904" i="2"/>
  <c r="BJ629" i="2"/>
  <c r="BJ538" i="2"/>
  <c r="BK529" i="2"/>
  <c r="BJ539" i="2"/>
  <c r="BJ536" i="2"/>
  <c r="BL232" i="2"/>
  <c r="BM222" i="2"/>
  <c r="BN222" i="2"/>
  <c r="AI638" i="2"/>
  <c r="AJ638" i="2" s="1"/>
  <c r="AI634" i="2"/>
  <c r="AJ617" i="2"/>
  <c r="S173" i="2"/>
  <c r="T173" i="2" s="1"/>
  <c r="T172" i="2"/>
  <c r="AH660" i="2"/>
  <c r="AE638" i="2"/>
  <c r="AE634" i="2"/>
  <c r="AN634" i="2" s="1"/>
  <c r="AF617" i="2"/>
  <c r="AE954" i="2"/>
  <c r="BD975" i="2"/>
  <c r="BD628" i="2"/>
  <c r="BD354" i="2"/>
  <c r="BD339" i="2"/>
  <c r="BE330" i="2"/>
  <c r="BD11" i="2"/>
  <c r="AM987" i="2"/>
  <c r="AM981" i="2"/>
  <c r="AM656" i="2"/>
  <c r="AM635" i="2"/>
  <c r="D661" i="2"/>
  <c r="S679" i="2"/>
  <c r="S695" i="2"/>
  <c r="T678" i="2"/>
  <c r="AH653" i="2"/>
  <c r="AM16" i="2"/>
  <c r="AN9" i="2"/>
  <c r="BJ957" i="2"/>
  <c r="BJ665" i="2"/>
  <c r="BK414" i="2"/>
  <c r="BJ418" i="2"/>
  <c r="I649" i="2"/>
  <c r="J649" i="2" s="1"/>
  <c r="J628" i="2"/>
  <c r="BD953" i="2"/>
  <c r="BD661" i="2"/>
  <c r="BE114" i="2"/>
  <c r="BE972" i="2"/>
  <c r="P504" i="2"/>
  <c r="AX827" i="2"/>
  <c r="BL827" i="2"/>
  <c r="BM827" i="2" s="1"/>
  <c r="P936" i="2"/>
  <c r="BH90" i="2"/>
  <c r="BI84" i="2"/>
  <c r="BH99" i="2"/>
  <c r="BI99" i="2" s="1"/>
  <c r="BH96" i="2"/>
  <c r="BI96" i="2" s="1"/>
  <c r="BH97" i="2"/>
  <c r="BI97" i="2" s="1"/>
  <c r="BH98" i="2"/>
  <c r="BI98" i="2" s="1"/>
  <c r="M638" i="2"/>
  <c r="N638" i="2" s="1"/>
  <c r="M634" i="2"/>
  <c r="V634" i="2" s="1"/>
  <c r="N617" i="2"/>
  <c r="BM297" i="2"/>
  <c r="BO297" i="2"/>
  <c r="E664" i="2"/>
  <c r="F664" i="2" s="1"/>
  <c r="E540" i="2"/>
  <c r="F536" i="2"/>
  <c r="O686" i="2"/>
  <c r="P633" i="2"/>
  <c r="O655" i="2"/>
  <c r="P655" i="2" s="1"/>
  <c r="AL613" i="2"/>
  <c r="AK614" i="2"/>
  <c r="BR474" i="2"/>
  <c r="BS474" i="2" s="1"/>
  <c r="BS473" i="2"/>
  <c r="BB880" i="2"/>
  <c r="BC864" i="2"/>
  <c r="BB925" i="2"/>
  <c r="BC925" i="2" s="1"/>
  <c r="AA956" i="2"/>
  <c r="AA663" i="2"/>
  <c r="AA357" i="2"/>
  <c r="AA354" i="2"/>
  <c r="AA356" i="2"/>
  <c r="AB356" i="2" s="1"/>
  <c r="AB339" i="2"/>
  <c r="AA649" i="2"/>
  <c r="AB628" i="2"/>
  <c r="AA674" i="2"/>
  <c r="AP666" i="2"/>
  <c r="AP539" i="2"/>
  <c r="V655" i="2"/>
  <c r="T686" i="2"/>
  <c r="S687" i="2"/>
  <c r="AC694" i="2"/>
  <c r="AD674" i="2"/>
  <c r="AC675" i="2"/>
  <c r="S638" i="2"/>
  <c r="T638" i="2" s="1"/>
  <c r="T617" i="2"/>
  <c r="S634" i="2"/>
  <c r="E535" i="2"/>
  <c r="F535" i="2" s="1"/>
  <c r="E541" i="2"/>
  <c r="F541" i="2" s="1"/>
  <c r="F532" i="2"/>
  <c r="I664" i="2"/>
  <c r="J664" i="2" s="1"/>
  <c r="I540" i="2"/>
  <c r="J536" i="2"/>
  <c r="AX413" i="2"/>
  <c r="AP413" i="2"/>
  <c r="O674" i="2"/>
  <c r="AE16" i="2"/>
  <c r="AF9" i="2"/>
  <c r="H586" i="2"/>
  <c r="G591" i="2"/>
  <c r="BP258" i="2"/>
  <c r="BO258" i="2"/>
  <c r="BF960" i="2"/>
  <c r="BF667" i="2"/>
  <c r="BG568" i="2"/>
  <c r="BH292" i="2"/>
  <c r="BF302" i="2"/>
  <c r="BF303" i="2" s="1"/>
  <c r="BG299" i="2"/>
  <c r="AJ651" i="2"/>
  <c r="AK959" i="2"/>
  <c r="AM938" i="2"/>
  <c r="AN878" i="2"/>
  <c r="AM936" i="2"/>
  <c r="AM926" i="2"/>
  <c r="AM924" i="2"/>
  <c r="M591" i="2"/>
  <c r="N586" i="2"/>
  <c r="BP822" i="2"/>
  <c r="BO822" i="2"/>
  <c r="AI938" i="2"/>
  <c r="AJ878" i="2"/>
  <c r="AI936" i="2"/>
  <c r="AI926" i="2"/>
  <c r="AI924" i="2"/>
  <c r="L639" i="2"/>
  <c r="AL648" i="2"/>
  <c r="L665" i="2"/>
  <c r="AA959" i="2"/>
  <c r="T230" i="2"/>
  <c r="AF651" i="2"/>
  <c r="X532" i="2"/>
  <c r="P532" i="2"/>
  <c r="O535" i="2"/>
  <c r="AJ686" i="2"/>
  <c r="AI687" i="2"/>
  <c r="AK938" i="2"/>
  <c r="AL878" i="2"/>
  <c r="AK936" i="2"/>
  <c r="AK926" i="2"/>
  <c r="AK924" i="2"/>
  <c r="Z938" i="2"/>
  <c r="BF973" i="2"/>
  <c r="BG971" i="2"/>
  <c r="AE956" i="2"/>
  <c r="AE663" i="2"/>
  <c r="AE357" i="2"/>
  <c r="AE354" i="2"/>
  <c r="AE356" i="2"/>
  <c r="AF339" i="2"/>
  <c r="AE649" i="2"/>
  <c r="AF628" i="2"/>
  <c r="AG956" i="2"/>
  <c r="AG663" i="2"/>
  <c r="AG356" i="2"/>
  <c r="AH339" i="2"/>
  <c r="AG357" i="2"/>
  <c r="AG354" i="2"/>
  <c r="AV394" i="2"/>
  <c r="AU405" i="2"/>
  <c r="AV405" i="2" s="1"/>
  <c r="AU523" i="2"/>
  <c r="BL394" i="2"/>
  <c r="BH978" i="2"/>
  <c r="BI976" i="2"/>
  <c r="BF880" i="2"/>
  <c r="BG864" i="2"/>
  <c r="BF925" i="2"/>
  <c r="V421" i="2"/>
  <c r="N421" i="2"/>
  <c r="BG972" i="2"/>
  <c r="BB14" i="2"/>
  <c r="BC14" i="2" s="1"/>
  <c r="BC13" i="2"/>
  <c r="BB651" i="2"/>
  <c r="BC651" i="2" s="1"/>
  <c r="BC630" i="2"/>
  <c r="AH413" i="2"/>
  <c r="BF629" i="2"/>
  <c r="BF539" i="2"/>
  <c r="BG539" i="2" s="1"/>
  <c r="BG529" i="2"/>
  <c r="BF538" i="2"/>
  <c r="BF536" i="2"/>
  <c r="BB852" i="2"/>
  <c r="BB832" i="2"/>
  <c r="BC712" i="2"/>
  <c r="S664" i="2"/>
  <c r="T536" i="2"/>
  <c r="AK956" i="2"/>
  <c r="AK663" i="2"/>
  <c r="AK356" i="2"/>
  <c r="AL339" i="2"/>
  <c r="AK357" i="2"/>
  <c r="AK354" i="2"/>
  <c r="BH40" i="2"/>
  <c r="BI34" i="2"/>
  <c r="BH49" i="2"/>
  <c r="BI49" i="2" s="1"/>
  <c r="BH47" i="2"/>
  <c r="BI47" i="2" s="1"/>
  <c r="BH46" i="2"/>
  <c r="BI46" i="2" s="1"/>
  <c r="BH48" i="2"/>
  <c r="BI48" i="2" s="1"/>
  <c r="O659" i="2"/>
  <c r="P146" i="2"/>
  <c r="O148" i="2"/>
  <c r="O954" i="2"/>
  <c r="AE664" i="2"/>
  <c r="AE540" i="2"/>
  <c r="AF536" i="2"/>
  <c r="BF957" i="2"/>
  <c r="BF665" i="2"/>
  <c r="BG414" i="2"/>
  <c r="BF418" i="2"/>
  <c r="BG418" i="2" s="1"/>
  <c r="W959" i="2"/>
  <c r="Z666" i="2"/>
  <c r="U253" i="2"/>
  <c r="U254" i="2" s="1"/>
  <c r="V254" i="2" s="1"/>
  <c r="U252" i="2"/>
  <c r="U246" i="2"/>
  <c r="V239" i="2"/>
  <c r="H667" i="2"/>
  <c r="AI980" i="2"/>
  <c r="BK7" i="2"/>
  <c r="BJ639" i="2"/>
  <c r="BK618" i="2"/>
  <c r="AG638" i="2"/>
  <c r="AH617" i="2"/>
  <c r="AG634" i="2"/>
  <c r="BD648" i="2"/>
  <c r="BE648" i="2" s="1"/>
  <c r="BE627" i="2"/>
  <c r="K956" i="2"/>
  <c r="K663" i="2"/>
  <c r="K374" i="2"/>
  <c r="K373" i="2"/>
  <c r="K357" i="2"/>
  <c r="L339" i="2"/>
  <c r="N9" i="2"/>
  <c r="M16" i="2"/>
  <c r="AL79" i="2"/>
  <c r="AI959" i="2"/>
  <c r="AK664" i="2"/>
  <c r="AK540" i="2"/>
  <c r="AL536" i="2"/>
  <c r="AL14" i="2"/>
  <c r="AH666" i="2"/>
  <c r="Q16" i="2"/>
  <c r="R9" i="2"/>
  <c r="AH128" i="2"/>
  <c r="AX268" i="2"/>
  <c r="AW259" i="2"/>
  <c r="AX259" i="2" s="1"/>
  <c r="AB686" i="2"/>
  <c r="AA687" i="2"/>
  <c r="BG10" i="2"/>
  <c r="BG974" i="2"/>
  <c r="AL662" i="2"/>
  <c r="L666" i="2"/>
  <c r="BN888" i="2"/>
  <c r="BO888" i="2" s="1"/>
  <c r="BP859" i="2"/>
  <c r="BO859" i="2"/>
  <c r="C938" i="2"/>
  <c r="D938" i="2" s="1"/>
  <c r="D878" i="2"/>
  <c r="C936" i="2"/>
  <c r="D936" i="2" s="1"/>
  <c r="C926" i="2"/>
  <c r="D926" i="2" s="1"/>
  <c r="C924" i="2"/>
  <c r="D924" i="2" s="1"/>
  <c r="Z640" i="2"/>
  <c r="T338" i="2"/>
  <c r="W956" i="2"/>
  <c r="W663" i="2"/>
  <c r="W357" i="2"/>
  <c r="W354" i="2"/>
  <c r="X354" i="2" s="1"/>
  <c r="W356" i="2"/>
  <c r="X356" i="2" s="1"/>
  <c r="X339" i="2"/>
  <c r="W649" i="2"/>
  <c r="X649" i="2" s="1"/>
  <c r="X628" i="2"/>
  <c r="W674" i="2"/>
  <c r="P665" i="2"/>
  <c r="D660" i="2"/>
  <c r="BM226" i="2"/>
  <c r="BO226" i="2"/>
  <c r="F364" i="2"/>
  <c r="E367" i="2"/>
  <c r="F367" i="2" s="1"/>
  <c r="BB638" i="2"/>
  <c r="BC638" i="2" s="1"/>
  <c r="BC617" i="2"/>
  <c r="AO687" i="2"/>
  <c r="AP686" i="2"/>
  <c r="AP936" i="2"/>
  <c r="AD413" i="2"/>
  <c r="Q664" i="2"/>
  <c r="R536" i="2"/>
  <c r="AX875" i="2"/>
  <c r="BI332" i="2"/>
  <c r="R418" i="2"/>
  <c r="V667" i="2"/>
  <c r="T660" i="2"/>
  <c r="T666" i="2"/>
  <c r="BP390" i="2"/>
  <c r="BO390" i="2"/>
  <c r="BN519" i="2"/>
  <c r="BO519" i="2" s="1"/>
  <c r="Z14" i="2"/>
  <c r="AD504" i="2"/>
  <c r="P586" i="2"/>
  <c r="O591" i="2"/>
  <c r="AA682" i="2"/>
  <c r="AA650" i="2"/>
  <c r="AB629" i="2"/>
  <c r="BJ617" i="2"/>
  <c r="BJ146" i="2"/>
  <c r="BK143" i="2"/>
  <c r="C956" i="2"/>
  <c r="C663" i="2"/>
  <c r="C374" i="2"/>
  <c r="C373" i="2"/>
  <c r="C357" i="2"/>
  <c r="D339" i="2"/>
  <c r="BE921" i="2"/>
  <c r="BG921" i="2"/>
  <c r="P899" i="2"/>
  <c r="AP639" i="2"/>
  <c r="AH662" i="2"/>
  <c r="X538" i="2"/>
  <c r="AV558" i="2"/>
  <c r="AW558" i="2"/>
  <c r="C591" i="2"/>
  <c r="D586" i="2"/>
  <c r="AF586" i="2"/>
  <c r="AE591" i="2"/>
  <c r="BF638" i="2"/>
  <c r="E987" i="2"/>
  <c r="E981" i="2"/>
  <c r="E656" i="2"/>
  <c r="F656" i="2" s="1"/>
  <c r="E635" i="2"/>
  <c r="T42" i="2"/>
  <c r="S67" i="2"/>
  <c r="T67" i="2" s="1"/>
  <c r="S72" i="2"/>
  <c r="T72" i="2" s="1"/>
  <c r="S68" i="2"/>
  <c r="S74" i="2"/>
  <c r="S69" i="2"/>
  <c r="T69" i="2" s="1"/>
  <c r="S73" i="2"/>
  <c r="T73" i="2" s="1"/>
  <c r="S78" i="2"/>
  <c r="T78" i="2" s="1"/>
  <c r="O956" i="2"/>
  <c r="O663" i="2"/>
  <c r="P339" i="2"/>
  <c r="O357" i="2"/>
  <c r="BH639" i="2"/>
  <c r="BI618" i="2"/>
  <c r="I535" i="2"/>
  <c r="R532" i="2"/>
  <c r="I541" i="2"/>
  <c r="J541" i="2" s="1"/>
  <c r="J532" i="2"/>
  <c r="I650" i="2"/>
  <c r="J650" i="2" s="1"/>
  <c r="J629" i="2"/>
  <c r="AJ666" i="2"/>
  <c r="Q695" i="2"/>
  <c r="R678" i="2"/>
  <c r="Q679" i="2"/>
  <c r="W695" i="2"/>
  <c r="X678" i="2"/>
  <c r="W679" i="2"/>
  <c r="AN661" i="2"/>
  <c r="X586" i="2"/>
  <c r="W591" i="2"/>
  <c r="AB667" i="2"/>
  <c r="BP706" i="2"/>
  <c r="BN19" i="2"/>
  <c r="BO19" i="2" s="1"/>
  <c r="F9" i="2"/>
  <c r="E16" i="2"/>
  <c r="BD584" i="2"/>
  <c r="BE575" i="2"/>
  <c r="AA961" i="2"/>
  <c r="T532" i="2"/>
  <c r="L532" i="2"/>
  <c r="K535" i="2"/>
  <c r="K541" i="2"/>
  <c r="AF665" i="2"/>
  <c r="N660" i="2"/>
  <c r="BR669" i="2"/>
  <c r="BS145" i="2"/>
  <c r="BT145" i="2"/>
  <c r="AN666" i="2"/>
  <c r="N665" i="2"/>
  <c r="R666" i="2"/>
  <c r="BB953" i="2"/>
  <c r="BC953" i="2" s="1"/>
  <c r="BB661" i="2"/>
  <c r="BC114" i="2"/>
  <c r="V200" i="2"/>
  <c r="BG355" i="2"/>
  <c r="BE355" i="2"/>
  <c r="O695" i="2"/>
  <c r="P678" i="2"/>
  <c r="O679" i="2"/>
  <c r="AF661" i="2"/>
  <c r="BB975" i="2"/>
  <c r="BC975" i="2" s="1"/>
  <c r="BB628" i="2"/>
  <c r="BB339" i="2"/>
  <c r="BB354" i="2"/>
  <c r="BC354" i="2" s="1"/>
  <c r="BC330" i="2"/>
  <c r="BB11" i="2"/>
  <c r="BC11" i="2" s="1"/>
  <c r="AI956" i="2"/>
  <c r="AI961" i="2" s="1"/>
  <c r="AI663" i="2"/>
  <c r="AI357" i="2"/>
  <c r="AJ357" i="2" s="1"/>
  <c r="AI354" i="2"/>
  <c r="AJ354" i="2" s="1"/>
  <c r="AI356" i="2"/>
  <c r="AJ356" i="2" s="1"/>
  <c r="AJ339" i="2"/>
  <c r="AI649" i="2"/>
  <c r="AJ649" i="2" s="1"/>
  <c r="AJ628" i="2"/>
  <c r="BK15" i="2"/>
  <c r="BK979" i="2"/>
  <c r="BM874" i="2"/>
  <c r="BN874" i="2"/>
  <c r="BL875" i="2"/>
  <c r="AR397" i="2"/>
  <c r="AD613" i="2"/>
  <c r="AC614" i="2"/>
  <c r="AN418" i="2"/>
  <c r="AX518" i="2"/>
  <c r="AW520" i="2"/>
  <c r="X653" i="2"/>
  <c r="N531" i="2"/>
  <c r="V531" i="2"/>
  <c r="V660" i="2"/>
  <c r="BF614" i="2"/>
  <c r="AV862" i="2"/>
  <c r="AW862" i="2"/>
  <c r="AD9" i="2"/>
  <c r="AC16" i="2"/>
  <c r="AJ14" i="2"/>
  <c r="V418" i="2"/>
  <c r="D532" i="2"/>
  <c r="C535" i="2"/>
  <c r="D535" i="2" s="1"/>
  <c r="C541" i="2"/>
  <c r="D541" i="2" s="1"/>
  <c r="BJ14" i="2"/>
  <c r="BK13" i="2"/>
  <c r="BJ651" i="2"/>
  <c r="BK630" i="2"/>
  <c r="E614" i="2"/>
  <c r="F613" i="2"/>
  <c r="E738" i="2"/>
  <c r="F738" i="2" s="1"/>
  <c r="Z338" i="2"/>
  <c r="F667" i="2"/>
  <c r="BP301" i="2"/>
  <c r="BO301" i="2"/>
  <c r="S649" i="2"/>
  <c r="T628" i="2"/>
  <c r="M956" i="2"/>
  <c r="M663" i="2"/>
  <c r="M357" i="2"/>
  <c r="N339" i="2"/>
  <c r="M374" i="2"/>
  <c r="M373" i="2"/>
  <c r="AF14" i="2"/>
  <c r="P666" i="2"/>
  <c r="AX823" i="2"/>
  <c r="AW825" i="2"/>
  <c r="AX825" i="2" s="1"/>
  <c r="BL823" i="2"/>
  <c r="P878" i="2"/>
  <c r="C659" i="2"/>
  <c r="D146" i="2"/>
  <c r="C148" i="2"/>
  <c r="F665" i="2"/>
  <c r="AE687" i="2"/>
  <c r="AF686" i="2"/>
  <c r="G650" i="2"/>
  <c r="H650" i="2" s="1"/>
  <c r="H629" i="2"/>
  <c r="AO956" i="2"/>
  <c r="AO663" i="2"/>
  <c r="AO356" i="2"/>
  <c r="AP356" i="2" s="1"/>
  <c r="AP339" i="2"/>
  <c r="AO357" i="2"/>
  <c r="AP357" i="2" s="1"/>
  <c r="AO354" i="2"/>
  <c r="AP354" i="2" s="1"/>
  <c r="AD418" i="2"/>
  <c r="AO664" i="2"/>
  <c r="AO540" i="2"/>
  <c r="AP536" i="2"/>
  <c r="V686" i="2"/>
  <c r="U687" i="2"/>
  <c r="E956" i="2"/>
  <c r="E961" i="2" s="1"/>
  <c r="E663" i="2"/>
  <c r="E357" i="2"/>
  <c r="F339" i="2"/>
  <c r="E374" i="2"/>
  <c r="E373" i="2"/>
  <c r="J665" i="2"/>
  <c r="BD639" i="2"/>
  <c r="BE618" i="2"/>
  <c r="BH958" i="2"/>
  <c r="BH666" i="2"/>
  <c r="BH504" i="2"/>
  <c r="BI500" i="2"/>
  <c r="J586" i="2"/>
  <c r="I591" i="2"/>
  <c r="Y687" i="2"/>
  <c r="Z686" i="2"/>
  <c r="V538" i="2"/>
  <c r="AB640" i="2"/>
  <c r="I659" i="2"/>
  <c r="I148" i="2"/>
  <c r="J146" i="2"/>
  <c r="BC582" i="2"/>
  <c r="BB584" i="2"/>
  <c r="BF686" i="2"/>
  <c r="BG686" i="2" s="1"/>
  <c r="BF655" i="2"/>
  <c r="BG633" i="2"/>
  <c r="BD960" i="2"/>
  <c r="BD667" i="2"/>
  <c r="BE568" i="2"/>
  <c r="AI682" i="2"/>
  <c r="AI650" i="2"/>
  <c r="AJ650" i="2" s="1"/>
  <c r="AJ629" i="2"/>
  <c r="AR899" i="2"/>
  <c r="AJ899" i="2"/>
  <c r="F661" i="2"/>
  <c r="AL640" i="2"/>
  <c r="BD617" i="2"/>
  <c r="BD146" i="2"/>
  <c r="BE143" i="2"/>
  <c r="F662" i="2"/>
  <c r="BM293" i="2"/>
  <c r="BG372" i="2"/>
  <c r="U235" i="2"/>
  <c r="U236" i="2" s="1"/>
  <c r="V236" i="2" s="1"/>
  <c r="U234" i="2"/>
  <c r="U228" i="2"/>
  <c r="V221" i="2"/>
  <c r="BD958" i="2"/>
  <c r="BE958" i="2" s="1"/>
  <c r="BD666" i="2"/>
  <c r="BD506" i="2"/>
  <c r="BD504" i="2"/>
  <c r="BE504" i="2" s="1"/>
  <c r="BE500" i="2"/>
  <c r="AT899" i="2"/>
  <c r="AL899" i="2"/>
  <c r="BG7" i="2"/>
  <c r="Q956" i="2"/>
  <c r="Q663" i="2"/>
  <c r="R339" i="2"/>
  <c r="Q357" i="2"/>
  <c r="X633" i="2"/>
  <c r="BC613" i="2"/>
  <c r="BB614" i="2"/>
  <c r="BH957" i="2"/>
  <c r="BH665" i="2"/>
  <c r="BH418" i="2"/>
  <c r="BI418" i="2" s="1"/>
  <c r="BI414" i="2"/>
  <c r="AM650" i="2"/>
  <c r="AN629" i="2"/>
  <c r="AM682" i="2"/>
  <c r="BG8" i="2"/>
  <c r="BF9" i="2"/>
  <c r="BT477" i="2"/>
  <c r="BS477" i="2"/>
  <c r="BR479" i="2"/>
  <c r="BB978" i="2"/>
  <c r="BC978" i="2" s="1"/>
  <c r="BC976" i="2"/>
  <c r="BG12" i="2"/>
  <c r="BG503" i="2"/>
  <c r="F666" i="2"/>
  <c r="T538" i="2"/>
  <c r="BB655" i="2"/>
  <c r="BC655" i="2" s="1"/>
  <c r="BC633" i="2"/>
  <c r="W659" i="2"/>
  <c r="X146" i="2"/>
  <c r="W148" i="2"/>
  <c r="BP547" i="2"/>
  <c r="BO547" i="2"/>
  <c r="AP665" i="2"/>
  <c r="BE582" i="2"/>
  <c r="Z667" i="2"/>
  <c r="AQ960" i="2"/>
  <c r="AQ667" i="2"/>
  <c r="AR568" i="2"/>
  <c r="BH584" i="2"/>
  <c r="BI575" i="2"/>
  <c r="O638" i="2"/>
  <c r="O634" i="2"/>
  <c r="P617" i="2"/>
  <c r="O16" i="2"/>
  <c r="P9" i="2"/>
  <c r="BJ975" i="2"/>
  <c r="BJ628" i="2"/>
  <c r="BJ339" i="2"/>
  <c r="BK330" i="2"/>
  <c r="BJ11" i="2"/>
  <c r="Z662" i="2"/>
  <c r="L667" i="2"/>
  <c r="BG13" i="2"/>
  <c r="BF14" i="2"/>
  <c r="BG14" i="2" s="1"/>
  <c r="BF651" i="2"/>
  <c r="BG630" i="2"/>
  <c r="AR485" i="2"/>
  <c r="AQ526" i="2"/>
  <c r="Q668" i="2"/>
  <c r="R659" i="2"/>
  <c r="AP660" i="2"/>
  <c r="X639" i="2"/>
  <c r="G664" i="2"/>
  <c r="H664" i="2" s="1"/>
  <c r="H536" i="2"/>
  <c r="G540" i="2"/>
  <c r="Y664" i="2"/>
  <c r="Z664" i="2" s="1"/>
  <c r="Y540" i="2"/>
  <c r="Z536" i="2"/>
  <c r="X504" i="2"/>
  <c r="AP899" i="2"/>
  <c r="AX899" i="2"/>
  <c r="V617" i="2"/>
  <c r="T248" i="2"/>
  <c r="AP584" i="2"/>
  <c r="AO586" i="2"/>
  <c r="BJ952" i="2"/>
  <c r="BJ660" i="2"/>
  <c r="BJ79" i="2"/>
  <c r="BK79" i="2" s="1"/>
  <c r="BK65" i="2"/>
  <c r="BJ973" i="2"/>
  <c r="BK971" i="2"/>
  <c r="AS523" i="2"/>
  <c r="AT482" i="2"/>
  <c r="BL482" i="2"/>
  <c r="AD128" i="2"/>
  <c r="AJ640" i="2"/>
  <c r="AL539" i="2"/>
  <c r="V413" i="2"/>
  <c r="H661" i="2"/>
  <c r="G649" i="2"/>
  <c r="H649" i="2" s="1"/>
  <c r="H628" i="2"/>
  <c r="AL9" i="2"/>
  <c r="AK16" i="2"/>
  <c r="BF955" i="2"/>
  <c r="BF662" i="2"/>
  <c r="BF200" i="2"/>
  <c r="BG187" i="2"/>
  <c r="Y956" i="2"/>
  <c r="Y663" i="2"/>
  <c r="Y356" i="2"/>
  <c r="Z356" i="2" s="1"/>
  <c r="Z339" i="2"/>
  <c r="Y357" i="2"/>
  <c r="Z357" i="2" s="1"/>
  <c r="Y354" i="2"/>
  <c r="Z354" i="2" s="1"/>
  <c r="L413" i="2"/>
  <c r="L14" i="2"/>
  <c r="L924" i="2"/>
  <c r="J661" i="2"/>
  <c r="Y695" i="2"/>
  <c r="Z678" i="2"/>
  <c r="Y679" i="2"/>
  <c r="AC956" i="2"/>
  <c r="AC961" i="2" s="1"/>
  <c r="AC663" i="2"/>
  <c r="AC356" i="2"/>
  <c r="AD356" i="2" s="1"/>
  <c r="AD339" i="2"/>
  <c r="AC357" i="2"/>
  <c r="AC354" i="2"/>
  <c r="O959" i="2"/>
  <c r="AJ667" i="2"/>
  <c r="BV817" i="2"/>
  <c r="BU817" i="2"/>
  <c r="C954" i="2"/>
  <c r="BH9" i="2"/>
  <c r="BI8" i="2"/>
  <c r="BS155" i="2"/>
  <c r="BT155" i="2"/>
  <c r="AP655" i="2"/>
  <c r="R653" i="2"/>
  <c r="Q682" i="2"/>
  <c r="Q650" i="2"/>
  <c r="R629" i="2"/>
  <c r="T266" i="2"/>
  <c r="BH975" i="2"/>
  <c r="BH628" i="2"/>
  <c r="BH339" i="2"/>
  <c r="BI330" i="2"/>
  <c r="BH11" i="2"/>
  <c r="Q721" i="2"/>
  <c r="R665" i="2"/>
  <c r="AH418" i="2"/>
  <c r="S954" i="2"/>
  <c r="V338" i="2"/>
  <c r="N903" i="2"/>
  <c r="BH617" i="2"/>
  <c r="BH146" i="2"/>
  <c r="BI143" i="2"/>
  <c r="BJ613" i="2"/>
  <c r="BK596" i="2"/>
  <c r="AE695" i="2"/>
  <c r="AF678" i="2"/>
  <c r="AE679" i="2"/>
  <c r="E938" i="2"/>
  <c r="F878" i="2"/>
  <c r="E936" i="2"/>
  <c r="N878" i="2"/>
  <c r="E926" i="2"/>
  <c r="E924" i="2"/>
  <c r="BE923" i="2"/>
  <c r="BG923" i="2"/>
  <c r="BE920" i="2"/>
  <c r="BG920" i="2"/>
  <c r="BE928" i="2"/>
  <c r="BG928" i="2"/>
  <c r="AS294" i="2"/>
  <c r="AT294" i="2" s="1"/>
  <c r="AT305" i="2"/>
  <c r="C664" i="2"/>
  <c r="D664" i="2" s="1"/>
  <c r="C540" i="2"/>
  <c r="D536" i="2"/>
  <c r="X413" i="2"/>
  <c r="S591" i="2"/>
  <c r="T586" i="2"/>
  <c r="AD899" i="2"/>
  <c r="AU491" i="2"/>
  <c r="AT491" i="2"/>
  <c r="AS484" i="2"/>
  <c r="AC591" i="2"/>
  <c r="AD586" i="2"/>
  <c r="L659" i="2"/>
  <c r="K16" i="2"/>
  <c r="L9" i="2"/>
  <c r="AU403" i="2"/>
  <c r="AT403" i="2"/>
  <c r="AS396" i="2"/>
  <c r="AT396" i="2" s="1"/>
  <c r="AI694" i="2"/>
  <c r="AI675" i="2"/>
  <c r="AJ674" i="2"/>
  <c r="BH952" i="2"/>
  <c r="BH660" i="2"/>
  <c r="BI65" i="2"/>
  <c r="BH79" i="2"/>
  <c r="BH973" i="2"/>
  <c r="BI971" i="2"/>
  <c r="AE694" i="2"/>
  <c r="AF674" i="2"/>
  <c r="AE675" i="2"/>
  <c r="AS979" i="2"/>
  <c r="AS633" i="2"/>
  <c r="AS568" i="2"/>
  <c r="AT559" i="2"/>
  <c r="AS15" i="2"/>
  <c r="AT15" i="2" s="1"/>
  <c r="AR483" i="2"/>
  <c r="AQ524" i="2"/>
  <c r="AQ486" i="2"/>
  <c r="AK659" i="2"/>
  <c r="AK148" i="2"/>
  <c r="AL146" i="2"/>
  <c r="S16" i="2"/>
  <c r="T9" i="2"/>
  <c r="AJ661" i="2"/>
  <c r="N662" i="2"/>
  <c r="AX394" i="2"/>
  <c r="AW405" i="2"/>
  <c r="AX405" i="2" s="1"/>
  <c r="AW523" i="2"/>
  <c r="Q675" i="2"/>
  <c r="R674" i="2"/>
  <c r="Q694" i="2"/>
  <c r="G16" i="2"/>
  <c r="H9" i="2"/>
  <c r="AX492" i="2"/>
  <c r="AW485" i="2"/>
  <c r="BL485" i="2" s="1"/>
  <c r="BD880" i="2"/>
  <c r="BE864" i="2"/>
  <c r="M954" i="2"/>
  <c r="M961" i="2" s="1"/>
  <c r="G212" i="2"/>
  <c r="I204" i="2"/>
  <c r="H211" i="2"/>
  <c r="BP708" i="2"/>
  <c r="BQ708" i="2" s="1"/>
  <c r="BP690" i="2"/>
  <c r="BQ669" i="2"/>
  <c r="BS552" i="2"/>
  <c r="BT552" i="2"/>
  <c r="BH955" i="2"/>
  <c r="BH662" i="2"/>
  <c r="BH200" i="2"/>
  <c r="BI187" i="2"/>
  <c r="AX298" i="2"/>
  <c r="BL298" i="2"/>
  <c r="C968" i="2"/>
  <c r="D850" i="2"/>
  <c r="C23" i="2"/>
  <c r="D23" i="2" s="1"/>
  <c r="BM518" i="2"/>
  <c r="BL520" i="2"/>
  <c r="AU947" i="2"/>
  <c r="AW841" i="2"/>
  <c r="AX841" i="2" s="1"/>
  <c r="AV840" i="2"/>
  <c r="AU819" i="2"/>
  <c r="AW840" i="2"/>
  <c r="AA987" i="2"/>
  <c r="AA981" i="2"/>
  <c r="AA656" i="2"/>
  <c r="AA635" i="2"/>
  <c r="AB634" i="2"/>
  <c r="V662" i="2"/>
  <c r="BV478" i="2"/>
  <c r="BU478" i="2"/>
  <c r="BS39" i="2"/>
  <c r="BT39" i="2"/>
  <c r="BL857" i="2"/>
  <c r="BM857" i="2" s="1"/>
  <c r="AX857" i="2"/>
  <c r="AW727" i="2"/>
  <c r="BE14" i="2"/>
  <c r="BE630" i="2"/>
  <c r="BD651" i="2"/>
  <c r="BE651" i="2" s="1"/>
  <c r="G659" i="2"/>
  <c r="H146" i="2"/>
  <c r="G148" i="2"/>
  <c r="X14" i="2"/>
  <c r="AN665" i="2"/>
  <c r="BL421" i="2"/>
  <c r="BM421" i="2" s="1"/>
  <c r="BN389" i="2"/>
  <c r="BM389" i="2"/>
  <c r="BL391" i="2"/>
  <c r="AC664" i="2"/>
  <c r="AC540" i="2"/>
  <c r="AD536" i="2"/>
  <c r="Q987" i="2"/>
  <c r="Q981" i="2"/>
  <c r="Q635" i="2"/>
  <c r="Q656" i="2"/>
  <c r="L738" i="2"/>
  <c r="W961" i="2"/>
  <c r="BK632" i="2"/>
  <c r="BJ653" i="2"/>
  <c r="AE938" i="2"/>
  <c r="AF878" i="2"/>
  <c r="AE936" i="2"/>
  <c r="AE926" i="2"/>
  <c r="AE924" i="2"/>
  <c r="S161" i="2"/>
  <c r="U154" i="2"/>
  <c r="T159" i="2"/>
  <c r="BE372" i="2"/>
  <c r="J662" i="2"/>
  <c r="AC695" i="2"/>
  <c r="AC679" i="2"/>
  <c r="AD678" i="2"/>
  <c r="AN638" i="2"/>
  <c r="AD200" i="2"/>
  <c r="V665" i="2"/>
  <c r="BJ978" i="2"/>
  <c r="BK978" i="2" s="1"/>
  <c r="BK976" i="2"/>
  <c r="Z924" i="2"/>
  <c r="AL661" i="2"/>
  <c r="BV472" i="2"/>
  <c r="BU472" i="2"/>
  <c r="Y659" i="2"/>
  <c r="Y148" i="2"/>
  <c r="Z146" i="2"/>
  <c r="AO695" i="2"/>
  <c r="AP678" i="2"/>
  <c r="AO679" i="2"/>
  <c r="BE128" i="2"/>
  <c r="S956" i="2"/>
  <c r="S663" i="2"/>
  <c r="S357" i="2"/>
  <c r="T357" i="2" s="1"/>
  <c r="T339" i="2"/>
  <c r="S354" i="2"/>
  <c r="T354" i="2" s="1"/>
  <c r="M649" i="2"/>
  <c r="N649" i="2" s="1"/>
  <c r="N628" i="2"/>
  <c r="BO828" i="2"/>
  <c r="BP828" i="2"/>
  <c r="BN823" i="2"/>
  <c r="BO823" i="2" s="1"/>
  <c r="BN827" i="2"/>
  <c r="BO827" i="2" s="1"/>
  <c r="P924" i="2"/>
  <c r="P938" i="2"/>
  <c r="C638" i="2"/>
  <c r="D638" i="2" s="1"/>
  <c r="C634" i="2"/>
  <c r="D617" i="2"/>
  <c r="X15" i="2"/>
  <c r="H532" i="2"/>
  <c r="G535" i="2"/>
  <c r="H535" i="2" s="1"/>
  <c r="G541" i="2"/>
  <c r="H541" i="2" s="1"/>
  <c r="O960" i="2"/>
  <c r="O667" i="2"/>
  <c r="X667" i="2" s="1"/>
  <c r="P568" i="2"/>
  <c r="AM687" i="2"/>
  <c r="AN686" i="2"/>
  <c r="AD665" i="2"/>
  <c r="N613" i="2"/>
  <c r="M614" i="2"/>
  <c r="AO682" i="2"/>
  <c r="AO650" i="2"/>
  <c r="AP650" i="2" s="1"/>
  <c r="AP629" i="2"/>
  <c r="T655" i="2"/>
  <c r="U308" i="2"/>
  <c r="U299" i="2"/>
  <c r="V292" i="2"/>
  <c r="U307" i="2"/>
  <c r="V307" i="2" s="1"/>
  <c r="AW559" i="2"/>
  <c r="AX557" i="2"/>
  <c r="I959" i="2"/>
  <c r="Z665" i="2"/>
  <c r="AL655" i="2"/>
  <c r="BD952" i="2"/>
  <c r="BD660" i="2"/>
  <c r="BE65" i="2"/>
  <c r="BD973" i="2"/>
  <c r="BE971" i="2"/>
  <c r="BH629" i="2"/>
  <c r="BH536" i="2"/>
  <c r="BH539" i="2"/>
  <c r="BI539" i="2" s="1"/>
  <c r="BH538" i="2"/>
  <c r="BI538" i="2" s="1"/>
  <c r="BI529" i="2"/>
  <c r="AB666" i="2"/>
  <c r="Z655" i="2"/>
  <c r="P661" i="2"/>
  <c r="AR294" i="2"/>
  <c r="U664" i="2"/>
  <c r="V664" i="2" s="1"/>
  <c r="V536" i="2"/>
  <c r="BO276" i="2"/>
  <c r="BP276" i="2"/>
  <c r="BN293" i="2"/>
  <c r="BO293" i="2" s="1"/>
  <c r="AB639" i="2"/>
  <c r="L661" i="2"/>
  <c r="AA679" i="2"/>
  <c r="AB678" i="2"/>
  <c r="AA695" i="2"/>
  <c r="I638" i="2"/>
  <c r="J638" i="2" s="1"/>
  <c r="I634" i="2"/>
  <c r="J617" i="2"/>
  <c r="AH639" i="2"/>
  <c r="BD655" i="2"/>
  <c r="BE655" i="2" s="1"/>
  <c r="BE633" i="2"/>
  <c r="T661" i="2"/>
  <c r="T651" i="2"/>
  <c r="AL418" i="2"/>
  <c r="AG16" i="2"/>
  <c r="AH9" i="2"/>
  <c r="AM695" i="2"/>
  <c r="AN695" i="2" s="1"/>
  <c r="AN678" i="2"/>
  <c r="AM679" i="2"/>
  <c r="BF586" i="2"/>
  <c r="BG584" i="2"/>
  <c r="BE596" i="2"/>
  <c r="BD613" i="2"/>
  <c r="AK591" i="2"/>
  <c r="AL586" i="2"/>
  <c r="AB413" i="2"/>
  <c r="Z661" i="2"/>
  <c r="BF975" i="2"/>
  <c r="BG975" i="2" s="1"/>
  <c r="BF628" i="2"/>
  <c r="BF634" i="2" s="1"/>
  <c r="BF339" i="2"/>
  <c r="BF351" i="2"/>
  <c r="BG351" i="2" s="1"/>
  <c r="BG330" i="2"/>
  <c r="BF11" i="2"/>
  <c r="BG11" i="2" s="1"/>
  <c r="BG332" i="2"/>
  <c r="AP662" i="2"/>
  <c r="BD629" i="2"/>
  <c r="BD538" i="2"/>
  <c r="BE538" i="2" s="1"/>
  <c r="BD536" i="2"/>
  <c r="BE529" i="2"/>
  <c r="P651" i="2"/>
  <c r="X531" i="2"/>
  <c r="P531" i="2"/>
  <c r="P538" i="2"/>
  <c r="Z936" i="2"/>
  <c r="R11" i="2"/>
  <c r="AG649" i="2"/>
  <c r="AH628" i="2"/>
  <c r="X655" i="2"/>
  <c r="R648" i="2"/>
  <c r="AM664" i="2"/>
  <c r="AN664" i="2" s="1"/>
  <c r="AM540" i="2"/>
  <c r="AN536" i="2"/>
  <c r="AH667" i="2"/>
  <c r="BG937" i="2"/>
  <c r="AN667" i="2"/>
  <c r="V661" i="2"/>
  <c r="BS35" i="2"/>
  <c r="BR36" i="2"/>
  <c r="BT35" i="2"/>
  <c r="AD14" i="2"/>
  <c r="AH651" i="2"/>
  <c r="BG632" i="2"/>
  <c r="BF653" i="2"/>
  <c r="U96" i="2"/>
  <c r="V96" i="2" s="1"/>
  <c r="V84" i="2"/>
  <c r="U99" i="2"/>
  <c r="V99" i="2" s="1"/>
  <c r="U97" i="2"/>
  <c r="V97" i="2" s="1"/>
  <c r="U90" i="2"/>
  <c r="U98" i="2"/>
  <c r="V98" i="2" s="1"/>
  <c r="AC659" i="2"/>
  <c r="AC148" i="2"/>
  <c r="AD146" i="2"/>
  <c r="T653" i="2"/>
  <c r="S682" i="2"/>
  <c r="S650" i="2"/>
  <c r="T629" i="2"/>
  <c r="BB960" i="2"/>
  <c r="BC960" i="2" s="1"/>
  <c r="BB667" i="2"/>
  <c r="BC568" i="2"/>
  <c r="W638" i="2"/>
  <c r="X638" i="2" s="1"/>
  <c r="W634" i="2"/>
  <c r="X617" i="2"/>
  <c r="U956" i="2"/>
  <c r="U961" i="2" s="1"/>
  <c r="U663" i="2"/>
  <c r="V339" i="2"/>
  <c r="U357" i="2"/>
  <c r="V357" i="2" s="1"/>
  <c r="U354" i="2"/>
  <c r="V354" i="2" s="1"/>
  <c r="AK649" i="2"/>
  <c r="AL628" i="2"/>
  <c r="AA591" i="2"/>
  <c r="AB586" i="2"/>
  <c r="AO959" i="2"/>
  <c r="AL667" i="2"/>
  <c r="BK974" i="2"/>
  <c r="BV470" i="2"/>
  <c r="BU470" i="2"/>
  <c r="AQ686" i="2"/>
  <c r="AQ655" i="2"/>
  <c r="AR655" i="2" s="1"/>
  <c r="AR633" i="2"/>
  <c r="Q724" i="2"/>
  <c r="R667" i="2"/>
  <c r="BG417" i="2"/>
  <c r="BF978" i="2"/>
  <c r="BG976" i="2"/>
  <c r="AO954" i="2"/>
  <c r="H665" i="2"/>
  <c r="AN651" i="2"/>
  <c r="Z504" i="2"/>
  <c r="Y682" i="2"/>
  <c r="Y650" i="2"/>
  <c r="Z650" i="2" s="1"/>
  <c r="Z629" i="2"/>
  <c r="X666" i="2"/>
  <c r="AB128" i="2"/>
  <c r="BH246" i="2"/>
  <c r="BI239" i="2"/>
  <c r="BH253" i="2"/>
  <c r="BI253" i="2" s="1"/>
  <c r="BH252" i="2"/>
  <c r="BI252" i="2" s="1"/>
  <c r="AA938" i="2"/>
  <c r="AB938" i="2" s="1"/>
  <c r="AB878" i="2"/>
  <c r="AA936" i="2"/>
  <c r="AB936" i="2" s="1"/>
  <c r="AA926" i="2"/>
  <c r="AB926" i="2" s="1"/>
  <c r="AA924" i="2"/>
  <c r="AB924" i="2" s="1"/>
  <c r="BD955" i="2"/>
  <c r="BE955" i="2" s="1"/>
  <c r="BD662" i="2"/>
  <c r="BD200" i="2"/>
  <c r="BE200" i="2" s="1"/>
  <c r="BD197" i="2"/>
  <c r="AE980" i="2"/>
  <c r="K649" i="2"/>
  <c r="L628" i="2"/>
  <c r="N640" i="2"/>
  <c r="AL639" i="2"/>
  <c r="AL660" i="2"/>
  <c r="C16" i="2"/>
  <c r="D9" i="2"/>
  <c r="AI695" i="2"/>
  <c r="AJ695" i="2" s="1"/>
  <c r="AI679" i="2"/>
  <c r="AJ678" i="2"/>
  <c r="T418" i="2"/>
  <c r="AR413" i="2"/>
  <c r="AJ413" i="2"/>
  <c r="AJ418" i="2"/>
  <c r="AK682" i="2"/>
  <c r="AK650" i="2"/>
  <c r="AL650" i="2" s="1"/>
  <c r="AL629" i="2"/>
  <c r="AH504" i="2"/>
  <c r="D667" i="2"/>
  <c r="AH661" i="2"/>
  <c r="Z11" i="2"/>
  <c r="L936" i="2"/>
  <c r="BI257" i="2"/>
  <c r="BH264" i="2"/>
  <c r="BH271" i="2"/>
  <c r="BI271" i="2" s="1"/>
  <c r="BH270" i="2"/>
  <c r="BI270" i="2" s="1"/>
  <c r="Z660" i="2"/>
  <c r="BG129" i="2"/>
  <c r="BE129" i="2"/>
  <c r="AD11" i="2"/>
  <c r="BH953" i="2"/>
  <c r="BH661" i="2"/>
  <c r="BH128" i="2"/>
  <c r="BI114" i="2"/>
  <c r="BH678" i="2"/>
  <c r="BH640" i="2"/>
  <c r="BI619" i="2"/>
  <c r="F359" i="2"/>
  <c r="E362" i="2"/>
  <c r="F362" i="2" s="1"/>
  <c r="R200" i="2"/>
  <c r="AT402" i="2"/>
  <c r="AS395" i="2"/>
  <c r="AU402" i="2"/>
  <c r="BL841" i="2"/>
  <c r="BM841" i="2" s="1"/>
  <c r="AP938" i="2"/>
  <c r="AP338" i="2"/>
  <c r="AD651" i="2"/>
  <c r="BN873" i="2"/>
  <c r="BM873" i="2"/>
  <c r="U271" i="2"/>
  <c r="U272" i="2" s="1"/>
  <c r="V272" i="2" s="1"/>
  <c r="U264" i="2"/>
  <c r="V257" i="2"/>
  <c r="U270" i="2"/>
  <c r="Q959" i="2"/>
  <c r="AH665" i="2"/>
  <c r="AP653" i="2"/>
  <c r="R421" i="2"/>
  <c r="J421" i="2"/>
  <c r="BI937" i="2"/>
  <c r="BK648" i="2"/>
  <c r="M968" i="2"/>
  <c r="N850" i="2"/>
  <c r="M23" i="2"/>
  <c r="N23" i="2" s="1"/>
  <c r="V648" i="2"/>
  <c r="AA664" i="2"/>
  <c r="AB664" i="2" s="1"/>
  <c r="AB536" i="2"/>
  <c r="AA540" i="2"/>
  <c r="BI596" i="2"/>
  <c r="BH613" i="2"/>
  <c r="BB639" i="2"/>
  <c r="BC639" i="2" s="1"/>
  <c r="BC618" i="2"/>
  <c r="AF640" i="2"/>
  <c r="C649" i="2"/>
  <c r="D649" i="2" s="1"/>
  <c r="D628" i="2"/>
  <c r="AH586" i="2"/>
  <c r="AG591" i="2"/>
  <c r="AF504" i="2"/>
  <c r="BP553" i="2"/>
  <c r="BO553" i="2"/>
  <c r="BD925" i="2"/>
  <c r="BE925" i="2" s="1"/>
  <c r="D665" i="2"/>
  <c r="BL241" i="2"/>
  <c r="BM241" i="2" s="1"/>
  <c r="P421" i="2"/>
  <c r="H421" i="2"/>
  <c r="AV413" i="2"/>
  <c r="AN413" i="2"/>
  <c r="W650" i="2"/>
  <c r="W682" i="2"/>
  <c r="X629" i="2"/>
  <c r="BB650" i="2"/>
  <c r="BC650" i="2" s="1"/>
  <c r="BC629" i="2"/>
  <c r="BG143" i="2"/>
  <c r="R586" i="2"/>
  <c r="Q591" i="2"/>
  <c r="BO227" i="2"/>
  <c r="BM227" i="2"/>
  <c r="K961" i="2"/>
  <c r="U694" i="2"/>
  <c r="V674" i="2"/>
  <c r="U675" i="2"/>
  <c r="AR396" i="2"/>
  <c r="AJ660" i="2"/>
  <c r="J660" i="2"/>
  <c r="AN586" i="2"/>
  <c r="AM591" i="2"/>
  <c r="J531" i="2"/>
  <c r="R531" i="2"/>
  <c r="N661" i="2"/>
  <c r="AK638" i="2"/>
  <c r="AK634" i="2"/>
  <c r="AL617" i="2"/>
  <c r="I968" i="2"/>
  <c r="J850" i="2"/>
  <c r="I23" i="2"/>
  <c r="J23" i="2" s="1"/>
  <c r="AT413" i="2"/>
  <c r="AL413" i="2"/>
  <c r="AG664" i="2"/>
  <c r="AH664" i="2" s="1"/>
  <c r="AG540" i="2"/>
  <c r="AH536" i="2"/>
  <c r="AN899" i="2"/>
  <c r="AV899" i="2"/>
  <c r="Q719" i="2"/>
  <c r="R661" i="2"/>
  <c r="BN885" i="2"/>
  <c r="BM885" i="2"/>
  <c r="T531" i="2"/>
  <c r="L531" i="2"/>
  <c r="K650" i="2"/>
  <c r="L650" i="2" s="1"/>
  <c r="L629" i="2"/>
  <c r="AP661" i="2"/>
  <c r="BJ9" i="2"/>
  <c r="BK8" i="2"/>
  <c r="BJ678" i="2"/>
  <c r="BJ640" i="2"/>
  <c r="BK640" i="2" s="1"/>
  <c r="BK619" i="2"/>
  <c r="AN639" i="2"/>
  <c r="BP886" i="2"/>
  <c r="BO886" i="2"/>
  <c r="V9" i="2"/>
  <c r="U16" i="2"/>
  <c r="BH648" i="2"/>
  <c r="BI627" i="2"/>
  <c r="S694" i="2"/>
  <c r="S675" i="2"/>
  <c r="T674" i="2"/>
  <c r="AT819" i="2"/>
  <c r="BH960" i="2"/>
  <c r="BI960" i="2" s="1"/>
  <c r="BH667" i="2"/>
  <c r="BI568" i="2"/>
  <c r="BC8" i="2"/>
  <c r="BB9" i="2"/>
  <c r="BB640" i="2"/>
  <c r="BC640" i="2" s="1"/>
  <c r="BC619" i="2"/>
  <c r="AB638" i="2"/>
  <c r="BJ960" i="2"/>
  <c r="BK960" i="2" s="1"/>
  <c r="BJ667" i="2"/>
  <c r="BK568" i="2"/>
  <c r="Q687" i="2"/>
  <c r="R686" i="2"/>
  <c r="BN858" i="2"/>
  <c r="BM858" i="2"/>
  <c r="F905" i="2"/>
  <c r="N905" i="2"/>
  <c r="BD978" i="2"/>
  <c r="BE978" i="2" s="1"/>
  <c r="BE976" i="2"/>
  <c r="AO659" i="2"/>
  <c r="AO148" i="2"/>
  <c r="AP146" i="2"/>
  <c r="G638" i="2"/>
  <c r="H638" i="2" s="1"/>
  <c r="G634" i="2"/>
  <c r="H617" i="2"/>
  <c r="S282" i="2"/>
  <c r="T275" i="2"/>
  <c r="S288" i="2"/>
  <c r="S287" i="2"/>
  <c r="T287" i="2" s="1"/>
  <c r="AM959" i="2"/>
  <c r="M535" i="2"/>
  <c r="V532" i="2"/>
  <c r="M541" i="2"/>
  <c r="N541" i="2" s="1"/>
  <c r="N532" i="2"/>
  <c r="M650" i="2"/>
  <c r="N650" i="2" s="1"/>
  <c r="N629" i="2"/>
  <c r="R638" i="2"/>
  <c r="K968" i="2"/>
  <c r="L850" i="2"/>
  <c r="K23" i="2"/>
  <c r="L23" i="2" s="1"/>
  <c r="BJ958" i="2"/>
  <c r="BK958" i="2" s="1"/>
  <c r="BJ666" i="2"/>
  <c r="BK500" i="2"/>
  <c r="BJ504" i="2"/>
  <c r="BK504" i="2" s="1"/>
  <c r="F659" i="2"/>
  <c r="E668" i="2"/>
  <c r="V639" i="2"/>
  <c r="AD667" i="2"/>
  <c r="AI659" i="2"/>
  <c r="AJ146" i="2"/>
  <c r="AI148" i="2"/>
  <c r="AE659" i="2"/>
  <c r="AF146" i="2"/>
  <c r="AE148" i="2"/>
  <c r="AF660" i="2"/>
  <c r="J666" i="2"/>
  <c r="AH924" i="2"/>
  <c r="AD640" i="2"/>
  <c r="T640" i="2"/>
  <c r="AD662" i="2"/>
  <c r="C650" i="2"/>
  <c r="D650" i="2" s="1"/>
  <c r="D629" i="2"/>
  <c r="R639" i="2"/>
  <c r="AM956" i="2"/>
  <c r="AM961" i="2" s="1"/>
  <c r="AM962" i="2" s="1"/>
  <c r="AM663" i="2"/>
  <c r="AM357" i="2"/>
  <c r="AN357" i="2" s="1"/>
  <c r="AM354" i="2"/>
  <c r="AN354" i="2" s="1"/>
  <c r="AM356" i="2"/>
  <c r="AN356" i="2" s="1"/>
  <c r="AN339" i="2"/>
  <c r="AM649" i="2"/>
  <c r="AN649" i="2" s="1"/>
  <c r="AN628" i="2"/>
  <c r="AM674" i="2"/>
  <c r="K591" i="2"/>
  <c r="L586" i="2"/>
  <c r="I956" i="2"/>
  <c r="I961" i="2" s="1"/>
  <c r="I663" i="2"/>
  <c r="I373" i="2"/>
  <c r="J339" i="2"/>
  <c r="I357" i="2"/>
  <c r="I374" i="2"/>
  <c r="Y638" i="2"/>
  <c r="Z638" i="2" s="1"/>
  <c r="Y634" i="2"/>
  <c r="Z617" i="2"/>
  <c r="Y16" i="2"/>
  <c r="Z9" i="2"/>
  <c r="BE9" i="2"/>
  <c r="BD16" i="2"/>
  <c r="BE619" i="2"/>
  <c r="BD640" i="2"/>
  <c r="P926" i="2"/>
  <c r="M659" i="2"/>
  <c r="V659" i="2" s="1"/>
  <c r="M148" i="2"/>
  <c r="N146" i="2"/>
  <c r="V613" i="2"/>
  <c r="U614" i="2"/>
  <c r="Q349" i="2"/>
  <c r="R349" i="2" s="1"/>
  <c r="R346" i="2"/>
  <c r="AG687" i="2"/>
  <c r="AH686" i="2"/>
  <c r="AS946" i="2"/>
  <c r="AU842" i="2"/>
  <c r="AU846" i="2" s="1"/>
  <c r="AV846" i="2" s="1"/>
  <c r="AS847" i="2"/>
  <c r="AT847" i="2" s="1"/>
  <c r="AT842" i="2"/>
  <c r="AD653" i="2"/>
  <c r="AO649" i="2"/>
  <c r="AP649" i="2" s="1"/>
  <c r="AP628" i="2"/>
  <c r="AB11" i="2"/>
  <c r="AP538" i="2"/>
  <c r="AD660" i="2"/>
  <c r="S659" i="2"/>
  <c r="AB659" i="2" s="1"/>
  <c r="T146" i="2"/>
  <c r="S148" i="2"/>
  <c r="T302" i="2"/>
  <c r="S303" i="2"/>
  <c r="AL686" i="2"/>
  <c r="AK687" i="2"/>
  <c r="BK200" i="2"/>
  <c r="BH653" i="2"/>
  <c r="BI653" i="2" s="1"/>
  <c r="BI632" i="2"/>
  <c r="BK575" i="2"/>
  <c r="BJ584" i="2"/>
  <c r="AF653" i="2"/>
  <c r="U682" i="2"/>
  <c r="U650" i="2"/>
  <c r="V650" i="2" s="1"/>
  <c r="V629" i="2"/>
  <c r="AN14" i="2"/>
  <c r="AC938" i="2"/>
  <c r="AD938" i="2" s="1"/>
  <c r="AD878" i="2"/>
  <c r="AC936" i="2"/>
  <c r="AD936" i="2" s="1"/>
  <c r="AC926" i="2"/>
  <c r="AD926" i="2" s="1"/>
  <c r="AC924" i="2"/>
  <c r="AD924" i="2" s="1"/>
  <c r="BB967" i="2"/>
  <c r="BB904" i="2"/>
  <c r="BC904" i="2" s="1"/>
  <c r="BB738" i="2"/>
  <c r="BC738" i="2" s="1"/>
  <c r="BC709" i="2"/>
  <c r="BB736" i="2"/>
  <c r="BC736" i="2" s="1"/>
  <c r="BB850" i="2"/>
  <c r="AA16" i="2"/>
  <c r="AB9" i="2"/>
  <c r="AG675" i="2"/>
  <c r="AG694" i="2"/>
  <c r="AH694" i="2" s="1"/>
  <c r="AH674" i="2"/>
  <c r="BH228" i="2"/>
  <c r="BH235" i="2"/>
  <c r="BI235" i="2" s="1"/>
  <c r="BI221" i="2"/>
  <c r="BI234" i="2" s="1"/>
  <c r="BH234" i="2"/>
  <c r="AN660" i="2"/>
  <c r="AN659" i="2"/>
  <c r="AM668" i="2"/>
  <c r="AM719" i="2" s="1"/>
  <c r="V14" i="2"/>
  <c r="AL665" i="2"/>
  <c r="AI664" i="2"/>
  <c r="AJ664" i="2" s="1"/>
  <c r="AJ536" i="2"/>
  <c r="AI540" i="2"/>
  <c r="X661" i="2"/>
  <c r="AN338" i="2"/>
  <c r="AK695" i="2"/>
  <c r="AL695" i="2" s="1"/>
  <c r="AK679" i="2"/>
  <c r="AL678" i="2"/>
  <c r="BG575" i="2"/>
  <c r="K664" i="2"/>
  <c r="L664" i="2" s="1"/>
  <c r="L536" i="2"/>
  <c r="AB665" i="2"/>
  <c r="I16" i="2"/>
  <c r="J9" i="2"/>
  <c r="BF335" i="2"/>
  <c r="BF338" i="2" s="1"/>
  <c r="BF370" i="2" s="1"/>
  <c r="BG370" i="2" s="1"/>
  <c r="BD653" i="2"/>
  <c r="BE653" i="2" s="1"/>
  <c r="BE632" i="2"/>
  <c r="O664" i="2"/>
  <c r="P664" i="2" s="1"/>
  <c r="P536" i="2"/>
  <c r="O650" i="2"/>
  <c r="P650" i="2" s="1"/>
  <c r="P629" i="2"/>
  <c r="O682" i="2"/>
  <c r="BF952" i="2"/>
  <c r="BF660" i="2"/>
  <c r="BF79" i="2"/>
  <c r="BG79" i="2" s="1"/>
  <c r="BG65" i="2"/>
  <c r="BF674" i="2"/>
  <c r="BF639" i="2"/>
  <c r="BG639" i="2" s="1"/>
  <c r="BG618" i="2"/>
  <c r="Q649" i="2"/>
  <c r="R649" i="2" s="1"/>
  <c r="R628" i="2"/>
  <c r="AF667" i="2"/>
  <c r="W687" i="2"/>
  <c r="X686" i="2"/>
  <c r="BH14" i="2"/>
  <c r="BI14" i="2" s="1"/>
  <c r="BI13" i="2"/>
  <c r="BH651" i="2"/>
  <c r="BI651" i="2" s="1"/>
  <c r="BI630" i="2"/>
  <c r="N667" i="2"/>
  <c r="BQ36" i="2"/>
  <c r="BF953" i="2"/>
  <c r="BG953" i="2" s="1"/>
  <c r="BF661" i="2"/>
  <c r="BG114" i="2"/>
  <c r="BF128" i="2"/>
  <c r="BG128" i="2" s="1"/>
  <c r="BF678" i="2"/>
  <c r="BF640" i="2"/>
  <c r="BG640" i="2" s="1"/>
  <c r="BG619" i="2"/>
  <c r="BP611" i="2"/>
  <c r="BQ611" i="2" s="1"/>
  <c r="BQ479" i="2"/>
  <c r="BB957" i="2"/>
  <c r="BB665" i="2"/>
  <c r="BC414" i="2"/>
  <c r="BB420" i="2"/>
  <c r="BC420" i="2" s="1"/>
  <c r="BB418" i="2"/>
  <c r="BC418" i="2" s="1"/>
  <c r="R651" i="2"/>
  <c r="BF958" i="2"/>
  <c r="BG958" i="2" s="1"/>
  <c r="BF666" i="2"/>
  <c r="BG500" i="2"/>
  <c r="BF504" i="2"/>
  <c r="BG504" i="2" s="1"/>
  <c r="BG977" i="2"/>
  <c r="S117" i="2"/>
  <c r="T92" i="2"/>
  <c r="S121" i="2"/>
  <c r="T121" i="2" s="1"/>
  <c r="S118" i="2"/>
  <c r="T118" i="2" s="1"/>
  <c r="S123" i="2"/>
  <c r="S116" i="2"/>
  <c r="T116" i="2" s="1"/>
  <c r="S122" i="2"/>
  <c r="T122" i="2" s="1"/>
  <c r="S127" i="2"/>
  <c r="T127" i="2" s="1"/>
  <c r="AC638" i="2"/>
  <c r="AD638" i="2" s="1"/>
  <c r="AC634" i="2"/>
  <c r="AD617" i="2"/>
  <c r="Z586" i="2"/>
  <c r="Y591" i="2"/>
  <c r="V11" i="2"/>
  <c r="U649" i="2"/>
  <c r="V649" i="2" s="1"/>
  <c r="V628" i="2"/>
  <c r="BK10" i="2"/>
  <c r="P660" i="2"/>
  <c r="AE650" i="2"/>
  <c r="AF650" i="2" s="1"/>
  <c r="AE682" i="2"/>
  <c r="AF629" i="2"/>
  <c r="V666" i="2"/>
  <c r="R146" i="2"/>
  <c r="AP79" i="2"/>
  <c r="X660" i="2"/>
  <c r="AH648" i="2"/>
  <c r="G959" i="2"/>
  <c r="X665" i="2"/>
  <c r="BM85" i="2"/>
  <c r="BL86" i="2"/>
  <c r="BM86" i="2" s="1"/>
  <c r="BN85" i="2"/>
  <c r="V638" i="2"/>
  <c r="L617" i="2"/>
  <c r="AB661" i="2"/>
  <c r="BG154" i="2"/>
  <c r="BF159" i="2"/>
  <c r="BF169" i="2"/>
  <c r="BG169" i="2" s="1"/>
  <c r="BF172" i="2"/>
  <c r="BG172" i="2" s="1"/>
  <c r="BF171" i="2"/>
  <c r="BG171" i="2" s="1"/>
  <c r="BF170" i="2"/>
  <c r="BG170" i="2" s="1"/>
  <c r="AG659" i="2"/>
  <c r="AG148" i="2"/>
  <c r="AH146" i="2"/>
  <c r="AD661" i="2"/>
  <c r="AK674" i="2"/>
  <c r="AK954" i="2"/>
  <c r="AK961" i="2" s="1"/>
  <c r="AN79" i="2"/>
  <c r="AI16" i="2"/>
  <c r="AJ9" i="2"/>
  <c r="T665" i="2"/>
  <c r="AJ665" i="2"/>
  <c r="AL538" i="2"/>
  <c r="AG695" i="2"/>
  <c r="AH695" i="2" s="1"/>
  <c r="AH678" i="2"/>
  <c r="AG679" i="2"/>
  <c r="W16" i="2"/>
  <c r="X9" i="2"/>
  <c r="G956" i="2"/>
  <c r="G663" i="2"/>
  <c r="G374" i="2"/>
  <c r="H339" i="2"/>
  <c r="G373" i="2"/>
  <c r="G357" i="2"/>
  <c r="AV259" i="2"/>
  <c r="BL259" i="2"/>
  <c r="AB655" i="2"/>
  <c r="BG627" i="2"/>
  <c r="BF648" i="2"/>
  <c r="BG648" i="2" s="1"/>
  <c r="AL200" i="2"/>
  <c r="Y649" i="2"/>
  <c r="Z649" i="2" s="1"/>
  <c r="Z628" i="2"/>
  <c r="T421" i="2"/>
  <c r="L421" i="2"/>
  <c r="L504" i="2"/>
  <c r="BJ880" i="2"/>
  <c r="BK864" i="2"/>
  <c r="BJ925" i="2"/>
  <c r="Y954" i="2"/>
  <c r="Y961" i="2" s="1"/>
  <c r="AO16" i="2"/>
  <c r="AP9" i="2"/>
  <c r="X11" i="2"/>
  <c r="AC649" i="2"/>
  <c r="AD628" i="2"/>
  <c r="P418" i="2"/>
  <c r="W938" i="2"/>
  <c r="X938" i="2" s="1"/>
  <c r="X878" i="2"/>
  <c r="W936" i="2"/>
  <c r="X936" i="2" s="1"/>
  <c r="W926" i="2"/>
  <c r="X926" i="2" s="1"/>
  <c r="W924" i="2"/>
  <c r="X924" i="2" s="1"/>
  <c r="BI972" i="2"/>
  <c r="BB659" i="2"/>
  <c r="BB148" i="2"/>
  <c r="BC146" i="2"/>
  <c r="Q716" i="2"/>
  <c r="R662" i="2"/>
  <c r="AR395" i="2"/>
  <c r="AQ398" i="2"/>
  <c r="BT473" i="2"/>
  <c r="R538" i="2"/>
  <c r="BI372" i="2"/>
  <c r="AG959" i="2"/>
  <c r="AG961" i="2" s="1"/>
  <c r="T667" i="2"/>
  <c r="T504" i="2"/>
  <c r="AL338" i="2"/>
  <c r="BH880" i="2"/>
  <c r="BI864" i="2"/>
  <c r="BH925" i="2"/>
  <c r="BI925" i="2" s="1"/>
  <c r="N504" i="2"/>
  <c r="AB653" i="2"/>
  <c r="AB538" i="2"/>
  <c r="BB952" i="2"/>
  <c r="BB660" i="2"/>
  <c r="BC65" i="2"/>
  <c r="BB973" i="2"/>
  <c r="BC971" i="2"/>
  <c r="BP551" i="2"/>
  <c r="BO551" i="2"/>
  <c r="BN555" i="2"/>
  <c r="BO555" i="2" s="1"/>
  <c r="AF666" i="2"/>
  <c r="AV727" i="2"/>
  <c r="AU730" i="2"/>
  <c r="AV730" i="2" s="1"/>
  <c r="BE922" i="2"/>
  <c r="BG922" i="2"/>
  <c r="BE919" i="2"/>
  <c r="BG919" i="2"/>
  <c r="BG891" i="2"/>
  <c r="BI891" i="2"/>
  <c r="AV285" i="2"/>
  <c r="AU305" i="2"/>
  <c r="AW285" i="2"/>
  <c r="AU277" i="2"/>
  <c r="C959" i="2"/>
  <c r="AH200" i="2"/>
  <c r="AU608" i="2"/>
  <c r="AV608" i="2" s="1"/>
  <c r="AV520" i="2"/>
  <c r="AR484" i="2"/>
  <c r="AQ525" i="2"/>
  <c r="W664" i="2"/>
  <c r="X664" i="2" s="1"/>
  <c r="W540" i="2"/>
  <c r="X536" i="2"/>
  <c r="Z926" i="2"/>
  <c r="BB664" i="2"/>
  <c r="BC664" i="2" s="1"/>
  <c r="BB540" i="2"/>
  <c r="BC536" i="2"/>
  <c r="E591" i="2"/>
  <c r="F586" i="2"/>
  <c r="F635" i="2" s="1"/>
  <c r="BP554" i="2"/>
  <c r="BO554" i="2"/>
  <c r="U591" i="2"/>
  <c r="V586" i="2"/>
  <c r="BF659" i="2"/>
  <c r="BF148" i="2"/>
  <c r="BG146" i="2"/>
  <c r="BI955" i="2" l="1"/>
  <c r="E962" i="2"/>
  <c r="R664" i="2"/>
  <c r="AD649" i="2"/>
  <c r="G961" i="2"/>
  <c r="BE640" i="2"/>
  <c r="BI200" i="2"/>
  <c r="R650" i="2"/>
  <c r="Q961" i="2"/>
  <c r="Q962" i="2" s="1"/>
  <c r="AM720" i="2"/>
  <c r="BF987" i="2"/>
  <c r="BF656" i="2"/>
  <c r="BF635" i="2"/>
  <c r="BL492" i="2"/>
  <c r="BM485" i="2"/>
  <c r="AV277" i="2"/>
  <c r="BC660" i="2"/>
  <c r="AR398" i="2"/>
  <c r="AQ407" i="2"/>
  <c r="AJ16" i="2"/>
  <c r="AG668" i="2"/>
  <c r="AH659" i="2"/>
  <c r="S119" i="2"/>
  <c r="T119" i="2" s="1"/>
  <c r="T117" i="2"/>
  <c r="BG666" i="2"/>
  <c r="BG661" i="2"/>
  <c r="J16" i="2"/>
  <c r="BI228" i="2"/>
  <c r="BJ221" i="2"/>
  <c r="U696" i="2"/>
  <c r="U683" i="2"/>
  <c r="V682" i="2"/>
  <c r="AG688" i="2"/>
  <c r="AH687" i="2"/>
  <c r="Y987" i="2"/>
  <c r="Y981" i="2"/>
  <c r="Y635" i="2"/>
  <c r="Y656" i="2"/>
  <c r="Z656" i="2" s="1"/>
  <c r="Z634" i="2"/>
  <c r="V535" i="2"/>
  <c r="N535" i="2"/>
  <c r="Q688" i="2"/>
  <c r="R688" i="2" s="1"/>
  <c r="R687" i="2"/>
  <c r="S676" i="2"/>
  <c r="T676" i="2" s="1"/>
  <c r="T675" i="2"/>
  <c r="V16" i="2"/>
  <c r="AL638" i="2"/>
  <c r="X650" i="2"/>
  <c r="BH614" i="2"/>
  <c r="BI613" i="2"/>
  <c r="W257" i="2"/>
  <c r="V264" i="2"/>
  <c r="U266" i="2"/>
  <c r="AU395" i="2"/>
  <c r="AW402" i="2"/>
  <c r="AV402" i="2"/>
  <c r="BH695" i="2"/>
  <c r="BI678" i="2"/>
  <c r="BI953" i="2"/>
  <c r="BJ257" i="2"/>
  <c r="BI264" i="2"/>
  <c r="D16" i="2"/>
  <c r="BJ239" i="2"/>
  <c r="BI246" i="2"/>
  <c r="BC667" i="2"/>
  <c r="S696" i="2"/>
  <c r="T682" i="2"/>
  <c r="S683" i="2"/>
  <c r="AD659" i="2"/>
  <c r="AC668" i="2"/>
  <c r="AC962" i="2" s="1"/>
  <c r="BS36" i="2"/>
  <c r="AH649" i="2"/>
  <c r="BD664" i="2"/>
  <c r="BE664" i="2" s="1"/>
  <c r="BE536" i="2"/>
  <c r="BD540" i="2"/>
  <c r="I987" i="2"/>
  <c r="I981" i="2"/>
  <c r="I635" i="2"/>
  <c r="I656" i="2"/>
  <c r="J656" i="2" s="1"/>
  <c r="J634" i="2"/>
  <c r="AA680" i="2"/>
  <c r="AB679" i="2"/>
  <c r="BH679" i="2"/>
  <c r="BH682" i="2"/>
  <c r="BH650" i="2"/>
  <c r="BI629" i="2"/>
  <c r="BE660" i="2"/>
  <c r="BQ828" i="2"/>
  <c r="BP823" i="2"/>
  <c r="BQ823" i="2" s="1"/>
  <c r="BP827" i="2"/>
  <c r="BQ827" i="2" s="1"/>
  <c r="BR828" i="2"/>
  <c r="AP695" i="2"/>
  <c r="AC680" i="2"/>
  <c r="AD679" i="2"/>
  <c r="AF924" i="2"/>
  <c r="AF938" i="2"/>
  <c r="AD664" i="2"/>
  <c r="BI662" i="2"/>
  <c r="Q676" i="2"/>
  <c r="R676" i="2" s="1"/>
  <c r="R675" i="2"/>
  <c r="AS960" i="2"/>
  <c r="AS667" i="2"/>
  <c r="AT568" i="2"/>
  <c r="BI79" i="2"/>
  <c r="K668" i="2"/>
  <c r="AS525" i="2"/>
  <c r="AT484" i="2"/>
  <c r="F924" i="2"/>
  <c r="N924" i="2"/>
  <c r="BH659" i="2"/>
  <c r="BH148" i="2"/>
  <c r="BI146" i="2"/>
  <c r="S961" i="2"/>
  <c r="BI11" i="2"/>
  <c r="BH649" i="2"/>
  <c r="BI628" i="2"/>
  <c r="AD357" i="2"/>
  <c r="AL16" i="2"/>
  <c r="AS486" i="2"/>
  <c r="AP586" i="2"/>
  <c r="AO591" i="2"/>
  <c r="BK975" i="2"/>
  <c r="O987" i="2"/>
  <c r="O981" i="2"/>
  <c r="O656" i="2"/>
  <c r="O635" i="2"/>
  <c r="P634" i="2"/>
  <c r="X659" i="2"/>
  <c r="W668" i="2"/>
  <c r="BT479" i="2"/>
  <c r="BU477" i="2"/>
  <c r="BV477" i="2"/>
  <c r="BI665" i="2"/>
  <c r="BD638" i="2"/>
  <c r="BE638" i="2" s="1"/>
  <c r="BD634" i="2"/>
  <c r="BE617" i="2"/>
  <c r="AI696" i="2"/>
  <c r="AJ682" i="2"/>
  <c r="AI683" i="2"/>
  <c r="BI504" i="2"/>
  <c r="U691" i="2"/>
  <c r="U688" i="2"/>
  <c r="V688" i="2" s="1"/>
  <c r="V687" i="2"/>
  <c r="AP664" i="2"/>
  <c r="D659" i="2"/>
  <c r="C668" i="2"/>
  <c r="N663" i="2"/>
  <c r="AX862" i="2"/>
  <c r="BL862" i="2"/>
  <c r="AW608" i="2"/>
  <c r="AX608" i="2" s="1"/>
  <c r="AX520" i="2"/>
  <c r="BO874" i="2"/>
  <c r="BP874" i="2"/>
  <c r="BB649" i="2"/>
  <c r="BC649" i="2" s="1"/>
  <c r="BC628" i="2"/>
  <c r="O680" i="2"/>
  <c r="P680" i="2" s="1"/>
  <c r="P679" i="2"/>
  <c r="L541" i="2"/>
  <c r="BG617" i="2"/>
  <c r="AB650" i="2"/>
  <c r="W717" i="2"/>
  <c r="X663" i="2"/>
  <c r="L938" i="2"/>
  <c r="BH687" i="2"/>
  <c r="AA688" i="2"/>
  <c r="AB687" i="2"/>
  <c r="N16" i="2"/>
  <c r="AH638" i="2"/>
  <c r="V252" i="2"/>
  <c r="V253" i="2"/>
  <c r="L638" i="2"/>
  <c r="BJ34" i="2"/>
  <c r="BI40" i="2"/>
  <c r="AL356" i="2"/>
  <c r="T664" i="2"/>
  <c r="BF664" i="2"/>
  <c r="BG664" i="2" s="1"/>
  <c r="BF540" i="2"/>
  <c r="BG536" i="2"/>
  <c r="BF682" i="2"/>
  <c r="BG629" i="2"/>
  <c r="BF650" i="2"/>
  <c r="AH357" i="2"/>
  <c r="AF356" i="2"/>
  <c r="AL924" i="2"/>
  <c r="AL938" i="2"/>
  <c r="AJ936" i="2"/>
  <c r="BQ822" i="2"/>
  <c r="BR822" i="2"/>
  <c r="BG667" i="2"/>
  <c r="AF16" i="2"/>
  <c r="S987" i="2"/>
  <c r="S981" i="2"/>
  <c r="S656" i="2"/>
  <c r="T656" i="2" s="1"/>
  <c r="S635" i="2"/>
  <c r="T634" i="2"/>
  <c r="AC676" i="2"/>
  <c r="AD675" i="2"/>
  <c r="AB663" i="2"/>
  <c r="BB878" i="2"/>
  <c r="BC880" i="2"/>
  <c r="BE661" i="2"/>
  <c r="BK418" i="2"/>
  <c r="BE354" i="2"/>
  <c r="AI987" i="2"/>
  <c r="AI981" i="2"/>
  <c r="AI656" i="2"/>
  <c r="AJ656" i="2" s="1"/>
  <c r="AI635" i="2"/>
  <c r="AJ634" i="2"/>
  <c r="BN232" i="2"/>
  <c r="BM232" i="2"/>
  <c r="BK538" i="2"/>
  <c r="AU960" i="2"/>
  <c r="AU667" i="2"/>
  <c r="AV568" i="2"/>
  <c r="BO240" i="2"/>
  <c r="BP240" i="2"/>
  <c r="AP638" i="2"/>
  <c r="BE665" i="2"/>
  <c r="BK686" i="2"/>
  <c r="BK128" i="2"/>
  <c r="BL612" i="2"/>
  <c r="BM612" i="2" s="1"/>
  <c r="BM548" i="2"/>
  <c r="AH650" i="2"/>
  <c r="AS524" i="2"/>
  <c r="AT483" i="2"/>
  <c r="P649" i="2"/>
  <c r="BR554" i="2"/>
  <c r="BQ554" i="2"/>
  <c r="AQ860" i="2"/>
  <c r="AR525" i="2"/>
  <c r="AW305" i="2"/>
  <c r="AX285" i="2"/>
  <c r="AW277" i="2"/>
  <c r="AX277" i="2" s="1"/>
  <c r="BB954" i="2"/>
  <c r="BC952" i="2"/>
  <c r="BK925" i="2"/>
  <c r="BM259" i="2"/>
  <c r="BL268" i="2"/>
  <c r="BH154" i="2"/>
  <c r="BG159" i="2"/>
  <c r="BF866" i="2"/>
  <c r="BG866" i="2" s="1"/>
  <c r="BF695" i="2"/>
  <c r="BG695" i="2" s="1"/>
  <c r="BG678" i="2"/>
  <c r="BG660" i="2"/>
  <c r="AB16" i="2"/>
  <c r="S346" i="2"/>
  <c r="S343" i="2"/>
  <c r="T343" i="2" s="1"/>
  <c r="S342" i="2"/>
  <c r="T342" i="2" s="1"/>
  <c r="T303" i="2"/>
  <c r="S347" i="2"/>
  <c r="T347" i="2" s="1"/>
  <c r="S341" i="2"/>
  <c r="T341" i="2" s="1"/>
  <c r="S348" i="2"/>
  <c r="T348" i="2" s="1"/>
  <c r="S344" i="2"/>
  <c r="T344" i="2" s="1"/>
  <c r="S351" i="2"/>
  <c r="T351" i="2" s="1"/>
  <c r="AU946" i="2"/>
  <c r="AV842" i="2"/>
  <c r="AU847" i="2"/>
  <c r="AV847" i="2" s="1"/>
  <c r="AW842" i="2"/>
  <c r="BL842" i="2" s="1"/>
  <c r="AJ659" i="2"/>
  <c r="AI668" i="2"/>
  <c r="AI962" i="2" s="1"/>
  <c r="E670" i="2"/>
  <c r="F668" i="2"/>
  <c r="E715" i="2"/>
  <c r="F715" i="2" s="1"/>
  <c r="BK666" i="2"/>
  <c r="T282" i="2"/>
  <c r="U275" i="2"/>
  <c r="S283" i="2"/>
  <c r="BO858" i="2"/>
  <c r="BP858" i="2"/>
  <c r="BN857" i="2"/>
  <c r="BO857" i="2" s="1"/>
  <c r="BK9" i="2"/>
  <c r="BJ16" i="2"/>
  <c r="BO885" i="2"/>
  <c r="BP885" i="2"/>
  <c r="K962" i="2"/>
  <c r="AT395" i="2"/>
  <c r="AS398" i="2"/>
  <c r="BJ679" i="2"/>
  <c r="AI680" i="2"/>
  <c r="AJ679" i="2"/>
  <c r="BG978" i="2"/>
  <c r="W987" i="2"/>
  <c r="W981" i="2"/>
  <c r="W656" i="2"/>
  <c r="X656" i="2" s="1"/>
  <c r="W635" i="2"/>
  <c r="X634" i="2"/>
  <c r="BF956" i="2"/>
  <c r="BF663" i="2"/>
  <c r="BF374" i="2"/>
  <c r="BF373" i="2"/>
  <c r="BF357" i="2"/>
  <c r="BF354" i="2"/>
  <c r="BG354" i="2" s="1"/>
  <c r="BF356" i="2"/>
  <c r="BG339" i="2"/>
  <c r="BR276" i="2"/>
  <c r="BQ276" i="2"/>
  <c r="BD954" i="2"/>
  <c r="BE952" i="2"/>
  <c r="AM688" i="2"/>
  <c r="AN687" i="2"/>
  <c r="AF926" i="2"/>
  <c r="BK653" i="2"/>
  <c r="R656" i="2"/>
  <c r="BL609" i="2"/>
  <c r="BM609" i="2" s="1"/>
  <c r="BM391" i="2"/>
  <c r="BV39" i="2"/>
  <c r="BU39" i="2"/>
  <c r="AW947" i="2"/>
  <c r="BL840" i="2"/>
  <c r="AX840" i="2"/>
  <c r="AW819" i="2"/>
  <c r="I217" i="2"/>
  <c r="I218" i="2" s="1"/>
  <c r="I211" i="2"/>
  <c r="J204" i="2"/>
  <c r="I216" i="2"/>
  <c r="BE880" i="2"/>
  <c r="BD878" i="2"/>
  <c r="H16" i="2"/>
  <c r="AX523" i="2"/>
  <c r="AL659" i="2"/>
  <c r="AK668" i="2"/>
  <c r="AS655" i="2"/>
  <c r="AT655" i="2" s="1"/>
  <c r="AS686" i="2"/>
  <c r="AT633" i="2"/>
  <c r="AI676" i="2"/>
  <c r="AV403" i="2"/>
  <c r="AU396" i="2"/>
  <c r="AW403" i="2"/>
  <c r="F926" i="2"/>
  <c r="N926" i="2"/>
  <c r="F938" i="2"/>
  <c r="N938" i="2"/>
  <c r="BH638" i="2"/>
  <c r="BI638" i="2" s="1"/>
  <c r="BH634" i="2"/>
  <c r="BI617" i="2"/>
  <c r="BI975" i="2"/>
  <c r="BV155" i="2"/>
  <c r="BU155" i="2"/>
  <c r="Y680" i="2"/>
  <c r="Z679" i="2"/>
  <c r="Z663" i="2"/>
  <c r="BG200" i="2"/>
  <c r="AT523" i="2"/>
  <c r="BL523" i="2"/>
  <c r="P638" i="2"/>
  <c r="AR667" i="2"/>
  <c r="BR547" i="2"/>
  <c r="BQ547" i="2"/>
  <c r="E722" i="2"/>
  <c r="BF16" i="2"/>
  <c r="BG9" i="2"/>
  <c r="AN650" i="2"/>
  <c r="BH959" i="2"/>
  <c r="BI957" i="2"/>
  <c r="R357" i="2"/>
  <c r="V235" i="2"/>
  <c r="V234" i="2"/>
  <c r="E716" i="2"/>
  <c r="F716" i="2" s="1"/>
  <c r="BG655" i="2"/>
  <c r="BI666" i="2"/>
  <c r="E721" i="2"/>
  <c r="F721" i="2" s="1"/>
  <c r="BQ301" i="2"/>
  <c r="BR301" i="2"/>
  <c r="BK651" i="2"/>
  <c r="AD16" i="2"/>
  <c r="BR708" i="2"/>
  <c r="BS708" i="2" s="1"/>
  <c r="BR690" i="2"/>
  <c r="BS669" i="2"/>
  <c r="T535" i="2"/>
  <c r="L535" i="2"/>
  <c r="Q680" i="2"/>
  <c r="R680" i="2" s="1"/>
  <c r="R679" i="2"/>
  <c r="BH674" i="2"/>
  <c r="P663" i="2"/>
  <c r="AX558" i="2"/>
  <c r="BL558" i="2"/>
  <c r="BJ659" i="2"/>
  <c r="BJ148" i="2"/>
  <c r="BK146" i="2"/>
  <c r="AA696" i="2"/>
  <c r="AB682" i="2"/>
  <c r="AA683" i="2"/>
  <c r="BQ390" i="2"/>
  <c r="BR390" i="2"/>
  <c r="BP519" i="2"/>
  <c r="BQ519" i="2" s="1"/>
  <c r="AO688" i="2"/>
  <c r="AP687" i="2"/>
  <c r="W694" i="2"/>
  <c r="X674" i="2"/>
  <c r="W675" i="2"/>
  <c r="L926" i="2"/>
  <c r="AL664" i="2"/>
  <c r="V246" i="2"/>
  <c r="W239" i="2"/>
  <c r="U248" i="2"/>
  <c r="AL354" i="2"/>
  <c r="AK717" i="2"/>
  <c r="AL663" i="2"/>
  <c r="BG538" i="2"/>
  <c r="BG925" i="2"/>
  <c r="BI978" i="2"/>
  <c r="AF354" i="2"/>
  <c r="AL926" i="2"/>
  <c r="BJ687" i="2"/>
  <c r="AI691" i="2"/>
  <c r="AI688" i="2"/>
  <c r="AJ687" i="2"/>
  <c r="BN825" i="2"/>
  <c r="AN924" i="2"/>
  <c r="AN938" i="2"/>
  <c r="BG303" i="2"/>
  <c r="BF360" i="2"/>
  <c r="BG360" i="2" s="1"/>
  <c r="BF348" i="2"/>
  <c r="BG348" i="2" s="1"/>
  <c r="BF346" i="2"/>
  <c r="BF365" i="2"/>
  <c r="BG365" i="2" s="1"/>
  <c r="BF366" i="2"/>
  <c r="BG366" i="2" s="1"/>
  <c r="BF343" i="2"/>
  <c r="BG343" i="2" s="1"/>
  <c r="BF364" i="2"/>
  <c r="BF347" i="2"/>
  <c r="BG347" i="2" s="1"/>
  <c r="BF361" i="2"/>
  <c r="BG361" i="2" s="1"/>
  <c r="BF342" i="2"/>
  <c r="BG342" i="2" s="1"/>
  <c r="BF341" i="2"/>
  <c r="BG341" i="2" s="1"/>
  <c r="BF359" i="2"/>
  <c r="BF344" i="2"/>
  <c r="BG344" i="2" s="1"/>
  <c r="BF369" i="2"/>
  <c r="BG369" i="2" s="1"/>
  <c r="BG960" i="2"/>
  <c r="O694" i="2"/>
  <c r="P674" i="2"/>
  <c r="O675" i="2"/>
  <c r="AA694" i="2"/>
  <c r="AA675" i="2"/>
  <c r="AB674" i="2"/>
  <c r="BJ84" i="2"/>
  <c r="BI90" i="2"/>
  <c r="BE953" i="2"/>
  <c r="AN16" i="2"/>
  <c r="BF679" i="2"/>
  <c r="S680" i="2"/>
  <c r="T680" i="2" s="1"/>
  <c r="T679" i="2"/>
  <c r="BE11" i="2"/>
  <c r="BE628" i="2"/>
  <c r="BD649" i="2"/>
  <c r="BE649" i="2" s="1"/>
  <c r="AE987" i="2"/>
  <c r="AE981" i="2"/>
  <c r="AE656" i="2"/>
  <c r="AF656" i="2" s="1"/>
  <c r="AE635" i="2"/>
  <c r="AF634" i="2"/>
  <c r="BJ664" i="2"/>
  <c r="BJ540" i="2"/>
  <c r="BK536" i="2"/>
  <c r="BJ682" i="2"/>
  <c r="BJ650" i="2"/>
  <c r="BK650" i="2" s="1"/>
  <c r="BK629" i="2"/>
  <c r="AD650" i="2"/>
  <c r="AV633" i="2"/>
  <c r="AU686" i="2"/>
  <c r="AU655" i="2"/>
  <c r="AV655" i="2" s="1"/>
  <c r="BL250" i="2"/>
  <c r="BD959" i="2"/>
  <c r="BE957" i="2"/>
  <c r="BI686" i="2"/>
  <c r="N664" i="2"/>
  <c r="AI591" i="2"/>
  <c r="AJ586" i="2"/>
  <c r="BK661" i="2"/>
  <c r="Y676" i="2"/>
  <c r="Z676" i="2" s="1"/>
  <c r="Z675" i="2"/>
  <c r="AG696" i="2"/>
  <c r="AH682" i="2"/>
  <c r="AG683" i="2"/>
  <c r="AC688" i="2"/>
  <c r="AD688" i="2" s="1"/>
  <c r="AD687" i="2"/>
  <c r="U42" i="2"/>
  <c r="W34" i="2"/>
  <c r="V40" i="2"/>
  <c r="BB980" i="2"/>
  <c r="BC980" i="2" s="1"/>
  <c r="BC973" i="2"/>
  <c r="X16" i="2"/>
  <c r="AK962" i="2"/>
  <c r="AE696" i="2"/>
  <c r="AE683" i="2"/>
  <c r="AF682" i="2"/>
  <c r="AC987" i="2"/>
  <c r="AC981" i="2"/>
  <c r="AD634" i="2"/>
  <c r="AC656" i="2"/>
  <c r="AD656" i="2" s="1"/>
  <c r="AC635" i="2"/>
  <c r="BC665" i="2"/>
  <c r="BF694" i="2"/>
  <c r="BG694" i="2" s="1"/>
  <c r="BG674" i="2"/>
  <c r="BF954" i="2"/>
  <c r="BG952" i="2"/>
  <c r="AM670" i="2"/>
  <c r="AM716" i="2"/>
  <c r="AM715" i="2"/>
  <c r="BB968" i="2"/>
  <c r="BC968" i="2" s="1"/>
  <c r="BC850" i="2"/>
  <c r="BB23" i="2"/>
  <c r="BC23" i="2" s="1"/>
  <c r="BJ586" i="2"/>
  <c r="BK584" i="2"/>
  <c r="T659" i="2"/>
  <c r="S668" i="2"/>
  <c r="Z16" i="2"/>
  <c r="J663" i="2"/>
  <c r="AM717" i="2"/>
  <c r="AN663" i="2"/>
  <c r="AF659" i="2"/>
  <c r="AE668" i="2"/>
  <c r="AN668" i="2" s="1"/>
  <c r="BK667" i="2"/>
  <c r="BI667" i="2"/>
  <c r="U676" i="2"/>
  <c r="V676" i="2" s="1"/>
  <c r="V675" i="2"/>
  <c r="BR553" i="2"/>
  <c r="BQ553" i="2"/>
  <c r="BI128" i="2"/>
  <c r="L649" i="2"/>
  <c r="BE662" i="2"/>
  <c r="Y696" i="2"/>
  <c r="Z682" i="2"/>
  <c r="Y683" i="2"/>
  <c r="AL649" i="2"/>
  <c r="V663" i="2"/>
  <c r="W84" i="2"/>
  <c r="V90" i="2"/>
  <c r="U92" i="2"/>
  <c r="AM724" i="2"/>
  <c r="BD650" i="2"/>
  <c r="BE650" i="2" s="1"/>
  <c r="BE629" i="2"/>
  <c r="BF649" i="2"/>
  <c r="BG649" i="2" s="1"/>
  <c r="BG628" i="2"/>
  <c r="BD614" i="2"/>
  <c r="BE613" i="2"/>
  <c r="BF591" i="2"/>
  <c r="BD980" i="2"/>
  <c r="BE980" i="2" s="1"/>
  <c r="BE973" i="2"/>
  <c r="V299" i="2"/>
  <c r="W292" i="2"/>
  <c r="U302" i="2"/>
  <c r="C987" i="2"/>
  <c r="C981" i="2"/>
  <c r="C635" i="2"/>
  <c r="C656" i="2"/>
  <c r="L656" i="2" s="1"/>
  <c r="D634" i="2"/>
  <c r="AO680" i="2"/>
  <c r="AP679" i="2"/>
  <c r="V154" i="2"/>
  <c r="U172" i="2"/>
  <c r="U171" i="2"/>
  <c r="V171" i="2" s="1"/>
  <c r="U170" i="2"/>
  <c r="V170" i="2" s="1"/>
  <c r="U169" i="2"/>
  <c r="V169" i="2" s="1"/>
  <c r="U159" i="2"/>
  <c r="AF936" i="2"/>
  <c r="AM721" i="2"/>
  <c r="H659" i="2"/>
  <c r="G668" i="2"/>
  <c r="AW846" i="2"/>
  <c r="AX846" i="2" s="1"/>
  <c r="AW730" i="2"/>
  <c r="AX730" i="2" s="1"/>
  <c r="AX727" i="2"/>
  <c r="BL727" i="2"/>
  <c r="AB656" i="2"/>
  <c r="AV819" i="2"/>
  <c r="BL608" i="2"/>
  <c r="BM608" i="2" s="1"/>
  <c r="BM520" i="2"/>
  <c r="BV552" i="2"/>
  <c r="BU552" i="2"/>
  <c r="G364" i="2"/>
  <c r="G361" i="2"/>
  <c r="H361" i="2" s="1"/>
  <c r="G360" i="2"/>
  <c r="H360" i="2" s="1"/>
  <c r="H212" i="2"/>
  <c r="G359" i="2"/>
  <c r="G365" i="2"/>
  <c r="H365" i="2" s="1"/>
  <c r="G366" i="2"/>
  <c r="H366" i="2" s="1"/>
  <c r="G369" i="2"/>
  <c r="H369" i="2" s="1"/>
  <c r="AX485" i="2"/>
  <c r="T16" i="2"/>
  <c r="AR486" i="2"/>
  <c r="AQ527" i="2"/>
  <c r="AQ494" i="2"/>
  <c r="BI660" i="2"/>
  <c r="AJ694" i="2"/>
  <c r="AW491" i="2"/>
  <c r="AV491" i="2"/>
  <c r="AU484" i="2"/>
  <c r="AE680" i="2"/>
  <c r="AF679" i="2"/>
  <c r="BK613" i="2"/>
  <c r="BJ614" i="2"/>
  <c r="BH956" i="2"/>
  <c r="BI956" i="2" s="1"/>
  <c r="BH663" i="2"/>
  <c r="BH357" i="2"/>
  <c r="BI357" i="2" s="1"/>
  <c r="BH374" i="2"/>
  <c r="BH356" i="2"/>
  <c r="BI356" i="2" s="1"/>
  <c r="BH354" i="2"/>
  <c r="BI354" i="2" s="1"/>
  <c r="BI339" i="2"/>
  <c r="BH373" i="2"/>
  <c r="Q696" i="2"/>
  <c r="R682" i="2"/>
  <c r="Q683" i="2"/>
  <c r="BH16" i="2"/>
  <c r="BI9" i="2"/>
  <c r="BG662" i="2"/>
  <c r="BL488" i="2"/>
  <c r="BM482" i="2"/>
  <c r="BK660" i="2"/>
  <c r="Q670" i="2"/>
  <c r="Q715" i="2"/>
  <c r="BJ956" i="2"/>
  <c r="BJ663" i="2"/>
  <c r="BJ354" i="2"/>
  <c r="BK354" i="2" s="1"/>
  <c r="BJ374" i="2"/>
  <c r="BJ357" i="2"/>
  <c r="BJ373" i="2"/>
  <c r="BJ356" i="2"/>
  <c r="BK339" i="2"/>
  <c r="P16" i="2"/>
  <c r="BR611" i="2"/>
  <c r="BS611" i="2" s="1"/>
  <c r="BS479" i="2"/>
  <c r="W221" i="2"/>
  <c r="V228" i="2"/>
  <c r="U230" i="2"/>
  <c r="BE667" i="2"/>
  <c r="BI958" i="2"/>
  <c r="BE639" i="2"/>
  <c r="E717" i="2"/>
  <c r="F663" i="2"/>
  <c r="AP663" i="2"/>
  <c r="BM823" i="2"/>
  <c r="BL825" i="2"/>
  <c r="BM825" i="2" s="1"/>
  <c r="BG613" i="2"/>
  <c r="AI717" i="2"/>
  <c r="AJ663" i="2"/>
  <c r="Q722" i="2"/>
  <c r="AM722" i="2"/>
  <c r="BD586" i="2"/>
  <c r="BG586" i="2" s="1"/>
  <c r="BE584" i="2"/>
  <c r="BR706" i="2"/>
  <c r="BP19" i="2"/>
  <c r="BQ19" i="2" s="1"/>
  <c r="W680" i="2"/>
  <c r="X680" i="2" s="1"/>
  <c r="X679" i="2"/>
  <c r="BI639" i="2"/>
  <c r="T74" i="2"/>
  <c r="S75" i="2"/>
  <c r="T75" i="2" s="1"/>
  <c r="BG638" i="2"/>
  <c r="C717" i="2"/>
  <c r="D663" i="2"/>
  <c r="BJ638" i="2"/>
  <c r="BK638" i="2" s="1"/>
  <c r="BJ634" i="2"/>
  <c r="BK617" i="2"/>
  <c r="BP888" i="2"/>
  <c r="BQ888" i="2" s="1"/>
  <c r="BQ859" i="2"/>
  <c r="BR859" i="2"/>
  <c r="K717" i="2"/>
  <c r="L663" i="2"/>
  <c r="AG987" i="2"/>
  <c r="AG981" i="2"/>
  <c r="AG635" i="2"/>
  <c r="AH634" i="2"/>
  <c r="AG656" i="2"/>
  <c r="AH656" i="2" s="1"/>
  <c r="BK639" i="2"/>
  <c r="BG665" i="2"/>
  <c r="AF664" i="2"/>
  <c r="P659" i="2"/>
  <c r="O668" i="2"/>
  <c r="AL357" i="2"/>
  <c r="BL405" i="2"/>
  <c r="BM394" i="2"/>
  <c r="BL400" i="2"/>
  <c r="AH356" i="2"/>
  <c r="AF649" i="2"/>
  <c r="AF357" i="2"/>
  <c r="BF980" i="2"/>
  <c r="BG980" i="2" s="1"/>
  <c r="BG973" i="2"/>
  <c r="AL936" i="2"/>
  <c r="AJ924" i="2"/>
  <c r="AJ938" i="2"/>
  <c r="AN926" i="2"/>
  <c r="BH299" i="2"/>
  <c r="BI292" i="2"/>
  <c r="BH308" i="2"/>
  <c r="BI308" i="2" s="1"/>
  <c r="BH307" i="2"/>
  <c r="BI307" i="2" s="1"/>
  <c r="BK662" i="2"/>
  <c r="AB354" i="2"/>
  <c r="M987" i="2"/>
  <c r="M981" i="2"/>
  <c r="M656" i="2"/>
  <c r="N656" i="2" s="1"/>
  <c r="M635" i="2"/>
  <c r="N634" i="2"/>
  <c r="BK665" i="2"/>
  <c r="AN656" i="2"/>
  <c r="BE975" i="2"/>
  <c r="AF638" i="2"/>
  <c r="BO222" i="2"/>
  <c r="BP222" i="2"/>
  <c r="BK539" i="2"/>
  <c r="AC683" i="2"/>
  <c r="AC691" i="2" s="1"/>
  <c r="AC696" i="2"/>
  <c r="AD682" i="2"/>
  <c r="BG282" i="2"/>
  <c r="BH275" i="2"/>
  <c r="AO987" i="2"/>
  <c r="AO981" i="2"/>
  <c r="AO635" i="2"/>
  <c r="AP634" i="2"/>
  <c r="AO656" i="2"/>
  <c r="AP656" i="2" s="1"/>
  <c r="BE418" i="2"/>
  <c r="AU397" i="2"/>
  <c r="AW404" i="2"/>
  <c r="AV404" i="2"/>
  <c r="BI655" i="2"/>
  <c r="BK953" i="2"/>
  <c r="BN548" i="2"/>
  <c r="BP546" i="2"/>
  <c r="BO546" i="2"/>
  <c r="AW490" i="2"/>
  <c r="AV490" i="2"/>
  <c r="AU483" i="2"/>
  <c r="U50" i="2"/>
  <c r="V50" i="2" s="1"/>
  <c r="V49" i="2"/>
  <c r="AP694" i="2"/>
  <c r="N738" i="2"/>
  <c r="AV305" i="2"/>
  <c r="AU294" i="2"/>
  <c r="BP555" i="2"/>
  <c r="BQ555" i="2" s="1"/>
  <c r="BR551" i="2"/>
  <c r="BQ551" i="2"/>
  <c r="BI880" i="2"/>
  <c r="BH878" i="2"/>
  <c r="BU473" i="2"/>
  <c r="BT474" i="2"/>
  <c r="BV473" i="2"/>
  <c r="BC659" i="2"/>
  <c r="AP16" i="2"/>
  <c r="BJ878" i="2"/>
  <c r="BK880" i="2"/>
  <c r="G717" i="2"/>
  <c r="H663" i="2"/>
  <c r="AG680" i="2"/>
  <c r="AH680" i="2" s="1"/>
  <c r="AH679" i="2"/>
  <c r="AK694" i="2"/>
  <c r="AL694" i="2" s="1"/>
  <c r="AL674" i="2"/>
  <c r="AK675" i="2"/>
  <c r="BN86" i="2"/>
  <c r="BO86" i="2" s="1"/>
  <c r="BP85" i="2"/>
  <c r="BO85" i="2"/>
  <c r="T123" i="2"/>
  <c r="S124" i="2"/>
  <c r="T124" i="2" s="1"/>
  <c r="BB959" i="2"/>
  <c r="BC959" i="2" s="1"/>
  <c r="BC957" i="2"/>
  <c r="W688" i="2"/>
  <c r="O696" i="2"/>
  <c r="O683" i="2"/>
  <c r="P682" i="2"/>
  <c r="AK680" i="2"/>
  <c r="AL679" i="2"/>
  <c r="AG676" i="2"/>
  <c r="AH676" i="2" s="1"/>
  <c r="AH675" i="2"/>
  <c r="BB985" i="2"/>
  <c r="BC985" i="2" s="1"/>
  <c r="BC967" i="2"/>
  <c r="AK688" i="2"/>
  <c r="AL687" i="2"/>
  <c r="N659" i="2"/>
  <c r="M668" i="2"/>
  <c r="M717" i="2" s="1"/>
  <c r="AM694" i="2"/>
  <c r="AN694" i="2" s="1"/>
  <c r="AN674" i="2"/>
  <c r="AM675" i="2"/>
  <c r="T288" i="2"/>
  <c r="S289" i="2"/>
  <c r="T289" i="2" s="1"/>
  <c r="G987" i="2"/>
  <c r="G981" i="2"/>
  <c r="G656" i="2"/>
  <c r="H656" i="2" s="1"/>
  <c r="H634" i="2"/>
  <c r="G635" i="2"/>
  <c r="H635" i="2" s="1"/>
  <c r="AO668" i="2"/>
  <c r="AO717" i="2" s="1"/>
  <c r="AP659" i="2"/>
  <c r="BB16" i="2"/>
  <c r="BC9" i="2"/>
  <c r="BI648" i="2"/>
  <c r="BQ886" i="2"/>
  <c r="BR886" i="2"/>
  <c r="BJ695" i="2"/>
  <c r="BK695" i="2" s="1"/>
  <c r="BK678" i="2"/>
  <c r="Q720" i="2"/>
  <c r="AK987" i="2"/>
  <c r="AK981" i="2"/>
  <c r="AK635" i="2"/>
  <c r="AL634" i="2"/>
  <c r="AK656" i="2"/>
  <c r="AL656" i="2" s="1"/>
  <c r="W696" i="2"/>
  <c r="W683" i="2"/>
  <c r="X682" i="2"/>
  <c r="V271" i="2"/>
  <c r="V270" i="2"/>
  <c r="BO873" i="2"/>
  <c r="BN875" i="2"/>
  <c r="BP873" i="2"/>
  <c r="BI640" i="2"/>
  <c r="BI661" i="2"/>
  <c r="AK683" i="2"/>
  <c r="AK691" i="2" s="1"/>
  <c r="AK696" i="2"/>
  <c r="AL696" i="2" s="1"/>
  <c r="AL682" i="2"/>
  <c r="AO961" i="2"/>
  <c r="AO962" i="2" s="1"/>
  <c r="AR686" i="2"/>
  <c r="AQ687" i="2"/>
  <c r="AQ689" i="2" s="1"/>
  <c r="T650" i="2"/>
  <c r="BG653" i="2"/>
  <c r="BT36" i="2"/>
  <c r="BV35" i="2"/>
  <c r="BU35" i="2"/>
  <c r="AM680" i="2"/>
  <c r="AN679" i="2"/>
  <c r="AH16" i="2"/>
  <c r="BH664" i="2"/>
  <c r="BI664" i="2" s="1"/>
  <c r="BI536" i="2"/>
  <c r="BH540" i="2"/>
  <c r="AW979" i="2"/>
  <c r="AW633" i="2"/>
  <c r="AW568" i="2"/>
  <c r="AX559" i="2"/>
  <c r="AW15" i="2"/>
  <c r="AX15" i="2" s="1"/>
  <c r="V308" i="2"/>
  <c r="U309" i="2"/>
  <c r="V309" i="2" s="1"/>
  <c r="AP682" i="2"/>
  <c r="AO683" i="2"/>
  <c r="AO691" i="2" s="1"/>
  <c r="AO696" i="2"/>
  <c r="AP696" i="2" s="1"/>
  <c r="O724" i="2"/>
  <c r="P667" i="2"/>
  <c r="S717" i="2"/>
  <c r="T663" i="2"/>
  <c r="Y668" i="2"/>
  <c r="Z659" i="2"/>
  <c r="S191" i="2"/>
  <c r="T191" i="2" s="1"/>
  <c r="S190" i="2"/>
  <c r="T190" i="2" s="1"/>
  <c r="S189" i="2"/>
  <c r="T189" i="2" s="1"/>
  <c r="T161" i="2"/>
  <c r="S193" i="2"/>
  <c r="T193" i="2" s="1"/>
  <c r="S192" i="2"/>
  <c r="T192" i="2" s="1"/>
  <c r="W962" i="2"/>
  <c r="R634" i="2"/>
  <c r="BN518" i="2"/>
  <c r="BN421" i="2"/>
  <c r="BO421" i="2" s="1"/>
  <c r="BO389" i="2"/>
  <c r="BN391" i="2"/>
  <c r="BP389" i="2"/>
  <c r="BO298" i="2"/>
  <c r="BM298" i="2"/>
  <c r="M962" i="2"/>
  <c r="AR524" i="2"/>
  <c r="AF675" i="2"/>
  <c r="AE676" i="2"/>
  <c r="BH980" i="2"/>
  <c r="BI980" i="2" s="1"/>
  <c r="BI973" i="2"/>
  <c r="BH954" i="2"/>
  <c r="BI952" i="2"/>
  <c r="L16" i="2"/>
  <c r="U668" i="2"/>
  <c r="U717" i="2" s="1"/>
  <c r="F936" i="2"/>
  <c r="N936" i="2"/>
  <c r="C961" i="2"/>
  <c r="C962" i="2" s="1"/>
  <c r="AD354" i="2"/>
  <c r="AC717" i="2"/>
  <c r="AD663" i="2"/>
  <c r="BG955" i="2"/>
  <c r="BJ980" i="2"/>
  <c r="BK973" i="2"/>
  <c r="BJ954" i="2"/>
  <c r="BK952" i="2"/>
  <c r="AR526" i="2"/>
  <c r="BG651" i="2"/>
  <c r="BK11" i="2"/>
  <c r="BJ649" i="2"/>
  <c r="BK649" i="2" s="1"/>
  <c r="BK628" i="2"/>
  <c r="BH586" i="2"/>
  <c r="BI584" i="2"/>
  <c r="AM696" i="2"/>
  <c r="AN696" i="2" s="1"/>
  <c r="AM683" i="2"/>
  <c r="AN682" i="2"/>
  <c r="Q717" i="2"/>
  <c r="R663" i="2"/>
  <c r="BE666" i="2"/>
  <c r="BD659" i="2"/>
  <c r="BG659" i="2" s="1"/>
  <c r="BE146" i="2"/>
  <c r="BD148" i="2"/>
  <c r="E719" i="2"/>
  <c r="BE960" i="2"/>
  <c r="BB586" i="2"/>
  <c r="BC584" i="2"/>
  <c r="I668" i="2"/>
  <c r="I962" i="2" s="1"/>
  <c r="J659" i="2"/>
  <c r="Y691" i="2"/>
  <c r="Y688" i="2"/>
  <c r="Z688" i="2" s="1"/>
  <c r="Z687" i="2"/>
  <c r="AA668" i="2"/>
  <c r="BK955" i="2"/>
  <c r="AE691" i="2"/>
  <c r="AE688" i="2"/>
  <c r="AF688" i="2" s="1"/>
  <c r="AF687" i="2"/>
  <c r="T649" i="2"/>
  <c r="E724" i="2"/>
  <c r="BK14" i="2"/>
  <c r="BM875" i="2"/>
  <c r="BB956" i="2"/>
  <c r="BC956" i="2" s="1"/>
  <c r="BB663" i="2"/>
  <c r="BB374" i="2"/>
  <c r="BB357" i="2"/>
  <c r="BC357" i="2" s="1"/>
  <c r="BB373" i="2"/>
  <c r="BB356" i="2"/>
  <c r="BC356" i="2" s="1"/>
  <c r="BC339" i="2"/>
  <c r="BC661" i="2"/>
  <c r="BT669" i="2"/>
  <c r="BV145" i="2"/>
  <c r="BU145" i="2"/>
  <c r="F16" i="2"/>
  <c r="R535" i="2"/>
  <c r="J535" i="2"/>
  <c r="T68" i="2"/>
  <c r="S70" i="2"/>
  <c r="T70" i="2" s="1"/>
  <c r="BB634" i="2"/>
  <c r="X357" i="2"/>
  <c r="R16" i="2"/>
  <c r="BJ674" i="2"/>
  <c r="BF959" i="2"/>
  <c r="BG959" i="2" s="1"/>
  <c r="BG957" i="2"/>
  <c r="O961" i="2"/>
  <c r="O962" i="2" s="1"/>
  <c r="BC852" i="2"/>
  <c r="BB711" i="2"/>
  <c r="BB24" i="2"/>
  <c r="BC24" i="2" s="1"/>
  <c r="BF878" i="2"/>
  <c r="BG880" i="2"/>
  <c r="AV523" i="2"/>
  <c r="AH354" i="2"/>
  <c r="AG717" i="2"/>
  <c r="AH663" i="2"/>
  <c r="AE717" i="2"/>
  <c r="AF663" i="2"/>
  <c r="X535" i="2"/>
  <c r="P535" i="2"/>
  <c r="AJ926" i="2"/>
  <c r="AN936" i="2"/>
  <c r="BR258" i="2"/>
  <c r="BQ258" i="2"/>
  <c r="S691" i="2"/>
  <c r="S688" i="2"/>
  <c r="T688" i="2" s="1"/>
  <c r="BF687" i="2"/>
  <c r="T687" i="2"/>
  <c r="AB649" i="2"/>
  <c r="AB357" i="2"/>
  <c r="O687" i="2"/>
  <c r="P686" i="2"/>
  <c r="BJ959" i="2"/>
  <c r="BK959" i="2" s="1"/>
  <c r="BK957" i="2"/>
  <c r="BD956" i="2"/>
  <c r="BE956" i="2" s="1"/>
  <c r="BD663" i="2"/>
  <c r="BD373" i="2"/>
  <c r="BD357" i="2"/>
  <c r="BD356" i="2"/>
  <c r="BE356" i="2" s="1"/>
  <c r="BE339" i="2"/>
  <c r="BD374" i="2"/>
  <c r="AE961" i="2"/>
  <c r="AE962" i="2" s="1"/>
  <c r="BE420" i="2"/>
  <c r="AT397" i="2"/>
  <c r="AS526" i="2"/>
  <c r="BK655" i="2"/>
  <c r="U680" i="2"/>
  <c r="V680" i="2" s="1"/>
  <c r="V679" i="2"/>
  <c r="AO676" i="2"/>
  <c r="AP675" i="2"/>
  <c r="L634" i="2"/>
  <c r="BE357" i="2" l="1"/>
  <c r="BK357" i="2"/>
  <c r="BK956" i="2"/>
  <c r="U866" i="2"/>
  <c r="V866" i="2" s="1"/>
  <c r="AH696" i="2"/>
  <c r="Z680" i="2"/>
  <c r="BK356" i="2"/>
  <c r="AA691" i="2"/>
  <c r="BP825" i="2"/>
  <c r="AD691" i="2"/>
  <c r="AC704" i="2"/>
  <c r="AL691" i="2"/>
  <c r="AK704" i="2"/>
  <c r="N717" i="2"/>
  <c r="AP717" i="2"/>
  <c r="AA704" i="2"/>
  <c r="AB691" i="2"/>
  <c r="BL946" i="2"/>
  <c r="BM946" i="2" s="1"/>
  <c r="BM842" i="2"/>
  <c r="BL847" i="2"/>
  <c r="BM847" i="2" s="1"/>
  <c r="V717" i="2"/>
  <c r="AO704" i="2"/>
  <c r="O691" i="2"/>
  <c r="O688" i="2"/>
  <c r="P688" i="2" s="1"/>
  <c r="P687" i="2"/>
  <c r="BG687" i="2"/>
  <c r="BF688" i="2"/>
  <c r="BG688" i="2" s="1"/>
  <c r="BS258" i="2"/>
  <c r="BT258" i="2"/>
  <c r="BJ694" i="2"/>
  <c r="BK674" i="2"/>
  <c r="BB987" i="2"/>
  <c r="BC987" i="2" s="1"/>
  <c r="BB981" i="2"/>
  <c r="BB656" i="2"/>
  <c r="BC656" i="2" s="1"/>
  <c r="BB635" i="2"/>
  <c r="BC634" i="2"/>
  <c r="AA670" i="2"/>
  <c r="AB668" i="2"/>
  <c r="AA715" i="2"/>
  <c r="AA716" i="2"/>
  <c r="AA722" i="2"/>
  <c r="AA721" i="2"/>
  <c r="AA724" i="2"/>
  <c r="AA719" i="2"/>
  <c r="BB591" i="2"/>
  <c r="BC586" i="2"/>
  <c r="BJ961" i="2"/>
  <c r="BK954" i="2"/>
  <c r="BO875" i="2"/>
  <c r="BT886" i="2"/>
  <c r="BS886" i="2"/>
  <c r="BC16" i="2"/>
  <c r="AT680" i="2"/>
  <c r="AL680" i="2"/>
  <c r="X687" i="2"/>
  <c r="AK676" i="2"/>
  <c r="AL675" i="2"/>
  <c r="BK878" i="2"/>
  <c r="BJ936" i="2"/>
  <c r="BJ938" i="2"/>
  <c r="BJ924" i="2"/>
  <c r="BK924" i="2" s="1"/>
  <c r="BJ926" i="2"/>
  <c r="BI878" i="2"/>
  <c r="BH938" i="2"/>
  <c r="BH936" i="2"/>
  <c r="BH926" i="2"/>
  <c r="BH924" i="2"/>
  <c r="BQ222" i="2"/>
  <c r="BR222" i="2"/>
  <c r="BL401" i="2"/>
  <c r="BM401" i="2" s="1"/>
  <c r="BN400" i="2"/>
  <c r="BP400" i="2" s="1"/>
  <c r="BM400" i="2"/>
  <c r="O670" i="2"/>
  <c r="P668" i="2"/>
  <c r="O716" i="2"/>
  <c r="O722" i="2"/>
  <c r="O715" i="2"/>
  <c r="O721" i="2"/>
  <c r="O719" i="2"/>
  <c r="L717" i="2"/>
  <c r="D717" i="2"/>
  <c r="BT706" i="2"/>
  <c r="BT19" i="2" s="1"/>
  <c r="BR19" i="2"/>
  <c r="BS19" i="2" s="1"/>
  <c r="AM723" i="2"/>
  <c r="Q684" i="2"/>
  <c r="R684" i="2" s="1"/>
  <c r="R683" i="2"/>
  <c r="X292" i="2"/>
  <c r="W308" i="2"/>
  <c r="W299" i="2"/>
  <c r="W307" i="2"/>
  <c r="X307" i="2" s="1"/>
  <c r="U67" i="2"/>
  <c r="V67" i="2" s="1"/>
  <c r="U72" i="2"/>
  <c r="V72" i="2" s="1"/>
  <c r="U68" i="2"/>
  <c r="V42" i="2"/>
  <c r="U74" i="2"/>
  <c r="U73" i="2"/>
  <c r="V73" i="2" s="1"/>
  <c r="U69" i="2"/>
  <c r="V69" i="2" s="1"/>
  <c r="U78" i="2"/>
  <c r="V78" i="2" s="1"/>
  <c r="BG679" i="2"/>
  <c r="BF680" i="2"/>
  <c r="BG680" i="2" s="1"/>
  <c r="BF367" i="2"/>
  <c r="BG367" i="2" s="1"/>
  <c r="BG364" i="2"/>
  <c r="BG346" i="2"/>
  <c r="BF349" i="2"/>
  <c r="BG349" i="2" s="1"/>
  <c r="AR688" i="2"/>
  <c r="AJ688" i="2"/>
  <c r="W246" i="2"/>
  <c r="W253" i="2"/>
  <c r="W254" i="2" s="1"/>
  <c r="X254" i="2" s="1"/>
  <c r="W252" i="2"/>
  <c r="X239" i="2"/>
  <c r="BT390" i="2"/>
  <c r="BS390" i="2"/>
  <c r="BR519" i="2"/>
  <c r="BS519" i="2" s="1"/>
  <c r="BN558" i="2"/>
  <c r="BM558" i="2"/>
  <c r="BL559" i="2"/>
  <c r="BH694" i="2"/>
  <c r="BI694" i="2" s="1"/>
  <c r="BI674" i="2"/>
  <c r="BT547" i="2"/>
  <c r="BS547" i="2"/>
  <c r="BM523" i="2"/>
  <c r="AX403" i="2"/>
  <c r="AW396" i="2"/>
  <c r="AX396" i="2" s="1"/>
  <c r="AR676" i="2"/>
  <c r="BT276" i="2"/>
  <c r="BS276" i="2"/>
  <c r="BG357" i="2"/>
  <c r="BG956" i="2"/>
  <c r="AR680" i="2"/>
  <c r="AJ680" i="2"/>
  <c r="BM268" i="2"/>
  <c r="BN268" i="2"/>
  <c r="BB961" i="2"/>
  <c r="BC954" i="2"/>
  <c r="AW294" i="2"/>
  <c r="AX294" i="2" s="1"/>
  <c r="AX305" i="2"/>
  <c r="AS860" i="2"/>
  <c r="AR860" i="2"/>
  <c r="V656" i="2"/>
  <c r="BQ240" i="2"/>
  <c r="BR240" i="2"/>
  <c r="BJ683" i="2"/>
  <c r="AJ683" i="2"/>
  <c r="AI684" i="2"/>
  <c r="BD987" i="2"/>
  <c r="BE987" i="2" s="1"/>
  <c r="BD981" i="2"/>
  <c r="BD656" i="2"/>
  <c r="BE656" i="2" s="1"/>
  <c r="BD635" i="2"/>
  <c r="BE634" i="2"/>
  <c r="BH668" i="2"/>
  <c r="BI659" i="2"/>
  <c r="AT525" i="2"/>
  <c r="AT667" i="2"/>
  <c r="BS828" i="2"/>
  <c r="BT828" i="2"/>
  <c r="BR823" i="2"/>
  <c r="BS823" i="2" s="1"/>
  <c r="BR827" i="2"/>
  <c r="BS827" i="2" s="1"/>
  <c r="BH696" i="2"/>
  <c r="BI682" i="2"/>
  <c r="BI695" i="2"/>
  <c r="V266" i="2"/>
  <c r="AH688" i="2"/>
  <c r="AH668" i="2"/>
  <c r="AG670" i="2"/>
  <c r="AG721" i="2"/>
  <c r="AG722" i="2"/>
  <c r="AG716" i="2"/>
  <c r="AG724" i="2"/>
  <c r="AG719" i="2"/>
  <c r="AG715" i="2"/>
  <c r="BG878" i="2"/>
  <c r="BF936" i="2"/>
  <c r="BF938" i="2"/>
  <c r="BF926" i="2"/>
  <c r="BF924" i="2"/>
  <c r="BT690" i="2"/>
  <c r="BV669" i="2"/>
  <c r="BU669" i="2"/>
  <c r="BT708" i="2"/>
  <c r="BC663" i="2"/>
  <c r="J668" i="2"/>
  <c r="I670" i="2"/>
  <c r="I724" i="2"/>
  <c r="I716" i="2"/>
  <c r="I721" i="2"/>
  <c r="I719" i="2"/>
  <c r="I715" i="2"/>
  <c r="J715" i="2" s="1"/>
  <c r="I722" i="2"/>
  <c r="BE659" i="2"/>
  <c r="BD668" i="2"/>
  <c r="Q718" i="2"/>
  <c r="AD717" i="2"/>
  <c r="Z668" i="2"/>
  <c r="Y670" i="2"/>
  <c r="Y722" i="2"/>
  <c r="Y716" i="2"/>
  <c r="Z716" i="2" s="1"/>
  <c r="Y719" i="2"/>
  <c r="Y715" i="2"/>
  <c r="Z715" i="2" s="1"/>
  <c r="Y724" i="2"/>
  <c r="Y721" i="2"/>
  <c r="Z721" i="2" s="1"/>
  <c r="AW960" i="2"/>
  <c r="AW667" i="2"/>
  <c r="AX568" i="2"/>
  <c r="AR687" i="2"/>
  <c r="W684" i="2"/>
  <c r="X683" i="2"/>
  <c r="AT688" i="2"/>
  <c r="AL688" i="2"/>
  <c r="X688" i="2"/>
  <c r="BQ85" i="2"/>
  <c r="BP86" i="2"/>
  <c r="BQ86" i="2" s="1"/>
  <c r="BR85" i="2"/>
  <c r="AV483" i="2"/>
  <c r="AU524" i="2"/>
  <c r="AU486" i="2"/>
  <c r="BR546" i="2"/>
  <c r="BQ546" i="2"/>
  <c r="BP548" i="2"/>
  <c r="BJ292" i="2"/>
  <c r="BH302" i="2"/>
  <c r="BI299" i="2"/>
  <c r="BR888" i="2"/>
  <c r="BS888" i="2" s="1"/>
  <c r="BT859" i="2"/>
  <c r="BS859" i="2"/>
  <c r="BJ987" i="2"/>
  <c r="BJ981" i="2"/>
  <c r="BJ656" i="2"/>
  <c r="BJ635" i="2"/>
  <c r="BK634" i="2"/>
  <c r="R722" i="2"/>
  <c r="Q723" i="2"/>
  <c r="Q703" i="2"/>
  <c r="Q671" i="2"/>
  <c r="R670" i="2"/>
  <c r="BH717" i="2"/>
  <c r="BI663" i="2"/>
  <c r="AX491" i="2"/>
  <c r="AW484" i="2"/>
  <c r="AQ977" i="2"/>
  <c r="AQ632" i="2"/>
  <c r="AQ505" i="2"/>
  <c r="AR494" i="2"/>
  <c r="AQ529" i="2"/>
  <c r="AQ503" i="2"/>
  <c r="AR503" i="2" s="1"/>
  <c r="AQ500" i="2"/>
  <c r="AQ12" i="2"/>
  <c r="AR12" i="2" s="1"/>
  <c r="BL846" i="2"/>
  <c r="BM846" i="2" s="1"/>
  <c r="BL735" i="2"/>
  <c r="BL730" i="2"/>
  <c r="BM730" i="2" s="1"/>
  <c r="BM727" i="2"/>
  <c r="AP680" i="2"/>
  <c r="AX680" i="2"/>
  <c r="U121" i="2"/>
  <c r="V121" i="2" s="1"/>
  <c r="U118" i="2"/>
  <c r="V118" i="2" s="1"/>
  <c r="U117" i="2"/>
  <c r="V92" i="2"/>
  <c r="U122" i="2"/>
  <c r="V122" i="2" s="1"/>
  <c r="U123" i="2"/>
  <c r="U116" i="2"/>
  <c r="V116" i="2" s="1"/>
  <c r="U127" i="2"/>
  <c r="V127" i="2" s="1"/>
  <c r="AM718" i="2"/>
  <c r="AN717" i="2"/>
  <c r="AM703" i="2"/>
  <c r="AM671" i="2"/>
  <c r="AG684" i="2"/>
  <c r="AH683" i="2"/>
  <c r="AV686" i="2"/>
  <c r="AU687" i="2"/>
  <c r="AU689" i="2" s="1"/>
  <c r="AV689" i="2" s="1"/>
  <c r="BK664" i="2"/>
  <c r="BK84" i="2"/>
  <c r="BJ96" i="2"/>
  <c r="BK96" i="2" s="1"/>
  <c r="BJ90" i="2"/>
  <c r="BJ98" i="2"/>
  <c r="BK98" i="2" s="1"/>
  <c r="BJ97" i="2"/>
  <c r="BK97" i="2" s="1"/>
  <c r="BJ99" i="2"/>
  <c r="BK99" i="2" s="1"/>
  <c r="P675" i="2"/>
  <c r="O676" i="2"/>
  <c r="P676" i="2" s="1"/>
  <c r="AI704" i="2"/>
  <c r="AJ691" i="2"/>
  <c r="AL717" i="2"/>
  <c r="X675" i="2"/>
  <c r="W676" i="2"/>
  <c r="AP688" i="2"/>
  <c r="AX688" i="2"/>
  <c r="BG16" i="2"/>
  <c r="Y717" i="2"/>
  <c r="AV396" i="2"/>
  <c r="BL396" i="2"/>
  <c r="BJ675" i="2"/>
  <c r="AK670" i="2"/>
  <c r="AL668" i="2"/>
  <c r="AK722" i="2"/>
  <c r="AK719" i="2"/>
  <c r="AK715" i="2"/>
  <c r="AK716" i="2"/>
  <c r="AK724" i="2"/>
  <c r="AK721" i="2"/>
  <c r="AX819" i="2"/>
  <c r="BD961" i="2"/>
  <c r="BE954" i="2"/>
  <c r="BJ680" i="2"/>
  <c r="BK679" i="2"/>
  <c r="BR885" i="2"/>
  <c r="BQ885" i="2"/>
  <c r="T283" i="2"/>
  <c r="F670" i="2"/>
  <c r="E671" i="2"/>
  <c r="E703" i="2"/>
  <c r="AA717" i="2"/>
  <c r="BR825" i="2"/>
  <c r="BS825" i="2" s="1"/>
  <c r="BS822" i="2"/>
  <c r="BT822" i="2"/>
  <c r="BG650" i="2"/>
  <c r="BH688" i="2"/>
  <c r="BI688" i="2" s="1"/>
  <c r="BI687" i="2"/>
  <c r="BQ874" i="2"/>
  <c r="BR874" i="2"/>
  <c r="BN862" i="2"/>
  <c r="BM862" i="2"/>
  <c r="C670" i="2"/>
  <c r="D668" i="2"/>
  <c r="C716" i="2"/>
  <c r="D716" i="2" s="1"/>
  <c r="C719" i="2"/>
  <c r="C724" i="2"/>
  <c r="C721" i="2"/>
  <c r="D721" i="2" s="1"/>
  <c r="C722" i="2"/>
  <c r="C715" i="2"/>
  <c r="D715" i="2" s="1"/>
  <c r="S962" i="2"/>
  <c r="K670" i="2"/>
  <c r="L668" i="2"/>
  <c r="K716" i="2"/>
  <c r="L716" i="2" s="1"/>
  <c r="K715" i="2"/>
  <c r="L715" i="2" s="1"/>
  <c r="K721" i="2"/>
  <c r="L721" i="2" s="1"/>
  <c r="K722" i="2"/>
  <c r="K724" i="2"/>
  <c r="K719" i="2"/>
  <c r="BH680" i="2"/>
  <c r="BI680" i="2" s="1"/>
  <c r="BI679" i="2"/>
  <c r="BF683" i="2"/>
  <c r="T683" i="2"/>
  <c r="S684" i="2"/>
  <c r="T684" i="2" s="1"/>
  <c r="BK239" i="2"/>
  <c r="BJ246" i="2"/>
  <c r="BJ252" i="2"/>
  <c r="BK252" i="2" s="1"/>
  <c r="BJ253" i="2"/>
  <c r="BK253" i="2" s="1"/>
  <c r="BK257" i="2"/>
  <c r="BJ264" i="2"/>
  <c r="BJ270" i="2"/>
  <c r="BK270" i="2" s="1"/>
  <c r="BJ271" i="2"/>
  <c r="BK271" i="2" s="1"/>
  <c r="AG691" i="2"/>
  <c r="BJ228" i="2"/>
  <c r="BK221" i="2"/>
  <c r="BK234" i="2" s="1"/>
  <c r="BJ234" i="2"/>
  <c r="BJ235" i="2"/>
  <c r="BK235" i="2" s="1"/>
  <c r="AQ976" i="2"/>
  <c r="AQ978" i="2" s="1"/>
  <c r="AQ630" i="2"/>
  <c r="AR407" i="2"/>
  <c r="AQ419" i="2"/>
  <c r="AQ414" i="2"/>
  <c r="AQ417" i="2"/>
  <c r="AR417" i="2" s="1"/>
  <c r="AQ13" i="2"/>
  <c r="BL277" i="2"/>
  <c r="BF981" i="2"/>
  <c r="AP676" i="2"/>
  <c r="AX676" i="2"/>
  <c r="AT526" i="2"/>
  <c r="S704" i="2"/>
  <c r="T691" i="2"/>
  <c r="AF717" i="2"/>
  <c r="F724" i="2"/>
  <c r="AE704" i="2"/>
  <c r="E720" i="2"/>
  <c r="F720" i="2" s="1"/>
  <c r="F719" i="2"/>
  <c r="BI586" i="2"/>
  <c r="BH591" i="2"/>
  <c r="BK980" i="2"/>
  <c r="BP518" i="2"/>
  <c r="BR389" i="2"/>
  <c r="BQ389" i="2"/>
  <c r="BP421" i="2"/>
  <c r="BQ421" i="2" s="1"/>
  <c r="BP391" i="2"/>
  <c r="BN520" i="2"/>
  <c r="BO518" i="2"/>
  <c r="AW655" i="2"/>
  <c r="AX655" i="2" s="1"/>
  <c r="AW686" i="2"/>
  <c r="AX633" i="2"/>
  <c r="AN680" i="2"/>
  <c r="AV680" i="2"/>
  <c r="BU36" i="2"/>
  <c r="BV36" i="2"/>
  <c r="AP668" i="2"/>
  <c r="AO670" i="2"/>
  <c r="AO721" i="2"/>
  <c r="AP721" i="2" s="1"/>
  <c r="AO719" i="2"/>
  <c r="AO724" i="2"/>
  <c r="AO722" i="2"/>
  <c r="AO715" i="2"/>
  <c r="AP715" i="2" s="1"/>
  <c r="AO716" i="2"/>
  <c r="AP716" i="2" s="1"/>
  <c r="AM676" i="2"/>
  <c r="AN675" i="2"/>
  <c r="M670" i="2"/>
  <c r="N668" i="2"/>
  <c r="M722" i="2"/>
  <c r="M716" i="2"/>
  <c r="N716" i="2" s="1"/>
  <c r="M719" i="2"/>
  <c r="M715" i="2"/>
  <c r="N715" i="2" s="1"/>
  <c r="M724" i="2"/>
  <c r="M721" i="2"/>
  <c r="N721" i="2" s="1"/>
  <c r="O684" i="2"/>
  <c r="P684" i="2" s="1"/>
  <c r="P683" i="2"/>
  <c r="W691" i="2"/>
  <c r="AF691" i="2" s="1"/>
  <c r="H717" i="2"/>
  <c r="BV474" i="2"/>
  <c r="BU474" i="2"/>
  <c r="AV294" i="2"/>
  <c r="BL294" i="2"/>
  <c r="BN612" i="2"/>
  <c r="BO612" i="2" s="1"/>
  <c r="BN557" i="2"/>
  <c r="BO548" i="2"/>
  <c r="AX404" i="2"/>
  <c r="AW397" i="2"/>
  <c r="BH282" i="2"/>
  <c r="BI275" i="2"/>
  <c r="BH288" i="2"/>
  <c r="BI288" i="2" s="1"/>
  <c r="BH287" i="2"/>
  <c r="BI287" i="2" s="1"/>
  <c r="AC684" i="2"/>
  <c r="AD683" i="2"/>
  <c r="BD591" i="2"/>
  <c r="BE586" i="2"/>
  <c r="E718" i="2"/>
  <c r="F718" i="2" s="1"/>
  <c r="F717" i="2"/>
  <c r="W235" i="2"/>
  <c r="W236" i="2" s="1"/>
  <c r="X236" i="2" s="1"/>
  <c r="X221" i="2"/>
  <c r="W234" i="2"/>
  <c r="W228" i="2"/>
  <c r="BK663" i="2"/>
  <c r="R668" i="2"/>
  <c r="AF680" i="2"/>
  <c r="AR527" i="2"/>
  <c r="G670" i="2"/>
  <c r="H668" i="2"/>
  <c r="G716" i="2"/>
  <c r="H716" i="2" s="1"/>
  <c r="G715" i="2"/>
  <c r="H715" i="2" s="1"/>
  <c r="G724" i="2"/>
  <c r="G721" i="2"/>
  <c r="H721" i="2" s="1"/>
  <c r="G719" i="2"/>
  <c r="G722" i="2"/>
  <c r="V159" i="2"/>
  <c r="U161" i="2"/>
  <c r="W154" i="2"/>
  <c r="U173" i="2"/>
  <c r="V173" i="2" s="1"/>
  <c r="V172" i="2"/>
  <c r="AE670" i="2"/>
  <c r="AN670" i="2" s="1"/>
  <c r="AF668" i="2"/>
  <c r="AE716" i="2"/>
  <c r="AE718" i="2" s="1"/>
  <c r="AE721" i="2"/>
  <c r="AE719" i="2"/>
  <c r="AE715" i="2"/>
  <c r="AE724" i="2"/>
  <c r="AE722" i="2"/>
  <c r="S670" i="2"/>
  <c r="T668" i="2"/>
  <c r="S716" i="2"/>
  <c r="T716" i="2" s="1"/>
  <c r="S722" i="2"/>
  <c r="S719" i="2"/>
  <c r="S724" i="2"/>
  <c r="S721" i="2"/>
  <c r="T721" i="2" s="1"/>
  <c r="S715" i="2"/>
  <c r="T715" i="2" s="1"/>
  <c r="BJ591" i="2"/>
  <c r="BK586" i="2"/>
  <c r="AN715" i="2"/>
  <c r="AE684" i="2"/>
  <c r="AF684" i="2" s="1"/>
  <c r="AF683" i="2"/>
  <c r="BE959" i="2"/>
  <c r="BK682" i="2"/>
  <c r="BJ696" i="2"/>
  <c r="BK696" i="2" s="1"/>
  <c r="BO825" i="2"/>
  <c r="BJ691" i="2"/>
  <c r="BJ688" i="2"/>
  <c r="BK688" i="2" s="1"/>
  <c r="BK687" i="2"/>
  <c r="BH683" i="2"/>
  <c r="AB683" i="2"/>
  <c r="AA684" i="2"/>
  <c r="AB684" i="2" s="1"/>
  <c r="BI959" i="2"/>
  <c r="E723" i="2"/>
  <c r="F723" i="2" s="1"/>
  <c r="F722" i="2"/>
  <c r="BH981" i="2"/>
  <c r="BH987" i="2"/>
  <c r="BI987" i="2" s="1"/>
  <c r="BI634" i="2"/>
  <c r="BH656" i="2"/>
  <c r="BI656" i="2" s="1"/>
  <c r="BH635" i="2"/>
  <c r="AN688" i="2"/>
  <c r="AV688" i="2"/>
  <c r="BG356" i="2"/>
  <c r="AT398" i="2"/>
  <c r="AS407" i="2"/>
  <c r="BR858" i="2"/>
  <c r="BP857" i="2"/>
  <c r="BQ857" i="2" s="1"/>
  <c r="BQ858" i="2"/>
  <c r="V275" i="2"/>
  <c r="U282" i="2"/>
  <c r="U288" i="2"/>
  <c r="U287" i="2"/>
  <c r="V287" i="2" s="1"/>
  <c r="AI670" i="2"/>
  <c r="AJ668" i="2"/>
  <c r="AI716" i="2"/>
  <c r="AJ716" i="2" s="1"/>
  <c r="AI715" i="2"/>
  <c r="AJ715" i="2" s="1"/>
  <c r="AI722" i="2"/>
  <c r="AI724" i="2"/>
  <c r="AI719" i="2"/>
  <c r="AI721" i="2"/>
  <c r="AJ721" i="2" s="1"/>
  <c r="AW946" i="2"/>
  <c r="AW847" i="2"/>
  <c r="AX847" i="2" s="1"/>
  <c r="AX842" i="2"/>
  <c r="S349" i="2"/>
  <c r="T349" i="2" s="1"/>
  <c r="T346" i="2"/>
  <c r="BT554" i="2"/>
  <c r="BS554" i="2"/>
  <c r="V691" i="2"/>
  <c r="U704" i="2"/>
  <c r="AJ696" i="2"/>
  <c r="BT611" i="2"/>
  <c r="BU479" i="2"/>
  <c r="BV479" i="2"/>
  <c r="AS527" i="2"/>
  <c r="AT486" i="2"/>
  <c r="AS494" i="2"/>
  <c r="AD680" i="2"/>
  <c r="AX402" i="2"/>
  <c r="AW395" i="2"/>
  <c r="X257" i="2"/>
  <c r="W271" i="2"/>
  <c r="W272" i="2" s="1"/>
  <c r="X272" i="2" s="1"/>
  <c r="W270" i="2"/>
  <c r="W264" i="2"/>
  <c r="BG634" i="2"/>
  <c r="BG987" i="2"/>
  <c r="G962" i="2"/>
  <c r="BE663" i="2"/>
  <c r="BD717" i="2"/>
  <c r="BC711" i="2"/>
  <c r="BB733" i="2"/>
  <c r="BC733" i="2" s="1"/>
  <c r="Y704" i="2"/>
  <c r="AM684" i="2"/>
  <c r="AN683" i="2"/>
  <c r="U670" i="2"/>
  <c r="V668" i="2"/>
  <c r="U715" i="2"/>
  <c r="V715" i="2" s="1"/>
  <c r="U724" i="2"/>
  <c r="U716" i="2"/>
  <c r="V716" i="2" s="1"/>
  <c r="U721" i="2"/>
  <c r="V721" i="2" s="1"/>
  <c r="U719" i="2"/>
  <c r="U722" i="2"/>
  <c r="BH961" i="2"/>
  <c r="BI954" i="2"/>
  <c r="BN609" i="2"/>
  <c r="BO609" i="2" s="1"/>
  <c r="BO391" i="2"/>
  <c r="T717" i="2"/>
  <c r="AO684" i="2"/>
  <c r="AP683" i="2"/>
  <c r="AR689" i="2"/>
  <c r="AK684" i="2"/>
  <c r="AL683" i="2"/>
  <c r="BQ873" i="2"/>
  <c r="BP875" i="2"/>
  <c r="BR873" i="2"/>
  <c r="BB668" i="2"/>
  <c r="BT551" i="2"/>
  <c r="BS551" i="2"/>
  <c r="BR555" i="2"/>
  <c r="BS555" i="2" s="1"/>
  <c r="AX490" i="2"/>
  <c r="AW483" i="2"/>
  <c r="BL483" i="2" s="1"/>
  <c r="AV397" i="2"/>
  <c r="AU526" i="2"/>
  <c r="BL397" i="2"/>
  <c r="AJ717" i="2"/>
  <c r="V230" i="2"/>
  <c r="BM488" i="2"/>
  <c r="BL489" i="2"/>
  <c r="BM489" i="2" s="1"/>
  <c r="BN488" i="2"/>
  <c r="BI16" i="2"/>
  <c r="AV484" i="2"/>
  <c r="AU525" i="2"/>
  <c r="BL484" i="2"/>
  <c r="G362" i="2"/>
  <c r="H362" i="2" s="1"/>
  <c r="H359" i="2"/>
  <c r="G367" i="2"/>
  <c r="H367" i="2" s="1"/>
  <c r="H364" i="2"/>
  <c r="V302" i="2"/>
  <c r="U303" i="2"/>
  <c r="W99" i="2"/>
  <c r="X99" i="2" s="1"/>
  <c r="W97" i="2"/>
  <c r="X97" i="2" s="1"/>
  <c r="W90" i="2"/>
  <c r="W96" i="2"/>
  <c r="X96" i="2" s="1"/>
  <c r="X84" i="2"/>
  <c r="W98" i="2"/>
  <c r="X98" i="2" s="1"/>
  <c r="Y684" i="2"/>
  <c r="Z684" i="2" s="1"/>
  <c r="Z683" i="2"/>
  <c r="BT553" i="2"/>
  <c r="BS553" i="2"/>
  <c r="I717" i="2"/>
  <c r="AN716" i="2"/>
  <c r="BF961" i="2"/>
  <c r="BG954" i="2"/>
  <c r="W46" i="2"/>
  <c r="X46" i="2" s="1"/>
  <c r="X34" i="2"/>
  <c r="W49" i="2"/>
  <c r="W47" i="2"/>
  <c r="X47" i="2" s="1"/>
  <c r="W40" i="2"/>
  <c r="W48" i="2"/>
  <c r="X48" i="2" s="1"/>
  <c r="BN250" i="2"/>
  <c r="BM250" i="2"/>
  <c r="AA676" i="2"/>
  <c r="AB676" i="2" s="1"/>
  <c r="BH675" i="2"/>
  <c r="AB675" i="2"/>
  <c r="BF362" i="2"/>
  <c r="BG362" i="2" s="1"/>
  <c r="BG359" i="2"/>
  <c r="V248" i="2"/>
  <c r="BK659" i="2"/>
  <c r="BJ668" i="2"/>
  <c r="O717" i="2"/>
  <c r="BT301" i="2"/>
  <c r="BS301" i="2"/>
  <c r="AJ675" i="2"/>
  <c r="AS689" i="2"/>
  <c r="AT689" i="2" s="1"/>
  <c r="AT686" i="2"/>
  <c r="AS687" i="2"/>
  <c r="BE878" i="2"/>
  <c r="BD938" i="2"/>
  <c r="BD936" i="2"/>
  <c r="BD924" i="2"/>
  <c r="BD926" i="2"/>
  <c r="J211" i="2"/>
  <c r="K204" i="2"/>
  <c r="I212" i="2"/>
  <c r="BL947" i="2"/>
  <c r="BM947" i="2" s="1"/>
  <c r="BN841" i="2"/>
  <c r="BO841" i="2" s="1"/>
  <c r="BM840" i="2"/>
  <c r="BN840" i="2"/>
  <c r="BL819" i="2"/>
  <c r="AM691" i="2"/>
  <c r="BP293" i="2"/>
  <c r="BQ293" i="2" s="1"/>
  <c r="BG663" i="2"/>
  <c r="BK16" i="2"/>
  <c r="BH159" i="2"/>
  <c r="BI154" i="2"/>
  <c r="BH172" i="2"/>
  <c r="BI172" i="2" s="1"/>
  <c r="BH169" i="2"/>
  <c r="BI169" i="2" s="1"/>
  <c r="BH170" i="2"/>
  <c r="BI170" i="2" s="1"/>
  <c r="BH171" i="2"/>
  <c r="BI171" i="2" s="1"/>
  <c r="AT524" i="2"/>
  <c r="AV667" i="2"/>
  <c r="BP232" i="2"/>
  <c r="BO232" i="2"/>
  <c r="BN223" i="2"/>
  <c r="BO223" i="2" s="1"/>
  <c r="BC878" i="2"/>
  <c r="BB938" i="2"/>
  <c r="BC938" i="2" s="1"/>
  <c r="BB936" i="2"/>
  <c r="BC936" i="2" s="1"/>
  <c r="BB926" i="2"/>
  <c r="BC926" i="2" s="1"/>
  <c r="BB924" i="2"/>
  <c r="BC924" i="2" s="1"/>
  <c r="AD676" i="2"/>
  <c r="BQ825" i="2"/>
  <c r="BF696" i="2"/>
  <c r="BG696" i="2" s="1"/>
  <c r="BG682" i="2"/>
  <c r="BJ40" i="2"/>
  <c r="BK34" i="2"/>
  <c r="BJ49" i="2"/>
  <c r="BK49" i="2" s="1"/>
  <c r="BJ47" i="2"/>
  <c r="BK47" i="2" s="1"/>
  <c r="BJ46" i="2"/>
  <c r="BK46" i="2" s="1"/>
  <c r="BJ48" i="2"/>
  <c r="BK48" i="2" s="1"/>
  <c r="AB688" i="2"/>
  <c r="AA962" i="2"/>
  <c r="W670" i="2"/>
  <c r="X668" i="2"/>
  <c r="W715" i="2"/>
  <c r="X715" i="2" s="1"/>
  <c r="W716" i="2"/>
  <c r="X716" i="2" s="1"/>
  <c r="W724" i="2"/>
  <c r="W722" i="2"/>
  <c r="W719" i="2"/>
  <c r="W721" i="2"/>
  <c r="X721" i="2" s="1"/>
  <c r="P656" i="2"/>
  <c r="BI649" i="2"/>
  <c r="BI650" i="2"/>
  <c r="AB680" i="2"/>
  <c r="AC670" i="2"/>
  <c r="AD668" i="2"/>
  <c r="AC722" i="2"/>
  <c r="AC721" i="2"/>
  <c r="AD721" i="2" s="1"/>
  <c r="AC724" i="2"/>
  <c r="AC719" i="2"/>
  <c r="AC716" i="2"/>
  <c r="AD716" i="2" s="1"/>
  <c r="AC715" i="2"/>
  <c r="AD715" i="2" s="1"/>
  <c r="AV395" i="2"/>
  <c r="AU398" i="2"/>
  <c r="BL395" i="2"/>
  <c r="BF675" i="2"/>
  <c r="Q691" i="2"/>
  <c r="Z691" i="2" s="1"/>
  <c r="U684" i="2"/>
  <c r="V684" i="2" s="1"/>
  <c r="V683" i="2"/>
  <c r="Y962" i="2"/>
  <c r="BF668" i="2"/>
  <c r="BF717" i="2" s="1"/>
  <c r="BM492" i="2"/>
  <c r="BN492" i="2"/>
  <c r="AG962" i="2"/>
  <c r="U962" i="2"/>
  <c r="BF691" i="2" l="1"/>
  <c r="BG691" i="2" s="1"/>
  <c r="BH691" i="2"/>
  <c r="BI691" i="2" s="1"/>
  <c r="X676" i="2"/>
  <c r="AH716" i="2"/>
  <c r="BG717" i="2"/>
  <c r="BL490" i="2"/>
  <c r="BM483" i="2"/>
  <c r="BL486" i="2"/>
  <c r="BF676" i="2"/>
  <c r="BG676" i="2" s="1"/>
  <c r="BG675" i="2"/>
  <c r="BR232" i="2"/>
  <c r="BP223" i="2"/>
  <c r="BQ223" i="2" s="1"/>
  <c r="BQ232" i="2"/>
  <c r="AM704" i="2"/>
  <c r="AN691" i="2"/>
  <c r="BE938" i="2"/>
  <c r="O718" i="2"/>
  <c r="P717" i="2"/>
  <c r="BH676" i="2"/>
  <c r="BI676" i="2" s="1"/>
  <c r="BI675" i="2"/>
  <c r="BN241" i="2"/>
  <c r="BO241" i="2" s="1"/>
  <c r="BP250" i="2"/>
  <c r="BO250" i="2"/>
  <c r="X49" i="2"/>
  <c r="W50" i="2"/>
  <c r="X50" i="2" s="1"/>
  <c r="BF962" i="2"/>
  <c r="BG961" i="2"/>
  <c r="BV553" i="2"/>
  <c r="BU553" i="2"/>
  <c r="BM484" i="2"/>
  <c r="BL491" i="2"/>
  <c r="BL404" i="2"/>
  <c r="BM397" i="2"/>
  <c r="S718" i="2"/>
  <c r="X271" i="2"/>
  <c r="X270" i="2"/>
  <c r="AS977" i="2"/>
  <c r="AS632" i="2"/>
  <c r="AS505" i="2"/>
  <c r="AS529" i="2"/>
  <c r="AS500" i="2"/>
  <c r="AS503" i="2"/>
  <c r="AT503" i="2" s="1"/>
  <c r="AT494" i="2"/>
  <c r="AS12" i="2"/>
  <c r="AT12" i="2" s="1"/>
  <c r="U587" i="2"/>
  <c r="U17" i="2"/>
  <c r="BV554" i="2"/>
  <c r="BU554" i="2"/>
  <c r="AS976" i="2"/>
  <c r="AS978" i="2" s="1"/>
  <c r="AS630" i="2"/>
  <c r="AS417" i="2"/>
  <c r="AT417" i="2" s="1"/>
  <c r="AS414" i="2"/>
  <c r="AT407" i="2"/>
  <c r="AS419" i="2"/>
  <c r="AS13" i="2"/>
  <c r="S723" i="2"/>
  <c r="T722" i="2"/>
  <c r="AE723" i="2"/>
  <c r="AF722" i="2"/>
  <c r="AF721" i="2"/>
  <c r="H724" i="2"/>
  <c r="G703" i="2"/>
  <c r="H670" i="2"/>
  <c r="G671" i="2"/>
  <c r="AD684" i="2"/>
  <c r="BI282" i="2"/>
  <c r="BJ275" i="2"/>
  <c r="BN559" i="2"/>
  <c r="BO557" i="2"/>
  <c r="W704" i="2"/>
  <c r="X691" i="2"/>
  <c r="N724" i="2"/>
  <c r="M723" i="2"/>
  <c r="N723" i="2" s="1"/>
  <c r="N722" i="2"/>
  <c r="AN676" i="2"/>
  <c r="AV676" i="2"/>
  <c r="AP724" i="2"/>
  <c r="AF676" i="2"/>
  <c r="AF704" i="2"/>
  <c r="AE587" i="2"/>
  <c r="AE17" i="2"/>
  <c r="BM277" i="2"/>
  <c r="BL285" i="2"/>
  <c r="AG704" i="2"/>
  <c r="AH691" i="2"/>
  <c r="L722" i="2"/>
  <c r="K723" i="2"/>
  <c r="D722" i="2"/>
  <c r="C723" i="2"/>
  <c r="D723" i="2" s="1"/>
  <c r="BO862" i="2"/>
  <c r="BP862" i="2"/>
  <c r="AL715" i="2"/>
  <c r="AK703" i="2"/>
  <c r="AL670" i="2"/>
  <c r="AK671" i="2"/>
  <c r="Z717" i="2"/>
  <c r="Y718" i="2"/>
  <c r="Z718" i="2" s="1"/>
  <c r="BL84" i="2"/>
  <c r="BK90" i="2"/>
  <c r="AV687" i="2"/>
  <c r="AH684" i="2"/>
  <c r="U119" i="2"/>
  <c r="V119" i="2" s="1"/>
  <c r="V117" i="2"/>
  <c r="BN735" i="2"/>
  <c r="BM735" i="2"/>
  <c r="AQ653" i="2"/>
  <c r="AR653" i="2" s="1"/>
  <c r="AR632" i="2"/>
  <c r="BR548" i="2"/>
  <c r="BT546" i="2"/>
  <c r="BS546" i="2"/>
  <c r="AX667" i="2"/>
  <c r="BD670" i="2"/>
  <c r="BE668" i="2"/>
  <c r="BD716" i="2"/>
  <c r="BD722" i="2"/>
  <c r="BD721" i="2"/>
  <c r="BD724" i="2"/>
  <c r="BD715" i="2"/>
  <c r="BD719" i="2"/>
  <c r="I720" i="2"/>
  <c r="J719" i="2"/>
  <c r="R719" i="2"/>
  <c r="I703" i="2"/>
  <c r="R703" i="2" s="1"/>
  <c r="I671" i="2"/>
  <c r="J670" i="2"/>
  <c r="BV708" i="2"/>
  <c r="BU708" i="2"/>
  <c r="BG924" i="2"/>
  <c r="AH719" i="2"/>
  <c r="AG720" i="2"/>
  <c r="AH721" i="2"/>
  <c r="BI696" i="2"/>
  <c r="AR684" i="2"/>
  <c r="AJ684" i="2"/>
  <c r="W718" i="2"/>
  <c r="X718" i="2" s="1"/>
  <c r="AJ676" i="2"/>
  <c r="BO558" i="2"/>
  <c r="BP558" i="2"/>
  <c r="X252" i="2"/>
  <c r="X253" i="2"/>
  <c r="U75" i="2"/>
  <c r="V75" i="2" s="1"/>
  <c r="V74" i="2"/>
  <c r="W302" i="2"/>
  <c r="X299" i="2"/>
  <c r="Y292" i="2"/>
  <c r="AN723" i="2"/>
  <c r="P721" i="2"/>
  <c r="BI926" i="2"/>
  <c r="BK926" i="2"/>
  <c r="AA720" i="2"/>
  <c r="AB719" i="2"/>
  <c r="AB716" i="2"/>
  <c r="AH717" i="2"/>
  <c r="P691" i="2"/>
  <c r="O704" i="2"/>
  <c r="U718" i="2"/>
  <c r="AO718" i="2"/>
  <c r="AL704" i="2"/>
  <c r="AK705" i="2"/>
  <c r="AK587" i="2"/>
  <c r="AK17" i="2"/>
  <c r="BE926" i="2"/>
  <c r="AV525" i="2"/>
  <c r="BN1036" i="2"/>
  <c r="BN489" i="2"/>
  <c r="BP488" i="2"/>
  <c r="BO488" i="2"/>
  <c r="AV526" i="2"/>
  <c r="BB670" i="2"/>
  <c r="BC668" i="2"/>
  <c r="BB716" i="2"/>
  <c r="BC716" i="2" s="1"/>
  <c r="BB722" i="2"/>
  <c r="BB721" i="2"/>
  <c r="BC721" i="2" s="1"/>
  <c r="BB719" i="2"/>
  <c r="BB724" i="2"/>
  <c r="BB715" i="2"/>
  <c r="BC715" i="2" s="1"/>
  <c r="BH962" i="2"/>
  <c r="BI961" i="2"/>
  <c r="U703" i="2"/>
  <c r="V670" i="2"/>
  <c r="U671" i="2"/>
  <c r="Y587" i="2"/>
  <c r="Y17" i="2"/>
  <c r="Y257" i="2"/>
  <c r="X264" i="2"/>
  <c r="W266" i="2"/>
  <c r="AX395" i="2"/>
  <c r="AW398" i="2"/>
  <c r="AJ719" i="2"/>
  <c r="AI720" i="2"/>
  <c r="U289" i="2"/>
  <c r="V289" i="2" s="1"/>
  <c r="V288" i="2"/>
  <c r="AF724" i="2"/>
  <c r="AF716" i="2"/>
  <c r="H722" i="2"/>
  <c r="G723" i="2"/>
  <c r="H723" i="2" s="1"/>
  <c r="X235" i="2"/>
  <c r="X234" i="2"/>
  <c r="AX397" i="2"/>
  <c r="AW526" i="2"/>
  <c r="AO720" i="2"/>
  <c r="AP719" i="2"/>
  <c r="AQ14" i="2"/>
  <c r="AR14" i="2" s="1"/>
  <c r="AR13" i="2"/>
  <c r="K703" i="2"/>
  <c r="K671" i="2"/>
  <c r="L670" i="2"/>
  <c r="BT874" i="2"/>
  <c r="BS874" i="2"/>
  <c r="BS885" i="2"/>
  <c r="BT885" i="2"/>
  <c r="BD962" i="2"/>
  <c r="BE961" i="2"/>
  <c r="AL721" i="2"/>
  <c r="AK720" i="2"/>
  <c r="AL719" i="2"/>
  <c r="BJ676" i="2"/>
  <c r="BK676" i="2" s="1"/>
  <c r="BK675" i="2"/>
  <c r="AN718" i="2"/>
  <c r="U124" i="2"/>
  <c r="V124" i="2" s="1"/>
  <c r="V123" i="2"/>
  <c r="AQ629" i="2"/>
  <c r="AQ538" i="2"/>
  <c r="AR538" i="2" s="1"/>
  <c r="AQ536" i="2"/>
  <c r="AQ539" i="2"/>
  <c r="AR539" i="2" s="1"/>
  <c r="AR529" i="2"/>
  <c r="BI717" i="2"/>
  <c r="Q725" i="2"/>
  <c r="BK656" i="2"/>
  <c r="BT888" i="2"/>
  <c r="BU859" i="2"/>
  <c r="BV859" i="2"/>
  <c r="BK292" i="2"/>
  <c r="BJ299" i="2"/>
  <c r="BJ308" i="2"/>
  <c r="BK308" i="2" s="1"/>
  <c r="BJ307" i="2"/>
  <c r="BK307" i="2" s="1"/>
  <c r="BR86" i="2"/>
  <c r="BS86" i="2" s="1"/>
  <c r="BT85" i="2"/>
  <c r="BS85" i="2"/>
  <c r="Z724" i="2"/>
  <c r="Z722" i="2"/>
  <c r="Y723" i="2"/>
  <c r="Z723" i="2" s="1"/>
  <c r="AC718" i="2"/>
  <c r="AD718" i="2" s="1"/>
  <c r="J721" i="2"/>
  <c r="R721" i="2"/>
  <c r="BG926" i="2"/>
  <c r="AH724" i="2"/>
  <c r="AG703" i="2"/>
  <c r="AG671" i="2"/>
  <c r="AH670" i="2"/>
  <c r="BS240" i="2"/>
  <c r="BT240" i="2"/>
  <c r="BB962" i="2"/>
  <c r="BC961" i="2"/>
  <c r="BR293" i="2"/>
  <c r="BS293" i="2" s="1"/>
  <c r="AN724" i="2"/>
  <c r="X308" i="2"/>
  <c r="W309" i="2"/>
  <c r="X309" i="2" s="1"/>
  <c r="K718" i="2"/>
  <c r="P715" i="2"/>
  <c r="O703" i="2"/>
  <c r="P670" i="2"/>
  <c r="O671" i="2"/>
  <c r="BS222" i="2"/>
  <c r="BT222" i="2"/>
  <c r="BI936" i="2"/>
  <c r="BU886" i="2"/>
  <c r="BV886" i="2"/>
  <c r="BJ962" i="2"/>
  <c r="BK961" i="2"/>
  <c r="AB724" i="2"/>
  <c r="AB715" i="2"/>
  <c r="BV258" i="2"/>
  <c r="BU258" i="2"/>
  <c r="AP691" i="2"/>
  <c r="BP492" i="2"/>
  <c r="BO492" i="2"/>
  <c r="BN485" i="2"/>
  <c r="BM819" i="2"/>
  <c r="BJ670" i="2"/>
  <c r="BK668" i="2"/>
  <c r="BJ716" i="2"/>
  <c r="BJ719" i="2"/>
  <c r="BJ722" i="2"/>
  <c r="BJ721" i="2"/>
  <c r="BJ724" i="2"/>
  <c r="BJ715" i="2"/>
  <c r="U342" i="2"/>
  <c r="V342" i="2" s="1"/>
  <c r="U346" i="2"/>
  <c r="U343" i="2"/>
  <c r="V343" i="2" s="1"/>
  <c r="V303" i="2"/>
  <c r="U347" i="2"/>
  <c r="V347" i="2" s="1"/>
  <c r="U348" i="2"/>
  <c r="V348" i="2" s="1"/>
  <c r="U341" i="2"/>
  <c r="V341" i="2" s="1"/>
  <c r="U344" i="2"/>
  <c r="V344" i="2" s="1"/>
  <c r="U351" i="2"/>
  <c r="V351" i="2" s="1"/>
  <c r="AV398" i="2"/>
  <c r="AU407" i="2"/>
  <c r="AC720" i="2"/>
  <c r="AD719" i="2"/>
  <c r="W723" i="2"/>
  <c r="X722" i="2"/>
  <c r="BI159" i="2"/>
  <c r="BJ154" i="2"/>
  <c r="BH866" i="2"/>
  <c r="BI866" i="2" s="1"/>
  <c r="BN947" i="2"/>
  <c r="BO947" i="2" s="1"/>
  <c r="BP840" i="2"/>
  <c r="BO840" i="2"/>
  <c r="BP841" i="2"/>
  <c r="BQ841" i="2" s="1"/>
  <c r="BN819" i="2"/>
  <c r="I364" i="2"/>
  <c r="I361" i="2"/>
  <c r="J361" i="2" s="1"/>
  <c r="I360" i="2"/>
  <c r="J360" i="2" s="1"/>
  <c r="J212" i="2"/>
  <c r="I359" i="2"/>
  <c r="I365" i="2"/>
  <c r="J365" i="2" s="1"/>
  <c r="I366" i="2"/>
  <c r="J366" i="2" s="1"/>
  <c r="I369" i="2"/>
  <c r="J369" i="2" s="1"/>
  <c r="BE924" i="2"/>
  <c r="AT687" i="2"/>
  <c r="X40" i="2"/>
  <c r="Y34" i="2"/>
  <c r="W42" i="2"/>
  <c r="I718" i="2"/>
  <c r="J718" i="2" s="1"/>
  <c r="J717" i="2"/>
  <c r="X90" i="2"/>
  <c r="W92" i="2"/>
  <c r="Y84" i="2"/>
  <c r="BS873" i="2"/>
  <c r="BR875" i="2"/>
  <c r="BT873" i="2"/>
  <c r="AT684" i="2"/>
  <c r="AL684" i="2"/>
  <c r="AP684" i="2"/>
  <c r="AX684" i="2"/>
  <c r="V722" i="2"/>
  <c r="U723" i="2"/>
  <c r="V723" i="2" s="1"/>
  <c r="V724" i="2"/>
  <c r="AT527" i="2"/>
  <c r="BV611" i="2"/>
  <c r="BU611" i="2"/>
  <c r="AJ724" i="2"/>
  <c r="W275" i="2"/>
  <c r="V282" i="2"/>
  <c r="U283" i="2"/>
  <c r="BS858" i="2"/>
  <c r="BT858" i="2"/>
  <c r="BR857" i="2"/>
  <c r="BS857" i="2" s="1"/>
  <c r="BK691" i="2"/>
  <c r="T724" i="2"/>
  <c r="AF715" i="2"/>
  <c r="W170" i="2"/>
  <c r="X170" i="2" s="1"/>
  <c r="W169" i="2"/>
  <c r="X169" i="2" s="1"/>
  <c r="W159" i="2"/>
  <c r="X154" i="2"/>
  <c r="W172" i="2"/>
  <c r="W171" i="2"/>
  <c r="X171" i="2" s="1"/>
  <c r="H719" i="2"/>
  <c r="G720" i="2"/>
  <c r="H720" i="2" s="1"/>
  <c r="BJ717" i="2"/>
  <c r="BM294" i="2"/>
  <c r="BL305" i="2"/>
  <c r="G718" i="2"/>
  <c r="H718" i="2" s="1"/>
  <c r="M720" i="2"/>
  <c r="N720" i="2" s="1"/>
  <c r="N719" i="2"/>
  <c r="N670" i="2"/>
  <c r="M703" i="2"/>
  <c r="M671" i="2"/>
  <c r="BN608" i="2"/>
  <c r="BO608" i="2" s="1"/>
  <c r="BO520" i="2"/>
  <c r="BR518" i="2"/>
  <c r="BS389" i="2"/>
  <c r="BR391" i="2"/>
  <c r="BR421" i="2"/>
  <c r="BS421" i="2" s="1"/>
  <c r="BT389" i="2"/>
  <c r="BL526" i="2"/>
  <c r="E725" i="2"/>
  <c r="F725" i="2" s="1"/>
  <c r="BF704" i="2"/>
  <c r="S587" i="2"/>
  <c r="S17" i="2"/>
  <c r="AQ651" i="2"/>
  <c r="AR651" i="2" s="1"/>
  <c r="AR630" i="2"/>
  <c r="L719" i="2"/>
  <c r="K720" i="2"/>
  <c r="D724" i="2"/>
  <c r="C703" i="2"/>
  <c r="C671" i="2"/>
  <c r="D670" i="2"/>
  <c r="AA718" i="2"/>
  <c r="AB718" i="2" s="1"/>
  <c r="AB717" i="2"/>
  <c r="AL724" i="2"/>
  <c r="AL722" i="2"/>
  <c r="AK723" i="2"/>
  <c r="BM396" i="2"/>
  <c r="BL403" i="2"/>
  <c r="AJ704" i="2"/>
  <c r="BJ704" i="2"/>
  <c r="AI587" i="2"/>
  <c r="AI17" i="2"/>
  <c r="AW525" i="2"/>
  <c r="AX484" i="2"/>
  <c r="BP557" i="2"/>
  <c r="BP612" i="2"/>
  <c r="BQ612" i="2" s="1"/>
  <c r="BQ548" i="2"/>
  <c r="AV486" i="2"/>
  <c r="AU527" i="2"/>
  <c r="AU494" i="2"/>
  <c r="Y703" i="2"/>
  <c r="Y671" i="2"/>
  <c r="Z670" i="2"/>
  <c r="R718" i="2"/>
  <c r="I723" i="2"/>
  <c r="J723" i="2" s="1"/>
  <c r="J722" i="2"/>
  <c r="J716" i="2"/>
  <c r="R716" i="2"/>
  <c r="BG938" i="2"/>
  <c r="BG656" i="2"/>
  <c r="BI668" i="2"/>
  <c r="BH670" i="2"/>
  <c r="BH721" i="2"/>
  <c r="BH722" i="2"/>
  <c r="BH724" i="2"/>
  <c r="BH716" i="2"/>
  <c r="BH719" i="2"/>
  <c r="BH715" i="2"/>
  <c r="BI715" i="2" s="1"/>
  <c r="BJ684" i="2"/>
  <c r="BK683" i="2"/>
  <c r="AT860" i="2"/>
  <c r="AU860" i="2"/>
  <c r="BP268" i="2"/>
  <c r="BO268" i="2"/>
  <c r="BN259" i="2"/>
  <c r="BO259" i="2" s="1"/>
  <c r="BL979" i="2"/>
  <c r="BM979" i="2" s="1"/>
  <c r="BL633" i="2"/>
  <c r="BL568" i="2"/>
  <c r="BM559" i="2"/>
  <c r="BL15" i="2"/>
  <c r="BM15" i="2" s="1"/>
  <c r="V68" i="2"/>
  <c r="U70" i="2"/>
  <c r="V70" i="2" s="1"/>
  <c r="AM725" i="2"/>
  <c r="R715" i="2"/>
  <c r="BV19" i="2"/>
  <c r="BU19" i="2"/>
  <c r="O723" i="2"/>
  <c r="P722" i="2"/>
  <c r="BI938" i="2"/>
  <c r="BK938" i="2"/>
  <c r="AT676" i="2"/>
  <c r="AL676" i="2"/>
  <c r="AB721" i="2"/>
  <c r="BK694" i="2"/>
  <c r="AP704" i="2"/>
  <c r="AO587" i="2"/>
  <c r="AO17" i="2"/>
  <c r="AD704" i="2"/>
  <c r="AC587" i="2"/>
  <c r="AC17" i="2"/>
  <c r="BM395" i="2"/>
  <c r="BL402" i="2"/>
  <c r="BL398" i="2"/>
  <c r="AD722" i="2"/>
  <c r="AC723" i="2"/>
  <c r="AD723" i="2" s="1"/>
  <c r="X719" i="2"/>
  <c r="W720" i="2"/>
  <c r="W725" i="2" s="1"/>
  <c r="BF670" i="2"/>
  <c r="BG668" i="2"/>
  <c r="BF721" i="2"/>
  <c r="BG721" i="2" s="1"/>
  <c r="BF719" i="2"/>
  <c r="BF715" i="2"/>
  <c r="BG715" i="2" s="1"/>
  <c r="BF716" i="2"/>
  <c r="BG716" i="2" s="1"/>
  <c r="BF722" i="2"/>
  <c r="BF724" i="2"/>
  <c r="R691" i="2"/>
  <c r="Q704" i="2"/>
  <c r="AD724" i="2"/>
  <c r="AC703" i="2"/>
  <c r="AC705" i="2" s="1"/>
  <c r="AD670" i="2"/>
  <c r="AC671" i="2"/>
  <c r="X724" i="2"/>
  <c r="X670" i="2"/>
  <c r="W671" i="2"/>
  <c r="W703" i="2"/>
  <c r="BL34" i="2"/>
  <c r="BK40" i="2"/>
  <c r="K211" i="2"/>
  <c r="K217" i="2"/>
  <c r="K218" i="2" s="1"/>
  <c r="L204" i="2"/>
  <c r="K216" i="2"/>
  <c r="BE936" i="2"/>
  <c r="BU301" i="2"/>
  <c r="BV301" i="2"/>
  <c r="AI718" i="2"/>
  <c r="AJ718" i="2" s="1"/>
  <c r="AW524" i="2"/>
  <c r="AX483" i="2"/>
  <c r="AW486" i="2"/>
  <c r="BT555" i="2"/>
  <c r="BV551" i="2"/>
  <c r="BU551" i="2"/>
  <c r="BQ875" i="2"/>
  <c r="U720" i="2"/>
  <c r="V720" i="2" s="1"/>
  <c r="V719" i="2"/>
  <c r="AN684" i="2"/>
  <c r="AV684" i="2"/>
  <c r="AI723" i="2"/>
  <c r="AJ722" i="2"/>
  <c r="AI671" i="2"/>
  <c r="AI703" i="2"/>
  <c r="AJ670" i="2"/>
  <c r="BH684" i="2"/>
  <c r="BI683" i="2"/>
  <c r="S720" i="2"/>
  <c r="T720" i="2" s="1"/>
  <c r="T719" i="2"/>
  <c r="S671" i="2"/>
  <c r="T670" i="2"/>
  <c r="S703" i="2"/>
  <c r="AF719" i="2"/>
  <c r="AE720" i="2"/>
  <c r="AE725" i="2" s="1"/>
  <c r="AN719" i="2"/>
  <c r="AE703" i="2"/>
  <c r="AF670" i="2"/>
  <c r="AE671" i="2"/>
  <c r="U190" i="2"/>
  <c r="V190" i="2" s="1"/>
  <c r="U189" i="2"/>
  <c r="V189" i="2" s="1"/>
  <c r="V161" i="2"/>
  <c r="U191" i="2"/>
  <c r="V191" i="2" s="1"/>
  <c r="U192" i="2"/>
  <c r="V192" i="2" s="1"/>
  <c r="U193" i="2"/>
  <c r="V193" i="2" s="1"/>
  <c r="X228" i="2"/>
  <c r="Y221" i="2"/>
  <c r="W230" i="2"/>
  <c r="AP722" i="2"/>
  <c r="AO723" i="2"/>
  <c r="AO725" i="2" s="1"/>
  <c r="AO703" i="2"/>
  <c r="AO705" i="2" s="1"/>
  <c r="AO671" i="2"/>
  <c r="AP670" i="2"/>
  <c r="AX686" i="2"/>
  <c r="AW687" i="2"/>
  <c r="BP609" i="2"/>
  <c r="BQ609" i="2" s="1"/>
  <c r="BQ391" i="2"/>
  <c r="BQ518" i="2"/>
  <c r="BP520" i="2"/>
  <c r="AQ957" i="2"/>
  <c r="AQ665" i="2"/>
  <c r="AQ418" i="2"/>
  <c r="AR418" i="2" s="1"/>
  <c r="AQ420" i="2"/>
  <c r="AR414" i="2"/>
  <c r="BK228" i="2"/>
  <c r="BL221" i="2"/>
  <c r="BK264" i="2"/>
  <c r="BL257" i="2"/>
  <c r="BL239" i="2"/>
  <c r="BK246" i="2"/>
  <c r="BF684" i="2"/>
  <c r="BG684" i="2" s="1"/>
  <c r="BG683" i="2"/>
  <c r="K725" i="2"/>
  <c r="L724" i="2"/>
  <c r="D719" i="2"/>
  <c r="C720" i="2"/>
  <c r="D720" i="2" s="1"/>
  <c r="BV822" i="2"/>
  <c r="BU822" i="2"/>
  <c r="E704" i="2"/>
  <c r="F703" i="2"/>
  <c r="BK680" i="2"/>
  <c r="AL716" i="2"/>
  <c r="AK718" i="2"/>
  <c r="AL718" i="2" s="1"/>
  <c r="AM707" i="2"/>
  <c r="AN703" i="2"/>
  <c r="AQ958" i="2"/>
  <c r="AQ666" i="2"/>
  <c r="AQ504" i="2"/>
  <c r="AR504" i="2" s="1"/>
  <c r="AR500" i="2"/>
  <c r="AQ506" i="2"/>
  <c r="BK987" i="2"/>
  <c r="AV524" i="2"/>
  <c r="BL524" i="2"/>
  <c r="X684" i="2"/>
  <c r="P724" i="2"/>
  <c r="Y720" i="2"/>
  <c r="Z720" i="2" s="1"/>
  <c r="Z719" i="2"/>
  <c r="R717" i="2"/>
  <c r="I725" i="2"/>
  <c r="J725" i="2" s="1"/>
  <c r="J724" i="2"/>
  <c r="R724" i="2"/>
  <c r="BB717" i="2"/>
  <c r="BG936" i="2"/>
  <c r="AH715" i="2"/>
  <c r="AH722" i="2"/>
  <c r="AG723" i="2"/>
  <c r="AH723" i="2" s="1"/>
  <c r="BV828" i="2"/>
  <c r="BT823" i="2"/>
  <c r="BT827" i="2"/>
  <c r="BU828" i="2"/>
  <c r="X717" i="2"/>
  <c r="BV276" i="2"/>
  <c r="BT293" i="2"/>
  <c r="BU276" i="2"/>
  <c r="BV547" i="2"/>
  <c r="BU547" i="2"/>
  <c r="BU390" i="2"/>
  <c r="BV390" i="2"/>
  <c r="BT519" i="2"/>
  <c r="Y239" i="2"/>
  <c r="X246" i="2"/>
  <c r="W248" i="2"/>
  <c r="AN721" i="2"/>
  <c r="AN722" i="2"/>
  <c r="C718" i="2"/>
  <c r="D718" i="2" s="1"/>
  <c r="P719" i="2"/>
  <c r="O720" i="2"/>
  <c r="P720" i="2" s="1"/>
  <c r="P716" i="2"/>
  <c r="BN1030" i="2"/>
  <c r="BN401" i="2"/>
  <c r="BO400" i="2"/>
  <c r="BI924" i="2"/>
  <c r="BK936" i="2"/>
  <c r="AA723" i="2"/>
  <c r="AB723" i="2" s="1"/>
  <c r="AB722" i="2"/>
  <c r="AA703" i="2"/>
  <c r="AA705" i="2" s="1"/>
  <c r="AA671" i="2"/>
  <c r="AB670" i="2"/>
  <c r="AG718" i="2"/>
  <c r="AH718" i="2" s="1"/>
  <c r="BN842" i="2"/>
  <c r="AB704" i="2"/>
  <c r="BH704" i="2"/>
  <c r="AA587" i="2"/>
  <c r="AA17" i="2"/>
  <c r="M718" i="2"/>
  <c r="N718" i="2" s="1"/>
  <c r="AP720" i="2" l="1"/>
  <c r="AA948" i="2"/>
  <c r="BO401" i="2"/>
  <c r="BN394" i="2"/>
  <c r="Y253" i="2"/>
  <c r="Y254" i="2" s="1"/>
  <c r="Z254" i="2" s="1"/>
  <c r="Y246" i="2"/>
  <c r="Y252" i="2"/>
  <c r="Z239" i="2"/>
  <c r="BM221" i="2"/>
  <c r="BM234" i="2" s="1"/>
  <c r="BL234" i="2"/>
  <c r="X230" i="2"/>
  <c r="AJ723" i="2"/>
  <c r="Q705" i="2"/>
  <c r="Q587" i="2"/>
  <c r="Q17" i="2"/>
  <c r="AO948" i="2"/>
  <c r="P723" i="2"/>
  <c r="O725" i="2"/>
  <c r="AN725" i="2"/>
  <c r="BH720" i="2"/>
  <c r="BI719" i="2"/>
  <c r="BI721" i="2"/>
  <c r="Y707" i="2"/>
  <c r="Z703" i="2"/>
  <c r="AX525" i="2"/>
  <c r="AL723" i="2"/>
  <c r="C704" i="2"/>
  <c r="D703" i="2"/>
  <c r="S588" i="2"/>
  <c r="S589" i="2"/>
  <c r="BR609" i="2"/>
  <c r="BS609" i="2" s="1"/>
  <c r="BS391" i="2"/>
  <c r="S725" i="2"/>
  <c r="BT875" i="2"/>
  <c r="BV873" i="2"/>
  <c r="BU873" i="2"/>
  <c r="W117" i="2"/>
  <c r="X92" i="2"/>
  <c r="W121" i="2"/>
  <c r="X121" i="2" s="1"/>
  <c r="W118" i="2"/>
  <c r="X118" i="2" s="1"/>
  <c r="W122" i="2"/>
  <c r="X122" i="2" s="1"/>
  <c r="W123" i="2"/>
  <c r="W116" i="2"/>
  <c r="X116" i="2" s="1"/>
  <c r="W127" i="2"/>
  <c r="X127" i="2" s="1"/>
  <c r="X42" i="2"/>
  <c r="W67" i="2"/>
  <c r="X67" i="2" s="1"/>
  <c r="W72" i="2"/>
  <c r="X72" i="2" s="1"/>
  <c r="W68" i="2"/>
  <c r="W69" i="2"/>
  <c r="X69" i="2" s="1"/>
  <c r="W73" i="2"/>
  <c r="X73" i="2" s="1"/>
  <c r="W74" i="2"/>
  <c r="W78" i="2"/>
  <c r="X78" i="2" s="1"/>
  <c r="X723" i="2"/>
  <c r="U349" i="2"/>
  <c r="V349" i="2" s="1"/>
  <c r="V346" i="2"/>
  <c r="BK721" i="2"/>
  <c r="BV240" i="2"/>
  <c r="BU240" i="2"/>
  <c r="AG707" i="2"/>
  <c r="AH703" i="2"/>
  <c r="AQ682" i="2"/>
  <c r="AQ650" i="2"/>
  <c r="AR650" i="2" s="1"/>
  <c r="AR629" i="2"/>
  <c r="Y271" i="2"/>
  <c r="Y272" i="2" s="1"/>
  <c r="Z272" i="2" s="1"/>
  <c r="Z257" i="2"/>
  <c r="Y264" i="2"/>
  <c r="Y270" i="2"/>
  <c r="Z704" i="2"/>
  <c r="BB720" i="2"/>
  <c r="BC720" i="2" s="1"/>
  <c r="BC719" i="2"/>
  <c r="BL525" i="2"/>
  <c r="AK18" i="2"/>
  <c r="AL17" i="2"/>
  <c r="AK20" i="2"/>
  <c r="AP718" i="2"/>
  <c r="Y308" i="2"/>
  <c r="Y299" i="2"/>
  <c r="Z292" i="2"/>
  <c r="Y307" i="2"/>
  <c r="Z307" i="2" s="1"/>
  <c r="BE724" i="2"/>
  <c r="BP735" i="2"/>
  <c r="BN727" i="2"/>
  <c r="BO735" i="2"/>
  <c r="AK707" i="2"/>
  <c r="AL703" i="2"/>
  <c r="AE18" i="2"/>
  <c r="AE20" i="2"/>
  <c r="M725" i="2"/>
  <c r="BN979" i="2"/>
  <c r="BO979" i="2" s="1"/>
  <c r="BN633" i="2"/>
  <c r="BN568" i="2"/>
  <c r="BO559" i="2"/>
  <c r="BN15" i="2"/>
  <c r="BO15" i="2" s="1"/>
  <c r="G725" i="2"/>
  <c r="H725" i="2" s="1"/>
  <c r="U18" i="2"/>
  <c r="U20" i="2"/>
  <c r="AS629" i="2"/>
  <c r="AS539" i="2"/>
  <c r="AT539" i="2" s="1"/>
  <c r="AS536" i="2"/>
  <c r="AS538" i="2"/>
  <c r="AT538" i="2" s="1"/>
  <c r="AT529" i="2"/>
  <c r="T718" i="2"/>
  <c r="BN491" i="2"/>
  <c r="BM491" i="2"/>
  <c r="BM490" i="2"/>
  <c r="BN490" i="2"/>
  <c r="BV823" i="2"/>
  <c r="BU823" i="2"/>
  <c r="AX687" i="2"/>
  <c r="AA18" i="2"/>
  <c r="AB17" i="2"/>
  <c r="AA20" i="2"/>
  <c r="BP1030" i="2"/>
  <c r="BP401" i="2"/>
  <c r="BQ400" i="2"/>
  <c r="BR400" i="2"/>
  <c r="X248" i="2"/>
  <c r="BV519" i="2"/>
  <c r="BU519" i="2"/>
  <c r="AM903" i="2"/>
  <c r="AM845" i="2"/>
  <c r="AM736" i="2"/>
  <c r="AM731" i="2"/>
  <c r="AM709" i="2"/>
  <c r="BM239" i="2"/>
  <c r="BL252" i="2"/>
  <c r="BM252" i="2" s="1"/>
  <c r="AR665" i="2"/>
  <c r="AW689" i="2"/>
  <c r="AO707" i="2"/>
  <c r="AP703" i="2"/>
  <c r="Y228" i="2"/>
  <c r="Y235" i="2"/>
  <c r="Y236" i="2" s="1"/>
  <c r="Z236" i="2" s="1"/>
  <c r="Y234" i="2"/>
  <c r="Z221" i="2"/>
  <c r="AE707" i="2"/>
  <c r="AF703" i="2"/>
  <c r="S707" i="2"/>
  <c r="T703" i="2"/>
  <c r="AI707" i="2"/>
  <c r="AJ703" i="2"/>
  <c r="AX524" i="2"/>
  <c r="K212" i="2"/>
  <c r="M204" i="2"/>
  <c r="L211" i="2"/>
  <c r="BM34" i="2"/>
  <c r="BL46" i="2"/>
  <c r="BM46" i="2" s="1"/>
  <c r="AC707" i="2"/>
  <c r="AD703" i="2"/>
  <c r="BF703" i="2"/>
  <c r="BF705" i="2" s="1"/>
  <c r="BG670" i="2"/>
  <c r="BF671" i="2"/>
  <c r="AC18" i="2"/>
  <c r="AD17" i="2"/>
  <c r="AC20" i="2"/>
  <c r="AO18" i="2"/>
  <c r="AO20" i="2"/>
  <c r="BL960" i="2"/>
  <c r="BM960" i="2" s="1"/>
  <c r="BL667" i="2"/>
  <c r="BM568" i="2"/>
  <c r="AW860" i="2"/>
  <c r="AV860" i="2"/>
  <c r="BI716" i="2"/>
  <c r="BH703" i="2"/>
  <c r="BH671" i="2"/>
  <c r="BI670" i="2"/>
  <c r="AU977" i="2"/>
  <c r="AU632" i="2"/>
  <c r="AU529" i="2"/>
  <c r="AU505" i="2"/>
  <c r="AV494" i="2"/>
  <c r="AU503" i="2"/>
  <c r="AV503" i="2" s="1"/>
  <c r="AU500" i="2"/>
  <c r="AU12" i="2"/>
  <c r="AV12" i="2" s="1"/>
  <c r="AI18" i="2"/>
  <c r="AJ18" i="2" s="1"/>
  <c r="AJ17" i="2"/>
  <c r="AI20" i="2"/>
  <c r="AI705" i="2"/>
  <c r="BF587" i="2"/>
  <c r="BF17" i="2"/>
  <c r="BM526" i="2"/>
  <c r="BJ718" i="2"/>
  <c r="BK717" i="2"/>
  <c r="W173" i="2"/>
  <c r="X173" i="2" s="1"/>
  <c r="X172" i="2"/>
  <c r="W282" i="2"/>
  <c r="X275" i="2"/>
  <c r="W287" i="2"/>
  <c r="X287" i="2" s="1"/>
  <c r="W288" i="2"/>
  <c r="U725" i="2"/>
  <c r="BS875" i="2"/>
  <c r="Y47" i="2"/>
  <c r="Z47" i="2" s="1"/>
  <c r="Z34" i="2"/>
  <c r="Y46" i="2"/>
  <c r="Z46" i="2" s="1"/>
  <c r="Y40" i="2"/>
  <c r="Y49" i="2"/>
  <c r="Y48" i="2"/>
  <c r="Z48" i="2" s="1"/>
  <c r="BK154" i="2"/>
  <c r="BJ159" i="2"/>
  <c r="BJ169" i="2"/>
  <c r="BK169" i="2" s="1"/>
  <c r="BJ172" i="2"/>
  <c r="BK172" i="2" s="1"/>
  <c r="BJ171" i="2"/>
  <c r="BK171" i="2" s="1"/>
  <c r="BJ170" i="2"/>
  <c r="BK170" i="2" s="1"/>
  <c r="BJ723" i="2"/>
  <c r="BK722" i="2"/>
  <c r="BJ703" i="2"/>
  <c r="BJ671" i="2"/>
  <c r="BK670" i="2"/>
  <c r="BO485" i="2"/>
  <c r="AA725" i="2"/>
  <c r="L718" i="2"/>
  <c r="AG725" i="2"/>
  <c r="BU85" i="2"/>
  <c r="BT86" i="2"/>
  <c r="BV85" i="2"/>
  <c r="R723" i="2"/>
  <c r="K704" i="2"/>
  <c r="L703" i="2"/>
  <c r="AJ720" i="2"/>
  <c r="X266" i="2"/>
  <c r="Z17" i="2"/>
  <c r="Y18" i="2"/>
  <c r="Y20" i="2"/>
  <c r="BB703" i="2"/>
  <c r="BC703" i="2" s="1"/>
  <c r="BB671" i="2"/>
  <c r="BC670" i="2"/>
  <c r="BP1036" i="2"/>
  <c r="BQ488" i="2"/>
  <c r="BP489" i="2"/>
  <c r="BR488" i="2"/>
  <c r="AL587" i="2"/>
  <c r="AK588" i="2"/>
  <c r="AK589" i="2"/>
  <c r="V718" i="2"/>
  <c r="J720" i="2"/>
  <c r="R720" i="2"/>
  <c r="BE721" i="2"/>
  <c r="BD703" i="2"/>
  <c r="BE670" i="2"/>
  <c r="BD671" i="2"/>
  <c r="BV546" i="2"/>
  <c r="BU546" i="2"/>
  <c r="BT548" i="2"/>
  <c r="AH704" i="2"/>
  <c r="AG705" i="2"/>
  <c r="AG587" i="2"/>
  <c r="AG17" i="2"/>
  <c r="AE588" i="2"/>
  <c r="AE589" i="2"/>
  <c r="BJ282" i="2"/>
  <c r="BK275" i="2"/>
  <c r="BJ288" i="2"/>
  <c r="BK288" i="2" s="1"/>
  <c r="BJ287" i="2"/>
  <c r="BK287" i="2" s="1"/>
  <c r="T723" i="2"/>
  <c r="AS957" i="2"/>
  <c r="AS665" i="2"/>
  <c r="AS418" i="2"/>
  <c r="AT418" i="2" s="1"/>
  <c r="AS420" i="2"/>
  <c r="AT414" i="2"/>
  <c r="U588" i="2"/>
  <c r="U589" i="2"/>
  <c r="BR250" i="2"/>
  <c r="BQ250" i="2"/>
  <c r="BP241" i="2"/>
  <c r="BQ241" i="2" s="1"/>
  <c r="BT232" i="2"/>
  <c r="BS232" i="2"/>
  <c r="BR223" i="2"/>
  <c r="BS223" i="2" s="1"/>
  <c r="AF718" i="2"/>
  <c r="BH705" i="2"/>
  <c r="BI704" i="2"/>
  <c r="BH587" i="2"/>
  <c r="BH17" i="2"/>
  <c r="AB587" i="2"/>
  <c r="AA588" i="2"/>
  <c r="AB588" i="2" s="1"/>
  <c r="AA589" i="2"/>
  <c r="AB589" i="2" s="1"/>
  <c r="BN946" i="2"/>
  <c r="BO946" i="2" s="1"/>
  <c r="BN847" i="2"/>
  <c r="BO847" i="2" s="1"/>
  <c r="BP842" i="2"/>
  <c r="BO842" i="2"/>
  <c r="AA707" i="2"/>
  <c r="AB703" i="2"/>
  <c r="BB718" i="2"/>
  <c r="BC717" i="2"/>
  <c r="AR666" i="2"/>
  <c r="E705" i="2"/>
  <c r="F704" i="2"/>
  <c r="E587" i="2"/>
  <c r="E17" i="2"/>
  <c r="BM257" i="2"/>
  <c r="BL270" i="2"/>
  <c r="BM270" i="2" s="1"/>
  <c r="AQ959" i="2"/>
  <c r="AP723" i="2"/>
  <c r="BV555" i="2"/>
  <c r="BU555" i="2"/>
  <c r="W707" i="2"/>
  <c r="X703" i="2"/>
  <c r="BG724" i="2"/>
  <c r="BF720" i="2"/>
  <c r="BG719" i="2"/>
  <c r="X720" i="2"/>
  <c r="BM398" i="2"/>
  <c r="BL407" i="2"/>
  <c r="AD587" i="2"/>
  <c r="AC588" i="2"/>
  <c r="AC589" i="2"/>
  <c r="AD589" i="2" s="1"/>
  <c r="AP587" i="2"/>
  <c r="AO588" i="2"/>
  <c r="AO589" i="2"/>
  <c r="BL686" i="2"/>
  <c r="BM686" i="2" s="1"/>
  <c r="BL655" i="2"/>
  <c r="BM655" i="2" s="1"/>
  <c r="BM633" i="2"/>
  <c r="BQ268" i="2"/>
  <c r="BR268" i="2"/>
  <c r="BP259" i="2"/>
  <c r="BQ259" i="2" s="1"/>
  <c r="BK684" i="2"/>
  <c r="BI724" i="2"/>
  <c r="AV527" i="2"/>
  <c r="BQ557" i="2"/>
  <c r="BP559" i="2"/>
  <c r="AJ587" i="2"/>
  <c r="AI588" i="2"/>
  <c r="AI589" i="2"/>
  <c r="AJ589" i="2" s="1"/>
  <c r="BN403" i="2"/>
  <c r="BM403" i="2"/>
  <c r="AK725" i="2"/>
  <c r="C725" i="2"/>
  <c r="D725" i="2" s="1"/>
  <c r="BT518" i="2"/>
  <c r="BT421" i="2"/>
  <c r="BV389" i="2"/>
  <c r="BU389" i="2"/>
  <c r="BT391" i="2"/>
  <c r="BR520" i="2"/>
  <c r="BS518" i="2"/>
  <c r="N703" i="2"/>
  <c r="M704" i="2"/>
  <c r="V283" i="2"/>
  <c r="J359" i="2"/>
  <c r="I362" i="2"/>
  <c r="J362" i="2" s="1"/>
  <c r="J364" i="2"/>
  <c r="I367" i="2"/>
  <c r="J367" i="2" s="1"/>
  <c r="BP947" i="2"/>
  <c r="BQ947" i="2" s="1"/>
  <c r="BR841" i="2"/>
  <c r="BS841" i="2" s="1"/>
  <c r="BQ840" i="2"/>
  <c r="BR840" i="2"/>
  <c r="BP819" i="2"/>
  <c r="AD720" i="2"/>
  <c r="BK715" i="2"/>
  <c r="BJ720" i="2"/>
  <c r="BK720" i="2" s="1"/>
  <c r="BK719" i="2"/>
  <c r="Y725" i="2"/>
  <c r="BL292" i="2"/>
  <c r="BK299" i="2"/>
  <c r="BJ302" i="2"/>
  <c r="BU888" i="2"/>
  <c r="BV888" i="2"/>
  <c r="BH718" i="2"/>
  <c r="AQ664" i="2"/>
  <c r="AR664" i="2" s="1"/>
  <c r="AR536" i="2"/>
  <c r="AQ540" i="2"/>
  <c r="BU874" i="2"/>
  <c r="BV874" i="2"/>
  <c r="AX526" i="2"/>
  <c r="Z587" i="2"/>
  <c r="Y588" i="2"/>
  <c r="Y589" i="2"/>
  <c r="BB723" i="2"/>
  <c r="BC723" i="2" s="1"/>
  <c r="BC722" i="2"/>
  <c r="BO489" i="2"/>
  <c r="BN482" i="2"/>
  <c r="AK948" i="2"/>
  <c r="AL705" i="2"/>
  <c r="O705" i="2"/>
  <c r="O587" i="2"/>
  <c r="O17" i="2"/>
  <c r="X302" i="2"/>
  <c r="W303" i="2"/>
  <c r="J703" i="2"/>
  <c r="I704" i="2"/>
  <c r="R704" i="2" s="1"/>
  <c r="BD720" i="2"/>
  <c r="BE720" i="2" s="1"/>
  <c r="BE719" i="2"/>
  <c r="BD723" i="2"/>
  <c r="BE722" i="2"/>
  <c r="BR612" i="2"/>
  <c r="BS612" i="2" s="1"/>
  <c r="BR557" i="2"/>
  <c r="BS548" i="2"/>
  <c r="BR862" i="2"/>
  <c r="BQ862" i="2"/>
  <c r="L723" i="2"/>
  <c r="BM285" i="2"/>
  <c r="BN285" i="2"/>
  <c r="AE705" i="2"/>
  <c r="W705" i="2"/>
  <c r="X704" i="2"/>
  <c r="W587" i="2"/>
  <c r="W17" i="2"/>
  <c r="H703" i="2"/>
  <c r="G704" i="2"/>
  <c r="AS14" i="2"/>
  <c r="AT14" i="2" s="1"/>
  <c r="AT13" i="2"/>
  <c r="AS653" i="2"/>
  <c r="AT653" i="2" s="1"/>
  <c r="AT632" i="2"/>
  <c r="BE717" i="2"/>
  <c r="AN704" i="2"/>
  <c r="AM705" i="2"/>
  <c r="AM587" i="2"/>
  <c r="AM17" i="2"/>
  <c r="BL527" i="2"/>
  <c r="BM527" i="2" s="1"/>
  <c r="BM486" i="2"/>
  <c r="BL494" i="2"/>
  <c r="BF718" i="2"/>
  <c r="BU293" i="2"/>
  <c r="BV293" i="2"/>
  <c r="BV827" i="2"/>
  <c r="BU827" i="2"/>
  <c r="BM524" i="2"/>
  <c r="BT825" i="2"/>
  <c r="BP608" i="2"/>
  <c r="BQ608" i="2" s="1"/>
  <c r="BQ520" i="2"/>
  <c r="AF720" i="2"/>
  <c r="AN720" i="2"/>
  <c r="BI684" i="2"/>
  <c r="AW527" i="2"/>
  <c r="AX486" i="2"/>
  <c r="AW494" i="2"/>
  <c r="AC725" i="2"/>
  <c r="BF723" i="2"/>
  <c r="BG722" i="2"/>
  <c r="BN402" i="2"/>
  <c r="BM402" i="2"/>
  <c r="AC948" i="2"/>
  <c r="BI722" i="2"/>
  <c r="BH723" i="2"/>
  <c r="BI723" i="2" s="1"/>
  <c r="BJ705" i="2"/>
  <c r="BK704" i="2"/>
  <c r="BJ587" i="2"/>
  <c r="BJ17" i="2"/>
  <c r="L720" i="2"/>
  <c r="S18" i="2"/>
  <c r="S20" i="2"/>
  <c r="S705" i="2"/>
  <c r="BL307" i="2"/>
  <c r="BM307" i="2" s="1"/>
  <c r="BM305" i="2"/>
  <c r="W161" i="2"/>
  <c r="Y154" i="2"/>
  <c r="X159" i="2"/>
  <c r="BV858" i="2"/>
  <c r="BT857" i="2"/>
  <c r="BU858" i="2"/>
  <c r="AI725" i="2"/>
  <c r="AJ725" i="2" s="1"/>
  <c r="Y96" i="2"/>
  <c r="Z96" i="2" s="1"/>
  <c r="Y90" i="2"/>
  <c r="Y99" i="2"/>
  <c r="Z99" i="2" s="1"/>
  <c r="Y97" i="2"/>
  <c r="Z97" i="2" s="1"/>
  <c r="Z84" i="2"/>
  <c r="Y98" i="2"/>
  <c r="Z98" i="2" s="1"/>
  <c r="W866" i="2"/>
  <c r="X866" i="2" s="1"/>
  <c r="BO819" i="2"/>
  <c r="AU976" i="2"/>
  <c r="AU978" i="2" s="1"/>
  <c r="AU630" i="2"/>
  <c r="AU419" i="2"/>
  <c r="AU417" i="2"/>
  <c r="AV417" i="2" s="1"/>
  <c r="AV407" i="2"/>
  <c r="AU414" i="2"/>
  <c r="AU13" i="2"/>
  <c r="BJ725" i="2"/>
  <c r="BK724" i="2"/>
  <c r="BK716" i="2"/>
  <c r="BQ492" i="2"/>
  <c r="BP485" i="2"/>
  <c r="BR492" i="2"/>
  <c r="BU222" i="2"/>
  <c r="BV222" i="2"/>
  <c r="O707" i="2"/>
  <c r="P703" i="2"/>
  <c r="AL720" i="2"/>
  <c r="BV885" i="2"/>
  <c r="BU885" i="2"/>
  <c r="AX398" i="2"/>
  <c r="AW407" i="2"/>
  <c r="Y705" i="2"/>
  <c r="U707" i="2"/>
  <c r="V703" i="2"/>
  <c r="BC724" i="2"/>
  <c r="BB725" i="2"/>
  <c r="BC725" i="2" s="1"/>
  <c r="AB720" i="2"/>
  <c r="BR558" i="2"/>
  <c r="BQ558" i="2"/>
  <c r="AH720" i="2"/>
  <c r="BE715" i="2"/>
  <c r="BE716" i="2"/>
  <c r="Q707" i="2"/>
  <c r="BM84" i="2"/>
  <c r="BL96" i="2"/>
  <c r="BM96" i="2" s="1"/>
  <c r="AF723" i="2"/>
  <c r="AS651" i="2"/>
  <c r="AT651" i="2" s="1"/>
  <c r="AT630" i="2"/>
  <c r="U705" i="2"/>
  <c r="AS958" i="2"/>
  <c r="AS666" i="2"/>
  <c r="AT500" i="2"/>
  <c r="AS504" i="2"/>
  <c r="AT504" i="2" s="1"/>
  <c r="AS506" i="2"/>
  <c r="BD718" i="2"/>
  <c r="BN404" i="2"/>
  <c r="BM404" i="2"/>
  <c r="P718" i="2"/>
  <c r="BL687" i="2"/>
  <c r="BE723" i="2" l="1"/>
  <c r="BE703" i="2"/>
  <c r="BF948" i="2"/>
  <c r="U948" i="2"/>
  <c r="BT492" i="2"/>
  <c r="BS492" i="2"/>
  <c r="BR485" i="2"/>
  <c r="AD705" i="2"/>
  <c r="AM948" i="2"/>
  <c r="AN705" i="2"/>
  <c r="W948" i="2"/>
  <c r="X705" i="2"/>
  <c r="BL688" i="2"/>
  <c r="BM687" i="2"/>
  <c r="BP404" i="2"/>
  <c r="BN397" i="2"/>
  <c r="BO404" i="2"/>
  <c r="U903" i="2"/>
  <c r="V903" i="2" s="1"/>
  <c r="U845" i="2"/>
  <c r="U736" i="2"/>
  <c r="V736" i="2" s="1"/>
  <c r="U731" i="2"/>
  <c r="U709" i="2"/>
  <c r="V707" i="2"/>
  <c r="O903" i="2"/>
  <c r="P903" i="2" s="1"/>
  <c r="O845" i="2"/>
  <c r="O736" i="2"/>
  <c r="P736" i="2" s="1"/>
  <c r="O731" i="2"/>
  <c r="P707" i="2"/>
  <c r="BD707" i="2"/>
  <c r="O709" i="2"/>
  <c r="BQ485" i="2"/>
  <c r="Y91" i="2"/>
  <c r="Z90" i="2"/>
  <c r="BF91" i="2"/>
  <c r="AA84" i="2"/>
  <c r="Y92" i="2"/>
  <c r="BU857" i="2"/>
  <c r="BV857" i="2"/>
  <c r="Y172" i="2"/>
  <c r="Y171" i="2"/>
  <c r="Z171" i="2" s="1"/>
  <c r="Y170" i="2"/>
  <c r="Z170" i="2" s="1"/>
  <c r="Y169" i="2"/>
  <c r="Z169" i="2" s="1"/>
  <c r="Y159" i="2"/>
  <c r="Z154" i="2"/>
  <c r="S948" i="2"/>
  <c r="BJ948" i="2"/>
  <c r="BK705" i="2"/>
  <c r="BG723" i="2"/>
  <c r="AX527" i="2"/>
  <c r="W18" i="2"/>
  <c r="X17" i="2"/>
  <c r="W20" i="2"/>
  <c r="AE948" i="2"/>
  <c r="AF705" i="2"/>
  <c r="BR559" i="2"/>
  <c r="BS557" i="2"/>
  <c r="W346" i="2"/>
  <c r="W343" i="2"/>
  <c r="X343" i="2" s="1"/>
  <c r="W342" i="2"/>
  <c r="X342" i="2" s="1"/>
  <c r="X303" i="2"/>
  <c r="W341" i="2"/>
  <c r="X341" i="2" s="1"/>
  <c r="W347" i="2"/>
  <c r="X347" i="2" s="1"/>
  <c r="W348" i="2"/>
  <c r="X348" i="2" s="1"/>
  <c r="W344" i="2"/>
  <c r="X344" i="2" s="1"/>
  <c r="W351" i="2"/>
  <c r="X351" i="2" s="1"/>
  <c r="O588" i="2"/>
  <c r="O589" i="2"/>
  <c r="BM292" i="2"/>
  <c r="BR608" i="2"/>
  <c r="BS608" i="2" s="1"/>
  <c r="BS520" i="2"/>
  <c r="BU421" i="2"/>
  <c r="BV421" i="2"/>
  <c r="E948" i="2"/>
  <c r="F705" i="2"/>
  <c r="BH588" i="2"/>
  <c r="BI587" i="2"/>
  <c r="BH589" i="2"/>
  <c r="BK282" i="2"/>
  <c r="BL275" i="2"/>
  <c r="AH17" i="2"/>
  <c r="AG18" i="2"/>
  <c r="AH18" i="2" s="1"/>
  <c r="AG20" i="2"/>
  <c r="AP20" i="2" s="1"/>
  <c r="BT557" i="2"/>
  <c r="BT612" i="2"/>
  <c r="BV548" i="2"/>
  <c r="BU548" i="2"/>
  <c r="Y21" i="2"/>
  <c r="BL154" i="2"/>
  <c r="BK159" i="2"/>
  <c r="BJ866" i="2"/>
  <c r="BK866" i="2" s="1"/>
  <c r="Y42" i="2"/>
  <c r="AA34" i="2"/>
  <c r="Y41" i="2"/>
  <c r="Z40" i="2"/>
  <c r="BF41" i="2"/>
  <c r="AC21" i="2"/>
  <c r="AD20" i="2"/>
  <c r="M211" i="2"/>
  <c r="M217" i="2"/>
  <c r="N204" i="2"/>
  <c r="M216" i="2"/>
  <c r="N216" i="2" s="1"/>
  <c r="AX689" i="2"/>
  <c r="BL689" i="2"/>
  <c r="AM967" i="2"/>
  <c r="AM985" i="2" s="1"/>
  <c r="AM904" i="2"/>
  <c r="AM850" i="2"/>
  <c r="AM738" i="2"/>
  <c r="AM836" i="2"/>
  <c r="AM1043" i="2"/>
  <c r="AM852" i="2"/>
  <c r="AM818" i="2"/>
  <c r="AM22" i="2"/>
  <c r="BQ401" i="2"/>
  <c r="BP394" i="2"/>
  <c r="AB18" i="2"/>
  <c r="BO491" i="2"/>
  <c r="BN484" i="2"/>
  <c r="BP491" i="2"/>
  <c r="AS664" i="2"/>
  <c r="AT664" i="2" s="1"/>
  <c r="AS540" i="2"/>
  <c r="AT536" i="2"/>
  <c r="BR735" i="2"/>
  <c r="BQ735" i="2"/>
  <c r="BP727" i="2"/>
  <c r="AK21" i="2"/>
  <c r="AL20" i="2"/>
  <c r="Y265" i="2"/>
  <c r="Z264" i="2"/>
  <c r="BF265" i="2"/>
  <c r="AA257" i="2"/>
  <c r="Y266" i="2"/>
  <c r="X74" i="2"/>
  <c r="W75" i="2"/>
  <c r="X75" i="2" s="1"/>
  <c r="Y903" i="2"/>
  <c r="Y845" i="2"/>
  <c r="Y736" i="2"/>
  <c r="Y731" i="2"/>
  <c r="Y709" i="2"/>
  <c r="Z707" i="2"/>
  <c r="AT666" i="2"/>
  <c r="AU14" i="2"/>
  <c r="AV14" i="2" s="1"/>
  <c r="AV13" i="2"/>
  <c r="AM18" i="2"/>
  <c r="AN18" i="2" s="1"/>
  <c r="AN17" i="2"/>
  <c r="AM20" i="2"/>
  <c r="X587" i="2"/>
  <c r="W588" i="2"/>
  <c r="W589" i="2"/>
  <c r="X589" i="2" s="1"/>
  <c r="BN523" i="2"/>
  <c r="BO482" i="2"/>
  <c r="N704" i="2"/>
  <c r="M705" i="2"/>
  <c r="V705" i="2" s="1"/>
  <c r="M587" i="2"/>
  <c r="M17" i="2"/>
  <c r="V704" i="2"/>
  <c r="BT609" i="2"/>
  <c r="BV391" i="2"/>
  <c r="BU391" i="2"/>
  <c r="BV518" i="2"/>
  <c r="BU518" i="2"/>
  <c r="BT520" i="2"/>
  <c r="BP403" i="2"/>
  <c r="BO403" i="2"/>
  <c r="BN396" i="2"/>
  <c r="BO396" i="2" s="1"/>
  <c r="BP979" i="2"/>
  <c r="BQ979" i="2" s="1"/>
  <c r="BP633" i="2"/>
  <c r="BP568" i="2"/>
  <c r="BQ559" i="2"/>
  <c r="BP15" i="2"/>
  <c r="BQ15" i="2" s="1"/>
  <c r="BT268" i="2"/>
  <c r="BS268" i="2"/>
  <c r="BR259" i="2"/>
  <c r="BS259" i="2" s="1"/>
  <c r="BL976" i="2"/>
  <c r="BL630" i="2"/>
  <c r="BL417" i="2"/>
  <c r="BM417" i="2" s="1"/>
  <c r="BL414" i="2"/>
  <c r="BM407" i="2"/>
  <c r="BL13" i="2"/>
  <c r="BG720" i="2"/>
  <c r="W903" i="2"/>
  <c r="X903" i="2" s="1"/>
  <c r="W845" i="2"/>
  <c r="W736" i="2"/>
  <c r="X736" i="2" s="1"/>
  <c r="W731" i="2"/>
  <c r="X707" i="2"/>
  <c r="W709" i="2"/>
  <c r="E18" i="2"/>
  <c r="F18" i="2" s="1"/>
  <c r="F17" i="2"/>
  <c r="E20" i="2"/>
  <c r="BP946" i="2"/>
  <c r="BQ946" i="2" s="1"/>
  <c r="BQ842" i="2"/>
  <c r="BP847" i="2"/>
  <c r="BQ847" i="2" s="1"/>
  <c r="BR842" i="2"/>
  <c r="AF589" i="2"/>
  <c r="AH587" i="2"/>
  <c r="AG588" i="2"/>
  <c r="AH588" i="2" s="1"/>
  <c r="AG589" i="2"/>
  <c r="AH589" i="2" s="1"/>
  <c r="BR1036" i="2"/>
  <c r="BR489" i="2"/>
  <c r="BT488" i="2"/>
  <c r="BS488" i="2"/>
  <c r="BK703" i="2"/>
  <c r="BJ707" i="2"/>
  <c r="BF18" i="2"/>
  <c r="BF20" i="2"/>
  <c r="AI948" i="2"/>
  <c r="AJ705" i="2"/>
  <c r="AO21" i="2"/>
  <c r="BF707" i="2"/>
  <c r="BG703" i="2"/>
  <c r="K364" i="2"/>
  <c r="K361" i="2"/>
  <c r="L361" i="2" s="1"/>
  <c r="K360" i="2"/>
  <c r="L360" i="2" s="1"/>
  <c r="L212" i="2"/>
  <c r="K365" i="2"/>
  <c r="L365" i="2" s="1"/>
  <c r="K366" i="2"/>
  <c r="L366" i="2" s="1"/>
  <c r="K359" i="2"/>
  <c r="K369" i="2"/>
  <c r="L369" i="2" s="1"/>
  <c r="AI903" i="2"/>
  <c r="AI845" i="2"/>
  <c r="AI736" i="2"/>
  <c r="AI731" i="2"/>
  <c r="AJ707" i="2"/>
  <c r="AI709" i="2"/>
  <c r="AE903" i="2"/>
  <c r="AF903" i="2" s="1"/>
  <c r="AE845" i="2"/>
  <c r="AN845" i="2" s="1"/>
  <c r="AE736" i="2"/>
  <c r="AE731" i="2"/>
  <c r="AF707" i="2"/>
  <c r="AE709" i="2"/>
  <c r="AN709" i="2" s="1"/>
  <c r="Y229" i="2"/>
  <c r="Z228" i="2"/>
  <c r="BF229" i="2"/>
  <c r="AA221" i="2"/>
  <c r="Y230" i="2"/>
  <c r="AN707" i="2"/>
  <c r="BP490" i="2"/>
  <c r="BO490" i="2"/>
  <c r="BN483" i="2"/>
  <c r="BN486" i="2" s="1"/>
  <c r="BN960" i="2"/>
  <c r="BO960" i="2" s="1"/>
  <c r="BN667" i="2"/>
  <c r="BO568" i="2"/>
  <c r="AF20" i="2"/>
  <c r="AE21" i="2"/>
  <c r="AK903" i="2"/>
  <c r="AK845" i="2"/>
  <c r="AK736" i="2"/>
  <c r="AK731" i="2"/>
  <c r="AK709" i="2"/>
  <c r="AL707" i="2"/>
  <c r="Y300" i="2"/>
  <c r="Z299" i="2"/>
  <c r="AA292" i="2"/>
  <c r="BF300" i="2"/>
  <c r="Y302" i="2"/>
  <c r="Y866" i="2" s="1"/>
  <c r="Z866" i="2" s="1"/>
  <c r="Z271" i="2"/>
  <c r="Z270" i="2"/>
  <c r="AQ696" i="2"/>
  <c r="AR696" i="2" s="1"/>
  <c r="AR682" i="2"/>
  <c r="AQ683" i="2"/>
  <c r="AQ685" i="2" s="1"/>
  <c r="Q18" i="2"/>
  <c r="Z18" i="2" s="1"/>
  <c r="Q20" i="2"/>
  <c r="Z20" i="2" s="1"/>
  <c r="BF247" i="2"/>
  <c r="AA239" i="2"/>
  <c r="Y247" i="2"/>
  <c r="Z246" i="2"/>
  <c r="Y248" i="2"/>
  <c r="AB705" i="2"/>
  <c r="Y948" i="2"/>
  <c r="Z705" i="2"/>
  <c r="BJ18" i="2"/>
  <c r="BK17" i="2"/>
  <c r="BJ20" i="2"/>
  <c r="BN305" i="2"/>
  <c r="BP285" i="2"/>
  <c r="BO285" i="2"/>
  <c r="BN277" i="2"/>
  <c r="BO277" i="2" s="1"/>
  <c r="O948" i="2"/>
  <c r="Q903" i="2"/>
  <c r="R903" i="2" s="1"/>
  <c r="Q845" i="2"/>
  <c r="Q736" i="2"/>
  <c r="R736" i="2" s="1"/>
  <c r="Q731" i="2"/>
  <c r="Q709" i="2"/>
  <c r="R707" i="2"/>
  <c r="AW976" i="2"/>
  <c r="AW630" i="2"/>
  <c r="AW414" i="2"/>
  <c r="AX407" i="2"/>
  <c r="AW419" i="2"/>
  <c r="AW417" i="2"/>
  <c r="AX417" i="2" s="1"/>
  <c r="AW13" i="2"/>
  <c r="AU957" i="2"/>
  <c r="AU665" i="2"/>
  <c r="AU418" i="2"/>
  <c r="AV418" i="2" s="1"/>
  <c r="AU420" i="2"/>
  <c r="AV414" i="2"/>
  <c r="AU651" i="2"/>
  <c r="AV651" i="2" s="1"/>
  <c r="AV630" i="2"/>
  <c r="BJ588" i="2"/>
  <c r="BK588" i="2" s="1"/>
  <c r="BK587" i="2"/>
  <c r="BJ589" i="2"/>
  <c r="BK589" i="2" s="1"/>
  <c r="BO402" i="2"/>
  <c r="BN395" i="2"/>
  <c r="BO395" i="2" s="1"/>
  <c r="BP402" i="2"/>
  <c r="AW977" i="2"/>
  <c r="AW632" i="2"/>
  <c r="AW505" i="2"/>
  <c r="AW500" i="2"/>
  <c r="AW503" i="2"/>
  <c r="AX503" i="2" s="1"/>
  <c r="AX494" i="2"/>
  <c r="AW529" i="2"/>
  <c r="AW12" i="2"/>
  <c r="AX12" i="2" s="1"/>
  <c r="BV825" i="2"/>
  <c r="BU825" i="2"/>
  <c r="BL977" i="2"/>
  <c r="BM977" i="2" s="1"/>
  <c r="BL632" i="2"/>
  <c r="BL529" i="2"/>
  <c r="BL500" i="2"/>
  <c r="BM494" i="2"/>
  <c r="BL503" i="2"/>
  <c r="BM503" i="2" s="1"/>
  <c r="BL12" i="2"/>
  <c r="BM12" i="2" s="1"/>
  <c r="AN587" i="2"/>
  <c r="AM588" i="2"/>
  <c r="AN588" i="2" s="1"/>
  <c r="AM589" i="2"/>
  <c r="AN589" i="2" s="1"/>
  <c r="H704" i="2"/>
  <c r="G705" i="2"/>
  <c r="G587" i="2"/>
  <c r="G17" i="2"/>
  <c r="BS862" i="2"/>
  <c r="BT862" i="2"/>
  <c r="J704" i="2"/>
  <c r="I705" i="2"/>
  <c r="I587" i="2"/>
  <c r="R587" i="2" s="1"/>
  <c r="I17" i="2"/>
  <c r="R17" i="2" s="1"/>
  <c r="P704" i="2"/>
  <c r="BQ819" i="2"/>
  <c r="BH725" i="2"/>
  <c r="F587" i="2"/>
  <c r="E588" i="2"/>
  <c r="F588" i="2" s="1"/>
  <c r="E589" i="2"/>
  <c r="F589" i="2" s="1"/>
  <c r="AA903" i="2"/>
  <c r="AA845" i="2"/>
  <c r="AA736" i="2"/>
  <c r="AA731" i="2"/>
  <c r="AB707" i="2"/>
  <c r="AA709" i="2"/>
  <c r="BH948" i="2"/>
  <c r="BI948" i="2" s="1"/>
  <c r="BI705" i="2"/>
  <c r="AT665" i="2"/>
  <c r="AF588" i="2"/>
  <c r="AG948" i="2"/>
  <c r="AH705" i="2"/>
  <c r="AL589" i="2"/>
  <c r="BQ489" i="2"/>
  <c r="BP482" i="2"/>
  <c r="BV86" i="2"/>
  <c r="BU86" i="2"/>
  <c r="AH725" i="2"/>
  <c r="X282" i="2"/>
  <c r="Y275" i="2"/>
  <c r="W283" i="2"/>
  <c r="BF588" i="2"/>
  <c r="BF589" i="2"/>
  <c r="AJ20" i="2"/>
  <c r="AI21" i="2"/>
  <c r="AU958" i="2"/>
  <c r="AU666" i="2"/>
  <c r="AU504" i="2"/>
  <c r="AV504" i="2" s="1"/>
  <c r="AV500" i="2"/>
  <c r="AU506" i="2"/>
  <c r="AU629" i="2"/>
  <c r="AU539" i="2"/>
  <c r="AV539" i="2" s="1"/>
  <c r="AU538" i="2"/>
  <c r="AV538" i="2" s="1"/>
  <c r="AU536" i="2"/>
  <c r="AV529" i="2"/>
  <c r="AP18" i="2"/>
  <c r="AD18" i="2"/>
  <c r="Z235" i="2"/>
  <c r="Z234" i="2"/>
  <c r="L725" i="2"/>
  <c r="AM939" i="2"/>
  <c r="AM906" i="2"/>
  <c r="AM905" i="2"/>
  <c r="AM927" i="2"/>
  <c r="AM848" i="2"/>
  <c r="AN731" i="2"/>
  <c r="AM837" i="2"/>
  <c r="BR1030" i="2"/>
  <c r="BS400" i="2"/>
  <c r="BT400" i="2"/>
  <c r="BR401" i="2"/>
  <c r="AB20" i="2"/>
  <c r="AA21" i="2"/>
  <c r="AS682" i="2"/>
  <c r="AS650" i="2"/>
  <c r="AT650" i="2" s="1"/>
  <c r="AT629" i="2"/>
  <c r="BN686" i="2"/>
  <c r="BN655" i="2"/>
  <c r="BO655" i="2" s="1"/>
  <c r="BO633" i="2"/>
  <c r="AF17" i="2"/>
  <c r="BD725" i="2"/>
  <c r="BE725" i="2" s="1"/>
  <c r="Z308" i="2"/>
  <c r="Y309" i="2"/>
  <c r="Z309" i="2" s="1"/>
  <c r="AL18" i="2"/>
  <c r="X123" i="2"/>
  <c r="W124" i="2"/>
  <c r="X124" i="2" s="1"/>
  <c r="BV875" i="2"/>
  <c r="BU875" i="2"/>
  <c r="Q588" i="2"/>
  <c r="Q589" i="2"/>
  <c r="W191" i="2"/>
  <c r="X191" i="2" s="1"/>
  <c r="W190" i="2"/>
  <c r="X190" i="2" s="1"/>
  <c r="W189" i="2"/>
  <c r="X189" i="2" s="1"/>
  <c r="X161" i="2"/>
  <c r="W193" i="2"/>
  <c r="X193" i="2" s="1"/>
  <c r="W192" i="2"/>
  <c r="X192" i="2" s="1"/>
  <c r="S21" i="2"/>
  <c r="BS558" i="2"/>
  <c r="BT558" i="2"/>
  <c r="O18" i="2"/>
  <c r="P17" i="2"/>
  <c r="O20" i="2"/>
  <c r="BR947" i="2"/>
  <c r="BS947" i="2" s="1"/>
  <c r="BT840" i="2"/>
  <c r="BS840" i="2"/>
  <c r="BT841" i="2"/>
  <c r="BR819" i="2"/>
  <c r="AL725" i="2"/>
  <c r="AJ588" i="2"/>
  <c r="AP589" i="2"/>
  <c r="AD588" i="2"/>
  <c r="BF725" i="2"/>
  <c r="BG725" i="2" s="1"/>
  <c r="BH18" i="2"/>
  <c r="BI18" i="2" s="1"/>
  <c r="BI17" i="2"/>
  <c r="BH20" i="2"/>
  <c r="BV232" i="2"/>
  <c r="BT223" i="2"/>
  <c r="BU232" i="2"/>
  <c r="BR241" i="2"/>
  <c r="BS241" i="2" s="1"/>
  <c r="BT250" i="2"/>
  <c r="BS250" i="2"/>
  <c r="AS959" i="2"/>
  <c r="AF587" i="2"/>
  <c r="AL588" i="2"/>
  <c r="BD704" i="2"/>
  <c r="K705" i="2"/>
  <c r="T705" i="2" s="1"/>
  <c r="L704" i="2"/>
  <c r="K587" i="2"/>
  <c r="K17" i="2"/>
  <c r="T704" i="2"/>
  <c r="BK723" i="2"/>
  <c r="Y50" i="2"/>
  <c r="Z50" i="2" s="1"/>
  <c r="Z49" i="2"/>
  <c r="X288" i="2"/>
  <c r="W289" i="2"/>
  <c r="X289" i="2" s="1"/>
  <c r="AU653" i="2"/>
  <c r="AV653" i="2" s="1"/>
  <c r="AV632" i="2"/>
  <c r="BH707" i="2"/>
  <c r="BI703" i="2"/>
  <c r="AX860" i="2"/>
  <c r="BL860" i="2"/>
  <c r="BM667" i="2"/>
  <c r="AP17" i="2"/>
  <c r="AC903" i="2"/>
  <c r="AD903" i="2" s="1"/>
  <c r="AC845" i="2"/>
  <c r="AC736" i="2"/>
  <c r="AD736" i="2" s="1"/>
  <c r="AC731" i="2"/>
  <c r="AC709" i="2"/>
  <c r="AD707" i="2"/>
  <c r="S903" i="2"/>
  <c r="T903" i="2" s="1"/>
  <c r="S845" i="2"/>
  <c r="S736" i="2"/>
  <c r="T736" i="2" s="1"/>
  <c r="S731" i="2"/>
  <c r="T707" i="2"/>
  <c r="S709" i="2"/>
  <c r="AO903" i="2"/>
  <c r="AP903" i="2" s="1"/>
  <c r="AO845" i="2"/>
  <c r="AO736" i="2"/>
  <c r="AO731" i="2"/>
  <c r="AO709" i="2"/>
  <c r="AP707" i="2"/>
  <c r="AN736" i="2"/>
  <c r="U21" i="2"/>
  <c r="AF18" i="2"/>
  <c r="BN846" i="2"/>
  <c r="BO846" i="2" s="1"/>
  <c r="BO727" i="2"/>
  <c r="BN730" i="2"/>
  <c r="BO730" i="2" s="1"/>
  <c r="BM525" i="2"/>
  <c r="AG903" i="2"/>
  <c r="AH903" i="2" s="1"/>
  <c r="AG845" i="2"/>
  <c r="AG736" i="2"/>
  <c r="AH736" i="2" s="1"/>
  <c r="AG731" i="2"/>
  <c r="AG709" i="2"/>
  <c r="AH707" i="2"/>
  <c r="X68" i="2"/>
  <c r="W70" i="2"/>
  <c r="X70" i="2" s="1"/>
  <c r="W119" i="2"/>
  <c r="X119" i="2" s="1"/>
  <c r="X117" i="2"/>
  <c r="C705" i="2"/>
  <c r="BB704" i="2"/>
  <c r="D704" i="2"/>
  <c r="C587" i="2"/>
  <c r="C17" i="2"/>
  <c r="BI720" i="2"/>
  <c r="AP705" i="2"/>
  <c r="Q948" i="2"/>
  <c r="R705" i="2"/>
  <c r="Z253" i="2"/>
  <c r="Z252" i="2"/>
  <c r="BN405" i="2"/>
  <c r="BO394" i="2"/>
  <c r="BN398" i="2"/>
  <c r="AP725" i="2"/>
  <c r="X588" i="2" l="1"/>
  <c r="BM689" i="2"/>
  <c r="Z736" i="2"/>
  <c r="BN527" i="2"/>
  <c r="BO527" i="2" s="1"/>
  <c r="BO486" i="2"/>
  <c r="BN494" i="2"/>
  <c r="AC1043" i="2"/>
  <c r="AC852" i="2"/>
  <c r="AD845" i="2"/>
  <c r="AC818" i="2"/>
  <c r="AC22" i="2"/>
  <c r="BE704" i="2"/>
  <c r="BD705" i="2"/>
  <c r="BD587" i="2"/>
  <c r="BD17" i="2"/>
  <c r="BG704" i="2"/>
  <c r="BS819" i="2"/>
  <c r="BO398" i="2"/>
  <c r="BN407" i="2"/>
  <c r="BB705" i="2"/>
  <c r="BC704" i="2"/>
  <c r="BB587" i="2"/>
  <c r="BB17" i="2"/>
  <c r="AG967" i="2"/>
  <c r="AG985" i="2" s="1"/>
  <c r="AG904" i="2"/>
  <c r="AG850" i="2"/>
  <c r="AG738" i="2"/>
  <c r="AH709" i="2"/>
  <c r="AG836" i="2"/>
  <c r="AG1043" i="2"/>
  <c r="AG852" i="2"/>
  <c r="AH845" i="2"/>
  <c r="AG818" i="2"/>
  <c r="AG22" i="2"/>
  <c r="AP736" i="2"/>
  <c r="S967" i="2"/>
  <c r="S985" i="2" s="1"/>
  <c r="S904" i="2"/>
  <c r="T904" i="2" s="1"/>
  <c r="S850" i="2"/>
  <c r="S738" i="2"/>
  <c r="T738" i="2" s="1"/>
  <c r="T709" i="2"/>
  <c r="T836" i="2" s="1"/>
  <c r="S836" i="2"/>
  <c r="S1043" i="2"/>
  <c r="T845" i="2"/>
  <c r="S852" i="2"/>
  <c r="S818" i="2"/>
  <c r="T818" i="2" s="1"/>
  <c r="S22" i="2"/>
  <c r="T22" i="2" s="1"/>
  <c r="L587" i="2"/>
  <c r="K588" i="2"/>
  <c r="K589" i="2"/>
  <c r="T587" i="2"/>
  <c r="BV250" i="2"/>
  <c r="BU250" i="2"/>
  <c r="BT241" i="2"/>
  <c r="BV223" i="2"/>
  <c r="BU223" i="2"/>
  <c r="BV841" i="2"/>
  <c r="BU841" i="2"/>
  <c r="O21" i="2"/>
  <c r="BV558" i="2"/>
  <c r="BU558" i="2"/>
  <c r="BS401" i="2"/>
  <c r="BR394" i="2"/>
  <c r="X283" i="2"/>
  <c r="AB903" i="2"/>
  <c r="BI725" i="2"/>
  <c r="Z588" i="2"/>
  <c r="I948" i="2"/>
  <c r="J705" i="2"/>
  <c r="G18" i="2"/>
  <c r="H18" i="2" s="1"/>
  <c r="H17" i="2"/>
  <c r="G20" i="2"/>
  <c r="P20" i="2" s="1"/>
  <c r="BL653" i="2"/>
  <c r="BM653" i="2" s="1"/>
  <c r="BM632" i="2"/>
  <c r="AW958" i="2"/>
  <c r="AW666" i="2"/>
  <c r="AX500" i="2"/>
  <c r="AW504" i="2"/>
  <c r="AX504" i="2" s="1"/>
  <c r="AW506" i="2"/>
  <c r="BR402" i="2"/>
  <c r="BQ402" i="2"/>
  <c r="BP395" i="2"/>
  <c r="BQ395" i="2" s="1"/>
  <c r="AU959" i="2"/>
  <c r="BK18" i="2"/>
  <c r="Z248" i="2"/>
  <c r="BF248" i="2"/>
  <c r="BG248" i="2" s="1"/>
  <c r="AL736" i="2"/>
  <c r="AN903" i="2"/>
  <c r="AA235" i="2"/>
  <c r="AA236" i="2" s="1"/>
  <c r="AB236" i="2" s="1"/>
  <c r="AA234" i="2"/>
  <c r="AA228" i="2"/>
  <c r="AB221" i="2"/>
  <c r="AE967" i="2"/>
  <c r="AE985" i="2" s="1"/>
  <c r="AE904" i="2"/>
  <c r="AE850" i="2"/>
  <c r="AN850" i="2" s="1"/>
  <c r="AE738" i="2"/>
  <c r="AF709" i="2"/>
  <c r="AE836" i="2"/>
  <c r="AF736" i="2"/>
  <c r="AI967" i="2"/>
  <c r="AI985" i="2" s="1"/>
  <c r="AI904" i="2"/>
  <c r="AI850" i="2"/>
  <c r="AI738" i="2"/>
  <c r="AJ709" i="2"/>
  <c r="AI836" i="2"/>
  <c r="AI1043" i="2"/>
  <c r="AJ845" i="2"/>
  <c r="AI852" i="2"/>
  <c r="AI818" i="2"/>
  <c r="AI22" i="2"/>
  <c r="BF21" i="2"/>
  <c r="BS489" i="2"/>
  <c r="BR482" i="2"/>
  <c r="BR946" i="2"/>
  <c r="BS946" i="2" s="1"/>
  <c r="BR847" i="2"/>
  <c r="BS847" i="2" s="1"/>
  <c r="BT842" i="2"/>
  <c r="BS842" i="2"/>
  <c r="E21" i="2"/>
  <c r="F20" i="2"/>
  <c r="W967" i="2"/>
  <c r="W985" i="2" s="1"/>
  <c r="W904" i="2"/>
  <c r="W850" i="2"/>
  <c r="W738" i="2"/>
  <c r="X709" i="2"/>
  <c r="W836" i="2"/>
  <c r="W1043" i="2"/>
  <c r="X845" i="2"/>
  <c r="W852" i="2"/>
  <c r="W818" i="2"/>
  <c r="W22" i="2"/>
  <c r="BL978" i="2"/>
  <c r="BM978" i="2" s="1"/>
  <c r="BM976" i="2"/>
  <c r="BP686" i="2"/>
  <c r="BP655" i="2"/>
  <c r="BQ655" i="2" s="1"/>
  <c r="BQ633" i="2"/>
  <c r="BR403" i="2"/>
  <c r="BP396" i="2"/>
  <c r="BQ396" i="2" s="1"/>
  <c r="BQ403" i="2"/>
  <c r="AN20" i="2"/>
  <c r="AM21" i="2"/>
  <c r="Y967" i="2"/>
  <c r="Y985" i="2" s="1"/>
  <c r="Y904" i="2"/>
  <c r="Y850" i="2"/>
  <c r="Y738" i="2"/>
  <c r="Z709" i="2"/>
  <c r="Y836" i="2"/>
  <c r="Y1043" i="2"/>
  <c r="Y852" i="2"/>
  <c r="Z845" i="2"/>
  <c r="Y818" i="2"/>
  <c r="Y22" i="2"/>
  <c r="BN525" i="2"/>
  <c r="BO484" i="2"/>
  <c r="AN738" i="2"/>
  <c r="M218" i="2"/>
  <c r="N218" i="2" s="1"/>
  <c r="N217" i="2"/>
  <c r="Y67" i="2"/>
  <c r="Z67" i="2" s="1"/>
  <c r="Y72" i="2"/>
  <c r="Z72" i="2" s="1"/>
  <c r="Y68" i="2"/>
  <c r="Z42" i="2"/>
  <c r="Y69" i="2"/>
  <c r="Z69" i="2" s="1"/>
  <c r="Y74" i="2"/>
  <c r="Y73" i="2"/>
  <c r="Z73" i="2" s="1"/>
  <c r="Y78" i="2"/>
  <c r="Z78" i="2" s="1"/>
  <c r="BF42" i="2"/>
  <c r="BM154" i="2"/>
  <c r="BL169" i="2"/>
  <c r="BM169" i="2" s="1"/>
  <c r="W349" i="2"/>
  <c r="X349" i="2" s="1"/>
  <c r="X346" i="2"/>
  <c r="BK948" i="2"/>
  <c r="Y160" i="2"/>
  <c r="Z159" i="2"/>
  <c r="AA154" i="2"/>
  <c r="Y161" i="2"/>
  <c r="BF160" i="2"/>
  <c r="Y173" i="2"/>
  <c r="Z173" i="2" s="1"/>
  <c r="Z172" i="2"/>
  <c r="AA99" i="2"/>
  <c r="AB99" i="2" s="1"/>
  <c r="AA97" i="2"/>
  <c r="AB97" i="2" s="1"/>
  <c r="AB84" i="2"/>
  <c r="AA96" i="2"/>
  <c r="AB96" i="2" s="1"/>
  <c r="AA90" i="2"/>
  <c r="AA98" i="2"/>
  <c r="AB98" i="2" s="1"/>
  <c r="BK725" i="2"/>
  <c r="U967" i="2"/>
  <c r="U985" i="2" s="1"/>
  <c r="U904" i="2"/>
  <c r="V904" i="2" s="1"/>
  <c r="U850" i="2"/>
  <c r="U738" i="2"/>
  <c r="V738" i="2" s="1"/>
  <c r="V709" i="2"/>
  <c r="U836" i="2"/>
  <c r="V836" i="2" s="1"/>
  <c r="U1043" i="2"/>
  <c r="U852" i="2"/>
  <c r="V845" i="2"/>
  <c r="U818" i="2"/>
  <c r="V818" i="2" s="1"/>
  <c r="U22" i="2"/>
  <c r="V22" i="2" s="1"/>
  <c r="BQ404" i="2"/>
  <c r="BR404" i="2"/>
  <c r="BP397" i="2"/>
  <c r="D587" i="2"/>
  <c r="C588" i="2"/>
  <c r="D588" i="2" s="1"/>
  <c r="C589" i="2"/>
  <c r="D589" i="2" s="1"/>
  <c r="AG939" i="2"/>
  <c r="AG927" i="2"/>
  <c r="AG906" i="2"/>
  <c r="AG905" i="2"/>
  <c r="AG848" i="2"/>
  <c r="AH731" i="2"/>
  <c r="AG837" i="2"/>
  <c r="C18" i="2"/>
  <c r="D18" i="2" s="1"/>
  <c r="D17" i="2"/>
  <c r="C20" i="2"/>
  <c r="C948" i="2"/>
  <c r="D705" i="2"/>
  <c r="AO967" i="2"/>
  <c r="AO985" i="2" s="1"/>
  <c r="AO904" i="2"/>
  <c r="AP904" i="2" s="1"/>
  <c r="AO850" i="2"/>
  <c r="AO738" i="2"/>
  <c r="AP738" i="2" s="1"/>
  <c r="AP709" i="2"/>
  <c r="AO836" i="2"/>
  <c r="AP836" i="2" s="1"/>
  <c r="AO1043" i="2"/>
  <c r="AO852" i="2"/>
  <c r="AP845" i="2"/>
  <c r="AO818" i="2"/>
  <c r="AP818" i="2" s="1"/>
  <c r="AO22" i="2"/>
  <c r="AC939" i="2"/>
  <c r="AC927" i="2"/>
  <c r="AC906" i="2"/>
  <c r="AC905" i="2"/>
  <c r="AC848" i="2"/>
  <c r="AD731" i="2"/>
  <c r="AC837" i="2"/>
  <c r="BN860" i="2"/>
  <c r="BM860" i="2"/>
  <c r="AS696" i="2"/>
  <c r="AT696" i="2" s="1"/>
  <c r="AT682" i="2"/>
  <c r="AS683" i="2"/>
  <c r="AS685" i="2" s="1"/>
  <c r="BT1030" i="2"/>
  <c r="BT401" i="2"/>
  <c r="BV400" i="2"/>
  <c r="BU400" i="2"/>
  <c r="AU650" i="2"/>
  <c r="AV650" i="2" s="1"/>
  <c r="AU682" i="2"/>
  <c r="AV629" i="2"/>
  <c r="AV666" i="2"/>
  <c r="Z275" i="2"/>
  <c r="Y282" i="2"/>
  <c r="Y288" i="2"/>
  <c r="Y287" i="2"/>
  <c r="Z287" i="2" s="1"/>
  <c r="AA939" i="2"/>
  <c r="AA906" i="2"/>
  <c r="AA905" i="2"/>
  <c r="AA927" i="2"/>
  <c r="AA848" i="2"/>
  <c r="AB731" i="2"/>
  <c r="AA837" i="2"/>
  <c r="H587" i="2"/>
  <c r="G588" i="2"/>
  <c r="H588" i="2" s="1"/>
  <c r="G589" i="2"/>
  <c r="H589" i="2" s="1"/>
  <c r="AW629" i="2"/>
  <c r="AW536" i="2"/>
  <c r="AW539" i="2"/>
  <c r="AX539" i="2" s="1"/>
  <c r="AW538" i="2"/>
  <c r="AX538" i="2" s="1"/>
  <c r="AX529" i="2"/>
  <c r="AX13" i="2"/>
  <c r="AW14" i="2"/>
  <c r="AX14" i="2" s="1"/>
  <c r="AW957" i="2"/>
  <c r="AW665" i="2"/>
  <c r="AW418" i="2"/>
  <c r="AX418" i="2" s="1"/>
  <c r="AW420" i="2"/>
  <c r="AX414" i="2"/>
  <c r="Q967" i="2"/>
  <c r="Q985" i="2" s="1"/>
  <c r="Q904" i="2"/>
  <c r="R904" i="2" s="1"/>
  <c r="Q850" i="2"/>
  <c r="Q738" i="2"/>
  <c r="R738" i="2" s="1"/>
  <c r="R709" i="2"/>
  <c r="Q836" i="2"/>
  <c r="R836" i="2" s="1"/>
  <c r="Q1043" i="2"/>
  <c r="Q852" i="2"/>
  <c r="R845" i="2"/>
  <c r="Q818" i="2"/>
  <c r="R818" i="2" s="1"/>
  <c r="Q22" i="2"/>
  <c r="R22" i="2" s="1"/>
  <c r="BN294" i="2"/>
  <c r="BO294" i="2" s="1"/>
  <c r="BO305" i="2"/>
  <c r="AR683" i="2"/>
  <c r="AB292" i="2"/>
  <c r="AA308" i="2"/>
  <c r="AA299" i="2"/>
  <c r="AA307" i="2"/>
  <c r="AB307" i="2" s="1"/>
  <c r="AK967" i="2"/>
  <c r="AK985" i="2" s="1"/>
  <c r="AK904" i="2"/>
  <c r="AK850" i="2"/>
  <c r="AK738" i="2"/>
  <c r="AL709" i="2"/>
  <c r="AK836" i="2"/>
  <c r="AK1043" i="2"/>
  <c r="AK852" i="2"/>
  <c r="AL845" i="2"/>
  <c r="AK818" i="2"/>
  <c r="AK22" i="2"/>
  <c r="AL22" i="2" s="1"/>
  <c r="BN524" i="2"/>
  <c r="BO483" i="2"/>
  <c r="AE1043" i="2"/>
  <c r="AF845" i="2"/>
  <c r="AE852" i="2"/>
  <c r="AE818" i="2"/>
  <c r="AF818" i="2" s="1"/>
  <c r="AE22" i="2"/>
  <c r="AF22" i="2" s="1"/>
  <c r="AJ903" i="2"/>
  <c r="K367" i="2"/>
  <c r="L367" i="2" s="1"/>
  <c r="L364" i="2"/>
  <c r="BL957" i="2"/>
  <c r="BL665" i="2"/>
  <c r="BL418" i="2"/>
  <c r="BM418" i="2" s="1"/>
  <c r="BM414" i="2"/>
  <c r="BT608" i="2"/>
  <c r="BV520" i="2"/>
  <c r="BU520" i="2"/>
  <c r="M18" i="2"/>
  <c r="N17" i="2"/>
  <c r="M20" i="2"/>
  <c r="V17" i="2"/>
  <c r="Z589" i="2"/>
  <c r="Z903" i="2"/>
  <c r="Z266" i="2"/>
  <c r="BF266" i="2"/>
  <c r="BG266" i="2" s="1"/>
  <c r="BP846" i="2"/>
  <c r="BQ846" i="2" s="1"/>
  <c r="BP730" i="2"/>
  <c r="BQ730" i="2" s="1"/>
  <c r="BQ727" i="2"/>
  <c r="AM968" i="2"/>
  <c r="AM23" i="2"/>
  <c r="N211" i="2"/>
  <c r="M212" i="2"/>
  <c r="O204" i="2"/>
  <c r="BV612" i="2"/>
  <c r="BU612" i="2"/>
  <c r="BI589" i="2"/>
  <c r="P589" i="2"/>
  <c r="X20" i="2"/>
  <c r="W21" i="2"/>
  <c r="BD903" i="2"/>
  <c r="BE903" i="2" s="1"/>
  <c r="BD845" i="2"/>
  <c r="BD731" i="2"/>
  <c r="BD709" i="2"/>
  <c r="BE707" i="2"/>
  <c r="BD836" i="2"/>
  <c r="BE836" i="2" s="1"/>
  <c r="O1043" i="2"/>
  <c r="P845" i="2"/>
  <c r="O852" i="2"/>
  <c r="O818" i="2"/>
  <c r="P818" i="2" s="1"/>
  <c r="O22" i="2"/>
  <c r="P22" i="2" s="1"/>
  <c r="BS485" i="2"/>
  <c r="S939" i="2"/>
  <c r="T939" i="2" s="1"/>
  <c r="S927" i="2"/>
  <c r="T927" i="2" s="1"/>
  <c r="S906" i="2"/>
  <c r="T906" i="2" s="1"/>
  <c r="S905" i="2"/>
  <c r="T905" i="2" s="1"/>
  <c r="S848" i="2"/>
  <c r="T848" i="2" s="1"/>
  <c r="T731" i="2"/>
  <c r="S837" i="2"/>
  <c r="T837" i="2" s="1"/>
  <c r="BH903" i="2"/>
  <c r="BH845" i="2"/>
  <c r="BH731" i="2"/>
  <c r="BH709" i="2"/>
  <c r="BI707" i="2"/>
  <c r="BH836" i="2"/>
  <c r="K948" i="2"/>
  <c r="L705" i="2"/>
  <c r="BT947" i="2"/>
  <c r="BU947" i="2" s="1"/>
  <c r="BU840" i="2"/>
  <c r="BV840" i="2"/>
  <c r="BT819" i="2"/>
  <c r="P18" i="2"/>
  <c r="BO686" i="2"/>
  <c r="AU664" i="2"/>
  <c r="AV664" i="2" s="1"/>
  <c r="AU540" i="2"/>
  <c r="AV536" i="2"/>
  <c r="AA967" i="2"/>
  <c r="AA985" i="2" s="1"/>
  <c r="AA904" i="2"/>
  <c r="AB904" i="2" s="1"/>
  <c r="AA850" i="2"/>
  <c r="AA738" i="2"/>
  <c r="AB738" i="2" s="1"/>
  <c r="AB709" i="2"/>
  <c r="AA836" i="2"/>
  <c r="AB836" i="2" s="1"/>
  <c r="AB736" i="2"/>
  <c r="J17" i="2"/>
  <c r="I18" i="2"/>
  <c r="J18" i="2" s="1"/>
  <c r="I20" i="2"/>
  <c r="BV862" i="2"/>
  <c r="BU862" i="2"/>
  <c r="G948" i="2"/>
  <c r="H705" i="2"/>
  <c r="BL958" i="2"/>
  <c r="BM958" i="2" s="1"/>
  <c r="BL666" i="2"/>
  <c r="BL504" i="2"/>
  <c r="BM504" i="2" s="1"/>
  <c r="BM500" i="2"/>
  <c r="AW653" i="2"/>
  <c r="AX653" i="2" s="1"/>
  <c r="AX632" i="2"/>
  <c r="AW651" i="2"/>
  <c r="AX651" i="2" s="1"/>
  <c r="AX630" i="2"/>
  <c r="BJ21" i="2"/>
  <c r="BK20" i="2"/>
  <c r="Q21" i="2"/>
  <c r="R20" i="2"/>
  <c r="AL903" i="2"/>
  <c r="BO667" i="2"/>
  <c r="Z230" i="2"/>
  <c r="BF230" i="2"/>
  <c r="BG230" i="2" s="1"/>
  <c r="AI939" i="2"/>
  <c r="AJ939" i="2" s="1"/>
  <c r="AI927" i="2"/>
  <c r="AJ927" i="2" s="1"/>
  <c r="AI906" i="2"/>
  <c r="AJ906" i="2" s="1"/>
  <c r="AI905" i="2"/>
  <c r="AI848" i="2"/>
  <c r="AJ848" i="2" s="1"/>
  <c r="AJ731" i="2"/>
  <c r="AI837" i="2"/>
  <c r="W939" i="2"/>
  <c r="W906" i="2"/>
  <c r="W905" i="2"/>
  <c r="W927" i="2"/>
  <c r="W848" i="2"/>
  <c r="X731" i="2"/>
  <c r="W837" i="2"/>
  <c r="N587" i="2"/>
  <c r="M588" i="2"/>
  <c r="M589" i="2"/>
  <c r="V587" i="2"/>
  <c r="Y939" i="2"/>
  <c r="Y927" i="2"/>
  <c r="Y906" i="2"/>
  <c r="Y905" i="2"/>
  <c r="Y848" i="2"/>
  <c r="Z731" i="2"/>
  <c r="Y837" i="2"/>
  <c r="AA264" i="2"/>
  <c r="AB257" i="2"/>
  <c r="AA271" i="2"/>
  <c r="AA272" i="2" s="1"/>
  <c r="AB272" i="2" s="1"/>
  <c r="AA270" i="2"/>
  <c r="AN818" i="2"/>
  <c r="AN836" i="2"/>
  <c r="AN904" i="2"/>
  <c r="BT559" i="2"/>
  <c r="BV557" i="2"/>
  <c r="BU557" i="2"/>
  <c r="BM275" i="2"/>
  <c r="BL287" i="2"/>
  <c r="BM287" i="2" s="1"/>
  <c r="AP588" i="2"/>
  <c r="P588" i="2"/>
  <c r="BR979" i="2"/>
  <c r="BS979" i="2" s="1"/>
  <c r="BR568" i="2"/>
  <c r="BR633" i="2"/>
  <c r="BS559" i="2"/>
  <c r="BR15" i="2"/>
  <c r="BS15" i="2" s="1"/>
  <c r="U939" i="2"/>
  <c r="V939" i="2" s="1"/>
  <c r="U927" i="2"/>
  <c r="V927" i="2" s="1"/>
  <c r="U906" i="2"/>
  <c r="V906" i="2" s="1"/>
  <c r="U905" i="2"/>
  <c r="V905" i="2" s="1"/>
  <c r="U848" i="2"/>
  <c r="V848" i="2" s="1"/>
  <c r="V731" i="2"/>
  <c r="U837" i="2"/>
  <c r="V837" i="2" s="1"/>
  <c r="BN688" i="2"/>
  <c r="BM688" i="2"/>
  <c r="AO939" i="2"/>
  <c r="AP939" i="2" s="1"/>
  <c r="AO927" i="2"/>
  <c r="AO906" i="2"/>
  <c r="AP906" i="2" s="1"/>
  <c r="AO905" i="2"/>
  <c r="AP905" i="2" s="1"/>
  <c r="AO848" i="2"/>
  <c r="AP848" i="2" s="1"/>
  <c r="AP731" i="2"/>
  <c r="AO837" i="2"/>
  <c r="AP837" i="2" s="1"/>
  <c r="AC967" i="2"/>
  <c r="AC985" i="2" s="1"/>
  <c r="AC904" i="2"/>
  <c r="AD904" i="2" s="1"/>
  <c r="AC850" i="2"/>
  <c r="AC738" i="2"/>
  <c r="AD738" i="2" s="1"/>
  <c r="AD709" i="2"/>
  <c r="AC836" i="2"/>
  <c r="AD836" i="2" s="1"/>
  <c r="K18" i="2"/>
  <c r="L17" i="2"/>
  <c r="K20" i="2"/>
  <c r="T17" i="2"/>
  <c r="BH21" i="2"/>
  <c r="BI20" i="2"/>
  <c r="AN848" i="2"/>
  <c r="BP523" i="2"/>
  <c r="BQ482" i="2"/>
  <c r="AA1043" i="2"/>
  <c r="AB845" i="2"/>
  <c r="AA852" i="2"/>
  <c r="AA818" i="2"/>
  <c r="AB818" i="2" s="1"/>
  <c r="AA22" i="2"/>
  <c r="AB22" i="2" s="1"/>
  <c r="J587" i="2"/>
  <c r="I588" i="2"/>
  <c r="J588" i="2" s="1"/>
  <c r="I589" i="2"/>
  <c r="J589" i="2" s="1"/>
  <c r="BL629" i="2"/>
  <c r="BL539" i="2"/>
  <c r="BM539" i="2" s="1"/>
  <c r="BL538" i="2"/>
  <c r="BM538" i="2" s="1"/>
  <c r="BL536" i="2"/>
  <c r="BM529" i="2"/>
  <c r="AV665" i="2"/>
  <c r="AW978" i="2"/>
  <c r="Q939" i="2"/>
  <c r="R939" i="2" s="1"/>
  <c r="Q927" i="2"/>
  <c r="R927" i="2" s="1"/>
  <c r="Q906" i="2"/>
  <c r="R906" i="2" s="1"/>
  <c r="Q905" i="2"/>
  <c r="R905" i="2" s="1"/>
  <c r="Q848" i="2"/>
  <c r="R848" i="2" s="1"/>
  <c r="R731" i="2"/>
  <c r="Q837" i="2"/>
  <c r="R837" i="2" s="1"/>
  <c r="P705" i="2"/>
  <c r="BQ285" i="2"/>
  <c r="BP305" i="2"/>
  <c r="BR285" i="2"/>
  <c r="BP277" i="2"/>
  <c r="BQ277" i="2" s="1"/>
  <c r="AA253" i="2"/>
  <c r="AA254" i="2" s="1"/>
  <c r="AB254" i="2" s="1"/>
  <c r="AA246" i="2"/>
  <c r="AB239" i="2"/>
  <c r="AA252" i="2"/>
  <c r="R18" i="2"/>
  <c r="AR685" i="2"/>
  <c r="Z302" i="2"/>
  <c r="Y303" i="2"/>
  <c r="AK939" i="2"/>
  <c r="AL939" i="2" s="1"/>
  <c r="AK927" i="2"/>
  <c r="AL927" i="2" s="1"/>
  <c r="AK906" i="2"/>
  <c r="AK905" i="2"/>
  <c r="AL905" i="2" s="1"/>
  <c r="AK848" i="2"/>
  <c r="AL848" i="2" s="1"/>
  <c r="AL731" i="2"/>
  <c r="AK837" i="2"/>
  <c r="BQ490" i="2"/>
  <c r="BP483" i="2"/>
  <c r="BR490" i="2"/>
  <c r="AE939" i="2"/>
  <c r="AF939" i="2" s="1"/>
  <c r="AE906" i="2"/>
  <c r="AE905" i="2"/>
  <c r="AF905" i="2" s="1"/>
  <c r="AE927" i="2"/>
  <c r="AF927" i="2" s="1"/>
  <c r="AE848" i="2"/>
  <c r="AF848" i="2" s="1"/>
  <c r="AF731" i="2"/>
  <c r="AE837" i="2"/>
  <c r="AF837" i="2" s="1"/>
  <c r="AJ736" i="2"/>
  <c r="K362" i="2"/>
  <c r="L362" i="2" s="1"/>
  <c r="L359" i="2"/>
  <c r="BF903" i="2"/>
  <c r="BG903" i="2" s="1"/>
  <c r="BF845" i="2"/>
  <c r="BF731" i="2"/>
  <c r="BG707" i="2"/>
  <c r="BF709" i="2"/>
  <c r="BF836" i="2"/>
  <c r="BG836" i="2" s="1"/>
  <c r="BJ903" i="2"/>
  <c r="BK903" i="2" s="1"/>
  <c r="BJ845" i="2"/>
  <c r="BJ731" i="2"/>
  <c r="BK707" i="2"/>
  <c r="BJ709" i="2"/>
  <c r="BJ836" i="2"/>
  <c r="BK836" i="2" s="1"/>
  <c r="BT1036" i="2"/>
  <c r="BU488" i="2"/>
  <c r="BT489" i="2"/>
  <c r="BV488" i="2"/>
  <c r="BL14" i="2"/>
  <c r="BM14" i="2" s="1"/>
  <c r="BM13" i="2"/>
  <c r="BM630" i="2"/>
  <c r="BL651" i="2"/>
  <c r="BM651" i="2" s="1"/>
  <c r="BU268" i="2"/>
  <c r="BV268" i="2"/>
  <c r="BT259" i="2"/>
  <c r="BP960" i="2"/>
  <c r="BQ960" i="2" s="1"/>
  <c r="BP667" i="2"/>
  <c r="BQ568" i="2"/>
  <c r="BV609" i="2"/>
  <c r="BU609" i="2"/>
  <c r="M948" i="2"/>
  <c r="N705" i="2"/>
  <c r="BO523" i="2"/>
  <c r="BT735" i="2"/>
  <c r="BS735" i="2"/>
  <c r="BR727" i="2"/>
  <c r="BR491" i="2"/>
  <c r="BQ491" i="2"/>
  <c r="BP484" i="2"/>
  <c r="BP405" i="2"/>
  <c r="BQ394" i="2"/>
  <c r="BP398" i="2"/>
  <c r="AN852" i="2"/>
  <c r="AM711" i="2"/>
  <c r="AM24" i="2"/>
  <c r="AA46" i="2"/>
  <c r="AB46" i="2" s="1"/>
  <c r="AA40" i="2"/>
  <c r="AA49" i="2"/>
  <c r="AB34" i="2"/>
  <c r="AA47" i="2"/>
  <c r="AB47" i="2" s="1"/>
  <c r="AA48" i="2"/>
  <c r="AB48" i="2" s="1"/>
  <c r="AG21" i="2"/>
  <c r="AH20" i="2"/>
  <c r="BI588" i="2"/>
  <c r="P587" i="2"/>
  <c r="X18" i="2"/>
  <c r="Y121" i="2"/>
  <c r="Z121" i="2" s="1"/>
  <c r="Y118" i="2"/>
  <c r="Z118" i="2" s="1"/>
  <c r="Y117" i="2"/>
  <c r="Z92" i="2"/>
  <c r="Y122" i="2"/>
  <c r="Z122" i="2" s="1"/>
  <c r="Y123" i="2"/>
  <c r="Y116" i="2"/>
  <c r="Z116" i="2" s="1"/>
  <c r="Y127" i="2"/>
  <c r="Z127" i="2" s="1"/>
  <c r="BF92" i="2"/>
  <c r="O967" i="2"/>
  <c r="O985" i="2" s="1"/>
  <c r="O904" i="2"/>
  <c r="P904" i="2" s="1"/>
  <c r="O850" i="2"/>
  <c r="O738" i="2"/>
  <c r="P738" i="2" s="1"/>
  <c r="P709" i="2"/>
  <c r="P836" i="2" s="1"/>
  <c r="O836" i="2"/>
  <c r="O939" i="2"/>
  <c r="P939" i="2" s="1"/>
  <c r="O906" i="2"/>
  <c r="P906" i="2" s="1"/>
  <c r="O905" i="2"/>
  <c r="P905" i="2" s="1"/>
  <c r="O927" i="2"/>
  <c r="P927" i="2" s="1"/>
  <c r="O848" i="2"/>
  <c r="P848" i="2" s="1"/>
  <c r="P731" i="2"/>
  <c r="O837" i="2"/>
  <c r="P837" i="2" s="1"/>
  <c r="BO397" i="2"/>
  <c r="BN526" i="2"/>
  <c r="BU492" i="2"/>
  <c r="BT485" i="2"/>
  <c r="BV492" i="2"/>
  <c r="AL837" i="2" l="1"/>
  <c r="AL906" i="2"/>
  <c r="AN939" i="2"/>
  <c r="AN22" i="2"/>
  <c r="AP22" i="2"/>
  <c r="BP486" i="2"/>
  <c r="BP527" i="2" s="1"/>
  <c r="BQ527" i="2" s="1"/>
  <c r="AJ905" i="2"/>
  <c r="AL818" i="2"/>
  <c r="AW959" i="2"/>
  <c r="AF906" i="2"/>
  <c r="AP927" i="2"/>
  <c r="AJ837" i="2"/>
  <c r="BQ486" i="2"/>
  <c r="AT685" i="2"/>
  <c r="BO526" i="2"/>
  <c r="BG92" i="2"/>
  <c r="BF123" i="2"/>
  <c r="BG123" i="2" s="1"/>
  <c r="BF121" i="2"/>
  <c r="BF117" i="2"/>
  <c r="BF122" i="2"/>
  <c r="BG122" i="2" s="1"/>
  <c r="BF118" i="2"/>
  <c r="BG118" i="2" s="1"/>
  <c r="BF116" i="2"/>
  <c r="BG116" i="2" s="1"/>
  <c r="BF127" i="2"/>
  <c r="BG127" i="2" s="1"/>
  <c r="O968" i="2"/>
  <c r="P850" i="2"/>
  <c r="O23" i="2"/>
  <c r="P23" i="2" s="1"/>
  <c r="BV485" i="2"/>
  <c r="BU485" i="2"/>
  <c r="Y119" i="2"/>
  <c r="Z119" i="2" s="1"/>
  <c r="AB119" i="2" s="1"/>
  <c r="AD119" i="2" s="1"/>
  <c r="AF119" i="2" s="1"/>
  <c r="Z117" i="2"/>
  <c r="BJ967" i="2"/>
  <c r="BJ904" i="2"/>
  <c r="BJ738" i="2"/>
  <c r="BK709" i="2"/>
  <c r="BJ736" i="2"/>
  <c r="Y124" i="2"/>
  <c r="Z124" i="2" s="1"/>
  <c r="Z123" i="2"/>
  <c r="BQ398" i="2"/>
  <c r="BP407" i="2"/>
  <c r="BT727" i="2"/>
  <c r="BV735" i="2"/>
  <c r="BU735" i="2"/>
  <c r="BQ667" i="2"/>
  <c r="BF1043" i="2"/>
  <c r="BF850" i="2"/>
  <c r="BG845" i="2"/>
  <c r="BF22" i="2"/>
  <c r="BF818" i="2"/>
  <c r="Y342" i="2"/>
  <c r="Z342" i="2" s="1"/>
  <c r="Y346" i="2"/>
  <c r="Y343" i="2"/>
  <c r="Z343" i="2" s="1"/>
  <c r="Z303" i="2"/>
  <c r="Y341" i="2"/>
  <c r="Z341" i="2" s="1"/>
  <c r="Y347" i="2"/>
  <c r="Z347" i="2" s="1"/>
  <c r="Y348" i="2"/>
  <c r="Z348" i="2" s="1"/>
  <c r="Y344" i="2"/>
  <c r="Z344" i="2" s="1"/>
  <c r="Y351" i="2"/>
  <c r="Z351" i="2" s="1"/>
  <c r="AB253" i="2"/>
  <c r="AB252" i="2"/>
  <c r="BR305" i="2"/>
  <c r="BT285" i="2"/>
  <c r="BS285" i="2"/>
  <c r="BR277" i="2"/>
  <c r="BS277" i="2" s="1"/>
  <c r="BL682" i="2"/>
  <c r="BL650" i="2"/>
  <c r="BM650" i="2" s="1"/>
  <c r="BM629" i="2"/>
  <c r="L18" i="2"/>
  <c r="T18" i="2"/>
  <c r="AC968" i="2"/>
  <c r="AD850" i="2"/>
  <c r="AC23" i="2"/>
  <c r="BP688" i="2"/>
  <c r="BN687" i="2"/>
  <c r="BO688" i="2"/>
  <c r="BR960" i="2"/>
  <c r="BS960" i="2" s="1"/>
  <c r="BR667" i="2"/>
  <c r="BS568" i="2"/>
  <c r="AB264" i="2"/>
  <c r="AC257" i="2"/>
  <c r="AA265" i="2"/>
  <c r="AA266" i="2"/>
  <c r="Z848" i="2"/>
  <c r="Z939" i="2"/>
  <c r="X848" i="2"/>
  <c r="X939" i="2"/>
  <c r="BM666" i="2"/>
  <c r="BH939" i="2"/>
  <c r="BH927" i="2"/>
  <c r="BH906" i="2"/>
  <c r="BH905" i="2"/>
  <c r="BH848" i="2"/>
  <c r="BI731" i="2"/>
  <c r="BH837" i="2"/>
  <c r="BD967" i="2"/>
  <c r="BD904" i="2"/>
  <c r="BE904" i="2" s="1"/>
  <c r="BD738" i="2"/>
  <c r="BE738" i="2" s="1"/>
  <c r="BE709" i="2"/>
  <c r="BD736" i="2"/>
  <c r="BE736" i="2" s="1"/>
  <c r="N18" i="2"/>
  <c r="V18" i="2"/>
  <c r="AL836" i="2"/>
  <c r="AL904" i="2"/>
  <c r="AB308" i="2"/>
  <c r="AA309" i="2"/>
  <c r="AB309" i="2" s="1"/>
  <c r="Q968" i="2"/>
  <c r="R850" i="2"/>
  <c r="Q23" i="2"/>
  <c r="R23" i="2" s="1"/>
  <c r="AB906" i="2"/>
  <c r="AA275" i="2"/>
  <c r="Z282" i="2"/>
  <c r="Y283" i="2"/>
  <c r="AN905" i="2"/>
  <c r="AD927" i="2"/>
  <c r="AH927" i="2"/>
  <c r="U968" i="2"/>
  <c r="V850" i="2"/>
  <c r="U23" i="2"/>
  <c r="V23" i="2" s="1"/>
  <c r="BO525" i="2"/>
  <c r="Z852" i="2"/>
  <c r="Y711" i="2"/>
  <c r="Y24" i="2"/>
  <c r="Z738" i="2"/>
  <c r="BS403" i="2"/>
  <c r="BT403" i="2"/>
  <c r="BR396" i="2"/>
  <c r="BS396" i="2" s="1"/>
  <c r="X852" i="2"/>
  <c r="W711" i="2"/>
  <c r="W24" i="2"/>
  <c r="BR523" i="2"/>
  <c r="BS482" i="2"/>
  <c r="AJ22" i="2"/>
  <c r="AI968" i="2"/>
  <c r="AJ850" i="2"/>
  <c r="AI23" i="2"/>
  <c r="AF836" i="2"/>
  <c r="AF904" i="2"/>
  <c r="AN927" i="2"/>
  <c r="R588" i="2"/>
  <c r="AH852" i="2"/>
  <c r="AG711" i="2"/>
  <c r="AG24" i="2"/>
  <c r="AH738" i="2"/>
  <c r="BB18" i="2"/>
  <c r="BC18" i="2" s="1"/>
  <c r="BC17" i="2"/>
  <c r="BB20" i="2"/>
  <c r="BN976" i="2"/>
  <c r="BN630" i="2"/>
  <c r="BN414" i="2"/>
  <c r="BO407" i="2"/>
  <c r="BN417" i="2"/>
  <c r="BO417" i="2" s="1"/>
  <c r="BN13" i="2"/>
  <c r="BD18" i="2"/>
  <c r="BG18" i="2" s="1"/>
  <c r="BD20" i="2"/>
  <c r="BG17" i="2"/>
  <c r="AD22" i="2"/>
  <c r="BS491" i="2"/>
  <c r="BR484" i="2"/>
  <c r="BT491" i="2"/>
  <c r="BJ939" i="2"/>
  <c r="BK939" i="2" s="1"/>
  <c r="BJ905" i="2"/>
  <c r="BK905" i="2" s="1"/>
  <c r="BJ927" i="2"/>
  <c r="BK927" i="2" s="1"/>
  <c r="BJ906" i="2"/>
  <c r="BK906" i="2" s="1"/>
  <c r="BJ848" i="2"/>
  <c r="BK848" i="2" s="1"/>
  <c r="BK731" i="2"/>
  <c r="BJ837" i="2"/>
  <c r="BK837" i="2" s="1"/>
  <c r="BF967" i="2"/>
  <c r="BF904" i="2"/>
  <c r="BG904" i="2" s="1"/>
  <c r="BF738" i="2"/>
  <c r="BG738" i="2" s="1"/>
  <c r="BG709" i="2"/>
  <c r="BF736" i="2"/>
  <c r="BG736" i="2" s="1"/>
  <c r="BT490" i="2"/>
  <c r="BS490" i="2"/>
  <c r="BR483" i="2"/>
  <c r="BR486" i="2" s="1"/>
  <c r="AC239" i="2"/>
  <c r="AA247" i="2"/>
  <c r="AB246" i="2"/>
  <c r="AA248" i="2"/>
  <c r="BL664" i="2"/>
  <c r="BM664" i="2" s="1"/>
  <c r="BM536" i="2"/>
  <c r="BL540" i="2"/>
  <c r="BT979" i="2"/>
  <c r="BU979" i="2" s="1"/>
  <c r="BT633" i="2"/>
  <c r="BV559" i="2"/>
  <c r="BT568" i="2"/>
  <c r="BU559" i="2"/>
  <c r="BT15" i="2"/>
  <c r="Z837" i="2"/>
  <c r="Z905" i="2"/>
  <c r="X837" i="2"/>
  <c r="X927" i="2"/>
  <c r="AA968" i="2"/>
  <c r="AB850" i="2"/>
  <c r="AA23" i="2"/>
  <c r="BI836" i="2"/>
  <c r="BH1043" i="2"/>
  <c r="BI845" i="2"/>
  <c r="BH850" i="2"/>
  <c r="BH818" i="2"/>
  <c r="BI818" i="2" s="1"/>
  <c r="BH22" i="2"/>
  <c r="BI22" i="2" s="1"/>
  <c r="BD939" i="2"/>
  <c r="BE939" i="2" s="1"/>
  <c r="BD927" i="2"/>
  <c r="BE927" i="2" s="1"/>
  <c r="BD906" i="2"/>
  <c r="BE906" i="2" s="1"/>
  <c r="BD905" i="2"/>
  <c r="BE905" i="2" s="1"/>
  <c r="BD848" i="2"/>
  <c r="BE848" i="2" s="1"/>
  <c r="BE731" i="2"/>
  <c r="BD837" i="2"/>
  <c r="BE837" i="2" s="1"/>
  <c r="AW664" i="2"/>
  <c r="AX664" i="2" s="1"/>
  <c r="AW540" i="2"/>
  <c r="AX536" i="2"/>
  <c r="AB848" i="2"/>
  <c r="AB939" i="2"/>
  <c r="AT683" i="2"/>
  <c r="AD848" i="2"/>
  <c r="AD939" i="2"/>
  <c r="AP852" i="2"/>
  <c r="AO711" i="2"/>
  <c r="AO24" i="2"/>
  <c r="AP24" i="2" s="1"/>
  <c r="AH848" i="2"/>
  <c r="AH939" i="2"/>
  <c r="BQ397" i="2"/>
  <c r="BP526" i="2"/>
  <c r="AA92" i="2"/>
  <c r="AC84" i="2"/>
  <c r="AA91" i="2"/>
  <c r="AB90" i="2"/>
  <c r="Y190" i="2"/>
  <c r="Z190" i="2" s="1"/>
  <c r="Y189" i="2"/>
  <c r="Z189" i="2" s="1"/>
  <c r="Z161" i="2"/>
  <c r="Y191" i="2"/>
  <c r="Z191" i="2" s="1"/>
  <c r="Y192" i="2"/>
  <c r="Z192" i="2" s="1"/>
  <c r="Y193" i="2"/>
  <c r="Z193" i="2" s="1"/>
  <c r="BF161" i="2"/>
  <c r="Z68" i="2"/>
  <c r="Y70" i="2"/>
  <c r="Z70" i="2" s="1"/>
  <c r="Z22" i="2"/>
  <c r="Y968" i="2"/>
  <c r="Z850" i="2"/>
  <c r="Y23" i="2"/>
  <c r="Z23" i="2" s="1"/>
  <c r="X738" i="2"/>
  <c r="BT946" i="2"/>
  <c r="BU946" i="2" s="1"/>
  <c r="BU842" i="2"/>
  <c r="BT847" i="2"/>
  <c r="BV842" i="2"/>
  <c r="AJ818" i="2"/>
  <c r="AJ836" i="2"/>
  <c r="AJ904" i="2"/>
  <c r="AN837" i="2"/>
  <c r="S968" i="2"/>
  <c r="T850" i="2"/>
  <c r="S23" i="2"/>
  <c r="T23" i="2" s="1"/>
  <c r="AH22" i="2"/>
  <c r="AG968" i="2"/>
  <c r="AH850" i="2"/>
  <c r="AG23" i="2"/>
  <c r="BB588" i="2"/>
  <c r="BC588" i="2" s="1"/>
  <c r="BC587" i="2"/>
  <c r="BB589" i="2"/>
  <c r="BC589" i="2" s="1"/>
  <c r="BD588" i="2"/>
  <c r="BE587" i="2"/>
  <c r="BD589" i="2"/>
  <c r="BG587" i="2"/>
  <c r="AD818" i="2"/>
  <c r="BN977" i="2"/>
  <c r="BO977" i="2" s="1"/>
  <c r="BN632" i="2"/>
  <c r="BN503" i="2"/>
  <c r="BO503" i="2" s="1"/>
  <c r="BN529" i="2"/>
  <c r="BN500" i="2"/>
  <c r="BO494" i="2"/>
  <c r="BN12" i="2"/>
  <c r="BO12" i="2" s="1"/>
  <c r="AB49" i="2"/>
  <c r="AA50" i="2"/>
  <c r="AB50" i="2" s="1"/>
  <c r="AM712" i="2"/>
  <c r="AM733" i="2"/>
  <c r="BS727" i="2"/>
  <c r="BR846" i="2"/>
  <c r="BS846" i="2" s="1"/>
  <c r="BR730" i="2"/>
  <c r="BS730" i="2" s="1"/>
  <c r="BV259" i="2"/>
  <c r="BU259" i="2"/>
  <c r="BJ1043" i="2"/>
  <c r="BJ850" i="2"/>
  <c r="BK845" i="2"/>
  <c r="BJ22" i="2"/>
  <c r="BK22" i="2" s="1"/>
  <c r="BJ818" i="2"/>
  <c r="BK818" i="2" s="1"/>
  <c r="BP524" i="2"/>
  <c r="BQ483" i="2"/>
  <c r="BQ305" i="2"/>
  <c r="BP294" i="2"/>
  <c r="BQ294" i="2" s="1"/>
  <c r="AB852" i="2"/>
  <c r="AA711" i="2"/>
  <c r="AA24" i="2"/>
  <c r="L20" i="2"/>
  <c r="K21" i="2"/>
  <c r="T20" i="2"/>
  <c r="Z906" i="2"/>
  <c r="N589" i="2"/>
  <c r="V589" i="2"/>
  <c r="X905" i="2"/>
  <c r="I21" i="2"/>
  <c r="J20" i="2"/>
  <c r="BI903" i="2"/>
  <c r="BD1043" i="2"/>
  <c r="BE845" i="2"/>
  <c r="BD850" i="2"/>
  <c r="BD818" i="2"/>
  <c r="BE818" i="2" s="1"/>
  <c r="BD22" i="2"/>
  <c r="BE22" i="2" s="1"/>
  <c r="O211" i="2"/>
  <c r="O217" i="2"/>
  <c r="P204" i="2"/>
  <c r="O216" i="2"/>
  <c r="P216" i="2" s="1"/>
  <c r="M21" i="2"/>
  <c r="N20" i="2"/>
  <c r="V20" i="2"/>
  <c r="BM665" i="2"/>
  <c r="AF852" i="2"/>
  <c r="AE711" i="2"/>
  <c r="AN711" i="2" s="1"/>
  <c r="AE24" i="2"/>
  <c r="AF24" i="2" s="1"/>
  <c r="BO524" i="2"/>
  <c r="AL852" i="2"/>
  <c r="AK711" i="2"/>
  <c r="AK24" i="2"/>
  <c r="AL738" i="2"/>
  <c r="AX665" i="2"/>
  <c r="AW682" i="2"/>
  <c r="AW650" i="2"/>
  <c r="AX650" i="2" s="1"/>
  <c r="AX629" i="2"/>
  <c r="AB837" i="2"/>
  <c r="AB927" i="2"/>
  <c r="AU696" i="2"/>
  <c r="AV696" i="2" s="1"/>
  <c r="AV682" i="2"/>
  <c r="AU683" i="2"/>
  <c r="AU685" i="2" s="1"/>
  <c r="AD837" i="2"/>
  <c r="AD905" i="2"/>
  <c r="AO968" i="2"/>
  <c r="AP850" i="2"/>
  <c r="AO23" i="2"/>
  <c r="AP23" i="2" s="1"/>
  <c r="AH837" i="2"/>
  <c r="AH905" i="2"/>
  <c r="BS404" i="2"/>
  <c r="BT404" i="2"/>
  <c r="BR397" i="2"/>
  <c r="AA170" i="2"/>
  <c r="AB170" i="2" s="1"/>
  <c r="AA169" i="2"/>
  <c r="AB169" i="2" s="1"/>
  <c r="AA161" i="2"/>
  <c r="AB154" i="2"/>
  <c r="AA172" i="2"/>
  <c r="AA159" i="2"/>
  <c r="AA171" i="2"/>
  <c r="AB171" i="2" s="1"/>
  <c r="Y75" i="2"/>
  <c r="Z75" i="2" s="1"/>
  <c r="Z74" i="2"/>
  <c r="Z818" i="2"/>
  <c r="Z836" i="2"/>
  <c r="Z904" i="2"/>
  <c r="X22" i="2"/>
  <c r="W968" i="2"/>
  <c r="X850" i="2"/>
  <c r="W23" i="2"/>
  <c r="X23" i="2" s="1"/>
  <c r="AJ852" i="2"/>
  <c r="AI711" i="2"/>
  <c r="AI24" i="2"/>
  <c r="AJ24" i="2" s="1"/>
  <c r="AF738" i="2"/>
  <c r="AB234" i="2"/>
  <c r="AB235" i="2"/>
  <c r="BR395" i="2"/>
  <c r="BS395" i="2" s="1"/>
  <c r="BS402" i="2"/>
  <c r="BT402" i="2"/>
  <c r="AX666" i="2"/>
  <c r="H20" i="2"/>
  <c r="G21" i="2"/>
  <c r="BR405" i="2"/>
  <c r="BS394" i="2"/>
  <c r="BR398" i="2"/>
  <c r="BV241" i="2"/>
  <c r="BU241" i="2"/>
  <c r="L589" i="2"/>
  <c r="T589" i="2"/>
  <c r="AH818" i="2"/>
  <c r="AH836" i="2"/>
  <c r="AH904" i="2"/>
  <c r="R589" i="2"/>
  <c r="BD948" i="2"/>
  <c r="BE705" i="2"/>
  <c r="BG705" i="2"/>
  <c r="AA42" i="2"/>
  <c r="AA41" i="2"/>
  <c r="AB40" i="2"/>
  <c r="AC34" i="2"/>
  <c r="BP525" i="2"/>
  <c r="BQ484" i="2"/>
  <c r="BV489" i="2"/>
  <c r="BU489" i="2"/>
  <c r="BT482" i="2"/>
  <c r="BF939" i="2"/>
  <c r="BG939" i="2" s="1"/>
  <c r="BF927" i="2"/>
  <c r="BG927" i="2" s="1"/>
  <c r="BF905" i="2"/>
  <c r="BG905" i="2" s="1"/>
  <c r="BF906" i="2"/>
  <c r="BG906" i="2" s="1"/>
  <c r="BG731" i="2"/>
  <c r="BF848" i="2"/>
  <c r="BG848" i="2" s="1"/>
  <c r="BF837" i="2"/>
  <c r="BG837" i="2" s="1"/>
  <c r="BQ523" i="2"/>
  <c r="BR686" i="2"/>
  <c r="BR655" i="2"/>
  <c r="BS655" i="2" s="1"/>
  <c r="BS633" i="2"/>
  <c r="AB270" i="2"/>
  <c r="AB271" i="2"/>
  <c r="Z927" i="2"/>
  <c r="N588" i="2"/>
  <c r="V588" i="2"/>
  <c r="X906" i="2"/>
  <c r="AN906" i="2"/>
  <c r="BV819" i="2"/>
  <c r="BU819" i="2"/>
  <c r="BH967" i="2"/>
  <c r="BH904" i="2"/>
  <c r="BI904" i="2" s="1"/>
  <c r="BH738" i="2"/>
  <c r="BI738" i="2" s="1"/>
  <c r="BI709" i="2"/>
  <c r="BH736" i="2"/>
  <c r="BI736" i="2" s="1"/>
  <c r="P852" i="2"/>
  <c r="O711" i="2"/>
  <c r="O24" i="2"/>
  <c r="P24" i="2" s="1"/>
  <c r="M364" i="2"/>
  <c r="M361" i="2"/>
  <c r="N361" i="2" s="1"/>
  <c r="M360" i="2"/>
  <c r="N360" i="2" s="1"/>
  <c r="N212" i="2"/>
  <c r="M365" i="2"/>
  <c r="N365" i="2" s="1"/>
  <c r="M366" i="2"/>
  <c r="N366" i="2" s="1"/>
  <c r="M359" i="2"/>
  <c r="M369" i="2"/>
  <c r="N369" i="2" s="1"/>
  <c r="BV608" i="2"/>
  <c r="BU608" i="2"/>
  <c r="BL959" i="2"/>
  <c r="BM959" i="2" s="1"/>
  <c r="BM957" i="2"/>
  <c r="AK968" i="2"/>
  <c r="AL850" i="2"/>
  <c r="AK23" i="2"/>
  <c r="AL23" i="2" s="1"/>
  <c r="AA302" i="2"/>
  <c r="AA866" i="2" s="1"/>
  <c r="AB866" i="2" s="1"/>
  <c r="AC292" i="2"/>
  <c r="AA300" i="2"/>
  <c r="AB299" i="2"/>
  <c r="R852" i="2"/>
  <c r="Q711" i="2"/>
  <c r="Q24" i="2"/>
  <c r="R24" i="2" s="1"/>
  <c r="AB905" i="2"/>
  <c r="Y289" i="2"/>
  <c r="Z289" i="2" s="1"/>
  <c r="Z288" i="2"/>
  <c r="BT394" i="2"/>
  <c r="BV401" i="2"/>
  <c r="BU401" i="2"/>
  <c r="BO860" i="2"/>
  <c r="BP860" i="2"/>
  <c r="AD906" i="2"/>
  <c r="D20" i="2"/>
  <c r="C21" i="2"/>
  <c r="AH906" i="2"/>
  <c r="V852" i="2"/>
  <c r="U711" i="2"/>
  <c r="U24" i="2"/>
  <c r="V24" i="2" s="1"/>
  <c r="BG42" i="2"/>
  <c r="BF68" i="2"/>
  <c r="BF67" i="2"/>
  <c r="BG67" i="2" s="1"/>
  <c r="BF72" i="2"/>
  <c r="BF73" i="2"/>
  <c r="BG73" i="2" s="1"/>
  <c r="BF74" i="2"/>
  <c r="BG74" i="2" s="1"/>
  <c r="BF69" i="2"/>
  <c r="BG69" i="2" s="1"/>
  <c r="BF78" i="2"/>
  <c r="BG78" i="2" s="1"/>
  <c r="BQ686" i="2"/>
  <c r="X818" i="2"/>
  <c r="X836" i="2"/>
  <c r="X904" i="2"/>
  <c r="AJ738" i="2"/>
  <c r="AE968" i="2"/>
  <c r="AF850" i="2"/>
  <c r="AE23" i="2"/>
  <c r="AF23" i="2" s="1"/>
  <c r="AB228" i="2"/>
  <c r="AC221" i="2"/>
  <c r="AA229" i="2"/>
  <c r="AA230" i="2"/>
  <c r="L588" i="2"/>
  <c r="T588" i="2"/>
  <c r="T852" i="2"/>
  <c r="S711" i="2"/>
  <c r="S24" i="2"/>
  <c r="T24" i="2" s="1"/>
  <c r="BB948" i="2"/>
  <c r="BC948" i="2" s="1"/>
  <c r="BC705" i="2"/>
  <c r="AD852" i="2"/>
  <c r="AC711" i="2"/>
  <c r="AC24" i="2"/>
  <c r="AD24" i="2" s="1"/>
  <c r="BP494" i="2" l="1"/>
  <c r="BR527" i="2"/>
  <c r="BS527" i="2" s="1"/>
  <c r="BS486" i="2"/>
  <c r="BR494" i="2"/>
  <c r="N359" i="2"/>
  <c r="M362" i="2"/>
  <c r="N362" i="2" s="1"/>
  <c r="T711" i="2"/>
  <c r="S712" i="2"/>
  <c r="S733" i="2"/>
  <c r="T733" i="2" s="1"/>
  <c r="AB230" i="2"/>
  <c r="BF70" i="2"/>
  <c r="BG70" i="2" s="1"/>
  <c r="BG68" i="2"/>
  <c r="BT405" i="2"/>
  <c r="BU394" i="2"/>
  <c r="BV394" i="2"/>
  <c r="AA191" i="2"/>
  <c r="AB191" i="2" s="1"/>
  <c r="AA190" i="2"/>
  <c r="AB190" i="2" s="1"/>
  <c r="AA189" i="2"/>
  <c r="AB189" i="2" s="1"/>
  <c r="AB161" i="2"/>
  <c r="AA192" i="2"/>
  <c r="AB192" i="2" s="1"/>
  <c r="AA193" i="2"/>
  <c r="AB193" i="2" s="1"/>
  <c r="BV404" i="2"/>
  <c r="BU404" i="2"/>
  <c r="BT397" i="2"/>
  <c r="P217" i="2"/>
  <c r="O218" i="2"/>
  <c r="P218" i="2" s="1"/>
  <c r="BD968" i="2"/>
  <c r="BE968" i="2" s="1"/>
  <c r="BE850" i="2"/>
  <c r="BD23" i="2"/>
  <c r="BE23" i="2" s="1"/>
  <c r="BQ524" i="2"/>
  <c r="BJ968" i="2"/>
  <c r="BK850" i="2"/>
  <c r="BJ23" i="2"/>
  <c r="BN629" i="2"/>
  <c r="BN539" i="2"/>
  <c r="BO539" i="2" s="1"/>
  <c r="BO529" i="2"/>
  <c r="BN538" i="2"/>
  <c r="BO538" i="2" s="1"/>
  <c r="BN536" i="2"/>
  <c r="BE588" i="2"/>
  <c r="BG588" i="2"/>
  <c r="AH23" i="2"/>
  <c r="AC96" i="2"/>
  <c r="AD96" i="2" s="1"/>
  <c r="AC90" i="2"/>
  <c r="AD84" i="2"/>
  <c r="AC99" i="2"/>
  <c r="AD99" i="2" s="1"/>
  <c r="AC97" i="2"/>
  <c r="AD97" i="2" s="1"/>
  <c r="AC98" i="2"/>
  <c r="AD98" i="2" s="1"/>
  <c r="BV15" i="2"/>
  <c r="BU15" i="2"/>
  <c r="BT686" i="2"/>
  <c r="BT655" i="2"/>
  <c r="BV633" i="2"/>
  <c r="BU633" i="2"/>
  <c r="BU490" i="2"/>
  <c r="BT483" i="2"/>
  <c r="BV490" i="2"/>
  <c r="BE20" i="2"/>
  <c r="BD21" i="2"/>
  <c r="BG20" i="2"/>
  <c r="BB21" i="2"/>
  <c r="BC20" i="2"/>
  <c r="AH24" i="2"/>
  <c r="BS523" i="2"/>
  <c r="Z283" i="2"/>
  <c r="BF283" i="2"/>
  <c r="BG283" i="2" s="1"/>
  <c r="BI837" i="2"/>
  <c r="BI905" i="2"/>
  <c r="AC271" i="2"/>
  <c r="AC272" i="2" s="1"/>
  <c r="AD272" i="2" s="1"/>
  <c r="AD257" i="2"/>
  <c r="AC264" i="2"/>
  <c r="AC270" i="2"/>
  <c r="BS667" i="2"/>
  <c r="BP687" i="2"/>
  <c r="BR688" i="2"/>
  <c r="BQ688" i="2"/>
  <c r="BL696" i="2"/>
  <c r="BM696" i="2" s="1"/>
  <c r="BM682" i="2"/>
  <c r="BF968" i="2"/>
  <c r="BG968" i="2" s="1"/>
  <c r="BG850" i="2"/>
  <c r="BF23" i="2"/>
  <c r="BG23" i="2" s="1"/>
  <c r="BG117" i="2"/>
  <c r="BF119" i="2"/>
  <c r="BG119" i="2" s="1"/>
  <c r="V711" i="2"/>
  <c r="U712" i="2"/>
  <c r="U733" i="2"/>
  <c r="V733" i="2" s="1"/>
  <c r="R711" i="2"/>
  <c r="Q712" i="2"/>
  <c r="Q733" i="2"/>
  <c r="R733" i="2" s="1"/>
  <c r="AC308" i="2"/>
  <c r="AC299" i="2"/>
  <c r="AD292" i="2"/>
  <c r="AC307" i="2"/>
  <c r="AD307" i="2" s="1"/>
  <c r="N364" i="2"/>
  <c r="M367" i="2"/>
  <c r="N367" i="2" s="1"/>
  <c r="BH985" i="2"/>
  <c r="BI967" i="2"/>
  <c r="AJ711" i="2"/>
  <c r="AI712" i="2"/>
  <c r="AI733" i="2"/>
  <c r="AC154" i="2"/>
  <c r="AA160" i="2"/>
  <c r="AB159" i="2"/>
  <c r="AV683" i="2"/>
  <c r="AW696" i="2"/>
  <c r="AX696" i="2" s="1"/>
  <c r="AX682" i="2"/>
  <c r="AW683" i="2"/>
  <c r="AW685" i="2" s="1"/>
  <c r="AL24" i="2"/>
  <c r="O212" i="2"/>
  <c r="P212" i="2" s="1"/>
  <c r="Q204" i="2"/>
  <c r="P211" i="2"/>
  <c r="AB24" i="2"/>
  <c r="AM832" i="2"/>
  <c r="BV847" i="2"/>
  <c r="BU847" i="2"/>
  <c r="AA117" i="2"/>
  <c r="AB92" i="2"/>
  <c r="AA121" i="2"/>
  <c r="AB121" i="2" s="1"/>
  <c r="AA118" i="2"/>
  <c r="AB118" i="2" s="1"/>
  <c r="AA122" i="2"/>
  <c r="AB122" i="2" s="1"/>
  <c r="AA116" i="2"/>
  <c r="AB116" i="2" s="1"/>
  <c r="AA123" i="2"/>
  <c r="AA127" i="2"/>
  <c r="AB127" i="2" s="1"/>
  <c r="BH968" i="2"/>
  <c r="BI968" i="2" s="1"/>
  <c r="BI850" i="2"/>
  <c r="BH23" i="2"/>
  <c r="BI23" i="2" s="1"/>
  <c r="AB23" i="2"/>
  <c r="AB248" i="2"/>
  <c r="AC253" i="2"/>
  <c r="AC254" i="2" s="1"/>
  <c r="AD254" i="2" s="1"/>
  <c r="AC246" i="2"/>
  <c r="AC252" i="2"/>
  <c r="AD239" i="2"/>
  <c r="BF985" i="2"/>
  <c r="BG967" i="2"/>
  <c r="AN24" i="2"/>
  <c r="BN957" i="2"/>
  <c r="BN665" i="2"/>
  <c r="BO414" i="2"/>
  <c r="BN418" i="2"/>
  <c r="BO418" i="2" s="1"/>
  <c r="AH711" i="2"/>
  <c r="AG712" i="2"/>
  <c r="AG733" i="2"/>
  <c r="Z24" i="2"/>
  <c r="BI906" i="2"/>
  <c r="AD23" i="2"/>
  <c r="BR294" i="2"/>
  <c r="BS294" i="2" s="1"/>
  <c r="BS305" i="2"/>
  <c r="BG818" i="2"/>
  <c r="BK738" i="2"/>
  <c r="BG121" i="2"/>
  <c r="BF124" i="2"/>
  <c r="BP977" i="2"/>
  <c r="BQ977" i="2" s="1"/>
  <c r="BP632" i="2"/>
  <c r="BP529" i="2"/>
  <c r="BP500" i="2"/>
  <c r="BQ494" i="2"/>
  <c r="BP503" i="2"/>
  <c r="BQ503" i="2" s="1"/>
  <c r="BP12" i="2"/>
  <c r="BQ12" i="2" s="1"/>
  <c r="AC228" i="2"/>
  <c r="AC235" i="2"/>
  <c r="AC236" i="2" s="1"/>
  <c r="AD236" i="2" s="1"/>
  <c r="AC234" i="2"/>
  <c r="AD221" i="2"/>
  <c r="BF75" i="2"/>
  <c r="BG75" i="2" s="1"/>
  <c r="BG72" i="2"/>
  <c r="BQ860" i="2"/>
  <c r="AB302" i="2"/>
  <c r="AA303" i="2"/>
  <c r="BT523" i="2"/>
  <c r="BV482" i="2"/>
  <c r="BU482" i="2"/>
  <c r="BQ525" i="2"/>
  <c r="AB42" i="2"/>
  <c r="AA67" i="2"/>
  <c r="AB67" i="2" s="1"/>
  <c r="AA72" i="2"/>
  <c r="AB72" i="2" s="1"/>
  <c r="AA68" i="2"/>
  <c r="AA69" i="2"/>
  <c r="AB69" i="2" s="1"/>
  <c r="AA74" i="2"/>
  <c r="AA73" i="2"/>
  <c r="AB73" i="2" s="1"/>
  <c r="AA78" i="2"/>
  <c r="AB78" i="2" s="1"/>
  <c r="BE948" i="2"/>
  <c r="BG948" i="2"/>
  <c r="BV402" i="2"/>
  <c r="BU402" i="2"/>
  <c r="BT395" i="2"/>
  <c r="AA173" i="2"/>
  <c r="AB173" i="2" s="1"/>
  <c r="AB172" i="2"/>
  <c r="AL711" i="2"/>
  <c r="AK712" i="2"/>
  <c r="AK733" i="2"/>
  <c r="AB711" i="2"/>
  <c r="AA712" i="2"/>
  <c r="AA733" i="2"/>
  <c r="AB733" i="2" s="1"/>
  <c r="BN653" i="2"/>
  <c r="BO653" i="2" s="1"/>
  <c r="BO632" i="2"/>
  <c r="BE589" i="2"/>
  <c r="BG589" i="2"/>
  <c r="BQ526" i="2"/>
  <c r="AN23" i="2"/>
  <c r="BT960" i="2"/>
  <c r="BU960" i="2" s="1"/>
  <c r="BT667" i="2"/>
  <c r="BV568" i="2"/>
  <c r="BU568" i="2"/>
  <c r="BR524" i="2"/>
  <c r="BS483" i="2"/>
  <c r="BV491" i="2"/>
  <c r="BU491" i="2"/>
  <c r="BT484" i="2"/>
  <c r="BO13" i="2"/>
  <c r="BN14" i="2"/>
  <c r="BO14" i="2" s="1"/>
  <c r="BN651" i="2"/>
  <c r="BO651" i="2" s="1"/>
  <c r="BO630" i="2"/>
  <c r="X24" i="2"/>
  <c r="BT396" i="2"/>
  <c r="BV403" i="2"/>
  <c r="BU403" i="2"/>
  <c r="Z711" i="2"/>
  <c r="Y712" i="2"/>
  <c r="Y733" i="2"/>
  <c r="Z733" i="2" s="1"/>
  <c r="BI927" i="2"/>
  <c r="AB266" i="2"/>
  <c r="BG22" i="2"/>
  <c r="BT846" i="2"/>
  <c r="BU727" i="2"/>
  <c r="BT730" i="2"/>
  <c r="BV727" i="2"/>
  <c r="BK904" i="2"/>
  <c r="AD711" i="2"/>
  <c r="AC712" i="2"/>
  <c r="AC733" i="2"/>
  <c r="AD733" i="2" s="1"/>
  <c r="P711" i="2"/>
  <c r="O712" i="2"/>
  <c r="O733" i="2"/>
  <c r="P733" i="2" s="1"/>
  <c r="BS686" i="2"/>
  <c r="AC47" i="2"/>
  <c r="AD47" i="2" s="1"/>
  <c r="AC46" i="2"/>
  <c r="AD46" i="2" s="1"/>
  <c r="AC40" i="2"/>
  <c r="AD34" i="2"/>
  <c r="AC49" i="2"/>
  <c r="AC48" i="2"/>
  <c r="AD48" i="2" s="1"/>
  <c r="BS398" i="2"/>
  <c r="BR407" i="2"/>
  <c r="BS397" i="2"/>
  <c r="BR526" i="2"/>
  <c r="AV685" i="2"/>
  <c r="AF711" i="2"/>
  <c r="AE712" i="2"/>
  <c r="AE733" i="2"/>
  <c r="BN958" i="2"/>
  <c r="BO958" i="2" s="1"/>
  <c r="BN666" i="2"/>
  <c r="BO500" i="2"/>
  <c r="BN504" i="2"/>
  <c r="BO504" i="2" s="1"/>
  <c r="BG161" i="2"/>
  <c r="BF191" i="2"/>
  <c r="BG191" i="2" s="1"/>
  <c r="BF192" i="2"/>
  <c r="BG192" i="2" s="1"/>
  <c r="BF189" i="2"/>
  <c r="BG189" i="2" s="1"/>
  <c r="BF190" i="2"/>
  <c r="BG190" i="2" s="1"/>
  <c r="BF193" i="2"/>
  <c r="AP711" i="2"/>
  <c r="AO712" i="2"/>
  <c r="AO733" i="2"/>
  <c r="AP733" i="2" s="1"/>
  <c r="BR525" i="2"/>
  <c r="BR860" i="2" s="1"/>
  <c r="BS484" i="2"/>
  <c r="BN978" i="2"/>
  <c r="BO978" i="2" s="1"/>
  <c r="BO976" i="2"/>
  <c r="AJ23" i="2"/>
  <c r="X711" i="2"/>
  <c r="W712" i="2"/>
  <c r="W733" i="2"/>
  <c r="X733" i="2" s="1"/>
  <c r="AA282" i="2"/>
  <c r="AB275" i="2"/>
  <c r="AA288" i="2"/>
  <c r="AA287" i="2"/>
  <c r="AB287" i="2" s="1"/>
  <c r="BD985" i="2"/>
  <c r="BE985" i="2" s="1"/>
  <c r="BE967" i="2"/>
  <c r="BI848" i="2"/>
  <c r="BI939" i="2"/>
  <c r="BO687" i="2"/>
  <c r="BN689" i="2"/>
  <c r="BO689" i="2" s="1"/>
  <c r="BU285" i="2"/>
  <c r="BT305" i="2"/>
  <c r="BV285" i="2"/>
  <c r="BT277" i="2"/>
  <c r="Y349" i="2"/>
  <c r="Z349" i="2" s="1"/>
  <c r="Z346" i="2"/>
  <c r="BP976" i="2"/>
  <c r="BP630" i="2"/>
  <c r="BP417" i="2"/>
  <c r="BQ417" i="2" s="1"/>
  <c r="BP414" i="2"/>
  <c r="BQ407" i="2"/>
  <c r="BP13" i="2"/>
  <c r="BK736" i="2"/>
  <c r="BJ985" i="2"/>
  <c r="BK985" i="2" s="1"/>
  <c r="BK967" i="2"/>
  <c r="U47" i="178"/>
  <c r="R67" i="178"/>
  <c r="Q67" i="178"/>
  <c r="P67" i="178"/>
  <c r="O67" i="178"/>
  <c r="R66" i="178"/>
  <c r="Q66" i="178"/>
  <c r="P66" i="178"/>
  <c r="O66" i="178"/>
  <c r="K67" i="178"/>
  <c r="J67" i="178"/>
  <c r="I67" i="178"/>
  <c r="H67" i="178"/>
  <c r="G67" i="178"/>
  <c r="F67" i="178"/>
  <c r="E67" i="178"/>
  <c r="D67" i="178"/>
  <c r="C67" i="178"/>
  <c r="B67" i="178"/>
  <c r="K66" i="178"/>
  <c r="J66" i="178"/>
  <c r="I66" i="178"/>
  <c r="H66" i="178"/>
  <c r="G66" i="178"/>
  <c r="F66" i="178"/>
  <c r="E66" i="178"/>
  <c r="D66" i="178"/>
  <c r="C66" i="178"/>
  <c r="B66" i="178"/>
  <c r="W53" i="178"/>
  <c r="V53" i="178"/>
  <c r="U53" i="178"/>
  <c r="T53" i="178"/>
  <c r="S53" i="178"/>
  <c r="R53" i="178"/>
  <c r="Q53" i="178"/>
  <c r="P53" i="178"/>
  <c r="T51" i="178"/>
  <c r="S51" i="178"/>
  <c r="V50" i="178"/>
  <c r="U50" i="178"/>
  <c r="T50" i="178"/>
  <c r="S50" i="178"/>
  <c r="R50" i="178"/>
  <c r="Q50" i="178"/>
  <c r="P50" i="178"/>
  <c r="R49" i="178"/>
  <c r="Q49" i="178"/>
  <c r="P49" i="178"/>
  <c r="S47" i="178"/>
  <c r="U46" i="178"/>
  <c r="T46" i="178"/>
  <c r="S46" i="178"/>
  <c r="U45" i="178"/>
  <c r="T45" i="178"/>
  <c r="S45" i="178"/>
  <c r="R46" i="178"/>
  <c r="Q46" i="178"/>
  <c r="P46" i="178"/>
  <c r="O46" i="178"/>
  <c r="R45" i="178"/>
  <c r="Q45" i="178"/>
  <c r="P45" i="178"/>
  <c r="O45" i="178"/>
  <c r="U44" i="178"/>
  <c r="T44" i="178"/>
  <c r="S44" i="178"/>
  <c r="R44" i="178"/>
  <c r="Q44" i="178"/>
  <c r="P44" i="178"/>
  <c r="O44" i="178"/>
  <c r="K46" i="178"/>
  <c r="J46" i="178"/>
  <c r="I46" i="178"/>
  <c r="H46" i="178"/>
  <c r="G46" i="178"/>
  <c r="F46" i="178"/>
  <c r="E46" i="178"/>
  <c r="D46" i="178"/>
  <c r="C46" i="178"/>
  <c r="B46" i="178"/>
  <c r="M45" i="178"/>
  <c r="L45" i="178"/>
  <c r="K45" i="178"/>
  <c r="J45" i="178"/>
  <c r="I45" i="178"/>
  <c r="H45" i="178"/>
  <c r="G45" i="178"/>
  <c r="F45" i="178"/>
  <c r="E45" i="178"/>
  <c r="D45" i="178"/>
  <c r="C45" i="178"/>
  <c r="B45" i="178"/>
  <c r="M44" i="178"/>
  <c r="L44" i="178"/>
  <c r="K44" i="178"/>
  <c r="J44" i="178"/>
  <c r="I44" i="178"/>
  <c r="H44" i="178"/>
  <c r="G44" i="178"/>
  <c r="F44" i="178"/>
  <c r="E44" i="178"/>
  <c r="D44" i="178"/>
  <c r="C44" i="178"/>
  <c r="B44" i="178"/>
  <c r="U41" i="178"/>
  <c r="T41" i="178"/>
  <c r="S41" i="178"/>
  <c r="R41" i="178"/>
  <c r="Q41" i="178"/>
  <c r="P41" i="178"/>
  <c r="O41" i="178"/>
  <c r="M41" i="178"/>
  <c r="L41" i="178"/>
  <c r="K41" i="178"/>
  <c r="J41" i="178"/>
  <c r="I41" i="178"/>
  <c r="H41" i="178"/>
  <c r="G41" i="178"/>
  <c r="F41" i="178"/>
  <c r="E41" i="178"/>
  <c r="D41" i="178"/>
  <c r="C41" i="178"/>
  <c r="B41" i="178"/>
  <c r="T39" i="178"/>
  <c r="S39" i="178"/>
  <c r="U38" i="178"/>
  <c r="T38" i="178"/>
  <c r="S38" i="178"/>
  <c r="R38" i="178"/>
  <c r="Q38" i="178"/>
  <c r="P38" i="178"/>
  <c r="O38" i="178"/>
  <c r="U37" i="178"/>
  <c r="T37" i="178"/>
  <c r="S37" i="178"/>
  <c r="R37" i="178"/>
  <c r="Q37" i="178"/>
  <c r="P37" i="178"/>
  <c r="O37" i="178"/>
  <c r="M38" i="178"/>
  <c r="L38" i="178"/>
  <c r="K38" i="178"/>
  <c r="J38" i="178"/>
  <c r="I38" i="178"/>
  <c r="H38" i="178"/>
  <c r="G38" i="178"/>
  <c r="F38" i="178"/>
  <c r="E38" i="178"/>
  <c r="D38" i="178"/>
  <c r="C38" i="178"/>
  <c r="B38" i="178"/>
  <c r="M37" i="178"/>
  <c r="L37" i="178"/>
  <c r="K37" i="178"/>
  <c r="J37" i="178"/>
  <c r="I37" i="178"/>
  <c r="H37" i="178"/>
  <c r="G37" i="178"/>
  <c r="F37" i="178"/>
  <c r="E37" i="178"/>
  <c r="D37" i="178"/>
  <c r="C37" i="178"/>
  <c r="B37" i="178"/>
  <c r="U34" i="178"/>
  <c r="T34" i="178"/>
  <c r="S34" i="178"/>
  <c r="R34" i="178"/>
  <c r="Q34" i="178"/>
  <c r="P34" i="178"/>
  <c r="O34" i="178"/>
  <c r="M34" i="178"/>
  <c r="L34" i="178"/>
  <c r="K34" i="178"/>
  <c r="J34" i="178"/>
  <c r="I34" i="178"/>
  <c r="H34" i="178"/>
  <c r="G34" i="178"/>
  <c r="F34" i="178"/>
  <c r="E34" i="178"/>
  <c r="D34" i="178"/>
  <c r="C34" i="178"/>
  <c r="B34" i="178"/>
  <c r="U32" i="178"/>
  <c r="T32" i="178"/>
  <c r="S32" i="178"/>
  <c r="X31" i="178"/>
  <c r="W31" i="178"/>
  <c r="V31" i="178"/>
  <c r="U31" i="178"/>
  <c r="T31" i="178"/>
  <c r="S31" i="178"/>
  <c r="R31" i="178"/>
  <c r="Q31" i="178"/>
  <c r="P31" i="178"/>
  <c r="O31" i="178"/>
  <c r="M31" i="178"/>
  <c r="L31" i="178"/>
  <c r="K31" i="178"/>
  <c r="J31" i="178"/>
  <c r="I31" i="178"/>
  <c r="H31" i="178"/>
  <c r="G31" i="178"/>
  <c r="F31" i="178"/>
  <c r="E31" i="178"/>
  <c r="D31" i="178"/>
  <c r="C31" i="178"/>
  <c r="B31" i="178"/>
  <c r="U29" i="178"/>
  <c r="T29" i="178"/>
  <c r="S29" i="178"/>
  <c r="R29" i="178"/>
  <c r="Q29" i="178"/>
  <c r="P29" i="178"/>
  <c r="O29" i="178"/>
  <c r="U28" i="178"/>
  <c r="T28" i="178"/>
  <c r="S28" i="178"/>
  <c r="R28" i="178"/>
  <c r="Q28" i="178"/>
  <c r="P28" i="178"/>
  <c r="O28" i="178"/>
  <c r="M29" i="178"/>
  <c r="L29" i="178"/>
  <c r="K29" i="178"/>
  <c r="J29" i="178"/>
  <c r="I29" i="178"/>
  <c r="H29" i="178"/>
  <c r="G29" i="178"/>
  <c r="F29" i="178"/>
  <c r="E29" i="178"/>
  <c r="D29" i="178"/>
  <c r="C29" i="178"/>
  <c r="B29" i="178"/>
  <c r="M28" i="178"/>
  <c r="L28" i="178"/>
  <c r="K28" i="178"/>
  <c r="J28" i="178"/>
  <c r="I28" i="178"/>
  <c r="H28" i="178"/>
  <c r="G28" i="178"/>
  <c r="F28" i="178"/>
  <c r="E28" i="178"/>
  <c r="D28" i="178"/>
  <c r="C28" i="178"/>
  <c r="B28" i="178"/>
  <c r="X25" i="178"/>
  <c r="W25" i="178"/>
  <c r="V25" i="178"/>
  <c r="U25" i="178"/>
  <c r="T25" i="178"/>
  <c r="S25" i="178"/>
  <c r="R25" i="178"/>
  <c r="Q25" i="178"/>
  <c r="P25" i="178"/>
  <c r="O25" i="178"/>
  <c r="M25" i="178"/>
  <c r="L25" i="178"/>
  <c r="K25" i="178"/>
  <c r="J25" i="178"/>
  <c r="I25" i="178"/>
  <c r="H25" i="178"/>
  <c r="G25" i="178"/>
  <c r="F25" i="178"/>
  <c r="E25" i="178"/>
  <c r="D25" i="178"/>
  <c r="C25" i="178"/>
  <c r="B25" i="178"/>
  <c r="U23" i="178"/>
  <c r="T23" i="178"/>
  <c r="S23" i="178"/>
  <c r="U22" i="178"/>
  <c r="T22" i="178"/>
  <c r="S22" i="178"/>
  <c r="R22" i="178"/>
  <c r="Q22" i="178"/>
  <c r="P22" i="178"/>
  <c r="O22" i="178"/>
  <c r="U21" i="178"/>
  <c r="T21" i="178"/>
  <c r="S21" i="178"/>
  <c r="R21" i="178"/>
  <c r="Q21" i="178"/>
  <c r="P21" i="178"/>
  <c r="O21" i="178"/>
  <c r="M22" i="178"/>
  <c r="L22" i="178"/>
  <c r="K22" i="178"/>
  <c r="J22" i="178"/>
  <c r="I22" i="178"/>
  <c r="H22" i="178"/>
  <c r="G22" i="178"/>
  <c r="F22" i="178"/>
  <c r="E22" i="178"/>
  <c r="D22" i="178"/>
  <c r="C22" i="178"/>
  <c r="B22" i="178"/>
  <c r="M21" i="178"/>
  <c r="L21" i="178"/>
  <c r="K21" i="178"/>
  <c r="J21" i="178"/>
  <c r="I21" i="178"/>
  <c r="H21" i="178"/>
  <c r="G21" i="178"/>
  <c r="F21" i="178"/>
  <c r="E21" i="178"/>
  <c r="D21" i="178"/>
  <c r="C21" i="178"/>
  <c r="B21" i="178"/>
  <c r="X18" i="178"/>
  <c r="W18" i="178"/>
  <c r="V18" i="178"/>
  <c r="U18" i="178"/>
  <c r="T18" i="178"/>
  <c r="S18" i="178"/>
  <c r="R18" i="178"/>
  <c r="Q18" i="178"/>
  <c r="P18" i="178"/>
  <c r="O18" i="178"/>
  <c r="M18" i="178"/>
  <c r="L18" i="178"/>
  <c r="K18" i="178"/>
  <c r="J18" i="178"/>
  <c r="I18" i="178"/>
  <c r="H18" i="178"/>
  <c r="G18" i="178"/>
  <c r="F18" i="178"/>
  <c r="E18" i="178"/>
  <c r="D18" i="178"/>
  <c r="C18" i="178"/>
  <c r="B18" i="178"/>
  <c r="U16" i="178"/>
  <c r="T16" i="178"/>
  <c r="S16" i="178"/>
  <c r="U15" i="178"/>
  <c r="T15" i="178"/>
  <c r="S15" i="178"/>
  <c r="R15" i="178"/>
  <c r="Q15" i="178"/>
  <c r="P15" i="178"/>
  <c r="O15" i="178"/>
  <c r="U14" i="178"/>
  <c r="T14" i="178"/>
  <c r="S14" i="178"/>
  <c r="R14" i="178"/>
  <c r="Q14" i="178"/>
  <c r="P14" i="178"/>
  <c r="O14" i="178"/>
  <c r="M15" i="178"/>
  <c r="L15" i="178"/>
  <c r="K15" i="178"/>
  <c r="J15" i="178"/>
  <c r="I15" i="178"/>
  <c r="H15" i="178"/>
  <c r="G15" i="178"/>
  <c r="F15" i="178"/>
  <c r="E15" i="178"/>
  <c r="D15" i="178"/>
  <c r="C15" i="178"/>
  <c r="B15" i="178"/>
  <c r="M14" i="178"/>
  <c r="L14" i="178"/>
  <c r="K14" i="178"/>
  <c r="J14" i="178"/>
  <c r="I14" i="178"/>
  <c r="H14" i="178"/>
  <c r="G14" i="178"/>
  <c r="F14" i="178"/>
  <c r="E14" i="178"/>
  <c r="D14" i="178"/>
  <c r="C14" i="178"/>
  <c r="B14" i="178"/>
  <c r="U11" i="178"/>
  <c r="T11" i="178"/>
  <c r="S11" i="178"/>
  <c r="R11" i="178"/>
  <c r="Q11" i="178"/>
  <c r="P11" i="178"/>
  <c r="O11" i="178"/>
  <c r="M11" i="178"/>
  <c r="L11" i="178"/>
  <c r="K11" i="178"/>
  <c r="J11" i="178"/>
  <c r="I11" i="178"/>
  <c r="H11" i="178"/>
  <c r="G11" i="178"/>
  <c r="F11" i="178"/>
  <c r="E11" i="178"/>
  <c r="D11" i="178"/>
  <c r="C11" i="178"/>
  <c r="B11" i="178"/>
  <c r="T9" i="178"/>
  <c r="S9" i="178"/>
  <c r="U8" i="178"/>
  <c r="T8" i="178"/>
  <c r="S8" i="178"/>
  <c r="R8" i="178"/>
  <c r="Q8" i="178"/>
  <c r="P8" i="178"/>
  <c r="O8" i="178"/>
  <c r="U7" i="178"/>
  <c r="T7" i="178"/>
  <c r="S7" i="178"/>
  <c r="R7" i="178"/>
  <c r="Q7" i="178"/>
  <c r="P7" i="178"/>
  <c r="O7" i="178"/>
  <c r="M8" i="178"/>
  <c r="L8" i="178"/>
  <c r="K8" i="178"/>
  <c r="J8" i="178"/>
  <c r="I8" i="178"/>
  <c r="H8" i="178"/>
  <c r="G8" i="178"/>
  <c r="F8" i="178"/>
  <c r="E8" i="178"/>
  <c r="D8" i="178"/>
  <c r="C8" i="178"/>
  <c r="B8" i="178"/>
  <c r="M7" i="178"/>
  <c r="L7" i="178"/>
  <c r="K7" i="178"/>
  <c r="J7" i="178"/>
  <c r="I7" i="178"/>
  <c r="H7" i="178"/>
  <c r="G7" i="178"/>
  <c r="F7" i="178"/>
  <c r="E7" i="178"/>
  <c r="D7" i="178"/>
  <c r="C7" i="178"/>
  <c r="B7" i="178"/>
  <c r="U4" i="178"/>
  <c r="T4" i="178"/>
  <c r="S4" i="178"/>
  <c r="R4" i="178"/>
  <c r="Q4" i="178"/>
  <c r="P4" i="178"/>
  <c r="O4" i="178"/>
  <c r="M4" i="178"/>
  <c r="L4" i="178"/>
  <c r="K4" i="178"/>
  <c r="J4" i="178"/>
  <c r="I4" i="178"/>
  <c r="H4" i="178"/>
  <c r="G4" i="178"/>
  <c r="F4" i="178"/>
  <c r="E4" i="178"/>
  <c r="D4" i="178"/>
  <c r="C4" i="178"/>
  <c r="B4" i="178"/>
  <c r="X2" i="178"/>
  <c r="W2" i="178"/>
  <c r="V2" i="178"/>
  <c r="AF733" i="2" l="1"/>
  <c r="BS860" i="2"/>
  <c r="BP957" i="2"/>
  <c r="BP665" i="2"/>
  <c r="BP418" i="2"/>
  <c r="BQ418" i="2" s="1"/>
  <c r="BQ414" i="2"/>
  <c r="AE832" i="2"/>
  <c r="AF712" i="2"/>
  <c r="BS526" i="2"/>
  <c r="AC832" i="2"/>
  <c r="AD712" i="2"/>
  <c r="AA832" i="2"/>
  <c r="BH712" i="2"/>
  <c r="AB712" i="2"/>
  <c r="AB68" i="2"/>
  <c r="AA70" i="2"/>
  <c r="AB70" i="2" s="1"/>
  <c r="AC229" i="2"/>
  <c r="AD228" i="2"/>
  <c r="AE221" i="2"/>
  <c r="AC230" i="2"/>
  <c r="BP958" i="2"/>
  <c r="BQ958" i="2" s="1"/>
  <c r="BP666" i="2"/>
  <c r="BP504" i="2"/>
  <c r="BQ504" i="2" s="1"/>
  <c r="BQ500" i="2"/>
  <c r="BF125" i="2"/>
  <c r="BG124" i="2"/>
  <c r="BG125" i="2" s="1"/>
  <c r="BN959" i="2"/>
  <c r="BO959" i="2" s="1"/>
  <c r="BO957" i="2"/>
  <c r="AD253" i="2"/>
  <c r="AD252" i="2"/>
  <c r="AX683" i="2"/>
  <c r="AC159" i="2"/>
  <c r="AC172" i="2"/>
  <c r="AC171" i="2"/>
  <c r="AD171" i="2" s="1"/>
  <c r="AC170" i="2"/>
  <c r="AD170" i="2" s="1"/>
  <c r="AC169" i="2"/>
  <c r="AD169" i="2" s="1"/>
  <c r="AD154" i="2"/>
  <c r="U832" i="2"/>
  <c r="V712" i="2"/>
  <c r="AD271" i="2"/>
  <c r="AD270" i="2"/>
  <c r="BV686" i="2"/>
  <c r="BU686" i="2"/>
  <c r="BN664" i="2"/>
  <c r="BO664" i="2" s="1"/>
  <c r="BN540" i="2"/>
  <c r="BO536" i="2"/>
  <c r="BN682" i="2"/>
  <c r="BO629" i="2"/>
  <c r="BN650" i="2"/>
  <c r="BO650" i="2" s="1"/>
  <c r="BK968" i="2"/>
  <c r="BV397" i="2"/>
  <c r="BU397" i="2"/>
  <c r="BT526" i="2"/>
  <c r="BV305" i="2"/>
  <c r="BU305" i="2"/>
  <c r="BT294" i="2"/>
  <c r="AB282" i="2"/>
  <c r="AC275" i="2"/>
  <c r="AA283" i="2"/>
  <c r="BS525" i="2"/>
  <c r="BF194" i="2"/>
  <c r="BG193" i="2"/>
  <c r="BG194" i="2" s="1"/>
  <c r="BO666" i="2"/>
  <c r="AC50" i="2"/>
  <c r="AD50" i="2" s="1"/>
  <c r="AD49" i="2"/>
  <c r="O832" i="2"/>
  <c r="P712" i="2"/>
  <c r="BD712" i="2"/>
  <c r="BU730" i="2"/>
  <c r="BV730" i="2"/>
  <c r="Y832" i="2"/>
  <c r="Z712" i="2"/>
  <c r="BU396" i="2"/>
  <c r="BV396" i="2"/>
  <c r="AD235" i="2"/>
  <c r="AD234" i="2"/>
  <c r="BP629" i="2"/>
  <c r="BP536" i="2"/>
  <c r="BP539" i="2"/>
  <c r="BQ539" i="2" s="1"/>
  <c r="BP538" i="2"/>
  <c r="BQ538" i="2" s="1"/>
  <c r="BQ529" i="2"/>
  <c r="AN712" i="2"/>
  <c r="R204" i="2"/>
  <c r="Q211" i="2"/>
  <c r="Q217" i="2"/>
  <c r="Q216" i="2"/>
  <c r="R216" i="2" s="1"/>
  <c r="AX685" i="2"/>
  <c r="AJ733" i="2"/>
  <c r="BI985" i="2"/>
  <c r="Q832" i="2"/>
  <c r="R712" i="2"/>
  <c r="AN733" i="2"/>
  <c r="BP14" i="2"/>
  <c r="BQ14" i="2" s="1"/>
  <c r="BQ13" i="2"/>
  <c r="BP651" i="2"/>
  <c r="BQ651" i="2" s="1"/>
  <c r="BQ630" i="2"/>
  <c r="BV277" i="2"/>
  <c r="BU277" i="2"/>
  <c r="BR976" i="2"/>
  <c r="BR630" i="2"/>
  <c r="BR414" i="2"/>
  <c r="BS407" i="2"/>
  <c r="BR417" i="2"/>
  <c r="BS417" i="2" s="1"/>
  <c r="BR13" i="2"/>
  <c r="BV667" i="2"/>
  <c r="BU667" i="2"/>
  <c r="AL733" i="2"/>
  <c r="AA75" i="2"/>
  <c r="AB75" i="2" s="1"/>
  <c r="AB74" i="2"/>
  <c r="BV523" i="2"/>
  <c r="BU523" i="2"/>
  <c r="BP653" i="2"/>
  <c r="BQ653" i="2" s="1"/>
  <c r="BQ632" i="2"/>
  <c r="AH733" i="2"/>
  <c r="AC247" i="2"/>
  <c r="AD246" i="2"/>
  <c r="AE239" i="2"/>
  <c r="AC248" i="2"/>
  <c r="AA119" i="2"/>
  <c r="AB117" i="2"/>
  <c r="AI832" i="2"/>
  <c r="AJ712" i="2"/>
  <c r="BJ712" i="2"/>
  <c r="AC300" i="2"/>
  <c r="AE292" i="2"/>
  <c r="AD299" i="2"/>
  <c r="AC302" i="2"/>
  <c r="AC866" i="2" s="1"/>
  <c r="AD866" i="2" s="1"/>
  <c r="BR687" i="2"/>
  <c r="BS688" i="2"/>
  <c r="BT688" i="2"/>
  <c r="BK23" i="2"/>
  <c r="BL685" i="2"/>
  <c r="BP978" i="2"/>
  <c r="BQ978" i="2" s="1"/>
  <c r="BQ976" i="2"/>
  <c r="AB288" i="2"/>
  <c r="AA289" i="2"/>
  <c r="AB289" i="2" s="1"/>
  <c r="W832" i="2"/>
  <c r="X712" i="2"/>
  <c r="AO832" i="2"/>
  <c r="AP712" i="2"/>
  <c r="AC42" i="2"/>
  <c r="AD40" i="2"/>
  <c r="AC41" i="2"/>
  <c r="AE34" i="2"/>
  <c r="BU846" i="2"/>
  <c r="BV846" i="2"/>
  <c r="BT525" i="2"/>
  <c r="BT860" i="2" s="1"/>
  <c r="BV484" i="2"/>
  <c r="BU484" i="2"/>
  <c r="BS524" i="2"/>
  <c r="AK832" i="2"/>
  <c r="AL712" i="2"/>
  <c r="BV395" i="2"/>
  <c r="BU395" i="2"/>
  <c r="BT486" i="2"/>
  <c r="AA346" i="2"/>
  <c r="AA343" i="2"/>
  <c r="AB343" i="2" s="1"/>
  <c r="AA342" i="2"/>
  <c r="AB342" i="2" s="1"/>
  <c r="AB303" i="2"/>
  <c r="AA341" i="2"/>
  <c r="AB341" i="2" s="1"/>
  <c r="AA347" i="2"/>
  <c r="AB347" i="2" s="1"/>
  <c r="AA348" i="2"/>
  <c r="AB348" i="2" s="1"/>
  <c r="AA344" i="2"/>
  <c r="AB344" i="2" s="1"/>
  <c r="AA351" i="2"/>
  <c r="AB351" i="2" s="1"/>
  <c r="AG832" i="2"/>
  <c r="AH712" i="2"/>
  <c r="BO665" i="2"/>
  <c r="BG985" i="2"/>
  <c r="AB123" i="2"/>
  <c r="AA124" i="2"/>
  <c r="AB124" i="2" s="1"/>
  <c r="AD308" i="2"/>
  <c r="AC309" i="2"/>
  <c r="AD309" i="2" s="1"/>
  <c r="BQ687" i="2"/>
  <c r="BP689" i="2"/>
  <c r="BQ689" i="2" s="1"/>
  <c r="AC265" i="2"/>
  <c r="AD264" i="2"/>
  <c r="AE257" i="2"/>
  <c r="AC266" i="2"/>
  <c r="BT524" i="2"/>
  <c r="BV483" i="2"/>
  <c r="BU483" i="2"/>
  <c r="BU655" i="2"/>
  <c r="BV655" i="2"/>
  <c r="AC91" i="2"/>
  <c r="AE84" i="2"/>
  <c r="AC92" i="2"/>
  <c r="AD90" i="2"/>
  <c r="BT398" i="2"/>
  <c r="S832" i="2"/>
  <c r="T712" i="2"/>
  <c r="BF712" i="2"/>
  <c r="BR977" i="2"/>
  <c r="BS977" i="2" s="1"/>
  <c r="BR632" i="2"/>
  <c r="BR503" i="2"/>
  <c r="BS503" i="2" s="1"/>
  <c r="BR529" i="2"/>
  <c r="BR500" i="2"/>
  <c r="BS494" i="2"/>
  <c r="BR12" i="2"/>
  <c r="BS12" i="2" s="1"/>
  <c r="BL683" i="2"/>
  <c r="U9" i="178"/>
  <c r="U39" i="178"/>
  <c r="T56" i="178"/>
  <c r="X56" i="178"/>
  <c r="U56" i="178"/>
  <c r="U51" i="178"/>
  <c r="V56" i="178"/>
  <c r="S56" i="178"/>
  <c r="W56" i="178"/>
  <c r="X53" i="178"/>
  <c r="T47" i="178"/>
  <c r="J5" i="178"/>
  <c r="Q5" i="178"/>
  <c r="U12" i="178"/>
  <c r="R5" i="178"/>
  <c r="V26" i="178"/>
  <c r="P35" i="178"/>
  <c r="T35" i="178"/>
  <c r="H12" i="178"/>
  <c r="R12" i="178"/>
  <c r="P42" i="178"/>
  <c r="P5" i="178"/>
  <c r="S19" i="178"/>
  <c r="F26" i="178"/>
  <c r="S26" i="178"/>
  <c r="Q42" i="178"/>
  <c r="U42" i="178"/>
  <c r="P12" i="178"/>
  <c r="T12" i="178"/>
  <c r="P19" i="178"/>
  <c r="T19" i="178"/>
  <c r="I42" i="178"/>
  <c r="R42" i="178"/>
  <c r="L12" i="178"/>
  <c r="K19" i="178"/>
  <c r="K35" i="178"/>
  <c r="I5" i="178"/>
  <c r="M5" i="178"/>
  <c r="G12" i="178"/>
  <c r="K12" i="178"/>
  <c r="F19" i="178"/>
  <c r="J19" i="178"/>
  <c r="I26" i="178"/>
  <c r="M26" i="178"/>
  <c r="F35" i="178"/>
  <c r="J35" i="178"/>
  <c r="H42" i="178"/>
  <c r="L42" i="178"/>
  <c r="T5" i="178"/>
  <c r="I12" i="178"/>
  <c r="H19" i="178"/>
  <c r="L19" i="178"/>
  <c r="Q19" i="178"/>
  <c r="U19" i="178"/>
  <c r="G26" i="178"/>
  <c r="K26" i="178"/>
  <c r="P26" i="178"/>
  <c r="T26" i="178"/>
  <c r="H35" i="178"/>
  <c r="L35" i="178"/>
  <c r="Q35" i="178"/>
  <c r="U35" i="178"/>
  <c r="F42" i="178"/>
  <c r="J42" i="178"/>
  <c r="F5" i="178"/>
  <c r="G19" i="178"/>
  <c r="J26" i="178"/>
  <c r="G35" i="178"/>
  <c r="M42" i="178"/>
  <c r="G5" i="178"/>
  <c r="K5" i="178"/>
  <c r="M12" i="178"/>
  <c r="H5" i="178"/>
  <c r="L5" i="178"/>
  <c r="U5" i="178"/>
  <c r="F12" i="178"/>
  <c r="J12" i="178"/>
  <c r="I19" i="178"/>
  <c r="M19" i="178"/>
  <c r="H26" i="178"/>
  <c r="L26" i="178"/>
  <c r="Q26" i="178"/>
  <c r="U26" i="178"/>
  <c r="I35" i="178"/>
  <c r="M35" i="178"/>
  <c r="R35" i="178"/>
  <c r="G42" i="178"/>
  <c r="K42" i="178"/>
  <c r="W19" i="178"/>
  <c r="W26" i="178"/>
  <c r="Y31" i="178"/>
  <c r="X26" i="178"/>
  <c r="X19" i="178"/>
  <c r="Q12" i="178"/>
  <c r="R19" i="178"/>
  <c r="V19" i="178"/>
  <c r="R26" i="178"/>
  <c r="S35" i="178"/>
  <c r="S42" i="178"/>
  <c r="BV860" i="2" l="1"/>
  <c r="BU860" i="2"/>
  <c r="BR958" i="2"/>
  <c r="BS958" i="2" s="1"/>
  <c r="BR666" i="2"/>
  <c r="BS500" i="2"/>
  <c r="BR504" i="2"/>
  <c r="BS504" i="2" s="1"/>
  <c r="BU398" i="2"/>
  <c r="BV398" i="2"/>
  <c r="BT407" i="2"/>
  <c r="BT527" i="2"/>
  <c r="BV486" i="2"/>
  <c r="BU486" i="2"/>
  <c r="BT494" i="2"/>
  <c r="AE46" i="2"/>
  <c r="AF46" i="2" s="1"/>
  <c r="AE40" i="2"/>
  <c r="AE49" i="2"/>
  <c r="AE47" i="2"/>
  <c r="AF47" i="2" s="1"/>
  <c r="AF34" i="2"/>
  <c r="AE48" i="2"/>
  <c r="AF48" i="2" s="1"/>
  <c r="AF292" i="2"/>
  <c r="AE308" i="2"/>
  <c r="AE299" i="2"/>
  <c r="AE307" i="2"/>
  <c r="AF307" i="2" s="1"/>
  <c r="AE253" i="2"/>
  <c r="AE254" i="2" s="1"/>
  <c r="AF254" i="2" s="1"/>
  <c r="AE246" i="2"/>
  <c r="AF239" i="2"/>
  <c r="AE252" i="2"/>
  <c r="BR14" i="2"/>
  <c r="BS14" i="2" s="1"/>
  <c r="BS13" i="2"/>
  <c r="BR651" i="2"/>
  <c r="BS651" i="2" s="1"/>
  <c r="BS630" i="2"/>
  <c r="Q218" i="2"/>
  <c r="R218" i="2" s="1"/>
  <c r="R217" i="2"/>
  <c r="BP682" i="2"/>
  <c r="BP650" i="2"/>
  <c r="BQ650" i="2" s="1"/>
  <c r="BQ629" i="2"/>
  <c r="AB283" i="2"/>
  <c r="BV294" i="2"/>
  <c r="BU294" i="2"/>
  <c r="BV526" i="2"/>
  <c r="BU526" i="2"/>
  <c r="BL684" i="2"/>
  <c r="BM683" i="2"/>
  <c r="BR629" i="2"/>
  <c r="BR538" i="2"/>
  <c r="BS538" i="2" s="1"/>
  <c r="BS529" i="2"/>
  <c r="BR539" i="2"/>
  <c r="BS539" i="2" s="1"/>
  <c r="BR536" i="2"/>
  <c r="BF852" i="2"/>
  <c r="BF832" i="2"/>
  <c r="BG712" i="2"/>
  <c r="BV524" i="2"/>
  <c r="BU524" i="2"/>
  <c r="BV525" i="2"/>
  <c r="BU525" i="2"/>
  <c r="BM685" i="2"/>
  <c r="BS687" i="2"/>
  <c r="BR689" i="2"/>
  <c r="BS689" i="2" s="1"/>
  <c r="BR978" i="2"/>
  <c r="BS978" i="2" s="1"/>
  <c r="BS976" i="2"/>
  <c r="R211" i="2"/>
  <c r="S204" i="2"/>
  <c r="Q212" i="2"/>
  <c r="R212" i="2" s="1"/>
  <c r="BD852" i="2"/>
  <c r="BD832" i="2"/>
  <c r="BE712" i="2"/>
  <c r="AD275" i="2"/>
  <c r="AC282" i="2"/>
  <c r="AC288" i="2"/>
  <c r="AC287" i="2"/>
  <c r="AD287" i="2" s="1"/>
  <c r="AC173" i="2"/>
  <c r="AD173" i="2" s="1"/>
  <c r="AD172" i="2"/>
  <c r="BQ666" i="2"/>
  <c r="AE235" i="2"/>
  <c r="AE236" i="2" s="1"/>
  <c r="AF236" i="2" s="1"/>
  <c r="AE234" i="2"/>
  <c r="AE228" i="2"/>
  <c r="AF221" i="2"/>
  <c r="BQ665" i="2"/>
  <c r="AC121" i="2"/>
  <c r="AD121" i="2" s="1"/>
  <c r="AC118" i="2"/>
  <c r="AD118" i="2" s="1"/>
  <c r="AC117" i="2"/>
  <c r="AD92" i="2"/>
  <c r="AC123" i="2"/>
  <c r="AC116" i="2"/>
  <c r="AD116" i="2" s="1"/>
  <c r="AC122" i="2"/>
  <c r="AD122" i="2" s="1"/>
  <c r="AC127" i="2"/>
  <c r="AD127" i="2" s="1"/>
  <c r="AD266" i="2"/>
  <c r="AD302" i="2"/>
  <c r="AC303" i="2"/>
  <c r="BJ852" i="2"/>
  <c r="BJ832" i="2"/>
  <c r="BK712" i="2"/>
  <c r="BN696" i="2"/>
  <c r="BO696" i="2" s="1"/>
  <c r="BO682" i="2"/>
  <c r="AD159" i="2"/>
  <c r="AC161" i="2"/>
  <c r="AC160" i="2"/>
  <c r="AE154" i="2"/>
  <c r="BP959" i="2"/>
  <c r="BQ959" i="2" s="1"/>
  <c r="BQ957" i="2"/>
  <c r="BR653" i="2"/>
  <c r="BS653" i="2" s="1"/>
  <c r="BS632" i="2"/>
  <c r="AE99" i="2"/>
  <c r="AF99" i="2" s="1"/>
  <c r="AE97" i="2"/>
  <c r="AF97" i="2" s="1"/>
  <c r="AF84" i="2"/>
  <c r="AE96" i="2"/>
  <c r="AF96" i="2" s="1"/>
  <c r="AE90" i="2"/>
  <c r="AE98" i="2"/>
  <c r="AF98" i="2" s="1"/>
  <c r="AE264" i="2"/>
  <c r="AF257" i="2"/>
  <c r="AE271" i="2"/>
  <c r="AE272" i="2" s="1"/>
  <c r="AF272" i="2" s="1"/>
  <c r="AE270" i="2"/>
  <c r="AA349" i="2"/>
  <c r="AB349" i="2" s="1"/>
  <c r="AB346" i="2"/>
  <c r="AC67" i="2"/>
  <c r="AD67" i="2" s="1"/>
  <c r="AC68" i="2"/>
  <c r="AC72" i="2"/>
  <c r="AD72" i="2" s="1"/>
  <c r="AD42" i="2"/>
  <c r="AC69" i="2"/>
  <c r="AD69" i="2" s="1"/>
  <c r="AC74" i="2"/>
  <c r="AC73" i="2"/>
  <c r="AD73" i="2" s="1"/>
  <c r="AC78" i="2"/>
  <c r="AD78" i="2" s="1"/>
  <c r="BT687" i="2"/>
  <c r="BV688" i="2"/>
  <c r="BU688" i="2"/>
  <c r="AD248" i="2"/>
  <c r="BR957" i="2"/>
  <c r="BR665" i="2"/>
  <c r="BS414" i="2"/>
  <c r="BR418" i="2"/>
  <c r="BS418" i="2" s="1"/>
  <c r="BP664" i="2"/>
  <c r="BQ664" i="2" s="1"/>
  <c r="BQ536" i="2"/>
  <c r="BP540" i="2"/>
  <c r="AD230" i="2"/>
  <c r="BH852" i="2"/>
  <c r="BH832" i="2"/>
  <c r="BI712" i="2"/>
  <c r="V28" i="178"/>
  <c r="V22" i="178"/>
  <c r="V29" i="178"/>
  <c r="V21" i="178"/>
  <c r="Y26" i="178"/>
  <c r="Y19" i="178"/>
  <c r="AC124" i="2" l="1"/>
  <c r="AD124" i="2" s="1"/>
  <c r="AD123" i="2"/>
  <c r="AF49" i="2"/>
  <c r="AE50" i="2"/>
  <c r="AF50" i="2" s="1"/>
  <c r="BS666" i="2"/>
  <c r="BR959" i="2"/>
  <c r="BS959" i="2" s="1"/>
  <c r="BS957" i="2"/>
  <c r="BU687" i="2"/>
  <c r="BV687" i="2"/>
  <c r="BT689" i="2"/>
  <c r="AC75" i="2"/>
  <c r="AD75" i="2" s="1"/>
  <c r="AD74" i="2"/>
  <c r="AD68" i="2"/>
  <c r="AC70" i="2"/>
  <c r="AD70" i="2" s="1"/>
  <c r="AC190" i="2"/>
  <c r="AD190" i="2" s="1"/>
  <c r="AC189" i="2"/>
  <c r="AD189" i="2" s="1"/>
  <c r="AD161" i="2"/>
  <c r="AC191" i="2"/>
  <c r="AD191" i="2" s="1"/>
  <c r="AC192" i="2"/>
  <c r="AD192" i="2" s="1"/>
  <c r="AC193" i="2"/>
  <c r="AD193" i="2" s="1"/>
  <c r="AC342" i="2"/>
  <c r="AD342" i="2" s="1"/>
  <c r="AC346" i="2"/>
  <c r="AC343" i="2"/>
  <c r="AD343" i="2" s="1"/>
  <c r="AD303" i="2"/>
  <c r="AC347" i="2"/>
  <c r="AD347" i="2" s="1"/>
  <c r="AC348" i="2"/>
  <c r="AD348" i="2" s="1"/>
  <c r="AC341" i="2"/>
  <c r="AD341" i="2" s="1"/>
  <c r="AC344" i="2"/>
  <c r="AD344" i="2" s="1"/>
  <c r="AC351" i="2"/>
  <c r="AD351" i="2" s="1"/>
  <c r="AF235" i="2"/>
  <c r="AF234" i="2"/>
  <c r="S211" i="2"/>
  <c r="S217" i="2"/>
  <c r="T204" i="2"/>
  <c r="S216" i="2"/>
  <c r="T216" i="2" s="1"/>
  <c r="AE247" i="2"/>
  <c r="AG239" i="2"/>
  <c r="AF246" i="2"/>
  <c r="AE248" i="2"/>
  <c r="AF308" i="2"/>
  <c r="AE309" i="2"/>
  <c r="AF309" i="2" s="1"/>
  <c r="BT977" i="2"/>
  <c r="BU977" i="2" s="1"/>
  <c r="BT632" i="2"/>
  <c r="BT529" i="2"/>
  <c r="BT500" i="2"/>
  <c r="BU494" i="2"/>
  <c r="BT503" i="2"/>
  <c r="BV494" i="2"/>
  <c r="BT12" i="2"/>
  <c r="BT976" i="2"/>
  <c r="BT630" i="2"/>
  <c r="BT417" i="2"/>
  <c r="BV407" i="2"/>
  <c r="BT414" i="2"/>
  <c r="BU407" i="2"/>
  <c r="BT13" i="2"/>
  <c r="AC289" i="2"/>
  <c r="AD289" i="2" s="1"/>
  <c r="AD288" i="2"/>
  <c r="BG852" i="2"/>
  <c r="BF711" i="2"/>
  <c r="BF24" i="2"/>
  <c r="BI852" i="2"/>
  <c r="BH711" i="2"/>
  <c r="BH24" i="2"/>
  <c r="BS665" i="2"/>
  <c r="AF271" i="2"/>
  <c r="AF270" i="2"/>
  <c r="AE170" i="2"/>
  <c r="AF170" i="2" s="1"/>
  <c r="AE169" i="2"/>
  <c r="AF169" i="2" s="1"/>
  <c r="AF154" i="2"/>
  <c r="AE159" i="2"/>
  <c r="AE172" i="2"/>
  <c r="AE171" i="2"/>
  <c r="AF171" i="2" s="1"/>
  <c r="AE275" i="2"/>
  <c r="AD282" i="2"/>
  <c r="AC283" i="2"/>
  <c r="BE852" i="2"/>
  <c r="BD711" i="2"/>
  <c r="BD24" i="2"/>
  <c r="BE24" i="2" s="1"/>
  <c r="BR664" i="2"/>
  <c r="BS664" i="2" s="1"/>
  <c r="BR540" i="2"/>
  <c r="BS536" i="2"/>
  <c r="BR682" i="2"/>
  <c r="BR650" i="2"/>
  <c r="BS650" i="2" s="1"/>
  <c r="BS629" i="2"/>
  <c r="AF40" i="2"/>
  <c r="AG34" i="2"/>
  <c r="AE42" i="2"/>
  <c r="AE41" i="2"/>
  <c r="AF90" i="2"/>
  <c r="AE92" i="2"/>
  <c r="AE91" i="2"/>
  <c r="AG84" i="2"/>
  <c r="AF228" i="2"/>
  <c r="AE229" i="2"/>
  <c r="AG221" i="2"/>
  <c r="AE230" i="2"/>
  <c r="BN684" i="2"/>
  <c r="BM684" i="2"/>
  <c r="AG257" i="2"/>
  <c r="AF264" i="2"/>
  <c r="AE265" i="2"/>
  <c r="AE266" i="2"/>
  <c r="BK852" i="2"/>
  <c r="BJ711" i="2"/>
  <c r="BJ24" i="2"/>
  <c r="AC119" i="2"/>
  <c r="AD117" i="2"/>
  <c r="BP696" i="2"/>
  <c r="BQ696" i="2" s="1"/>
  <c r="BQ682" i="2"/>
  <c r="AF253" i="2"/>
  <c r="AF252" i="2"/>
  <c r="AE302" i="2"/>
  <c r="AE866" i="2" s="1"/>
  <c r="AF866" i="2" s="1"/>
  <c r="AE300" i="2"/>
  <c r="AF299" i="2"/>
  <c r="AG292" i="2"/>
  <c r="BV527" i="2"/>
  <c r="BU527" i="2"/>
  <c r="L66" i="178"/>
  <c r="V51" i="178"/>
  <c r="M46" i="178"/>
  <c r="W50" i="178"/>
  <c r="U49" i="178"/>
  <c r="M66" i="178"/>
  <c r="T49" i="178"/>
  <c r="L46" i="178"/>
  <c r="BK24" i="2" l="1"/>
  <c r="BV630" i="2"/>
  <c r="BU630" i="2"/>
  <c r="BT651" i="2"/>
  <c r="BT653" i="2"/>
  <c r="BV632" i="2"/>
  <c r="BU632" i="2"/>
  <c r="AF248" i="2"/>
  <c r="S212" i="2"/>
  <c r="T212" i="2" s="1"/>
  <c r="U204" i="2"/>
  <c r="T211" i="2"/>
  <c r="AF266" i="2"/>
  <c r="AG271" i="2"/>
  <c r="AH257" i="2"/>
  <c r="AG264" i="2"/>
  <c r="AG270" i="2"/>
  <c r="AH270" i="2" s="1"/>
  <c r="AG228" i="2"/>
  <c r="AG235" i="2"/>
  <c r="AG234" i="2"/>
  <c r="AH234" i="2" s="1"/>
  <c r="AH221" i="2"/>
  <c r="AG96" i="2"/>
  <c r="AH96" i="2" s="1"/>
  <c r="AG90" i="2"/>
  <c r="AG99" i="2"/>
  <c r="AH99" i="2" s="1"/>
  <c r="AG97" i="2"/>
  <c r="AH97" i="2" s="1"/>
  <c r="AH84" i="2"/>
  <c r="AG98" i="2"/>
  <c r="AH98" i="2" s="1"/>
  <c r="BE711" i="2"/>
  <c r="BD733" i="2"/>
  <c r="BE733" i="2" s="1"/>
  <c r="AE161" i="2"/>
  <c r="AE160" i="2"/>
  <c r="AG154" i="2"/>
  <c r="AF159" i="2"/>
  <c r="BI24" i="2"/>
  <c r="BG711" i="2"/>
  <c r="BF733" i="2"/>
  <c r="BT14" i="2"/>
  <c r="BV13" i="2"/>
  <c r="BU13" i="2"/>
  <c r="BU417" i="2"/>
  <c r="BV417" i="2"/>
  <c r="BT629" i="2"/>
  <c r="BT539" i="2"/>
  <c r="BT538" i="2"/>
  <c r="BT536" i="2"/>
  <c r="BV529" i="2"/>
  <c r="BU529" i="2"/>
  <c r="AG253" i="2"/>
  <c r="AG246" i="2"/>
  <c r="AG252" i="2"/>
  <c r="AH252" i="2" s="1"/>
  <c r="AH239" i="2"/>
  <c r="T217" i="2"/>
  <c r="S218" i="2"/>
  <c r="T218" i="2" s="1"/>
  <c r="BU689" i="2"/>
  <c r="BV689" i="2"/>
  <c r="AF302" i="2"/>
  <c r="AE303" i="2"/>
  <c r="AE282" i="2"/>
  <c r="AF275" i="2"/>
  <c r="AE288" i="2"/>
  <c r="AE287" i="2"/>
  <c r="AF287" i="2" s="1"/>
  <c r="BK711" i="2"/>
  <c r="BJ733" i="2"/>
  <c r="BP684" i="2"/>
  <c r="BN683" i="2"/>
  <c r="BO684" i="2"/>
  <c r="AE117" i="2"/>
  <c r="AF92" i="2"/>
  <c r="AE121" i="2"/>
  <c r="AF121" i="2" s="1"/>
  <c r="AE118" i="2"/>
  <c r="AF118" i="2" s="1"/>
  <c r="AE123" i="2"/>
  <c r="AE116" i="2"/>
  <c r="AF116" i="2" s="1"/>
  <c r="AE122" i="2"/>
  <c r="AF122" i="2" s="1"/>
  <c r="AE127" i="2"/>
  <c r="AF127" i="2" s="1"/>
  <c r="AG47" i="2"/>
  <c r="AH47" i="2" s="1"/>
  <c r="AH34" i="2"/>
  <c r="AG46" i="2"/>
  <c r="AH46" i="2" s="1"/>
  <c r="AG40" i="2"/>
  <c r="AG49" i="2"/>
  <c r="AG48" i="2"/>
  <c r="AH48" i="2" s="1"/>
  <c r="AD283" i="2"/>
  <c r="BT957" i="2"/>
  <c r="BT665" i="2"/>
  <c r="BT418" i="2"/>
  <c r="BV414" i="2"/>
  <c r="BU414" i="2"/>
  <c r="BT978" i="2"/>
  <c r="BU978" i="2" s="1"/>
  <c r="BU976" i="2"/>
  <c r="AF42" i="2"/>
  <c r="AE67" i="2"/>
  <c r="AF67" i="2" s="1"/>
  <c r="AE72" i="2"/>
  <c r="AF72" i="2" s="1"/>
  <c r="AE68" i="2"/>
  <c r="AE73" i="2"/>
  <c r="AF73" i="2" s="1"/>
  <c r="AE69" i="2"/>
  <c r="AF69" i="2" s="1"/>
  <c r="AE74" i="2"/>
  <c r="AE78" i="2"/>
  <c r="AF78" i="2" s="1"/>
  <c r="BI711" i="2"/>
  <c r="BH733" i="2"/>
  <c r="BI733" i="2" s="1"/>
  <c r="BV503" i="2"/>
  <c r="BU503" i="2"/>
  <c r="AG308" i="2"/>
  <c r="AG299" i="2"/>
  <c r="AH292" i="2"/>
  <c r="AG307" i="2"/>
  <c r="AH307" i="2" s="1"/>
  <c r="AF230" i="2"/>
  <c r="BR696" i="2"/>
  <c r="BS696" i="2" s="1"/>
  <c r="BS682" i="2"/>
  <c r="AE173" i="2"/>
  <c r="AF173" i="2" s="1"/>
  <c r="AF172" i="2"/>
  <c r="BG24" i="2"/>
  <c r="BV12" i="2"/>
  <c r="BU12" i="2"/>
  <c r="BT958" i="2"/>
  <c r="BU958" i="2" s="1"/>
  <c r="BT666" i="2"/>
  <c r="BT504" i="2"/>
  <c r="BV500" i="2"/>
  <c r="BU500" i="2"/>
  <c r="AC349" i="2"/>
  <c r="AD349" i="2" s="1"/>
  <c r="AD346" i="2"/>
  <c r="CM57" i="156"/>
  <c r="Y41" i="3"/>
  <c r="Y44" i="156"/>
  <c r="AK41" i="3"/>
  <c r="Y92" i="156"/>
  <c r="AI92" i="156"/>
  <c r="AG40" i="156"/>
  <c r="BY82" i="156"/>
  <c r="BY46" i="3"/>
  <c r="CK422" i="3"/>
  <c r="CJ422" i="3"/>
  <c r="AA151" i="3"/>
  <c r="CK357" i="3"/>
  <c r="CL386" i="3"/>
  <c r="BW39" i="156"/>
  <c r="BW40" i="156"/>
  <c r="AM92" i="156"/>
  <c r="CF16" i="3"/>
  <c r="CM400" i="3"/>
  <c r="CL400" i="3"/>
  <c r="CH316" i="3"/>
  <c r="CH328" i="3"/>
  <c r="X221" i="3"/>
  <c r="AV413" i="3"/>
  <c r="AW417" i="3"/>
  <c r="AW408" i="3"/>
  <c r="AG34" i="156"/>
  <c r="BZ25" i="156"/>
  <c r="W34" i="156"/>
  <c r="CH16" i="156"/>
  <c r="CG452" i="3"/>
  <c r="AM51" i="3"/>
  <c r="CE354" i="3"/>
  <c r="BX161" i="3"/>
  <c r="BX130" i="3"/>
  <c r="BV38" i="156"/>
  <c r="S66" i="178"/>
  <c r="V23" i="178"/>
  <c r="V32" i="178"/>
  <c r="AI31" i="3"/>
  <c r="Z264" i="3"/>
  <c r="AM31" i="3"/>
  <c r="BX29" i="156"/>
  <c r="L67" i="178"/>
  <c r="Z323" i="3"/>
  <c r="BZ38" i="156"/>
  <c r="U66" i="178"/>
  <c r="BV47" i="3"/>
  <c r="BV39" i="156"/>
  <c r="S49" i="178"/>
  <c r="AK39" i="156"/>
  <c r="AM82" i="156"/>
  <c r="M67" i="178"/>
  <c r="AV13" i="3"/>
  <c r="AW416" i="3"/>
  <c r="Y46" i="3"/>
  <c r="W82" i="156"/>
  <c r="CH383" i="3"/>
  <c r="CJ357" i="3"/>
  <c r="CM315" i="3"/>
  <c r="CL315" i="3"/>
  <c r="X50" i="178"/>
  <c r="CH385" i="3"/>
  <c r="CI385" i="3"/>
  <c r="CH356" i="3"/>
  <c r="T66" i="178"/>
  <c r="CC13" i="3"/>
  <c r="AG44" i="156"/>
  <c r="CI384" i="3"/>
  <c r="CH355" i="3"/>
  <c r="CH384" i="3"/>
  <c r="CH402" i="3"/>
  <c r="CG421" i="3"/>
  <c r="CE401" i="3"/>
  <c r="CF421" i="3"/>
  <c r="AU366" i="3"/>
  <c r="CI328" i="3"/>
  <c r="Y340" i="3"/>
  <c r="Y339" i="3"/>
  <c r="AA199" i="3"/>
  <c r="Y276" i="3"/>
  <c r="M25" i="156"/>
  <c r="U25" i="156"/>
  <c r="CJ450" i="3"/>
  <c r="CK450" i="3"/>
  <c r="CI16" i="156"/>
  <c r="CD14" i="156"/>
  <c r="CC408" i="3"/>
  <c r="AU413" i="3"/>
  <c r="BZ93" i="156"/>
  <c r="BY93" i="156"/>
  <c r="BX93" i="156"/>
  <c r="BW93" i="156"/>
  <c r="BV93" i="156"/>
  <c r="BU93" i="156"/>
  <c r="BT93" i="156"/>
  <c r="BS93" i="156"/>
  <c r="BR93" i="156"/>
  <c r="BQ93" i="156"/>
  <c r="BP93" i="156"/>
  <c r="BO93" i="156"/>
  <c r="BN93" i="156"/>
  <c r="BM93" i="156"/>
  <c r="BL93" i="156"/>
  <c r="BK93" i="156"/>
  <c r="BJ93" i="156"/>
  <c r="BI93" i="156"/>
  <c r="BH93" i="156"/>
  <c r="BG93" i="156"/>
  <c r="BF93" i="156"/>
  <c r="BE93" i="156"/>
  <c r="BD93" i="156"/>
  <c r="BC93" i="156"/>
  <c r="BB93" i="156"/>
  <c r="BA93" i="156"/>
  <c r="AZ93" i="156"/>
  <c r="AY93" i="156"/>
  <c r="BY92" i="156"/>
  <c r="BW92" i="156"/>
  <c r="BV92" i="156"/>
  <c r="BU92" i="156"/>
  <c r="BT92" i="156"/>
  <c r="BS92" i="156"/>
  <c r="BR92" i="156"/>
  <c r="BQ92" i="156"/>
  <c r="BP92" i="156"/>
  <c r="BO92" i="156"/>
  <c r="BN92" i="156"/>
  <c r="BM92" i="156"/>
  <c r="BL92" i="156"/>
  <c r="BK92" i="156"/>
  <c r="BJ92" i="156"/>
  <c r="BI92" i="156"/>
  <c r="BH92" i="156"/>
  <c r="BG92" i="156"/>
  <c r="BF92" i="156"/>
  <c r="BE92" i="156"/>
  <c r="BD92" i="156"/>
  <c r="BC92" i="156"/>
  <c r="BB92" i="156"/>
  <c r="BA92" i="156"/>
  <c r="AZ92" i="156"/>
  <c r="AY92" i="156"/>
  <c r="BZ91" i="156"/>
  <c r="BY91" i="156"/>
  <c r="BX91" i="156"/>
  <c r="BW91" i="156"/>
  <c r="BV91" i="156"/>
  <c r="BU91" i="156"/>
  <c r="BT91" i="156"/>
  <c r="BS91" i="156"/>
  <c r="BR91" i="156"/>
  <c r="BQ91" i="156"/>
  <c r="BP91" i="156"/>
  <c r="BO91" i="156"/>
  <c r="BN91" i="156"/>
  <c r="BM91" i="156"/>
  <c r="BL91" i="156"/>
  <c r="BK91" i="156"/>
  <c r="BJ91" i="156"/>
  <c r="BI91" i="156"/>
  <c r="BH91" i="156"/>
  <c r="BG91" i="156"/>
  <c r="BF91" i="156"/>
  <c r="BE91" i="156"/>
  <c r="BD91" i="156"/>
  <c r="BC91" i="156"/>
  <c r="BB91" i="156"/>
  <c r="BA91" i="156"/>
  <c r="AZ91" i="156"/>
  <c r="AY91" i="156"/>
  <c r="BZ90" i="156"/>
  <c r="BY90" i="156"/>
  <c r="BX90" i="156"/>
  <c r="BW90" i="156"/>
  <c r="BV90" i="156"/>
  <c r="BU90" i="156"/>
  <c r="BT90" i="156"/>
  <c r="BS90" i="156"/>
  <c r="BR90" i="156"/>
  <c r="BQ90" i="156"/>
  <c r="BP90" i="156"/>
  <c r="BO90" i="156"/>
  <c r="BN90" i="156"/>
  <c r="BM90" i="156"/>
  <c r="BL90" i="156"/>
  <c r="BK90" i="156"/>
  <c r="BJ90" i="156"/>
  <c r="BI90" i="156"/>
  <c r="BH90" i="156"/>
  <c r="BG90" i="156"/>
  <c r="BF90" i="156"/>
  <c r="BE90" i="156"/>
  <c r="BD90" i="156"/>
  <c r="BC90" i="156"/>
  <c r="BB90" i="156"/>
  <c r="BA90" i="156"/>
  <c r="AZ90" i="156"/>
  <c r="AY90" i="156"/>
  <c r="BZ89" i="156"/>
  <c r="BY89" i="156"/>
  <c r="BX89" i="156"/>
  <c r="BW89" i="156"/>
  <c r="BV89" i="156"/>
  <c r="BU89" i="156"/>
  <c r="BT89" i="156"/>
  <c r="BS89" i="156"/>
  <c r="BR89" i="156"/>
  <c r="BQ89" i="156"/>
  <c r="BP89" i="156"/>
  <c r="BO89" i="156"/>
  <c r="BN89" i="156"/>
  <c r="BM89" i="156"/>
  <c r="BL89" i="156"/>
  <c r="BK89" i="156"/>
  <c r="BJ89" i="156"/>
  <c r="BI89" i="156"/>
  <c r="BH89" i="156"/>
  <c r="BG89" i="156"/>
  <c r="BF89" i="156"/>
  <c r="BE89" i="156"/>
  <c r="BD89" i="156"/>
  <c r="BC89" i="156"/>
  <c r="BB89" i="156"/>
  <c r="BA89" i="156"/>
  <c r="AZ89" i="156"/>
  <c r="AY89" i="156"/>
  <c r="BZ88" i="156"/>
  <c r="BY88" i="156"/>
  <c r="BX88" i="156"/>
  <c r="BW88" i="156"/>
  <c r="BV88" i="156"/>
  <c r="BU88" i="156"/>
  <c r="BT88" i="156"/>
  <c r="BS88" i="156"/>
  <c r="BR88" i="156"/>
  <c r="BQ88" i="156"/>
  <c r="BP88" i="156"/>
  <c r="BO88" i="156"/>
  <c r="BN88" i="156"/>
  <c r="BM88" i="156"/>
  <c r="BL88" i="156"/>
  <c r="BK88" i="156"/>
  <c r="BJ88" i="156"/>
  <c r="BI88" i="156"/>
  <c r="BH88" i="156"/>
  <c r="BG88" i="156"/>
  <c r="BF88" i="156"/>
  <c r="BE88" i="156"/>
  <c r="BD88" i="156"/>
  <c r="BC88" i="156"/>
  <c r="BB88" i="156"/>
  <c r="BA88" i="156"/>
  <c r="AZ88" i="156"/>
  <c r="AY88" i="156"/>
  <c r="BZ87" i="156"/>
  <c r="BY87" i="156"/>
  <c r="BX87" i="156"/>
  <c r="BW87" i="156"/>
  <c r="BV87" i="156"/>
  <c r="BU87" i="156"/>
  <c r="BT87" i="156"/>
  <c r="BS87" i="156"/>
  <c r="BR87" i="156"/>
  <c r="BQ87" i="156"/>
  <c r="BP87" i="156"/>
  <c r="BO87" i="156"/>
  <c r="BN87" i="156"/>
  <c r="BM87" i="156"/>
  <c r="BL87" i="156"/>
  <c r="BK87" i="156"/>
  <c r="BJ87" i="156"/>
  <c r="BI87" i="156"/>
  <c r="BH87" i="156"/>
  <c r="BG87" i="156"/>
  <c r="BF87" i="156"/>
  <c r="BE87" i="156"/>
  <c r="BD87" i="156"/>
  <c r="BC87" i="156"/>
  <c r="BB87" i="156"/>
  <c r="BA87" i="156"/>
  <c r="AZ87" i="156"/>
  <c r="AY87" i="156"/>
  <c r="BZ86" i="156"/>
  <c r="BY86" i="156"/>
  <c r="BX86" i="156"/>
  <c r="BW86" i="156"/>
  <c r="BV86" i="156"/>
  <c r="BU86" i="156"/>
  <c r="BT86" i="156"/>
  <c r="BS86" i="156"/>
  <c r="BR86" i="156"/>
  <c r="BQ86" i="156"/>
  <c r="BP86" i="156"/>
  <c r="BO86" i="156"/>
  <c r="BN86" i="156"/>
  <c r="BM86" i="156"/>
  <c r="BL86" i="156"/>
  <c r="BK86" i="156"/>
  <c r="BJ86" i="156"/>
  <c r="BI86" i="156"/>
  <c r="BH86" i="156"/>
  <c r="BG86" i="156"/>
  <c r="BF86" i="156"/>
  <c r="BE86" i="156"/>
  <c r="BD86" i="156"/>
  <c r="BC86" i="156"/>
  <c r="BB86" i="156"/>
  <c r="BA86" i="156"/>
  <c r="AZ86" i="156"/>
  <c r="AY86" i="156"/>
  <c r="AM93" i="156"/>
  <c r="AL93" i="156"/>
  <c r="AK93" i="156"/>
  <c r="AJ93" i="156"/>
  <c r="AI93" i="156"/>
  <c r="AH93" i="156"/>
  <c r="AG93" i="156"/>
  <c r="AF93" i="156"/>
  <c r="AE93" i="156"/>
  <c r="AD93" i="156"/>
  <c r="AC93" i="156"/>
  <c r="AB93" i="156"/>
  <c r="AA93" i="156"/>
  <c r="Z93" i="156"/>
  <c r="Y93" i="156"/>
  <c r="X93" i="156"/>
  <c r="W93" i="156"/>
  <c r="V93" i="156"/>
  <c r="U93" i="156"/>
  <c r="T93" i="156"/>
  <c r="S93" i="156"/>
  <c r="R93" i="156"/>
  <c r="Q93" i="156"/>
  <c r="P93" i="156"/>
  <c r="O93" i="156"/>
  <c r="N93" i="156"/>
  <c r="M93" i="156"/>
  <c r="L93" i="156"/>
  <c r="K93" i="156"/>
  <c r="J93" i="156"/>
  <c r="I93" i="156"/>
  <c r="H93" i="156"/>
  <c r="G93" i="156"/>
  <c r="F93" i="156"/>
  <c r="E93" i="156"/>
  <c r="D93" i="156"/>
  <c r="C93" i="156"/>
  <c r="B93" i="156"/>
  <c r="A93" i="156"/>
  <c r="AL92" i="156"/>
  <c r="AK92" i="156"/>
  <c r="AJ92" i="156"/>
  <c r="AH92" i="156"/>
  <c r="AG92" i="156"/>
  <c r="AF92" i="156"/>
  <c r="AE92" i="156"/>
  <c r="AD92" i="156"/>
  <c r="AC92" i="156"/>
  <c r="AB92" i="156"/>
  <c r="AA92" i="156"/>
  <c r="Z92" i="156"/>
  <c r="X92" i="156"/>
  <c r="W92" i="156"/>
  <c r="V92" i="156"/>
  <c r="U92" i="156"/>
  <c r="T92" i="156"/>
  <c r="S92" i="156"/>
  <c r="R92" i="156"/>
  <c r="Q92" i="156"/>
  <c r="P92" i="156"/>
  <c r="O92" i="156"/>
  <c r="N92" i="156"/>
  <c r="M92" i="156"/>
  <c r="L92" i="156"/>
  <c r="K92" i="156"/>
  <c r="J92" i="156"/>
  <c r="I92" i="156"/>
  <c r="H92" i="156"/>
  <c r="G92" i="156"/>
  <c r="F92" i="156"/>
  <c r="E92" i="156"/>
  <c r="D92" i="156"/>
  <c r="C92" i="156"/>
  <c r="B92" i="156"/>
  <c r="A92" i="156"/>
  <c r="AM91" i="156"/>
  <c r="AL91" i="156"/>
  <c r="AK91" i="156"/>
  <c r="AJ91" i="156"/>
  <c r="AI91" i="156"/>
  <c r="AH91" i="156"/>
  <c r="AG91" i="156"/>
  <c r="AF91" i="156"/>
  <c r="AE91" i="156"/>
  <c r="AD91" i="156"/>
  <c r="AC91" i="156"/>
  <c r="AB91" i="156"/>
  <c r="AA91" i="156"/>
  <c r="Z91" i="156"/>
  <c r="Y91" i="156"/>
  <c r="X91" i="156"/>
  <c r="W91" i="156"/>
  <c r="V91" i="156"/>
  <c r="U91" i="156"/>
  <c r="T91" i="156"/>
  <c r="S91" i="156"/>
  <c r="R91" i="156"/>
  <c r="Q91" i="156"/>
  <c r="P91" i="156"/>
  <c r="O91" i="156"/>
  <c r="N91" i="156"/>
  <c r="M91" i="156"/>
  <c r="L91" i="156"/>
  <c r="K91" i="156"/>
  <c r="J91" i="156"/>
  <c r="I91" i="156"/>
  <c r="H91" i="156"/>
  <c r="G91" i="156"/>
  <c r="F91" i="156"/>
  <c r="E91" i="156"/>
  <c r="D91" i="156"/>
  <c r="C91" i="156"/>
  <c r="B91" i="156"/>
  <c r="A91" i="156"/>
  <c r="AM90" i="156"/>
  <c r="AL90" i="156"/>
  <c r="AK90" i="156"/>
  <c r="AJ90" i="156"/>
  <c r="AI90" i="156"/>
  <c r="AH90" i="156"/>
  <c r="AG90" i="156"/>
  <c r="AF90" i="156"/>
  <c r="AE90" i="156"/>
  <c r="AD90" i="156"/>
  <c r="AC90" i="156"/>
  <c r="AB90" i="156"/>
  <c r="AA90" i="156"/>
  <c r="Z90" i="156"/>
  <c r="Y90" i="156"/>
  <c r="X90" i="156"/>
  <c r="W90" i="156"/>
  <c r="V90" i="156"/>
  <c r="U90" i="156"/>
  <c r="T90" i="156"/>
  <c r="S90" i="156"/>
  <c r="R90" i="156"/>
  <c r="Q90" i="156"/>
  <c r="P90" i="156"/>
  <c r="O90" i="156"/>
  <c r="N90" i="156"/>
  <c r="M90" i="156"/>
  <c r="L90" i="156"/>
  <c r="K90" i="156"/>
  <c r="J90" i="156"/>
  <c r="I90" i="156"/>
  <c r="H90" i="156"/>
  <c r="G90" i="156"/>
  <c r="F90" i="156"/>
  <c r="E90" i="156"/>
  <c r="D90" i="156"/>
  <c r="C90" i="156"/>
  <c r="B90" i="156"/>
  <c r="A90" i="156"/>
  <c r="AM89" i="156"/>
  <c r="AL89" i="156"/>
  <c r="AK89" i="156"/>
  <c r="AJ89" i="156"/>
  <c r="AI89" i="156"/>
  <c r="AH89" i="156"/>
  <c r="AG89" i="156"/>
  <c r="AF89" i="156"/>
  <c r="AE89" i="156"/>
  <c r="AD89" i="156"/>
  <c r="AC89" i="156"/>
  <c r="AB89" i="156"/>
  <c r="AA89" i="156"/>
  <c r="Z89" i="156"/>
  <c r="Y89" i="156"/>
  <c r="X89" i="156"/>
  <c r="W89" i="156"/>
  <c r="V89" i="156"/>
  <c r="U89" i="156"/>
  <c r="T89" i="156"/>
  <c r="S89" i="156"/>
  <c r="R89" i="156"/>
  <c r="Q89" i="156"/>
  <c r="P89" i="156"/>
  <c r="O89" i="156"/>
  <c r="N89" i="156"/>
  <c r="M89" i="156"/>
  <c r="L89" i="156"/>
  <c r="K89" i="156"/>
  <c r="J89" i="156"/>
  <c r="I89" i="156"/>
  <c r="H89" i="156"/>
  <c r="G89" i="156"/>
  <c r="F89" i="156"/>
  <c r="E89" i="156"/>
  <c r="D89" i="156"/>
  <c r="C89" i="156"/>
  <c r="B89" i="156"/>
  <c r="A89" i="156"/>
  <c r="AM88" i="156"/>
  <c r="AL88" i="156"/>
  <c r="AK88" i="156"/>
  <c r="AJ88" i="156"/>
  <c r="AI88" i="156"/>
  <c r="AH88" i="156"/>
  <c r="AG88" i="156"/>
  <c r="AF88" i="156"/>
  <c r="AE88" i="156"/>
  <c r="AD88" i="156"/>
  <c r="AC88" i="156"/>
  <c r="AB88" i="156"/>
  <c r="AA88" i="156"/>
  <c r="Z88" i="156"/>
  <c r="Y88" i="156"/>
  <c r="X88" i="156"/>
  <c r="W88" i="156"/>
  <c r="V88" i="156"/>
  <c r="U88" i="156"/>
  <c r="T88" i="156"/>
  <c r="S88" i="156"/>
  <c r="R88" i="156"/>
  <c r="Q88" i="156"/>
  <c r="P88" i="156"/>
  <c r="O88" i="156"/>
  <c r="N88" i="156"/>
  <c r="M88" i="156"/>
  <c r="L88" i="156"/>
  <c r="K88" i="156"/>
  <c r="J88" i="156"/>
  <c r="I88" i="156"/>
  <c r="H88" i="156"/>
  <c r="G88" i="156"/>
  <c r="F88" i="156"/>
  <c r="E88" i="156"/>
  <c r="D88" i="156"/>
  <c r="C88" i="156"/>
  <c r="B88" i="156"/>
  <c r="A88" i="156"/>
  <c r="AM87" i="156"/>
  <c r="AL87" i="156"/>
  <c r="AK87" i="156"/>
  <c r="AJ87" i="156"/>
  <c r="AI87" i="156"/>
  <c r="AH87" i="156"/>
  <c r="AG87" i="156"/>
  <c r="AF87" i="156"/>
  <c r="AE87" i="156"/>
  <c r="AD87" i="156"/>
  <c r="AC87" i="156"/>
  <c r="AB87" i="156"/>
  <c r="AA87" i="156"/>
  <c r="Z87" i="156"/>
  <c r="Y87" i="156"/>
  <c r="X87" i="156"/>
  <c r="W87" i="156"/>
  <c r="V87" i="156"/>
  <c r="U87" i="156"/>
  <c r="T87" i="156"/>
  <c r="S87" i="156"/>
  <c r="R87" i="156"/>
  <c r="Q87" i="156"/>
  <c r="P87" i="156"/>
  <c r="O87" i="156"/>
  <c r="N87" i="156"/>
  <c r="M87" i="156"/>
  <c r="L87" i="156"/>
  <c r="K87" i="156"/>
  <c r="J87" i="156"/>
  <c r="I87" i="156"/>
  <c r="H87" i="156"/>
  <c r="G87" i="156"/>
  <c r="F87" i="156"/>
  <c r="E87" i="156"/>
  <c r="D87" i="156"/>
  <c r="C87" i="156"/>
  <c r="B87" i="156"/>
  <c r="A87" i="156"/>
  <c r="AM86" i="156"/>
  <c r="AL86" i="156"/>
  <c r="AK86" i="156"/>
  <c r="AJ86" i="156"/>
  <c r="AI86" i="156"/>
  <c r="AH86" i="156"/>
  <c r="AG86" i="156"/>
  <c r="AF86" i="156"/>
  <c r="AE86" i="156"/>
  <c r="AD86" i="156"/>
  <c r="AC86" i="156"/>
  <c r="AB86" i="156"/>
  <c r="AA86" i="156"/>
  <c r="Z86" i="156"/>
  <c r="Y86" i="156"/>
  <c r="X86" i="156"/>
  <c r="W86" i="156"/>
  <c r="V86" i="156"/>
  <c r="U86" i="156"/>
  <c r="T86" i="156"/>
  <c r="S86" i="156"/>
  <c r="R86" i="156"/>
  <c r="Q86" i="156"/>
  <c r="P86" i="156"/>
  <c r="O86" i="156"/>
  <c r="N86" i="156"/>
  <c r="M86" i="156"/>
  <c r="L86" i="156"/>
  <c r="K86" i="156"/>
  <c r="J86" i="156"/>
  <c r="I86" i="156"/>
  <c r="H86" i="156"/>
  <c r="G86" i="156"/>
  <c r="F86" i="156"/>
  <c r="E86" i="156"/>
  <c r="D86" i="156"/>
  <c r="C86" i="156"/>
  <c r="B86" i="156"/>
  <c r="A86" i="156"/>
  <c r="A85" i="156"/>
  <c r="BZ83" i="156"/>
  <c r="BY83" i="156"/>
  <c r="BX83" i="156"/>
  <c r="BW83" i="156"/>
  <c r="BV83" i="156"/>
  <c r="BU83" i="156"/>
  <c r="BT83" i="156"/>
  <c r="BS83" i="156"/>
  <c r="BR83" i="156"/>
  <c r="BQ83" i="156"/>
  <c r="BP83" i="156"/>
  <c r="BO83" i="156"/>
  <c r="BN83" i="156"/>
  <c r="BM83" i="156"/>
  <c r="BL83" i="156"/>
  <c r="BK83" i="156"/>
  <c r="BJ83" i="156"/>
  <c r="BI83" i="156"/>
  <c r="BH83" i="156"/>
  <c r="BG83" i="156"/>
  <c r="BF83" i="156"/>
  <c r="BE83" i="156"/>
  <c r="BD83" i="156"/>
  <c r="BC83" i="156"/>
  <c r="BB83" i="156"/>
  <c r="BA83" i="156"/>
  <c r="AZ83" i="156"/>
  <c r="AY83" i="156"/>
  <c r="BW82" i="156"/>
  <c r="BV82" i="156"/>
  <c r="BU82" i="156"/>
  <c r="BT82" i="156"/>
  <c r="BS82" i="156"/>
  <c r="BR82" i="156"/>
  <c r="BQ82" i="156"/>
  <c r="BP82" i="156"/>
  <c r="BO82" i="156"/>
  <c r="BN82" i="156"/>
  <c r="BM82" i="156"/>
  <c r="BL82" i="156"/>
  <c r="BK82" i="156"/>
  <c r="BJ82" i="156"/>
  <c r="BI82" i="156"/>
  <c r="BH82" i="156"/>
  <c r="BG82" i="156"/>
  <c r="BF82" i="156"/>
  <c r="BE82" i="156"/>
  <c r="BD82" i="156"/>
  <c r="BC82" i="156"/>
  <c r="BB82" i="156"/>
  <c r="BA82" i="156"/>
  <c r="AZ82" i="156"/>
  <c r="AY82" i="156"/>
  <c r="BZ81" i="156"/>
  <c r="BY81" i="156"/>
  <c r="BX81" i="156"/>
  <c r="BW81" i="156"/>
  <c r="BV81" i="156"/>
  <c r="BU81" i="156"/>
  <c r="BT81" i="156"/>
  <c r="BS81" i="156"/>
  <c r="BR81" i="156"/>
  <c r="BQ81" i="156"/>
  <c r="BP81" i="156"/>
  <c r="BO81" i="156"/>
  <c r="BN81" i="156"/>
  <c r="BM81" i="156"/>
  <c r="BL81" i="156"/>
  <c r="BK81" i="156"/>
  <c r="BJ81" i="156"/>
  <c r="BI81" i="156"/>
  <c r="BH81" i="156"/>
  <c r="BG81" i="156"/>
  <c r="BF81" i="156"/>
  <c r="BE81" i="156"/>
  <c r="BD81" i="156"/>
  <c r="BC81" i="156"/>
  <c r="BB81" i="156"/>
  <c r="BA81" i="156"/>
  <c r="AZ81" i="156"/>
  <c r="AY81" i="156"/>
  <c r="BZ80" i="156"/>
  <c r="BY80" i="156"/>
  <c r="BX80" i="156"/>
  <c r="BW80" i="156"/>
  <c r="BV80" i="156"/>
  <c r="BU80" i="156"/>
  <c r="BT80" i="156"/>
  <c r="BS80" i="156"/>
  <c r="BR80" i="156"/>
  <c r="BQ80" i="156"/>
  <c r="BP80" i="156"/>
  <c r="BO80" i="156"/>
  <c r="BN80" i="156"/>
  <c r="BM80" i="156"/>
  <c r="BL80" i="156"/>
  <c r="BK80" i="156"/>
  <c r="BJ80" i="156"/>
  <c r="BI80" i="156"/>
  <c r="BH80" i="156"/>
  <c r="BG80" i="156"/>
  <c r="BF80" i="156"/>
  <c r="BE80" i="156"/>
  <c r="BD80" i="156"/>
  <c r="BC80" i="156"/>
  <c r="BB80" i="156"/>
  <c r="BA80" i="156"/>
  <c r="AZ80" i="156"/>
  <c r="AY80" i="156"/>
  <c r="BZ79" i="156"/>
  <c r="BY79" i="156"/>
  <c r="BX79" i="156"/>
  <c r="BW79" i="156"/>
  <c r="BV79" i="156"/>
  <c r="BU79" i="156"/>
  <c r="BT79" i="156"/>
  <c r="BS79" i="156"/>
  <c r="BR79" i="156"/>
  <c r="BQ79" i="156"/>
  <c r="BP79" i="156"/>
  <c r="BO79" i="156"/>
  <c r="BN79" i="156"/>
  <c r="BM79" i="156"/>
  <c r="BL79" i="156"/>
  <c r="BK79" i="156"/>
  <c r="BJ79" i="156"/>
  <c r="BI79" i="156"/>
  <c r="BH79" i="156"/>
  <c r="BG79" i="156"/>
  <c r="BF79" i="156"/>
  <c r="BE79" i="156"/>
  <c r="BD79" i="156"/>
  <c r="BC79" i="156"/>
  <c r="BB79" i="156"/>
  <c r="BA79" i="156"/>
  <c r="AZ79" i="156"/>
  <c r="AY79" i="156"/>
  <c r="BZ78" i="156"/>
  <c r="BY78" i="156"/>
  <c r="BX78" i="156"/>
  <c r="BW78" i="156"/>
  <c r="BV78" i="156"/>
  <c r="BU78" i="156"/>
  <c r="BT78" i="156"/>
  <c r="BS78" i="156"/>
  <c r="BR78" i="156"/>
  <c r="BQ78" i="156"/>
  <c r="BP78" i="156"/>
  <c r="BO78" i="156"/>
  <c r="BN78" i="156"/>
  <c r="BM78" i="156"/>
  <c r="BL78" i="156"/>
  <c r="BK78" i="156"/>
  <c r="BJ78" i="156"/>
  <c r="BI78" i="156"/>
  <c r="BH78" i="156"/>
  <c r="BG78" i="156"/>
  <c r="BF78" i="156"/>
  <c r="BE78" i="156"/>
  <c r="BD78" i="156"/>
  <c r="BC78" i="156"/>
  <c r="BB78" i="156"/>
  <c r="BA78" i="156"/>
  <c r="AZ78" i="156"/>
  <c r="AY78" i="156"/>
  <c r="BZ77" i="156"/>
  <c r="BY77" i="156"/>
  <c r="BX77" i="156"/>
  <c r="BW77" i="156"/>
  <c r="BV77" i="156"/>
  <c r="BU77" i="156"/>
  <c r="BT77" i="156"/>
  <c r="BS77" i="156"/>
  <c r="BR77" i="156"/>
  <c r="BQ77" i="156"/>
  <c r="BP77" i="156"/>
  <c r="BO77" i="156"/>
  <c r="BN77" i="156"/>
  <c r="BM77" i="156"/>
  <c r="BL77" i="156"/>
  <c r="BK77" i="156"/>
  <c r="BJ77" i="156"/>
  <c r="BI77" i="156"/>
  <c r="BH77" i="156"/>
  <c r="BG77" i="156"/>
  <c r="BF77" i="156"/>
  <c r="BE77" i="156"/>
  <c r="BD77" i="156"/>
  <c r="BC77" i="156"/>
  <c r="BB77" i="156"/>
  <c r="BA77" i="156"/>
  <c r="AZ77" i="156"/>
  <c r="AY77" i="156"/>
  <c r="BZ76" i="156"/>
  <c r="BY76" i="156"/>
  <c r="BX76" i="156"/>
  <c r="BW76" i="156"/>
  <c r="BV76" i="156"/>
  <c r="BU76" i="156"/>
  <c r="BT76" i="156"/>
  <c r="BS76" i="156"/>
  <c r="BR76" i="156"/>
  <c r="BQ76" i="156"/>
  <c r="BP76" i="156"/>
  <c r="BO76" i="156"/>
  <c r="BN76" i="156"/>
  <c r="BM76" i="156"/>
  <c r="BL76" i="156"/>
  <c r="BK76" i="156"/>
  <c r="BJ76" i="156"/>
  <c r="BI76" i="156"/>
  <c r="BH76" i="156"/>
  <c r="BG76" i="156"/>
  <c r="BF76" i="156"/>
  <c r="BE76" i="156"/>
  <c r="BD76" i="156"/>
  <c r="BC76" i="156"/>
  <c r="BB76" i="156"/>
  <c r="BA76" i="156"/>
  <c r="AZ76" i="156"/>
  <c r="AY76" i="156"/>
  <c r="AM83" i="156"/>
  <c r="AL83" i="156"/>
  <c r="AK83" i="156"/>
  <c r="AJ83" i="156"/>
  <c r="AI83" i="156"/>
  <c r="AH83" i="156"/>
  <c r="AG83" i="156"/>
  <c r="AF83" i="156"/>
  <c r="AE83" i="156"/>
  <c r="AD83" i="156"/>
  <c r="AC83" i="156"/>
  <c r="AB83" i="156"/>
  <c r="AA83" i="156"/>
  <c r="Z83" i="156"/>
  <c r="Y83" i="156"/>
  <c r="X83" i="156"/>
  <c r="W83" i="156"/>
  <c r="V83" i="156"/>
  <c r="U83" i="156"/>
  <c r="T83" i="156"/>
  <c r="S83" i="156"/>
  <c r="R83" i="156"/>
  <c r="Q83" i="156"/>
  <c r="P83" i="156"/>
  <c r="O83" i="156"/>
  <c r="N83" i="156"/>
  <c r="M83" i="156"/>
  <c r="L83" i="156"/>
  <c r="K83" i="156"/>
  <c r="J83" i="156"/>
  <c r="I83" i="156"/>
  <c r="H83" i="156"/>
  <c r="G83" i="156"/>
  <c r="F83" i="156"/>
  <c r="E83" i="156"/>
  <c r="D83" i="156"/>
  <c r="C83" i="156"/>
  <c r="B83" i="156"/>
  <c r="A83" i="156"/>
  <c r="AL82" i="156"/>
  <c r="AK82" i="156"/>
  <c r="AJ82" i="156"/>
  <c r="AI82" i="156"/>
  <c r="AH82" i="156"/>
  <c r="AG82" i="156"/>
  <c r="AF82" i="156"/>
  <c r="AE82" i="156"/>
  <c r="AD82" i="156"/>
  <c r="AC82" i="156"/>
  <c r="AB82" i="156"/>
  <c r="AA82" i="156"/>
  <c r="Z82" i="156"/>
  <c r="Y82" i="156"/>
  <c r="X82" i="156"/>
  <c r="V82" i="156"/>
  <c r="U82" i="156"/>
  <c r="T82" i="156"/>
  <c r="S82" i="156"/>
  <c r="R82" i="156"/>
  <c r="Q82" i="156"/>
  <c r="P82" i="156"/>
  <c r="O82" i="156"/>
  <c r="N82" i="156"/>
  <c r="M82" i="156"/>
  <c r="L82" i="156"/>
  <c r="K82" i="156"/>
  <c r="J82" i="156"/>
  <c r="I82" i="156"/>
  <c r="H82" i="156"/>
  <c r="G82" i="156"/>
  <c r="F82" i="156"/>
  <c r="E82" i="156"/>
  <c r="D82" i="156"/>
  <c r="C82" i="156"/>
  <c r="B82" i="156"/>
  <c r="A82" i="156"/>
  <c r="AM81" i="156"/>
  <c r="AL81" i="156"/>
  <c r="AK81" i="156"/>
  <c r="AJ81" i="156"/>
  <c r="AI81" i="156"/>
  <c r="AH81" i="156"/>
  <c r="AG81" i="156"/>
  <c r="AF81" i="156"/>
  <c r="AE81" i="156"/>
  <c r="AD81" i="156"/>
  <c r="AC81" i="156"/>
  <c r="AB81" i="156"/>
  <c r="AA81" i="156"/>
  <c r="Z81" i="156"/>
  <c r="Y81" i="156"/>
  <c r="X81" i="156"/>
  <c r="W81" i="156"/>
  <c r="V81" i="156"/>
  <c r="U81" i="156"/>
  <c r="T81" i="156"/>
  <c r="S81" i="156"/>
  <c r="R81" i="156"/>
  <c r="Q81" i="156"/>
  <c r="P81" i="156"/>
  <c r="O81" i="156"/>
  <c r="N81" i="156"/>
  <c r="M81" i="156"/>
  <c r="L81" i="156"/>
  <c r="K81" i="156"/>
  <c r="J81" i="156"/>
  <c r="I81" i="156"/>
  <c r="H81" i="156"/>
  <c r="G81" i="156"/>
  <c r="F81" i="156"/>
  <c r="E81" i="156"/>
  <c r="D81" i="156"/>
  <c r="C81" i="156"/>
  <c r="B81" i="156"/>
  <c r="A81" i="156"/>
  <c r="AM80" i="156"/>
  <c r="AL80" i="156"/>
  <c r="AK80" i="156"/>
  <c r="AJ80" i="156"/>
  <c r="AI80" i="156"/>
  <c r="AH80" i="156"/>
  <c r="AG80" i="156"/>
  <c r="AF80" i="156"/>
  <c r="AE80" i="156"/>
  <c r="AD80" i="156"/>
  <c r="AC80" i="156"/>
  <c r="AB80" i="156"/>
  <c r="AA80" i="156"/>
  <c r="Z80" i="156"/>
  <c r="Y80" i="156"/>
  <c r="X80" i="156"/>
  <c r="W80" i="156"/>
  <c r="V80" i="156"/>
  <c r="U80" i="156"/>
  <c r="T80" i="156"/>
  <c r="S80" i="156"/>
  <c r="R80" i="156"/>
  <c r="Q80" i="156"/>
  <c r="P80" i="156"/>
  <c r="O80" i="156"/>
  <c r="N80" i="156"/>
  <c r="M80" i="156"/>
  <c r="L80" i="156"/>
  <c r="K80" i="156"/>
  <c r="J80" i="156"/>
  <c r="I80" i="156"/>
  <c r="H80" i="156"/>
  <c r="G80" i="156"/>
  <c r="F80" i="156"/>
  <c r="E80" i="156"/>
  <c r="D80" i="156"/>
  <c r="C80" i="156"/>
  <c r="B80" i="156"/>
  <c r="A80" i="156"/>
  <c r="AM79" i="156"/>
  <c r="AL79" i="156"/>
  <c r="AK79" i="156"/>
  <c r="AJ79" i="156"/>
  <c r="AI79" i="156"/>
  <c r="AH79" i="156"/>
  <c r="AG79" i="156"/>
  <c r="AF79" i="156"/>
  <c r="AE79" i="156"/>
  <c r="AD79" i="156"/>
  <c r="AC79" i="156"/>
  <c r="AB79" i="156"/>
  <c r="AA79" i="156"/>
  <c r="Z79" i="156"/>
  <c r="Y79" i="156"/>
  <c r="X79" i="156"/>
  <c r="W79" i="156"/>
  <c r="V79" i="156"/>
  <c r="U79" i="156"/>
  <c r="T79" i="156"/>
  <c r="S79" i="156"/>
  <c r="R79" i="156"/>
  <c r="Q79" i="156"/>
  <c r="P79" i="156"/>
  <c r="O79" i="156"/>
  <c r="N79" i="156"/>
  <c r="M79" i="156"/>
  <c r="L79" i="156"/>
  <c r="K79" i="156"/>
  <c r="J79" i="156"/>
  <c r="I79" i="156"/>
  <c r="H79" i="156"/>
  <c r="G79" i="156"/>
  <c r="F79" i="156"/>
  <c r="E79" i="156"/>
  <c r="D79" i="156"/>
  <c r="C79" i="156"/>
  <c r="B79" i="156"/>
  <c r="A79" i="156"/>
  <c r="AM78" i="156"/>
  <c r="AL78" i="156"/>
  <c r="AK78" i="156"/>
  <c r="AJ78" i="156"/>
  <c r="AI78" i="156"/>
  <c r="AH78" i="156"/>
  <c r="AG78" i="156"/>
  <c r="AF78" i="156"/>
  <c r="AE78" i="156"/>
  <c r="AD78" i="156"/>
  <c r="AC78" i="156"/>
  <c r="AB78" i="156"/>
  <c r="AA78" i="156"/>
  <c r="Z78" i="156"/>
  <c r="Y78" i="156"/>
  <c r="X78" i="156"/>
  <c r="W78" i="156"/>
  <c r="V78" i="156"/>
  <c r="U78" i="156"/>
  <c r="T78" i="156"/>
  <c r="S78" i="156"/>
  <c r="R78" i="156"/>
  <c r="Q78" i="156"/>
  <c r="P78" i="156"/>
  <c r="O78" i="156"/>
  <c r="N78" i="156"/>
  <c r="M78" i="156"/>
  <c r="L78" i="156"/>
  <c r="K78" i="156"/>
  <c r="J78" i="156"/>
  <c r="I78" i="156"/>
  <c r="H78" i="156"/>
  <c r="G78" i="156"/>
  <c r="F78" i="156"/>
  <c r="E78" i="156"/>
  <c r="D78" i="156"/>
  <c r="C78" i="156"/>
  <c r="B78" i="156"/>
  <c r="A78" i="156"/>
  <c r="AM77" i="156"/>
  <c r="AL77" i="156"/>
  <c r="AK77" i="156"/>
  <c r="AJ77" i="156"/>
  <c r="AI77" i="156"/>
  <c r="AH77" i="156"/>
  <c r="AG77" i="156"/>
  <c r="AF77" i="156"/>
  <c r="AE77" i="156"/>
  <c r="AD77" i="156"/>
  <c r="AC77" i="156"/>
  <c r="AB77" i="156"/>
  <c r="AA77" i="156"/>
  <c r="Z77" i="156"/>
  <c r="Y77" i="156"/>
  <c r="X77" i="156"/>
  <c r="W77" i="156"/>
  <c r="V77" i="156"/>
  <c r="U77" i="156"/>
  <c r="T77" i="156"/>
  <c r="S77" i="156"/>
  <c r="R77" i="156"/>
  <c r="Q77" i="156"/>
  <c r="P77" i="156"/>
  <c r="O77" i="156"/>
  <c r="N77" i="156"/>
  <c r="M77" i="156"/>
  <c r="L77" i="156"/>
  <c r="K77" i="156"/>
  <c r="J77" i="156"/>
  <c r="I77" i="156"/>
  <c r="H77" i="156"/>
  <c r="G77" i="156"/>
  <c r="F77" i="156"/>
  <c r="E77" i="156"/>
  <c r="D77" i="156"/>
  <c r="C77" i="156"/>
  <c r="B77" i="156"/>
  <c r="A77" i="156"/>
  <c r="AM76" i="156"/>
  <c r="AL76" i="156"/>
  <c r="AK76" i="156"/>
  <c r="AJ76" i="156"/>
  <c r="AI76" i="156"/>
  <c r="AH76" i="156"/>
  <c r="AG76" i="156"/>
  <c r="AF76" i="156"/>
  <c r="AE76" i="156"/>
  <c r="AD76" i="156"/>
  <c r="AC76" i="156"/>
  <c r="AB76" i="156"/>
  <c r="AA76" i="156"/>
  <c r="Z76" i="156"/>
  <c r="Y76" i="156"/>
  <c r="X76" i="156"/>
  <c r="W76" i="156"/>
  <c r="V76" i="156"/>
  <c r="U76" i="156"/>
  <c r="T76" i="156"/>
  <c r="S76" i="156"/>
  <c r="R76" i="156"/>
  <c r="Q76" i="156"/>
  <c r="P76" i="156"/>
  <c r="O76" i="156"/>
  <c r="N76" i="156"/>
  <c r="M76" i="156"/>
  <c r="L76" i="156"/>
  <c r="K76" i="156"/>
  <c r="J76" i="156"/>
  <c r="I76" i="156"/>
  <c r="H76" i="156"/>
  <c r="G76" i="156"/>
  <c r="F76" i="156"/>
  <c r="E76" i="156"/>
  <c r="D76" i="156"/>
  <c r="C76" i="156"/>
  <c r="B76" i="156"/>
  <c r="A76" i="156"/>
  <c r="A75" i="156"/>
  <c r="A72" i="156"/>
  <c r="A71" i="156"/>
  <c r="CL57" i="156"/>
  <c r="CK57" i="156"/>
  <c r="CJ57" i="156"/>
  <c r="CI57" i="156"/>
  <c r="CH57" i="156"/>
  <c r="CG57" i="156"/>
  <c r="CF57" i="156"/>
  <c r="CE57" i="156"/>
  <c r="CD57" i="156"/>
  <c r="CC57" i="156"/>
  <c r="CB57" i="156"/>
  <c r="CA57" i="156"/>
  <c r="BZ57" i="156"/>
  <c r="BY57" i="156"/>
  <c r="BX57" i="156"/>
  <c r="BW57" i="156"/>
  <c r="BV57" i="156"/>
  <c r="BU57" i="156"/>
  <c r="BT57" i="156"/>
  <c r="BS57" i="156"/>
  <c r="BR57" i="156"/>
  <c r="BQ57" i="156"/>
  <c r="BP57" i="156"/>
  <c r="BO57" i="156"/>
  <c r="BN57" i="156"/>
  <c r="BM57" i="156"/>
  <c r="BL57" i="156"/>
  <c r="BK57" i="156"/>
  <c r="BJ57" i="156"/>
  <c r="BI57" i="156"/>
  <c r="BH57" i="156"/>
  <c r="BG57" i="156"/>
  <c r="BF57" i="156"/>
  <c r="BE57" i="156"/>
  <c r="BD57" i="156"/>
  <c r="BC57" i="156"/>
  <c r="BB57" i="156"/>
  <c r="BA57" i="156"/>
  <c r="AZ57" i="156"/>
  <c r="AY57" i="156"/>
  <c r="CM56" i="156"/>
  <c r="CL56" i="156"/>
  <c r="CK56" i="156"/>
  <c r="CJ56" i="156"/>
  <c r="CI56" i="156"/>
  <c r="CH56" i="156"/>
  <c r="CG56" i="156"/>
  <c r="CF56" i="156"/>
  <c r="CE56" i="156"/>
  <c r="CD56" i="156"/>
  <c r="CC56" i="156"/>
  <c r="CB56" i="156"/>
  <c r="CA56" i="156"/>
  <c r="BZ56" i="156"/>
  <c r="BY56" i="156"/>
  <c r="BX56" i="156"/>
  <c r="BW56" i="156"/>
  <c r="BV56" i="156"/>
  <c r="BU56" i="156"/>
  <c r="BT56" i="156"/>
  <c r="BS56" i="156"/>
  <c r="BR56" i="156"/>
  <c r="BQ56" i="156"/>
  <c r="BP56" i="156"/>
  <c r="BO56" i="156"/>
  <c r="BN56" i="156"/>
  <c r="BM56" i="156"/>
  <c r="BL56" i="156"/>
  <c r="BK56" i="156"/>
  <c r="BJ56" i="156"/>
  <c r="BI56" i="156"/>
  <c r="BH56" i="156"/>
  <c r="BG56" i="156"/>
  <c r="BF56" i="156"/>
  <c r="BE56" i="156"/>
  <c r="BD56" i="156"/>
  <c r="BC56" i="156"/>
  <c r="BB56" i="156"/>
  <c r="BA56" i="156"/>
  <c r="AZ56" i="156"/>
  <c r="AY56" i="156"/>
  <c r="AW57" i="156"/>
  <c r="AV57" i="156"/>
  <c r="AU57" i="156"/>
  <c r="AT57" i="156"/>
  <c r="AS57" i="156"/>
  <c r="AR57" i="156"/>
  <c r="AQ57" i="156"/>
  <c r="AP57" i="156"/>
  <c r="AO57" i="156"/>
  <c r="AN57" i="156"/>
  <c r="AM57" i="156"/>
  <c r="AL57" i="156"/>
  <c r="AK57" i="156"/>
  <c r="AJ57" i="156"/>
  <c r="AI57" i="156"/>
  <c r="AH57" i="156"/>
  <c r="AG57" i="156"/>
  <c r="AF57" i="156"/>
  <c r="AE57" i="156"/>
  <c r="AD57" i="156"/>
  <c r="AC57" i="156"/>
  <c r="AB57" i="156"/>
  <c r="AA57" i="156"/>
  <c r="Z57" i="156"/>
  <c r="Y57" i="156"/>
  <c r="X57" i="156"/>
  <c r="W57" i="156"/>
  <c r="V57" i="156"/>
  <c r="U57" i="156"/>
  <c r="T57" i="156"/>
  <c r="S57" i="156"/>
  <c r="R57" i="156"/>
  <c r="Q57" i="156"/>
  <c r="P57" i="156"/>
  <c r="O57" i="156"/>
  <c r="N57" i="156"/>
  <c r="M57" i="156"/>
  <c r="L57" i="156"/>
  <c r="K57" i="156"/>
  <c r="J57" i="156"/>
  <c r="I57" i="156"/>
  <c r="H57" i="156"/>
  <c r="G57" i="156"/>
  <c r="F57" i="156"/>
  <c r="E57" i="156"/>
  <c r="D57" i="156"/>
  <c r="C57" i="156"/>
  <c r="B57" i="156"/>
  <c r="A57" i="156"/>
  <c r="AW56" i="156"/>
  <c r="AV56" i="156"/>
  <c r="AU56" i="156"/>
  <c r="AT56" i="156"/>
  <c r="AS56" i="156"/>
  <c r="AR56" i="156"/>
  <c r="AQ56" i="156"/>
  <c r="AP56" i="156"/>
  <c r="AO56" i="156"/>
  <c r="AN56" i="156"/>
  <c r="AM56" i="156"/>
  <c r="AL56" i="156"/>
  <c r="AK56" i="156"/>
  <c r="AJ56" i="156"/>
  <c r="AI56" i="156"/>
  <c r="AH56" i="156"/>
  <c r="AG56" i="156"/>
  <c r="AF56" i="156"/>
  <c r="AE56" i="156"/>
  <c r="AD56" i="156"/>
  <c r="AC56" i="156"/>
  <c r="AB56" i="156"/>
  <c r="AA56" i="156"/>
  <c r="Z56" i="156"/>
  <c r="Y56" i="156"/>
  <c r="X56" i="156"/>
  <c r="W56" i="156"/>
  <c r="V56" i="156"/>
  <c r="U56" i="156"/>
  <c r="T56" i="156"/>
  <c r="S56" i="156"/>
  <c r="R56" i="156"/>
  <c r="Q56" i="156"/>
  <c r="P56" i="156"/>
  <c r="O56" i="156"/>
  <c r="N56" i="156"/>
  <c r="M56" i="156"/>
  <c r="L56" i="156"/>
  <c r="K56" i="156"/>
  <c r="J56" i="156"/>
  <c r="I56" i="156"/>
  <c r="H56" i="156"/>
  <c r="G56" i="156"/>
  <c r="F56" i="156"/>
  <c r="E56" i="156"/>
  <c r="D56" i="156"/>
  <c r="C56" i="156"/>
  <c r="B56" i="156"/>
  <c r="A56" i="156"/>
  <c r="A55" i="156"/>
  <c r="CM53" i="156"/>
  <c r="CL53" i="156"/>
  <c r="CK53" i="156"/>
  <c r="CJ53" i="156"/>
  <c r="CI53" i="156"/>
  <c r="CH53" i="156"/>
  <c r="CG53" i="156"/>
  <c r="CF53" i="156"/>
  <c r="CE53" i="156"/>
  <c r="CD53" i="156"/>
  <c r="CC53" i="156"/>
  <c r="CB53" i="156"/>
  <c r="CA53" i="156"/>
  <c r="BZ53" i="156"/>
  <c r="BY53" i="156"/>
  <c r="BX53" i="156"/>
  <c r="BW53" i="156"/>
  <c r="BV53" i="156"/>
  <c r="BU53" i="156"/>
  <c r="BT53" i="156"/>
  <c r="BS53" i="156"/>
  <c r="BR53" i="156"/>
  <c r="BQ53" i="156"/>
  <c r="BP53" i="156"/>
  <c r="BO53" i="156"/>
  <c r="BN53" i="156"/>
  <c r="BM53" i="156"/>
  <c r="BL53" i="156"/>
  <c r="BK53" i="156"/>
  <c r="BJ53" i="156"/>
  <c r="BI53" i="156"/>
  <c r="BH53" i="156"/>
  <c r="BG53" i="156"/>
  <c r="BF53" i="156"/>
  <c r="BE53" i="156"/>
  <c r="BD53" i="156"/>
  <c r="BC53" i="156"/>
  <c r="BB53" i="156"/>
  <c r="BA53" i="156"/>
  <c r="AZ53" i="156"/>
  <c r="AY53" i="156"/>
  <c r="AW53" i="156"/>
  <c r="AV53" i="156"/>
  <c r="AU53" i="156"/>
  <c r="AT53" i="156"/>
  <c r="AS53" i="156"/>
  <c r="AR53" i="156"/>
  <c r="AQ53" i="156"/>
  <c r="AP53" i="156"/>
  <c r="AO53" i="156"/>
  <c r="AN53" i="156"/>
  <c r="AM53" i="156"/>
  <c r="AL53" i="156"/>
  <c r="AK53" i="156"/>
  <c r="AJ53" i="156"/>
  <c r="AI53" i="156"/>
  <c r="AH53" i="156"/>
  <c r="AG53" i="156"/>
  <c r="AF53" i="156"/>
  <c r="AE53" i="156"/>
  <c r="AD53" i="156"/>
  <c r="AC53" i="156"/>
  <c r="AB53" i="156"/>
  <c r="AA53" i="156"/>
  <c r="Z53" i="156"/>
  <c r="Y53" i="156"/>
  <c r="X53" i="156"/>
  <c r="W53" i="156"/>
  <c r="V53" i="156"/>
  <c r="U53" i="156"/>
  <c r="T53" i="156"/>
  <c r="S53" i="156"/>
  <c r="R53" i="156"/>
  <c r="Q53" i="156"/>
  <c r="P53" i="156"/>
  <c r="O53" i="156"/>
  <c r="N53" i="156"/>
  <c r="M53" i="156"/>
  <c r="L53" i="156"/>
  <c r="K53" i="156"/>
  <c r="J53" i="156"/>
  <c r="I53" i="156"/>
  <c r="H53" i="156"/>
  <c r="G53" i="156"/>
  <c r="F53" i="156"/>
  <c r="E53" i="156"/>
  <c r="D53" i="156"/>
  <c r="C53" i="156"/>
  <c r="B53" i="156"/>
  <c r="CJ52" i="156"/>
  <c r="CJ51" i="156"/>
  <c r="CH52" i="156"/>
  <c r="CH51" i="156"/>
  <c r="CF52" i="156"/>
  <c r="CF51" i="156"/>
  <c r="CD52" i="156"/>
  <c r="CD51" i="156"/>
  <c r="CB52" i="156"/>
  <c r="CB51" i="156"/>
  <c r="BZ52" i="156"/>
  <c r="BZ51" i="156"/>
  <c r="BX52" i="156"/>
  <c r="BX51" i="156"/>
  <c r="BV52" i="156"/>
  <c r="BV51" i="156"/>
  <c r="BT52" i="156"/>
  <c r="BT51" i="156"/>
  <c r="BR52" i="156"/>
  <c r="BR51" i="156"/>
  <c r="BP52" i="156"/>
  <c r="BP51" i="156"/>
  <c r="BN52" i="156"/>
  <c r="BN51" i="156"/>
  <c r="BL52" i="156"/>
  <c r="BL51" i="156"/>
  <c r="BJ52" i="156"/>
  <c r="BJ51" i="156"/>
  <c r="BH52" i="156"/>
  <c r="BH51" i="156"/>
  <c r="BF52" i="156"/>
  <c r="BF51" i="156"/>
  <c r="BD52" i="156"/>
  <c r="BD51" i="156"/>
  <c r="BB52" i="156"/>
  <c r="BB51" i="156"/>
  <c r="AZ52" i="156"/>
  <c r="AZ51" i="156"/>
  <c r="AW52" i="156"/>
  <c r="AW51" i="156"/>
  <c r="AU52" i="156"/>
  <c r="AU51" i="156"/>
  <c r="AS52" i="156"/>
  <c r="AS51" i="156"/>
  <c r="AQ52" i="156"/>
  <c r="AQ51" i="156"/>
  <c r="AO52" i="156"/>
  <c r="AO51" i="156"/>
  <c r="AM52" i="156"/>
  <c r="AM51" i="156"/>
  <c r="AK52" i="156"/>
  <c r="AK51" i="156"/>
  <c r="AI52" i="156"/>
  <c r="AI51" i="156"/>
  <c r="AG52" i="156"/>
  <c r="AG51" i="156"/>
  <c r="AE52" i="156"/>
  <c r="AE51" i="156"/>
  <c r="AC52" i="156"/>
  <c r="AC51" i="156"/>
  <c r="AA52" i="156"/>
  <c r="AA51" i="156"/>
  <c r="Y52" i="156"/>
  <c r="Y51" i="156"/>
  <c r="W52" i="156"/>
  <c r="W51" i="156"/>
  <c r="U52" i="156"/>
  <c r="U51" i="156"/>
  <c r="S52" i="156"/>
  <c r="S51" i="156"/>
  <c r="Q52" i="156"/>
  <c r="Q51" i="156"/>
  <c r="O52" i="156"/>
  <c r="O51" i="156"/>
  <c r="M52" i="156"/>
  <c r="M51" i="156"/>
  <c r="K52" i="156"/>
  <c r="K51" i="156"/>
  <c r="I52" i="156"/>
  <c r="I51" i="156"/>
  <c r="G52" i="156"/>
  <c r="G51" i="156"/>
  <c r="E52" i="156"/>
  <c r="E51" i="156"/>
  <c r="C52" i="156"/>
  <c r="C51" i="156"/>
  <c r="CM52" i="156"/>
  <c r="CL52" i="156"/>
  <c r="CM51" i="156"/>
  <c r="CL51" i="156"/>
  <c r="BY44" i="156"/>
  <c r="BW44" i="156"/>
  <c r="BU44" i="156"/>
  <c r="BT44" i="156"/>
  <c r="BS44" i="156"/>
  <c r="BR44" i="156"/>
  <c r="BQ44" i="156"/>
  <c r="BP44" i="156"/>
  <c r="BO44" i="156"/>
  <c r="BN44" i="156"/>
  <c r="BM44" i="156"/>
  <c r="BL44" i="156"/>
  <c r="BK44" i="156"/>
  <c r="BJ44" i="156"/>
  <c r="BI44" i="156"/>
  <c r="BH44" i="156"/>
  <c r="BG44" i="156"/>
  <c r="BF44" i="156"/>
  <c r="BE44" i="156"/>
  <c r="BD44" i="156"/>
  <c r="BC44" i="156"/>
  <c r="BB44" i="156"/>
  <c r="BA44" i="156"/>
  <c r="AZ44" i="156"/>
  <c r="AY44" i="156"/>
  <c r="CM43" i="156"/>
  <c r="CL43" i="156"/>
  <c r="CK43" i="156"/>
  <c r="CJ43" i="156"/>
  <c r="CI43" i="156"/>
  <c r="CH43" i="156"/>
  <c r="CG43" i="156"/>
  <c r="CF43" i="156"/>
  <c r="CE43" i="156"/>
  <c r="CD43" i="156"/>
  <c r="CC43" i="156"/>
  <c r="CB43" i="156"/>
  <c r="CA43" i="156"/>
  <c r="BZ43" i="156"/>
  <c r="BY43" i="156"/>
  <c r="BX43" i="156"/>
  <c r="BW43" i="156"/>
  <c r="BV43" i="156"/>
  <c r="BU43" i="156"/>
  <c r="BT43" i="156"/>
  <c r="BS43" i="156"/>
  <c r="BR43" i="156"/>
  <c r="BQ43" i="156"/>
  <c r="BP43" i="156"/>
  <c r="BO43" i="156"/>
  <c r="BN43" i="156"/>
  <c r="BM43" i="156"/>
  <c r="BL43" i="156"/>
  <c r="BK43" i="156"/>
  <c r="BJ43" i="156"/>
  <c r="BI43" i="156"/>
  <c r="BH43" i="156"/>
  <c r="BG43" i="156"/>
  <c r="BF43" i="156"/>
  <c r="BE43" i="156"/>
  <c r="BD43" i="156"/>
  <c r="BC43" i="156"/>
  <c r="BB43" i="156"/>
  <c r="BA43" i="156"/>
  <c r="AZ43" i="156"/>
  <c r="AY43" i="156"/>
  <c r="AM44" i="156"/>
  <c r="AL44" i="156"/>
  <c r="AK44" i="156"/>
  <c r="AJ44" i="156"/>
  <c r="AI44" i="156"/>
  <c r="AH44" i="156"/>
  <c r="AF44" i="156"/>
  <c r="AE44" i="156"/>
  <c r="AD44" i="156"/>
  <c r="AC44" i="156"/>
  <c r="AB44" i="156"/>
  <c r="AA44" i="156"/>
  <c r="Z44" i="156"/>
  <c r="X44" i="156"/>
  <c r="W44" i="156"/>
  <c r="V44" i="156"/>
  <c r="U44" i="156"/>
  <c r="T44" i="156"/>
  <c r="S44" i="156"/>
  <c r="R44" i="156"/>
  <c r="Q44" i="156"/>
  <c r="P44" i="156"/>
  <c r="O44" i="156"/>
  <c r="N44" i="156"/>
  <c r="M44" i="156"/>
  <c r="L44" i="156"/>
  <c r="K44" i="156"/>
  <c r="J44" i="156"/>
  <c r="I44" i="156"/>
  <c r="H44" i="156"/>
  <c r="G44" i="156"/>
  <c r="F44" i="156"/>
  <c r="E44" i="156"/>
  <c r="D44" i="156"/>
  <c r="C44" i="156"/>
  <c r="B44" i="156"/>
  <c r="A44" i="156"/>
  <c r="AW43" i="156"/>
  <c r="AV43" i="156"/>
  <c r="AU43" i="156"/>
  <c r="AT43" i="156"/>
  <c r="AS43" i="156"/>
  <c r="AR43" i="156"/>
  <c r="AQ43" i="156"/>
  <c r="AP43" i="156"/>
  <c r="AO43" i="156"/>
  <c r="AN43" i="156"/>
  <c r="AM43" i="156"/>
  <c r="AL43" i="156"/>
  <c r="AK43" i="156"/>
  <c r="AJ43" i="156"/>
  <c r="AI43" i="156"/>
  <c r="AH43" i="156"/>
  <c r="AG43" i="156"/>
  <c r="AF43" i="156"/>
  <c r="AE43" i="156"/>
  <c r="AD43" i="156"/>
  <c r="AC43" i="156"/>
  <c r="AB43" i="156"/>
  <c r="AA43" i="156"/>
  <c r="Z43" i="156"/>
  <c r="Y43" i="156"/>
  <c r="X43" i="156"/>
  <c r="W43" i="156"/>
  <c r="V43" i="156"/>
  <c r="U43" i="156"/>
  <c r="T43" i="156"/>
  <c r="S43" i="156"/>
  <c r="R43" i="156"/>
  <c r="Q43" i="156"/>
  <c r="P43" i="156"/>
  <c r="O43" i="156"/>
  <c r="N43" i="156"/>
  <c r="M43" i="156"/>
  <c r="L43" i="156"/>
  <c r="K43" i="156"/>
  <c r="J43" i="156"/>
  <c r="I43" i="156"/>
  <c r="H43" i="156"/>
  <c r="G43" i="156"/>
  <c r="F43" i="156"/>
  <c r="E43" i="156"/>
  <c r="D43" i="156"/>
  <c r="C43" i="156"/>
  <c r="B43" i="156"/>
  <c r="A43" i="156"/>
  <c r="BY40" i="156"/>
  <c r="BV40" i="156"/>
  <c r="BT40" i="156"/>
  <c r="BS40" i="156"/>
  <c r="BR40" i="156"/>
  <c r="BQ40" i="156"/>
  <c r="BP40" i="156"/>
  <c r="BO40" i="156"/>
  <c r="BN40" i="156"/>
  <c r="BM40" i="156"/>
  <c r="BL40" i="156"/>
  <c r="BK40" i="156"/>
  <c r="BJ40" i="156"/>
  <c r="BI40" i="156"/>
  <c r="BH40" i="156"/>
  <c r="BG40" i="156"/>
  <c r="BF40" i="156"/>
  <c r="BE40" i="156"/>
  <c r="BD40" i="156"/>
  <c r="BC40" i="156"/>
  <c r="BB40" i="156"/>
  <c r="BA40" i="156"/>
  <c r="AZ40" i="156"/>
  <c r="AY40" i="156"/>
  <c r="BY39" i="156"/>
  <c r="BT39" i="156"/>
  <c r="BS39" i="156"/>
  <c r="BR39" i="156"/>
  <c r="BQ39" i="156"/>
  <c r="BP39" i="156"/>
  <c r="BO39" i="156"/>
  <c r="BN39" i="156"/>
  <c r="BM39" i="156"/>
  <c r="BL39" i="156"/>
  <c r="BK39" i="156"/>
  <c r="BJ39" i="156"/>
  <c r="BI39" i="156"/>
  <c r="BH39" i="156"/>
  <c r="BG39" i="156"/>
  <c r="BF39" i="156"/>
  <c r="BE39" i="156"/>
  <c r="BD39" i="156"/>
  <c r="BC39" i="156"/>
  <c r="BB39" i="156"/>
  <c r="BA39" i="156"/>
  <c r="AZ39" i="156"/>
  <c r="AY39" i="156"/>
  <c r="BY38" i="156"/>
  <c r="BX38" i="156"/>
  <c r="BW38" i="156"/>
  <c r="BU38" i="156"/>
  <c r="BT38" i="156"/>
  <c r="BS38" i="156"/>
  <c r="BR38" i="156"/>
  <c r="BQ38" i="156"/>
  <c r="BP38" i="156"/>
  <c r="BO38" i="156"/>
  <c r="BN38" i="156"/>
  <c r="BM38" i="156"/>
  <c r="BL38" i="156"/>
  <c r="BK38" i="156"/>
  <c r="BJ38" i="156"/>
  <c r="BI38" i="156"/>
  <c r="BH38" i="156"/>
  <c r="BG38" i="156"/>
  <c r="BF38" i="156"/>
  <c r="BE38" i="156"/>
  <c r="BD38" i="156"/>
  <c r="BC38" i="156"/>
  <c r="BB38" i="156"/>
  <c r="BA38" i="156"/>
  <c r="AZ38" i="156"/>
  <c r="AY38" i="156"/>
  <c r="AM40" i="156"/>
  <c r="AL40" i="156"/>
  <c r="AK40" i="156"/>
  <c r="AJ40" i="156"/>
  <c r="AI40" i="156"/>
  <c r="AH40" i="156"/>
  <c r="AF40" i="156"/>
  <c r="AE40" i="156"/>
  <c r="AD40" i="156"/>
  <c r="AC40" i="156"/>
  <c r="AB40" i="156"/>
  <c r="AA40" i="156"/>
  <c r="Z40" i="156"/>
  <c r="Y40" i="156"/>
  <c r="X40" i="156"/>
  <c r="W40" i="156"/>
  <c r="V40" i="156"/>
  <c r="U40" i="156"/>
  <c r="T40" i="156"/>
  <c r="S40" i="156"/>
  <c r="R40" i="156"/>
  <c r="Q40" i="156"/>
  <c r="P40" i="156"/>
  <c r="O40" i="156"/>
  <c r="N40" i="156"/>
  <c r="M40" i="156"/>
  <c r="L40" i="156"/>
  <c r="K40" i="156"/>
  <c r="J40" i="156"/>
  <c r="I40" i="156"/>
  <c r="H40" i="156"/>
  <c r="G40" i="156"/>
  <c r="F40" i="156"/>
  <c r="E40" i="156"/>
  <c r="D40" i="156"/>
  <c r="C40" i="156"/>
  <c r="B40" i="156"/>
  <c r="A40" i="156"/>
  <c r="AM39" i="156"/>
  <c r="AL39" i="156"/>
  <c r="AJ39" i="156"/>
  <c r="AI39" i="156"/>
  <c r="AH39" i="156"/>
  <c r="AG39" i="156"/>
  <c r="AF39" i="156"/>
  <c r="AE39" i="156"/>
  <c r="AD39" i="156"/>
  <c r="AC39" i="156"/>
  <c r="AB39" i="156"/>
  <c r="AA39" i="156"/>
  <c r="Z39" i="156"/>
  <c r="X39" i="156"/>
  <c r="W39" i="156"/>
  <c r="V39" i="156"/>
  <c r="U39" i="156"/>
  <c r="T39" i="156"/>
  <c r="S39" i="156"/>
  <c r="R39" i="156"/>
  <c r="Q39" i="156"/>
  <c r="P39" i="156"/>
  <c r="O39" i="156"/>
  <c r="N39" i="156"/>
  <c r="M39" i="156"/>
  <c r="L39" i="156"/>
  <c r="K39" i="156"/>
  <c r="J39" i="156"/>
  <c r="I39" i="156"/>
  <c r="H39" i="156"/>
  <c r="G39" i="156"/>
  <c r="F39" i="156"/>
  <c r="E39" i="156"/>
  <c r="D39" i="156"/>
  <c r="C39" i="156"/>
  <c r="B39" i="156"/>
  <c r="A39" i="156"/>
  <c r="AM38" i="156"/>
  <c r="AL38" i="156"/>
  <c r="AK38" i="156"/>
  <c r="AJ38" i="156"/>
  <c r="AI38" i="156"/>
  <c r="AH38" i="156"/>
  <c r="AG38" i="156"/>
  <c r="AF38" i="156"/>
  <c r="AE38" i="156"/>
  <c r="AD38" i="156"/>
  <c r="AC38" i="156"/>
  <c r="AB38" i="156"/>
  <c r="AA38" i="156"/>
  <c r="Z38" i="156"/>
  <c r="Y38" i="156"/>
  <c r="X38" i="156"/>
  <c r="W38" i="156"/>
  <c r="V38" i="156"/>
  <c r="U38" i="156"/>
  <c r="T38" i="156"/>
  <c r="S38" i="156"/>
  <c r="R38" i="156"/>
  <c r="Q38" i="156"/>
  <c r="P38" i="156"/>
  <c r="O38" i="156"/>
  <c r="N38" i="156"/>
  <c r="M38" i="156"/>
  <c r="L38" i="156"/>
  <c r="K38" i="156"/>
  <c r="J38" i="156"/>
  <c r="I38" i="156"/>
  <c r="H38" i="156"/>
  <c r="G38" i="156"/>
  <c r="F38" i="156"/>
  <c r="E38" i="156"/>
  <c r="D38" i="156"/>
  <c r="C38" i="156"/>
  <c r="B38" i="156"/>
  <c r="A38" i="156"/>
  <c r="A37" i="156"/>
  <c r="BY34" i="156"/>
  <c r="BW34" i="156"/>
  <c r="BU34" i="156"/>
  <c r="BS34" i="156"/>
  <c r="BQ34" i="156"/>
  <c r="BO34" i="156"/>
  <c r="BM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B34" i="156"/>
  <c r="BV34" i="156"/>
  <c r="BT34" i="156"/>
  <c r="BR34" i="156"/>
  <c r="BP34" i="156"/>
  <c r="BN34" i="156"/>
  <c r="BL34" i="156"/>
  <c r="BK34" i="156"/>
  <c r="BJ34" i="156"/>
  <c r="BI34" i="156"/>
  <c r="BH34" i="156"/>
  <c r="BG34" i="156"/>
  <c r="BF34" i="156"/>
  <c r="BE34" i="156"/>
  <c r="BD34" i="156"/>
  <c r="BC34" i="156"/>
  <c r="BB34" i="156"/>
  <c r="BA34" i="156"/>
  <c r="AZ34" i="156"/>
  <c r="AY34" i="156"/>
  <c r="AM34" i="156"/>
  <c r="AK34" i="156"/>
  <c r="AI34" i="156"/>
  <c r="AE34" i="156"/>
  <c r="AC34" i="156"/>
  <c r="AA34" i="156"/>
  <c r="U34" i="156"/>
  <c r="S34" i="156"/>
  <c r="Q34" i="156"/>
  <c r="O34" i="156"/>
  <c r="M34" i="156"/>
  <c r="K34" i="156"/>
  <c r="I34" i="156"/>
  <c r="G34" i="156"/>
  <c r="E34" i="156"/>
  <c r="C34" i="156"/>
  <c r="A34" i="156"/>
  <c r="BZ32" i="156"/>
  <c r="BY32" i="156"/>
  <c r="BX32" i="156"/>
  <c r="BW32" i="156"/>
  <c r="BV32" i="156"/>
  <c r="BU32" i="156"/>
  <c r="BT32" i="156"/>
  <c r="BS32" i="156"/>
  <c r="BR32" i="156"/>
  <c r="BQ32" i="156"/>
  <c r="BP32" i="156"/>
  <c r="BO32" i="156"/>
  <c r="BN32" i="156"/>
  <c r="BM32" i="156"/>
  <c r="BL32" i="156"/>
  <c r="BK32" i="156"/>
  <c r="BJ32" i="156"/>
  <c r="BI32" i="156"/>
  <c r="BH32" i="156"/>
  <c r="BG32" i="156"/>
  <c r="BF32" i="156"/>
  <c r="BE32" i="156"/>
  <c r="BD32" i="156"/>
  <c r="BC32" i="156"/>
  <c r="BB32" i="156"/>
  <c r="BA32" i="156"/>
  <c r="AZ32" i="156"/>
  <c r="AY32" i="156"/>
  <c r="AM32" i="156"/>
  <c r="AL32" i="156"/>
  <c r="AK32" i="156"/>
  <c r="AJ32" i="156"/>
  <c r="AI32" i="156"/>
  <c r="AH32" i="156"/>
  <c r="AG32" i="156"/>
  <c r="AF32" i="156"/>
  <c r="AE32" i="156"/>
  <c r="AD32" i="156"/>
  <c r="AC32" i="156"/>
  <c r="AB32" i="156"/>
  <c r="AA32" i="156"/>
  <c r="Z32" i="156"/>
  <c r="Y32" i="156"/>
  <c r="X32" i="156"/>
  <c r="W32" i="156"/>
  <c r="V32" i="156"/>
  <c r="U32" i="156"/>
  <c r="T32" i="156"/>
  <c r="S32" i="156"/>
  <c r="R32" i="156"/>
  <c r="Q32" i="156"/>
  <c r="P32" i="156"/>
  <c r="O32" i="156"/>
  <c r="N32" i="156"/>
  <c r="M32" i="156"/>
  <c r="L32" i="156"/>
  <c r="K32" i="156"/>
  <c r="J32" i="156"/>
  <c r="I32" i="156"/>
  <c r="H32" i="156"/>
  <c r="G32" i="156"/>
  <c r="F32" i="156"/>
  <c r="E32" i="156"/>
  <c r="D32" i="156"/>
  <c r="C32" i="156"/>
  <c r="B32" i="156"/>
  <c r="A32" i="156"/>
  <c r="CK28" i="156"/>
  <c r="CI28" i="156"/>
  <c r="CG28" i="156"/>
  <c r="CE28" i="156"/>
  <c r="CC28" i="156"/>
  <c r="CA28" i="156"/>
  <c r="BY29" i="156"/>
  <c r="BY28" i="156"/>
  <c r="BW29" i="156"/>
  <c r="BW28" i="156"/>
  <c r="BU29" i="156"/>
  <c r="BU28" i="156"/>
  <c r="BS29" i="156"/>
  <c r="BS28" i="156"/>
  <c r="BQ29" i="156"/>
  <c r="BQ28" i="156"/>
  <c r="BO29" i="156"/>
  <c r="BO30" i="156" s="1"/>
  <c r="BO28" i="156"/>
  <c r="BM29" i="156"/>
  <c r="BM28" i="156"/>
  <c r="AV28" i="156"/>
  <c r="AT28" i="156"/>
  <c r="AR28" i="156"/>
  <c r="AP28" i="156"/>
  <c r="AN28" i="156"/>
  <c r="AL29" i="156"/>
  <c r="AL28" i="156"/>
  <c r="AJ29" i="156"/>
  <c r="AJ28" i="156"/>
  <c r="AH29" i="156"/>
  <c r="AH28" i="156"/>
  <c r="AF29" i="156"/>
  <c r="AF28" i="156"/>
  <c r="AD29" i="156"/>
  <c r="AD28" i="156"/>
  <c r="AB29" i="156"/>
  <c r="AB28" i="156"/>
  <c r="Z29" i="156"/>
  <c r="Z28" i="156"/>
  <c r="X29" i="156"/>
  <c r="X28" i="156"/>
  <c r="V29" i="156"/>
  <c r="V28" i="156"/>
  <c r="T29" i="156"/>
  <c r="T28" i="156"/>
  <c r="R29" i="156"/>
  <c r="R28" i="156"/>
  <c r="P29" i="156"/>
  <c r="P28" i="156"/>
  <c r="N29" i="156"/>
  <c r="N28" i="156"/>
  <c r="L29" i="156"/>
  <c r="L28" i="156"/>
  <c r="J29" i="156"/>
  <c r="J28" i="156"/>
  <c r="H29" i="156"/>
  <c r="H28" i="156"/>
  <c r="F29" i="156"/>
  <c r="F28" i="156"/>
  <c r="D29" i="156"/>
  <c r="D28" i="156"/>
  <c r="B29" i="156"/>
  <c r="B28" i="156"/>
  <c r="CJ28" i="156"/>
  <c r="CH28" i="156"/>
  <c r="CF28" i="156"/>
  <c r="CD28" i="156"/>
  <c r="CB28" i="156"/>
  <c r="BZ29" i="156"/>
  <c r="BZ28" i="156"/>
  <c r="BX28" i="156"/>
  <c r="BV29" i="156"/>
  <c r="BV28" i="156"/>
  <c r="BT29" i="156"/>
  <c r="BT28" i="156"/>
  <c r="BR29" i="156"/>
  <c r="BR28" i="156"/>
  <c r="BP29" i="156"/>
  <c r="BP28" i="156"/>
  <c r="BN29" i="156"/>
  <c r="BN28" i="156"/>
  <c r="AW28" i="156"/>
  <c r="AU28" i="156"/>
  <c r="AS28" i="156"/>
  <c r="AQ28" i="156"/>
  <c r="AO28" i="156"/>
  <c r="AM29" i="156"/>
  <c r="AM28" i="156"/>
  <c r="AK29" i="156"/>
  <c r="AK28" i="156"/>
  <c r="AI29" i="156"/>
  <c r="AI28" i="156"/>
  <c r="AG29" i="156"/>
  <c r="AG28" i="156"/>
  <c r="AE29" i="156"/>
  <c r="AE28" i="156"/>
  <c r="AC29" i="156"/>
  <c r="AC28" i="156"/>
  <c r="AA29" i="156"/>
  <c r="AA28" i="156"/>
  <c r="Y29" i="156"/>
  <c r="Y28" i="156"/>
  <c r="W29" i="156"/>
  <c r="W28" i="156"/>
  <c r="U29" i="156"/>
  <c r="U28" i="156"/>
  <c r="S29" i="156"/>
  <c r="S28" i="156"/>
  <c r="Q29" i="156"/>
  <c r="Q28" i="156"/>
  <c r="O29" i="156"/>
  <c r="O28" i="156"/>
  <c r="M29" i="156"/>
  <c r="M28" i="156"/>
  <c r="K29" i="156"/>
  <c r="K28" i="156"/>
  <c r="I29" i="156"/>
  <c r="I28" i="156"/>
  <c r="G29" i="156"/>
  <c r="G28" i="156"/>
  <c r="E29" i="156"/>
  <c r="E28" i="156"/>
  <c r="C29" i="156"/>
  <c r="C28" i="156"/>
  <c r="A29" i="156"/>
  <c r="A28" i="156"/>
  <c r="CL28" i="156"/>
  <c r="BL29" i="156"/>
  <c r="BK29" i="156"/>
  <c r="BJ29" i="156"/>
  <c r="BI29" i="156"/>
  <c r="BH29" i="156"/>
  <c r="BG29" i="156"/>
  <c r="BF29" i="156"/>
  <c r="BE29" i="156"/>
  <c r="BD29" i="156"/>
  <c r="BC29" i="156"/>
  <c r="BB29" i="156"/>
  <c r="BA29" i="156"/>
  <c r="AZ29" i="156"/>
  <c r="AY29" i="156"/>
  <c r="BL28" i="156"/>
  <c r="BK28" i="156"/>
  <c r="BJ28" i="156"/>
  <c r="BI28" i="156"/>
  <c r="BH28" i="156"/>
  <c r="BG28" i="156"/>
  <c r="BF28" i="156"/>
  <c r="BE28" i="156"/>
  <c r="BD28" i="156"/>
  <c r="BC28" i="156"/>
  <c r="BB28" i="156"/>
  <c r="BA28" i="156"/>
  <c r="AZ28" i="156"/>
  <c r="AY28" i="156"/>
  <c r="CK24" i="156"/>
  <c r="CI24" i="156"/>
  <c r="CG24" i="156"/>
  <c r="CE24" i="156"/>
  <c r="CC24" i="156"/>
  <c r="CA24" i="156"/>
  <c r="BY25" i="156"/>
  <c r="BY24" i="156"/>
  <c r="BY23" i="156"/>
  <c r="BY22" i="156"/>
  <c r="BW25" i="156"/>
  <c r="BW24" i="156"/>
  <c r="BW23" i="156"/>
  <c r="BW22" i="156"/>
  <c r="BU25" i="156"/>
  <c r="BU24" i="156"/>
  <c r="BU23" i="156"/>
  <c r="BU22" i="156"/>
  <c r="BS25" i="156"/>
  <c r="BS24" i="156"/>
  <c r="BS23" i="156"/>
  <c r="BS22" i="156"/>
  <c r="AV24" i="156"/>
  <c r="AT24" i="156"/>
  <c r="AR24" i="156"/>
  <c r="AP24" i="156"/>
  <c r="AN24" i="156"/>
  <c r="AL25" i="156"/>
  <c r="AL24" i="156"/>
  <c r="AL23" i="156"/>
  <c r="AL22" i="156"/>
  <c r="AJ25" i="156"/>
  <c r="AJ24" i="156"/>
  <c r="AJ23" i="156"/>
  <c r="AJ22" i="156"/>
  <c r="AH25" i="156"/>
  <c r="AH24" i="156"/>
  <c r="AH23" i="156"/>
  <c r="AH22" i="156"/>
  <c r="AF25" i="156"/>
  <c r="AF24" i="156"/>
  <c r="AF23" i="156"/>
  <c r="AF22" i="156"/>
  <c r="AD25" i="156"/>
  <c r="AD24" i="156"/>
  <c r="AD23" i="156"/>
  <c r="AD22" i="156"/>
  <c r="AB25" i="156"/>
  <c r="AB24" i="156"/>
  <c r="AB23" i="156"/>
  <c r="AB22" i="156"/>
  <c r="Z25" i="156"/>
  <c r="Z24" i="156"/>
  <c r="Z23" i="156"/>
  <c r="Z22" i="156"/>
  <c r="X25" i="156"/>
  <c r="X24" i="156"/>
  <c r="X23" i="156"/>
  <c r="X22" i="156"/>
  <c r="V25" i="156"/>
  <c r="V24" i="156"/>
  <c r="V23" i="156"/>
  <c r="V22" i="156"/>
  <c r="T25" i="156"/>
  <c r="T24" i="156"/>
  <c r="T23" i="156"/>
  <c r="T22" i="156"/>
  <c r="R25" i="156"/>
  <c r="R24" i="156"/>
  <c r="R23" i="156"/>
  <c r="R22" i="156"/>
  <c r="P25" i="156"/>
  <c r="P24" i="156"/>
  <c r="P23" i="156"/>
  <c r="P22" i="156"/>
  <c r="N25" i="156"/>
  <c r="N24" i="156"/>
  <c r="N23" i="156"/>
  <c r="N22" i="156"/>
  <c r="L25" i="156"/>
  <c r="L24" i="156"/>
  <c r="L23" i="156"/>
  <c r="L22" i="156"/>
  <c r="J25" i="156"/>
  <c r="J24" i="156"/>
  <c r="J23" i="156"/>
  <c r="J22" i="156"/>
  <c r="H25" i="156"/>
  <c r="H24" i="156"/>
  <c r="H23" i="156"/>
  <c r="H22" i="156"/>
  <c r="F25" i="156"/>
  <c r="F24" i="156"/>
  <c r="F23" i="156"/>
  <c r="F22" i="156"/>
  <c r="D25" i="156"/>
  <c r="D24" i="156"/>
  <c r="D23" i="156"/>
  <c r="D22" i="156"/>
  <c r="B25" i="156"/>
  <c r="B24" i="156"/>
  <c r="B23" i="156"/>
  <c r="B22" i="156"/>
  <c r="CJ24" i="156"/>
  <c r="CH24" i="156"/>
  <c r="CF24" i="156"/>
  <c r="CD24" i="156"/>
  <c r="CB24" i="156"/>
  <c r="BZ24" i="156"/>
  <c r="BZ23" i="156"/>
  <c r="BZ22" i="156"/>
  <c r="BX24" i="156"/>
  <c r="BX23" i="156"/>
  <c r="BX22" i="156"/>
  <c r="BV25" i="156"/>
  <c r="BV24" i="156"/>
  <c r="BV23" i="156"/>
  <c r="BV22" i="156"/>
  <c r="BT25" i="156"/>
  <c r="BT24" i="156"/>
  <c r="BT23" i="156"/>
  <c r="BT22" i="156"/>
  <c r="AW24" i="156"/>
  <c r="AU24" i="156"/>
  <c r="AS24" i="156"/>
  <c r="AQ24" i="156"/>
  <c r="AO24" i="156"/>
  <c r="AM25" i="156"/>
  <c r="AM24" i="156"/>
  <c r="AM23" i="156"/>
  <c r="AM22" i="156"/>
  <c r="AK25" i="156"/>
  <c r="AK24" i="156"/>
  <c r="AK23" i="156"/>
  <c r="AK22" i="156"/>
  <c r="AI25" i="156"/>
  <c r="AI24" i="156"/>
  <c r="AI23" i="156"/>
  <c r="AI22" i="156"/>
  <c r="AG25" i="156"/>
  <c r="AG24" i="156"/>
  <c r="AG23" i="156"/>
  <c r="AG22" i="156"/>
  <c r="AE25" i="156"/>
  <c r="AE24" i="156"/>
  <c r="AE23" i="156"/>
  <c r="AE22" i="156"/>
  <c r="AC25" i="156"/>
  <c r="AC24" i="156"/>
  <c r="AC23" i="156"/>
  <c r="AC22" i="156"/>
  <c r="AA25" i="156"/>
  <c r="AA24" i="156"/>
  <c r="AA23" i="156"/>
  <c r="AA22" i="156"/>
  <c r="Y25" i="156"/>
  <c r="Y24" i="156"/>
  <c r="Y23" i="156"/>
  <c r="Y22" i="156"/>
  <c r="W25" i="156"/>
  <c r="W24" i="156"/>
  <c r="W23" i="156"/>
  <c r="W22" i="156"/>
  <c r="U24" i="156"/>
  <c r="U23" i="156"/>
  <c r="U22" i="156"/>
  <c r="S25" i="156"/>
  <c r="S24" i="156"/>
  <c r="S23" i="156"/>
  <c r="S22" i="156"/>
  <c r="Q25" i="156"/>
  <c r="Q24" i="156"/>
  <c r="Q23" i="156"/>
  <c r="Q22" i="156"/>
  <c r="O25" i="156"/>
  <c r="O24" i="156"/>
  <c r="O23" i="156"/>
  <c r="O22" i="156"/>
  <c r="M24" i="156"/>
  <c r="M23" i="156"/>
  <c r="M22" i="156"/>
  <c r="K25" i="156"/>
  <c r="K24" i="156"/>
  <c r="K23" i="156"/>
  <c r="K22" i="156"/>
  <c r="I25" i="156"/>
  <c r="I24" i="156"/>
  <c r="I23" i="156"/>
  <c r="I22" i="156"/>
  <c r="G25" i="156"/>
  <c r="G24" i="156"/>
  <c r="G23" i="156"/>
  <c r="G22" i="156"/>
  <c r="E25" i="156"/>
  <c r="E24" i="156"/>
  <c r="E23" i="156"/>
  <c r="E22" i="156"/>
  <c r="C25" i="156"/>
  <c r="C24" i="156"/>
  <c r="C23" i="156"/>
  <c r="C22" i="156"/>
  <c r="CM24" i="156"/>
  <c r="CL24" i="156"/>
  <c r="BY19" i="156"/>
  <c r="BY72" i="156" s="1"/>
  <c r="BW19" i="156"/>
  <c r="BW72" i="156" s="1"/>
  <c r="BU19" i="156"/>
  <c r="BU72" i="156" s="1"/>
  <c r="BS19" i="156"/>
  <c r="BS72" i="156" s="1"/>
  <c r="AL19" i="156"/>
  <c r="AL72" i="156" s="1"/>
  <c r="AJ19" i="156"/>
  <c r="AJ72" i="156" s="1"/>
  <c r="AH19" i="156"/>
  <c r="AH72" i="156" s="1"/>
  <c r="AF19" i="156"/>
  <c r="AF72" i="156" s="1"/>
  <c r="AD19" i="156"/>
  <c r="AD72" i="156" s="1"/>
  <c r="AB19" i="156"/>
  <c r="AB72" i="156" s="1"/>
  <c r="Z19" i="156"/>
  <c r="Z72" i="156" s="1"/>
  <c r="X19" i="156"/>
  <c r="X72" i="156" s="1"/>
  <c r="V19" i="156"/>
  <c r="V72" i="156" s="1"/>
  <c r="T19" i="156"/>
  <c r="T72" i="156" s="1"/>
  <c r="R19" i="156"/>
  <c r="R72" i="156" s="1"/>
  <c r="P19" i="156"/>
  <c r="P72" i="156" s="1"/>
  <c r="N19" i="156"/>
  <c r="N72" i="156" s="1"/>
  <c r="L19" i="156"/>
  <c r="L72" i="156" s="1"/>
  <c r="J19" i="156"/>
  <c r="J72" i="156" s="1"/>
  <c r="H19" i="156"/>
  <c r="H72" i="156" s="1"/>
  <c r="F19" i="156"/>
  <c r="F72" i="156" s="1"/>
  <c r="D19" i="156"/>
  <c r="D72" i="156" s="1"/>
  <c r="B19" i="156"/>
  <c r="B72" i="156" s="1"/>
  <c r="BZ19" i="156"/>
  <c r="BX19" i="156"/>
  <c r="BV19" i="156"/>
  <c r="BT19" i="156"/>
  <c r="AM19" i="156"/>
  <c r="AK19" i="156"/>
  <c r="AI19" i="156"/>
  <c r="AG19" i="156"/>
  <c r="AE19" i="156"/>
  <c r="AC19" i="156"/>
  <c r="AA19" i="156"/>
  <c r="Y19" i="156"/>
  <c r="W19" i="156"/>
  <c r="U19" i="156"/>
  <c r="S19" i="156"/>
  <c r="Q19" i="156"/>
  <c r="O19" i="156"/>
  <c r="M19" i="156"/>
  <c r="K19" i="156"/>
  <c r="I19" i="156"/>
  <c r="G19" i="156"/>
  <c r="E19" i="156"/>
  <c r="C19" i="156"/>
  <c r="A17" i="156"/>
  <c r="A70" i="156" s="1"/>
  <c r="A16" i="156"/>
  <c r="A69" i="156" s="1"/>
  <c r="A15" i="156"/>
  <c r="A68" i="156" s="1"/>
  <c r="A14" i="156"/>
  <c r="A67" i="156" s="1"/>
  <c r="A13" i="156"/>
  <c r="A66" i="156" s="1"/>
  <c r="A12" i="156"/>
  <c r="A65" i="156" s="1"/>
  <c r="A11" i="156"/>
  <c r="A64" i="156" s="1"/>
  <c r="A10" i="156"/>
  <c r="A63" i="156" s="1"/>
  <c r="A9" i="156"/>
  <c r="A62" i="156" s="1"/>
  <c r="A8" i="156"/>
  <c r="A61" i="156" s="1"/>
  <c r="CG16" i="156"/>
  <c r="CF16" i="156"/>
  <c r="CE16" i="156"/>
  <c r="CD16" i="156"/>
  <c r="CC16" i="156"/>
  <c r="CB16" i="156"/>
  <c r="CA16" i="156"/>
  <c r="BZ16" i="156"/>
  <c r="BY16" i="156"/>
  <c r="BX16" i="156"/>
  <c r="BW16" i="156"/>
  <c r="BV16" i="156"/>
  <c r="BU16" i="156"/>
  <c r="BT16" i="156"/>
  <c r="BS16" i="156"/>
  <c r="CB15" i="156"/>
  <c r="BZ15" i="156"/>
  <c r="BX15" i="156"/>
  <c r="BV15" i="156"/>
  <c r="BT15" i="156"/>
  <c r="CC14" i="156"/>
  <c r="CB14" i="156"/>
  <c r="CA14" i="156"/>
  <c r="BZ14" i="156"/>
  <c r="BY14" i="156"/>
  <c r="BX14" i="156"/>
  <c r="BW14" i="156"/>
  <c r="BV14" i="156"/>
  <c r="BU14" i="156"/>
  <c r="BT14" i="156"/>
  <c r="BS14" i="156"/>
  <c r="CD13" i="156"/>
  <c r="CC13" i="156"/>
  <c r="CB13" i="156"/>
  <c r="CA13" i="156"/>
  <c r="BZ13" i="156"/>
  <c r="BY13" i="156"/>
  <c r="BX13" i="156"/>
  <c r="BW13" i="156"/>
  <c r="BV13" i="156"/>
  <c r="BU13" i="156"/>
  <c r="BT13" i="156"/>
  <c r="BS13" i="156"/>
  <c r="BZ12" i="156"/>
  <c r="BY12" i="156"/>
  <c r="BX12" i="156"/>
  <c r="BW12" i="156"/>
  <c r="BV12" i="156"/>
  <c r="BU12" i="156"/>
  <c r="BT12" i="156"/>
  <c r="BS12" i="156"/>
  <c r="CL11" i="156"/>
  <c r="CJ11" i="156"/>
  <c r="CH11" i="156"/>
  <c r="BZ11" i="156"/>
  <c r="BY11" i="156"/>
  <c r="BX11" i="156"/>
  <c r="BW11" i="156"/>
  <c r="BW64" i="156" s="1"/>
  <c r="BV11" i="156"/>
  <c r="BU11" i="156"/>
  <c r="BT11" i="156"/>
  <c r="BS11" i="156"/>
  <c r="BZ10" i="156"/>
  <c r="BX10" i="156"/>
  <c r="BV10" i="156"/>
  <c r="BT10" i="156"/>
  <c r="BZ9" i="156"/>
  <c r="BY9" i="156"/>
  <c r="BX9" i="156"/>
  <c r="BW9" i="156"/>
  <c r="BW62" i="156" s="1"/>
  <c r="BV9" i="156"/>
  <c r="BU9" i="156"/>
  <c r="BT9" i="156"/>
  <c r="BS9" i="156"/>
  <c r="BZ8" i="156"/>
  <c r="BY8" i="156"/>
  <c r="BX8" i="156"/>
  <c r="BW8" i="156"/>
  <c r="BW61" i="156" s="1"/>
  <c r="BV8" i="156"/>
  <c r="BU8" i="156"/>
  <c r="BT8" i="156"/>
  <c r="BS8" i="156"/>
  <c r="AW16" i="156"/>
  <c r="AV16" i="156"/>
  <c r="AU16" i="156"/>
  <c r="AT16" i="156"/>
  <c r="AS16" i="156"/>
  <c r="AR16" i="156"/>
  <c r="AQ16" i="156"/>
  <c r="AP16" i="156"/>
  <c r="AO16" i="156"/>
  <c r="AN16" i="156"/>
  <c r="AM16" i="156"/>
  <c r="AL16" i="156"/>
  <c r="AK16" i="156"/>
  <c r="AJ16" i="156"/>
  <c r="AI16" i="156"/>
  <c r="AH16" i="156"/>
  <c r="AG16" i="156"/>
  <c r="AF16" i="156"/>
  <c r="AF69" i="156" s="1"/>
  <c r="AE16" i="156"/>
  <c r="AD16" i="156"/>
  <c r="AC16" i="156"/>
  <c r="AB16" i="156"/>
  <c r="AA16" i="156"/>
  <c r="Z16" i="156"/>
  <c r="Y16" i="156"/>
  <c r="X16" i="156"/>
  <c r="X69" i="156" s="1"/>
  <c r="W16" i="156"/>
  <c r="V16" i="156"/>
  <c r="U16" i="156"/>
  <c r="T16" i="156"/>
  <c r="S16" i="156"/>
  <c r="R16" i="156"/>
  <c r="AW15" i="156"/>
  <c r="AU15" i="156"/>
  <c r="AS15" i="156"/>
  <c r="AQ15" i="156"/>
  <c r="AO15" i="156"/>
  <c r="AM15" i="156"/>
  <c r="AK15" i="156"/>
  <c r="AI15" i="156"/>
  <c r="AG15" i="156"/>
  <c r="AE15" i="156"/>
  <c r="AC15" i="156"/>
  <c r="AA15" i="156"/>
  <c r="Y15" i="156"/>
  <c r="W15" i="156"/>
  <c r="U15" i="156"/>
  <c r="S15" i="156"/>
  <c r="Q15" i="156"/>
  <c r="P15" i="156"/>
  <c r="P68" i="156" s="1"/>
  <c r="O15" i="156"/>
  <c r="N15" i="156"/>
  <c r="M15" i="156"/>
  <c r="L15" i="156"/>
  <c r="K15" i="156"/>
  <c r="J15" i="156"/>
  <c r="I15" i="156"/>
  <c r="H15" i="156"/>
  <c r="H68" i="156" s="1"/>
  <c r="G15" i="156"/>
  <c r="F15" i="156"/>
  <c r="E15" i="156"/>
  <c r="D15" i="156"/>
  <c r="C15" i="156"/>
  <c r="B15" i="156"/>
  <c r="AW14" i="156"/>
  <c r="AV14" i="156"/>
  <c r="AU14" i="156"/>
  <c r="AT14" i="156"/>
  <c r="AS14" i="156"/>
  <c r="AR14" i="156"/>
  <c r="AQ14" i="156"/>
  <c r="AP14" i="156"/>
  <c r="AO14" i="156"/>
  <c r="AN14" i="156"/>
  <c r="AM14" i="156"/>
  <c r="AL14" i="156"/>
  <c r="AK14" i="156"/>
  <c r="AJ14" i="156"/>
  <c r="AI14" i="156"/>
  <c r="AH14" i="156"/>
  <c r="AG14" i="156"/>
  <c r="AF14" i="156"/>
  <c r="AF67" i="156" s="1"/>
  <c r="AE14" i="156"/>
  <c r="AD14" i="156"/>
  <c r="AC14" i="156"/>
  <c r="AB14" i="156"/>
  <c r="AA14" i="156"/>
  <c r="Z14" i="156"/>
  <c r="Y14" i="156"/>
  <c r="X14" i="156"/>
  <c r="X67" i="156" s="1"/>
  <c r="W14" i="156"/>
  <c r="V14" i="156"/>
  <c r="U14" i="156"/>
  <c r="T14" i="156"/>
  <c r="S14" i="156"/>
  <c r="R14" i="156"/>
  <c r="Q14" i="156"/>
  <c r="Q16" i="156" s="1"/>
  <c r="P14" i="156"/>
  <c r="P67" i="156" s="1"/>
  <c r="O14" i="156"/>
  <c r="O16" i="156" s="1"/>
  <c r="N14" i="156"/>
  <c r="M14" i="156"/>
  <c r="M16" i="156" s="1"/>
  <c r="L14" i="156"/>
  <c r="K14" i="156"/>
  <c r="K16" i="156" s="1"/>
  <c r="J14" i="156"/>
  <c r="I14" i="156"/>
  <c r="I16" i="156" s="1"/>
  <c r="H14" i="156"/>
  <c r="H67" i="156" s="1"/>
  <c r="G14" i="156"/>
  <c r="G16" i="156" s="1"/>
  <c r="F14" i="156"/>
  <c r="E14" i="156"/>
  <c r="E16" i="156" s="1"/>
  <c r="D14" i="156"/>
  <c r="C14" i="156"/>
  <c r="C16" i="156" s="1"/>
  <c r="B14" i="156"/>
  <c r="AW13" i="156"/>
  <c r="AV13" i="156"/>
  <c r="AU13" i="156"/>
  <c r="AT13" i="156"/>
  <c r="AS13" i="156"/>
  <c r="AR13" i="156"/>
  <c r="AQ13" i="156"/>
  <c r="AP13" i="156"/>
  <c r="AO13" i="156"/>
  <c r="AN13" i="156"/>
  <c r="AM13" i="156"/>
  <c r="AL13" i="156"/>
  <c r="AK13" i="156"/>
  <c r="AJ13" i="156"/>
  <c r="AI13" i="156"/>
  <c r="AH13" i="156"/>
  <c r="AG13" i="156"/>
  <c r="AF13" i="156"/>
  <c r="AF66" i="156" s="1"/>
  <c r="AE13" i="156"/>
  <c r="AD13" i="156"/>
  <c r="AC13" i="156"/>
  <c r="AB13" i="156"/>
  <c r="AA13" i="156"/>
  <c r="Z13" i="156"/>
  <c r="Y13" i="156"/>
  <c r="X13" i="156"/>
  <c r="X66" i="156" s="1"/>
  <c r="W13" i="156"/>
  <c r="V13" i="156"/>
  <c r="U13" i="156"/>
  <c r="T13" i="156"/>
  <c r="S13" i="156"/>
  <c r="R13" i="156"/>
  <c r="AM12" i="156"/>
  <c r="AL12" i="156"/>
  <c r="AK12" i="156"/>
  <c r="AJ12" i="156"/>
  <c r="AJ65" i="156" s="1"/>
  <c r="AI12" i="156"/>
  <c r="AH12" i="156"/>
  <c r="AG12" i="156"/>
  <c r="AF12" i="156"/>
  <c r="AE12" i="156"/>
  <c r="AD12" i="156"/>
  <c r="AC12" i="156"/>
  <c r="AB12" i="156"/>
  <c r="AB65" i="156" s="1"/>
  <c r="AA12" i="156"/>
  <c r="Z12" i="156"/>
  <c r="Y12" i="156"/>
  <c r="X12" i="156"/>
  <c r="W12" i="156"/>
  <c r="V12" i="156"/>
  <c r="U12" i="156"/>
  <c r="T12" i="156"/>
  <c r="T65" i="156" s="1"/>
  <c r="S12" i="156"/>
  <c r="R12" i="156"/>
  <c r="Q12" i="156"/>
  <c r="Q13" i="156" s="1"/>
  <c r="P12" i="156"/>
  <c r="O12" i="156"/>
  <c r="O13" i="156" s="1"/>
  <c r="N12" i="156"/>
  <c r="M12" i="156"/>
  <c r="M13" i="156" s="1"/>
  <c r="L12" i="156"/>
  <c r="L65" i="156" s="1"/>
  <c r="K12" i="156"/>
  <c r="K13" i="156" s="1"/>
  <c r="J12" i="156"/>
  <c r="I12" i="156"/>
  <c r="I13" i="156" s="1"/>
  <c r="H12" i="156"/>
  <c r="G12" i="156"/>
  <c r="G13" i="156" s="1"/>
  <c r="F12" i="156"/>
  <c r="E12" i="156"/>
  <c r="E13" i="156" s="1"/>
  <c r="D12" i="156"/>
  <c r="D65" i="156" s="1"/>
  <c r="C12" i="156"/>
  <c r="C13" i="156" s="1"/>
  <c r="B12" i="156"/>
  <c r="AM11" i="156"/>
  <c r="AL11" i="156"/>
  <c r="AK11" i="156"/>
  <c r="AJ11" i="156"/>
  <c r="AI11" i="156"/>
  <c r="AH11" i="156"/>
  <c r="AG11" i="156"/>
  <c r="AF11" i="156"/>
  <c r="AF64" i="156" s="1"/>
  <c r="AF73" i="156" s="1"/>
  <c r="AE11" i="156"/>
  <c r="AD11" i="156"/>
  <c r="AC11" i="156"/>
  <c r="AB11" i="156"/>
  <c r="AA11" i="156"/>
  <c r="Z11" i="156"/>
  <c r="Y11" i="156"/>
  <c r="X11" i="156"/>
  <c r="X64" i="156" s="1"/>
  <c r="X73" i="156" s="1"/>
  <c r="W11" i="156"/>
  <c r="V11" i="156"/>
  <c r="U11" i="156"/>
  <c r="T11" i="156"/>
  <c r="S11" i="156"/>
  <c r="R11" i="156"/>
  <c r="AM10" i="156"/>
  <c r="AK10" i="156"/>
  <c r="AI10" i="156"/>
  <c r="AG10" i="156"/>
  <c r="AE10" i="156"/>
  <c r="AC10" i="156"/>
  <c r="AA10" i="156"/>
  <c r="Y10" i="156"/>
  <c r="W10" i="156"/>
  <c r="U10" i="156"/>
  <c r="S10" i="156"/>
  <c r="Q10" i="156"/>
  <c r="P10" i="156"/>
  <c r="O10" i="156"/>
  <c r="N10" i="156"/>
  <c r="M10" i="156"/>
  <c r="L10" i="156"/>
  <c r="K10" i="156"/>
  <c r="J10" i="156"/>
  <c r="I10" i="156"/>
  <c r="H10" i="156"/>
  <c r="G10" i="156"/>
  <c r="F10" i="156"/>
  <c r="E10" i="156"/>
  <c r="D10" i="156"/>
  <c r="C10" i="156"/>
  <c r="B10" i="156"/>
  <c r="AM9" i="156"/>
  <c r="AL9" i="156"/>
  <c r="AK9" i="156"/>
  <c r="AJ9" i="156"/>
  <c r="AI9" i="156"/>
  <c r="AH9" i="156"/>
  <c r="AH62" i="156" s="1"/>
  <c r="AG9" i="156"/>
  <c r="AF9" i="156"/>
  <c r="AE9" i="156"/>
  <c r="AD9" i="156"/>
  <c r="AC9" i="156"/>
  <c r="AB9" i="156"/>
  <c r="AA9" i="156"/>
  <c r="Z9" i="156"/>
  <c r="Z62" i="156" s="1"/>
  <c r="Y9" i="156"/>
  <c r="X9" i="156"/>
  <c r="W9" i="156"/>
  <c r="V9" i="156"/>
  <c r="U9" i="156"/>
  <c r="T9" i="156"/>
  <c r="S9" i="156"/>
  <c r="R9" i="156"/>
  <c r="R62" i="156" s="1"/>
  <c r="Q9" i="156"/>
  <c r="P9" i="156"/>
  <c r="O9" i="156"/>
  <c r="N9" i="156"/>
  <c r="M9" i="156"/>
  <c r="L9" i="156"/>
  <c r="K9" i="156"/>
  <c r="J9" i="156"/>
  <c r="J62" i="156" s="1"/>
  <c r="I9" i="156"/>
  <c r="H9" i="156"/>
  <c r="G9" i="156"/>
  <c r="F9" i="156"/>
  <c r="E9" i="156"/>
  <c r="D9" i="156"/>
  <c r="C9" i="156"/>
  <c r="B9" i="156"/>
  <c r="B62" i="156" s="1"/>
  <c r="AM8" i="156"/>
  <c r="AL8" i="156"/>
  <c r="AK8" i="156"/>
  <c r="AJ8" i="156"/>
  <c r="AI8" i="156"/>
  <c r="AH8" i="156"/>
  <c r="AG8" i="156"/>
  <c r="AF8" i="156"/>
  <c r="AE8" i="156"/>
  <c r="AD8" i="156"/>
  <c r="AC8" i="156"/>
  <c r="AB8" i="156"/>
  <c r="AA8" i="156"/>
  <c r="Z8" i="156"/>
  <c r="Y8" i="156"/>
  <c r="X8" i="156"/>
  <c r="W8" i="156"/>
  <c r="V8" i="156"/>
  <c r="U8" i="156"/>
  <c r="T8" i="156"/>
  <c r="S8" i="156"/>
  <c r="R8" i="156"/>
  <c r="Q8" i="156"/>
  <c r="P8" i="156"/>
  <c r="O8" i="156"/>
  <c r="N8" i="156"/>
  <c r="M8" i="156"/>
  <c r="L8" i="156"/>
  <c r="K8" i="156"/>
  <c r="J8" i="156"/>
  <c r="I8" i="156"/>
  <c r="H8" i="156"/>
  <c r="G8" i="156"/>
  <c r="F8" i="156"/>
  <c r="E8" i="156"/>
  <c r="D8" i="156"/>
  <c r="C8" i="156"/>
  <c r="B8" i="156"/>
  <c r="CM5" i="156"/>
  <c r="CL5" i="156"/>
  <c r="CK5" i="156"/>
  <c r="CJ5" i="156"/>
  <c r="CI5" i="156"/>
  <c r="CH5" i="156"/>
  <c r="CG5" i="156"/>
  <c r="CF5" i="156"/>
  <c r="CE5" i="156"/>
  <c r="CD5" i="156"/>
  <c r="CC5" i="156"/>
  <c r="CB5" i="156"/>
  <c r="CA5" i="156"/>
  <c r="BZ5" i="156"/>
  <c r="BY5" i="156"/>
  <c r="BX5" i="156"/>
  <c r="BW5" i="156"/>
  <c r="BV5" i="156"/>
  <c r="BU5" i="156"/>
  <c r="BT5" i="156"/>
  <c r="BS5" i="156"/>
  <c r="BR5" i="156"/>
  <c r="BQ5" i="156"/>
  <c r="BP5" i="156"/>
  <c r="BO5" i="156"/>
  <c r="BN5" i="156"/>
  <c r="BM5" i="156"/>
  <c r="BL5" i="156"/>
  <c r="BK5" i="156"/>
  <c r="BJ5" i="156"/>
  <c r="BI5" i="156"/>
  <c r="BH5" i="156"/>
  <c r="BG5" i="156"/>
  <c r="BF5" i="156"/>
  <c r="BE5" i="156"/>
  <c r="BD5" i="156"/>
  <c r="BC5" i="156"/>
  <c r="BB5" i="156"/>
  <c r="BA5" i="156"/>
  <c r="AZ5" i="156"/>
  <c r="AY5" i="156"/>
  <c r="AW5" i="156"/>
  <c r="AV5" i="156"/>
  <c r="AU5" i="156"/>
  <c r="AT5" i="156"/>
  <c r="AS5" i="156"/>
  <c r="AR5" i="156"/>
  <c r="AQ5" i="156"/>
  <c r="AP5" i="156"/>
  <c r="AO5" i="156"/>
  <c r="AN5" i="156"/>
  <c r="AM5" i="156"/>
  <c r="AL5" i="156"/>
  <c r="AK5" i="156"/>
  <c r="AJ5" i="156"/>
  <c r="AI5" i="156"/>
  <c r="AH5" i="156"/>
  <c r="AG5" i="156"/>
  <c r="AF5" i="156"/>
  <c r="AE5" i="156"/>
  <c r="AD5" i="156"/>
  <c r="AC5" i="156"/>
  <c r="AB5" i="156"/>
  <c r="AA5" i="156"/>
  <c r="Z5" i="156"/>
  <c r="Y5" i="156"/>
  <c r="X5" i="156"/>
  <c r="W5" i="156"/>
  <c r="V5" i="156"/>
  <c r="U5" i="156"/>
  <c r="T5" i="156"/>
  <c r="S5" i="156"/>
  <c r="R5" i="156"/>
  <c r="Q5" i="156"/>
  <c r="P5" i="156"/>
  <c r="O5" i="156"/>
  <c r="N5" i="156"/>
  <c r="M5" i="156"/>
  <c r="L5" i="156"/>
  <c r="K5" i="156"/>
  <c r="J5" i="156"/>
  <c r="I5" i="156"/>
  <c r="H5" i="156"/>
  <c r="G5" i="156"/>
  <c r="F5" i="156"/>
  <c r="E5" i="156"/>
  <c r="D5" i="156"/>
  <c r="C5" i="156"/>
  <c r="B5" i="156"/>
  <c r="CJ4" i="156"/>
  <c r="CJ3" i="156"/>
  <c r="CH4" i="156"/>
  <c r="CH3" i="156"/>
  <c r="CF4" i="156"/>
  <c r="CF3" i="156"/>
  <c r="CD4" i="156"/>
  <c r="CD3" i="156"/>
  <c r="CB4" i="156"/>
  <c r="CB3" i="156"/>
  <c r="BZ4" i="156"/>
  <c r="BZ3" i="156"/>
  <c r="BX4" i="156"/>
  <c r="BX3" i="156"/>
  <c r="BV4" i="156"/>
  <c r="BV3" i="156"/>
  <c r="BT4" i="156"/>
  <c r="BT3" i="156"/>
  <c r="BR4" i="156"/>
  <c r="BR3" i="156"/>
  <c r="BP4" i="156"/>
  <c r="BP3" i="156"/>
  <c r="BN4" i="156"/>
  <c r="BN3" i="156"/>
  <c r="BL4" i="156"/>
  <c r="BL3" i="156"/>
  <c r="BJ4" i="156"/>
  <c r="BJ3" i="156"/>
  <c r="BH4" i="156"/>
  <c r="BH3" i="156"/>
  <c r="BF4" i="156"/>
  <c r="BF3" i="156"/>
  <c r="BD4" i="156"/>
  <c r="BD3" i="156"/>
  <c r="BB4" i="156"/>
  <c r="BB3" i="156"/>
  <c r="AZ4" i="156"/>
  <c r="AZ3" i="156"/>
  <c r="AW4" i="156"/>
  <c r="AW3" i="156"/>
  <c r="AU4" i="156"/>
  <c r="AU3" i="156"/>
  <c r="AS4" i="156"/>
  <c r="AS3" i="156"/>
  <c r="AQ4" i="156"/>
  <c r="AQ3" i="156"/>
  <c r="AO4" i="156"/>
  <c r="AO3" i="156"/>
  <c r="AM4" i="156"/>
  <c r="AM3" i="156"/>
  <c r="AK4" i="156"/>
  <c r="AK3" i="156"/>
  <c r="AI4" i="156"/>
  <c r="AI3" i="156"/>
  <c r="AG4" i="156"/>
  <c r="AG3" i="156"/>
  <c r="AE4" i="156"/>
  <c r="AE3" i="156"/>
  <c r="AC4" i="156"/>
  <c r="AC3" i="156"/>
  <c r="AA4" i="156"/>
  <c r="AA3" i="156"/>
  <c r="Y4" i="156"/>
  <c r="Y3" i="156"/>
  <c r="W4" i="156"/>
  <c r="W3" i="156"/>
  <c r="U4" i="156"/>
  <c r="U3" i="156"/>
  <c r="S4" i="156"/>
  <c r="S3" i="156"/>
  <c r="Q4" i="156"/>
  <c r="Q3" i="156"/>
  <c r="O4" i="156"/>
  <c r="O3" i="156"/>
  <c r="M4" i="156"/>
  <c r="M3" i="156"/>
  <c r="K4" i="156"/>
  <c r="K3" i="156"/>
  <c r="I4" i="156"/>
  <c r="I3" i="156"/>
  <c r="G4" i="156"/>
  <c r="G3" i="156"/>
  <c r="E4" i="156"/>
  <c r="E3" i="156"/>
  <c r="C4" i="156"/>
  <c r="C3" i="156"/>
  <c r="CM4" i="156"/>
  <c r="CL4" i="156"/>
  <c r="CM3" i="156"/>
  <c r="CL3" i="156"/>
  <c r="A1" i="156"/>
  <c r="A49" i="156" s="1"/>
  <c r="CF459" i="3"/>
  <c r="CE459" i="3"/>
  <c r="CD459" i="3"/>
  <c r="CC459" i="3"/>
  <c r="CB459" i="3"/>
  <c r="CA459" i="3"/>
  <c r="BZ459" i="3"/>
  <c r="BY459" i="3"/>
  <c r="BX459" i="3"/>
  <c r="BW459" i="3"/>
  <c r="BV459" i="3"/>
  <c r="BU459" i="3"/>
  <c r="BT459" i="3"/>
  <c r="BS459" i="3"/>
  <c r="AW459" i="3"/>
  <c r="AV459" i="3"/>
  <c r="AU459" i="3"/>
  <c r="AT459" i="3"/>
  <c r="AS459" i="3"/>
  <c r="AR459" i="3"/>
  <c r="AQ459" i="3"/>
  <c r="AP459" i="3"/>
  <c r="AO459" i="3"/>
  <c r="AN459" i="3"/>
  <c r="AM459" i="3"/>
  <c r="AL459" i="3"/>
  <c r="AK459" i="3"/>
  <c r="AJ459" i="3"/>
  <c r="AI459" i="3"/>
  <c r="AH459" i="3"/>
  <c r="AG459" i="3"/>
  <c r="AF459" i="3"/>
  <c r="AE459" i="3"/>
  <c r="AD459" i="3"/>
  <c r="AC459" i="3"/>
  <c r="AB459" i="3"/>
  <c r="AA459" i="3"/>
  <c r="Z459" i="3"/>
  <c r="Y459" i="3"/>
  <c r="X459" i="3"/>
  <c r="W459" i="3"/>
  <c r="V459" i="3"/>
  <c r="U459" i="3"/>
  <c r="T459" i="3"/>
  <c r="S459" i="3"/>
  <c r="R459" i="3"/>
  <c r="Q459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BZ456" i="3"/>
  <c r="BY456" i="3"/>
  <c r="BX456" i="3"/>
  <c r="BW456" i="3"/>
  <c r="BV456" i="3"/>
  <c r="BU456" i="3"/>
  <c r="BT456" i="3"/>
  <c r="BS456" i="3"/>
  <c r="AM456" i="3"/>
  <c r="AL456" i="3"/>
  <c r="AK456" i="3"/>
  <c r="AJ456" i="3"/>
  <c r="AI456" i="3"/>
  <c r="AH456" i="3"/>
  <c r="AG456" i="3"/>
  <c r="AF456" i="3"/>
  <c r="AE456" i="3"/>
  <c r="AD456" i="3"/>
  <c r="AC456" i="3"/>
  <c r="AB456" i="3"/>
  <c r="AA456" i="3"/>
  <c r="Z456" i="3"/>
  <c r="Y456" i="3"/>
  <c r="X456" i="3"/>
  <c r="W456" i="3"/>
  <c r="V456" i="3"/>
  <c r="U456" i="3"/>
  <c r="T456" i="3"/>
  <c r="S456" i="3"/>
  <c r="R456" i="3"/>
  <c r="Q456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CK451" i="3"/>
  <c r="CK449" i="3"/>
  <c r="CI451" i="3"/>
  <c r="CI450" i="3"/>
  <c r="CI449" i="3"/>
  <c r="CG451" i="3"/>
  <c r="CG450" i="3"/>
  <c r="CG449" i="3"/>
  <c r="CE452" i="3"/>
  <c r="CE451" i="3"/>
  <c r="CE450" i="3"/>
  <c r="CE449" i="3"/>
  <c r="CC452" i="3"/>
  <c r="CC451" i="3"/>
  <c r="CC450" i="3"/>
  <c r="CC449" i="3"/>
  <c r="CA452" i="3"/>
  <c r="CA451" i="3"/>
  <c r="CA450" i="3"/>
  <c r="CA449" i="3"/>
  <c r="BY452" i="3"/>
  <c r="BY451" i="3"/>
  <c r="BY450" i="3"/>
  <c r="BY449" i="3"/>
  <c r="BW452" i="3"/>
  <c r="BW451" i="3"/>
  <c r="BW450" i="3"/>
  <c r="BW449" i="3"/>
  <c r="BU452" i="3"/>
  <c r="BU451" i="3"/>
  <c r="BU450" i="3"/>
  <c r="BU449" i="3"/>
  <c r="BS452" i="3"/>
  <c r="BS451" i="3"/>
  <c r="BS450" i="3"/>
  <c r="BS449" i="3"/>
  <c r="AV452" i="3"/>
  <c r="AV451" i="3"/>
  <c r="AV450" i="3"/>
  <c r="AV449" i="3"/>
  <c r="AT452" i="3"/>
  <c r="AT451" i="3"/>
  <c r="AT450" i="3"/>
  <c r="AT449" i="3"/>
  <c r="AR452" i="3"/>
  <c r="AR451" i="3"/>
  <c r="AR450" i="3"/>
  <c r="AR449" i="3"/>
  <c r="AP452" i="3"/>
  <c r="AP451" i="3"/>
  <c r="AP450" i="3"/>
  <c r="AP449" i="3"/>
  <c r="AN452" i="3"/>
  <c r="AN451" i="3"/>
  <c r="AN450" i="3"/>
  <c r="AN449" i="3"/>
  <c r="AL452" i="3"/>
  <c r="AL451" i="3"/>
  <c r="AL450" i="3"/>
  <c r="AL449" i="3"/>
  <c r="AJ452" i="3"/>
  <c r="AJ451" i="3"/>
  <c r="AJ450" i="3"/>
  <c r="AJ449" i="3"/>
  <c r="AH452" i="3"/>
  <c r="AH451" i="3"/>
  <c r="AH450" i="3"/>
  <c r="AH449" i="3"/>
  <c r="AF452" i="3"/>
  <c r="AF451" i="3"/>
  <c r="AF450" i="3"/>
  <c r="AF449" i="3"/>
  <c r="AD452" i="3"/>
  <c r="AD451" i="3"/>
  <c r="AD450" i="3"/>
  <c r="AD449" i="3"/>
  <c r="AB452" i="3"/>
  <c r="AB451" i="3"/>
  <c r="AB450" i="3"/>
  <c r="AB449" i="3"/>
  <c r="Z452" i="3"/>
  <c r="Z451" i="3"/>
  <c r="Z450" i="3"/>
  <c r="Z449" i="3"/>
  <c r="X452" i="3"/>
  <c r="X451" i="3"/>
  <c r="X450" i="3"/>
  <c r="X449" i="3"/>
  <c r="V452" i="3"/>
  <c r="V451" i="3"/>
  <c r="V450" i="3"/>
  <c r="V449" i="3"/>
  <c r="T452" i="3"/>
  <c r="T451" i="3"/>
  <c r="T450" i="3"/>
  <c r="T449" i="3"/>
  <c r="R452" i="3"/>
  <c r="R451" i="3"/>
  <c r="R450" i="3"/>
  <c r="R449" i="3"/>
  <c r="P452" i="3"/>
  <c r="P451" i="3"/>
  <c r="P450" i="3"/>
  <c r="P449" i="3"/>
  <c r="N452" i="3"/>
  <c r="N451" i="3"/>
  <c r="N450" i="3"/>
  <c r="N449" i="3"/>
  <c r="L452" i="3"/>
  <c r="L451" i="3"/>
  <c r="L450" i="3"/>
  <c r="L449" i="3"/>
  <c r="J452" i="3"/>
  <c r="J451" i="3"/>
  <c r="J450" i="3"/>
  <c r="J449" i="3"/>
  <c r="H452" i="3"/>
  <c r="H451" i="3"/>
  <c r="H450" i="3"/>
  <c r="H449" i="3"/>
  <c r="F452" i="3"/>
  <c r="F451" i="3"/>
  <c r="F450" i="3"/>
  <c r="F449" i="3"/>
  <c r="D452" i="3"/>
  <c r="D451" i="3"/>
  <c r="D450" i="3"/>
  <c r="D449" i="3"/>
  <c r="B452" i="3"/>
  <c r="B451" i="3"/>
  <c r="B450" i="3"/>
  <c r="B449" i="3"/>
  <c r="CJ451" i="3"/>
  <c r="CJ449" i="3"/>
  <c r="CH451" i="3"/>
  <c r="CH450" i="3"/>
  <c r="CH449" i="3"/>
  <c r="CF452" i="3"/>
  <c r="CF451" i="3"/>
  <c r="CF450" i="3"/>
  <c r="CF449" i="3"/>
  <c r="CD452" i="3"/>
  <c r="CD451" i="3"/>
  <c r="CD450" i="3"/>
  <c r="CD449" i="3"/>
  <c r="CB452" i="3"/>
  <c r="CB451" i="3"/>
  <c r="CB450" i="3"/>
  <c r="CB449" i="3"/>
  <c r="BZ452" i="3"/>
  <c r="BZ451" i="3"/>
  <c r="BZ450" i="3"/>
  <c r="BZ449" i="3"/>
  <c r="BX452" i="3"/>
  <c r="BX451" i="3"/>
  <c r="BX450" i="3"/>
  <c r="BX449" i="3"/>
  <c r="BV452" i="3"/>
  <c r="BV451" i="3"/>
  <c r="BV450" i="3"/>
  <c r="BV449" i="3"/>
  <c r="BT452" i="3"/>
  <c r="BT451" i="3"/>
  <c r="BT450" i="3"/>
  <c r="BT449" i="3"/>
  <c r="AW452" i="3"/>
  <c r="AW451" i="3"/>
  <c r="AW450" i="3"/>
  <c r="AW449" i="3"/>
  <c r="AU452" i="3"/>
  <c r="AU451" i="3"/>
  <c r="AU450" i="3"/>
  <c r="AU449" i="3"/>
  <c r="AS452" i="3"/>
  <c r="AS451" i="3"/>
  <c r="AS450" i="3"/>
  <c r="AS449" i="3"/>
  <c r="AQ452" i="3"/>
  <c r="AQ451" i="3"/>
  <c r="AQ450" i="3"/>
  <c r="AQ449" i="3"/>
  <c r="AO452" i="3"/>
  <c r="AO451" i="3"/>
  <c r="AO450" i="3"/>
  <c r="AO449" i="3"/>
  <c r="AM452" i="3"/>
  <c r="AM451" i="3"/>
  <c r="AM450" i="3"/>
  <c r="AM449" i="3"/>
  <c r="AK452" i="3"/>
  <c r="AK451" i="3"/>
  <c r="AK450" i="3"/>
  <c r="AK449" i="3"/>
  <c r="AI452" i="3"/>
  <c r="AI451" i="3"/>
  <c r="AI450" i="3"/>
  <c r="AI449" i="3"/>
  <c r="AG452" i="3"/>
  <c r="AG451" i="3"/>
  <c r="AG450" i="3"/>
  <c r="AG449" i="3"/>
  <c r="AE452" i="3"/>
  <c r="AE451" i="3"/>
  <c r="AE450" i="3"/>
  <c r="AE449" i="3"/>
  <c r="AC452" i="3"/>
  <c r="AC451" i="3"/>
  <c r="AC450" i="3"/>
  <c r="AC449" i="3"/>
  <c r="AA452" i="3"/>
  <c r="AA451" i="3"/>
  <c r="AA450" i="3"/>
  <c r="AA449" i="3"/>
  <c r="Y452" i="3"/>
  <c r="Y451" i="3"/>
  <c r="Y450" i="3"/>
  <c r="Y449" i="3"/>
  <c r="W452" i="3"/>
  <c r="W451" i="3"/>
  <c r="W450" i="3"/>
  <c r="W449" i="3"/>
  <c r="U452" i="3"/>
  <c r="U451" i="3"/>
  <c r="U450" i="3"/>
  <c r="U449" i="3"/>
  <c r="S452" i="3"/>
  <c r="S451" i="3"/>
  <c r="S450" i="3"/>
  <c r="S449" i="3"/>
  <c r="Q452" i="3"/>
  <c r="Q451" i="3"/>
  <c r="Q450" i="3"/>
  <c r="Q449" i="3"/>
  <c r="O452" i="3"/>
  <c r="O451" i="3"/>
  <c r="O450" i="3"/>
  <c r="O449" i="3"/>
  <c r="M452" i="3"/>
  <c r="M451" i="3"/>
  <c r="M450" i="3"/>
  <c r="M449" i="3"/>
  <c r="K452" i="3"/>
  <c r="K451" i="3"/>
  <c r="K450" i="3"/>
  <c r="K449" i="3"/>
  <c r="I452" i="3"/>
  <c r="I451" i="3"/>
  <c r="I450" i="3"/>
  <c r="I449" i="3"/>
  <c r="G452" i="3"/>
  <c r="G451" i="3"/>
  <c r="G450" i="3"/>
  <c r="G449" i="3"/>
  <c r="E452" i="3"/>
  <c r="E451" i="3"/>
  <c r="E450" i="3"/>
  <c r="E449" i="3"/>
  <c r="C452" i="3"/>
  <c r="C451" i="3"/>
  <c r="C450" i="3"/>
  <c r="C449" i="3"/>
  <c r="CM451" i="3"/>
  <c r="CL451" i="3"/>
  <c r="CM449" i="3"/>
  <c r="CL449" i="3"/>
  <c r="A449" i="3"/>
  <c r="AW447" i="3"/>
  <c r="AV447" i="3"/>
  <c r="AU447" i="3"/>
  <c r="AT447" i="3"/>
  <c r="AS447" i="3"/>
  <c r="AR447" i="3"/>
  <c r="AQ447" i="3"/>
  <c r="AP447" i="3"/>
  <c r="AO447" i="3"/>
  <c r="AN447" i="3"/>
  <c r="AM447" i="3"/>
  <c r="AL447" i="3"/>
  <c r="AK447" i="3"/>
  <c r="AJ447" i="3"/>
  <c r="AI447" i="3"/>
  <c r="AH447" i="3"/>
  <c r="AG447" i="3"/>
  <c r="AF447" i="3"/>
  <c r="AE447" i="3"/>
  <c r="AD447" i="3"/>
  <c r="AC447" i="3"/>
  <c r="AB447" i="3"/>
  <c r="AA447" i="3"/>
  <c r="Z447" i="3"/>
  <c r="Y447" i="3"/>
  <c r="X447" i="3"/>
  <c r="W447" i="3"/>
  <c r="V447" i="3"/>
  <c r="U447" i="3"/>
  <c r="T447" i="3"/>
  <c r="S447" i="3"/>
  <c r="R447" i="3"/>
  <c r="Q447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AW446" i="3"/>
  <c r="AV446" i="3"/>
  <c r="AU446" i="3"/>
  <c r="AT446" i="3"/>
  <c r="AS446" i="3"/>
  <c r="AR446" i="3"/>
  <c r="AQ446" i="3"/>
  <c r="AP446" i="3"/>
  <c r="AO446" i="3"/>
  <c r="AN446" i="3"/>
  <c r="AM446" i="3"/>
  <c r="AL446" i="3"/>
  <c r="AK446" i="3"/>
  <c r="AJ446" i="3"/>
  <c r="AI446" i="3"/>
  <c r="AH446" i="3"/>
  <c r="AG446" i="3"/>
  <c r="AF446" i="3"/>
  <c r="AE446" i="3"/>
  <c r="AD446" i="3"/>
  <c r="AC446" i="3"/>
  <c r="AB446" i="3"/>
  <c r="AA446" i="3"/>
  <c r="Z446" i="3"/>
  <c r="Y446" i="3"/>
  <c r="X446" i="3"/>
  <c r="W446" i="3"/>
  <c r="V446" i="3"/>
  <c r="U446" i="3"/>
  <c r="T446" i="3"/>
  <c r="S446" i="3"/>
  <c r="R446" i="3"/>
  <c r="Q446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BR445" i="3"/>
  <c r="BQ445" i="3"/>
  <c r="BP445" i="3"/>
  <c r="BO445" i="3"/>
  <c r="BN445" i="3"/>
  <c r="BM445" i="3"/>
  <c r="BL445" i="3"/>
  <c r="BK445" i="3"/>
  <c r="BJ445" i="3"/>
  <c r="BI445" i="3"/>
  <c r="BH445" i="3"/>
  <c r="BG445" i="3"/>
  <c r="BF445" i="3"/>
  <c r="BE445" i="3"/>
  <c r="BD445" i="3"/>
  <c r="BC445" i="3"/>
  <c r="BB445" i="3"/>
  <c r="BA445" i="3"/>
  <c r="AZ445" i="3"/>
  <c r="AY445" i="3"/>
  <c r="AX445" i="3"/>
  <c r="AW445" i="3"/>
  <c r="AV445" i="3"/>
  <c r="AU445" i="3"/>
  <c r="AT445" i="3"/>
  <c r="AS445" i="3"/>
  <c r="AR445" i="3"/>
  <c r="AQ445" i="3"/>
  <c r="AP445" i="3"/>
  <c r="AO445" i="3"/>
  <c r="AN445" i="3"/>
  <c r="AM445" i="3"/>
  <c r="AL445" i="3"/>
  <c r="AK445" i="3"/>
  <c r="AJ445" i="3"/>
  <c r="AI445" i="3"/>
  <c r="AH445" i="3"/>
  <c r="AG445" i="3"/>
  <c r="AF445" i="3"/>
  <c r="AE445" i="3"/>
  <c r="AD445" i="3"/>
  <c r="AC445" i="3"/>
  <c r="AB445" i="3"/>
  <c r="AA445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CM447" i="3"/>
  <c r="CL447" i="3"/>
  <c r="CK447" i="3"/>
  <c r="CJ447" i="3"/>
  <c r="CI447" i="3"/>
  <c r="CH447" i="3"/>
  <c r="CG447" i="3"/>
  <c r="CF447" i="3"/>
  <c r="CE447" i="3"/>
  <c r="CD447" i="3"/>
  <c r="CC447" i="3"/>
  <c r="CB447" i="3"/>
  <c r="CA447" i="3"/>
  <c r="BZ447" i="3"/>
  <c r="BY447" i="3"/>
  <c r="BX447" i="3"/>
  <c r="BW447" i="3"/>
  <c r="BV447" i="3"/>
  <c r="BU447" i="3"/>
  <c r="BT447" i="3"/>
  <c r="BS447" i="3"/>
  <c r="CM446" i="3"/>
  <c r="CL446" i="3"/>
  <c r="CK446" i="3"/>
  <c r="CJ446" i="3"/>
  <c r="CI446" i="3"/>
  <c r="CH446" i="3"/>
  <c r="CG446" i="3"/>
  <c r="CF446" i="3"/>
  <c r="CE446" i="3"/>
  <c r="CD446" i="3"/>
  <c r="CC446" i="3"/>
  <c r="CB446" i="3"/>
  <c r="CA446" i="3"/>
  <c r="BZ446" i="3"/>
  <c r="BY446" i="3"/>
  <c r="BX446" i="3"/>
  <c r="BW446" i="3"/>
  <c r="BV446" i="3"/>
  <c r="BU446" i="3"/>
  <c r="BT446" i="3"/>
  <c r="BS446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T445" i="3"/>
  <c r="BS445" i="3"/>
  <c r="CM444" i="3"/>
  <c r="CL444" i="3"/>
  <c r="CK444" i="3"/>
  <c r="CJ444" i="3"/>
  <c r="CI444" i="3"/>
  <c r="CH444" i="3"/>
  <c r="CG444" i="3"/>
  <c r="CF444" i="3"/>
  <c r="CE444" i="3"/>
  <c r="CD444" i="3"/>
  <c r="CC444" i="3"/>
  <c r="CB444" i="3"/>
  <c r="CA444" i="3"/>
  <c r="BZ444" i="3"/>
  <c r="BY444" i="3"/>
  <c r="BX444" i="3"/>
  <c r="BW444" i="3"/>
  <c r="BV444" i="3"/>
  <c r="BU444" i="3"/>
  <c r="BT444" i="3"/>
  <c r="BS444" i="3"/>
  <c r="CM443" i="3"/>
  <c r="CL443" i="3"/>
  <c r="CK443" i="3"/>
  <c r="CJ443" i="3"/>
  <c r="CI443" i="3"/>
  <c r="CH443" i="3"/>
  <c r="CG443" i="3"/>
  <c r="CF443" i="3"/>
  <c r="CE443" i="3"/>
  <c r="CD443" i="3"/>
  <c r="CC443" i="3"/>
  <c r="CB443" i="3"/>
  <c r="CA443" i="3"/>
  <c r="BZ443" i="3"/>
  <c r="BY443" i="3"/>
  <c r="BX443" i="3"/>
  <c r="BW443" i="3"/>
  <c r="BV443" i="3"/>
  <c r="BU443" i="3"/>
  <c r="BT443" i="3"/>
  <c r="BS443" i="3"/>
  <c r="AW444" i="3"/>
  <c r="AV444" i="3"/>
  <c r="AU444" i="3"/>
  <c r="AT444" i="3"/>
  <c r="AS444" i="3"/>
  <c r="AR444" i="3"/>
  <c r="AQ444" i="3"/>
  <c r="AP444" i="3"/>
  <c r="AO444" i="3"/>
  <c r="AN444" i="3"/>
  <c r="AM444" i="3"/>
  <c r="AL444" i="3"/>
  <c r="AK444" i="3"/>
  <c r="AJ444" i="3"/>
  <c r="AI444" i="3"/>
  <c r="AH444" i="3"/>
  <c r="AG444" i="3"/>
  <c r="AF444" i="3"/>
  <c r="AE444" i="3"/>
  <c r="AD444" i="3"/>
  <c r="AC444" i="3"/>
  <c r="AB444" i="3"/>
  <c r="AA444" i="3"/>
  <c r="Z444" i="3"/>
  <c r="Y444" i="3"/>
  <c r="X444" i="3"/>
  <c r="W444" i="3"/>
  <c r="V444" i="3"/>
  <c r="U444" i="3"/>
  <c r="T444" i="3"/>
  <c r="S444" i="3"/>
  <c r="R444" i="3"/>
  <c r="Q444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AW443" i="3"/>
  <c r="AV443" i="3"/>
  <c r="AU443" i="3"/>
  <c r="AT443" i="3"/>
  <c r="AS443" i="3"/>
  <c r="AR443" i="3"/>
  <c r="AQ443" i="3"/>
  <c r="AP443" i="3"/>
  <c r="AO443" i="3"/>
  <c r="AN443" i="3"/>
  <c r="AM443" i="3"/>
  <c r="AL443" i="3"/>
  <c r="AK443" i="3"/>
  <c r="AJ443" i="3"/>
  <c r="AI443" i="3"/>
  <c r="AH443" i="3"/>
  <c r="AG443" i="3"/>
  <c r="AF443" i="3"/>
  <c r="AE443" i="3"/>
  <c r="AD443" i="3"/>
  <c r="AC443" i="3"/>
  <c r="AB443" i="3"/>
  <c r="AA443" i="3"/>
  <c r="Z443" i="3"/>
  <c r="Y443" i="3"/>
  <c r="X443" i="3"/>
  <c r="W443" i="3"/>
  <c r="V443" i="3"/>
  <c r="U443" i="3"/>
  <c r="T443" i="3"/>
  <c r="S443" i="3"/>
  <c r="R443" i="3"/>
  <c r="Q443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A442" i="3"/>
  <c r="AW440" i="3"/>
  <c r="AV440" i="3"/>
  <c r="AU440" i="3"/>
  <c r="AT440" i="3"/>
  <c r="AS440" i="3"/>
  <c r="AR440" i="3"/>
  <c r="AQ440" i="3"/>
  <c r="AP440" i="3"/>
  <c r="AO440" i="3"/>
  <c r="AN440" i="3"/>
  <c r="AM440" i="3"/>
  <c r="AL440" i="3"/>
  <c r="AK440" i="3"/>
  <c r="AJ440" i="3"/>
  <c r="AI440" i="3"/>
  <c r="AH440" i="3"/>
  <c r="AG440" i="3"/>
  <c r="AF440" i="3"/>
  <c r="AE440" i="3"/>
  <c r="AD440" i="3"/>
  <c r="AC440" i="3"/>
  <c r="AB440" i="3"/>
  <c r="AA440" i="3"/>
  <c r="Z440" i="3"/>
  <c r="Y440" i="3"/>
  <c r="X440" i="3"/>
  <c r="W440" i="3"/>
  <c r="V440" i="3"/>
  <c r="U440" i="3"/>
  <c r="T440" i="3"/>
  <c r="S440" i="3"/>
  <c r="R440" i="3"/>
  <c r="Q440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AW439" i="3"/>
  <c r="AV439" i="3"/>
  <c r="AU439" i="3"/>
  <c r="AT439" i="3"/>
  <c r="AS439" i="3"/>
  <c r="AR439" i="3"/>
  <c r="AQ439" i="3"/>
  <c r="AP439" i="3"/>
  <c r="AO439" i="3"/>
  <c r="AN439" i="3"/>
  <c r="AM439" i="3"/>
  <c r="AL439" i="3"/>
  <c r="AK439" i="3"/>
  <c r="AJ439" i="3"/>
  <c r="AI439" i="3"/>
  <c r="AH439" i="3"/>
  <c r="AG439" i="3"/>
  <c r="AF439" i="3"/>
  <c r="AE439" i="3"/>
  <c r="AD439" i="3"/>
  <c r="AC439" i="3"/>
  <c r="AB439" i="3"/>
  <c r="AA439" i="3"/>
  <c r="Z439" i="3"/>
  <c r="Y439" i="3"/>
  <c r="X439" i="3"/>
  <c r="W439" i="3"/>
  <c r="V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CM440" i="3"/>
  <c r="CL440" i="3"/>
  <c r="CK440" i="3"/>
  <c r="CJ440" i="3"/>
  <c r="CI440" i="3"/>
  <c r="CH440" i="3"/>
  <c r="CG440" i="3"/>
  <c r="CF440" i="3"/>
  <c r="CE440" i="3"/>
  <c r="CD440" i="3"/>
  <c r="CC440" i="3"/>
  <c r="CB440" i="3"/>
  <c r="CA440" i="3"/>
  <c r="BZ440" i="3"/>
  <c r="BY440" i="3"/>
  <c r="BX440" i="3"/>
  <c r="BW440" i="3"/>
  <c r="BV440" i="3"/>
  <c r="BU440" i="3"/>
  <c r="BT440" i="3"/>
  <c r="BS440" i="3"/>
  <c r="CM439" i="3"/>
  <c r="CL439" i="3"/>
  <c r="CK439" i="3"/>
  <c r="CJ439" i="3"/>
  <c r="CI439" i="3"/>
  <c r="CH439" i="3"/>
  <c r="CG439" i="3"/>
  <c r="CF439" i="3"/>
  <c r="CE439" i="3"/>
  <c r="CD439" i="3"/>
  <c r="CC439" i="3"/>
  <c r="CB439" i="3"/>
  <c r="CA439" i="3"/>
  <c r="BZ439" i="3"/>
  <c r="BY439" i="3"/>
  <c r="BX439" i="3"/>
  <c r="BW439" i="3"/>
  <c r="BV439" i="3"/>
  <c r="BU439" i="3"/>
  <c r="BT439" i="3"/>
  <c r="BS439" i="3"/>
  <c r="CM438" i="3"/>
  <c r="CL438" i="3"/>
  <c r="CK438" i="3"/>
  <c r="CJ438" i="3"/>
  <c r="CI438" i="3"/>
  <c r="CH438" i="3"/>
  <c r="CG438" i="3"/>
  <c r="CF438" i="3"/>
  <c r="CE438" i="3"/>
  <c r="CD438" i="3"/>
  <c r="CC438" i="3"/>
  <c r="CB438" i="3"/>
  <c r="CA438" i="3"/>
  <c r="BZ438" i="3"/>
  <c r="BY438" i="3"/>
  <c r="BX438" i="3"/>
  <c r="BW438" i="3"/>
  <c r="BV438" i="3"/>
  <c r="BU438" i="3"/>
  <c r="BT438" i="3"/>
  <c r="BS438" i="3"/>
  <c r="AW438" i="3"/>
  <c r="AV438" i="3"/>
  <c r="AU438" i="3"/>
  <c r="AT438" i="3"/>
  <c r="AS438" i="3"/>
  <c r="AR438" i="3"/>
  <c r="AQ438" i="3"/>
  <c r="AP438" i="3"/>
  <c r="AO438" i="3"/>
  <c r="AN438" i="3"/>
  <c r="AM438" i="3"/>
  <c r="AL438" i="3"/>
  <c r="AK438" i="3"/>
  <c r="AJ438" i="3"/>
  <c r="AI438" i="3"/>
  <c r="AH438" i="3"/>
  <c r="AG438" i="3"/>
  <c r="AF438" i="3"/>
  <c r="AE438" i="3"/>
  <c r="AD438" i="3"/>
  <c r="AC438" i="3"/>
  <c r="AB438" i="3"/>
  <c r="AA438" i="3"/>
  <c r="Z438" i="3"/>
  <c r="Y438" i="3"/>
  <c r="X438" i="3"/>
  <c r="W438" i="3"/>
  <c r="V438" i="3"/>
  <c r="U438" i="3"/>
  <c r="T438" i="3"/>
  <c r="S438" i="3"/>
  <c r="R438" i="3"/>
  <c r="Q438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7" i="3"/>
  <c r="CM435" i="3"/>
  <c r="CL435" i="3"/>
  <c r="CK435" i="3"/>
  <c r="CJ435" i="3"/>
  <c r="CI435" i="3"/>
  <c r="CH435" i="3"/>
  <c r="CG435" i="3"/>
  <c r="CF435" i="3"/>
  <c r="CE435" i="3"/>
  <c r="CD435" i="3"/>
  <c r="CC435" i="3"/>
  <c r="CB435" i="3"/>
  <c r="CA435" i="3"/>
  <c r="BZ435" i="3"/>
  <c r="BY435" i="3"/>
  <c r="BX435" i="3"/>
  <c r="BW435" i="3"/>
  <c r="BV435" i="3"/>
  <c r="BU435" i="3"/>
  <c r="BT435" i="3"/>
  <c r="BS435" i="3"/>
  <c r="AW435" i="3"/>
  <c r="AV435" i="3"/>
  <c r="AU435" i="3"/>
  <c r="AT435" i="3"/>
  <c r="AS435" i="3"/>
  <c r="AR435" i="3"/>
  <c r="AQ435" i="3"/>
  <c r="AP435" i="3"/>
  <c r="AO435" i="3"/>
  <c r="AN435" i="3"/>
  <c r="AM435" i="3"/>
  <c r="AL435" i="3"/>
  <c r="AK435" i="3"/>
  <c r="AJ435" i="3"/>
  <c r="AI435" i="3"/>
  <c r="AH435" i="3"/>
  <c r="AG435" i="3"/>
  <c r="AF435" i="3"/>
  <c r="AE435" i="3"/>
  <c r="AD435" i="3"/>
  <c r="AC435" i="3"/>
  <c r="AB435" i="3"/>
  <c r="AA435" i="3"/>
  <c r="Z435" i="3"/>
  <c r="Y435" i="3"/>
  <c r="X435" i="3"/>
  <c r="W435" i="3"/>
  <c r="V435" i="3"/>
  <c r="U435" i="3"/>
  <c r="T435" i="3"/>
  <c r="S435" i="3"/>
  <c r="R435" i="3"/>
  <c r="Q435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CJ434" i="3"/>
  <c r="CJ433" i="3"/>
  <c r="CH434" i="3"/>
  <c r="CH433" i="3"/>
  <c r="CF434" i="3"/>
  <c r="CF433" i="3"/>
  <c r="CD434" i="3"/>
  <c r="CD433" i="3"/>
  <c r="CB434" i="3"/>
  <c r="CB433" i="3"/>
  <c r="BZ434" i="3"/>
  <c r="BZ433" i="3"/>
  <c r="BX434" i="3"/>
  <c r="BX433" i="3"/>
  <c r="BV434" i="3"/>
  <c r="BV433" i="3"/>
  <c r="BT434" i="3"/>
  <c r="BT433" i="3"/>
  <c r="AW434" i="3"/>
  <c r="AW433" i="3"/>
  <c r="AU434" i="3"/>
  <c r="AU433" i="3"/>
  <c r="AS434" i="3"/>
  <c r="AS433" i="3"/>
  <c r="AQ434" i="3"/>
  <c r="AQ433" i="3"/>
  <c r="AO434" i="3"/>
  <c r="AO433" i="3"/>
  <c r="AM434" i="3"/>
  <c r="AM433" i="3"/>
  <c r="AK434" i="3"/>
  <c r="AK433" i="3"/>
  <c r="AI434" i="3"/>
  <c r="AI433" i="3"/>
  <c r="AG434" i="3"/>
  <c r="AG433" i="3"/>
  <c r="AE434" i="3"/>
  <c r="AE433" i="3"/>
  <c r="AC434" i="3"/>
  <c r="AC433" i="3"/>
  <c r="AA434" i="3"/>
  <c r="AA433" i="3"/>
  <c r="Y434" i="3"/>
  <c r="Y433" i="3"/>
  <c r="W434" i="3"/>
  <c r="W433" i="3"/>
  <c r="U434" i="3"/>
  <c r="U433" i="3"/>
  <c r="S434" i="3"/>
  <c r="S433" i="3"/>
  <c r="Q434" i="3"/>
  <c r="Q433" i="3"/>
  <c r="O434" i="3"/>
  <c r="O433" i="3"/>
  <c r="M434" i="3"/>
  <c r="M433" i="3"/>
  <c r="K434" i="3"/>
  <c r="K433" i="3"/>
  <c r="I434" i="3"/>
  <c r="I433" i="3"/>
  <c r="G434" i="3"/>
  <c r="G433" i="3"/>
  <c r="E434" i="3"/>
  <c r="E433" i="3"/>
  <c r="C434" i="3"/>
  <c r="C433" i="3"/>
  <c r="CM434" i="3"/>
  <c r="CL434" i="3"/>
  <c r="CM433" i="3"/>
  <c r="CL433" i="3"/>
  <c r="CM429" i="3"/>
  <c r="CL429" i="3"/>
  <c r="CK429" i="3"/>
  <c r="CJ429" i="3"/>
  <c r="CI429" i="3"/>
  <c r="CH429" i="3"/>
  <c r="CG429" i="3"/>
  <c r="CF429" i="3"/>
  <c r="CE429" i="3"/>
  <c r="CD429" i="3"/>
  <c r="CC429" i="3"/>
  <c r="CB429" i="3"/>
  <c r="CA429" i="3"/>
  <c r="BZ429" i="3"/>
  <c r="BY429" i="3"/>
  <c r="BX429" i="3"/>
  <c r="BW429" i="3"/>
  <c r="BV429" i="3"/>
  <c r="BU429" i="3"/>
  <c r="BT429" i="3"/>
  <c r="BS429" i="3"/>
  <c r="CM428" i="3"/>
  <c r="CL428" i="3"/>
  <c r="CK428" i="3"/>
  <c r="CJ428" i="3"/>
  <c r="CI428" i="3"/>
  <c r="CH428" i="3"/>
  <c r="CG428" i="3"/>
  <c r="CF428" i="3"/>
  <c r="CE428" i="3"/>
  <c r="CD428" i="3"/>
  <c r="CC428" i="3"/>
  <c r="CB428" i="3"/>
  <c r="CA428" i="3"/>
  <c r="BZ428" i="3"/>
  <c r="BY428" i="3"/>
  <c r="BX428" i="3"/>
  <c r="BW428" i="3"/>
  <c r="BV428" i="3"/>
  <c r="BU428" i="3"/>
  <c r="BT428" i="3"/>
  <c r="BS428" i="3"/>
  <c r="CM427" i="3"/>
  <c r="CL427" i="3"/>
  <c r="CK427" i="3"/>
  <c r="CJ427" i="3"/>
  <c r="CI427" i="3"/>
  <c r="CH427" i="3"/>
  <c r="CG427" i="3"/>
  <c r="CF427" i="3"/>
  <c r="CE427" i="3"/>
  <c r="CD427" i="3"/>
  <c r="CC427" i="3"/>
  <c r="CB427" i="3"/>
  <c r="CA427" i="3"/>
  <c r="BZ427" i="3"/>
  <c r="BY427" i="3"/>
  <c r="BX427" i="3"/>
  <c r="BW427" i="3"/>
  <c r="BV427" i="3"/>
  <c r="BU427" i="3"/>
  <c r="BT427" i="3"/>
  <c r="BS427" i="3"/>
  <c r="CM426" i="3"/>
  <c r="CL426" i="3"/>
  <c r="CK426" i="3"/>
  <c r="CJ426" i="3"/>
  <c r="CI426" i="3"/>
  <c r="CH426" i="3"/>
  <c r="CG426" i="3"/>
  <c r="CF426" i="3"/>
  <c r="CE426" i="3"/>
  <c r="CD426" i="3"/>
  <c r="CC426" i="3"/>
  <c r="CB426" i="3"/>
  <c r="CA426" i="3"/>
  <c r="BZ426" i="3"/>
  <c r="BY426" i="3"/>
  <c r="BX426" i="3"/>
  <c r="BW426" i="3"/>
  <c r="BV426" i="3"/>
  <c r="BU426" i="3"/>
  <c r="BT426" i="3"/>
  <c r="BS426" i="3"/>
  <c r="AW429" i="3"/>
  <c r="AV429" i="3"/>
  <c r="AU429" i="3"/>
  <c r="AT429" i="3"/>
  <c r="AS429" i="3"/>
  <c r="AR429" i="3"/>
  <c r="AQ429" i="3"/>
  <c r="AP429" i="3"/>
  <c r="AO429" i="3"/>
  <c r="AN429" i="3"/>
  <c r="AM429" i="3"/>
  <c r="AL429" i="3"/>
  <c r="AK429" i="3"/>
  <c r="AJ429" i="3"/>
  <c r="AI429" i="3"/>
  <c r="AH429" i="3"/>
  <c r="AG429" i="3"/>
  <c r="AF429" i="3"/>
  <c r="AE429" i="3"/>
  <c r="AD429" i="3"/>
  <c r="AC429" i="3"/>
  <c r="AB429" i="3"/>
  <c r="AA429" i="3"/>
  <c r="Z429" i="3"/>
  <c r="Y429" i="3"/>
  <c r="X429" i="3"/>
  <c r="W429" i="3"/>
  <c r="V429" i="3"/>
  <c r="U429" i="3"/>
  <c r="T429" i="3"/>
  <c r="S429" i="3"/>
  <c r="R429" i="3"/>
  <c r="Q429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AW428" i="3"/>
  <c r="AV428" i="3"/>
  <c r="AU428" i="3"/>
  <c r="AT428" i="3"/>
  <c r="AS428" i="3"/>
  <c r="AR428" i="3"/>
  <c r="AQ428" i="3"/>
  <c r="AP428" i="3"/>
  <c r="AO428" i="3"/>
  <c r="AN428" i="3"/>
  <c r="AM428" i="3"/>
  <c r="AL428" i="3"/>
  <c r="AK428" i="3"/>
  <c r="AJ428" i="3"/>
  <c r="AI428" i="3"/>
  <c r="AH428" i="3"/>
  <c r="AG428" i="3"/>
  <c r="AF428" i="3"/>
  <c r="AE428" i="3"/>
  <c r="AD428" i="3"/>
  <c r="AC428" i="3"/>
  <c r="AB428" i="3"/>
  <c r="AA428" i="3"/>
  <c r="Z428" i="3"/>
  <c r="Y428" i="3"/>
  <c r="X428" i="3"/>
  <c r="W428" i="3"/>
  <c r="V428" i="3"/>
  <c r="U428" i="3"/>
  <c r="T428" i="3"/>
  <c r="S428" i="3"/>
  <c r="R428" i="3"/>
  <c r="Q428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AW427" i="3"/>
  <c r="AV427" i="3"/>
  <c r="AU427" i="3"/>
  <c r="AT427" i="3"/>
  <c r="AS427" i="3"/>
  <c r="AR427" i="3"/>
  <c r="AQ427" i="3"/>
  <c r="AP427" i="3"/>
  <c r="AO427" i="3"/>
  <c r="AN427" i="3"/>
  <c r="AM427" i="3"/>
  <c r="AL427" i="3"/>
  <c r="AK427" i="3"/>
  <c r="AJ427" i="3"/>
  <c r="AI427" i="3"/>
  <c r="AH427" i="3"/>
  <c r="AG427" i="3"/>
  <c r="AF427" i="3"/>
  <c r="AE427" i="3"/>
  <c r="AD427" i="3"/>
  <c r="AC427" i="3"/>
  <c r="AB427" i="3"/>
  <c r="AA427" i="3"/>
  <c r="Z427" i="3"/>
  <c r="Y427" i="3"/>
  <c r="X427" i="3"/>
  <c r="W427" i="3"/>
  <c r="V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AW426" i="3"/>
  <c r="AV426" i="3"/>
  <c r="AU426" i="3"/>
  <c r="AT426" i="3"/>
  <c r="AS426" i="3"/>
  <c r="AR426" i="3"/>
  <c r="AQ426" i="3"/>
  <c r="AP426" i="3"/>
  <c r="AO426" i="3"/>
  <c r="AN426" i="3"/>
  <c r="AM426" i="3"/>
  <c r="AL426" i="3"/>
  <c r="AK426" i="3"/>
  <c r="AJ426" i="3"/>
  <c r="AI426" i="3"/>
  <c r="AH426" i="3"/>
  <c r="AG426" i="3"/>
  <c r="AF426" i="3"/>
  <c r="AE426" i="3"/>
  <c r="AD426" i="3"/>
  <c r="AC426" i="3"/>
  <c r="AB426" i="3"/>
  <c r="AA426" i="3"/>
  <c r="Z426" i="3"/>
  <c r="Y426" i="3"/>
  <c r="X426" i="3"/>
  <c r="W426" i="3"/>
  <c r="V426" i="3"/>
  <c r="U426" i="3"/>
  <c r="T426" i="3"/>
  <c r="S426" i="3"/>
  <c r="R426" i="3"/>
  <c r="Q426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A425" i="3"/>
  <c r="CM423" i="3"/>
  <c r="CL423" i="3"/>
  <c r="CK423" i="3"/>
  <c r="CJ423" i="3"/>
  <c r="CI423" i="3"/>
  <c r="CH423" i="3"/>
  <c r="CG423" i="3"/>
  <c r="CF423" i="3"/>
  <c r="CE423" i="3"/>
  <c r="CD423" i="3"/>
  <c r="CC423" i="3"/>
  <c r="CB423" i="3"/>
  <c r="CA423" i="3"/>
  <c r="BZ423" i="3"/>
  <c r="BY423" i="3"/>
  <c r="BX423" i="3"/>
  <c r="BW423" i="3"/>
  <c r="BV423" i="3"/>
  <c r="BU423" i="3"/>
  <c r="BT423" i="3"/>
  <c r="BS423" i="3"/>
  <c r="CI422" i="3"/>
  <c r="CH422" i="3"/>
  <c r="CG422" i="3"/>
  <c r="CF422" i="3"/>
  <c r="CE422" i="3"/>
  <c r="CD422" i="3"/>
  <c r="CC422" i="3"/>
  <c r="CB422" i="3"/>
  <c r="CA422" i="3"/>
  <c r="BZ422" i="3"/>
  <c r="BY422" i="3"/>
  <c r="BX422" i="3"/>
  <c r="BW422" i="3"/>
  <c r="BV422" i="3"/>
  <c r="BU422" i="3"/>
  <c r="BT422" i="3"/>
  <c r="BS422" i="3"/>
  <c r="CE421" i="3"/>
  <c r="CD421" i="3"/>
  <c r="CC421" i="3"/>
  <c r="CB421" i="3"/>
  <c r="CA421" i="3"/>
  <c r="BZ421" i="3"/>
  <c r="BY421" i="3"/>
  <c r="BX421" i="3"/>
  <c r="BW421" i="3"/>
  <c r="BV421" i="3"/>
  <c r="BU421" i="3"/>
  <c r="BT421" i="3"/>
  <c r="BS421" i="3"/>
  <c r="CM420" i="3"/>
  <c r="CL420" i="3"/>
  <c r="CK420" i="3"/>
  <c r="CJ420" i="3"/>
  <c r="CI420" i="3"/>
  <c r="CH420" i="3"/>
  <c r="CG420" i="3"/>
  <c r="CF420" i="3"/>
  <c r="CE420" i="3"/>
  <c r="CD420" i="3"/>
  <c r="CC420" i="3"/>
  <c r="CB420" i="3"/>
  <c r="CA420" i="3"/>
  <c r="BZ420" i="3"/>
  <c r="BY420" i="3"/>
  <c r="BX420" i="3"/>
  <c r="BW420" i="3"/>
  <c r="BV420" i="3"/>
  <c r="BU420" i="3"/>
  <c r="BT420" i="3"/>
  <c r="BS420" i="3"/>
  <c r="AW423" i="3"/>
  <c r="AV423" i="3"/>
  <c r="AU423" i="3"/>
  <c r="AT423" i="3"/>
  <c r="AS423" i="3"/>
  <c r="AR423" i="3"/>
  <c r="AQ423" i="3"/>
  <c r="AP423" i="3"/>
  <c r="AO423" i="3"/>
  <c r="AN423" i="3"/>
  <c r="AM423" i="3"/>
  <c r="AL423" i="3"/>
  <c r="AK423" i="3"/>
  <c r="AJ423" i="3"/>
  <c r="AI423" i="3"/>
  <c r="AH423" i="3"/>
  <c r="AG423" i="3"/>
  <c r="AF423" i="3"/>
  <c r="AE423" i="3"/>
  <c r="AD423" i="3"/>
  <c r="AC423" i="3"/>
  <c r="AB423" i="3"/>
  <c r="AA423" i="3"/>
  <c r="Z423" i="3"/>
  <c r="Y423" i="3"/>
  <c r="X423" i="3"/>
  <c r="W423" i="3"/>
  <c r="V423" i="3"/>
  <c r="U423" i="3"/>
  <c r="T423" i="3"/>
  <c r="S423" i="3"/>
  <c r="R423" i="3"/>
  <c r="Q423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W422" i="3"/>
  <c r="AV422" i="3"/>
  <c r="AU422" i="3"/>
  <c r="AT422" i="3"/>
  <c r="AS422" i="3"/>
  <c r="AR422" i="3"/>
  <c r="AQ422" i="3"/>
  <c r="AP422" i="3"/>
  <c r="AO422" i="3"/>
  <c r="AN422" i="3"/>
  <c r="AM422" i="3"/>
  <c r="AL422" i="3"/>
  <c r="AK422" i="3"/>
  <c r="AJ422" i="3"/>
  <c r="AI422" i="3"/>
  <c r="AH422" i="3"/>
  <c r="AG422" i="3"/>
  <c r="AF422" i="3"/>
  <c r="AE422" i="3"/>
  <c r="AD422" i="3"/>
  <c r="AC422" i="3"/>
  <c r="AB422" i="3"/>
  <c r="AA422" i="3"/>
  <c r="Z422" i="3"/>
  <c r="Y422" i="3"/>
  <c r="X422" i="3"/>
  <c r="W422" i="3"/>
  <c r="V422" i="3"/>
  <c r="U422" i="3"/>
  <c r="T422" i="3"/>
  <c r="S422" i="3"/>
  <c r="R422" i="3"/>
  <c r="Q422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W421" i="3"/>
  <c r="AV421" i="3"/>
  <c r="AU421" i="3"/>
  <c r="AT421" i="3"/>
  <c r="AS421" i="3"/>
  <c r="AR421" i="3"/>
  <c r="AQ421" i="3"/>
  <c r="AP421" i="3"/>
  <c r="AO421" i="3"/>
  <c r="AN421" i="3"/>
  <c r="AM421" i="3"/>
  <c r="AL421" i="3"/>
  <c r="AK421" i="3"/>
  <c r="AJ421" i="3"/>
  <c r="AI421" i="3"/>
  <c r="AH421" i="3"/>
  <c r="AG421" i="3"/>
  <c r="AF421" i="3"/>
  <c r="AE421" i="3"/>
  <c r="AD421" i="3"/>
  <c r="AC421" i="3"/>
  <c r="AB421" i="3"/>
  <c r="AA421" i="3"/>
  <c r="Z421" i="3"/>
  <c r="Y421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W420" i="3"/>
  <c r="AV420" i="3"/>
  <c r="AU420" i="3"/>
  <c r="AT420" i="3"/>
  <c r="AS420" i="3"/>
  <c r="AR420" i="3"/>
  <c r="AQ420" i="3"/>
  <c r="AP420" i="3"/>
  <c r="AO420" i="3"/>
  <c r="AN420" i="3"/>
  <c r="AM420" i="3"/>
  <c r="AL420" i="3"/>
  <c r="AK420" i="3"/>
  <c r="AJ420" i="3"/>
  <c r="AI420" i="3"/>
  <c r="AH420" i="3"/>
  <c r="AG420" i="3"/>
  <c r="AF420" i="3"/>
  <c r="AE420" i="3"/>
  <c r="AD420" i="3"/>
  <c r="AC420" i="3"/>
  <c r="AB420" i="3"/>
  <c r="AA420" i="3"/>
  <c r="Z420" i="3"/>
  <c r="Y420" i="3"/>
  <c r="X420" i="3"/>
  <c r="W420" i="3"/>
  <c r="V420" i="3"/>
  <c r="U420" i="3"/>
  <c r="T420" i="3"/>
  <c r="S420" i="3"/>
  <c r="R420" i="3"/>
  <c r="Q420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CB417" i="3"/>
  <c r="CA417" i="3"/>
  <c r="BZ417" i="3"/>
  <c r="BY417" i="3"/>
  <c r="BX417" i="3"/>
  <c r="BW417" i="3"/>
  <c r="BV417" i="3"/>
  <c r="BU417" i="3"/>
  <c r="BT417" i="3"/>
  <c r="BS417" i="3"/>
  <c r="CB416" i="3"/>
  <c r="CA416" i="3"/>
  <c r="BZ416" i="3"/>
  <c r="BY416" i="3"/>
  <c r="BX416" i="3"/>
  <c r="BW416" i="3"/>
  <c r="BV416" i="3"/>
  <c r="BU416" i="3"/>
  <c r="BT416" i="3"/>
  <c r="BS416" i="3"/>
  <c r="AU417" i="3"/>
  <c r="AT417" i="3"/>
  <c r="AS417" i="3"/>
  <c r="AR417" i="3"/>
  <c r="AQ417" i="3"/>
  <c r="AP417" i="3"/>
  <c r="AO417" i="3"/>
  <c r="AN417" i="3"/>
  <c r="AM417" i="3"/>
  <c r="AL417" i="3"/>
  <c r="AK417" i="3"/>
  <c r="AJ417" i="3"/>
  <c r="AI417" i="3"/>
  <c r="AH417" i="3"/>
  <c r="AG417" i="3"/>
  <c r="AF417" i="3"/>
  <c r="AE417" i="3"/>
  <c r="AD417" i="3"/>
  <c r="AC417" i="3"/>
  <c r="AB417" i="3"/>
  <c r="AA417" i="3"/>
  <c r="Z417" i="3"/>
  <c r="Y417" i="3"/>
  <c r="X417" i="3"/>
  <c r="W417" i="3"/>
  <c r="V417" i="3"/>
  <c r="U417" i="3"/>
  <c r="T417" i="3"/>
  <c r="S417" i="3"/>
  <c r="R417" i="3"/>
  <c r="Q417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U416" i="3"/>
  <c r="AT416" i="3"/>
  <c r="AS416" i="3"/>
  <c r="AR416" i="3"/>
  <c r="AQ416" i="3"/>
  <c r="AP416" i="3"/>
  <c r="AO416" i="3"/>
  <c r="AN416" i="3"/>
  <c r="AM416" i="3"/>
  <c r="AL416" i="3"/>
  <c r="AK416" i="3"/>
  <c r="AJ416" i="3"/>
  <c r="AI416" i="3"/>
  <c r="AH416" i="3"/>
  <c r="AG416" i="3"/>
  <c r="AF416" i="3"/>
  <c r="AE416" i="3"/>
  <c r="AD416" i="3"/>
  <c r="AC416" i="3"/>
  <c r="AB416" i="3"/>
  <c r="AA416" i="3"/>
  <c r="Z416" i="3"/>
  <c r="Y416" i="3"/>
  <c r="X416" i="3"/>
  <c r="W416" i="3"/>
  <c r="V416" i="3"/>
  <c r="U416" i="3"/>
  <c r="T416" i="3"/>
  <c r="S416" i="3"/>
  <c r="R416" i="3"/>
  <c r="Q416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CB413" i="3"/>
  <c r="CA413" i="3"/>
  <c r="BZ413" i="3"/>
  <c r="BY413" i="3"/>
  <c r="BX413" i="3"/>
  <c r="BW413" i="3"/>
  <c r="BV413" i="3"/>
  <c r="BU413" i="3"/>
  <c r="BT413" i="3"/>
  <c r="BS413" i="3"/>
  <c r="CB412" i="3"/>
  <c r="CA412" i="3"/>
  <c r="BZ412" i="3"/>
  <c r="BY412" i="3"/>
  <c r="BX412" i="3"/>
  <c r="BW412" i="3"/>
  <c r="BV412" i="3"/>
  <c r="BU412" i="3"/>
  <c r="BT412" i="3"/>
  <c r="BS412" i="3"/>
  <c r="AT413" i="3"/>
  <c r="AS413" i="3"/>
  <c r="AR413" i="3"/>
  <c r="AQ413" i="3"/>
  <c r="AP413" i="3"/>
  <c r="AO413" i="3"/>
  <c r="AN413" i="3"/>
  <c r="AM413" i="3"/>
  <c r="AL413" i="3"/>
  <c r="AK413" i="3"/>
  <c r="AJ413" i="3"/>
  <c r="AI413" i="3"/>
  <c r="AH413" i="3"/>
  <c r="AG413" i="3"/>
  <c r="AF413" i="3"/>
  <c r="AE413" i="3"/>
  <c r="AD413" i="3"/>
  <c r="AC413" i="3"/>
  <c r="AB413" i="3"/>
  <c r="AA413" i="3"/>
  <c r="Z413" i="3"/>
  <c r="Y413" i="3"/>
  <c r="X413" i="3"/>
  <c r="W413" i="3"/>
  <c r="V413" i="3"/>
  <c r="U413" i="3"/>
  <c r="T413" i="3"/>
  <c r="S413" i="3"/>
  <c r="R413" i="3"/>
  <c r="Q413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S412" i="3"/>
  <c r="AR412" i="3"/>
  <c r="AQ412" i="3"/>
  <c r="AP412" i="3"/>
  <c r="AO412" i="3"/>
  <c r="AN412" i="3"/>
  <c r="AM412" i="3"/>
  <c r="AL412" i="3"/>
  <c r="AK412" i="3"/>
  <c r="AJ412" i="3"/>
  <c r="AI412" i="3"/>
  <c r="AH412" i="3"/>
  <c r="AG412" i="3"/>
  <c r="AF412" i="3"/>
  <c r="AE412" i="3"/>
  <c r="AD412" i="3"/>
  <c r="AC412" i="3"/>
  <c r="AB412" i="3"/>
  <c r="AA412" i="3"/>
  <c r="Z412" i="3"/>
  <c r="Y412" i="3"/>
  <c r="X412" i="3"/>
  <c r="W412" i="3"/>
  <c r="V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CK407" i="3"/>
  <c r="CI407" i="3"/>
  <c r="CG407" i="3"/>
  <c r="CE407" i="3"/>
  <c r="CC407" i="3"/>
  <c r="CC406" i="3"/>
  <c r="CA408" i="3"/>
  <c r="CA407" i="3"/>
  <c r="CA406" i="3"/>
  <c r="BY408" i="3"/>
  <c r="BY407" i="3"/>
  <c r="BY406" i="3"/>
  <c r="BW408" i="3"/>
  <c r="BW407" i="3"/>
  <c r="BW406" i="3"/>
  <c r="BU408" i="3"/>
  <c r="BU407" i="3"/>
  <c r="BU406" i="3"/>
  <c r="BS408" i="3"/>
  <c r="BS407" i="3"/>
  <c r="BS406" i="3"/>
  <c r="AV408" i="3"/>
  <c r="AV407" i="3"/>
  <c r="AV406" i="3"/>
  <c r="AT408" i="3"/>
  <c r="AT407" i="3"/>
  <c r="AT406" i="3"/>
  <c r="AR408" i="3"/>
  <c r="AR407" i="3"/>
  <c r="AR406" i="3"/>
  <c r="AP408" i="3"/>
  <c r="AP407" i="3"/>
  <c r="AP406" i="3"/>
  <c r="AN408" i="3"/>
  <c r="AN407" i="3"/>
  <c r="AN406" i="3"/>
  <c r="AL408" i="3"/>
  <c r="AL407" i="3"/>
  <c r="AL406" i="3"/>
  <c r="AJ408" i="3"/>
  <c r="AJ407" i="3"/>
  <c r="AJ406" i="3"/>
  <c r="AH408" i="3"/>
  <c r="AH407" i="3"/>
  <c r="AH406" i="3"/>
  <c r="AF408" i="3"/>
  <c r="AF407" i="3"/>
  <c r="AF406" i="3"/>
  <c r="AD408" i="3"/>
  <c r="AD407" i="3"/>
  <c r="AD406" i="3"/>
  <c r="AB408" i="3"/>
  <c r="AB407" i="3"/>
  <c r="AB406" i="3"/>
  <c r="Z408" i="3"/>
  <c r="Z407" i="3"/>
  <c r="Z406" i="3"/>
  <c r="X408" i="3"/>
  <c r="X407" i="3"/>
  <c r="X406" i="3"/>
  <c r="V408" i="3"/>
  <c r="V407" i="3"/>
  <c r="V406" i="3"/>
  <c r="T408" i="3"/>
  <c r="T407" i="3"/>
  <c r="T406" i="3"/>
  <c r="R408" i="3"/>
  <c r="R407" i="3"/>
  <c r="R406" i="3"/>
  <c r="P408" i="3"/>
  <c r="P407" i="3"/>
  <c r="P406" i="3"/>
  <c r="N408" i="3"/>
  <c r="N407" i="3"/>
  <c r="N406" i="3"/>
  <c r="L408" i="3"/>
  <c r="L407" i="3"/>
  <c r="L406" i="3"/>
  <c r="J408" i="3"/>
  <c r="J407" i="3"/>
  <c r="J406" i="3"/>
  <c r="H408" i="3"/>
  <c r="H407" i="3"/>
  <c r="H406" i="3"/>
  <c r="F408" i="3"/>
  <c r="F407" i="3"/>
  <c r="F406" i="3"/>
  <c r="D408" i="3"/>
  <c r="D407" i="3"/>
  <c r="D406" i="3"/>
  <c r="B408" i="3"/>
  <c r="B407" i="3"/>
  <c r="B406" i="3"/>
  <c r="CJ407" i="3"/>
  <c r="CH407" i="3"/>
  <c r="CF407" i="3"/>
  <c r="CD407" i="3"/>
  <c r="CB408" i="3"/>
  <c r="CB407" i="3"/>
  <c r="CB406" i="3"/>
  <c r="BZ408" i="3"/>
  <c r="BZ407" i="3"/>
  <c r="BZ406" i="3"/>
  <c r="BX408" i="3"/>
  <c r="BX407" i="3"/>
  <c r="BX406" i="3"/>
  <c r="BV408" i="3"/>
  <c r="BV407" i="3"/>
  <c r="BV406" i="3"/>
  <c r="BT408" i="3"/>
  <c r="BT407" i="3"/>
  <c r="BT406" i="3"/>
  <c r="AW407" i="3"/>
  <c r="AW406" i="3"/>
  <c r="AU408" i="3"/>
  <c r="AU407" i="3"/>
  <c r="AU406" i="3"/>
  <c r="AS408" i="3"/>
  <c r="AS407" i="3"/>
  <c r="AS406" i="3"/>
  <c r="AQ408" i="3"/>
  <c r="AQ407" i="3"/>
  <c r="AQ406" i="3"/>
  <c r="AO408" i="3"/>
  <c r="AO407" i="3"/>
  <c r="AO406" i="3"/>
  <c r="AM408" i="3"/>
  <c r="AM407" i="3"/>
  <c r="AM406" i="3"/>
  <c r="AK408" i="3"/>
  <c r="AK407" i="3"/>
  <c r="AK406" i="3"/>
  <c r="AI408" i="3"/>
  <c r="AI407" i="3"/>
  <c r="AI406" i="3"/>
  <c r="AG408" i="3"/>
  <c r="AG407" i="3"/>
  <c r="AG406" i="3"/>
  <c r="AE408" i="3"/>
  <c r="AE407" i="3"/>
  <c r="AE406" i="3"/>
  <c r="AC408" i="3"/>
  <c r="AC407" i="3"/>
  <c r="AC406" i="3"/>
  <c r="AA408" i="3"/>
  <c r="AA407" i="3"/>
  <c r="AA406" i="3"/>
  <c r="Y408" i="3"/>
  <c r="Y407" i="3"/>
  <c r="Y406" i="3"/>
  <c r="W408" i="3"/>
  <c r="W407" i="3"/>
  <c r="W406" i="3"/>
  <c r="U408" i="3"/>
  <c r="U407" i="3"/>
  <c r="U406" i="3"/>
  <c r="S408" i="3"/>
  <c r="S407" i="3"/>
  <c r="S406" i="3"/>
  <c r="Q408" i="3"/>
  <c r="Q407" i="3"/>
  <c r="Q406" i="3"/>
  <c r="O408" i="3"/>
  <c r="O407" i="3"/>
  <c r="O406" i="3"/>
  <c r="M408" i="3"/>
  <c r="M407" i="3"/>
  <c r="M406" i="3"/>
  <c r="K408" i="3"/>
  <c r="K407" i="3"/>
  <c r="K406" i="3"/>
  <c r="I408" i="3"/>
  <c r="I407" i="3"/>
  <c r="I406" i="3"/>
  <c r="G408" i="3"/>
  <c r="G407" i="3"/>
  <c r="G406" i="3"/>
  <c r="E408" i="3"/>
  <c r="E407" i="3"/>
  <c r="E406" i="3"/>
  <c r="C408" i="3"/>
  <c r="C407" i="3"/>
  <c r="C406" i="3"/>
  <c r="CM407" i="3"/>
  <c r="CL407" i="3"/>
  <c r="A406" i="3"/>
  <c r="CD404" i="3"/>
  <c r="CC404" i="3"/>
  <c r="CB404" i="3"/>
  <c r="CA404" i="3"/>
  <c r="BZ404" i="3"/>
  <c r="BY404" i="3"/>
  <c r="BX404" i="3"/>
  <c r="BW404" i="3"/>
  <c r="BV404" i="3"/>
  <c r="BU404" i="3"/>
  <c r="BT404" i="3"/>
  <c r="BS404" i="3"/>
  <c r="CM403" i="3"/>
  <c r="CL403" i="3"/>
  <c r="CK403" i="3"/>
  <c r="CJ403" i="3"/>
  <c r="CI403" i="3"/>
  <c r="CH403" i="3"/>
  <c r="CG403" i="3"/>
  <c r="CF403" i="3"/>
  <c r="CE403" i="3"/>
  <c r="CD403" i="3"/>
  <c r="CC403" i="3"/>
  <c r="CB403" i="3"/>
  <c r="CA403" i="3"/>
  <c r="BZ403" i="3"/>
  <c r="BY403" i="3"/>
  <c r="BX403" i="3"/>
  <c r="BW403" i="3"/>
  <c r="BV403" i="3"/>
  <c r="BU403" i="3"/>
  <c r="BT403" i="3"/>
  <c r="BS403" i="3"/>
  <c r="CI402" i="3"/>
  <c r="CG402" i="3"/>
  <c r="CF402" i="3"/>
  <c r="CE402" i="3"/>
  <c r="CD402" i="3"/>
  <c r="CC402" i="3"/>
  <c r="CB402" i="3"/>
  <c r="CA402" i="3"/>
  <c r="BZ402" i="3"/>
  <c r="BY402" i="3"/>
  <c r="BX402" i="3"/>
  <c r="BW402" i="3"/>
  <c r="BV402" i="3"/>
  <c r="BU402" i="3"/>
  <c r="BT402" i="3"/>
  <c r="BS402" i="3"/>
  <c r="CD401" i="3"/>
  <c r="CC401" i="3"/>
  <c r="CB401" i="3"/>
  <c r="CA401" i="3"/>
  <c r="BZ401" i="3"/>
  <c r="BY401" i="3"/>
  <c r="BX401" i="3"/>
  <c r="BW401" i="3"/>
  <c r="BV401" i="3"/>
  <c r="BU401" i="3"/>
  <c r="BT401" i="3"/>
  <c r="BS401" i="3"/>
  <c r="CK400" i="3"/>
  <c r="CJ400" i="3"/>
  <c r="CI400" i="3"/>
  <c r="CH400" i="3"/>
  <c r="CG400" i="3"/>
  <c r="CF400" i="3"/>
  <c r="CE400" i="3"/>
  <c r="CD400" i="3"/>
  <c r="CC400" i="3"/>
  <c r="CB400" i="3"/>
  <c r="CA400" i="3"/>
  <c r="BZ400" i="3"/>
  <c r="BY400" i="3"/>
  <c r="BX400" i="3"/>
  <c r="BW400" i="3"/>
  <c r="BV400" i="3"/>
  <c r="BU400" i="3"/>
  <c r="BT400" i="3"/>
  <c r="BS400" i="3"/>
  <c r="AW404" i="3"/>
  <c r="AV404" i="3"/>
  <c r="AU404" i="3"/>
  <c r="AT404" i="3"/>
  <c r="AS404" i="3"/>
  <c r="AR404" i="3"/>
  <c r="AQ404" i="3"/>
  <c r="AP404" i="3"/>
  <c r="AO404" i="3"/>
  <c r="AN404" i="3"/>
  <c r="AM404" i="3"/>
  <c r="AL404" i="3"/>
  <c r="AK404" i="3"/>
  <c r="AJ404" i="3"/>
  <c r="AI404" i="3"/>
  <c r="AH404" i="3"/>
  <c r="AG404" i="3"/>
  <c r="AF404" i="3"/>
  <c r="AE404" i="3"/>
  <c r="AD404" i="3"/>
  <c r="AC404" i="3"/>
  <c r="AB404" i="3"/>
  <c r="AA404" i="3"/>
  <c r="Z404" i="3"/>
  <c r="Y404" i="3"/>
  <c r="X404" i="3"/>
  <c r="W404" i="3"/>
  <c r="V404" i="3"/>
  <c r="U404" i="3"/>
  <c r="T404" i="3"/>
  <c r="S404" i="3"/>
  <c r="R404" i="3"/>
  <c r="Q404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AW403" i="3"/>
  <c r="AV403" i="3"/>
  <c r="AU403" i="3"/>
  <c r="AT403" i="3"/>
  <c r="AS403" i="3"/>
  <c r="AR403" i="3"/>
  <c r="AQ403" i="3"/>
  <c r="AP403" i="3"/>
  <c r="AO403" i="3"/>
  <c r="AN403" i="3"/>
  <c r="AM403" i="3"/>
  <c r="AL403" i="3"/>
  <c r="AK403" i="3"/>
  <c r="AJ403" i="3"/>
  <c r="AI403" i="3"/>
  <c r="AH403" i="3"/>
  <c r="AG403" i="3"/>
  <c r="AF403" i="3"/>
  <c r="AE403" i="3"/>
  <c r="AD403" i="3"/>
  <c r="AC403" i="3"/>
  <c r="AB403" i="3"/>
  <c r="AA403" i="3"/>
  <c r="Z403" i="3"/>
  <c r="Y403" i="3"/>
  <c r="X403" i="3"/>
  <c r="W403" i="3"/>
  <c r="V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W402" i="3"/>
  <c r="AV402" i="3"/>
  <c r="AU402" i="3"/>
  <c r="AT402" i="3"/>
  <c r="AS402" i="3"/>
  <c r="AR402" i="3"/>
  <c r="AQ402" i="3"/>
  <c r="AP402" i="3"/>
  <c r="AO402" i="3"/>
  <c r="AN402" i="3"/>
  <c r="AM402" i="3"/>
  <c r="AL402" i="3"/>
  <c r="AK402" i="3"/>
  <c r="AJ402" i="3"/>
  <c r="AI402" i="3"/>
  <c r="AH402" i="3"/>
  <c r="AG402" i="3"/>
  <c r="AF402" i="3"/>
  <c r="AE402" i="3"/>
  <c r="AD402" i="3"/>
  <c r="AC402" i="3"/>
  <c r="AB402" i="3"/>
  <c r="AA402" i="3"/>
  <c r="Z402" i="3"/>
  <c r="Y402" i="3"/>
  <c r="X402" i="3"/>
  <c r="W402" i="3"/>
  <c r="V402" i="3"/>
  <c r="U402" i="3"/>
  <c r="T402" i="3"/>
  <c r="S402" i="3"/>
  <c r="R402" i="3"/>
  <c r="Q402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W401" i="3"/>
  <c r="AV401" i="3"/>
  <c r="AU401" i="3"/>
  <c r="AT401" i="3"/>
  <c r="AS401" i="3"/>
  <c r="AR401" i="3"/>
  <c r="AQ401" i="3"/>
  <c r="AP401" i="3"/>
  <c r="AO401" i="3"/>
  <c r="AN401" i="3"/>
  <c r="AM401" i="3"/>
  <c r="AL401" i="3"/>
  <c r="AK401" i="3"/>
  <c r="AJ401" i="3"/>
  <c r="AI401" i="3"/>
  <c r="AH401" i="3"/>
  <c r="AG401" i="3"/>
  <c r="AF401" i="3"/>
  <c r="AE401" i="3"/>
  <c r="AD401" i="3"/>
  <c r="AC401" i="3"/>
  <c r="AB401" i="3"/>
  <c r="AA401" i="3"/>
  <c r="Z401" i="3"/>
  <c r="Y401" i="3"/>
  <c r="X401" i="3"/>
  <c r="W401" i="3"/>
  <c r="V401" i="3"/>
  <c r="U401" i="3"/>
  <c r="T401" i="3"/>
  <c r="S401" i="3"/>
  <c r="R401" i="3"/>
  <c r="Q401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W400" i="3"/>
  <c r="AV400" i="3"/>
  <c r="AU400" i="3"/>
  <c r="AT400" i="3"/>
  <c r="AS400" i="3"/>
  <c r="AR400" i="3"/>
  <c r="AQ400" i="3"/>
  <c r="AP400" i="3"/>
  <c r="AO400" i="3"/>
  <c r="AN400" i="3"/>
  <c r="AM400" i="3"/>
  <c r="AL400" i="3"/>
  <c r="AK400" i="3"/>
  <c r="AJ400" i="3"/>
  <c r="AI400" i="3"/>
  <c r="AH400" i="3"/>
  <c r="AG400" i="3"/>
  <c r="AF400" i="3"/>
  <c r="AE400" i="3"/>
  <c r="AD400" i="3"/>
  <c r="AC400" i="3"/>
  <c r="AB400" i="3"/>
  <c r="AA400" i="3"/>
  <c r="Z400" i="3"/>
  <c r="Y400" i="3"/>
  <c r="X400" i="3"/>
  <c r="W400" i="3"/>
  <c r="V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399" i="3"/>
  <c r="AW397" i="3"/>
  <c r="AV397" i="3"/>
  <c r="AU397" i="3"/>
  <c r="AT397" i="3"/>
  <c r="AS397" i="3"/>
  <c r="AR397" i="3"/>
  <c r="AQ397" i="3"/>
  <c r="AP397" i="3"/>
  <c r="AO397" i="3"/>
  <c r="AN397" i="3"/>
  <c r="AM397" i="3"/>
  <c r="AL397" i="3"/>
  <c r="AK397" i="3"/>
  <c r="AJ397" i="3"/>
  <c r="AI397" i="3"/>
  <c r="AH397" i="3"/>
  <c r="AG397" i="3"/>
  <c r="AF397" i="3"/>
  <c r="AE397" i="3"/>
  <c r="AD397" i="3"/>
  <c r="AC397" i="3"/>
  <c r="AB397" i="3"/>
  <c r="AA397" i="3"/>
  <c r="Z397" i="3"/>
  <c r="Y397" i="3"/>
  <c r="X397" i="3"/>
  <c r="W397" i="3"/>
  <c r="V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AW396" i="3"/>
  <c r="AV396" i="3"/>
  <c r="AU396" i="3"/>
  <c r="AT396" i="3"/>
  <c r="AS396" i="3"/>
  <c r="AR396" i="3"/>
  <c r="AQ396" i="3"/>
  <c r="AP396" i="3"/>
  <c r="AO396" i="3"/>
  <c r="AN396" i="3"/>
  <c r="AM396" i="3"/>
  <c r="AL396" i="3"/>
  <c r="AK396" i="3"/>
  <c r="AJ396" i="3"/>
  <c r="AI396" i="3"/>
  <c r="AH396" i="3"/>
  <c r="AG396" i="3"/>
  <c r="AF396" i="3"/>
  <c r="AE396" i="3"/>
  <c r="AD396" i="3"/>
  <c r="AC396" i="3"/>
  <c r="AB396" i="3"/>
  <c r="AA396" i="3"/>
  <c r="Z396" i="3"/>
  <c r="Y396" i="3"/>
  <c r="X396" i="3"/>
  <c r="W396" i="3"/>
  <c r="V396" i="3"/>
  <c r="U396" i="3"/>
  <c r="T396" i="3"/>
  <c r="S396" i="3"/>
  <c r="R396" i="3"/>
  <c r="Q396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CM397" i="3"/>
  <c r="CL397" i="3"/>
  <c r="CK397" i="3"/>
  <c r="CJ397" i="3"/>
  <c r="CI397" i="3"/>
  <c r="CH397" i="3"/>
  <c r="CG397" i="3"/>
  <c r="CF397" i="3"/>
  <c r="CE397" i="3"/>
  <c r="CD397" i="3"/>
  <c r="CC397" i="3"/>
  <c r="CB397" i="3"/>
  <c r="CA397" i="3"/>
  <c r="BZ397" i="3"/>
  <c r="BY397" i="3"/>
  <c r="BX397" i="3"/>
  <c r="BW397" i="3"/>
  <c r="BV397" i="3"/>
  <c r="BU397" i="3"/>
  <c r="BT397" i="3"/>
  <c r="BS397" i="3"/>
  <c r="CM396" i="3"/>
  <c r="CL396" i="3"/>
  <c r="CK396" i="3"/>
  <c r="CJ396" i="3"/>
  <c r="CI396" i="3"/>
  <c r="CH396" i="3"/>
  <c r="CG396" i="3"/>
  <c r="CF396" i="3"/>
  <c r="CE396" i="3"/>
  <c r="CD396" i="3"/>
  <c r="CC396" i="3"/>
  <c r="CB396" i="3"/>
  <c r="CA396" i="3"/>
  <c r="BZ396" i="3"/>
  <c r="BY396" i="3"/>
  <c r="BX396" i="3"/>
  <c r="BW396" i="3"/>
  <c r="BV396" i="3"/>
  <c r="BU396" i="3"/>
  <c r="BT396" i="3"/>
  <c r="BS396" i="3"/>
  <c r="CM395" i="3"/>
  <c r="CL395" i="3"/>
  <c r="CK395" i="3"/>
  <c r="CJ395" i="3"/>
  <c r="CI395" i="3"/>
  <c r="CH395" i="3"/>
  <c r="CG395" i="3"/>
  <c r="CF395" i="3"/>
  <c r="CE395" i="3"/>
  <c r="CD395" i="3"/>
  <c r="CC395" i="3"/>
  <c r="CB395" i="3"/>
  <c r="CA395" i="3"/>
  <c r="BZ395" i="3"/>
  <c r="BY395" i="3"/>
  <c r="BX395" i="3"/>
  <c r="BW395" i="3"/>
  <c r="BV395" i="3"/>
  <c r="BU395" i="3"/>
  <c r="BT395" i="3"/>
  <c r="BS395" i="3"/>
  <c r="AW395" i="3"/>
  <c r="AV395" i="3"/>
  <c r="AU395" i="3"/>
  <c r="AT395" i="3"/>
  <c r="AS395" i="3"/>
  <c r="AR395" i="3"/>
  <c r="AQ395" i="3"/>
  <c r="AP395" i="3"/>
  <c r="AO395" i="3"/>
  <c r="AN395" i="3"/>
  <c r="AM395" i="3"/>
  <c r="AL395" i="3"/>
  <c r="AK395" i="3"/>
  <c r="AJ395" i="3"/>
  <c r="AI395" i="3"/>
  <c r="AH395" i="3"/>
  <c r="AG395" i="3"/>
  <c r="AF395" i="3"/>
  <c r="AE395" i="3"/>
  <c r="AD395" i="3"/>
  <c r="AC395" i="3"/>
  <c r="AB395" i="3"/>
  <c r="AA395" i="3"/>
  <c r="Z395" i="3"/>
  <c r="Y395" i="3"/>
  <c r="X395" i="3"/>
  <c r="W395" i="3"/>
  <c r="V395" i="3"/>
  <c r="U395" i="3"/>
  <c r="T395" i="3"/>
  <c r="S395" i="3"/>
  <c r="R395" i="3"/>
  <c r="Q395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4" i="3"/>
  <c r="CM392" i="3"/>
  <c r="CL392" i="3"/>
  <c r="CK392" i="3"/>
  <c r="CJ392" i="3"/>
  <c r="CI392" i="3"/>
  <c r="CH392" i="3"/>
  <c r="CG392" i="3"/>
  <c r="CF392" i="3"/>
  <c r="CE392" i="3"/>
  <c r="CD392" i="3"/>
  <c r="CC392" i="3"/>
  <c r="CB392" i="3"/>
  <c r="CA392" i="3"/>
  <c r="BZ392" i="3"/>
  <c r="BY392" i="3"/>
  <c r="BX392" i="3"/>
  <c r="BW392" i="3"/>
  <c r="BV392" i="3"/>
  <c r="BU392" i="3"/>
  <c r="BT392" i="3"/>
  <c r="BS392" i="3"/>
  <c r="AW392" i="3"/>
  <c r="AV392" i="3"/>
  <c r="AU392" i="3"/>
  <c r="AT392" i="3"/>
  <c r="AS392" i="3"/>
  <c r="AR392" i="3"/>
  <c r="AQ392" i="3"/>
  <c r="AP392" i="3"/>
  <c r="AO392" i="3"/>
  <c r="AN392" i="3"/>
  <c r="AM392" i="3"/>
  <c r="AL392" i="3"/>
  <c r="AK392" i="3"/>
  <c r="AJ392" i="3"/>
  <c r="AI392" i="3"/>
  <c r="AH392" i="3"/>
  <c r="AG392" i="3"/>
  <c r="AF392" i="3"/>
  <c r="AE392" i="3"/>
  <c r="AD392" i="3"/>
  <c r="AC392" i="3"/>
  <c r="AB392" i="3"/>
  <c r="AA392" i="3"/>
  <c r="Z392" i="3"/>
  <c r="Y392" i="3"/>
  <c r="X392" i="3"/>
  <c r="W392" i="3"/>
  <c r="V392" i="3"/>
  <c r="U392" i="3"/>
  <c r="T392" i="3"/>
  <c r="S392" i="3"/>
  <c r="R392" i="3"/>
  <c r="Q392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CJ391" i="3"/>
  <c r="CJ390" i="3"/>
  <c r="CH391" i="3"/>
  <c r="CH390" i="3"/>
  <c r="CF391" i="3"/>
  <c r="CF390" i="3"/>
  <c r="CD391" i="3"/>
  <c r="CD390" i="3"/>
  <c r="CB391" i="3"/>
  <c r="CB390" i="3"/>
  <c r="BZ391" i="3"/>
  <c r="BZ390" i="3"/>
  <c r="BX391" i="3"/>
  <c r="BX390" i="3"/>
  <c r="BV391" i="3"/>
  <c r="BV390" i="3"/>
  <c r="BT391" i="3"/>
  <c r="BT390" i="3"/>
  <c r="AW391" i="3"/>
  <c r="AW390" i="3"/>
  <c r="AU391" i="3"/>
  <c r="AU390" i="3"/>
  <c r="AS391" i="3"/>
  <c r="AS390" i="3"/>
  <c r="AQ391" i="3"/>
  <c r="AQ390" i="3"/>
  <c r="AO391" i="3"/>
  <c r="AO390" i="3"/>
  <c r="AM391" i="3"/>
  <c r="AM390" i="3"/>
  <c r="AK391" i="3"/>
  <c r="AK390" i="3"/>
  <c r="AI391" i="3"/>
  <c r="AI390" i="3"/>
  <c r="AG391" i="3"/>
  <c r="AG390" i="3"/>
  <c r="AE391" i="3"/>
  <c r="AE390" i="3"/>
  <c r="AC391" i="3"/>
  <c r="AC390" i="3"/>
  <c r="AA391" i="3"/>
  <c r="AA390" i="3"/>
  <c r="Y391" i="3"/>
  <c r="Y390" i="3"/>
  <c r="W391" i="3"/>
  <c r="W390" i="3"/>
  <c r="U391" i="3"/>
  <c r="U390" i="3"/>
  <c r="S391" i="3"/>
  <c r="S390" i="3"/>
  <c r="Q391" i="3"/>
  <c r="Q390" i="3"/>
  <c r="O391" i="3"/>
  <c r="O390" i="3"/>
  <c r="M391" i="3"/>
  <c r="M390" i="3"/>
  <c r="K391" i="3"/>
  <c r="K390" i="3"/>
  <c r="I391" i="3"/>
  <c r="I390" i="3"/>
  <c r="G391" i="3"/>
  <c r="G390" i="3"/>
  <c r="E391" i="3"/>
  <c r="E390" i="3"/>
  <c r="C391" i="3"/>
  <c r="C390" i="3"/>
  <c r="CM391" i="3"/>
  <c r="CL391" i="3"/>
  <c r="CM390" i="3"/>
  <c r="CL390" i="3"/>
  <c r="CM386" i="3"/>
  <c r="CK386" i="3"/>
  <c r="CJ386" i="3"/>
  <c r="CI386" i="3"/>
  <c r="CH386" i="3"/>
  <c r="CG386" i="3"/>
  <c r="CF386" i="3"/>
  <c r="CE386" i="3"/>
  <c r="CD386" i="3"/>
  <c r="CC386" i="3"/>
  <c r="CB386" i="3"/>
  <c r="CA386" i="3"/>
  <c r="BZ386" i="3"/>
  <c r="BY386" i="3"/>
  <c r="BX386" i="3"/>
  <c r="BW386" i="3"/>
  <c r="BV386" i="3"/>
  <c r="BU386" i="3"/>
  <c r="BT386" i="3"/>
  <c r="BS386" i="3"/>
  <c r="CG385" i="3"/>
  <c r="CF385" i="3"/>
  <c r="CE385" i="3"/>
  <c r="CD385" i="3"/>
  <c r="CC385" i="3"/>
  <c r="CB385" i="3"/>
  <c r="CA385" i="3"/>
  <c r="BZ385" i="3"/>
  <c r="BY385" i="3"/>
  <c r="BX385" i="3"/>
  <c r="BW385" i="3"/>
  <c r="BV385" i="3"/>
  <c r="BU385" i="3"/>
  <c r="BT385" i="3"/>
  <c r="BS385" i="3"/>
  <c r="CG384" i="3"/>
  <c r="CF384" i="3"/>
  <c r="CE384" i="3"/>
  <c r="CD384" i="3"/>
  <c r="CC384" i="3"/>
  <c r="CB384" i="3"/>
  <c r="CA384" i="3"/>
  <c r="BZ384" i="3"/>
  <c r="BY384" i="3"/>
  <c r="BX384" i="3"/>
  <c r="BW384" i="3"/>
  <c r="BV384" i="3"/>
  <c r="BU384" i="3"/>
  <c r="BT384" i="3"/>
  <c r="BS384" i="3"/>
  <c r="CI383" i="3"/>
  <c r="CG383" i="3"/>
  <c r="CF383" i="3"/>
  <c r="CE383" i="3"/>
  <c r="CD383" i="3"/>
  <c r="CC383" i="3"/>
  <c r="CB383" i="3"/>
  <c r="CA383" i="3"/>
  <c r="BZ383" i="3"/>
  <c r="BY383" i="3"/>
  <c r="BX383" i="3"/>
  <c r="BW383" i="3"/>
  <c r="BV383" i="3"/>
  <c r="BU383" i="3"/>
  <c r="BT383" i="3"/>
  <c r="BS383" i="3"/>
  <c r="AW386" i="3"/>
  <c r="AV386" i="3"/>
  <c r="AU386" i="3"/>
  <c r="AT386" i="3"/>
  <c r="AS386" i="3"/>
  <c r="AR386" i="3"/>
  <c r="AQ386" i="3"/>
  <c r="AP386" i="3"/>
  <c r="AO386" i="3"/>
  <c r="AN386" i="3"/>
  <c r="AM386" i="3"/>
  <c r="AL386" i="3"/>
  <c r="AK386" i="3"/>
  <c r="AJ386" i="3"/>
  <c r="AI386" i="3"/>
  <c r="AH386" i="3"/>
  <c r="AG386" i="3"/>
  <c r="AF386" i="3"/>
  <c r="AE386" i="3"/>
  <c r="AD386" i="3"/>
  <c r="AC386" i="3"/>
  <c r="AB386" i="3"/>
  <c r="AA386" i="3"/>
  <c r="Z386" i="3"/>
  <c r="Y386" i="3"/>
  <c r="X386" i="3"/>
  <c r="W386" i="3"/>
  <c r="V386" i="3"/>
  <c r="U386" i="3"/>
  <c r="T386" i="3"/>
  <c r="S386" i="3"/>
  <c r="R386" i="3"/>
  <c r="Q386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W385" i="3"/>
  <c r="AV385" i="3"/>
  <c r="AU385" i="3"/>
  <c r="AT385" i="3"/>
  <c r="AS385" i="3"/>
  <c r="AR385" i="3"/>
  <c r="AQ385" i="3"/>
  <c r="AP385" i="3"/>
  <c r="AO385" i="3"/>
  <c r="AN385" i="3"/>
  <c r="AM385" i="3"/>
  <c r="AL385" i="3"/>
  <c r="AK385" i="3"/>
  <c r="AJ385" i="3"/>
  <c r="AI385" i="3"/>
  <c r="AH385" i="3"/>
  <c r="AG385" i="3"/>
  <c r="AF385" i="3"/>
  <c r="AE385" i="3"/>
  <c r="AD385" i="3"/>
  <c r="AC385" i="3"/>
  <c r="AB385" i="3"/>
  <c r="AA385" i="3"/>
  <c r="Z385" i="3"/>
  <c r="Y385" i="3"/>
  <c r="X385" i="3"/>
  <c r="W385" i="3"/>
  <c r="V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W384" i="3"/>
  <c r="AV384" i="3"/>
  <c r="AU384" i="3"/>
  <c r="AT384" i="3"/>
  <c r="AS384" i="3"/>
  <c r="AR384" i="3"/>
  <c r="AQ384" i="3"/>
  <c r="AP384" i="3"/>
  <c r="AO384" i="3"/>
  <c r="AN384" i="3"/>
  <c r="AM384" i="3"/>
  <c r="AL384" i="3"/>
  <c r="AK384" i="3"/>
  <c r="AJ384" i="3"/>
  <c r="AI384" i="3"/>
  <c r="AH384" i="3"/>
  <c r="AG384" i="3"/>
  <c r="AF384" i="3"/>
  <c r="AE384" i="3"/>
  <c r="AD384" i="3"/>
  <c r="AC384" i="3"/>
  <c r="AB384" i="3"/>
  <c r="AA384" i="3"/>
  <c r="Z384" i="3"/>
  <c r="Y384" i="3"/>
  <c r="X384" i="3"/>
  <c r="W384" i="3"/>
  <c r="V384" i="3"/>
  <c r="U384" i="3"/>
  <c r="T384" i="3"/>
  <c r="S384" i="3"/>
  <c r="R384" i="3"/>
  <c r="Q384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W383" i="3"/>
  <c r="AV383" i="3"/>
  <c r="AU383" i="3"/>
  <c r="AT383" i="3"/>
  <c r="AS383" i="3"/>
  <c r="AR383" i="3"/>
  <c r="AQ383" i="3"/>
  <c r="AP383" i="3"/>
  <c r="AO383" i="3"/>
  <c r="AN383" i="3"/>
  <c r="AM383" i="3"/>
  <c r="AL383" i="3"/>
  <c r="AK383" i="3"/>
  <c r="AJ383" i="3"/>
  <c r="AI383" i="3"/>
  <c r="AH383" i="3"/>
  <c r="AG383" i="3"/>
  <c r="AF383" i="3"/>
  <c r="AE383" i="3"/>
  <c r="AD383" i="3"/>
  <c r="AC383" i="3"/>
  <c r="AB383" i="3"/>
  <c r="AA383" i="3"/>
  <c r="Z383" i="3"/>
  <c r="Y383" i="3"/>
  <c r="X383" i="3"/>
  <c r="W383" i="3"/>
  <c r="V383" i="3"/>
  <c r="U383" i="3"/>
  <c r="T383" i="3"/>
  <c r="S383" i="3"/>
  <c r="R383" i="3"/>
  <c r="Q383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CM380" i="3"/>
  <c r="CL380" i="3"/>
  <c r="CK380" i="3"/>
  <c r="CJ380" i="3"/>
  <c r="CI380" i="3"/>
  <c r="CH380" i="3"/>
  <c r="CG380" i="3"/>
  <c r="CF380" i="3"/>
  <c r="CE380" i="3"/>
  <c r="CD380" i="3"/>
  <c r="CC380" i="3"/>
  <c r="CB380" i="3"/>
  <c r="CA380" i="3"/>
  <c r="BZ380" i="3"/>
  <c r="BY380" i="3"/>
  <c r="BX380" i="3"/>
  <c r="BW380" i="3"/>
  <c r="BV380" i="3"/>
  <c r="BU380" i="3"/>
  <c r="BT380" i="3"/>
  <c r="BS380" i="3"/>
  <c r="CD379" i="3"/>
  <c r="CC379" i="3"/>
  <c r="CB379" i="3"/>
  <c r="CA379" i="3"/>
  <c r="BZ379" i="3"/>
  <c r="BY379" i="3"/>
  <c r="BX379" i="3"/>
  <c r="BW379" i="3"/>
  <c r="BV379" i="3"/>
  <c r="BU379" i="3"/>
  <c r="BT379" i="3"/>
  <c r="BS379" i="3"/>
  <c r="AW380" i="3"/>
  <c r="AV380" i="3"/>
  <c r="AU380" i="3"/>
  <c r="AT380" i="3"/>
  <c r="AS380" i="3"/>
  <c r="AR380" i="3"/>
  <c r="AQ380" i="3"/>
  <c r="AP380" i="3"/>
  <c r="AO380" i="3"/>
  <c r="AN380" i="3"/>
  <c r="AM380" i="3"/>
  <c r="AL380" i="3"/>
  <c r="AK380" i="3"/>
  <c r="AJ380" i="3"/>
  <c r="AI380" i="3"/>
  <c r="AH380" i="3"/>
  <c r="AG380" i="3"/>
  <c r="AF380" i="3"/>
  <c r="AE380" i="3"/>
  <c r="AD380" i="3"/>
  <c r="AC380" i="3"/>
  <c r="AB380" i="3"/>
  <c r="AA380" i="3"/>
  <c r="Z380" i="3"/>
  <c r="Y380" i="3"/>
  <c r="X380" i="3"/>
  <c r="W380" i="3"/>
  <c r="V380" i="3"/>
  <c r="U380" i="3"/>
  <c r="T380" i="3"/>
  <c r="S380" i="3"/>
  <c r="R380" i="3"/>
  <c r="Q380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AW379" i="3"/>
  <c r="AV379" i="3"/>
  <c r="AU379" i="3"/>
  <c r="AT379" i="3"/>
  <c r="AS379" i="3"/>
  <c r="AR379" i="3"/>
  <c r="AQ379" i="3"/>
  <c r="AP379" i="3"/>
  <c r="AO379" i="3"/>
  <c r="AN379" i="3"/>
  <c r="AM379" i="3"/>
  <c r="AL379" i="3"/>
  <c r="AK379" i="3"/>
  <c r="AJ379" i="3"/>
  <c r="AI379" i="3"/>
  <c r="AH379" i="3"/>
  <c r="AG379" i="3"/>
  <c r="AF379" i="3"/>
  <c r="AE379" i="3"/>
  <c r="AD379" i="3"/>
  <c r="AC379" i="3"/>
  <c r="AB379" i="3"/>
  <c r="AA379" i="3"/>
  <c r="Z379" i="3"/>
  <c r="Y379" i="3"/>
  <c r="X379" i="3"/>
  <c r="W379" i="3"/>
  <c r="V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CM376" i="3"/>
  <c r="CL376" i="3"/>
  <c r="CK376" i="3"/>
  <c r="CJ376" i="3"/>
  <c r="CI376" i="3"/>
  <c r="CH376" i="3"/>
  <c r="CG376" i="3"/>
  <c r="CF376" i="3"/>
  <c r="CE376" i="3"/>
  <c r="CD376" i="3"/>
  <c r="CC376" i="3"/>
  <c r="CB376" i="3"/>
  <c r="CA376" i="3"/>
  <c r="BZ376" i="3"/>
  <c r="BY376" i="3"/>
  <c r="BX376" i="3"/>
  <c r="BW376" i="3"/>
  <c r="BV376" i="3"/>
  <c r="BU376" i="3"/>
  <c r="BT376" i="3"/>
  <c r="BS376" i="3"/>
  <c r="AW376" i="3"/>
  <c r="AV376" i="3"/>
  <c r="AU376" i="3"/>
  <c r="AT376" i="3"/>
  <c r="AS376" i="3"/>
  <c r="AR376" i="3"/>
  <c r="AQ376" i="3"/>
  <c r="AP376" i="3"/>
  <c r="AO376" i="3"/>
  <c r="AN376" i="3"/>
  <c r="AM376" i="3"/>
  <c r="AL376" i="3"/>
  <c r="AK376" i="3"/>
  <c r="AJ376" i="3"/>
  <c r="AI376" i="3"/>
  <c r="AH376" i="3"/>
  <c r="AG376" i="3"/>
  <c r="AF376" i="3"/>
  <c r="AE376" i="3"/>
  <c r="AD376" i="3"/>
  <c r="AC376" i="3"/>
  <c r="AB376" i="3"/>
  <c r="AA376" i="3"/>
  <c r="Z376" i="3"/>
  <c r="Y376" i="3"/>
  <c r="X376" i="3"/>
  <c r="W376" i="3"/>
  <c r="V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CJ375" i="3"/>
  <c r="CJ374" i="3"/>
  <c r="CH375" i="3"/>
  <c r="CH374" i="3"/>
  <c r="CF375" i="3"/>
  <c r="CF374" i="3"/>
  <c r="CD375" i="3"/>
  <c r="CD374" i="3"/>
  <c r="CB375" i="3"/>
  <c r="CB374" i="3"/>
  <c r="BZ375" i="3"/>
  <c r="BZ374" i="3"/>
  <c r="BX375" i="3"/>
  <c r="BX374" i="3"/>
  <c r="BV375" i="3"/>
  <c r="BV374" i="3"/>
  <c r="BT375" i="3"/>
  <c r="BT374" i="3"/>
  <c r="AW375" i="3"/>
  <c r="AW374" i="3"/>
  <c r="AU375" i="3"/>
  <c r="AU374" i="3"/>
  <c r="AS375" i="3"/>
  <c r="AS374" i="3"/>
  <c r="AQ375" i="3"/>
  <c r="AQ374" i="3"/>
  <c r="AO375" i="3"/>
  <c r="AO374" i="3"/>
  <c r="AM375" i="3"/>
  <c r="AM374" i="3"/>
  <c r="AK375" i="3"/>
  <c r="AK374" i="3"/>
  <c r="AI375" i="3"/>
  <c r="AI374" i="3"/>
  <c r="AG375" i="3"/>
  <c r="AG374" i="3"/>
  <c r="AE375" i="3"/>
  <c r="AE374" i="3"/>
  <c r="AC375" i="3"/>
  <c r="AC374" i="3"/>
  <c r="AA375" i="3"/>
  <c r="AA374" i="3"/>
  <c r="Y375" i="3"/>
  <c r="Y374" i="3"/>
  <c r="W375" i="3"/>
  <c r="W374" i="3"/>
  <c r="U375" i="3"/>
  <c r="U374" i="3"/>
  <c r="S375" i="3"/>
  <c r="S374" i="3"/>
  <c r="Q375" i="3"/>
  <c r="Q374" i="3"/>
  <c r="O375" i="3"/>
  <c r="O374" i="3"/>
  <c r="M375" i="3"/>
  <c r="M374" i="3"/>
  <c r="K375" i="3"/>
  <c r="K374" i="3"/>
  <c r="I375" i="3"/>
  <c r="I374" i="3"/>
  <c r="G375" i="3"/>
  <c r="G374" i="3"/>
  <c r="E375" i="3"/>
  <c r="E374" i="3"/>
  <c r="C375" i="3"/>
  <c r="C374" i="3"/>
  <c r="CM375" i="3"/>
  <c r="CL375" i="3"/>
  <c r="CM374" i="3"/>
  <c r="CL374" i="3"/>
  <c r="CM370" i="3"/>
  <c r="CL370" i="3"/>
  <c r="CK370" i="3"/>
  <c r="CJ370" i="3"/>
  <c r="CI370" i="3"/>
  <c r="CH370" i="3"/>
  <c r="CG370" i="3"/>
  <c r="CF370" i="3"/>
  <c r="CE370" i="3"/>
  <c r="CD370" i="3"/>
  <c r="CC370" i="3"/>
  <c r="CB370" i="3"/>
  <c r="CA370" i="3"/>
  <c r="BZ370" i="3"/>
  <c r="BY370" i="3"/>
  <c r="BX370" i="3"/>
  <c r="BW370" i="3"/>
  <c r="BV370" i="3"/>
  <c r="BU370" i="3"/>
  <c r="BT370" i="3"/>
  <c r="BS370" i="3"/>
  <c r="AW370" i="3"/>
  <c r="AV370" i="3"/>
  <c r="AU370" i="3"/>
  <c r="AT370" i="3"/>
  <c r="AS370" i="3"/>
  <c r="AR370" i="3"/>
  <c r="AQ370" i="3"/>
  <c r="AP370" i="3"/>
  <c r="AO370" i="3"/>
  <c r="AN370" i="3"/>
  <c r="AM370" i="3"/>
  <c r="AL370" i="3"/>
  <c r="AK370" i="3"/>
  <c r="AJ370" i="3"/>
  <c r="AI370" i="3"/>
  <c r="AH370" i="3"/>
  <c r="AG370" i="3"/>
  <c r="AF370" i="3"/>
  <c r="AE370" i="3"/>
  <c r="AD370" i="3"/>
  <c r="AC370" i="3"/>
  <c r="AB370" i="3"/>
  <c r="AA370" i="3"/>
  <c r="Z370" i="3"/>
  <c r="Y370" i="3"/>
  <c r="X370" i="3"/>
  <c r="W370" i="3"/>
  <c r="V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A369" i="3"/>
  <c r="BZ367" i="3"/>
  <c r="BY367" i="3"/>
  <c r="BX367" i="3"/>
  <c r="BW367" i="3"/>
  <c r="BV367" i="3"/>
  <c r="BU367" i="3"/>
  <c r="BT367" i="3"/>
  <c r="BS367" i="3"/>
  <c r="CB366" i="3"/>
  <c r="CA366" i="3"/>
  <c r="BZ366" i="3"/>
  <c r="BY366" i="3"/>
  <c r="BX366" i="3"/>
  <c r="BW366" i="3"/>
  <c r="BV366" i="3"/>
  <c r="BU366" i="3"/>
  <c r="BT366" i="3"/>
  <c r="BS366" i="3"/>
  <c r="AM367" i="3"/>
  <c r="AL367" i="3"/>
  <c r="AK367" i="3"/>
  <c r="AJ367" i="3"/>
  <c r="AI367" i="3"/>
  <c r="AH367" i="3"/>
  <c r="AG367" i="3"/>
  <c r="AF367" i="3"/>
  <c r="AE367" i="3"/>
  <c r="AD367" i="3"/>
  <c r="AC367" i="3"/>
  <c r="AB367" i="3"/>
  <c r="AA367" i="3"/>
  <c r="Z367" i="3"/>
  <c r="Y367" i="3"/>
  <c r="X367" i="3"/>
  <c r="W367" i="3"/>
  <c r="V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S366" i="3"/>
  <c r="AR366" i="3"/>
  <c r="AQ366" i="3"/>
  <c r="AP366" i="3"/>
  <c r="AO366" i="3"/>
  <c r="AN366" i="3"/>
  <c r="AM366" i="3"/>
  <c r="AL366" i="3"/>
  <c r="AK366" i="3"/>
  <c r="AJ366" i="3"/>
  <c r="AI366" i="3"/>
  <c r="AH366" i="3"/>
  <c r="AG366" i="3"/>
  <c r="AF366" i="3"/>
  <c r="AE366" i="3"/>
  <c r="AD366" i="3"/>
  <c r="AC366" i="3"/>
  <c r="AB366" i="3"/>
  <c r="AA366" i="3"/>
  <c r="Z366" i="3"/>
  <c r="Y366" i="3"/>
  <c r="X366" i="3"/>
  <c r="W366" i="3"/>
  <c r="V366" i="3"/>
  <c r="U366" i="3"/>
  <c r="T366" i="3"/>
  <c r="S366" i="3"/>
  <c r="R366" i="3"/>
  <c r="Q366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CK361" i="3"/>
  <c r="CI361" i="3"/>
  <c r="CG361" i="3"/>
  <c r="CE361" i="3"/>
  <c r="CC362" i="3"/>
  <c r="CC361" i="3"/>
  <c r="CC360" i="3"/>
  <c r="CA362" i="3"/>
  <c r="CA361" i="3"/>
  <c r="CA360" i="3"/>
  <c r="BY362" i="3"/>
  <c r="BY361" i="3"/>
  <c r="BY360" i="3"/>
  <c r="BW362" i="3"/>
  <c r="BW361" i="3"/>
  <c r="BW360" i="3"/>
  <c r="BU362" i="3"/>
  <c r="BU361" i="3"/>
  <c r="BU360" i="3"/>
  <c r="BS362" i="3"/>
  <c r="BS361" i="3"/>
  <c r="BS360" i="3"/>
  <c r="AV362" i="3"/>
  <c r="AV361" i="3"/>
  <c r="AV360" i="3"/>
  <c r="AT362" i="3"/>
  <c r="AT361" i="3"/>
  <c r="AT360" i="3"/>
  <c r="AR362" i="3"/>
  <c r="AR361" i="3"/>
  <c r="AR360" i="3"/>
  <c r="AP362" i="3"/>
  <c r="AP361" i="3"/>
  <c r="AP360" i="3"/>
  <c r="AN362" i="3"/>
  <c r="AN361" i="3"/>
  <c r="AN360" i="3"/>
  <c r="AL362" i="3"/>
  <c r="AL361" i="3"/>
  <c r="AL360" i="3"/>
  <c r="AJ362" i="3"/>
  <c r="AJ361" i="3"/>
  <c r="AJ360" i="3"/>
  <c r="AH362" i="3"/>
  <c r="AH361" i="3"/>
  <c r="AH360" i="3"/>
  <c r="AF362" i="3"/>
  <c r="AF361" i="3"/>
  <c r="AF360" i="3"/>
  <c r="AD362" i="3"/>
  <c r="AD361" i="3"/>
  <c r="AD360" i="3"/>
  <c r="AB362" i="3"/>
  <c r="AB361" i="3"/>
  <c r="AB360" i="3"/>
  <c r="Z362" i="3"/>
  <c r="Z361" i="3"/>
  <c r="Z360" i="3"/>
  <c r="X362" i="3"/>
  <c r="X361" i="3"/>
  <c r="X360" i="3"/>
  <c r="V362" i="3"/>
  <c r="V361" i="3"/>
  <c r="V360" i="3"/>
  <c r="T362" i="3"/>
  <c r="T361" i="3"/>
  <c r="T360" i="3"/>
  <c r="R362" i="3"/>
  <c r="R361" i="3"/>
  <c r="R360" i="3"/>
  <c r="P362" i="3"/>
  <c r="P361" i="3"/>
  <c r="P360" i="3"/>
  <c r="N362" i="3"/>
  <c r="N361" i="3"/>
  <c r="N360" i="3"/>
  <c r="L362" i="3"/>
  <c r="L361" i="3"/>
  <c r="L360" i="3"/>
  <c r="J362" i="3"/>
  <c r="J361" i="3"/>
  <c r="J360" i="3"/>
  <c r="H362" i="3"/>
  <c r="H361" i="3"/>
  <c r="H360" i="3"/>
  <c r="F362" i="3"/>
  <c r="F361" i="3"/>
  <c r="F360" i="3"/>
  <c r="D362" i="3"/>
  <c r="D361" i="3"/>
  <c r="D360" i="3"/>
  <c r="B362" i="3"/>
  <c r="B361" i="3"/>
  <c r="B360" i="3"/>
  <c r="CJ361" i="3"/>
  <c r="CH361" i="3"/>
  <c r="CF361" i="3"/>
  <c r="CD362" i="3"/>
  <c r="CD361" i="3"/>
  <c r="CD360" i="3"/>
  <c r="CB362" i="3"/>
  <c r="CB361" i="3"/>
  <c r="CB360" i="3"/>
  <c r="BZ362" i="3"/>
  <c r="BZ361" i="3"/>
  <c r="BZ360" i="3"/>
  <c r="BX362" i="3"/>
  <c r="BX361" i="3"/>
  <c r="BX360" i="3"/>
  <c r="BV362" i="3"/>
  <c r="BV361" i="3"/>
  <c r="BV360" i="3"/>
  <c r="BT362" i="3"/>
  <c r="BT361" i="3"/>
  <c r="BT360" i="3"/>
  <c r="AW362" i="3"/>
  <c r="AW361" i="3"/>
  <c r="AW360" i="3"/>
  <c r="AU362" i="3"/>
  <c r="AU361" i="3"/>
  <c r="AU360" i="3"/>
  <c r="AS362" i="3"/>
  <c r="AS361" i="3"/>
  <c r="AS360" i="3"/>
  <c r="AQ362" i="3"/>
  <c r="AQ361" i="3"/>
  <c r="AQ360" i="3"/>
  <c r="AO362" i="3"/>
  <c r="AO361" i="3"/>
  <c r="AO360" i="3"/>
  <c r="AM362" i="3"/>
  <c r="AM361" i="3"/>
  <c r="AM360" i="3"/>
  <c r="AK362" i="3"/>
  <c r="AK361" i="3"/>
  <c r="AK360" i="3"/>
  <c r="AI362" i="3"/>
  <c r="AI361" i="3"/>
  <c r="AI360" i="3"/>
  <c r="AG362" i="3"/>
  <c r="AG361" i="3"/>
  <c r="AG360" i="3"/>
  <c r="AE362" i="3"/>
  <c r="AE361" i="3"/>
  <c r="AE360" i="3"/>
  <c r="AC362" i="3"/>
  <c r="AC361" i="3"/>
  <c r="AC360" i="3"/>
  <c r="AA362" i="3"/>
  <c r="AA361" i="3"/>
  <c r="AA360" i="3"/>
  <c r="Y362" i="3"/>
  <c r="Y361" i="3"/>
  <c r="Y360" i="3"/>
  <c r="W362" i="3"/>
  <c r="W361" i="3"/>
  <c r="W360" i="3"/>
  <c r="U362" i="3"/>
  <c r="U361" i="3"/>
  <c r="U360" i="3"/>
  <c r="S362" i="3"/>
  <c r="S361" i="3"/>
  <c r="S360" i="3"/>
  <c r="Q362" i="3"/>
  <c r="Q361" i="3"/>
  <c r="Q360" i="3"/>
  <c r="O362" i="3"/>
  <c r="O361" i="3"/>
  <c r="O360" i="3"/>
  <c r="M362" i="3"/>
  <c r="M361" i="3"/>
  <c r="M360" i="3"/>
  <c r="K362" i="3"/>
  <c r="K361" i="3"/>
  <c r="K360" i="3"/>
  <c r="I362" i="3"/>
  <c r="I361" i="3"/>
  <c r="I360" i="3"/>
  <c r="G362" i="3"/>
  <c r="G361" i="3"/>
  <c r="G360" i="3"/>
  <c r="E362" i="3"/>
  <c r="E361" i="3"/>
  <c r="E360" i="3"/>
  <c r="C362" i="3"/>
  <c r="C361" i="3"/>
  <c r="C360" i="3"/>
  <c r="CM361" i="3"/>
  <c r="CL361" i="3"/>
  <c r="A360" i="3"/>
  <c r="AW358" i="3"/>
  <c r="AV358" i="3"/>
  <c r="AU358" i="3"/>
  <c r="AT358" i="3"/>
  <c r="AS358" i="3"/>
  <c r="AR358" i="3"/>
  <c r="AQ358" i="3"/>
  <c r="AP358" i="3"/>
  <c r="AO358" i="3"/>
  <c r="AN358" i="3"/>
  <c r="AM358" i="3"/>
  <c r="AL358" i="3"/>
  <c r="AK358" i="3"/>
  <c r="AJ358" i="3"/>
  <c r="AI358" i="3"/>
  <c r="AH358" i="3"/>
  <c r="AG358" i="3"/>
  <c r="AF358" i="3"/>
  <c r="AE358" i="3"/>
  <c r="AD358" i="3"/>
  <c r="AC358" i="3"/>
  <c r="AB358" i="3"/>
  <c r="AA358" i="3"/>
  <c r="Z358" i="3"/>
  <c r="Y358" i="3"/>
  <c r="X358" i="3"/>
  <c r="W358" i="3"/>
  <c r="V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CD358" i="3"/>
  <c r="CC358" i="3"/>
  <c r="CB358" i="3"/>
  <c r="CA358" i="3"/>
  <c r="BZ358" i="3"/>
  <c r="BY358" i="3"/>
  <c r="BX358" i="3"/>
  <c r="BW358" i="3"/>
  <c r="BV358" i="3"/>
  <c r="BU358" i="3"/>
  <c r="BT358" i="3"/>
  <c r="BS358" i="3"/>
  <c r="CI357" i="3"/>
  <c r="CH357" i="3"/>
  <c r="CG357" i="3"/>
  <c r="CF357" i="3"/>
  <c r="CE357" i="3"/>
  <c r="CD357" i="3"/>
  <c r="CC357" i="3"/>
  <c r="CB357" i="3"/>
  <c r="CA357" i="3"/>
  <c r="BZ357" i="3"/>
  <c r="BY357" i="3"/>
  <c r="BX357" i="3"/>
  <c r="BW357" i="3"/>
  <c r="BV357" i="3"/>
  <c r="BU357" i="3"/>
  <c r="BT357" i="3"/>
  <c r="BS357" i="3"/>
  <c r="CF356" i="3"/>
  <c r="CE356" i="3"/>
  <c r="CD356" i="3"/>
  <c r="CC356" i="3"/>
  <c r="CB356" i="3"/>
  <c r="CA356" i="3"/>
  <c r="BZ356" i="3"/>
  <c r="BY356" i="3"/>
  <c r="BX356" i="3"/>
  <c r="BW356" i="3"/>
  <c r="BV356" i="3"/>
  <c r="BU356" i="3"/>
  <c r="BT356" i="3"/>
  <c r="BS356" i="3"/>
  <c r="CG355" i="3"/>
  <c r="CF355" i="3"/>
  <c r="CE355" i="3"/>
  <c r="CD355" i="3"/>
  <c r="CC355" i="3"/>
  <c r="CB355" i="3"/>
  <c r="CA355" i="3"/>
  <c r="BZ355" i="3"/>
  <c r="BY355" i="3"/>
  <c r="BX355" i="3"/>
  <c r="BW355" i="3"/>
  <c r="BV355" i="3"/>
  <c r="BU355" i="3"/>
  <c r="BT355" i="3"/>
  <c r="BS355" i="3"/>
  <c r="CD354" i="3"/>
  <c r="CC354" i="3"/>
  <c r="CB354" i="3"/>
  <c r="CA354" i="3"/>
  <c r="BZ354" i="3"/>
  <c r="BY354" i="3"/>
  <c r="BX354" i="3"/>
  <c r="BW354" i="3"/>
  <c r="BV354" i="3"/>
  <c r="BU354" i="3"/>
  <c r="BT354" i="3"/>
  <c r="BS354" i="3"/>
  <c r="AW357" i="3"/>
  <c r="AV357" i="3"/>
  <c r="AU357" i="3"/>
  <c r="AT357" i="3"/>
  <c r="AS357" i="3"/>
  <c r="AR357" i="3"/>
  <c r="AQ357" i="3"/>
  <c r="AP357" i="3"/>
  <c r="AO357" i="3"/>
  <c r="AN357" i="3"/>
  <c r="AM357" i="3"/>
  <c r="AL357" i="3"/>
  <c r="AK357" i="3"/>
  <c r="AJ357" i="3"/>
  <c r="AI357" i="3"/>
  <c r="AH357" i="3"/>
  <c r="AG357" i="3"/>
  <c r="AF357" i="3"/>
  <c r="AE357" i="3"/>
  <c r="AD357" i="3"/>
  <c r="AC357" i="3"/>
  <c r="AB357" i="3"/>
  <c r="AA357" i="3"/>
  <c r="Z357" i="3"/>
  <c r="Y357" i="3"/>
  <c r="X357" i="3"/>
  <c r="W357" i="3"/>
  <c r="V357" i="3"/>
  <c r="U357" i="3"/>
  <c r="T357" i="3"/>
  <c r="S357" i="3"/>
  <c r="R357" i="3"/>
  <c r="Q357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W356" i="3"/>
  <c r="AV356" i="3"/>
  <c r="AU356" i="3"/>
  <c r="AT356" i="3"/>
  <c r="AS356" i="3"/>
  <c r="AR356" i="3"/>
  <c r="AQ356" i="3"/>
  <c r="AP356" i="3"/>
  <c r="AO356" i="3"/>
  <c r="AN356" i="3"/>
  <c r="AM356" i="3"/>
  <c r="AL356" i="3"/>
  <c r="AK356" i="3"/>
  <c r="AJ356" i="3"/>
  <c r="AI356" i="3"/>
  <c r="AH356" i="3"/>
  <c r="AG356" i="3"/>
  <c r="AF356" i="3"/>
  <c r="AE356" i="3"/>
  <c r="AD356" i="3"/>
  <c r="AC356" i="3"/>
  <c r="AB356" i="3"/>
  <c r="AA356" i="3"/>
  <c r="Z356" i="3"/>
  <c r="Y356" i="3"/>
  <c r="X356" i="3"/>
  <c r="W356" i="3"/>
  <c r="V356" i="3"/>
  <c r="U356" i="3"/>
  <c r="T356" i="3"/>
  <c r="S356" i="3"/>
  <c r="R356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W355" i="3"/>
  <c r="AV355" i="3"/>
  <c r="AU355" i="3"/>
  <c r="AT355" i="3"/>
  <c r="AS355" i="3"/>
  <c r="AR355" i="3"/>
  <c r="AQ355" i="3"/>
  <c r="AP355" i="3"/>
  <c r="AO355" i="3"/>
  <c r="AN355" i="3"/>
  <c r="AM355" i="3"/>
  <c r="AL355" i="3"/>
  <c r="AK355" i="3"/>
  <c r="AJ355" i="3"/>
  <c r="AI355" i="3"/>
  <c r="AH355" i="3"/>
  <c r="AG355" i="3"/>
  <c r="AF355" i="3"/>
  <c r="AE355" i="3"/>
  <c r="AD355" i="3"/>
  <c r="AC355" i="3"/>
  <c r="AB355" i="3"/>
  <c r="AA355" i="3"/>
  <c r="Z355" i="3"/>
  <c r="Y355" i="3"/>
  <c r="X355" i="3"/>
  <c r="W355" i="3"/>
  <c r="V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W354" i="3"/>
  <c r="AV354" i="3"/>
  <c r="AU354" i="3"/>
  <c r="AT354" i="3"/>
  <c r="AS354" i="3"/>
  <c r="AR354" i="3"/>
  <c r="AQ354" i="3"/>
  <c r="AP354" i="3"/>
  <c r="AO354" i="3"/>
  <c r="AN354" i="3"/>
  <c r="AM354" i="3"/>
  <c r="AL354" i="3"/>
  <c r="AK354" i="3"/>
  <c r="AJ354" i="3"/>
  <c r="AI354" i="3"/>
  <c r="AH354" i="3"/>
  <c r="AG354" i="3"/>
  <c r="AF354" i="3"/>
  <c r="AE354" i="3"/>
  <c r="AD354" i="3"/>
  <c r="AC354" i="3"/>
  <c r="AB354" i="3"/>
  <c r="AA354" i="3"/>
  <c r="Z354" i="3"/>
  <c r="Y354" i="3"/>
  <c r="X354" i="3"/>
  <c r="W354" i="3"/>
  <c r="V354" i="3"/>
  <c r="U354" i="3"/>
  <c r="T354" i="3"/>
  <c r="S354" i="3"/>
  <c r="R354" i="3"/>
  <c r="Q354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3" i="3"/>
  <c r="AW351" i="3"/>
  <c r="AV351" i="3"/>
  <c r="AU351" i="3"/>
  <c r="AT351" i="3"/>
  <c r="AS351" i="3"/>
  <c r="AR351" i="3"/>
  <c r="AQ351" i="3"/>
  <c r="AP351" i="3"/>
  <c r="AO351" i="3"/>
  <c r="AN351" i="3"/>
  <c r="AM351" i="3"/>
  <c r="AL351" i="3"/>
  <c r="AK351" i="3"/>
  <c r="AJ351" i="3"/>
  <c r="AI351" i="3"/>
  <c r="AH351" i="3"/>
  <c r="AG351" i="3"/>
  <c r="AF351" i="3"/>
  <c r="AE351" i="3"/>
  <c r="AD351" i="3"/>
  <c r="AC351" i="3"/>
  <c r="AB351" i="3"/>
  <c r="AA351" i="3"/>
  <c r="Z351" i="3"/>
  <c r="Y351" i="3"/>
  <c r="X351" i="3"/>
  <c r="W351" i="3"/>
  <c r="V351" i="3"/>
  <c r="U351" i="3"/>
  <c r="T351" i="3"/>
  <c r="S351" i="3"/>
  <c r="R351" i="3"/>
  <c r="Q351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AW350" i="3"/>
  <c r="AV350" i="3"/>
  <c r="AU350" i="3"/>
  <c r="AT350" i="3"/>
  <c r="AS350" i="3"/>
  <c r="AR350" i="3"/>
  <c r="AQ350" i="3"/>
  <c r="AP350" i="3"/>
  <c r="AO350" i="3"/>
  <c r="AN350" i="3"/>
  <c r="AM350" i="3"/>
  <c r="AL350" i="3"/>
  <c r="AK350" i="3"/>
  <c r="AJ350" i="3"/>
  <c r="AI350" i="3"/>
  <c r="AH350" i="3"/>
  <c r="AG350" i="3"/>
  <c r="AF350" i="3"/>
  <c r="AE350" i="3"/>
  <c r="AD350" i="3"/>
  <c r="AC350" i="3"/>
  <c r="AB350" i="3"/>
  <c r="AA350" i="3"/>
  <c r="Z350" i="3"/>
  <c r="Y350" i="3"/>
  <c r="X350" i="3"/>
  <c r="W350" i="3"/>
  <c r="V350" i="3"/>
  <c r="U350" i="3"/>
  <c r="T350" i="3"/>
  <c r="S350" i="3"/>
  <c r="R350" i="3"/>
  <c r="Q350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CM351" i="3"/>
  <c r="CL351" i="3"/>
  <c r="CK351" i="3"/>
  <c r="CJ351" i="3"/>
  <c r="CI351" i="3"/>
  <c r="CH351" i="3"/>
  <c r="CG351" i="3"/>
  <c r="CF351" i="3"/>
  <c r="CE351" i="3"/>
  <c r="CD351" i="3"/>
  <c r="CC351" i="3"/>
  <c r="CB351" i="3"/>
  <c r="CA351" i="3"/>
  <c r="BZ351" i="3"/>
  <c r="BY351" i="3"/>
  <c r="BX351" i="3"/>
  <c r="BW351" i="3"/>
  <c r="BV351" i="3"/>
  <c r="BU351" i="3"/>
  <c r="BT351" i="3"/>
  <c r="BS351" i="3"/>
  <c r="CM350" i="3"/>
  <c r="CL350" i="3"/>
  <c r="CK350" i="3"/>
  <c r="CJ350" i="3"/>
  <c r="CI350" i="3"/>
  <c r="CH350" i="3"/>
  <c r="CG350" i="3"/>
  <c r="CF350" i="3"/>
  <c r="CE350" i="3"/>
  <c r="CD350" i="3"/>
  <c r="CC350" i="3"/>
  <c r="CB350" i="3"/>
  <c r="CA350" i="3"/>
  <c r="BZ350" i="3"/>
  <c r="BY350" i="3"/>
  <c r="BX350" i="3"/>
  <c r="BW350" i="3"/>
  <c r="BV350" i="3"/>
  <c r="BU350" i="3"/>
  <c r="BT350" i="3"/>
  <c r="BS350" i="3"/>
  <c r="CM349" i="3"/>
  <c r="CL349" i="3"/>
  <c r="CK349" i="3"/>
  <c r="CJ349" i="3"/>
  <c r="CI349" i="3"/>
  <c r="CH349" i="3"/>
  <c r="CG349" i="3"/>
  <c r="CF349" i="3"/>
  <c r="CE349" i="3"/>
  <c r="CD349" i="3"/>
  <c r="CC349" i="3"/>
  <c r="CB349" i="3"/>
  <c r="CA349" i="3"/>
  <c r="BZ349" i="3"/>
  <c r="BY349" i="3"/>
  <c r="BX349" i="3"/>
  <c r="BW349" i="3"/>
  <c r="BV349" i="3"/>
  <c r="BU349" i="3"/>
  <c r="BT349" i="3"/>
  <c r="BS349" i="3"/>
  <c r="AW349" i="3"/>
  <c r="AV349" i="3"/>
  <c r="AU349" i="3"/>
  <c r="AT349" i="3"/>
  <c r="AS349" i="3"/>
  <c r="AR349" i="3"/>
  <c r="AQ349" i="3"/>
  <c r="AP349" i="3"/>
  <c r="AO349" i="3"/>
  <c r="AN349" i="3"/>
  <c r="AM349" i="3"/>
  <c r="AL349" i="3"/>
  <c r="AK349" i="3"/>
  <c r="AJ349" i="3"/>
  <c r="AI349" i="3"/>
  <c r="AH349" i="3"/>
  <c r="AG349" i="3"/>
  <c r="AF349" i="3"/>
  <c r="AE349" i="3"/>
  <c r="AD349" i="3"/>
  <c r="AC349" i="3"/>
  <c r="AB349" i="3"/>
  <c r="AA349" i="3"/>
  <c r="Z349" i="3"/>
  <c r="Y349" i="3"/>
  <c r="X349" i="3"/>
  <c r="W349" i="3"/>
  <c r="V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8" i="3"/>
  <c r="CM346" i="3"/>
  <c r="CL346" i="3"/>
  <c r="CK346" i="3"/>
  <c r="CJ346" i="3"/>
  <c r="CI346" i="3"/>
  <c r="CH346" i="3"/>
  <c r="CG346" i="3"/>
  <c r="CF346" i="3"/>
  <c r="CE346" i="3"/>
  <c r="CD346" i="3"/>
  <c r="CC346" i="3"/>
  <c r="CB346" i="3"/>
  <c r="CA346" i="3"/>
  <c r="BZ346" i="3"/>
  <c r="BY346" i="3"/>
  <c r="BX346" i="3"/>
  <c r="BW346" i="3"/>
  <c r="BV346" i="3"/>
  <c r="BU346" i="3"/>
  <c r="BT346" i="3"/>
  <c r="BS346" i="3"/>
  <c r="AW346" i="3"/>
  <c r="AV346" i="3"/>
  <c r="AU346" i="3"/>
  <c r="AT346" i="3"/>
  <c r="AS346" i="3"/>
  <c r="AR346" i="3"/>
  <c r="AQ346" i="3"/>
  <c r="AP346" i="3"/>
  <c r="AO346" i="3"/>
  <c r="AN346" i="3"/>
  <c r="AM346" i="3"/>
  <c r="AL346" i="3"/>
  <c r="AK346" i="3"/>
  <c r="AJ346" i="3"/>
  <c r="AI346" i="3"/>
  <c r="AH346" i="3"/>
  <c r="AG346" i="3"/>
  <c r="AF346" i="3"/>
  <c r="AE346" i="3"/>
  <c r="AD346" i="3"/>
  <c r="AC346" i="3"/>
  <c r="AB346" i="3"/>
  <c r="AA346" i="3"/>
  <c r="Z346" i="3"/>
  <c r="Y346" i="3"/>
  <c r="X346" i="3"/>
  <c r="W346" i="3"/>
  <c r="V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CJ345" i="3"/>
  <c r="CJ344" i="3"/>
  <c r="CH345" i="3"/>
  <c r="CH344" i="3"/>
  <c r="CF345" i="3"/>
  <c r="CF344" i="3"/>
  <c r="CD345" i="3"/>
  <c r="CD344" i="3"/>
  <c r="CB345" i="3"/>
  <c r="CB344" i="3"/>
  <c r="BZ345" i="3"/>
  <c r="BZ344" i="3"/>
  <c r="BX345" i="3"/>
  <c r="BX344" i="3"/>
  <c r="BV345" i="3"/>
  <c r="BV344" i="3"/>
  <c r="BT345" i="3"/>
  <c r="BT344" i="3"/>
  <c r="AW345" i="3"/>
  <c r="AW344" i="3"/>
  <c r="AU345" i="3"/>
  <c r="AU344" i="3"/>
  <c r="AS345" i="3"/>
  <c r="AS344" i="3"/>
  <c r="AQ345" i="3"/>
  <c r="AQ344" i="3"/>
  <c r="AO345" i="3"/>
  <c r="AO344" i="3"/>
  <c r="AM345" i="3"/>
  <c r="AM344" i="3"/>
  <c r="AK345" i="3"/>
  <c r="AK344" i="3"/>
  <c r="AI345" i="3"/>
  <c r="AI344" i="3"/>
  <c r="AG345" i="3"/>
  <c r="AG344" i="3"/>
  <c r="AE345" i="3"/>
  <c r="AE344" i="3"/>
  <c r="AC345" i="3"/>
  <c r="AC344" i="3"/>
  <c r="AA345" i="3"/>
  <c r="AA344" i="3"/>
  <c r="Y345" i="3"/>
  <c r="Y344" i="3"/>
  <c r="W345" i="3"/>
  <c r="W344" i="3"/>
  <c r="U345" i="3"/>
  <c r="U344" i="3"/>
  <c r="S345" i="3"/>
  <c r="S344" i="3"/>
  <c r="Q345" i="3"/>
  <c r="Q344" i="3"/>
  <c r="O345" i="3"/>
  <c r="O344" i="3"/>
  <c r="M345" i="3"/>
  <c r="M344" i="3"/>
  <c r="K345" i="3"/>
  <c r="K344" i="3"/>
  <c r="I345" i="3"/>
  <c r="I344" i="3"/>
  <c r="G345" i="3"/>
  <c r="G344" i="3"/>
  <c r="E345" i="3"/>
  <c r="E344" i="3"/>
  <c r="C345" i="3"/>
  <c r="C344" i="3"/>
  <c r="CM345" i="3"/>
  <c r="CL345" i="3"/>
  <c r="CM344" i="3"/>
  <c r="CL344" i="3"/>
  <c r="A340" i="3"/>
  <c r="BX340" i="3"/>
  <c r="BW340" i="3"/>
  <c r="BV340" i="3"/>
  <c r="BU340" i="3"/>
  <c r="BT340" i="3"/>
  <c r="BS340" i="3"/>
  <c r="BX339" i="3"/>
  <c r="BW339" i="3"/>
  <c r="BV339" i="3"/>
  <c r="BU339" i="3"/>
  <c r="BT339" i="3"/>
  <c r="BS339" i="3"/>
  <c r="BX338" i="3"/>
  <c r="BW338" i="3"/>
  <c r="BV338" i="3"/>
  <c r="BU338" i="3"/>
  <c r="BT338" i="3"/>
  <c r="BS338" i="3"/>
  <c r="BX337" i="3"/>
  <c r="BW337" i="3"/>
  <c r="BV337" i="3"/>
  <c r="BU337" i="3"/>
  <c r="BT337" i="3"/>
  <c r="BS337" i="3"/>
  <c r="W340" i="3"/>
  <c r="V340" i="3"/>
  <c r="U340" i="3"/>
  <c r="T340" i="3"/>
  <c r="S340" i="3"/>
  <c r="R340" i="3"/>
  <c r="Q340" i="3"/>
  <c r="P340" i="3"/>
  <c r="W339" i="3"/>
  <c r="V339" i="3"/>
  <c r="U339" i="3"/>
  <c r="T339" i="3"/>
  <c r="S339" i="3"/>
  <c r="R339" i="3"/>
  <c r="Q339" i="3"/>
  <c r="P339" i="3"/>
  <c r="X338" i="3"/>
  <c r="W338" i="3"/>
  <c r="V338" i="3"/>
  <c r="U338" i="3"/>
  <c r="T338" i="3"/>
  <c r="S338" i="3"/>
  <c r="R338" i="3"/>
  <c r="Q338" i="3"/>
  <c r="P338" i="3"/>
  <c r="Y337" i="3"/>
  <c r="W337" i="3"/>
  <c r="V337" i="3"/>
  <c r="U337" i="3"/>
  <c r="T337" i="3"/>
  <c r="S337" i="3"/>
  <c r="R337" i="3"/>
  <c r="Q337" i="3"/>
  <c r="P337" i="3"/>
  <c r="A337" i="3"/>
  <c r="BX334" i="3"/>
  <c r="BW334" i="3"/>
  <c r="BV334" i="3"/>
  <c r="BU334" i="3"/>
  <c r="BT334" i="3"/>
  <c r="BS334" i="3"/>
  <c r="BX333" i="3"/>
  <c r="BW333" i="3"/>
  <c r="BV333" i="3"/>
  <c r="BU333" i="3"/>
  <c r="BT333" i="3"/>
  <c r="BS333" i="3"/>
  <c r="Y334" i="3"/>
  <c r="X334" i="3"/>
  <c r="W334" i="3"/>
  <c r="V334" i="3"/>
  <c r="U334" i="3"/>
  <c r="T334" i="3"/>
  <c r="S334" i="3"/>
  <c r="R334" i="3"/>
  <c r="Q334" i="3"/>
  <c r="P334" i="3"/>
  <c r="Y333" i="3"/>
  <c r="X333" i="3"/>
  <c r="W333" i="3"/>
  <c r="V333" i="3"/>
  <c r="U333" i="3"/>
  <c r="T333" i="3"/>
  <c r="S333" i="3"/>
  <c r="R333" i="3"/>
  <c r="Q333" i="3"/>
  <c r="P333" i="3"/>
  <c r="A330" i="3"/>
  <c r="A329" i="3"/>
  <c r="A328" i="3"/>
  <c r="BZ330" i="3"/>
  <c r="BY330" i="3"/>
  <c r="BX330" i="3"/>
  <c r="BW330" i="3"/>
  <c r="BV330" i="3"/>
  <c r="BU330" i="3"/>
  <c r="BT330" i="3"/>
  <c r="BS330" i="3"/>
  <c r="CB329" i="3"/>
  <c r="CA329" i="3"/>
  <c r="BZ329" i="3"/>
  <c r="BY329" i="3"/>
  <c r="BX329" i="3"/>
  <c r="BW329" i="3"/>
  <c r="BV329" i="3"/>
  <c r="BU329" i="3"/>
  <c r="BT329" i="3"/>
  <c r="BS329" i="3"/>
  <c r="CG328" i="3"/>
  <c r="CF328" i="3"/>
  <c r="CE328" i="3"/>
  <c r="CD328" i="3"/>
  <c r="CC328" i="3"/>
  <c r="CB328" i="3"/>
  <c r="CA328" i="3"/>
  <c r="BZ328" i="3"/>
  <c r="BY328" i="3"/>
  <c r="BX328" i="3"/>
  <c r="BW328" i="3"/>
  <c r="BV328" i="3"/>
  <c r="BU328" i="3"/>
  <c r="BT328" i="3"/>
  <c r="BS328" i="3"/>
  <c r="AA330" i="3"/>
  <c r="Z330" i="3"/>
  <c r="Y330" i="3"/>
  <c r="X330" i="3"/>
  <c r="W330" i="3"/>
  <c r="V330" i="3"/>
  <c r="U330" i="3"/>
  <c r="T330" i="3"/>
  <c r="S330" i="3"/>
  <c r="R330" i="3"/>
  <c r="Q330" i="3"/>
  <c r="P330" i="3"/>
  <c r="O330" i="3"/>
  <c r="N330" i="3"/>
  <c r="AA329" i="3"/>
  <c r="Z329" i="3"/>
  <c r="Y329" i="3"/>
  <c r="X329" i="3"/>
  <c r="W329" i="3"/>
  <c r="V329" i="3"/>
  <c r="U329" i="3"/>
  <c r="T329" i="3"/>
  <c r="S329" i="3"/>
  <c r="R329" i="3"/>
  <c r="Q329" i="3"/>
  <c r="P329" i="3"/>
  <c r="O329" i="3"/>
  <c r="N329" i="3"/>
  <c r="AW328" i="3"/>
  <c r="AV328" i="3"/>
  <c r="AU328" i="3"/>
  <c r="AT328" i="3"/>
  <c r="AS328" i="3"/>
  <c r="AR328" i="3"/>
  <c r="AQ328" i="3"/>
  <c r="AP328" i="3"/>
  <c r="AO328" i="3"/>
  <c r="AN328" i="3"/>
  <c r="AM328" i="3"/>
  <c r="AL328" i="3"/>
  <c r="AK328" i="3"/>
  <c r="AJ328" i="3"/>
  <c r="AI328" i="3"/>
  <c r="AH328" i="3"/>
  <c r="AG328" i="3"/>
  <c r="AF328" i="3"/>
  <c r="AE328" i="3"/>
  <c r="AD328" i="3"/>
  <c r="AC328" i="3"/>
  <c r="AB328" i="3"/>
  <c r="AA328" i="3"/>
  <c r="Z328" i="3"/>
  <c r="Y328" i="3"/>
  <c r="X328" i="3"/>
  <c r="W328" i="3"/>
  <c r="V328" i="3"/>
  <c r="U328" i="3"/>
  <c r="T328" i="3"/>
  <c r="S328" i="3"/>
  <c r="R328" i="3"/>
  <c r="Q328" i="3"/>
  <c r="P328" i="3"/>
  <c r="O328" i="3"/>
  <c r="N328" i="3"/>
  <c r="BX325" i="3"/>
  <c r="BW325" i="3"/>
  <c r="BV325" i="3"/>
  <c r="BU325" i="3"/>
  <c r="BT325" i="3"/>
  <c r="BS325" i="3"/>
  <c r="Y325" i="3"/>
  <c r="X325" i="3"/>
  <c r="W325" i="3"/>
  <c r="V325" i="3"/>
  <c r="U325" i="3"/>
  <c r="T325" i="3"/>
  <c r="S325" i="3"/>
  <c r="R325" i="3"/>
  <c r="Q325" i="3"/>
  <c r="P325" i="3"/>
  <c r="A325" i="3"/>
  <c r="A321" i="3"/>
  <c r="A320" i="3"/>
  <c r="A319" i="3"/>
  <c r="A318" i="3"/>
  <c r="A317" i="3"/>
  <c r="A316" i="3"/>
  <c r="A315" i="3"/>
  <c r="A314" i="3"/>
  <c r="CL323" i="3"/>
  <c r="CJ323" i="3"/>
  <c r="CH323" i="3"/>
  <c r="CF323" i="3"/>
  <c r="CD323" i="3"/>
  <c r="CB323" i="3"/>
  <c r="BZ323" i="3"/>
  <c r="BY323" i="3"/>
  <c r="BX323" i="3"/>
  <c r="BW323" i="3"/>
  <c r="BV323" i="3"/>
  <c r="BU323" i="3"/>
  <c r="BT323" i="3"/>
  <c r="BS323" i="3"/>
  <c r="CM322" i="3"/>
  <c r="CL322" i="3"/>
  <c r="CK322" i="3"/>
  <c r="CJ322" i="3"/>
  <c r="CI322" i="3"/>
  <c r="CH322" i="3"/>
  <c r="CG322" i="3"/>
  <c r="CF322" i="3"/>
  <c r="CE322" i="3"/>
  <c r="CD322" i="3"/>
  <c r="CC322" i="3"/>
  <c r="CB322" i="3"/>
  <c r="CA322" i="3"/>
  <c r="BZ322" i="3"/>
  <c r="BY322" i="3"/>
  <c r="BX322" i="3"/>
  <c r="BW322" i="3"/>
  <c r="BV322" i="3"/>
  <c r="BU322" i="3"/>
  <c r="BT322" i="3"/>
  <c r="BS322" i="3"/>
  <c r="BZ321" i="3"/>
  <c r="BY321" i="3"/>
  <c r="BX321" i="3"/>
  <c r="BW321" i="3"/>
  <c r="BV321" i="3"/>
  <c r="BU321" i="3"/>
  <c r="BT321" i="3"/>
  <c r="BS321" i="3"/>
  <c r="CM320" i="3"/>
  <c r="CL320" i="3"/>
  <c r="CK320" i="3"/>
  <c r="CJ320" i="3"/>
  <c r="CI320" i="3"/>
  <c r="CH320" i="3"/>
  <c r="CG320" i="3"/>
  <c r="CF320" i="3"/>
  <c r="CE320" i="3"/>
  <c r="CD320" i="3"/>
  <c r="CC320" i="3"/>
  <c r="CB320" i="3"/>
  <c r="CA320" i="3"/>
  <c r="BZ320" i="3"/>
  <c r="BY320" i="3"/>
  <c r="BX320" i="3"/>
  <c r="BW320" i="3"/>
  <c r="BV320" i="3"/>
  <c r="BU320" i="3"/>
  <c r="BT320" i="3"/>
  <c r="BS320" i="3"/>
  <c r="CM319" i="3"/>
  <c r="CL319" i="3"/>
  <c r="CK319" i="3"/>
  <c r="CJ319" i="3"/>
  <c r="CI319" i="3"/>
  <c r="CH319" i="3"/>
  <c r="CG319" i="3"/>
  <c r="CF319" i="3"/>
  <c r="CE319" i="3"/>
  <c r="CD319" i="3"/>
  <c r="CC319" i="3"/>
  <c r="CB319" i="3"/>
  <c r="CA319" i="3"/>
  <c r="BZ319" i="3"/>
  <c r="BY319" i="3"/>
  <c r="BX319" i="3"/>
  <c r="BW319" i="3"/>
  <c r="BV319" i="3"/>
  <c r="BU319" i="3"/>
  <c r="BT319" i="3"/>
  <c r="BS319" i="3"/>
  <c r="CM318" i="3"/>
  <c r="CL318" i="3"/>
  <c r="CK318" i="3"/>
  <c r="CJ318" i="3"/>
  <c r="CI318" i="3"/>
  <c r="CH318" i="3"/>
  <c r="CG318" i="3"/>
  <c r="CF318" i="3"/>
  <c r="CE318" i="3"/>
  <c r="CD318" i="3"/>
  <c r="CC318" i="3"/>
  <c r="CB318" i="3"/>
  <c r="CA318" i="3"/>
  <c r="BZ318" i="3"/>
  <c r="BY318" i="3"/>
  <c r="BX318" i="3"/>
  <c r="BW318" i="3"/>
  <c r="BV318" i="3"/>
  <c r="BU318" i="3"/>
  <c r="BT318" i="3"/>
  <c r="BS318" i="3"/>
  <c r="BZ317" i="3"/>
  <c r="BY317" i="3"/>
  <c r="BX317" i="3"/>
  <c r="BW317" i="3"/>
  <c r="BV317" i="3"/>
  <c r="BU317" i="3"/>
  <c r="BT317" i="3"/>
  <c r="BS317" i="3"/>
  <c r="CF316" i="3"/>
  <c r="CE316" i="3"/>
  <c r="CD316" i="3"/>
  <c r="CC316" i="3"/>
  <c r="CB316" i="3"/>
  <c r="CA316" i="3"/>
  <c r="BZ316" i="3"/>
  <c r="BY316" i="3"/>
  <c r="BX316" i="3"/>
  <c r="BW316" i="3"/>
  <c r="BV316" i="3"/>
  <c r="BU316" i="3"/>
  <c r="BT316" i="3"/>
  <c r="BS316" i="3"/>
  <c r="CK315" i="3"/>
  <c r="CJ315" i="3"/>
  <c r="CI315" i="3"/>
  <c r="CH315" i="3"/>
  <c r="CG315" i="3"/>
  <c r="CF315" i="3"/>
  <c r="CE315" i="3"/>
  <c r="CD315" i="3"/>
  <c r="CC315" i="3"/>
  <c r="CB315" i="3"/>
  <c r="CA315" i="3"/>
  <c r="BZ315" i="3"/>
  <c r="BY315" i="3"/>
  <c r="BX315" i="3"/>
  <c r="BW315" i="3"/>
  <c r="BV315" i="3"/>
  <c r="BU315" i="3"/>
  <c r="BT315" i="3"/>
  <c r="BS315" i="3"/>
  <c r="CB314" i="3"/>
  <c r="CA314" i="3"/>
  <c r="BZ314" i="3"/>
  <c r="BY314" i="3"/>
  <c r="BX314" i="3"/>
  <c r="BW314" i="3"/>
  <c r="BV314" i="3"/>
  <c r="BU314" i="3"/>
  <c r="BT314" i="3"/>
  <c r="BS314" i="3"/>
  <c r="Y323" i="3"/>
  <c r="X323" i="3"/>
  <c r="W323" i="3"/>
  <c r="V323" i="3"/>
  <c r="U323" i="3"/>
  <c r="T323" i="3"/>
  <c r="S323" i="3"/>
  <c r="R323" i="3"/>
  <c r="Q323" i="3"/>
  <c r="P323" i="3"/>
  <c r="O323" i="3"/>
  <c r="N323" i="3"/>
  <c r="AW322" i="3"/>
  <c r="AV322" i="3"/>
  <c r="AU322" i="3"/>
  <c r="AT322" i="3"/>
  <c r="AS322" i="3"/>
  <c r="AR322" i="3"/>
  <c r="AQ322" i="3"/>
  <c r="AP322" i="3"/>
  <c r="AO322" i="3"/>
  <c r="AN322" i="3"/>
  <c r="AM322" i="3"/>
  <c r="AL322" i="3"/>
  <c r="AK322" i="3"/>
  <c r="AJ322" i="3"/>
  <c r="AI322" i="3"/>
  <c r="AH322" i="3"/>
  <c r="AG322" i="3"/>
  <c r="AF322" i="3"/>
  <c r="AE322" i="3"/>
  <c r="AD322" i="3"/>
  <c r="AC322" i="3"/>
  <c r="AB322" i="3"/>
  <c r="AA322" i="3"/>
  <c r="Z322" i="3"/>
  <c r="Y322" i="3"/>
  <c r="X322" i="3"/>
  <c r="W322" i="3"/>
  <c r="V322" i="3"/>
  <c r="U322" i="3"/>
  <c r="T322" i="3"/>
  <c r="S322" i="3"/>
  <c r="R322" i="3"/>
  <c r="Q322" i="3"/>
  <c r="P322" i="3"/>
  <c r="O322" i="3"/>
  <c r="N322" i="3"/>
  <c r="AA321" i="3"/>
  <c r="Z321" i="3"/>
  <c r="Y321" i="3"/>
  <c r="X321" i="3"/>
  <c r="W321" i="3"/>
  <c r="V321" i="3"/>
  <c r="U321" i="3"/>
  <c r="T321" i="3"/>
  <c r="S321" i="3"/>
  <c r="R321" i="3"/>
  <c r="Q321" i="3"/>
  <c r="P321" i="3"/>
  <c r="O321" i="3"/>
  <c r="N321" i="3"/>
  <c r="AW320" i="3"/>
  <c r="AV320" i="3"/>
  <c r="AU320" i="3"/>
  <c r="AT320" i="3"/>
  <c r="AS320" i="3"/>
  <c r="AR320" i="3"/>
  <c r="AQ320" i="3"/>
  <c r="AP320" i="3"/>
  <c r="AO320" i="3"/>
  <c r="AN320" i="3"/>
  <c r="AM320" i="3"/>
  <c r="AL320" i="3"/>
  <c r="AK320" i="3"/>
  <c r="AJ320" i="3"/>
  <c r="AI320" i="3"/>
  <c r="AH320" i="3"/>
  <c r="AG320" i="3"/>
  <c r="AF320" i="3"/>
  <c r="AE320" i="3"/>
  <c r="AD320" i="3"/>
  <c r="AC320" i="3"/>
  <c r="AB320" i="3"/>
  <c r="AA320" i="3"/>
  <c r="Z320" i="3"/>
  <c r="Y320" i="3"/>
  <c r="X320" i="3"/>
  <c r="W320" i="3"/>
  <c r="V320" i="3"/>
  <c r="U320" i="3"/>
  <c r="T320" i="3"/>
  <c r="S320" i="3"/>
  <c r="R320" i="3"/>
  <c r="Q320" i="3"/>
  <c r="P320" i="3"/>
  <c r="O320" i="3"/>
  <c r="N320" i="3"/>
  <c r="AW319" i="3"/>
  <c r="AV319" i="3"/>
  <c r="AU319" i="3"/>
  <c r="AT319" i="3"/>
  <c r="AS319" i="3"/>
  <c r="AR319" i="3"/>
  <c r="AQ319" i="3"/>
  <c r="AP319" i="3"/>
  <c r="AO319" i="3"/>
  <c r="AN319" i="3"/>
  <c r="AM319" i="3"/>
  <c r="AL319" i="3"/>
  <c r="AK319" i="3"/>
  <c r="AJ319" i="3"/>
  <c r="AI319" i="3"/>
  <c r="AH319" i="3"/>
  <c r="AG319" i="3"/>
  <c r="AF319" i="3"/>
  <c r="AE319" i="3"/>
  <c r="AD319" i="3"/>
  <c r="AC319" i="3"/>
  <c r="AB319" i="3"/>
  <c r="AA319" i="3"/>
  <c r="Z319" i="3"/>
  <c r="Y319" i="3"/>
  <c r="X319" i="3"/>
  <c r="W319" i="3"/>
  <c r="V319" i="3"/>
  <c r="U319" i="3"/>
  <c r="T319" i="3"/>
  <c r="S319" i="3"/>
  <c r="R319" i="3"/>
  <c r="Q319" i="3"/>
  <c r="P319" i="3"/>
  <c r="O319" i="3"/>
  <c r="N319" i="3"/>
  <c r="AW318" i="3"/>
  <c r="AV318" i="3"/>
  <c r="AU318" i="3"/>
  <c r="AT318" i="3"/>
  <c r="AS318" i="3"/>
  <c r="AR318" i="3"/>
  <c r="AQ318" i="3"/>
  <c r="AP318" i="3"/>
  <c r="AO318" i="3"/>
  <c r="AN318" i="3"/>
  <c r="AM318" i="3"/>
  <c r="AL318" i="3"/>
  <c r="AK318" i="3"/>
  <c r="AJ318" i="3"/>
  <c r="AI318" i="3"/>
  <c r="AH318" i="3"/>
  <c r="AG318" i="3"/>
  <c r="AF318" i="3"/>
  <c r="AE318" i="3"/>
  <c r="AD318" i="3"/>
  <c r="AC318" i="3"/>
  <c r="AB318" i="3"/>
  <c r="AA318" i="3"/>
  <c r="Z318" i="3"/>
  <c r="Y318" i="3"/>
  <c r="X318" i="3"/>
  <c r="W318" i="3"/>
  <c r="V318" i="3"/>
  <c r="U318" i="3"/>
  <c r="T318" i="3"/>
  <c r="S318" i="3"/>
  <c r="R318" i="3"/>
  <c r="Q318" i="3"/>
  <c r="P318" i="3"/>
  <c r="O318" i="3"/>
  <c r="N318" i="3"/>
  <c r="AM317" i="3"/>
  <c r="AL317" i="3"/>
  <c r="AK317" i="3"/>
  <c r="AJ317" i="3"/>
  <c r="AI317" i="3"/>
  <c r="AH317" i="3"/>
  <c r="AG317" i="3"/>
  <c r="AF317" i="3"/>
  <c r="AE317" i="3"/>
  <c r="AD317" i="3"/>
  <c r="AC317" i="3"/>
  <c r="AB317" i="3"/>
  <c r="AA317" i="3"/>
  <c r="Z317" i="3"/>
  <c r="Y317" i="3"/>
  <c r="X317" i="3"/>
  <c r="W317" i="3"/>
  <c r="V317" i="3"/>
  <c r="U317" i="3"/>
  <c r="T317" i="3"/>
  <c r="S317" i="3"/>
  <c r="R317" i="3"/>
  <c r="Q317" i="3"/>
  <c r="P317" i="3"/>
  <c r="O317" i="3"/>
  <c r="N317" i="3"/>
  <c r="AW316" i="3"/>
  <c r="AV316" i="3"/>
  <c r="AU316" i="3"/>
  <c r="AT316" i="3"/>
  <c r="AS316" i="3"/>
  <c r="AR316" i="3"/>
  <c r="AQ316" i="3"/>
  <c r="AP316" i="3"/>
  <c r="AO316" i="3"/>
  <c r="AN316" i="3"/>
  <c r="AM316" i="3"/>
  <c r="AL316" i="3"/>
  <c r="AK316" i="3"/>
  <c r="AJ316" i="3"/>
  <c r="AI316" i="3"/>
  <c r="AH316" i="3"/>
  <c r="AG316" i="3"/>
  <c r="AF316" i="3"/>
  <c r="AE316" i="3"/>
  <c r="AD316" i="3"/>
  <c r="AC316" i="3"/>
  <c r="AB316" i="3"/>
  <c r="AA316" i="3"/>
  <c r="Z316" i="3"/>
  <c r="Y316" i="3"/>
  <c r="X316" i="3"/>
  <c r="W316" i="3"/>
  <c r="V316" i="3"/>
  <c r="U316" i="3"/>
  <c r="T316" i="3"/>
  <c r="S316" i="3"/>
  <c r="R316" i="3"/>
  <c r="Q316" i="3"/>
  <c r="P316" i="3"/>
  <c r="O316" i="3"/>
  <c r="N316" i="3"/>
  <c r="AW315" i="3"/>
  <c r="AV315" i="3"/>
  <c r="AU315" i="3"/>
  <c r="AT315" i="3"/>
  <c r="AS315" i="3"/>
  <c r="AR315" i="3"/>
  <c r="AQ315" i="3"/>
  <c r="AP315" i="3"/>
  <c r="AO315" i="3"/>
  <c r="AN315" i="3"/>
  <c r="AM315" i="3"/>
  <c r="AL315" i="3"/>
  <c r="AK315" i="3"/>
  <c r="AJ315" i="3"/>
  <c r="AI315" i="3"/>
  <c r="AH315" i="3"/>
  <c r="AG315" i="3"/>
  <c r="AF315" i="3"/>
  <c r="AE315" i="3"/>
  <c r="AD315" i="3"/>
  <c r="AC315" i="3"/>
  <c r="AB315" i="3"/>
  <c r="AA315" i="3"/>
  <c r="Z315" i="3"/>
  <c r="Y315" i="3"/>
  <c r="X315" i="3"/>
  <c r="W315" i="3"/>
  <c r="V315" i="3"/>
  <c r="U315" i="3"/>
  <c r="T315" i="3"/>
  <c r="S315" i="3"/>
  <c r="R315" i="3"/>
  <c r="Q315" i="3"/>
  <c r="P315" i="3"/>
  <c r="O315" i="3"/>
  <c r="N315" i="3"/>
  <c r="AB314" i="3"/>
  <c r="AA314" i="3"/>
  <c r="Z314" i="3"/>
  <c r="Y314" i="3"/>
  <c r="X314" i="3"/>
  <c r="W314" i="3"/>
  <c r="V314" i="3"/>
  <c r="U314" i="3"/>
  <c r="T314" i="3"/>
  <c r="S314" i="3"/>
  <c r="R314" i="3"/>
  <c r="Q314" i="3"/>
  <c r="P314" i="3"/>
  <c r="O314" i="3"/>
  <c r="N314" i="3"/>
  <c r="CM311" i="3"/>
  <c r="CL311" i="3"/>
  <c r="CK311" i="3"/>
  <c r="CJ311" i="3"/>
  <c r="CI311" i="3"/>
  <c r="CH311" i="3"/>
  <c r="CG311" i="3"/>
  <c r="CF311" i="3"/>
  <c r="CE311" i="3"/>
  <c r="CD311" i="3"/>
  <c r="CC311" i="3"/>
  <c r="CB311" i="3"/>
  <c r="CA311" i="3"/>
  <c r="BZ311" i="3"/>
  <c r="BY311" i="3"/>
  <c r="BX311" i="3"/>
  <c r="BW311" i="3"/>
  <c r="BV311" i="3"/>
  <c r="BU311" i="3"/>
  <c r="BT311" i="3"/>
  <c r="BS311" i="3"/>
  <c r="AW311" i="3"/>
  <c r="AV311" i="3"/>
  <c r="AU311" i="3"/>
  <c r="AT311" i="3"/>
  <c r="AS311" i="3"/>
  <c r="AR311" i="3"/>
  <c r="AQ311" i="3"/>
  <c r="AP311" i="3"/>
  <c r="AO311" i="3"/>
  <c r="AN311" i="3"/>
  <c r="AM311" i="3"/>
  <c r="AL311" i="3"/>
  <c r="AK311" i="3"/>
  <c r="AJ311" i="3"/>
  <c r="AI311" i="3"/>
  <c r="AH311" i="3"/>
  <c r="AG311" i="3"/>
  <c r="AF311" i="3"/>
  <c r="AE311" i="3"/>
  <c r="AD311" i="3"/>
  <c r="AC311" i="3"/>
  <c r="AB311" i="3"/>
  <c r="AA311" i="3"/>
  <c r="Z311" i="3"/>
  <c r="Y311" i="3"/>
  <c r="X311" i="3"/>
  <c r="W311" i="3"/>
  <c r="V311" i="3"/>
  <c r="U311" i="3"/>
  <c r="T311" i="3"/>
  <c r="S311" i="3"/>
  <c r="R311" i="3"/>
  <c r="Q311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CJ310" i="3"/>
  <c r="CJ309" i="3"/>
  <c r="CH310" i="3"/>
  <c r="CH309" i="3"/>
  <c r="CF310" i="3"/>
  <c r="CF309" i="3"/>
  <c r="CD310" i="3"/>
  <c r="CD309" i="3"/>
  <c r="CB310" i="3"/>
  <c r="CB309" i="3"/>
  <c r="BZ310" i="3"/>
  <c r="BZ309" i="3"/>
  <c r="BX310" i="3"/>
  <c r="BX309" i="3"/>
  <c r="BV310" i="3"/>
  <c r="BV309" i="3"/>
  <c r="BT310" i="3"/>
  <c r="BT309" i="3"/>
  <c r="AW310" i="3"/>
  <c r="AW309" i="3"/>
  <c r="AU310" i="3"/>
  <c r="AU309" i="3"/>
  <c r="AS310" i="3"/>
  <c r="AS309" i="3"/>
  <c r="AQ310" i="3"/>
  <c r="AQ309" i="3"/>
  <c r="AO310" i="3"/>
  <c r="AO309" i="3"/>
  <c r="AM310" i="3"/>
  <c r="AM309" i="3"/>
  <c r="AK310" i="3"/>
  <c r="AK309" i="3"/>
  <c r="AI310" i="3"/>
  <c r="AI309" i="3"/>
  <c r="AG310" i="3"/>
  <c r="AG309" i="3"/>
  <c r="AE310" i="3"/>
  <c r="AE309" i="3"/>
  <c r="AC310" i="3"/>
  <c r="AC309" i="3"/>
  <c r="AA310" i="3"/>
  <c r="AA309" i="3"/>
  <c r="Y310" i="3"/>
  <c r="Y309" i="3"/>
  <c r="W310" i="3"/>
  <c r="W309" i="3"/>
  <c r="U310" i="3"/>
  <c r="U309" i="3"/>
  <c r="S310" i="3"/>
  <c r="S309" i="3"/>
  <c r="Q310" i="3"/>
  <c r="Q309" i="3"/>
  <c r="O310" i="3"/>
  <c r="O309" i="3"/>
  <c r="M310" i="3"/>
  <c r="M309" i="3"/>
  <c r="K310" i="3"/>
  <c r="K309" i="3"/>
  <c r="I310" i="3"/>
  <c r="I309" i="3"/>
  <c r="G310" i="3"/>
  <c r="G309" i="3"/>
  <c r="E310" i="3"/>
  <c r="E309" i="3"/>
  <c r="C310" i="3"/>
  <c r="C309" i="3"/>
  <c r="CM310" i="3"/>
  <c r="CL310" i="3"/>
  <c r="CM309" i="3"/>
  <c r="CL309" i="3"/>
  <c r="BX305" i="3"/>
  <c r="BW305" i="3"/>
  <c r="BV305" i="3"/>
  <c r="BU305" i="3"/>
  <c r="BT305" i="3"/>
  <c r="BS305" i="3"/>
  <c r="Y305" i="3"/>
  <c r="X305" i="3"/>
  <c r="W305" i="3"/>
  <c r="V305" i="3"/>
  <c r="U305" i="3"/>
  <c r="T305" i="3"/>
  <c r="S305" i="3"/>
  <c r="R305" i="3"/>
  <c r="Q305" i="3"/>
  <c r="P305" i="3"/>
  <c r="A305" i="3"/>
  <c r="BZ302" i="3"/>
  <c r="BY302" i="3"/>
  <c r="BX302" i="3"/>
  <c r="BW302" i="3"/>
  <c r="BV302" i="3"/>
  <c r="BU302" i="3"/>
  <c r="BT302" i="3"/>
  <c r="BS302" i="3"/>
  <c r="AM302" i="3"/>
  <c r="AL302" i="3"/>
  <c r="AK302" i="3"/>
  <c r="AJ302" i="3"/>
  <c r="AI302" i="3"/>
  <c r="AH302" i="3"/>
  <c r="AG302" i="3"/>
  <c r="AF302" i="3"/>
  <c r="AE302" i="3"/>
  <c r="AD302" i="3"/>
  <c r="AC302" i="3"/>
  <c r="AB302" i="3"/>
  <c r="AA302" i="3"/>
  <c r="Z302" i="3"/>
  <c r="Y302" i="3"/>
  <c r="X302" i="3"/>
  <c r="W302" i="3"/>
  <c r="V302" i="3"/>
  <c r="U302" i="3"/>
  <c r="T302" i="3"/>
  <c r="S302" i="3"/>
  <c r="R302" i="3"/>
  <c r="Q302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CK297" i="3"/>
  <c r="CI297" i="3"/>
  <c r="CG297" i="3"/>
  <c r="CE297" i="3"/>
  <c r="CC297" i="3"/>
  <c r="CA297" i="3"/>
  <c r="BY298" i="3"/>
  <c r="BY297" i="3"/>
  <c r="BY296" i="3"/>
  <c r="BY295" i="3"/>
  <c r="BW298" i="3"/>
  <c r="BW297" i="3"/>
  <c r="BW296" i="3"/>
  <c r="BW295" i="3"/>
  <c r="BU298" i="3"/>
  <c r="BU297" i="3"/>
  <c r="BU296" i="3"/>
  <c r="BU295" i="3"/>
  <c r="BS298" i="3"/>
  <c r="BS297" i="3"/>
  <c r="BS296" i="3"/>
  <c r="BS295" i="3"/>
  <c r="AV297" i="3"/>
  <c r="AT297" i="3"/>
  <c r="AR297" i="3"/>
  <c r="AP297" i="3"/>
  <c r="AN297" i="3"/>
  <c r="AL298" i="3"/>
  <c r="AL297" i="3"/>
  <c r="AL296" i="3"/>
  <c r="AL295" i="3"/>
  <c r="AJ298" i="3"/>
  <c r="AJ297" i="3"/>
  <c r="AJ296" i="3"/>
  <c r="AJ295" i="3"/>
  <c r="AH298" i="3"/>
  <c r="AH297" i="3"/>
  <c r="AH296" i="3"/>
  <c r="AH295" i="3"/>
  <c r="AF298" i="3"/>
  <c r="AF297" i="3"/>
  <c r="AF296" i="3"/>
  <c r="AF295" i="3"/>
  <c r="AD298" i="3"/>
  <c r="AD297" i="3"/>
  <c r="AD296" i="3"/>
  <c r="AD295" i="3"/>
  <c r="AB298" i="3"/>
  <c r="AB297" i="3"/>
  <c r="AB296" i="3"/>
  <c r="AB295" i="3"/>
  <c r="Z298" i="3"/>
  <c r="Z297" i="3"/>
  <c r="Z296" i="3"/>
  <c r="Z295" i="3"/>
  <c r="X298" i="3"/>
  <c r="X297" i="3"/>
  <c r="X296" i="3"/>
  <c r="X295" i="3"/>
  <c r="V298" i="3"/>
  <c r="V297" i="3"/>
  <c r="V296" i="3"/>
  <c r="V295" i="3"/>
  <c r="T298" i="3"/>
  <c r="T297" i="3"/>
  <c r="T296" i="3"/>
  <c r="T295" i="3"/>
  <c r="R298" i="3"/>
  <c r="R297" i="3"/>
  <c r="R296" i="3"/>
  <c r="R295" i="3"/>
  <c r="P298" i="3"/>
  <c r="P297" i="3"/>
  <c r="P296" i="3"/>
  <c r="P295" i="3"/>
  <c r="N298" i="3"/>
  <c r="N297" i="3"/>
  <c r="N296" i="3"/>
  <c r="N295" i="3"/>
  <c r="L298" i="3"/>
  <c r="L297" i="3"/>
  <c r="L296" i="3"/>
  <c r="L295" i="3"/>
  <c r="J298" i="3"/>
  <c r="J297" i="3"/>
  <c r="J296" i="3"/>
  <c r="J295" i="3"/>
  <c r="H298" i="3"/>
  <c r="H297" i="3"/>
  <c r="H296" i="3"/>
  <c r="H295" i="3"/>
  <c r="F298" i="3"/>
  <c r="F297" i="3"/>
  <c r="F296" i="3"/>
  <c r="F295" i="3"/>
  <c r="D298" i="3"/>
  <c r="D297" i="3"/>
  <c r="D296" i="3"/>
  <c r="D295" i="3"/>
  <c r="B298" i="3"/>
  <c r="B297" i="3"/>
  <c r="B296" i="3"/>
  <c r="B295" i="3"/>
  <c r="CJ297" i="3"/>
  <c r="CH297" i="3"/>
  <c r="CF297" i="3"/>
  <c r="CD297" i="3"/>
  <c r="CB297" i="3"/>
  <c r="BZ298" i="3"/>
  <c r="BZ297" i="3"/>
  <c r="BZ296" i="3"/>
  <c r="BZ295" i="3"/>
  <c r="BX298" i="3"/>
  <c r="BX297" i="3"/>
  <c r="BX296" i="3"/>
  <c r="BX295" i="3"/>
  <c r="BV298" i="3"/>
  <c r="BV297" i="3"/>
  <c r="BV296" i="3"/>
  <c r="BV295" i="3"/>
  <c r="BT298" i="3"/>
  <c r="BT297" i="3"/>
  <c r="BT296" i="3"/>
  <c r="BT295" i="3"/>
  <c r="AW297" i="3"/>
  <c r="AU297" i="3"/>
  <c r="AS297" i="3"/>
  <c r="AQ297" i="3"/>
  <c r="AO297" i="3"/>
  <c r="AM298" i="3"/>
  <c r="AM297" i="3"/>
  <c r="AM296" i="3"/>
  <c r="AM295" i="3"/>
  <c r="AK298" i="3"/>
  <c r="AK297" i="3"/>
  <c r="AK296" i="3"/>
  <c r="AK295" i="3"/>
  <c r="AI298" i="3"/>
  <c r="AI297" i="3"/>
  <c r="AI296" i="3"/>
  <c r="AI295" i="3"/>
  <c r="AG298" i="3"/>
  <c r="AG297" i="3"/>
  <c r="AG296" i="3"/>
  <c r="AG295" i="3"/>
  <c r="AE298" i="3"/>
  <c r="AE297" i="3"/>
  <c r="AE296" i="3"/>
  <c r="AE295" i="3"/>
  <c r="AC298" i="3"/>
  <c r="AC297" i="3"/>
  <c r="AC296" i="3"/>
  <c r="AC295" i="3"/>
  <c r="AA298" i="3"/>
  <c r="AA297" i="3"/>
  <c r="AA296" i="3"/>
  <c r="AA295" i="3"/>
  <c r="Y298" i="3"/>
  <c r="Y297" i="3"/>
  <c r="Y296" i="3"/>
  <c r="Y295" i="3"/>
  <c r="W298" i="3"/>
  <c r="W297" i="3"/>
  <c r="W296" i="3"/>
  <c r="W295" i="3"/>
  <c r="U298" i="3"/>
  <c r="U297" i="3"/>
  <c r="U296" i="3"/>
  <c r="U295" i="3"/>
  <c r="S298" i="3"/>
  <c r="S297" i="3"/>
  <c r="S296" i="3"/>
  <c r="S295" i="3"/>
  <c r="Q298" i="3"/>
  <c r="Q297" i="3"/>
  <c r="Q296" i="3"/>
  <c r="Q295" i="3"/>
  <c r="O298" i="3"/>
  <c r="O297" i="3"/>
  <c r="O296" i="3"/>
  <c r="O295" i="3"/>
  <c r="M298" i="3"/>
  <c r="M297" i="3"/>
  <c r="M296" i="3"/>
  <c r="M295" i="3"/>
  <c r="K298" i="3"/>
  <c r="K297" i="3"/>
  <c r="K296" i="3"/>
  <c r="K295" i="3"/>
  <c r="I298" i="3"/>
  <c r="I297" i="3"/>
  <c r="I296" i="3"/>
  <c r="I295" i="3"/>
  <c r="G298" i="3"/>
  <c r="G297" i="3"/>
  <c r="G296" i="3"/>
  <c r="G295" i="3"/>
  <c r="E298" i="3"/>
  <c r="E297" i="3"/>
  <c r="E296" i="3"/>
  <c r="E295" i="3"/>
  <c r="C298" i="3"/>
  <c r="C297" i="3"/>
  <c r="C296" i="3"/>
  <c r="C295" i="3"/>
  <c r="A296" i="3"/>
  <c r="A295" i="3"/>
  <c r="CM297" i="3"/>
  <c r="CL297" i="3"/>
  <c r="AM293" i="3"/>
  <c r="AL293" i="3"/>
  <c r="AK293" i="3"/>
  <c r="AJ293" i="3"/>
  <c r="AI293" i="3"/>
  <c r="AH293" i="3"/>
  <c r="AG293" i="3"/>
  <c r="AF293" i="3"/>
  <c r="AE293" i="3"/>
  <c r="AD293" i="3"/>
  <c r="AC293" i="3"/>
  <c r="AB293" i="3"/>
  <c r="AA293" i="3"/>
  <c r="Z293" i="3"/>
  <c r="Y293" i="3"/>
  <c r="X293" i="3"/>
  <c r="W293" i="3"/>
  <c r="V293" i="3"/>
  <c r="U293" i="3"/>
  <c r="T293" i="3"/>
  <c r="S293" i="3"/>
  <c r="R293" i="3"/>
  <c r="Q293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BZ293" i="3"/>
  <c r="BY293" i="3"/>
  <c r="BX293" i="3"/>
  <c r="BW293" i="3"/>
  <c r="BV293" i="3"/>
  <c r="BU293" i="3"/>
  <c r="BT293" i="3"/>
  <c r="BS293" i="3"/>
  <c r="BZ292" i="3"/>
  <c r="BY292" i="3"/>
  <c r="BX292" i="3"/>
  <c r="BW292" i="3"/>
  <c r="BV292" i="3"/>
  <c r="BU292" i="3"/>
  <c r="BT292" i="3"/>
  <c r="BS292" i="3"/>
  <c r="BZ291" i="3"/>
  <c r="BY291" i="3"/>
  <c r="BX291" i="3"/>
  <c r="BW291" i="3"/>
  <c r="BV291" i="3"/>
  <c r="BU291" i="3"/>
  <c r="BT291" i="3"/>
  <c r="BS291" i="3"/>
  <c r="BZ290" i="3"/>
  <c r="BY290" i="3"/>
  <c r="BX290" i="3"/>
  <c r="BW290" i="3"/>
  <c r="BV290" i="3"/>
  <c r="BU290" i="3"/>
  <c r="BT290" i="3"/>
  <c r="BS290" i="3"/>
  <c r="BZ289" i="3"/>
  <c r="BY289" i="3"/>
  <c r="BX289" i="3"/>
  <c r="BW289" i="3"/>
  <c r="BV289" i="3"/>
  <c r="BU289" i="3"/>
  <c r="BT289" i="3"/>
  <c r="BS289" i="3"/>
  <c r="AM292" i="3"/>
  <c r="AL292" i="3"/>
  <c r="AK292" i="3"/>
  <c r="AJ292" i="3"/>
  <c r="AI292" i="3"/>
  <c r="AH292" i="3"/>
  <c r="AG292" i="3"/>
  <c r="AF292" i="3"/>
  <c r="AE292" i="3"/>
  <c r="AD292" i="3"/>
  <c r="AC292" i="3"/>
  <c r="AB292" i="3"/>
  <c r="AA292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M291" i="3"/>
  <c r="AL291" i="3"/>
  <c r="AK291" i="3"/>
  <c r="AJ291" i="3"/>
  <c r="AI291" i="3"/>
  <c r="AH291" i="3"/>
  <c r="AG291" i="3"/>
  <c r="AF291" i="3"/>
  <c r="AE291" i="3"/>
  <c r="AD291" i="3"/>
  <c r="AC291" i="3"/>
  <c r="AB291" i="3"/>
  <c r="AA291" i="3"/>
  <c r="Z291" i="3"/>
  <c r="Y291" i="3"/>
  <c r="X291" i="3"/>
  <c r="W291" i="3"/>
  <c r="V291" i="3"/>
  <c r="U291" i="3"/>
  <c r="T291" i="3"/>
  <c r="S291" i="3"/>
  <c r="R291" i="3"/>
  <c r="Q291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M290" i="3"/>
  <c r="AL290" i="3"/>
  <c r="AK290" i="3"/>
  <c r="AJ290" i="3"/>
  <c r="AI290" i="3"/>
  <c r="AH290" i="3"/>
  <c r="AG290" i="3"/>
  <c r="AF290" i="3"/>
  <c r="AE290" i="3"/>
  <c r="AD290" i="3"/>
  <c r="AC290" i="3"/>
  <c r="AB290" i="3"/>
  <c r="AA290" i="3"/>
  <c r="Z290" i="3"/>
  <c r="Y290" i="3"/>
  <c r="X290" i="3"/>
  <c r="W290" i="3"/>
  <c r="V290" i="3"/>
  <c r="U290" i="3"/>
  <c r="T290" i="3"/>
  <c r="S290" i="3"/>
  <c r="R290" i="3"/>
  <c r="Q290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M289" i="3"/>
  <c r="AL289" i="3"/>
  <c r="AK289" i="3"/>
  <c r="AJ289" i="3"/>
  <c r="AI289" i="3"/>
  <c r="AH289" i="3"/>
  <c r="AG289" i="3"/>
  <c r="AF289" i="3"/>
  <c r="AE289" i="3"/>
  <c r="AD289" i="3"/>
  <c r="AC289" i="3"/>
  <c r="AB289" i="3"/>
  <c r="AA289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AM287" i="3"/>
  <c r="AL287" i="3"/>
  <c r="AK287" i="3"/>
  <c r="AJ287" i="3"/>
  <c r="AI287" i="3"/>
  <c r="AH287" i="3"/>
  <c r="AG287" i="3"/>
  <c r="AF287" i="3"/>
  <c r="AE287" i="3"/>
  <c r="AD287" i="3"/>
  <c r="AC287" i="3"/>
  <c r="AB287" i="3"/>
  <c r="AA287" i="3"/>
  <c r="Z287" i="3"/>
  <c r="Y287" i="3"/>
  <c r="X287" i="3"/>
  <c r="W287" i="3"/>
  <c r="V287" i="3"/>
  <c r="U287" i="3"/>
  <c r="T287" i="3"/>
  <c r="S287" i="3"/>
  <c r="R287" i="3"/>
  <c r="Q287" i="3"/>
  <c r="P287" i="3"/>
  <c r="O287" i="3"/>
  <c r="N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AM286" i="3"/>
  <c r="AL286" i="3"/>
  <c r="AK286" i="3"/>
  <c r="AJ286" i="3"/>
  <c r="AI286" i="3"/>
  <c r="AH286" i="3"/>
  <c r="AG286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A286" i="3"/>
  <c r="BZ287" i="3"/>
  <c r="BY287" i="3"/>
  <c r="BX287" i="3"/>
  <c r="BW287" i="3"/>
  <c r="BV287" i="3"/>
  <c r="BU287" i="3"/>
  <c r="BT287" i="3"/>
  <c r="BS287" i="3"/>
  <c r="BZ286" i="3"/>
  <c r="BY286" i="3"/>
  <c r="BX286" i="3"/>
  <c r="BW286" i="3"/>
  <c r="BV286" i="3"/>
  <c r="BU286" i="3"/>
  <c r="BT286" i="3"/>
  <c r="BS286" i="3"/>
  <c r="BZ285" i="3"/>
  <c r="BY285" i="3"/>
  <c r="BX285" i="3"/>
  <c r="BW285" i="3"/>
  <c r="BV285" i="3"/>
  <c r="BU285" i="3"/>
  <c r="BT285" i="3"/>
  <c r="BS285" i="3"/>
  <c r="AM285" i="3"/>
  <c r="AL285" i="3"/>
  <c r="AK285" i="3"/>
  <c r="AJ285" i="3"/>
  <c r="AI285" i="3"/>
  <c r="AH285" i="3"/>
  <c r="AG285" i="3"/>
  <c r="AF285" i="3"/>
  <c r="AE285" i="3"/>
  <c r="AD285" i="3"/>
  <c r="AC285" i="3"/>
  <c r="AB285" i="3"/>
  <c r="AA285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284" i="3"/>
  <c r="CM282" i="3"/>
  <c r="CL282" i="3"/>
  <c r="CK282" i="3"/>
  <c r="CJ282" i="3"/>
  <c r="CI282" i="3"/>
  <c r="CH282" i="3"/>
  <c r="CG282" i="3"/>
  <c r="CF282" i="3"/>
  <c r="CE282" i="3"/>
  <c r="CD282" i="3"/>
  <c r="CC282" i="3"/>
  <c r="CB282" i="3"/>
  <c r="CA282" i="3"/>
  <c r="BZ282" i="3"/>
  <c r="BY282" i="3"/>
  <c r="BX282" i="3"/>
  <c r="BW282" i="3"/>
  <c r="BV282" i="3"/>
  <c r="BU282" i="3"/>
  <c r="BT282" i="3"/>
  <c r="BS282" i="3"/>
  <c r="AW282" i="3"/>
  <c r="AV282" i="3"/>
  <c r="AU282" i="3"/>
  <c r="AT282" i="3"/>
  <c r="AS282" i="3"/>
  <c r="AR282" i="3"/>
  <c r="AQ282" i="3"/>
  <c r="AP282" i="3"/>
  <c r="AO282" i="3"/>
  <c r="AN282" i="3"/>
  <c r="AM282" i="3"/>
  <c r="AL282" i="3"/>
  <c r="AK282" i="3"/>
  <c r="AJ282" i="3"/>
  <c r="AI282" i="3"/>
  <c r="AH282" i="3"/>
  <c r="AG282" i="3"/>
  <c r="AF282" i="3"/>
  <c r="AE282" i="3"/>
  <c r="AD282" i="3"/>
  <c r="AC282" i="3"/>
  <c r="AB282" i="3"/>
  <c r="AA282" i="3"/>
  <c r="Z282" i="3"/>
  <c r="Y282" i="3"/>
  <c r="X282" i="3"/>
  <c r="W282" i="3"/>
  <c r="V282" i="3"/>
  <c r="U282" i="3"/>
  <c r="T282" i="3"/>
  <c r="S282" i="3"/>
  <c r="R282" i="3"/>
  <c r="Q282" i="3"/>
  <c r="P282" i="3"/>
  <c r="O282" i="3"/>
  <c r="N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CJ281" i="3"/>
  <c r="CJ280" i="3"/>
  <c r="CH281" i="3"/>
  <c r="CH280" i="3"/>
  <c r="CF281" i="3"/>
  <c r="CF280" i="3"/>
  <c r="CD281" i="3"/>
  <c r="CD280" i="3"/>
  <c r="CB281" i="3"/>
  <c r="CB280" i="3"/>
  <c r="BZ281" i="3"/>
  <c r="BZ280" i="3"/>
  <c r="BX281" i="3"/>
  <c r="BX280" i="3"/>
  <c r="BV281" i="3"/>
  <c r="BV280" i="3"/>
  <c r="BT281" i="3"/>
  <c r="BT280" i="3"/>
  <c r="AW281" i="3"/>
  <c r="AW280" i="3"/>
  <c r="AU281" i="3"/>
  <c r="AU280" i="3"/>
  <c r="AS281" i="3"/>
  <c r="AS280" i="3"/>
  <c r="AQ281" i="3"/>
  <c r="AQ280" i="3"/>
  <c r="AO281" i="3"/>
  <c r="AO280" i="3"/>
  <c r="AM281" i="3"/>
  <c r="AM280" i="3"/>
  <c r="AK281" i="3"/>
  <c r="AK280" i="3"/>
  <c r="AI281" i="3"/>
  <c r="AI280" i="3"/>
  <c r="AG281" i="3"/>
  <c r="AG280" i="3"/>
  <c r="AE281" i="3"/>
  <c r="AE280" i="3"/>
  <c r="AC281" i="3"/>
  <c r="AC280" i="3"/>
  <c r="AA281" i="3"/>
  <c r="AA280" i="3"/>
  <c r="Y281" i="3"/>
  <c r="Y280" i="3"/>
  <c r="W281" i="3"/>
  <c r="W280" i="3"/>
  <c r="U281" i="3"/>
  <c r="U280" i="3"/>
  <c r="S281" i="3"/>
  <c r="S280" i="3"/>
  <c r="Q281" i="3"/>
  <c r="Q280" i="3"/>
  <c r="O281" i="3"/>
  <c r="O280" i="3"/>
  <c r="M281" i="3"/>
  <c r="M280" i="3"/>
  <c r="K281" i="3"/>
  <c r="K280" i="3"/>
  <c r="I281" i="3"/>
  <c r="I280" i="3"/>
  <c r="G281" i="3"/>
  <c r="G280" i="3"/>
  <c r="E281" i="3"/>
  <c r="E280" i="3"/>
  <c r="C281" i="3"/>
  <c r="C280" i="3"/>
  <c r="CM281" i="3"/>
  <c r="CL281" i="3"/>
  <c r="CM280" i="3"/>
  <c r="CL280" i="3"/>
  <c r="BV276" i="3"/>
  <c r="BU276" i="3"/>
  <c r="BT276" i="3"/>
  <c r="BS276" i="3"/>
  <c r="X276" i="3"/>
  <c r="W276" i="3"/>
  <c r="V276" i="3"/>
  <c r="U276" i="3"/>
  <c r="T276" i="3"/>
  <c r="S276" i="3"/>
  <c r="R276" i="3"/>
  <c r="Q276" i="3"/>
  <c r="P276" i="3"/>
  <c r="O276" i="3"/>
  <c r="N276" i="3"/>
  <c r="BV273" i="3"/>
  <c r="BU273" i="3"/>
  <c r="BT273" i="3"/>
  <c r="BS273" i="3"/>
  <c r="BV272" i="3"/>
  <c r="BU272" i="3"/>
  <c r="BT272" i="3"/>
  <c r="BS272" i="3"/>
  <c r="Y273" i="3"/>
  <c r="X273" i="3"/>
  <c r="W273" i="3"/>
  <c r="V273" i="3"/>
  <c r="U273" i="3"/>
  <c r="T273" i="3"/>
  <c r="S273" i="3"/>
  <c r="R273" i="3"/>
  <c r="Q273" i="3"/>
  <c r="P273" i="3"/>
  <c r="O273" i="3"/>
  <c r="N273" i="3"/>
  <c r="AV272" i="3"/>
  <c r="AT272" i="3"/>
  <c r="AR272" i="3"/>
  <c r="AP272" i="3"/>
  <c r="Y272" i="3"/>
  <c r="X272" i="3"/>
  <c r="W272" i="3"/>
  <c r="V272" i="3"/>
  <c r="U272" i="3"/>
  <c r="T272" i="3"/>
  <c r="S272" i="3"/>
  <c r="R272" i="3"/>
  <c r="Q272" i="3"/>
  <c r="P272" i="3"/>
  <c r="O272" i="3"/>
  <c r="N272" i="3"/>
  <c r="BZ269" i="3"/>
  <c r="BY269" i="3"/>
  <c r="BX269" i="3"/>
  <c r="BW269" i="3"/>
  <c r="BV269" i="3"/>
  <c r="BU269" i="3"/>
  <c r="BT269" i="3"/>
  <c r="BS269" i="3"/>
  <c r="BZ268" i="3"/>
  <c r="BY268" i="3"/>
  <c r="BX268" i="3"/>
  <c r="BW268" i="3"/>
  <c r="BV268" i="3"/>
  <c r="BU268" i="3"/>
  <c r="BT268" i="3"/>
  <c r="BS268" i="3"/>
  <c r="BZ267" i="3"/>
  <c r="BY267" i="3"/>
  <c r="BX267" i="3"/>
  <c r="BW267" i="3"/>
  <c r="BV267" i="3"/>
  <c r="BU267" i="3"/>
  <c r="BT267" i="3"/>
  <c r="BS267" i="3"/>
  <c r="Z269" i="3"/>
  <c r="Y269" i="3"/>
  <c r="X269" i="3"/>
  <c r="W269" i="3"/>
  <c r="V269" i="3"/>
  <c r="U269" i="3"/>
  <c r="T269" i="3"/>
  <c r="S269" i="3"/>
  <c r="R269" i="3"/>
  <c r="Q269" i="3"/>
  <c r="P269" i="3"/>
  <c r="O269" i="3"/>
  <c r="N269" i="3"/>
  <c r="AV268" i="3"/>
  <c r="AT268" i="3"/>
  <c r="AR268" i="3"/>
  <c r="AP268" i="3"/>
  <c r="AA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AM267" i="3"/>
  <c r="AL267" i="3"/>
  <c r="AK267" i="3"/>
  <c r="AJ267" i="3"/>
  <c r="AI267" i="3"/>
  <c r="AH267" i="3"/>
  <c r="AG267" i="3"/>
  <c r="AF267" i="3"/>
  <c r="AE267" i="3"/>
  <c r="AD267" i="3"/>
  <c r="AC267" i="3"/>
  <c r="AB267" i="3"/>
  <c r="AA267" i="3"/>
  <c r="Z267" i="3"/>
  <c r="Y267" i="3"/>
  <c r="X267" i="3"/>
  <c r="W267" i="3"/>
  <c r="V267" i="3"/>
  <c r="U267" i="3"/>
  <c r="T267" i="3"/>
  <c r="S267" i="3"/>
  <c r="R267" i="3"/>
  <c r="Q267" i="3"/>
  <c r="P267" i="3"/>
  <c r="O267" i="3"/>
  <c r="N267" i="3"/>
  <c r="BW264" i="3"/>
  <c r="BV264" i="3"/>
  <c r="BU264" i="3"/>
  <c r="BT264" i="3"/>
  <c r="BS264" i="3"/>
  <c r="Y264" i="3"/>
  <c r="X264" i="3"/>
  <c r="W264" i="3"/>
  <c r="V264" i="3"/>
  <c r="U264" i="3"/>
  <c r="T264" i="3"/>
  <c r="S264" i="3"/>
  <c r="R264" i="3"/>
  <c r="Q264" i="3"/>
  <c r="P264" i="3"/>
  <c r="O264" i="3"/>
  <c r="N264" i="3"/>
  <c r="BZ262" i="3"/>
  <c r="BY262" i="3"/>
  <c r="BX262" i="3"/>
  <c r="BW262" i="3"/>
  <c r="BV262" i="3"/>
  <c r="BU262" i="3"/>
  <c r="BT262" i="3"/>
  <c r="BS262" i="3"/>
  <c r="CM261" i="3"/>
  <c r="CL261" i="3"/>
  <c r="CK261" i="3"/>
  <c r="CJ261" i="3"/>
  <c r="CI261" i="3"/>
  <c r="CH261" i="3"/>
  <c r="CG261" i="3"/>
  <c r="CF261" i="3"/>
  <c r="CE261" i="3"/>
  <c r="CD261" i="3"/>
  <c r="CC261" i="3"/>
  <c r="CB261" i="3"/>
  <c r="CA261" i="3"/>
  <c r="BZ261" i="3"/>
  <c r="BY261" i="3"/>
  <c r="BX261" i="3"/>
  <c r="BW261" i="3"/>
  <c r="BV261" i="3"/>
  <c r="BU261" i="3"/>
  <c r="BT261" i="3"/>
  <c r="BS261" i="3"/>
  <c r="BZ260" i="3"/>
  <c r="BY260" i="3"/>
  <c r="BX260" i="3"/>
  <c r="BW260" i="3"/>
  <c r="BV260" i="3"/>
  <c r="BU260" i="3"/>
  <c r="BT260" i="3"/>
  <c r="BS260" i="3"/>
  <c r="BZ259" i="3"/>
  <c r="BY259" i="3"/>
  <c r="BX259" i="3"/>
  <c r="BW259" i="3"/>
  <c r="BV259" i="3"/>
  <c r="BU259" i="3"/>
  <c r="BT259" i="3"/>
  <c r="BS259" i="3"/>
  <c r="CM258" i="3"/>
  <c r="CL258" i="3"/>
  <c r="CK258" i="3"/>
  <c r="CJ258" i="3"/>
  <c r="CI258" i="3"/>
  <c r="CH258" i="3"/>
  <c r="CG258" i="3"/>
  <c r="CF258" i="3"/>
  <c r="CE258" i="3"/>
  <c r="CD258" i="3"/>
  <c r="CC258" i="3"/>
  <c r="CB258" i="3"/>
  <c r="CA258" i="3"/>
  <c r="BZ258" i="3"/>
  <c r="BY258" i="3"/>
  <c r="BX258" i="3"/>
  <c r="BW258" i="3"/>
  <c r="BV258" i="3"/>
  <c r="BU258" i="3"/>
  <c r="BT258" i="3"/>
  <c r="BS258" i="3"/>
  <c r="CB257" i="3"/>
  <c r="CA257" i="3"/>
  <c r="BZ257" i="3"/>
  <c r="BY257" i="3"/>
  <c r="BX257" i="3"/>
  <c r="BW257" i="3"/>
  <c r="BV257" i="3"/>
  <c r="BU257" i="3"/>
  <c r="BT257" i="3"/>
  <c r="BS257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AW261" i="3"/>
  <c r="AV261" i="3"/>
  <c r="AU261" i="3"/>
  <c r="AT261" i="3"/>
  <c r="AS261" i="3"/>
  <c r="AR261" i="3"/>
  <c r="AQ261" i="3"/>
  <c r="AP261" i="3"/>
  <c r="AO261" i="3"/>
  <c r="AN261" i="3"/>
  <c r="AM261" i="3"/>
  <c r="AL261" i="3"/>
  <c r="AK261" i="3"/>
  <c r="AJ261" i="3"/>
  <c r="AI261" i="3"/>
  <c r="AH261" i="3"/>
  <c r="AG261" i="3"/>
  <c r="AF261" i="3"/>
  <c r="AE261" i="3"/>
  <c r="AD261" i="3"/>
  <c r="AC261" i="3"/>
  <c r="AB261" i="3"/>
  <c r="AA261" i="3"/>
  <c r="Z261" i="3"/>
  <c r="Y261" i="3"/>
  <c r="X261" i="3"/>
  <c r="W261" i="3"/>
  <c r="V261" i="3"/>
  <c r="U261" i="3"/>
  <c r="T261" i="3"/>
  <c r="S261" i="3"/>
  <c r="R261" i="3"/>
  <c r="Q261" i="3"/>
  <c r="P261" i="3"/>
  <c r="O261" i="3"/>
  <c r="N261" i="3"/>
  <c r="AM260" i="3"/>
  <c r="AL260" i="3"/>
  <c r="AK260" i="3"/>
  <c r="AJ260" i="3"/>
  <c r="AI260" i="3"/>
  <c r="AH260" i="3"/>
  <c r="AG260" i="3"/>
  <c r="AF260" i="3"/>
  <c r="AE260" i="3"/>
  <c r="AD260" i="3"/>
  <c r="AC260" i="3"/>
  <c r="AB260" i="3"/>
  <c r="AA260" i="3"/>
  <c r="Z260" i="3"/>
  <c r="Y260" i="3"/>
  <c r="X260" i="3"/>
  <c r="W260" i="3"/>
  <c r="V260" i="3"/>
  <c r="U260" i="3"/>
  <c r="T260" i="3"/>
  <c r="S260" i="3"/>
  <c r="R260" i="3"/>
  <c r="Q260" i="3"/>
  <c r="P260" i="3"/>
  <c r="O260" i="3"/>
  <c r="N260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AW258" i="3"/>
  <c r="AV258" i="3"/>
  <c r="AU258" i="3"/>
  <c r="AT258" i="3"/>
  <c r="AS258" i="3"/>
  <c r="AR258" i="3"/>
  <c r="AQ258" i="3"/>
  <c r="AP258" i="3"/>
  <c r="AO258" i="3"/>
  <c r="AN258" i="3"/>
  <c r="AM258" i="3"/>
  <c r="AL258" i="3"/>
  <c r="AK258" i="3"/>
  <c r="AJ258" i="3"/>
  <c r="AI258" i="3"/>
  <c r="AH258" i="3"/>
  <c r="AG258" i="3"/>
  <c r="AF258" i="3"/>
  <c r="AE258" i="3"/>
  <c r="AD258" i="3"/>
  <c r="AC258" i="3"/>
  <c r="AB258" i="3"/>
  <c r="AA258" i="3"/>
  <c r="Z258" i="3"/>
  <c r="Y258" i="3"/>
  <c r="X258" i="3"/>
  <c r="W258" i="3"/>
  <c r="V258" i="3"/>
  <c r="U258" i="3"/>
  <c r="T258" i="3"/>
  <c r="S258" i="3"/>
  <c r="R258" i="3"/>
  <c r="Q258" i="3"/>
  <c r="P258" i="3"/>
  <c r="O258" i="3"/>
  <c r="N258" i="3"/>
  <c r="AA257" i="3"/>
  <c r="Z257" i="3"/>
  <c r="Y257" i="3"/>
  <c r="X257" i="3"/>
  <c r="W257" i="3"/>
  <c r="V257" i="3"/>
  <c r="U257" i="3"/>
  <c r="T257" i="3"/>
  <c r="S257" i="3"/>
  <c r="R257" i="3"/>
  <c r="Q257" i="3"/>
  <c r="P257" i="3"/>
  <c r="O257" i="3"/>
  <c r="N257" i="3"/>
  <c r="CM254" i="3"/>
  <c r="CL254" i="3"/>
  <c r="CK254" i="3"/>
  <c r="CJ254" i="3"/>
  <c r="CI254" i="3"/>
  <c r="CH254" i="3"/>
  <c r="CG254" i="3"/>
  <c r="CF254" i="3"/>
  <c r="CE254" i="3"/>
  <c r="CD254" i="3"/>
  <c r="CC254" i="3"/>
  <c r="CB254" i="3"/>
  <c r="CA254" i="3"/>
  <c r="BZ254" i="3"/>
  <c r="BY254" i="3"/>
  <c r="BX254" i="3"/>
  <c r="BW254" i="3"/>
  <c r="BV254" i="3"/>
  <c r="BU254" i="3"/>
  <c r="BT254" i="3"/>
  <c r="BS254" i="3"/>
  <c r="AW254" i="3"/>
  <c r="AV254" i="3"/>
  <c r="AU254" i="3"/>
  <c r="AT254" i="3"/>
  <c r="AS254" i="3"/>
  <c r="AR254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AE254" i="3"/>
  <c r="AD254" i="3"/>
  <c r="AC254" i="3"/>
  <c r="AB254" i="3"/>
  <c r="AA254" i="3"/>
  <c r="Z254" i="3"/>
  <c r="Y254" i="3"/>
  <c r="X254" i="3"/>
  <c r="W254" i="3"/>
  <c r="V254" i="3"/>
  <c r="U254" i="3"/>
  <c r="T254" i="3"/>
  <c r="S254" i="3"/>
  <c r="R254" i="3"/>
  <c r="Q254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CJ253" i="3"/>
  <c r="CJ252" i="3"/>
  <c r="CH253" i="3"/>
  <c r="CH252" i="3"/>
  <c r="CF253" i="3"/>
  <c r="CF252" i="3"/>
  <c r="CD253" i="3"/>
  <c r="CD252" i="3"/>
  <c r="CB253" i="3"/>
  <c r="CB252" i="3"/>
  <c r="BZ253" i="3"/>
  <c r="BZ252" i="3"/>
  <c r="BX253" i="3"/>
  <c r="BX252" i="3"/>
  <c r="BV253" i="3"/>
  <c r="BV252" i="3"/>
  <c r="BT253" i="3"/>
  <c r="BT252" i="3"/>
  <c r="AW253" i="3"/>
  <c r="AW252" i="3"/>
  <c r="AU253" i="3"/>
  <c r="AU252" i="3"/>
  <c r="AS253" i="3"/>
  <c r="AS252" i="3"/>
  <c r="AQ253" i="3"/>
  <c r="AQ252" i="3"/>
  <c r="AO253" i="3"/>
  <c r="AO252" i="3"/>
  <c r="AM253" i="3"/>
  <c r="AM252" i="3"/>
  <c r="AK253" i="3"/>
  <c r="AK252" i="3"/>
  <c r="AI253" i="3"/>
  <c r="AI252" i="3"/>
  <c r="AG253" i="3"/>
  <c r="AG252" i="3"/>
  <c r="AE253" i="3"/>
  <c r="AE252" i="3"/>
  <c r="AC253" i="3"/>
  <c r="AC252" i="3"/>
  <c r="AA253" i="3"/>
  <c r="AA252" i="3"/>
  <c r="Y253" i="3"/>
  <c r="Y252" i="3"/>
  <c r="W253" i="3"/>
  <c r="W252" i="3"/>
  <c r="U253" i="3"/>
  <c r="U252" i="3"/>
  <c r="S253" i="3"/>
  <c r="S252" i="3"/>
  <c r="Q253" i="3"/>
  <c r="Q252" i="3"/>
  <c r="O253" i="3"/>
  <c r="O252" i="3"/>
  <c r="M253" i="3"/>
  <c r="M252" i="3"/>
  <c r="K253" i="3"/>
  <c r="K252" i="3"/>
  <c r="I253" i="3"/>
  <c r="I252" i="3"/>
  <c r="G253" i="3"/>
  <c r="G252" i="3"/>
  <c r="E253" i="3"/>
  <c r="E252" i="3"/>
  <c r="C253" i="3"/>
  <c r="C252" i="3"/>
  <c r="CM253" i="3"/>
  <c r="CL253" i="3"/>
  <c r="CM252" i="3"/>
  <c r="CL252" i="3"/>
  <c r="BV248" i="3"/>
  <c r="BU248" i="3"/>
  <c r="BT248" i="3"/>
  <c r="BS248" i="3"/>
  <c r="Y248" i="3"/>
  <c r="X248" i="3"/>
  <c r="W248" i="3"/>
  <c r="V248" i="3"/>
  <c r="U248" i="3"/>
  <c r="T248" i="3"/>
  <c r="S248" i="3"/>
  <c r="R248" i="3"/>
  <c r="Q248" i="3"/>
  <c r="P248" i="3"/>
  <c r="O248" i="3"/>
  <c r="N248" i="3"/>
  <c r="BZ245" i="3"/>
  <c r="BY245" i="3"/>
  <c r="BX245" i="3"/>
  <c r="BW245" i="3"/>
  <c r="BV245" i="3"/>
  <c r="BU245" i="3"/>
  <c r="BT245" i="3"/>
  <c r="BS245" i="3"/>
  <c r="AM245" i="3"/>
  <c r="AL245" i="3"/>
  <c r="AK245" i="3"/>
  <c r="AJ245" i="3"/>
  <c r="AI245" i="3"/>
  <c r="AH245" i="3"/>
  <c r="AG245" i="3"/>
  <c r="AF245" i="3"/>
  <c r="AE245" i="3"/>
  <c r="AD245" i="3"/>
  <c r="AC245" i="3"/>
  <c r="AB245" i="3"/>
  <c r="AA245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CK240" i="3"/>
  <c r="CI240" i="3"/>
  <c r="CG240" i="3"/>
  <c r="CE240" i="3"/>
  <c r="CC240" i="3"/>
  <c r="CA240" i="3"/>
  <c r="BY241" i="3"/>
  <c r="BY240" i="3"/>
  <c r="BY239" i="3"/>
  <c r="BY238" i="3"/>
  <c r="BW241" i="3"/>
  <c r="BW240" i="3"/>
  <c r="BW239" i="3"/>
  <c r="BW238" i="3"/>
  <c r="BU241" i="3"/>
  <c r="BU240" i="3"/>
  <c r="BU239" i="3"/>
  <c r="BU238" i="3"/>
  <c r="BS241" i="3"/>
  <c r="BS240" i="3"/>
  <c r="BS239" i="3"/>
  <c r="BS238" i="3"/>
  <c r="AV240" i="3"/>
  <c r="AT240" i="3"/>
  <c r="AR240" i="3"/>
  <c r="AP240" i="3"/>
  <c r="AN240" i="3"/>
  <c r="AL241" i="3"/>
  <c r="AL240" i="3"/>
  <c r="AL239" i="3"/>
  <c r="AL238" i="3"/>
  <c r="AJ241" i="3"/>
  <c r="AJ240" i="3"/>
  <c r="AJ239" i="3"/>
  <c r="AJ238" i="3"/>
  <c r="AH241" i="3"/>
  <c r="AH240" i="3"/>
  <c r="AH239" i="3"/>
  <c r="AH238" i="3"/>
  <c r="AF241" i="3"/>
  <c r="AF240" i="3"/>
  <c r="AF239" i="3"/>
  <c r="AF238" i="3"/>
  <c r="AD241" i="3"/>
  <c r="AD240" i="3"/>
  <c r="AD239" i="3"/>
  <c r="AD238" i="3"/>
  <c r="AB241" i="3"/>
  <c r="AB240" i="3"/>
  <c r="AB239" i="3"/>
  <c r="AB238" i="3"/>
  <c r="Z241" i="3"/>
  <c r="Z240" i="3"/>
  <c r="Z239" i="3"/>
  <c r="Z238" i="3"/>
  <c r="X241" i="3"/>
  <c r="X240" i="3"/>
  <c r="X239" i="3"/>
  <c r="X238" i="3"/>
  <c r="V241" i="3"/>
  <c r="V240" i="3"/>
  <c r="V239" i="3"/>
  <c r="V238" i="3"/>
  <c r="T241" i="3"/>
  <c r="T240" i="3"/>
  <c r="T239" i="3"/>
  <c r="T238" i="3"/>
  <c r="R241" i="3"/>
  <c r="R240" i="3"/>
  <c r="R239" i="3"/>
  <c r="R238" i="3"/>
  <c r="P241" i="3"/>
  <c r="P240" i="3"/>
  <c r="P239" i="3"/>
  <c r="P238" i="3"/>
  <c r="N241" i="3"/>
  <c r="N240" i="3"/>
  <c r="N239" i="3"/>
  <c r="N238" i="3"/>
  <c r="L241" i="3"/>
  <c r="L240" i="3"/>
  <c r="L239" i="3"/>
  <c r="L238" i="3"/>
  <c r="J241" i="3"/>
  <c r="J240" i="3"/>
  <c r="J239" i="3"/>
  <c r="J238" i="3"/>
  <c r="H241" i="3"/>
  <c r="H240" i="3"/>
  <c r="H239" i="3"/>
  <c r="H238" i="3"/>
  <c r="F241" i="3"/>
  <c r="F240" i="3"/>
  <c r="F239" i="3"/>
  <c r="F238" i="3"/>
  <c r="D241" i="3"/>
  <c r="D240" i="3"/>
  <c r="D239" i="3"/>
  <c r="D238" i="3"/>
  <c r="B241" i="3"/>
  <c r="B240" i="3"/>
  <c r="B239" i="3"/>
  <c r="B238" i="3"/>
  <c r="CJ240" i="3"/>
  <c r="CH240" i="3"/>
  <c r="CF240" i="3"/>
  <c r="CD240" i="3"/>
  <c r="CB240" i="3"/>
  <c r="BZ241" i="3"/>
  <c r="BZ240" i="3"/>
  <c r="BZ239" i="3"/>
  <c r="BZ238" i="3"/>
  <c r="BX241" i="3"/>
  <c r="BX240" i="3"/>
  <c r="BX239" i="3"/>
  <c r="BX238" i="3"/>
  <c r="BV241" i="3"/>
  <c r="BV240" i="3"/>
  <c r="BV239" i="3"/>
  <c r="BV238" i="3"/>
  <c r="BT241" i="3"/>
  <c r="BT240" i="3"/>
  <c r="BT239" i="3"/>
  <c r="BT238" i="3"/>
  <c r="AW240" i="3"/>
  <c r="AU240" i="3"/>
  <c r="AS240" i="3"/>
  <c r="AQ240" i="3"/>
  <c r="AO240" i="3"/>
  <c r="AM241" i="3"/>
  <c r="AM240" i="3"/>
  <c r="AM239" i="3"/>
  <c r="AM238" i="3"/>
  <c r="AK241" i="3"/>
  <c r="AK240" i="3"/>
  <c r="AK239" i="3"/>
  <c r="AK238" i="3"/>
  <c r="AI241" i="3"/>
  <c r="AI240" i="3"/>
  <c r="AI239" i="3"/>
  <c r="AI238" i="3"/>
  <c r="AG241" i="3"/>
  <c r="AG240" i="3"/>
  <c r="AG239" i="3"/>
  <c r="AG238" i="3"/>
  <c r="AE241" i="3"/>
  <c r="AE240" i="3"/>
  <c r="AE239" i="3"/>
  <c r="AE238" i="3"/>
  <c r="AC241" i="3"/>
  <c r="AC240" i="3"/>
  <c r="AC239" i="3"/>
  <c r="AC238" i="3"/>
  <c r="AA241" i="3"/>
  <c r="AA240" i="3"/>
  <c r="AA239" i="3"/>
  <c r="AA238" i="3"/>
  <c r="Y241" i="3"/>
  <c r="Y240" i="3"/>
  <c r="Y239" i="3"/>
  <c r="Y238" i="3"/>
  <c r="W241" i="3"/>
  <c r="W240" i="3"/>
  <c r="W239" i="3"/>
  <c r="W238" i="3"/>
  <c r="U241" i="3"/>
  <c r="U240" i="3"/>
  <c r="U239" i="3"/>
  <c r="U238" i="3"/>
  <c r="S241" i="3"/>
  <c r="S240" i="3"/>
  <c r="S239" i="3"/>
  <c r="S238" i="3"/>
  <c r="Q241" i="3"/>
  <c r="Q240" i="3"/>
  <c r="Q239" i="3"/>
  <c r="Q238" i="3"/>
  <c r="O241" i="3"/>
  <c r="O240" i="3"/>
  <c r="O239" i="3"/>
  <c r="O238" i="3"/>
  <c r="M241" i="3"/>
  <c r="M240" i="3"/>
  <c r="M239" i="3"/>
  <c r="M238" i="3"/>
  <c r="K241" i="3"/>
  <c r="K240" i="3"/>
  <c r="K239" i="3"/>
  <c r="K238" i="3"/>
  <c r="I241" i="3"/>
  <c r="I240" i="3"/>
  <c r="I239" i="3"/>
  <c r="I238" i="3"/>
  <c r="G241" i="3"/>
  <c r="G240" i="3"/>
  <c r="G239" i="3"/>
  <c r="G238" i="3"/>
  <c r="E241" i="3"/>
  <c r="E240" i="3"/>
  <c r="E239" i="3"/>
  <c r="E238" i="3"/>
  <c r="C241" i="3"/>
  <c r="C240" i="3"/>
  <c r="C239" i="3"/>
  <c r="C238" i="3"/>
  <c r="CM240" i="3"/>
  <c r="CL240" i="3"/>
  <c r="BZ235" i="3"/>
  <c r="BZ236" i="3" s="1"/>
  <c r="BY235" i="3"/>
  <c r="BY236" i="3" s="1"/>
  <c r="BX235" i="3"/>
  <c r="BX236" i="3" s="1"/>
  <c r="BW235" i="3"/>
  <c r="BW236" i="3" s="1"/>
  <c r="BV235" i="3"/>
  <c r="BV236" i="3" s="1"/>
  <c r="BU235" i="3"/>
  <c r="BU236" i="3" s="1"/>
  <c r="BT235" i="3"/>
  <c r="BT236" i="3" s="1"/>
  <c r="BS235" i="3"/>
  <c r="BS236" i="3" s="1"/>
  <c r="AM235" i="3"/>
  <c r="AM236" i="3" s="1"/>
  <c r="AL235" i="3"/>
  <c r="AL236" i="3" s="1"/>
  <c r="AK235" i="3"/>
  <c r="AK236" i="3" s="1"/>
  <c r="AJ235" i="3"/>
  <c r="AJ236" i="3" s="1"/>
  <c r="AI235" i="3"/>
  <c r="AI236" i="3" s="1"/>
  <c r="AH235" i="3"/>
  <c r="AH236" i="3" s="1"/>
  <c r="AG235" i="3"/>
  <c r="AG236" i="3" s="1"/>
  <c r="AF235" i="3"/>
  <c r="AF236" i="3" s="1"/>
  <c r="AE235" i="3"/>
  <c r="AE236" i="3" s="1"/>
  <c r="AD235" i="3"/>
  <c r="AD236" i="3" s="1"/>
  <c r="AC235" i="3"/>
  <c r="AC236" i="3" s="1"/>
  <c r="AB235" i="3"/>
  <c r="AB236" i="3" s="1"/>
  <c r="AA235" i="3"/>
  <c r="AA236" i="3" s="1"/>
  <c r="Z235" i="3"/>
  <c r="Z236" i="3" s="1"/>
  <c r="Y235" i="3"/>
  <c r="Y236" i="3" s="1"/>
  <c r="X235" i="3"/>
  <c r="X236" i="3" s="1"/>
  <c r="W235" i="3"/>
  <c r="W236" i="3" s="1"/>
  <c r="V235" i="3"/>
  <c r="V236" i="3" s="1"/>
  <c r="U235" i="3"/>
  <c r="U236" i="3" s="1"/>
  <c r="T235" i="3"/>
  <c r="T236" i="3" s="1"/>
  <c r="S235" i="3"/>
  <c r="S236" i="3" s="1"/>
  <c r="R235" i="3"/>
  <c r="R236" i="3" s="1"/>
  <c r="Q235" i="3"/>
  <c r="Q236" i="3" s="1"/>
  <c r="P235" i="3"/>
  <c r="P236" i="3" s="1"/>
  <c r="O235" i="3"/>
  <c r="O236" i="3" s="1"/>
  <c r="N235" i="3"/>
  <c r="N236" i="3" s="1"/>
  <c r="M235" i="3"/>
  <c r="M236" i="3" s="1"/>
  <c r="L235" i="3"/>
  <c r="L236" i="3" s="1"/>
  <c r="K235" i="3"/>
  <c r="K236" i="3" s="1"/>
  <c r="J235" i="3"/>
  <c r="J236" i="3" s="1"/>
  <c r="I235" i="3"/>
  <c r="I236" i="3" s="1"/>
  <c r="H235" i="3"/>
  <c r="H236" i="3" s="1"/>
  <c r="G235" i="3"/>
  <c r="G236" i="3" s="1"/>
  <c r="F235" i="3"/>
  <c r="F236" i="3" s="1"/>
  <c r="E235" i="3"/>
  <c r="E236" i="3" s="1"/>
  <c r="D235" i="3"/>
  <c r="D236" i="3" s="1"/>
  <c r="C235" i="3"/>
  <c r="C236" i="3" s="1"/>
  <c r="B235" i="3"/>
  <c r="B236" i="3" s="1"/>
  <c r="BZ232" i="3"/>
  <c r="BY232" i="3"/>
  <c r="BX232" i="3"/>
  <c r="BW232" i="3"/>
  <c r="BV232" i="3"/>
  <c r="BU232" i="3"/>
  <c r="BT232" i="3"/>
  <c r="BS232" i="3"/>
  <c r="BZ231" i="3"/>
  <c r="BY231" i="3"/>
  <c r="BX231" i="3"/>
  <c r="BW231" i="3"/>
  <c r="BV231" i="3"/>
  <c r="BU231" i="3"/>
  <c r="BT231" i="3"/>
  <c r="BS231" i="3"/>
  <c r="BZ230" i="3"/>
  <c r="BY230" i="3"/>
  <c r="BX230" i="3"/>
  <c r="BW230" i="3"/>
  <c r="BV230" i="3"/>
  <c r="BU230" i="3"/>
  <c r="BT230" i="3"/>
  <c r="BS230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AM231" i="3"/>
  <c r="AL231" i="3"/>
  <c r="AK231" i="3"/>
  <c r="AJ231" i="3"/>
  <c r="AI231" i="3"/>
  <c r="AH231" i="3"/>
  <c r="AG231" i="3"/>
  <c r="AF231" i="3"/>
  <c r="AE231" i="3"/>
  <c r="AD231" i="3"/>
  <c r="AC231" i="3"/>
  <c r="AB231" i="3"/>
  <c r="AA231" i="3"/>
  <c r="Z231" i="3"/>
  <c r="Y231" i="3"/>
  <c r="X231" i="3"/>
  <c r="W231" i="3"/>
  <c r="V231" i="3"/>
  <c r="U231" i="3"/>
  <c r="T231" i="3"/>
  <c r="S231" i="3"/>
  <c r="R231" i="3"/>
  <c r="Q231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M230" i="3"/>
  <c r="AL230" i="3"/>
  <c r="AK230" i="3"/>
  <c r="AJ230" i="3"/>
  <c r="AI230" i="3"/>
  <c r="AH230" i="3"/>
  <c r="AG230" i="3"/>
  <c r="AF230" i="3"/>
  <c r="AE230" i="3"/>
  <c r="AD230" i="3"/>
  <c r="AC230" i="3"/>
  <c r="AB230" i="3"/>
  <c r="AA230" i="3"/>
  <c r="Z230" i="3"/>
  <c r="Y230" i="3"/>
  <c r="X230" i="3"/>
  <c r="W230" i="3"/>
  <c r="V230" i="3"/>
  <c r="U230" i="3"/>
  <c r="T230" i="3"/>
  <c r="S230" i="3"/>
  <c r="R230" i="3"/>
  <c r="Q230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CM227" i="3"/>
  <c r="CL227" i="3"/>
  <c r="CK227" i="3"/>
  <c r="CJ227" i="3"/>
  <c r="CI227" i="3"/>
  <c r="CH227" i="3"/>
  <c r="CG227" i="3"/>
  <c r="CF227" i="3"/>
  <c r="CE227" i="3"/>
  <c r="CD227" i="3"/>
  <c r="CC227" i="3"/>
  <c r="CB227" i="3"/>
  <c r="CA227" i="3"/>
  <c r="BZ227" i="3"/>
  <c r="BY227" i="3"/>
  <c r="BX227" i="3"/>
  <c r="BW227" i="3"/>
  <c r="BV227" i="3"/>
  <c r="BU227" i="3"/>
  <c r="BT227" i="3"/>
  <c r="BS227" i="3"/>
  <c r="AW227" i="3"/>
  <c r="AV227" i="3"/>
  <c r="AU227" i="3"/>
  <c r="AT227" i="3"/>
  <c r="AS227" i="3"/>
  <c r="AR227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CJ226" i="3"/>
  <c r="CJ225" i="3"/>
  <c r="CH226" i="3"/>
  <c r="CH225" i="3"/>
  <c r="CF226" i="3"/>
  <c r="CF225" i="3"/>
  <c r="CD226" i="3"/>
  <c r="CD225" i="3"/>
  <c r="CB226" i="3"/>
  <c r="CB225" i="3"/>
  <c r="BZ226" i="3"/>
  <c r="BZ225" i="3"/>
  <c r="BX226" i="3"/>
  <c r="BX225" i="3"/>
  <c r="BV226" i="3"/>
  <c r="BV225" i="3"/>
  <c r="BT226" i="3"/>
  <c r="BT225" i="3"/>
  <c r="AW226" i="3"/>
  <c r="AW225" i="3"/>
  <c r="AU226" i="3"/>
  <c r="AU225" i="3"/>
  <c r="AS226" i="3"/>
  <c r="AS225" i="3"/>
  <c r="AQ226" i="3"/>
  <c r="AQ225" i="3"/>
  <c r="AO226" i="3"/>
  <c r="AO225" i="3"/>
  <c r="AM226" i="3"/>
  <c r="AM225" i="3"/>
  <c r="AK226" i="3"/>
  <c r="AK225" i="3"/>
  <c r="AI226" i="3"/>
  <c r="AI225" i="3"/>
  <c r="AG226" i="3"/>
  <c r="AG225" i="3"/>
  <c r="AE226" i="3"/>
  <c r="AE225" i="3"/>
  <c r="AC226" i="3"/>
  <c r="AC225" i="3"/>
  <c r="AA226" i="3"/>
  <c r="AA225" i="3"/>
  <c r="Y226" i="3"/>
  <c r="Y225" i="3"/>
  <c r="W226" i="3"/>
  <c r="W225" i="3"/>
  <c r="U226" i="3"/>
  <c r="U225" i="3"/>
  <c r="S226" i="3"/>
  <c r="S225" i="3"/>
  <c r="Q226" i="3"/>
  <c r="Q225" i="3"/>
  <c r="O226" i="3"/>
  <c r="O225" i="3"/>
  <c r="M226" i="3"/>
  <c r="M225" i="3"/>
  <c r="K226" i="3"/>
  <c r="K225" i="3"/>
  <c r="I226" i="3"/>
  <c r="I225" i="3"/>
  <c r="G226" i="3"/>
  <c r="G225" i="3"/>
  <c r="E226" i="3"/>
  <c r="E225" i="3"/>
  <c r="C226" i="3"/>
  <c r="C225" i="3"/>
  <c r="CM226" i="3"/>
  <c r="CL226" i="3"/>
  <c r="CM225" i="3"/>
  <c r="CL225" i="3"/>
  <c r="BV221" i="3"/>
  <c r="BU221" i="3"/>
  <c r="BT221" i="3"/>
  <c r="BS221" i="3"/>
  <c r="BR221" i="3"/>
  <c r="BQ221" i="3"/>
  <c r="BP221" i="3"/>
  <c r="BO221" i="3"/>
  <c r="BN221" i="3"/>
  <c r="BM221" i="3"/>
  <c r="BL221" i="3"/>
  <c r="BK221" i="3"/>
  <c r="BJ221" i="3"/>
  <c r="BI221" i="3"/>
  <c r="BH221" i="3"/>
  <c r="BG221" i="3"/>
  <c r="BF221" i="3"/>
  <c r="BE221" i="3"/>
  <c r="BD221" i="3"/>
  <c r="BC221" i="3"/>
  <c r="BB221" i="3"/>
  <c r="BA221" i="3"/>
  <c r="AZ221" i="3"/>
  <c r="AY221" i="3"/>
  <c r="AX221" i="3"/>
  <c r="W221" i="3"/>
  <c r="V221" i="3"/>
  <c r="U221" i="3"/>
  <c r="T221" i="3"/>
  <c r="S221" i="3"/>
  <c r="R221" i="3"/>
  <c r="Q221" i="3"/>
  <c r="P221" i="3"/>
  <c r="O221" i="3"/>
  <c r="N221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BV219" i="3"/>
  <c r="BU219" i="3"/>
  <c r="BT219" i="3"/>
  <c r="BS219" i="3"/>
  <c r="BR219" i="3"/>
  <c r="BQ219" i="3"/>
  <c r="BP219" i="3"/>
  <c r="BO219" i="3"/>
  <c r="BN219" i="3"/>
  <c r="BM219" i="3"/>
  <c r="BL219" i="3"/>
  <c r="BK219" i="3"/>
  <c r="BJ219" i="3"/>
  <c r="BI219" i="3"/>
  <c r="BH219" i="3"/>
  <c r="BG219" i="3"/>
  <c r="BF219" i="3"/>
  <c r="BE219" i="3"/>
  <c r="BD219" i="3"/>
  <c r="BC219" i="3"/>
  <c r="BB219" i="3"/>
  <c r="BA219" i="3"/>
  <c r="AZ219" i="3"/>
  <c r="AY219" i="3"/>
  <c r="AX219" i="3"/>
  <c r="Y219" i="3"/>
  <c r="X219" i="3"/>
  <c r="W219" i="3"/>
  <c r="V219" i="3"/>
  <c r="U219" i="3"/>
  <c r="T219" i="3"/>
  <c r="S219" i="3"/>
  <c r="R219" i="3"/>
  <c r="Q219" i="3"/>
  <c r="P219" i="3"/>
  <c r="O219" i="3"/>
  <c r="N219" i="3"/>
  <c r="BV218" i="3"/>
  <c r="BU218" i="3"/>
  <c r="BT218" i="3"/>
  <c r="BS218" i="3"/>
  <c r="BR218" i="3"/>
  <c r="BQ218" i="3"/>
  <c r="BP218" i="3"/>
  <c r="BO218" i="3"/>
  <c r="BN218" i="3"/>
  <c r="BM218" i="3"/>
  <c r="BL218" i="3"/>
  <c r="BK218" i="3"/>
  <c r="BJ218" i="3"/>
  <c r="BI218" i="3"/>
  <c r="BH218" i="3"/>
  <c r="BG218" i="3"/>
  <c r="BF218" i="3"/>
  <c r="BE218" i="3"/>
  <c r="BD218" i="3"/>
  <c r="BC218" i="3"/>
  <c r="BB218" i="3"/>
  <c r="BA218" i="3"/>
  <c r="AZ218" i="3"/>
  <c r="AY218" i="3"/>
  <c r="AX218" i="3"/>
  <c r="Y218" i="3"/>
  <c r="X218" i="3"/>
  <c r="W218" i="3"/>
  <c r="V218" i="3"/>
  <c r="U218" i="3"/>
  <c r="T218" i="3"/>
  <c r="S218" i="3"/>
  <c r="R218" i="3"/>
  <c r="Q218" i="3"/>
  <c r="P218" i="3"/>
  <c r="O218" i="3"/>
  <c r="N218" i="3"/>
  <c r="BV215" i="3"/>
  <c r="BU215" i="3"/>
  <c r="BT215" i="3"/>
  <c r="BS215" i="3"/>
  <c r="BR215" i="3"/>
  <c r="BQ215" i="3"/>
  <c r="BP215" i="3"/>
  <c r="BO215" i="3"/>
  <c r="BN215" i="3"/>
  <c r="BM215" i="3"/>
  <c r="BL215" i="3"/>
  <c r="BK215" i="3"/>
  <c r="BJ215" i="3"/>
  <c r="BI215" i="3"/>
  <c r="BH215" i="3"/>
  <c r="BG215" i="3"/>
  <c r="BF215" i="3"/>
  <c r="BE215" i="3"/>
  <c r="BD215" i="3"/>
  <c r="BC215" i="3"/>
  <c r="BB215" i="3"/>
  <c r="BA215" i="3"/>
  <c r="AZ215" i="3"/>
  <c r="AY215" i="3"/>
  <c r="AX215" i="3"/>
  <c r="X215" i="3"/>
  <c r="W215" i="3"/>
  <c r="V215" i="3"/>
  <c r="U215" i="3"/>
  <c r="T215" i="3"/>
  <c r="S215" i="3"/>
  <c r="R215" i="3"/>
  <c r="Q215" i="3"/>
  <c r="P215" i="3"/>
  <c r="O215" i="3"/>
  <c r="N215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V214" i="3"/>
  <c r="AT214" i="3"/>
  <c r="AR214" i="3"/>
  <c r="AP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BZ210" i="3"/>
  <c r="BY210" i="3"/>
  <c r="BX210" i="3"/>
  <c r="BW210" i="3"/>
  <c r="BV210" i="3"/>
  <c r="BU210" i="3"/>
  <c r="BT210" i="3"/>
  <c r="BS210" i="3"/>
  <c r="BR210" i="3"/>
  <c r="BQ210" i="3"/>
  <c r="BP210" i="3"/>
  <c r="BO210" i="3"/>
  <c r="BN210" i="3"/>
  <c r="BM210" i="3"/>
  <c r="BL210" i="3"/>
  <c r="BK210" i="3"/>
  <c r="BJ210" i="3"/>
  <c r="BI210" i="3"/>
  <c r="BH210" i="3"/>
  <c r="BG210" i="3"/>
  <c r="BF210" i="3"/>
  <c r="BE210" i="3"/>
  <c r="BD210" i="3"/>
  <c r="BC210" i="3"/>
  <c r="BB210" i="3"/>
  <c r="BA210" i="3"/>
  <c r="AZ210" i="3"/>
  <c r="AY210" i="3"/>
  <c r="AX210" i="3"/>
  <c r="AV210" i="3"/>
  <c r="AT210" i="3"/>
  <c r="AR210" i="3"/>
  <c r="AP210" i="3"/>
  <c r="AA210" i="3"/>
  <c r="Y210" i="3"/>
  <c r="X210" i="3"/>
  <c r="W210" i="3"/>
  <c r="V210" i="3"/>
  <c r="U210" i="3"/>
  <c r="T210" i="3"/>
  <c r="S210" i="3"/>
  <c r="R210" i="3"/>
  <c r="Q210" i="3"/>
  <c r="P210" i="3"/>
  <c r="O210" i="3"/>
  <c r="N210" i="3"/>
  <c r="BZ209" i="3"/>
  <c r="BY209" i="3"/>
  <c r="BX209" i="3"/>
  <c r="BW209" i="3"/>
  <c r="BV209" i="3"/>
  <c r="BU209" i="3"/>
  <c r="BT209" i="3"/>
  <c r="BS209" i="3"/>
  <c r="BR209" i="3"/>
  <c r="BQ209" i="3"/>
  <c r="BP209" i="3"/>
  <c r="BO209" i="3"/>
  <c r="BN209" i="3"/>
  <c r="BM209" i="3"/>
  <c r="BL209" i="3"/>
  <c r="BK209" i="3"/>
  <c r="BJ209" i="3"/>
  <c r="BI209" i="3"/>
  <c r="BH209" i="3"/>
  <c r="BG209" i="3"/>
  <c r="BF209" i="3"/>
  <c r="BE209" i="3"/>
  <c r="BD209" i="3"/>
  <c r="BC209" i="3"/>
  <c r="BB209" i="3"/>
  <c r="BA209" i="3"/>
  <c r="AZ209" i="3"/>
  <c r="AY209" i="3"/>
  <c r="AX209" i="3"/>
  <c r="AM209" i="3"/>
  <c r="AL209" i="3"/>
  <c r="AK209" i="3"/>
  <c r="AJ209" i="3"/>
  <c r="AI209" i="3"/>
  <c r="AH209" i="3"/>
  <c r="AG209" i="3"/>
  <c r="AF209" i="3"/>
  <c r="AE209" i="3"/>
  <c r="AD209" i="3"/>
  <c r="AC209" i="3"/>
  <c r="AB209" i="3"/>
  <c r="AA209" i="3"/>
  <c r="Z209" i="3"/>
  <c r="Y209" i="3"/>
  <c r="X209" i="3"/>
  <c r="W209" i="3"/>
  <c r="V209" i="3"/>
  <c r="U209" i="3"/>
  <c r="T209" i="3"/>
  <c r="S209" i="3"/>
  <c r="R209" i="3"/>
  <c r="Q209" i="3"/>
  <c r="P209" i="3"/>
  <c r="O209" i="3"/>
  <c r="N209" i="3"/>
  <c r="BW206" i="3"/>
  <c r="BV206" i="3"/>
  <c r="BU206" i="3"/>
  <c r="BT206" i="3"/>
  <c r="BS206" i="3"/>
  <c r="BR206" i="3"/>
  <c r="BQ206" i="3"/>
  <c r="BP206" i="3"/>
  <c r="BO206" i="3"/>
  <c r="BN206" i="3"/>
  <c r="BM206" i="3"/>
  <c r="BL206" i="3"/>
  <c r="BK206" i="3"/>
  <c r="BJ206" i="3"/>
  <c r="BI206" i="3"/>
  <c r="BH206" i="3"/>
  <c r="BG206" i="3"/>
  <c r="BF206" i="3"/>
  <c r="BE206" i="3"/>
  <c r="BD206" i="3"/>
  <c r="BC206" i="3"/>
  <c r="BB206" i="3"/>
  <c r="BA206" i="3"/>
  <c r="AZ206" i="3"/>
  <c r="AY206" i="3"/>
  <c r="AX206" i="3"/>
  <c r="Y206" i="3"/>
  <c r="X206" i="3"/>
  <c r="W206" i="3"/>
  <c r="V206" i="3"/>
  <c r="U206" i="3"/>
  <c r="T206" i="3"/>
  <c r="S206" i="3"/>
  <c r="R206" i="3"/>
  <c r="Q206" i="3"/>
  <c r="P206" i="3"/>
  <c r="O206" i="3"/>
  <c r="N206" i="3"/>
  <c r="BZ204" i="3"/>
  <c r="BY204" i="3"/>
  <c r="BX204" i="3"/>
  <c r="BW204" i="3"/>
  <c r="BV204" i="3"/>
  <c r="BU204" i="3"/>
  <c r="BT204" i="3"/>
  <c r="BS204" i="3"/>
  <c r="BR204" i="3"/>
  <c r="BQ204" i="3"/>
  <c r="BP204" i="3"/>
  <c r="BO204" i="3"/>
  <c r="BN204" i="3"/>
  <c r="BM204" i="3"/>
  <c r="BL204" i="3"/>
  <c r="BK204" i="3"/>
  <c r="BJ204" i="3"/>
  <c r="BI204" i="3"/>
  <c r="BH204" i="3"/>
  <c r="BG204" i="3"/>
  <c r="BF204" i="3"/>
  <c r="BE204" i="3"/>
  <c r="BD204" i="3"/>
  <c r="BC204" i="3"/>
  <c r="BB204" i="3"/>
  <c r="BA204" i="3"/>
  <c r="AZ204" i="3"/>
  <c r="AY204" i="3"/>
  <c r="AX204" i="3"/>
  <c r="Z204" i="3"/>
  <c r="Y204" i="3"/>
  <c r="X204" i="3"/>
  <c r="W204" i="3"/>
  <c r="V204" i="3"/>
  <c r="U204" i="3"/>
  <c r="T204" i="3"/>
  <c r="S204" i="3"/>
  <c r="R204" i="3"/>
  <c r="Q204" i="3"/>
  <c r="P204" i="3"/>
  <c r="O204" i="3"/>
  <c r="N204" i="3"/>
  <c r="CM203" i="3"/>
  <c r="CL203" i="3"/>
  <c r="CK203" i="3"/>
  <c r="CJ203" i="3"/>
  <c r="CI203" i="3"/>
  <c r="CH203" i="3"/>
  <c r="CG203" i="3"/>
  <c r="CF203" i="3"/>
  <c r="CE203" i="3"/>
  <c r="CD203" i="3"/>
  <c r="CC203" i="3"/>
  <c r="CB203" i="3"/>
  <c r="CA203" i="3"/>
  <c r="BZ203" i="3"/>
  <c r="BY203" i="3"/>
  <c r="BX203" i="3"/>
  <c r="BW203" i="3"/>
  <c r="BV203" i="3"/>
  <c r="BU203" i="3"/>
  <c r="BT203" i="3"/>
  <c r="BS203" i="3"/>
  <c r="BR203" i="3"/>
  <c r="BQ203" i="3"/>
  <c r="BP203" i="3"/>
  <c r="BO203" i="3"/>
  <c r="BN203" i="3"/>
  <c r="BM203" i="3"/>
  <c r="BL203" i="3"/>
  <c r="BK203" i="3"/>
  <c r="BJ203" i="3"/>
  <c r="BI203" i="3"/>
  <c r="BH203" i="3"/>
  <c r="BG203" i="3"/>
  <c r="BF203" i="3"/>
  <c r="BE203" i="3"/>
  <c r="BD203" i="3"/>
  <c r="BC203" i="3"/>
  <c r="BB203" i="3"/>
  <c r="BA203" i="3"/>
  <c r="AZ203" i="3"/>
  <c r="AY203" i="3"/>
  <c r="AX203" i="3"/>
  <c r="AW203" i="3"/>
  <c r="AV203" i="3"/>
  <c r="AU203" i="3"/>
  <c r="AT203" i="3"/>
  <c r="AS203" i="3"/>
  <c r="AR203" i="3"/>
  <c r="AQ203" i="3"/>
  <c r="AP203" i="3"/>
  <c r="AO203" i="3"/>
  <c r="AN203" i="3"/>
  <c r="AM203" i="3"/>
  <c r="AL203" i="3"/>
  <c r="AK203" i="3"/>
  <c r="AJ203" i="3"/>
  <c r="AI203" i="3"/>
  <c r="AH203" i="3"/>
  <c r="AG203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BZ201" i="3"/>
  <c r="BY201" i="3"/>
  <c r="BX201" i="3"/>
  <c r="BW201" i="3"/>
  <c r="BV201" i="3"/>
  <c r="BU201" i="3"/>
  <c r="BT201" i="3"/>
  <c r="BS201" i="3"/>
  <c r="BR201" i="3"/>
  <c r="BQ201" i="3"/>
  <c r="BP201" i="3"/>
  <c r="BO201" i="3"/>
  <c r="BN201" i="3"/>
  <c r="BM201" i="3"/>
  <c r="BL201" i="3"/>
  <c r="BK201" i="3"/>
  <c r="BJ201" i="3"/>
  <c r="BI201" i="3"/>
  <c r="BH201" i="3"/>
  <c r="BG201" i="3"/>
  <c r="BF201" i="3"/>
  <c r="BE201" i="3"/>
  <c r="BD201" i="3"/>
  <c r="BC201" i="3"/>
  <c r="BB201" i="3"/>
  <c r="BA201" i="3"/>
  <c r="AZ201" i="3"/>
  <c r="AY201" i="3"/>
  <c r="AX201" i="3"/>
  <c r="AM201" i="3"/>
  <c r="AL201" i="3"/>
  <c r="AK201" i="3"/>
  <c r="AJ201" i="3"/>
  <c r="AI201" i="3"/>
  <c r="AH201" i="3"/>
  <c r="AG201" i="3"/>
  <c r="AF201" i="3"/>
  <c r="AE201" i="3"/>
  <c r="AD201" i="3"/>
  <c r="AC201" i="3"/>
  <c r="AB201" i="3"/>
  <c r="AA201" i="3"/>
  <c r="Z201" i="3"/>
  <c r="Y201" i="3"/>
  <c r="X201" i="3"/>
  <c r="W201" i="3"/>
  <c r="V201" i="3"/>
  <c r="U201" i="3"/>
  <c r="T201" i="3"/>
  <c r="S201" i="3"/>
  <c r="R201" i="3"/>
  <c r="Q201" i="3"/>
  <c r="P201" i="3"/>
  <c r="O201" i="3"/>
  <c r="N201" i="3"/>
  <c r="CM200" i="3"/>
  <c r="CL200" i="3"/>
  <c r="CK200" i="3"/>
  <c r="CJ200" i="3"/>
  <c r="CI200" i="3"/>
  <c r="CH200" i="3"/>
  <c r="CG200" i="3"/>
  <c r="CF200" i="3"/>
  <c r="CE200" i="3"/>
  <c r="CD200" i="3"/>
  <c r="CC200" i="3"/>
  <c r="CB200" i="3"/>
  <c r="CA200" i="3"/>
  <c r="BZ200" i="3"/>
  <c r="BY200" i="3"/>
  <c r="BX200" i="3"/>
  <c r="BW200" i="3"/>
  <c r="BV200" i="3"/>
  <c r="BU200" i="3"/>
  <c r="BT200" i="3"/>
  <c r="BS200" i="3"/>
  <c r="BR200" i="3"/>
  <c r="BQ200" i="3"/>
  <c r="BP200" i="3"/>
  <c r="BO200" i="3"/>
  <c r="BN200" i="3"/>
  <c r="BM200" i="3"/>
  <c r="BL200" i="3"/>
  <c r="BK200" i="3"/>
  <c r="BJ200" i="3"/>
  <c r="BI200" i="3"/>
  <c r="BH200" i="3"/>
  <c r="BG200" i="3"/>
  <c r="BF200" i="3"/>
  <c r="BE200" i="3"/>
  <c r="BD200" i="3"/>
  <c r="BC200" i="3"/>
  <c r="BB200" i="3"/>
  <c r="BA200" i="3"/>
  <c r="AZ200" i="3"/>
  <c r="AY200" i="3"/>
  <c r="AX200" i="3"/>
  <c r="AW200" i="3"/>
  <c r="AV200" i="3"/>
  <c r="AU200" i="3"/>
  <c r="AT200" i="3"/>
  <c r="AS200" i="3"/>
  <c r="AR200" i="3"/>
  <c r="AQ200" i="3"/>
  <c r="AP200" i="3"/>
  <c r="AO200" i="3"/>
  <c r="AN200" i="3"/>
  <c r="AM200" i="3"/>
  <c r="AL200" i="3"/>
  <c r="AK200" i="3"/>
  <c r="AJ200" i="3"/>
  <c r="AI200" i="3"/>
  <c r="AH200" i="3"/>
  <c r="AG200" i="3"/>
  <c r="AF200" i="3"/>
  <c r="AE200" i="3"/>
  <c r="AD200" i="3"/>
  <c r="AC200" i="3"/>
  <c r="AB200" i="3"/>
  <c r="AA200" i="3"/>
  <c r="Z200" i="3"/>
  <c r="Y200" i="3"/>
  <c r="X200" i="3"/>
  <c r="W200" i="3"/>
  <c r="V200" i="3"/>
  <c r="U200" i="3"/>
  <c r="T200" i="3"/>
  <c r="S200" i="3"/>
  <c r="R200" i="3"/>
  <c r="Q200" i="3"/>
  <c r="P200" i="3"/>
  <c r="O200" i="3"/>
  <c r="N200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CM196" i="3"/>
  <c r="CL196" i="3"/>
  <c r="CK196" i="3"/>
  <c r="CJ196" i="3"/>
  <c r="CI196" i="3"/>
  <c r="CH196" i="3"/>
  <c r="CG196" i="3"/>
  <c r="CF196" i="3"/>
  <c r="CE196" i="3"/>
  <c r="CD196" i="3"/>
  <c r="CC196" i="3"/>
  <c r="CB196" i="3"/>
  <c r="CA196" i="3"/>
  <c r="BZ196" i="3"/>
  <c r="BY196" i="3"/>
  <c r="BX196" i="3"/>
  <c r="BW196" i="3"/>
  <c r="BV196" i="3"/>
  <c r="BU196" i="3"/>
  <c r="BT196" i="3"/>
  <c r="BS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CJ195" i="3"/>
  <c r="CJ194" i="3"/>
  <c r="CH195" i="3"/>
  <c r="CH194" i="3"/>
  <c r="CF195" i="3"/>
  <c r="CF194" i="3"/>
  <c r="CD195" i="3"/>
  <c r="CD194" i="3"/>
  <c r="CB195" i="3"/>
  <c r="CB194" i="3"/>
  <c r="BZ195" i="3"/>
  <c r="BZ194" i="3"/>
  <c r="BX195" i="3"/>
  <c r="BX194" i="3"/>
  <c r="BV195" i="3"/>
  <c r="BV194" i="3"/>
  <c r="BT195" i="3"/>
  <c r="BT194" i="3"/>
  <c r="AW195" i="3"/>
  <c r="AW194" i="3"/>
  <c r="AU195" i="3"/>
  <c r="AU194" i="3"/>
  <c r="AS195" i="3"/>
  <c r="AS194" i="3"/>
  <c r="AQ195" i="3"/>
  <c r="AQ194" i="3"/>
  <c r="AO195" i="3"/>
  <c r="AO194" i="3"/>
  <c r="AM195" i="3"/>
  <c r="AM194" i="3"/>
  <c r="AK195" i="3"/>
  <c r="AK194" i="3"/>
  <c r="AI195" i="3"/>
  <c r="AI194" i="3"/>
  <c r="AG195" i="3"/>
  <c r="AG194" i="3"/>
  <c r="AE195" i="3"/>
  <c r="AE194" i="3"/>
  <c r="AC195" i="3"/>
  <c r="AC194" i="3"/>
  <c r="AA195" i="3"/>
  <c r="AA194" i="3"/>
  <c r="Y195" i="3"/>
  <c r="Y194" i="3"/>
  <c r="W195" i="3"/>
  <c r="W194" i="3"/>
  <c r="U195" i="3"/>
  <c r="U194" i="3"/>
  <c r="S195" i="3"/>
  <c r="S194" i="3"/>
  <c r="Q195" i="3"/>
  <c r="Q194" i="3"/>
  <c r="O195" i="3"/>
  <c r="O194" i="3"/>
  <c r="M195" i="3"/>
  <c r="M194" i="3"/>
  <c r="K195" i="3"/>
  <c r="K194" i="3"/>
  <c r="I195" i="3"/>
  <c r="I194" i="3"/>
  <c r="G195" i="3"/>
  <c r="G194" i="3"/>
  <c r="E195" i="3"/>
  <c r="E194" i="3"/>
  <c r="C195" i="3"/>
  <c r="C194" i="3"/>
  <c r="CM195" i="3"/>
  <c r="CL195" i="3"/>
  <c r="CM194" i="3"/>
  <c r="CL194" i="3"/>
  <c r="BV190" i="3"/>
  <c r="BU190" i="3"/>
  <c r="BT190" i="3"/>
  <c r="BS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BZ187" i="3"/>
  <c r="BY187" i="3"/>
  <c r="BX187" i="3"/>
  <c r="BW187" i="3"/>
  <c r="BV187" i="3"/>
  <c r="BU187" i="3"/>
  <c r="BT187" i="3"/>
  <c r="BS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CK182" i="3"/>
  <c r="CI182" i="3"/>
  <c r="CG182" i="3"/>
  <c r="CE182" i="3"/>
  <c r="CC182" i="3"/>
  <c r="CA182" i="3"/>
  <c r="BY183" i="3"/>
  <c r="BY182" i="3"/>
  <c r="BY181" i="3"/>
  <c r="BW183" i="3"/>
  <c r="BW182" i="3"/>
  <c r="BW181" i="3"/>
  <c r="BU183" i="3"/>
  <c r="BU182" i="3"/>
  <c r="BU181" i="3"/>
  <c r="BS183" i="3"/>
  <c r="BS182" i="3"/>
  <c r="BS181" i="3"/>
  <c r="AV182" i="3"/>
  <c r="AT182" i="3"/>
  <c r="AR182" i="3"/>
  <c r="AP182" i="3"/>
  <c r="AN182" i="3"/>
  <c r="AL183" i="3"/>
  <c r="AL182" i="3"/>
  <c r="AL181" i="3"/>
  <c r="AJ183" i="3"/>
  <c r="AJ182" i="3"/>
  <c r="AJ181" i="3"/>
  <c r="AH183" i="3"/>
  <c r="AH182" i="3"/>
  <c r="AH181" i="3"/>
  <c r="AF183" i="3"/>
  <c r="AF182" i="3"/>
  <c r="AF181" i="3"/>
  <c r="AD183" i="3"/>
  <c r="AD182" i="3"/>
  <c r="AD181" i="3"/>
  <c r="AB183" i="3"/>
  <c r="AB182" i="3"/>
  <c r="AB181" i="3"/>
  <c r="Z183" i="3"/>
  <c r="Z182" i="3"/>
  <c r="Z181" i="3"/>
  <c r="X183" i="3"/>
  <c r="X182" i="3"/>
  <c r="X181" i="3"/>
  <c r="V183" i="3"/>
  <c r="V182" i="3"/>
  <c r="V181" i="3"/>
  <c r="T183" i="3"/>
  <c r="T182" i="3"/>
  <c r="T181" i="3"/>
  <c r="R183" i="3"/>
  <c r="R182" i="3"/>
  <c r="R181" i="3"/>
  <c r="P183" i="3"/>
  <c r="P182" i="3"/>
  <c r="P181" i="3"/>
  <c r="N183" i="3"/>
  <c r="N182" i="3"/>
  <c r="N181" i="3"/>
  <c r="L183" i="3"/>
  <c r="L182" i="3"/>
  <c r="L181" i="3"/>
  <c r="J183" i="3"/>
  <c r="J182" i="3"/>
  <c r="J181" i="3"/>
  <c r="H183" i="3"/>
  <c r="H182" i="3"/>
  <c r="H181" i="3"/>
  <c r="F183" i="3"/>
  <c r="F182" i="3"/>
  <c r="F181" i="3"/>
  <c r="D183" i="3"/>
  <c r="D182" i="3"/>
  <c r="D181" i="3"/>
  <c r="B183" i="3"/>
  <c r="B182" i="3"/>
  <c r="B181" i="3"/>
  <c r="CJ182" i="3"/>
  <c r="CH182" i="3"/>
  <c r="CF182" i="3"/>
  <c r="CD182" i="3"/>
  <c r="CB182" i="3"/>
  <c r="BZ183" i="3"/>
  <c r="BZ182" i="3"/>
  <c r="BZ181" i="3"/>
  <c r="BX183" i="3"/>
  <c r="BX182" i="3"/>
  <c r="BX181" i="3"/>
  <c r="BV183" i="3"/>
  <c r="BV182" i="3"/>
  <c r="BV181" i="3"/>
  <c r="BT183" i="3"/>
  <c r="BT182" i="3"/>
  <c r="BT181" i="3"/>
  <c r="AW182" i="3"/>
  <c r="AU182" i="3"/>
  <c r="AS182" i="3"/>
  <c r="AQ182" i="3"/>
  <c r="AO182" i="3"/>
  <c r="AM183" i="3"/>
  <c r="AM182" i="3"/>
  <c r="AM181" i="3"/>
  <c r="AK183" i="3"/>
  <c r="AK182" i="3"/>
  <c r="AK181" i="3"/>
  <c r="AI183" i="3"/>
  <c r="AI182" i="3"/>
  <c r="AI181" i="3"/>
  <c r="AG183" i="3"/>
  <c r="AG182" i="3"/>
  <c r="AG181" i="3"/>
  <c r="AE183" i="3"/>
  <c r="AE182" i="3"/>
  <c r="AE181" i="3"/>
  <c r="AC183" i="3"/>
  <c r="AC182" i="3"/>
  <c r="AC181" i="3"/>
  <c r="AA183" i="3"/>
  <c r="AA182" i="3"/>
  <c r="AA181" i="3"/>
  <c r="Y183" i="3"/>
  <c r="Y182" i="3"/>
  <c r="Y181" i="3"/>
  <c r="W183" i="3"/>
  <c r="W182" i="3"/>
  <c r="W181" i="3"/>
  <c r="U183" i="3"/>
  <c r="U182" i="3"/>
  <c r="U181" i="3"/>
  <c r="S183" i="3"/>
  <c r="S182" i="3"/>
  <c r="S181" i="3"/>
  <c r="Q183" i="3"/>
  <c r="Q182" i="3"/>
  <c r="Q181" i="3"/>
  <c r="O183" i="3"/>
  <c r="O182" i="3"/>
  <c r="O181" i="3"/>
  <c r="M183" i="3"/>
  <c r="M182" i="3"/>
  <c r="M181" i="3"/>
  <c r="K183" i="3"/>
  <c r="K182" i="3"/>
  <c r="K181" i="3"/>
  <c r="I183" i="3"/>
  <c r="I182" i="3"/>
  <c r="I181" i="3"/>
  <c r="G183" i="3"/>
  <c r="G182" i="3"/>
  <c r="G181" i="3"/>
  <c r="E183" i="3"/>
  <c r="E182" i="3"/>
  <c r="E181" i="3"/>
  <c r="C183" i="3"/>
  <c r="C182" i="3"/>
  <c r="C181" i="3"/>
  <c r="CM182" i="3"/>
  <c r="CL182" i="3"/>
  <c r="BZ179" i="3"/>
  <c r="BY179" i="3"/>
  <c r="BX179" i="3"/>
  <c r="BW179" i="3"/>
  <c r="BV179" i="3"/>
  <c r="BU179" i="3"/>
  <c r="BT179" i="3"/>
  <c r="BS179" i="3"/>
  <c r="BZ178" i="3"/>
  <c r="BY178" i="3"/>
  <c r="BX178" i="3"/>
  <c r="BW178" i="3"/>
  <c r="BV178" i="3"/>
  <c r="BU178" i="3"/>
  <c r="BT178" i="3"/>
  <c r="BS178" i="3"/>
  <c r="BZ177" i="3"/>
  <c r="BY177" i="3"/>
  <c r="BX177" i="3"/>
  <c r="BW177" i="3"/>
  <c r="BV177" i="3"/>
  <c r="BU177" i="3"/>
  <c r="BT177" i="3"/>
  <c r="BS177" i="3"/>
  <c r="BZ176" i="3"/>
  <c r="BY176" i="3"/>
  <c r="BX176" i="3"/>
  <c r="BW176" i="3"/>
  <c r="BV176" i="3"/>
  <c r="BU176" i="3"/>
  <c r="BT176" i="3"/>
  <c r="BS176" i="3"/>
  <c r="BZ175" i="3"/>
  <c r="BY175" i="3"/>
  <c r="BX175" i="3"/>
  <c r="BW175" i="3"/>
  <c r="BV175" i="3"/>
  <c r="BU175" i="3"/>
  <c r="BT175" i="3"/>
  <c r="BS175" i="3"/>
  <c r="AM179" i="3"/>
  <c r="AL179" i="3"/>
  <c r="AK179" i="3"/>
  <c r="AJ179" i="3"/>
  <c r="AI179" i="3"/>
  <c r="AH179" i="3"/>
  <c r="AG179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M177" i="3"/>
  <c r="AL177" i="3"/>
  <c r="AK177" i="3"/>
  <c r="AJ177" i="3"/>
  <c r="AI177" i="3"/>
  <c r="AH177" i="3"/>
  <c r="AG177" i="3"/>
  <c r="AF177" i="3"/>
  <c r="AE177" i="3"/>
  <c r="AD177" i="3"/>
  <c r="AC177" i="3"/>
  <c r="AB177" i="3"/>
  <c r="AA177" i="3"/>
  <c r="Z177" i="3"/>
  <c r="Y177" i="3"/>
  <c r="X177" i="3"/>
  <c r="W177" i="3"/>
  <c r="V177" i="3"/>
  <c r="U177" i="3"/>
  <c r="T177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M176" i="3"/>
  <c r="AL176" i="3"/>
  <c r="AK176" i="3"/>
  <c r="AJ176" i="3"/>
  <c r="AI176" i="3"/>
  <c r="AH176" i="3"/>
  <c r="AG176" i="3"/>
  <c r="AF176" i="3"/>
  <c r="AE176" i="3"/>
  <c r="AD176" i="3"/>
  <c r="AC176" i="3"/>
  <c r="AB176" i="3"/>
  <c r="AA176" i="3"/>
  <c r="Z176" i="3"/>
  <c r="Y176" i="3"/>
  <c r="X176" i="3"/>
  <c r="W176" i="3"/>
  <c r="V176" i="3"/>
  <c r="U176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BZ172" i="3"/>
  <c r="BY172" i="3"/>
  <c r="BX172" i="3"/>
  <c r="BW172" i="3"/>
  <c r="BV172" i="3"/>
  <c r="BU172" i="3"/>
  <c r="BT172" i="3"/>
  <c r="BS172" i="3"/>
  <c r="BZ171" i="3"/>
  <c r="BY171" i="3"/>
  <c r="BX171" i="3"/>
  <c r="BW171" i="3"/>
  <c r="BV171" i="3"/>
  <c r="BU171" i="3"/>
  <c r="BT171" i="3"/>
  <c r="BS171" i="3"/>
  <c r="BZ170" i="3"/>
  <c r="BY170" i="3"/>
  <c r="BX170" i="3"/>
  <c r="BW170" i="3"/>
  <c r="BV170" i="3"/>
  <c r="BU170" i="3"/>
  <c r="BT170" i="3"/>
  <c r="BS170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CM167" i="3"/>
  <c r="CL167" i="3"/>
  <c r="CK167" i="3"/>
  <c r="CJ167" i="3"/>
  <c r="CI167" i="3"/>
  <c r="CH167" i="3"/>
  <c r="CG167" i="3"/>
  <c r="CF167" i="3"/>
  <c r="CE167" i="3"/>
  <c r="CD167" i="3"/>
  <c r="CC167" i="3"/>
  <c r="CB167" i="3"/>
  <c r="CA167" i="3"/>
  <c r="BZ167" i="3"/>
  <c r="BY167" i="3"/>
  <c r="BX167" i="3"/>
  <c r="BW167" i="3"/>
  <c r="BV167" i="3"/>
  <c r="BU167" i="3"/>
  <c r="BT167" i="3"/>
  <c r="BS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CJ166" i="3"/>
  <c r="CJ165" i="3"/>
  <c r="CH166" i="3"/>
  <c r="CH165" i="3"/>
  <c r="CF166" i="3"/>
  <c r="CF165" i="3"/>
  <c r="CD166" i="3"/>
  <c r="CD165" i="3"/>
  <c r="CB166" i="3"/>
  <c r="CB165" i="3"/>
  <c r="BZ166" i="3"/>
  <c r="BZ165" i="3"/>
  <c r="BX166" i="3"/>
  <c r="BX165" i="3"/>
  <c r="BV166" i="3"/>
  <c r="BV165" i="3"/>
  <c r="BT166" i="3"/>
  <c r="BT165" i="3"/>
  <c r="AW166" i="3"/>
  <c r="AW165" i="3"/>
  <c r="AU166" i="3"/>
  <c r="AU165" i="3"/>
  <c r="AS166" i="3"/>
  <c r="AS165" i="3"/>
  <c r="AQ166" i="3"/>
  <c r="AQ165" i="3"/>
  <c r="AO166" i="3"/>
  <c r="AO165" i="3"/>
  <c r="AM166" i="3"/>
  <c r="AM165" i="3"/>
  <c r="AK166" i="3"/>
  <c r="AK165" i="3"/>
  <c r="AI166" i="3"/>
  <c r="AI165" i="3"/>
  <c r="AG166" i="3"/>
  <c r="AG165" i="3"/>
  <c r="AE166" i="3"/>
  <c r="AE165" i="3"/>
  <c r="AC166" i="3"/>
  <c r="AC165" i="3"/>
  <c r="AA166" i="3"/>
  <c r="AA165" i="3"/>
  <c r="Y166" i="3"/>
  <c r="Y165" i="3"/>
  <c r="W166" i="3"/>
  <c r="W165" i="3"/>
  <c r="U166" i="3"/>
  <c r="U165" i="3"/>
  <c r="S166" i="3"/>
  <c r="S165" i="3"/>
  <c r="Q166" i="3"/>
  <c r="Q165" i="3"/>
  <c r="O166" i="3"/>
  <c r="O165" i="3"/>
  <c r="M166" i="3"/>
  <c r="M165" i="3"/>
  <c r="K166" i="3"/>
  <c r="K165" i="3"/>
  <c r="I166" i="3"/>
  <c r="I165" i="3"/>
  <c r="G166" i="3"/>
  <c r="G165" i="3"/>
  <c r="E166" i="3"/>
  <c r="E165" i="3"/>
  <c r="C166" i="3"/>
  <c r="C165" i="3"/>
  <c r="CM166" i="3"/>
  <c r="CL166" i="3"/>
  <c r="CM165" i="3"/>
  <c r="CL165" i="3"/>
  <c r="BV161" i="3"/>
  <c r="BU161" i="3"/>
  <c r="BT161" i="3"/>
  <c r="BS161" i="3"/>
  <c r="BX160" i="3"/>
  <c r="BW160" i="3"/>
  <c r="BV160" i="3"/>
  <c r="BU160" i="3"/>
  <c r="BT160" i="3"/>
  <c r="BS160" i="3"/>
  <c r="BW159" i="3"/>
  <c r="BV159" i="3"/>
  <c r="BU159" i="3"/>
  <c r="BT159" i="3"/>
  <c r="BS159" i="3"/>
  <c r="BX158" i="3"/>
  <c r="BW158" i="3"/>
  <c r="BV158" i="3"/>
  <c r="BU158" i="3"/>
  <c r="BT158" i="3"/>
  <c r="BS158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BW155" i="3"/>
  <c r="BV155" i="3"/>
  <c r="BU155" i="3"/>
  <c r="BT155" i="3"/>
  <c r="BS155" i="3"/>
  <c r="BX154" i="3"/>
  <c r="BW154" i="3"/>
  <c r="BV154" i="3"/>
  <c r="BU154" i="3"/>
  <c r="BT154" i="3"/>
  <c r="BS154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BZ151" i="3"/>
  <c r="BY151" i="3"/>
  <c r="BX151" i="3"/>
  <c r="BW151" i="3"/>
  <c r="BV151" i="3"/>
  <c r="BU151" i="3"/>
  <c r="BT151" i="3"/>
  <c r="BS151" i="3"/>
  <c r="BZ150" i="3"/>
  <c r="BY150" i="3"/>
  <c r="BX150" i="3"/>
  <c r="BW150" i="3"/>
  <c r="BV150" i="3"/>
  <c r="BU150" i="3"/>
  <c r="BT150" i="3"/>
  <c r="BS150" i="3"/>
  <c r="BZ149" i="3"/>
  <c r="BY149" i="3"/>
  <c r="BX149" i="3"/>
  <c r="BW149" i="3"/>
  <c r="BV149" i="3"/>
  <c r="BU149" i="3"/>
  <c r="BT149" i="3"/>
  <c r="BS149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BX146" i="3"/>
  <c r="BW146" i="3"/>
  <c r="BV146" i="3"/>
  <c r="BU146" i="3"/>
  <c r="BT146" i="3"/>
  <c r="BS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BZ144" i="3"/>
  <c r="BY144" i="3"/>
  <c r="BX144" i="3"/>
  <c r="BW144" i="3"/>
  <c r="BV144" i="3"/>
  <c r="BU144" i="3"/>
  <c r="BT144" i="3"/>
  <c r="BS144" i="3"/>
  <c r="CM143" i="3"/>
  <c r="CL143" i="3"/>
  <c r="CK143" i="3"/>
  <c r="CJ143" i="3"/>
  <c r="CI143" i="3"/>
  <c r="CH143" i="3"/>
  <c r="CG143" i="3"/>
  <c r="CF143" i="3"/>
  <c r="CE143" i="3"/>
  <c r="CD143" i="3"/>
  <c r="CC143" i="3"/>
  <c r="CB143" i="3"/>
  <c r="CA143" i="3"/>
  <c r="BZ143" i="3"/>
  <c r="BY143" i="3"/>
  <c r="BX143" i="3"/>
  <c r="BW143" i="3"/>
  <c r="BV143" i="3"/>
  <c r="BU143" i="3"/>
  <c r="BT143" i="3"/>
  <c r="BS143" i="3"/>
  <c r="BZ142" i="3"/>
  <c r="BY142" i="3"/>
  <c r="BX142" i="3"/>
  <c r="BW142" i="3"/>
  <c r="BV142" i="3"/>
  <c r="BU142" i="3"/>
  <c r="BT142" i="3"/>
  <c r="BS142" i="3"/>
  <c r="BZ141" i="3"/>
  <c r="BY141" i="3"/>
  <c r="BX141" i="3"/>
  <c r="BW141" i="3"/>
  <c r="BV141" i="3"/>
  <c r="BU141" i="3"/>
  <c r="BT141" i="3"/>
  <c r="BS141" i="3"/>
  <c r="CM140" i="3"/>
  <c r="CL140" i="3"/>
  <c r="CK140" i="3"/>
  <c r="CJ140" i="3"/>
  <c r="CI140" i="3"/>
  <c r="CH140" i="3"/>
  <c r="CG140" i="3"/>
  <c r="CF140" i="3"/>
  <c r="CE140" i="3"/>
  <c r="CD140" i="3"/>
  <c r="CC140" i="3"/>
  <c r="CB140" i="3"/>
  <c r="CA140" i="3"/>
  <c r="BZ140" i="3"/>
  <c r="BY140" i="3"/>
  <c r="BX140" i="3"/>
  <c r="BW140" i="3"/>
  <c r="BV140" i="3"/>
  <c r="BU140" i="3"/>
  <c r="BT140" i="3"/>
  <c r="BS140" i="3"/>
  <c r="CB139" i="3"/>
  <c r="CA139" i="3"/>
  <c r="BZ139" i="3"/>
  <c r="BY139" i="3"/>
  <c r="BX139" i="3"/>
  <c r="BW139" i="3"/>
  <c r="BV139" i="3"/>
  <c r="BU139" i="3"/>
  <c r="BT139" i="3"/>
  <c r="BS139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CJ135" i="3"/>
  <c r="CJ134" i="3"/>
  <c r="CH135" i="3"/>
  <c r="CH134" i="3"/>
  <c r="CF135" i="3"/>
  <c r="CF134" i="3"/>
  <c r="CD135" i="3"/>
  <c r="CD134" i="3"/>
  <c r="CB135" i="3"/>
  <c r="CB134" i="3"/>
  <c r="BZ135" i="3"/>
  <c r="BZ134" i="3"/>
  <c r="BX135" i="3"/>
  <c r="BX134" i="3"/>
  <c r="BV135" i="3"/>
  <c r="BV134" i="3"/>
  <c r="BT135" i="3"/>
  <c r="BT134" i="3"/>
  <c r="AW135" i="3"/>
  <c r="AW134" i="3"/>
  <c r="AU135" i="3"/>
  <c r="AU134" i="3"/>
  <c r="AS135" i="3"/>
  <c r="AS134" i="3"/>
  <c r="AQ135" i="3"/>
  <c r="AQ134" i="3"/>
  <c r="AO135" i="3"/>
  <c r="AO134" i="3"/>
  <c r="AM135" i="3"/>
  <c r="AM134" i="3"/>
  <c r="AK135" i="3"/>
  <c r="AK134" i="3"/>
  <c r="AI135" i="3"/>
  <c r="AI134" i="3"/>
  <c r="AG135" i="3"/>
  <c r="AG134" i="3"/>
  <c r="AE135" i="3"/>
  <c r="AE134" i="3"/>
  <c r="AC135" i="3"/>
  <c r="AC134" i="3"/>
  <c r="AA135" i="3"/>
  <c r="AA134" i="3"/>
  <c r="Y135" i="3"/>
  <c r="Y134" i="3"/>
  <c r="W135" i="3"/>
  <c r="W134" i="3"/>
  <c r="U135" i="3"/>
  <c r="U134" i="3"/>
  <c r="S135" i="3"/>
  <c r="S134" i="3"/>
  <c r="Q135" i="3"/>
  <c r="Q134" i="3"/>
  <c r="O135" i="3"/>
  <c r="O134" i="3"/>
  <c r="M135" i="3"/>
  <c r="M134" i="3"/>
  <c r="K135" i="3"/>
  <c r="K134" i="3"/>
  <c r="I135" i="3"/>
  <c r="I134" i="3"/>
  <c r="G135" i="3"/>
  <c r="G134" i="3"/>
  <c r="E135" i="3"/>
  <c r="E134" i="3"/>
  <c r="C135" i="3"/>
  <c r="C134" i="3"/>
  <c r="CM135" i="3"/>
  <c r="CL135" i="3"/>
  <c r="CM134" i="3"/>
  <c r="CL134" i="3"/>
  <c r="BV130" i="3"/>
  <c r="BU130" i="3"/>
  <c r="BT130" i="3"/>
  <c r="BS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BZ127" i="3"/>
  <c r="BY127" i="3"/>
  <c r="BX127" i="3"/>
  <c r="BW127" i="3"/>
  <c r="BV127" i="3"/>
  <c r="BU127" i="3"/>
  <c r="BT127" i="3"/>
  <c r="BS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CK122" i="3"/>
  <c r="CI122" i="3"/>
  <c r="CG122" i="3"/>
  <c r="CE122" i="3"/>
  <c r="CC122" i="3"/>
  <c r="CA122" i="3"/>
  <c r="BY123" i="3"/>
  <c r="BY122" i="3"/>
  <c r="BY121" i="3"/>
  <c r="BW123" i="3"/>
  <c r="BW122" i="3"/>
  <c r="BW121" i="3"/>
  <c r="BU123" i="3"/>
  <c r="BU122" i="3"/>
  <c r="BU121" i="3"/>
  <c r="BS123" i="3"/>
  <c r="BS122" i="3"/>
  <c r="BS121" i="3"/>
  <c r="AV122" i="3"/>
  <c r="AT122" i="3"/>
  <c r="AR122" i="3"/>
  <c r="AP122" i="3"/>
  <c r="AN122" i="3"/>
  <c r="AL123" i="3"/>
  <c r="AL122" i="3"/>
  <c r="AL121" i="3"/>
  <c r="AJ123" i="3"/>
  <c r="AJ122" i="3"/>
  <c r="AJ121" i="3"/>
  <c r="AH123" i="3"/>
  <c r="AH122" i="3"/>
  <c r="AH121" i="3"/>
  <c r="AF123" i="3"/>
  <c r="AF122" i="3"/>
  <c r="AF121" i="3"/>
  <c r="AD123" i="3"/>
  <c r="AD122" i="3"/>
  <c r="AD121" i="3"/>
  <c r="AB123" i="3"/>
  <c r="AB122" i="3"/>
  <c r="AB121" i="3"/>
  <c r="Z123" i="3"/>
  <c r="Z122" i="3"/>
  <c r="Z121" i="3"/>
  <c r="X123" i="3"/>
  <c r="X122" i="3"/>
  <c r="X121" i="3"/>
  <c r="V123" i="3"/>
  <c r="V122" i="3"/>
  <c r="V121" i="3"/>
  <c r="T123" i="3"/>
  <c r="T122" i="3"/>
  <c r="T121" i="3"/>
  <c r="R123" i="3"/>
  <c r="R122" i="3"/>
  <c r="R121" i="3"/>
  <c r="P123" i="3"/>
  <c r="P122" i="3"/>
  <c r="P121" i="3"/>
  <c r="N123" i="3"/>
  <c r="N122" i="3"/>
  <c r="N121" i="3"/>
  <c r="L123" i="3"/>
  <c r="L122" i="3"/>
  <c r="L121" i="3"/>
  <c r="J123" i="3"/>
  <c r="J122" i="3"/>
  <c r="J121" i="3"/>
  <c r="H123" i="3"/>
  <c r="H122" i="3"/>
  <c r="H121" i="3"/>
  <c r="F123" i="3"/>
  <c r="F122" i="3"/>
  <c r="F121" i="3"/>
  <c r="D123" i="3"/>
  <c r="D122" i="3"/>
  <c r="D121" i="3"/>
  <c r="B123" i="3"/>
  <c r="B122" i="3"/>
  <c r="B121" i="3"/>
  <c r="CJ122" i="3"/>
  <c r="CH122" i="3"/>
  <c r="CF122" i="3"/>
  <c r="CD122" i="3"/>
  <c r="CB122" i="3"/>
  <c r="BZ123" i="3"/>
  <c r="BZ122" i="3"/>
  <c r="BZ121" i="3"/>
  <c r="BX123" i="3"/>
  <c r="BX122" i="3"/>
  <c r="BX121" i="3"/>
  <c r="BV123" i="3"/>
  <c r="BV122" i="3"/>
  <c r="BV121" i="3"/>
  <c r="BT123" i="3"/>
  <c r="BT122" i="3"/>
  <c r="BT121" i="3"/>
  <c r="AW122" i="3"/>
  <c r="AU122" i="3"/>
  <c r="AS122" i="3"/>
  <c r="AQ122" i="3"/>
  <c r="AO122" i="3"/>
  <c r="AM123" i="3"/>
  <c r="AM122" i="3"/>
  <c r="AM121" i="3"/>
  <c r="AK123" i="3"/>
  <c r="AK122" i="3"/>
  <c r="AK121" i="3"/>
  <c r="AI123" i="3"/>
  <c r="AI122" i="3"/>
  <c r="AI121" i="3"/>
  <c r="AG123" i="3"/>
  <c r="AG122" i="3"/>
  <c r="AG121" i="3"/>
  <c r="AE123" i="3"/>
  <c r="AE122" i="3"/>
  <c r="AE121" i="3"/>
  <c r="AC123" i="3"/>
  <c r="AC122" i="3"/>
  <c r="AC121" i="3"/>
  <c r="AA123" i="3"/>
  <c r="AA122" i="3"/>
  <c r="AA121" i="3"/>
  <c r="Y123" i="3"/>
  <c r="Y122" i="3"/>
  <c r="Y121" i="3"/>
  <c r="W123" i="3"/>
  <c r="W122" i="3"/>
  <c r="W121" i="3"/>
  <c r="U123" i="3"/>
  <c r="U122" i="3"/>
  <c r="U121" i="3"/>
  <c r="S123" i="3"/>
  <c r="S122" i="3"/>
  <c r="S121" i="3"/>
  <c r="Q123" i="3"/>
  <c r="Q122" i="3"/>
  <c r="Q121" i="3"/>
  <c r="O123" i="3"/>
  <c r="O122" i="3"/>
  <c r="O121" i="3"/>
  <c r="M123" i="3"/>
  <c r="M122" i="3"/>
  <c r="M121" i="3"/>
  <c r="K123" i="3"/>
  <c r="K122" i="3"/>
  <c r="K121" i="3"/>
  <c r="I123" i="3"/>
  <c r="I122" i="3"/>
  <c r="I121" i="3"/>
  <c r="G123" i="3"/>
  <c r="G122" i="3"/>
  <c r="G121" i="3"/>
  <c r="E123" i="3"/>
  <c r="E122" i="3"/>
  <c r="E121" i="3"/>
  <c r="C123" i="3"/>
  <c r="C122" i="3"/>
  <c r="C121" i="3"/>
  <c r="CM122" i="3"/>
  <c r="CL122" i="3"/>
  <c r="BZ119" i="3"/>
  <c r="BY119" i="3"/>
  <c r="BX119" i="3"/>
  <c r="BW119" i="3"/>
  <c r="BV119" i="3"/>
  <c r="BU119" i="3"/>
  <c r="BT119" i="3"/>
  <c r="BS119" i="3"/>
  <c r="BZ118" i="3"/>
  <c r="BY118" i="3"/>
  <c r="BX118" i="3"/>
  <c r="BW118" i="3"/>
  <c r="BV118" i="3"/>
  <c r="BU118" i="3"/>
  <c r="BT118" i="3"/>
  <c r="BS118" i="3"/>
  <c r="BZ117" i="3"/>
  <c r="BY117" i="3"/>
  <c r="BX117" i="3"/>
  <c r="BW117" i="3"/>
  <c r="BV117" i="3"/>
  <c r="BU117" i="3"/>
  <c r="BT117" i="3"/>
  <c r="BS117" i="3"/>
  <c r="BZ116" i="3"/>
  <c r="BY116" i="3"/>
  <c r="BX116" i="3"/>
  <c r="BW116" i="3"/>
  <c r="BV116" i="3"/>
  <c r="BU116" i="3"/>
  <c r="BT116" i="3"/>
  <c r="BS116" i="3"/>
  <c r="BZ115" i="3"/>
  <c r="BY115" i="3"/>
  <c r="BX115" i="3"/>
  <c r="BW115" i="3"/>
  <c r="BV115" i="3"/>
  <c r="BU115" i="3"/>
  <c r="BT115" i="3"/>
  <c r="BS115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BZ112" i="3"/>
  <c r="BY112" i="3"/>
  <c r="BX112" i="3"/>
  <c r="BW112" i="3"/>
  <c r="BV112" i="3"/>
  <c r="BU112" i="3"/>
  <c r="BT112" i="3"/>
  <c r="BS112" i="3"/>
  <c r="BZ111" i="3"/>
  <c r="BY111" i="3"/>
  <c r="BX111" i="3"/>
  <c r="BW111" i="3"/>
  <c r="BV111" i="3"/>
  <c r="BU111" i="3"/>
  <c r="BT111" i="3"/>
  <c r="BS111" i="3"/>
  <c r="BZ110" i="3"/>
  <c r="BY110" i="3"/>
  <c r="BX110" i="3"/>
  <c r="BW110" i="3"/>
  <c r="BV110" i="3"/>
  <c r="BU110" i="3"/>
  <c r="BT110" i="3"/>
  <c r="BS110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CM107" i="3"/>
  <c r="CL107" i="3"/>
  <c r="CK107" i="3"/>
  <c r="CJ107" i="3"/>
  <c r="CI107" i="3"/>
  <c r="CH107" i="3"/>
  <c r="CG107" i="3"/>
  <c r="CF107" i="3"/>
  <c r="CE107" i="3"/>
  <c r="CD107" i="3"/>
  <c r="CC107" i="3"/>
  <c r="CB107" i="3"/>
  <c r="CA107" i="3"/>
  <c r="BZ107" i="3"/>
  <c r="BY107" i="3"/>
  <c r="BX107" i="3"/>
  <c r="BW107" i="3"/>
  <c r="BV107" i="3"/>
  <c r="BU107" i="3"/>
  <c r="BT107" i="3"/>
  <c r="BS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CJ106" i="3"/>
  <c r="CJ105" i="3"/>
  <c r="CH106" i="3"/>
  <c r="CH105" i="3"/>
  <c r="CF106" i="3"/>
  <c r="CF105" i="3"/>
  <c r="CD106" i="3"/>
  <c r="CD105" i="3"/>
  <c r="CB106" i="3"/>
  <c r="CB105" i="3"/>
  <c r="BZ106" i="3"/>
  <c r="BZ105" i="3"/>
  <c r="BX106" i="3"/>
  <c r="BX105" i="3"/>
  <c r="BV106" i="3"/>
  <c r="BV105" i="3"/>
  <c r="BT106" i="3"/>
  <c r="BT105" i="3"/>
  <c r="AW106" i="3"/>
  <c r="AW105" i="3"/>
  <c r="AU106" i="3"/>
  <c r="AU105" i="3"/>
  <c r="AS106" i="3"/>
  <c r="AS105" i="3"/>
  <c r="AQ106" i="3"/>
  <c r="AQ105" i="3"/>
  <c r="AO106" i="3"/>
  <c r="AO105" i="3"/>
  <c r="AM106" i="3"/>
  <c r="AM105" i="3"/>
  <c r="AK106" i="3"/>
  <c r="AK105" i="3"/>
  <c r="AI106" i="3"/>
  <c r="AI105" i="3"/>
  <c r="AG106" i="3"/>
  <c r="AG105" i="3"/>
  <c r="AE106" i="3"/>
  <c r="AE105" i="3"/>
  <c r="AC106" i="3"/>
  <c r="AC105" i="3"/>
  <c r="AA106" i="3"/>
  <c r="AA105" i="3"/>
  <c r="Y106" i="3"/>
  <c r="Y105" i="3"/>
  <c r="W106" i="3"/>
  <c r="W105" i="3"/>
  <c r="U106" i="3"/>
  <c r="U105" i="3"/>
  <c r="S106" i="3"/>
  <c r="S105" i="3"/>
  <c r="Q106" i="3"/>
  <c r="Q105" i="3"/>
  <c r="O106" i="3"/>
  <c r="O105" i="3"/>
  <c r="M106" i="3"/>
  <c r="M105" i="3"/>
  <c r="K106" i="3"/>
  <c r="K105" i="3"/>
  <c r="I106" i="3"/>
  <c r="I105" i="3"/>
  <c r="G106" i="3"/>
  <c r="G105" i="3"/>
  <c r="E106" i="3"/>
  <c r="E105" i="3"/>
  <c r="C106" i="3"/>
  <c r="C105" i="3"/>
  <c r="CM106" i="3"/>
  <c r="CL106" i="3"/>
  <c r="CM105" i="3"/>
  <c r="CL105" i="3"/>
  <c r="BZ98" i="3"/>
  <c r="BY98" i="3"/>
  <c r="BX98" i="3"/>
  <c r="BW98" i="3"/>
  <c r="BV98" i="3"/>
  <c r="BU98" i="3"/>
  <c r="BT98" i="3"/>
  <c r="BS98" i="3"/>
  <c r="BY97" i="3"/>
  <c r="BW97" i="3"/>
  <c r="BV97" i="3"/>
  <c r="BU97" i="3"/>
  <c r="BT97" i="3"/>
  <c r="BS97" i="3"/>
  <c r="BZ96" i="3"/>
  <c r="BY96" i="3"/>
  <c r="BX96" i="3"/>
  <c r="BW96" i="3"/>
  <c r="BV96" i="3"/>
  <c r="BU96" i="3"/>
  <c r="BT96" i="3"/>
  <c r="BS96" i="3"/>
  <c r="BZ95" i="3"/>
  <c r="BY95" i="3"/>
  <c r="BX95" i="3"/>
  <c r="BW95" i="3"/>
  <c r="BV95" i="3"/>
  <c r="BU95" i="3"/>
  <c r="BT95" i="3"/>
  <c r="BS95" i="3"/>
  <c r="BZ94" i="3"/>
  <c r="BY94" i="3"/>
  <c r="BX94" i="3"/>
  <c r="BW94" i="3"/>
  <c r="BV94" i="3"/>
  <c r="BU94" i="3"/>
  <c r="BT94" i="3"/>
  <c r="BS94" i="3"/>
  <c r="BZ93" i="3"/>
  <c r="BY93" i="3"/>
  <c r="BX93" i="3"/>
  <c r="BW93" i="3"/>
  <c r="BV93" i="3"/>
  <c r="BU93" i="3"/>
  <c r="BT93" i="3"/>
  <c r="BS93" i="3"/>
  <c r="BZ92" i="3"/>
  <c r="BY92" i="3"/>
  <c r="BX92" i="3"/>
  <c r="BW92" i="3"/>
  <c r="BV92" i="3"/>
  <c r="BU92" i="3"/>
  <c r="BT92" i="3"/>
  <c r="BS92" i="3"/>
  <c r="BZ91" i="3"/>
  <c r="BY91" i="3"/>
  <c r="BX91" i="3"/>
  <c r="BW91" i="3"/>
  <c r="BV91" i="3"/>
  <c r="BU91" i="3"/>
  <c r="BT91" i="3"/>
  <c r="BS91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98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96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95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94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A90" i="3"/>
  <c r="BZ88" i="3"/>
  <c r="BY88" i="3"/>
  <c r="BX88" i="3"/>
  <c r="BW88" i="3"/>
  <c r="BV88" i="3"/>
  <c r="BU88" i="3"/>
  <c r="BT88" i="3"/>
  <c r="BS88" i="3"/>
  <c r="BY87" i="3"/>
  <c r="BW87" i="3"/>
  <c r="BV87" i="3"/>
  <c r="BU87" i="3"/>
  <c r="BT87" i="3"/>
  <c r="BS87" i="3"/>
  <c r="BZ86" i="3"/>
  <c r="BY86" i="3"/>
  <c r="BX86" i="3"/>
  <c r="BW86" i="3"/>
  <c r="BV86" i="3"/>
  <c r="BU86" i="3"/>
  <c r="BT86" i="3"/>
  <c r="BS86" i="3"/>
  <c r="BZ85" i="3"/>
  <c r="BY85" i="3"/>
  <c r="BX85" i="3"/>
  <c r="BW85" i="3"/>
  <c r="BV85" i="3"/>
  <c r="BU85" i="3"/>
  <c r="BT85" i="3"/>
  <c r="BS85" i="3"/>
  <c r="BZ84" i="3"/>
  <c r="BY84" i="3"/>
  <c r="BX84" i="3"/>
  <c r="BW84" i="3"/>
  <c r="BV84" i="3"/>
  <c r="BU84" i="3"/>
  <c r="BT84" i="3"/>
  <c r="BS84" i="3"/>
  <c r="BZ83" i="3"/>
  <c r="BY83" i="3"/>
  <c r="BX83" i="3"/>
  <c r="BW83" i="3"/>
  <c r="BV83" i="3"/>
  <c r="BU83" i="3"/>
  <c r="BT83" i="3"/>
  <c r="BS83" i="3"/>
  <c r="BZ82" i="3"/>
  <c r="BY82" i="3"/>
  <c r="BX82" i="3"/>
  <c r="BW82" i="3"/>
  <c r="BV82" i="3"/>
  <c r="BU82" i="3"/>
  <c r="BT82" i="3"/>
  <c r="BS82" i="3"/>
  <c r="BZ81" i="3"/>
  <c r="BY81" i="3"/>
  <c r="BX81" i="3"/>
  <c r="BW81" i="3"/>
  <c r="BV81" i="3"/>
  <c r="BU81" i="3"/>
  <c r="BT81" i="3"/>
  <c r="BS81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87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A86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85" i="3"/>
  <c r="AM84" i="3"/>
  <c r="AL84" i="3"/>
  <c r="AK84" i="3"/>
  <c r="AJ84" i="3"/>
  <c r="AI84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AM83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A80" i="3"/>
  <c r="BY77" i="3"/>
  <c r="BY76" i="3"/>
  <c r="BY75" i="3"/>
  <c r="BY74" i="3"/>
  <c r="BY73" i="3"/>
  <c r="BY72" i="3"/>
  <c r="BY71" i="3"/>
  <c r="BY70" i="3"/>
  <c r="BY69" i="3"/>
  <c r="BY68" i="3"/>
  <c r="BY67" i="3"/>
  <c r="BW77" i="3"/>
  <c r="BW76" i="3"/>
  <c r="BW75" i="3"/>
  <c r="BW74" i="3"/>
  <c r="BW73" i="3"/>
  <c r="BW72" i="3"/>
  <c r="BW71" i="3"/>
  <c r="BW70" i="3"/>
  <c r="BW69" i="3"/>
  <c r="BW68" i="3"/>
  <c r="BW67" i="3"/>
  <c r="BU77" i="3"/>
  <c r="BU76" i="3"/>
  <c r="BU75" i="3"/>
  <c r="BU74" i="3"/>
  <c r="BU73" i="3"/>
  <c r="BU72" i="3"/>
  <c r="BU71" i="3"/>
  <c r="BU70" i="3"/>
  <c r="BU69" i="3"/>
  <c r="BU68" i="3"/>
  <c r="BU67" i="3"/>
  <c r="BS77" i="3"/>
  <c r="BS76" i="3"/>
  <c r="BS75" i="3"/>
  <c r="BS74" i="3"/>
  <c r="BS73" i="3"/>
  <c r="BS72" i="3"/>
  <c r="BS71" i="3"/>
  <c r="BS70" i="3"/>
  <c r="BS69" i="3"/>
  <c r="BS68" i="3"/>
  <c r="BS67" i="3"/>
  <c r="AL77" i="3"/>
  <c r="AL76" i="3"/>
  <c r="AL75" i="3"/>
  <c r="AL74" i="3"/>
  <c r="AL73" i="3"/>
  <c r="AL72" i="3"/>
  <c r="AL71" i="3"/>
  <c r="AL70" i="3"/>
  <c r="AL69" i="3"/>
  <c r="AL68" i="3"/>
  <c r="AL67" i="3"/>
  <c r="AJ77" i="3"/>
  <c r="AJ76" i="3"/>
  <c r="AJ75" i="3"/>
  <c r="AJ74" i="3"/>
  <c r="AJ73" i="3"/>
  <c r="AJ72" i="3"/>
  <c r="AJ71" i="3"/>
  <c r="AJ70" i="3"/>
  <c r="AJ69" i="3"/>
  <c r="AJ68" i="3"/>
  <c r="AJ67" i="3"/>
  <c r="AH77" i="3"/>
  <c r="AH76" i="3"/>
  <c r="AH75" i="3"/>
  <c r="AH74" i="3"/>
  <c r="AH73" i="3"/>
  <c r="AH72" i="3"/>
  <c r="AH71" i="3"/>
  <c r="AH70" i="3"/>
  <c r="AH69" i="3"/>
  <c r="AH68" i="3"/>
  <c r="AH67" i="3"/>
  <c r="AF77" i="3"/>
  <c r="AF76" i="3"/>
  <c r="AF75" i="3"/>
  <c r="AF74" i="3"/>
  <c r="AF73" i="3"/>
  <c r="AF72" i="3"/>
  <c r="AF71" i="3"/>
  <c r="AF70" i="3"/>
  <c r="AF69" i="3"/>
  <c r="AF68" i="3"/>
  <c r="AF67" i="3"/>
  <c r="AD77" i="3"/>
  <c r="AD76" i="3"/>
  <c r="AD75" i="3"/>
  <c r="AD74" i="3"/>
  <c r="AD73" i="3"/>
  <c r="AD72" i="3"/>
  <c r="AD71" i="3"/>
  <c r="AD70" i="3"/>
  <c r="AD69" i="3"/>
  <c r="AD68" i="3"/>
  <c r="AD67" i="3"/>
  <c r="AB77" i="3"/>
  <c r="AB76" i="3"/>
  <c r="AB75" i="3"/>
  <c r="AB74" i="3"/>
  <c r="AB73" i="3"/>
  <c r="AB72" i="3"/>
  <c r="AB71" i="3"/>
  <c r="AB70" i="3"/>
  <c r="AB69" i="3"/>
  <c r="AB68" i="3"/>
  <c r="AB67" i="3"/>
  <c r="Z77" i="3"/>
  <c r="Z76" i="3"/>
  <c r="Z75" i="3"/>
  <c r="Z74" i="3"/>
  <c r="Z73" i="3"/>
  <c r="Z72" i="3"/>
  <c r="Z71" i="3"/>
  <c r="Z70" i="3"/>
  <c r="Z69" i="3"/>
  <c r="Z68" i="3"/>
  <c r="Z67" i="3"/>
  <c r="X77" i="3"/>
  <c r="X76" i="3"/>
  <c r="X75" i="3"/>
  <c r="X74" i="3"/>
  <c r="X73" i="3"/>
  <c r="X72" i="3"/>
  <c r="X71" i="3"/>
  <c r="X70" i="3"/>
  <c r="X69" i="3"/>
  <c r="X68" i="3"/>
  <c r="X67" i="3"/>
  <c r="V77" i="3"/>
  <c r="V76" i="3"/>
  <c r="V75" i="3"/>
  <c r="V74" i="3"/>
  <c r="V73" i="3"/>
  <c r="V72" i="3"/>
  <c r="V71" i="3"/>
  <c r="V70" i="3"/>
  <c r="V69" i="3"/>
  <c r="V68" i="3"/>
  <c r="V67" i="3"/>
  <c r="T77" i="3"/>
  <c r="T76" i="3"/>
  <c r="T75" i="3"/>
  <c r="T74" i="3"/>
  <c r="T73" i="3"/>
  <c r="T72" i="3"/>
  <c r="T71" i="3"/>
  <c r="T70" i="3"/>
  <c r="T69" i="3"/>
  <c r="T68" i="3"/>
  <c r="T67" i="3"/>
  <c r="R77" i="3"/>
  <c r="R76" i="3"/>
  <c r="R75" i="3"/>
  <c r="R74" i="3"/>
  <c r="R73" i="3"/>
  <c r="R72" i="3"/>
  <c r="R71" i="3"/>
  <c r="R70" i="3"/>
  <c r="R69" i="3"/>
  <c r="R68" i="3"/>
  <c r="R67" i="3"/>
  <c r="P77" i="3"/>
  <c r="P76" i="3"/>
  <c r="P75" i="3"/>
  <c r="P74" i="3"/>
  <c r="P73" i="3"/>
  <c r="P72" i="3"/>
  <c r="P71" i="3"/>
  <c r="P70" i="3"/>
  <c r="P69" i="3"/>
  <c r="P68" i="3"/>
  <c r="P67" i="3"/>
  <c r="N77" i="3"/>
  <c r="N76" i="3"/>
  <c r="N75" i="3"/>
  <c r="N74" i="3"/>
  <c r="N73" i="3"/>
  <c r="N72" i="3"/>
  <c r="N71" i="3"/>
  <c r="N70" i="3"/>
  <c r="N69" i="3"/>
  <c r="N68" i="3"/>
  <c r="N67" i="3"/>
  <c r="L77" i="3"/>
  <c r="L76" i="3"/>
  <c r="L75" i="3"/>
  <c r="L74" i="3"/>
  <c r="L73" i="3"/>
  <c r="L72" i="3"/>
  <c r="L71" i="3"/>
  <c r="L70" i="3"/>
  <c r="L69" i="3"/>
  <c r="L68" i="3"/>
  <c r="L67" i="3"/>
  <c r="J77" i="3"/>
  <c r="J76" i="3"/>
  <c r="J75" i="3"/>
  <c r="J74" i="3"/>
  <c r="J73" i="3"/>
  <c r="J72" i="3"/>
  <c r="J71" i="3"/>
  <c r="J70" i="3"/>
  <c r="J69" i="3"/>
  <c r="J68" i="3"/>
  <c r="J67" i="3"/>
  <c r="H77" i="3"/>
  <c r="H76" i="3"/>
  <c r="H75" i="3"/>
  <c r="H74" i="3"/>
  <c r="H73" i="3"/>
  <c r="H72" i="3"/>
  <c r="H71" i="3"/>
  <c r="H70" i="3"/>
  <c r="H69" i="3"/>
  <c r="H68" i="3"/>
  <c r="H67" i="3"/>
  <c r="F77" i="3"/>
  <c r="F76" i="3"/>
  <c r="F75" i="3"/>
  <c r="F74" i="3"/>
  <c r="F73" i="3"/>
  <c r="F72" i="3"/>
  <c r="F71" i="3"/>
  <c r="F70" i="3"/>
  <c r="F69" i="3"/>
  <c r="F68" i="3"/>
  <c r="F67" i="3"/>
  <c r="D77" i="3"/>
  <c r="D76" i="3"/>
  <c r="D75" i="3"/>
  <c r="D74" i="3"/>
  <c r="D73" i="3"/>
  <c r="D72" i="3"/>
  <c r="D71" i="3"/>
  <c r="D70" i="3"/>
  <c r="D69" i="3"/>
  <c r="D68" i="3"/>
  <c r="D67" i="3"/>
  <c r="B77" i="3"/>
  <c r="B76" i="3"/>
  <c r="B75" i="3"/>
  <c r="B74" i="3"/>
  <c r="B73" i="3"/>
  <c r="B72" i="3"/>
  <c r="B71" i="3"/>
  <c r="B70" i="3"/>
  <c r="B69" i="3"/>
  <c r="B68" i="3"/>
  <c r="B67" i="3"/>
  <c r="CJ70" i="3"/>
  <c r="CH70" i="3"/>
  <c r="CF70" i="3"/>
  <c r="CD70" i="3"/>
  <c r="CB70" i="3"/>
  <c r="BZ77" i="3"/>
  <c r="BZ76" i="3"/>
  <c r="BZ75" i="3"/>
  <c r="BZ74" i="3"/>
  <c r="BZ73" i="3"/>
  <c r="BZ72" i="3"/>
  <c r="BZ71" i="3"/>
  <c r="BZ70" i="3"/>
  <c r="BZ69" i="3"/>
  <c r="BZ68" i="3"/>
  <c r="BZ67" i="3"/>
  <c r="BX77" i="3"/>
  <c r="BX76" i="3"/>
  <c r="BX75" i="3"/>
  <c r="BX74" i="3"/>
  <c r="BX73" i="3"/>
  <c r="BX72" i="3"/>
  <c r="BX71" i="3"/>
  <c r="BX70" i="3"/>
  <c r="BX69" i="3"/>
  <c r="BX68" i="3"/>
  <c r="BX67" i="3"/>
  <c r="BV77" i="3"/>
  <c r="BV76" i="3"/>
  <c r="BV75" i="3"/>
  <c r="BV74" i="3"/>
  <c r="BV73" i="3"/>
  <c r="BV72" i="3"/>
  <c r="BV71" i="3"/>
  <c r="BV70" i="3"/>
  <c r="BV69" i="3"/>
  <c r="BV68" i="3"/>
  <c r="BV67" i="3"/>
  <c r="BT77" i="3"/>
  <c r="BT76" i="3"/>
  <c r="BT75" i="3"/>
  <c r="BT74" i="3"/>
  <c r="BT73" i="3"/>
  <c r="BT72" i="3"/>
  <c r="BT71" i="3"/>
  <c r="BT70" i="3"/>
  <c r="BT69" i="3"/>
  <c r="BT68" i="3"/>
  <c r="BT67" i="3"/>
  <c r="AM77" i="3"/>
  <c r="AM76" i="3"/>
  <c r="AM75" i="3"/>
  <c r="AM74" i="3"/>
  <c r="AM73" i="3"/>
  <c r="AM72" i="3"/>
  <c r="AM71" i="3"/>
  <c r="AM70" i="3"/>
  <c r="AM69" i="3"/>
  <c r="AM68" i="3"/>
  <c r="AM67" i="3"/>
  <c r="AK77" i="3"/>
  <c r="AK76" i="3"/>
  <c r="AK75" i="3"/>
  <c r="AK74" i="3"/>
  <c r="AK73" i="3"/>
  <c r="AK72" i="3"/>
  <c r="AK71" i="3"/>
  <c r="AK70" i="3"/>
  <c r="AK69" i="3"/>
  <c r="AK68" i="3"/>
  <c r="AK67" i="3"/>
  <c r="AI77" i="3"/>
  <c r="AI76" i="3"/>
  <c r="AI75" i="3"/>
  <c r="AI74" i="3"/>
  <c r="AI73" i="3"/>
  <c r="AI72" i="3"/>
  <c r="AI71" i="3"/>
  <c r="AI70" i="3"/>
  <c r="AI69" i="3"/>
  <c r="AI68" i="3"/>
  <c r="AI67" i="3"/>
  <c r="AG77" i="3"/>
  <c r="AG76" i="3"/>
  <c r="AG75" i="3"/>
  <c r="AG74" i="3"/>
  <c r="AG73" i="3"/>
  <c r="AG72" i="3"/>
  <c r="AG71" i="3"/>
  <c r="AG70" i="3"/>
  <c r="AG69" i="3"/>
  <c r="AG68" i="3"/>
  <c r="AG67" i="3"/>
  <c r="AE77" i="3"/>
  <c r="AE76" i="3"/>
  <c r="AE75" i="3"/>
  <c r="AE74" i="3"/>
  <c r="AE73" i="3"/>
  <c r="AE72" i="3"/>
  <c r="AE71" i="3"/>
  <c r="AE70" i="3"/>
  <c r="AE69" i="3"/>
  <c r="AE68" i="3"/>
  <c r="AE67" i="3"/>
  <c r="AC77" i="3"/>
  <c r="AC76" i="3"/>
  <c r="AC75" i="3"/>
  <c r="AC74" i="3"/>
  <c r="AC73" i="3"/>
  <c r="AC72" i="3"/>
  <c r="AC71" i="3"/>
  <c r="AC70" i="3"/>
  <c r="AC69" i="3"/>
  <c r="AC68" i="3"/>
  <c r="AC67" i="3"/>
  <c r="AA77" i="3"/>
  <c r="AA76" i="3"/>
  <c r="AA75" i="3"/>
  <c r="AA74" i="3"/>
  <c r="AA73" i="3"/>
  <c r="AA72" i="3"/>
  <c r="AA71" i="3"/>
  <c r="AA70" i="3"/>
  <c r="AA69" i="3"/>
  <c r="AA68" i="3"/>
  <c r="AA67" i="3"/>
  <c r="Y77" i="3"/>
  <c r="Y76" i="3"/>
  <c r="Y75" i="3"/>
  <c r="Y74" i="3"/>
  <c r="Y73" i="3"/>
  <c r="Y72" i="3"/>
  <c r="Y71" i="3"/>
  <c r="Y70" i="3"/>
  <c r="Y69" i="3"/>
  <c r="Y68" i="3"/>
  <c r="Y67" i="3"/>
  <c r="W77" i="3"/>
  <c r="W76" i="3"/>
  <c r="W75" i="3"/>
  <c r="W74" i="3"/>
  <c r="W73" i="3"/>
  <c r="W72" i="3"/>
  <c r="W71" i="3"/>
  <c r="W70" i="3"/>
  <c r="W69" i="3"/>
  <c r="W68" i="3"/>
  <c r="W67" i="3"/>
  <c r="U77" i="3"/>
  <c r="U76" i="3"/>
  <c r="U75" i="3"/>
  <c r="U74" i="3"/>
  <c r="U73" i="3"/>
  <c r="U72" i="3"/>
  <c r="U71" i="3"/>
  <c r="U70" i="3"/>
  <c r="U69" i="3"/>
  <c r="U68" i="3"/>
  <c r="U67" i="3"/>
  <c r="S77" i="3"/>
  <c r="S76" i="3"/>
  <c r="S75" i="3"/>
  <c r="S74" i="3"/>
  <c r="S73" i="3"/>
  <c r="S72" i="3"/>
  <c r="S71" i="3"/>
  <c r="S70" i="3"/>
  <c r="S69" i="3"/>
  <c r="S68" i="3"/>
  <c r="S67" i="3"/>
  <c r="Q77" i="3"/>
  <c r="Q76" i="3"/>
  <c r="Q75" i="3"/>
  <c r="Q74" i="3"/>
  <c r="Q73" i="3"/>
  <c r="Q72" i="3"/>
  <c r="Q71" i="3"/>
  <c r="Q70" i="3"/>
  <c r="Q69" i="3"/>
  <c r="Q68" i="3"/>
  <c r="Q67" i="3"/>
  <c r="O77" i="3"/>
  <c r="O76" i="3"/>
  <c r="O75" i="3"/>
  <c r="O74" i="3"/>
  <c r="O73" i="3"/>
  <c r="O72" i="3"/>
  <c r="O71" i="3"/>
  <c r="O70" i="3"/>
  <c r="O69" i="3"/>
  <c r="O68" i="3"/>
  <c r="O67" i="3"/>
  <c r="M77" i="3"/>
  <c r="M76" i="3"/>
  <c r="M75" i="3"/>
  <c r="M74" i="3"/>
  <c r="M73" i="3"/>
  <c r="M72" i="3"/>
  <c r="M71" i="3"/>
  <c r="M70" i="3"/>
  <c r="M69" i="3"/>
  <c r="M68" i="3"/>
  <c r="M67" i="3"/>
  <c r="K77" i="3"/>
  <c r="K76" i="3"/>
  <c r="K75" i="3"/>
  <c r="K74" i="3"/>
  <c r="K73" i="3"/>
  <c r="K72" i="3"/>
  <c r="K71" i="3"/>
  <c r="K70" i="3"/>
  <c r="K69" i="3"/>
  <c r="K68" i="3"/>
  <c r="K67" i="3"/>
  <c r="I77" i="3"/>
  <c r="I76" i="3"/>
  <c r="I75" i="3"/>
  <c r="I74" i="3"/>
  <c r="I73" i="3"/>
  <c r="I72" i="3"/>
  <c r="I71" i="3"/>
  <c r="I70" i="3"/>
  <c r="I69" i="3"/>
  <c r="I68" i="3"/>
  <c r="I67" i="3"/>
  <c r="G77" i="3"/>
  <c r="G76" i="3"/>
  <c r="G75" i="3"/>
  <c r="G74" i="3"/>
  <c r="G73" i="3"/>
  <c r="G72" i="3"/>
  <c r="G71" i="3"/>
  <c r="G70" i="3"/>
  <c r="G69" i="3"/>
  <c r="G68" i="3"/>
  <c r="G67" i="3"/>
  <c r="E77" i="3"/>
  <c r="E76" i="3"/>
  <c r="E75" i="3"/>
  <c r="E74" i="3"/>
  <c r="E73" i="3"/>
  <c r="E72" i="3"/>
  <c r="E71" i="3"/>
  <c r="E70" i="3"/>
  <c r="E69" i="3"/>
  <c r="E68" i="3"/>
  <c r="E67" i="3"/>
  <c r="C77" i="3"/>
  <c r="C76" i="3"/>
  <c r="C75" i="3"/>
  <c r="C74" i="3"/>
  <c r="C73" i="3"/>
  <c r="C72" i="3"/>
  <c r="C71" i="3"/>
  <c r="C70" i="3"/>
  <c r="C69" i="3"/>
  <c r="C68" i="3"/>
  <c r="C67" i="3"/>
  <c r="A77" i="3"/>
  <c r="A76" i="3"/>
  <c r="A75" i="3"/>
  <c r="A74" i="3"/>
  <c r="A73" i="3"/>
  <c r="A72" i="3"/>
  <c r="A71" i="3"/>
  <c r="A70" i="3"/>
  <c r="A69" i="3"/>
  <c r="A68" i="3"/>
  <c r="A67" i="3"/>
  <c r="A66" i="3"/>
  <c r="CM70" i="3"/>
  <c r="CL70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CM63" i="3"/>
  <c r="CL63" i="3"/>
  <c r="CK63" i="3"/>
  <c r="CJ63" i="3"/>
  <c r="CI63" i="3"/>
  <c r="CH63" i="3"/>
  <c r="CG63" i="3"/>
  <c r="CF63" i="3"/>
  <c r="CE63" i="3"/>
  <c r="CD63" i="3"/>
  <c r="CC63" i="3"/>
  <c r="CB63" i="3"/>
  <c r="CA63" i="3"/>
  <c r="BZ63" i="3"/>
  <c r="BY63" i="3"/>
  <c r="BX63" i="3"/>
  <c r="BW63" i="3"/>
  <c r="BV63" i="3"/>
  <c r="BU63" i="3"/>
  <c r="BT63" i="3"/>
  <c r="BS63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A62" i="3"/>
  <c r="CM60" i="3"/>
  <c r="CL60" i="3"/>
  <c r="CK60" i="3"/>
  <c r="CJ60" i="3"/>
  <c r="CI60" i="3"/>
  <c r="CH60" i="3"/>
  <c r="CG60" i="3"/>
  <c r="CF60" i="3"/>
  <c r="CE60" i="3"/>
  <c r="CD60" i="3"/>
  <c r="CC60" i="3"/>
  <c r="CB60" i="3"/>
  <c r="CA60" i="3"/>
  <c r="BZ60" i="3"/>
  <c r="BY60" i="3"/>
  <c r="BX60" i="3"/>
  <c r="BW60" i="3"/>
  <c r="BV60" i="3"/>
  <c r="BU60" i="3"/>
  <c r="BT60" i="3"/>
  <c r="BS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CJ59" i="3"/>
  <c r="CJ58" i="3"/>
  <c r="CH59" i="3"/>
  <c r="CH58" i="3"/>
  <c r="CF59" i="3"/>
  <c r="CF58" i="3"/>
  <c r="CD59" i="3"/>
  <c r="CD58" i="3"/>
  <c r="CB59" i="3"/>
  <c r="CB58" i="3"/>
  <c r="BZ59" i="3"/>
  <c r="BZ58" i="3"/>
  <c r="BX59" i="3"/>
  <c r="BX58" i="3"/>
  <c r="BV59" i="3"/>
  <c r="BV58" i="3"/>
  <c r="BT59" i="3"/>
  <c r="BT58" i="3"/>
  <c r="AW59" i="3"/>
  <c r="AW58" i="3"/>
  <c r="AU59" i="3"/>
  <c r="AU58" i="3"/>
  <c r="AS59" i="3"/>
  <c r="AS58" i="3"/>
  <c r="AQ59" i="3"/>
  <c r="AQ58" i="3"/>
  <c r="AO59" i="3"/>
  <c r="AO58" i="3"/>
  <c r="AM59" i="3"/>
  <c r="AM58" i="3"/>
  <c r="AK59" i="3"/>
  <c r="AK58" i="3"/>
  <c r="AI59" i="3"/>
  <c r="AI58" i="3"/>
  <c r="AG59" i="3"/>
  <c r="AG58" i="3"/>
  <c r="AE59" i="3"/>
  <c r="AE58" i="3"/>
  <c r="AC59" i="3"/>
  <c r="AC58" i="3"/>
  <c r="AA59" i="3"/>
  <c r="AA58" i="3"/>
  <c r="Y59" i="3"/>
  <c r="Y58" i="3"/>
  <c r="W59" i="3"/>
  <c r="W58" i="3"/>
  <c r="U59" i="3"/>
  <c r="U58" i="3"/>
  <c r="S59" i="3"/>
  <c r="S58" i="3"/>
  <c r="Q59" i="3"/>
  <c r="Q58" i="3"/>
  <c r="O59" i="3"/>
  <c r="O58" i="3"/>
  <c r="M59" i="3"/>
  <c r="M58" i="3"/>
  <c r="K59" i="3"/>
  <c r="K58" i="3"/>
  <c r="I59" i="3"/>
  <c r="I58" i="3"/>
  <c r="G59" i="3"/>
  <c r="G58" i="3"/>
  <c r="E59" i="3"/>
  <c r="E58" i="3"/>
  <c r="C59" i="3"/>
  <c r="C58" i="3"/>
  <c r="CM59" i="3"/>
  <c r="CL59" i="3"/>
  <c r="CM58" i="3"/>
  <c r="CL58" i="3"/>
  <c r="BY51" i="3"/>
  <c r="BW51" i="3"/>
  <c r="BU51" i="3"/>
  <c r="BT51" i="3"/>
  <c r="BS51" i="3"/>
  <c r="CM50" i="3"/>
  <c r="CL50" i="3"/>
  <c r="CK50" i="3"/>
  <c r="CJ50" i="3"/>
  <c r="CI50" i="3"/>
  <c r="CH50" i="3"/>
  <c r="CG50" i="3"/>
  <c r="CF50" i="3"/>
  <c r="CE50" i="3"/>
  <c r="CD50" i="3"/>
  <c r="CC50" i="3"/>
  <c r="CB50" i="3"/>
  <c r="CA50" i="3"/>
  <c r="BZ50" i="3"/>
  <c r="BY50" i="3"/>
  <c r="BX50" i="3"/>
  <c r="BW50" i="3"/>
  <c r="BV50" i="3"/>
  <c r="BU50" i="3"/>
  <c r="BT50" i="3"/>
  <c r="BS50" i="3"/>
  <c r="AL51" i="3"/>
  <c r="AK51" i="3"/>
  <c r="AJ51" i="3"/>
  <c r="AI51" i="3"/>
  <c r="AH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BY47" i="3"/>
  <c r="BW47" i="3"/>
  <c r="BU47" i="3"/>
  <c r="BT47" i="3"/>
  <c r="BS47" i="3"/>
  <c r="BW46" i="3"/>
  <c r="BV46" i="3"/>
  <c r="BU46" i="3"/>
  <c r="BT46" i="3"/>
  <c r="BS46" i="3"/>
  <c r="BZ45" i="3"/>
  <c r="BY45" i="3"/>
  <c r="BX45" i="3"/>
  <c r="BW45" i="3"/>
  <c r="BV45" i="3"/>
  <c r="BU45" i="3"/>
  <c r="BT45" i="3"/>
  <c r="BS45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A44" i="3"/>
  <c r="BY41" i="3"/>
  <c r="BW41" i="3"/>
  <c r="BU41" i="3"/>
  <c r="BS41" i="3"/>
  <c r="AL41" i="3"/>
  <c r="AJ41" i="3"/>
  <c r="AH41" i="3"/>
  <c r="AF41" i="3"/>
  <c r="AD41" i="3"/>
  <c r="AB41" i="3"/>
  <c r="Z41" i="3"/>
  <c r="X41" i="3"/>
  <c r="V41" i="3"/>
  <c r="T41" i="3"/>
  <c r="R41" i="3"/>
  <c r="P41" i="3"/>
  <c r="N41" i="3"/>
  <c r="L41" i="3"/>
  <c r="J41" i="3"/>
  <c r="H41" i="3"/>
  <c r="F41" i="3"/>
  <c r="D41" i="3"/>
  <c r="B41" i="3"/>
  <c r="BV41" i="3"/>
  <c r="BT41" i="3"/>
  <c r="AM41" i="3"/>
  <c r="AI41" i="3"/>
  <c r="AG41" i="3"/>
  <c r="AE41" i="3"/>
  <c r="AC41" i="3"/>
  <c r="AA41" i="3"/>
  <c r="W41" i="3"/>
  <c r="U41" i="3"/>
  <c r="S41" i="3"/>
  <c r="Q41" i="3"/>
  <c r="O41" i="3"/>
  <c r="M41" i="3"/>
  <c r="K41" i="3"/>
  <c r="I41" i="3"/>
  <c r="G41" i="3"/>
  <c r="E41" i="3"/>
  <c r="C41" i="3"/>
  <c r="A41" i="3"/>
  <c r="BZ39" i="3"/>
  <c r="BY39" i="3"/>
  <c r="BX39" i="3"/>
  <c r="BW39" i="3"/>
  <c r="BV39" i="3"/>
  <c r="BU39" i="3"/>
  <c r="BT39" i="3"/>
  <c r="BS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BY36" i="3"/>
  <c r="BW36" i="3"/>
  <c r="BU36" i="3"/>
  <c r="BS36" i="3"/>
  <c r="AL36" i="3"/>
  <c r="AJ36" i="3"/>
  <c r="AH36" i="3"/>
  <c r="AF36" i="3"/>
  <c r="AD36" i="3"/>
  <c r="AB36" i="3"/>
  <c r="Z36" i="3"/>
  <c r="X36" i="3"/>
  <c r="V36" i="3"/>
  <c r="T36" i="3"/>
  <c r="R36" i="3"/>
  <c r="P36" i="3"/>
  <c r="N36" i="3"/>
  <c r="L36" i="3"/>
  <c r="J36" i="3"/>
  <c r="H36" i="3"/>
  <c r="F36" i="3"/>
  <c r="D36" i="3"/>
  <c r="B36" i="3"/>
  <c r="BZ36" i="3"/>
  <c r="BV36" i="3"/>
  <c r="BT36" i="3"/>
  <c r="AM36" i="3"/>
  <c r="AK36" i="3"/>
  <c r="AI36" i="3"/>
  <c r="AG36" i="3"/>
  <c r="AE36" i="3"/>
  <c r="AC36" i="3"/>
  <c r="AA36" i="3"/>
  <c r="Y36" i="3"/>
  <c r="W36" i="3"/>
  <c r="U36" i="3"/>
  <c r="S36" i="3"/>
  <c r="Q36" i="3"/>
  <c r="O36" i="3"/>
  <c r="M36" i="3"/>
  <c r="K36" i="3"/>
  <c r="I36" i="3"/>
  <c r="G36" i="3"/>
  <c r="E36" i="3"/>
  <c r="C36" i="3"/>
  <c r="A36" i="3"/>
  <c r="CK30" i="3"/>
  <c r="CI30" i="3"/>
  <c r="CG30" i="3"/>
  <c r="CE30" i="3"/>
  <c r="CC30" i="3"/>
  <c r="CA30" i="3"/>
  <c r="BY31" i="3"/>
  <c r="BY30" i="3"/>
  <c r="BW31" i="3"/>
  <c r="BW30" i="3"/>
  <c r="BU31" i="3"/>
  <c r="BU30" i="3"/>
  <c r="BS31" i="3"/>
  <c r="BS30" i="3"/>
  <c r="AV30" i="3"/>
  <c r="AT30" i="3"/>
  <c r="AR30" i="3"/>
  <c r="AP30" i="3"/>
  <c r="AN30" i="3"/>
  <c r="AL31" i="3"/>
  <c r="AL30" i="3"/>
  <c r="AJ31" i="3"/>
  <c r="AJ30" i="3"/>
  <c r="AH31" i="3"/>
  <c r="AH30" i="3"/>
  <c r="AF31" i="3"/>
  <c r="AF30" i="3"/>
  <c r="AD31" i="3"/>
  <c r="AD30" i="3"/>
  <c r="AB31" i="3"/>
  <c r="AB30" i="3"/>
  <c r="Z31" i="3"/>
  <c r="Z30" i="3"/>
  <c r="X31" i="3"/>
  <c r="X30" i="3"/>
  <c r="V31" i="3"/>
  <c r="V30" i="3"/>
  <c r="T31" i="3"/>
  <c r="T30" i="3"/>
  <c r="R31" i="3"/>
  <c r="R30" i="3"/>
  <c r="P31" i="3"/>
  <c r="P30" i="3"/>
  <c r="N31" i="3"/>
  <c r="N30" i="3"/>
  <c r="L31" i="3"/>
  <c r="L30" i="3"/>
  <c r="J31" i="3"/>
  <c r="J30" i="3"/>
  <c r="H31" i="3"/>
  <c r="H30" i="3"/>
  <c r="F31" i="3"/>
  <c r="F30" i="3"/>
  <c r="D31" i="3"/>
  <c r="D30" i="3"/>
  <c r="B31" i="3"/>
  <c r="B30" i="3"/>
  <c r="CJ30" i="3"/>
  <c r="CH30" i="3"/>
  <c r="CF30" i="3"/>
  <c r="CD30" i="3"/>
  <c r="CB30" i="3"/>
  <c r="BZ30" i="3"/>
  <c r="BX30" i="3"/>
  <c r="BV30" i="3"/>
  <c r="BT31" i="3"/>
  <c r="BT30" i="3"/>
  <c r="AW30" i="3"/>
  <c r="AU30" i="3"/>
  <c r="AS30" i="3"/>
  <c r="AQ30" i="3"/>
  <c r="AO30" i="3"/>
  <c r="AM30" i="3"/>
  <c r="AK31" i="3"/>
  <c r="AK30" i="3"/>
  <c r="AI30" i="3"/>
  <c r="AG31" i="3"/>
  <c r="AG30" i="3"/>
  <c r="AE31" i="3"/>
  <c r="AE30" i="3"/>
  <c r="AC31" i="3"/>
  <c r="AC30" i="3"/>
  <c r="AA31" i="3"/>
  <c r="AA30" i="3"/>
  <c r="Y31" i="3"/>
  <c r="Y30" i="3"/>
  <c r="W31" i="3"/>
  <c r="W30" i="3"/>
  <c r="U31" i="3"/>
  <c r="U30" i="3"/>
  <c r="S31" i="3"/>
  <c r="S30" i="3"/>
  <c r="Q31" i="3"/>
  <c r="Q30" i="3"/>
  <c r="O31" i="3"/>
  <c r="O30" i="3"/>
  <c r="M31" i="3"/>
  <c r="M30" i="3"/>
  <c r="K31" i="3"/>
  <c r="K30" i="3"/>
  <c r="I31" i="3"/>
  <c r="I30" i="3"/>
  <c r="G31" i="3"/>
  <c r="G30" i="3"/>
  <c r="E31" i="3"/>
  <c r="E30" i="3"/>
  <c r="C31" i="3"/>
  <c r="C30" i="3"/>
  <c r="A31" i="3"/>
  <c r="A30" i="3"/>
  <c r="CL30" i="3"/>
  <c r="BY28" i="3"/>
  <c r="BX28" i="3"/>
  <c r="BW28" i="3"/>
  <c r="BV28" i="3"/>
  <c r="BU28" i="3"/>
  <c r="BT28" i="3"/>
  <c r="BS28" i="3"/>
  <c r="BY27" i="3"/>
  <c r="BX27" i="3"/>
  <c r="BW27" i="3"/>
  <c r="BV27" i="3"/>
  <c r="BU27" i="3"/>
  <c r="BT27" i="3"/>
  <c r="BS27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Y25" i="3"/>
  <c r="BX25" i="3"/>
  <c r="BW25" i="3"/>
  <c r="BV25" i="3"/>
  <c r="BU25" i="3"/>
  <c r="BT25" i="3"/>
  <c r="BS25" i="3"/>
  <c r="BY24" i="3"/>
  <c r="BX24" i="3"/>
  <c r="BW24" i="3"/>
  <c r="BV24" i="3"/>
  <c r="BU24" i="3"/>
  <c r="BT24" i="3"/>
  <c r="BS24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A25" i="156" s="1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A24" i="156" s="1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A23" i="156" s="1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A22" i="156" s="1"/>
  <c r="CK20" i="3"/>
  <c r="CI20" i="3"/>
  <c r="CG20" i="3"/>
  <c r="CE20" i="3"/>
  <c r="CC20" i="3"/>
  <c r="CA20" i="3"/>
  <c r="BY21" i="3"/>
  <c r="BY20" i="3"/>
  <c r="BY19" i="3"/>
  <c r="BW21" i="3"/>
  <c r="BW20" i="3"/>
  <c r="BW19" i="3"/>
  <c r="BU21" i="3"/>
  <c r="BU20" i="3"/>
  <c r="BU19" i="3"/>
  <c r="BS21" i="3"/>
  <c r="BS20" i="3"/>
  <c r="BS19" i="3"/>
  <c r="AV20" i="3"/>
  <c r="AT20" i="3"/>
  <c r="AR20" i="3"/>
  <c r="AP20" i="3"/>
  <c r="AN20" i="3"/>
  <c r="AL21" i="3"/>
  <c r="AL20" i="3"/>
  <c r="AL19" i="3"/>
  <c r="AJ21" i="3"/>
  <c r="AJ20" i="3"/>
  <c r="AJ19" i="3"/>
  <c r="AH21" i="3"/>
  <c r="AH20" i="3"/>
  <c r="AH19" i="3"/>
  <c r="AF21" i="3"/>
  <c r="AF20" i="3"/>
  <c r="AF19" i="3"/>
  <c r="AD21" i="3"/>
  <c r="AD20" i="3"/>
  <c r="AD19" i="3"/>
  <c r="AB21" i="3"/>
  <c r="AB20" i="3"/>
  <c r="AB19" i="3"/>
  <c r="Z21" i="3"/>
  <c r="Z20" i="3"/>
  <c r="Z19" i="3"/>
  <c r="X21" i="3"/>
  <c r="X20" i="3"/>
  <c r="X19" i="3"/>
  <c r="V21" i="3"/>
  <c r="V20" i="3"/>
  <c r="V19" i="3"/>
  <c r="T21" i="3"/>
  <c r="T20" i="3"/>
  <c r="T19" i="3"/>
  <c r="R21" i="3"/>
  <c r="R20" i="3"/>
  <c r="R19" i="3"/>
  <c r="P21" i="3"/>
  <c r="P20" i="3"/>
  <c r="P19" i="3"/>
  <c r="N21" i="3"/>
  <c r="N20" i="3"/>
  <c r="N19" i="3"/>
  <c r="L21" i="3"/>
  <c r="L20" i="3"/>
  <c r="L19" i="3"/>
  <c r="J21" i="3"/>
  <c r="J20" i="3"/>
  <c r="J19" i="3"/>
  <c r="H21" i="3"/>
  <c r="H20" i="3"/>
  <c r="H19" i="3"/>
  <c r="F21" i="3"/>
  <c r="F20" i="3"/>
  <c r="F19" i="3"/>
  <c r="D21" i="3"/>
  <c r="D20" i="3"/>
  <c r="D19" i="3"/>
  <c r="B21" i="3"/>
  <c r="B20" i="3"/>
  <c r="B19" i="3"/>
  <c r="CJ20" i="3"/>
  <c r="CH20" i="3"/>
  <c r="CF20" i="3"/>
  <c r="CD20" i="3"/>
  <c r="CB20" i="3"/>
  <c r="BZ20" i="3"/>
  <c r="BX21" i="3"/>
  <c r="BX20" i="3"/>
  <c r="BX19" i="3"/>
  <c r="BV21" i="3"/>
  <c r="BV20" i="3"/>
  <c r="BV19" i="3"/>
  <c r="BT21" i="3"/>
  <c r="BT20" i="3"/>
  <c r="BT19" i="3"/>
  <c r="AW20" i="3"/>
  <c r="AU20" i="3"/>
  <c r="AS20" i="3"/>
  <c r="AQ20" i="3"/>
  <c r="AO20" i="3"/>
  <c r="AM21" i="3"/>
  <c r="AM20" i="3"/>
  <c r="AM19" i="3"/>
  <c r="AK21" i="3"/>
  <c r="AK20" i="3"/>
  <c r="AK19" i="3"/>
  <c r="AI21" i="3"/>
  <c r="AI20" i="3"/>
  <c r="AI19" i="3"/>
  <c r="AG21" i="3"/>
  <c r="AG20" i="3"/>
  <c r="AG19" i="3"/>
  <c r="AE21" i="3"/>
  <c r="AE20" i="3"/>
  <c r="AE19" i="3"/>
  <c r="AC21" i="3"/>
  <c r="AC20" i="3"/>
  <c r="AC19" i="3"/>
  <c r="AA21" i="3"/>
  <c r="AA20" i="3"/>
  <c r="AA19" i="3"/>
  <c r="Y21" i="3"/>
  <c r="Y20" i="3"/>
  <c r="Y19" i="3"/>
  <c r="W21" i="3"/>
  <c r="W20" i="3"/>
  <c r="W19" i="3"/>
  <c r="U21" i="3"/>
  <c r="U20" i="3"/>
  <c r="U19" i="3"/>
  <c r="S21" i="3"/>
  <c r="S20" i="3"/>
  <c r="S19" i="3"/>
  <c r="Q21" i="3"/>
  <c r="Q20" i="3"/>
  <c r="Q19" i="3"/>
  <c r="O21" i="3"/>
  <c r="O20" i="3"/>
  <c r="O19" i="3"/>
  <c r="M21" i="3"/>
  <c r="M20" i="3"/>
  <c r="M19" i="3"/>
  <c r="K21" i="3"/>
  <c r="K20" i="3"/>
  <c r="K19" i="3"/>
  <c r="I21" i="3"/>
  <c r="I20" i="3"/>
  <c r="I19" i="3"/>
  <c r="G21" i="3"/>
  <c r="G20" i="3"/>
  <c r="G19" i="3"/>
  <c r="E21" i="3"/>
  <c r="E20" i="3"/>
  <c r="E19" i="3"/>
  <c r="C21" i="3"/>
  <c r="C20" i="3"/>
  <c r="C19" i="3"/>
  <c r="A21" i="3"/>
  <c r="A20" i="3"/>
  <c r="A19" i="3"/>
  <c r="CM20" i="3"/>
  <c r="CL20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BW14" i="3"/>
  <c r="BW13" i="3"/>
  <c r="BW12" i="3"/>
  <c r="BW11" i="3"/>
  <c r="BW9" i="3"/>
  <c r="BW8" i="3"/>
  <c r="BU14" i="3"/>
  <c r="BU13" i="3"/>
  <c r="BU12" i="3"/>
  <c r="BU11" i="3"/>
  <c r="BU9" i="3"/>
  <c r="BU8" i="3"/>
  <c r="BS14" i="3"/>
  <c r="BS13" i="3"/>
  <c r="BS12" i="3"/>
  <c r="BS11" i="3"/>
  <c r="BS9" i="3"/>
  <c r="BS8" i="3"/>
  <c r="AT14" i="3"/>
  <c r="AT13" i="3"/>
  <c r="AR14" i="3"/>
  <c r="AR13" i="3"/>
  <c r="AP14" i="3"/>
  <c r="AP13" i="3"/>
  <c r="AN14" i="3"/>
  <c r="AN13" i="3"/>
  <c r="AL14" i="3"/>
  <c r="AL13" i="3"/>
  <c r="AL12" i="3"/>
  <c r="AL11" i="3"/>
  <c r="AL9" i="3"/>
  <c r="AL8" i="3"/>
  <c r="AJ14" i="3"/>
  <c r="AJ13" i="3"/>
  <c r="AJ12" i="3"/>
  <c r="AJ11" i="3"/>
  <c r="AJ9" i="3"/>
  <c r="AJ8" i="3"/>
  <c r="AH14" i="3"/>
  <c r="AH13" i="3"/>
  <c r="AH12" i="3"/>
  <c r="AH11" i="3"/>
  <c r="AH9" i="3"/>
  <c r="AH8" i="3"/>
  <c r="AF14" i="3"/>
  <c r="AF13" i="3"/>
  <c r="AF12" i="3"/>
  <c r="AF11" i="3"/>
  <c r="AF9" i="3"/>
  <c r="AF8" i="3"/>
  <c r="AD14" i="3"/>
  <c r="AD13" i="3"/>
  <c r="AD12" i="3"/>
  <c r="AD11" i="3"/>
  <c r="AD9" i="3"/>
  <c r="AD8" i="3"/>
  <c r="AB14" i="3"/>
  <c r="AB13" i="3"/>
  <c r="AB12" i="3"/>
  <c r="AB11" i="3"/>
  <c r="AB9" i="3"/>
  <c r="AB8" i="3"/>
  <c r="Z14" i="3"/>
  <c r="Z13" i="3"/>
  <c r="Z12" i="3"/>
  <c r="Z11" i="3"/>
  <c r="Z9" i="3"/>
  <c r="Z8" i="3"/>
  <c r="X14" i="3"/>
  <c r="X13" i="3"/>
  <c r="X12" i="3"/>
  <c r="X11" i="3"/>
  <c r="X9" i="3"/>
  <c r="X8" i="3"/>
  <c r="V14" i="3"/>
  <c r="V13" i="3"/>
  <c r="V12" i="3"/>
  <c r="V11" i="3"/>
  <c r="V9" i="3"/>
  <c r="V8" i="3"/>
  <c r="T14" i="3"/>
  <c r="T13" i="3"/>
  <c r="T12" i="3"/>
  <c r="T11" i="3"/>
  <c r="T9" i="3"/>
  <c r="T8" i="3"/>
  <c r="R14" i="3"/>
  <c r="R13" i="3"/>
  <c r="R12" i="3"/>
  <c r="R11" i="3"/>
  <c r="R9" i="3"/>
  <c r="R8" i="3"/>
  <c r="BV14" i="3"/>
  <c r="BV13" i="3"/>
  <c r="BV12" i="3"/>
  <c r="BV11" i="3"/>
  <c r="BT14" i="3"/>
  <c r="BT13" i="3"/>
  <c r="BT12" i="3"/>
  <c r="BT11" i="3"/>
  <c r="AS14" i="3"/>
  <c r="AS13" i="3"/>
  <c r="AQ14" i="3"/>
  <c r="AQ13" i="3"/>
  <c r="AO14" i="3"/>
  <c r="AO13" i="3"/>
  <c r="AM14" i="3"/>
  <c r="AM13" i="3"/>
  <c r="AM12" i="3"/>
  <c r="AM11" i="3"/>
  <c r="AK14" i="3"/>
  <c r="AK13" i="3"/>
  <c r="AK12" i="3"/>
  <c r="AK11" i="3"/>
  <c r="AI14" i="3"/>
  <c r="AI13" i="3"/>
  <c r="AI12" i="3"/>
  <c r="AI11" i="3"/>
  <c r="AG14" i="3"/>
  <c r="AG13" i="3"/>
  <c r="AG12" i="3"/>
  <c r="AG11" i="3"/>
  <c r="AE14" i="3"/>
  <c r="AE13" i="3"/>
  <c r="AE12" i="3"/>
  <c r="AE11" i="3"/>
  <c r="AC14" i="3"/>
  <c r="AC13" i="3"/>
  <c r="AC12" i="3"/>
  <c r="AC11" i="3"/>
  <c r="AA14" i="3"/>
  <c r="AA13" i="3"/>
  <c r="AA12" i="3"/>
  <c r="AA11" i="3"/>
  <c r="Y14" i="3"/>
  <c r="Y13" i="3"/>
  <c r="Y12" i="3"/>
  <c r="Y11" i="3"/>
  <c r="W14" i="3"/>
  <c r="W13" i="3"/>
  <c r="W12" i="3"/>
  <c r="W11" i="3"/>
  <c r="U14" i="3"/>
  <c r="U13" i="3"/>
  <c r="U12" i="3"/>
  <c r="U11" i="3"/>
  <c r="S14" i="3"/>
  <c r="S13" i="3"/>
  <c r="S12" i="3"/>
  <c r="S11" i="3"/>
  <c r="CB14" i="3"/>
  <c r="CA14" i="3"/>
  <c r="BZ14" i="3"/>
  <c r="BY14" i="3"/>
  <c r="BX14" i="3"/>
  <c r="CB13" i="3"/>
  <c r="CA13" i="3"/>
  <c r="BZ13" i="3"/>
  <c r="BY13" i="3"/>
  <c r="BX13" i="3"/>
  <c r="BZ12" i="3"/>
  <c r="BY12" i="3"/>
  <c r="BX12" i="3"/>
  <c r="BZ11" i="3"/>
  <c r="BY11" i="3"/>
  <c r="BX11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BV9" i="3"/>
  <c r="BV8" i="3"/>
  <c r="BT9" i="3"/>
  <c r="BT8" i="3"/>
  <c r="AM9" i="3"/>
  <c r="AM8" i="3"/>
  <c r="AK9" i="3"/>
  <c r="AK8" i="3"/>
  <c r="AI9" i="3"/>
  <c r="AI8" i="3"/>
  <c r="AG9" i="3"/>
  <c r="AG8" i="3"/>
  <c r="AE9" i="3"/>
  <c r="AE8" i="3"/>
  <c r="AC9" i="3"/>
  <c r="AC8" i="3"/>
  <c r="AA9" i="3"/>
  <c r="AA8" i="3"/>
  <c r="Y9" i="3"/>
  <c r="Y8" i="3"/>
  <c r="W9" i="3"/>
  <c r="W8" i="3"/>
  <c r="U9" i="3"/>
  <c r="U8" i="3"/>
  <c r="S9" i="3"/>
  <c r="S8" i="3"/>
  <c r="BZ9" i="3"/>
  <c r="BY9" i="3"/>
  <c r="BX9" i="3"/>
  <c r="BZ8" i="3"/>
  <c r="BY8" i="3"/>
  <c r="BX8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7" i="3"/>
  <c r="CM5" i="3"/>
  <c r="CL5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CJ4" i="3"/>
  <c r="CJ3" i="3"/>
  <c r="CH4" i="3"/>
  <c r="CH3" i="3"/>
  <c r="CF4" i="3"/>
  <c r="CF3" i="3"/>
  <c r="CD4" i="3"/>
  <c r="CD3" i="3"/>
  <c r="CB4" i="3"/>
  <c r="CB3" i="3"/>
  <c r="BZ4" i="3"/>
  <c r="BZ3" i="3"/>
  <c r="BX4" i="3"/>
  <c r="BX3" i="3"/>
  <c r="BV4" i="3"/>
  <c r="BV3" i="3"/>
  <c r="BT4" i="3"/>
  <c r="BT3" i="3"/>
  <c r="BR4" i="3"/>
  <c r="BR3" i="3"/>
  <c r="BP4" i="3"/>
  <c r="BP3" i="3"/>
  <c r="BN4" i="3"/>
  <c r="BN3" i="3"/>
  <c r="BL4" i="3"/>
  <c r="BL3" i="3"/>
  <c r="BJ4" i="3"/>
  <c r="BJ3" i="3"/>
  <c r="BH4" i="3"/>
  <c r="BH3" i="3"/>
  <c r="BF4" i="3"/>
  <c r="BF3" i="3"/>
  <c r="BD4" i="3"/>
  <c r="BD3" i="3"/>
  <c r="BB4" i="3"/>
  <c r="BB3" i="3"/>
  <c r="AZ4" i="3"/>
  <c r="AZ3" i="3"/>
  <c r="AW4" i="3"/>
  <c r="AW3" i="3"/>
  <c r="AU4" i="3"/>
  <c r="AU3" i="3"/>
  <c r="AS4" i="3"/>
  <c r="AS3" i="3"/>
  <c r="AQ4" i="3"/>
  <c r="AQ3" i="3"/>
  <c r="AO4" i="3"/>
  <c r="AO3" i="3"/>
  <c r="AM4" i="3"/>
  <c r="AM3" i="3"/>
  <c r="AK4" i="3"/>
  <c r="AK3" i="3"/>
  <c r="AI4" i="3"/>
  <c r="AI3" i="3"/>
  <c r="AG4" i="3"/>
  <c r="AG3" i="3"/>
  <c r="AE4" i="3"/>
  <c r="AE3" i="3"/>
  <c r="AC4" i="3"/>
  <c r="AC3" i="3"/>
  <c r="AA4" i="3"/>
  <c r="AA3" i="3"/>
  <c r="Y4" i="3"/>
  <c r="Y3" i="3"/>
  <c r="W4" i="3"/>
  <c r="W3" i="3"/>
  <c r="U4" i="3"/>
  <c r="U3" i="3"/>
  <c r="S4" i="3"/>
  <c r="S3" i="3"/>
  <c r="Q4" i="3"/>
  <c r="Q3" i="3"/>
  <c r="O4" i="3"/>
  <c r="O3" i="3"/>
  <c r="M4" i="3"/>
  <c r="M3" i="3"/>
  <c r="K4" i="3"/>
  <c r="K3" i="3"/>
  <c r="I4" i="3"/>
  <c r="I3" i="3"/>
  <c r="G4" i="3"/>
  <c r="G3" i="3"/>
  <c r="E4" i="3"/>
  <c r="E3" i="3"/>
  <c r="C4" i="3"/>
  <c r="C3" i="3"/>
  <c r="CM4" i="3"/>
  <c r="CL4" i="3"/>
  <c r="CM3" i="3"/>
  <c r="CL3" i="3"/>
  <c r="A1" i="3"/>
  <c r="BU666" i="2" l="1"/>
  <c r="BV666" i="2"/>
  <c r="AG42" i="2"/>
  <c r="AI34" i="2"/>
  <c r="AG41" i="2"/>
  <c r="AH40" i="2"/>
  <c r="BH41" i="2"/>
  <c r="AF123" i="2"/>
  <c r="AE124" i="2"/>
  <c r="AF124" i="2" s="1"/>
  <c r="AE119" i="2"/>
  <c r="AF117" i="2"/>
  <c r="BK733" i="2"/>
  <c r="AG254" i="2"/>
  <c r="AH254" i="2" s="1"/>
  <c r="AH253" i="2"/>
  <c r="BU538" i="2"/>
  <c r="BV538" i="2"/>
  <c r="BG733" i="2"/>
  <c r="AG172" i="2"/>
  <c r="AG171" i="2"/>
  <c r="AH171" i="2" s="1"/>
  <c r="AG170" i="2"/>
  <c r="AH170" i="2" s="1"/>
  <c r="AG169" i="2"/>
  <c r="AH169" i="2" s="1"/>
  <c r="AG159" i="2"/>
  <c r="AH154" i="2"/>
  <c r="BH265" i="2"/>
  <c r="AG265" i="2"/>
  <c r="AH264" i="2"/>
  <c r="AI257" i="2"/>
  <c r="AG266" i="2"/>
  <c r="BU653" i="2"/>
  <c r="BV653" i="2"/>
  <c r="AF68" i="2"/>
  <c r="AE70" i="2"/>
  <c r="AF70" i="2" s="1"/>
  <c r="BV418" i="2"/>
  <c r="BU418" i="2"/>
  <c r="AF282" i="2"/>
  <c r="AG275" i="2"/>
  <c r="AE283" i="2"/>
  <c r="BV539" i="2"/>
  <c r="BU539" i="2"/>
  <c r="AG91" i="2"/>
  <c r="AH90" i="2"/>
  <c r="BH91" i="2"/>
  <c r="AI84" i="2"/>
  <c r="AG92" i="2"/>
  <c r="AH235" i="2"/>
  <c r="AG236" i="2"/>
  <c r="AH236" i="2" s="1"/>
  <c r="BU651" i="2"/>
  <c r="BV651" i="2"/>
  <c r="BH300" i="2"/>
  <c r="AG300" i="2"/>
  <c r="AH299" i="2"/>
  <c r="AI292" i="2"/>
  <c r="AG302" i="2"/>
  <c r="AF74" i="2"/>
  <c r="AE75" i="2"/>
  <c r="AF75" i="2" s="1"/>
  <c r="BV665" i="2"/>
  <c r="BU665" i="2"/>
  <c r="BO683" i="2"/>
  <c r="BN685" i="2"/>
  <c r="AE346" i="2"/>
  <c r="AE343" i="2"/>
  <c r="AF343" i="2" s="1"/>
  <c r="AE342" i="2"/>
  <c r="AF342" i="2" s="1"/>
  <c r="AF303" i="2"/>
  <c r="AE347" i="2"/>
  <c r="AF347" i="2" s="1"/>
  <c r="AE348" i="2"/>
  <c r="AF348" i="2" s="1"/>
  <c r="AE341" i="2"/>
  <c r="AF341" i="2" s="1"/>
  <c r="AE344" i="2"/>
  <c r="AF344" i="2" s="1"/>
  <c r="AE351" i="2"/>
  <c r="AF351" i="2" s="1"/>
  <c r="BT682" i="2"/>
  <c r="BV629" i="2"/>
  <c r="BU629" i="2"/>
  <c r="BT650" i="2"/>
  <c r="AE191" i="2"/>
  <c r="AF191" i="2" s="1"/>
  <c r="AE190" i="2"/>
  <c r="AF190" i="2" s="1"/>
  <c r="AE189" i="2"/>
  <c r="AF189" i="2" s="1"/>
  <c r="AF161" i="2"/>
  <c r="AE193" i="2"/>
  <c r="AF193" i="2" s="1"/>
  <c r="AE192" i="2"/>
  <c r="AF192" i="2" s="1"/>
  <c r="BH229" i="2"/>
  <c r="AG229" i="2"/>
  <c r="AH228" i="2"/>
  <c r="AI221" i="2"/>
  <c r="AG230" i="2"/>
  <c r="AG272" i="2"/>
  <c r="AH272" i="2" s="1"/>
  <c r="AH271" i="2"/>
  <c r="U211" i="2"/>
  <c r="U217" i="2"/>
  <c r="V204" i="2"/>
  <c r="U216" i="2"/>
  <c r="V216" i="2" s="1"/>
  <c r="BU504" i="2"/>
  <c r="BV504" i="2"/>
  <c r="AH308" i="2"/>
  <c r="AG309" i="2"/>
  <c r="AH309" i="2" s="1"/>
  <c r="BT959" i="2"/>
  <c r="BU959" i="2" s="1"/>
  <c r="BU957" i="2"/>
  <c r="AG50" i="2"/>
  <c r="AH50" i="2" s="1"/>
  <c r="AH49" i="2"/>
  <c r="BP683" i="2"/>
  <c r="BR684" i="2"/>
  <c r="BQ684" i="2"/>
  <c r="AF288" i="2"/>
  <c r="AE289" i="2"/>
  <c r="AF289" i="2" s="1"/>
  <c r="AI239" i="2"/>
  <c r="BH247" i="2"/>
  <c r="AG247" i="2"/>
  <c r="AH246" i="2"/>
  <c r="AG248" i="2"/>
  <c r="BT664" i="2"/>
  <c r="BU536" i="2"/>
  <c r="BT540" i="2"/>
  <c r="BV540" i="2" s="1"/>
  <c r="BV536" i="2"/>
  <c r="BV14" i="2"/>
  <c r="BU14" i="2"/>
  <c r="CM30" i="3"/>
  <c r="CM28" i="156"/>
  <c r="CM64" i="3"/>
  <c r="BY37" i="3"/>
  <c r="BS34" i="3"/>
  <c r="H65" i="156"/>
  <c r="P65" i="156"/>
  <c r="X65" i="156"/>
  <c r="AF65" i="156"/>
  <c r="BS61" i="156"/>
  <c r="BS62" i="156"/>
  <c r="BS64" i="156"/>
  <c r="BS35" i="156"/>
  <c r="H62" i="156"/>
  <c r="P62" i="156"/>
  <c r="X62" i="156"/>
  <c r="AF62" i="156"/>
  <c r="H61" i="156"/>
  <c r="P61" i="156"/>
  <c r="X61" i="156"/>
  <c r="AF61" i="156"/>
  <c r="H63" i="156"/>
  <c r="P63" i="156"/>
  <c r="BS65" i="156"/>
  <c r="T15" i="3"/>
  <c r="X10" i="3"/>
  <c r="X15" i="3"/>
  <c r="AB10" i="3"/>
  <c r="AB15" i="3"/>
  <c r="BS30" i="156"/>
  <c r="BW30" i="156"/>
  <c r="BU37" i="3"/>
  <c r="B34" i="3"/>
  <c r="J34" i="3"/>
  <c r="R34" i="3"/>
  <c r="Z34" i="3"/>
  <c r="AH34" i="3"/>
  <c r="BS66" i="156"/>
  <c r="BS67" i="156"/>
  <c r="BS69" i="156"/>
  <c r="B65" i="156"/>
  <c r="J65" i="156"/>
  <c r="R65" i="156"/>
  <c r="Z65" i="156"/>
  <c r="AH65" i="156"/>
  <c r="BU61" i="156"/>
  <c r="BU62" i="156"/>
  <c r="BU64" i="156"/>
  <c r="B32" i="3"/>
  <c r="F32" i="3"/>
  <c r="J32" i="3"/>
  <c r="N32" i="3"/>
  <c r="R32" i="3"/>
  <c r="V32" i="3"/>
  <c r="Z32" i="3"/>
  <c r="AD32" i="3"/>
  <c r="AH32" i="3"/>
  <c r="AL32" i="3"/>
  <c r="R64" i="156"/>
  <c r="Z64" i="156"/>
  <c r="AH64" i="156"/>
  <c r="R66" i="156"/>
  <c r="Z66" i="156"/>
  <c r="AH66" i="156"/>
  <c r="B67" i="156"/>
  <c r="J67" i="156"/>
  <c r="R67" i="156"/>
  <c r="Z67" i="156"/>
  <c r="AH67" i="156"/>
  <c r="B68" i="156"/>
  <c r="J68" i="156"/>
  <c r="R69" i="156"/>
  <c r="Z69" i="156"/>
  <c r="AH69" i="156"/>
  <c r="B61" i="156"/>
  <c r="J61" i="156"/>
  <c r="R61" i="156"/>
  <c r="Z61" i="156"/>
  <c r="AH61" i="156"/>
  <c r="B63" i="156"/>
  <c r="J63" i="156"/>
  <c r="BU65" i="156"/>
  <c r="BU66" i="156"/>
  <c r="BU67" i="156"/>
  <c r="BU69" i="156"/>
  <c r="B30" i="156"/>
  <c r="F30" i="156"/>
  <c r="J30" i="156"/>
  <c r="N30" i="156"/>
  <c r="R30" i="156"/>
  <c r="V30" i="156"/>
  <c r="Z30" i="156"/>
  <c r="AD30" i="156"/>
  <c r="AH30" i="156"/>
  <c r="AL30" i="156"/>
  <c r="AM97" i="3"/>
  <c r="BW130" i="3"/>
  <c r="Z210" i="3"/>
  <c r="Z268" i="3"/>
  <c r="CG356" i="3"/>
  <c r="D61" i="156"/>
  <c r="L61" i="156"/>
  <c r="T61" i="156"/>
  <c r="AB61" i="156"/>
  <c r="AJ61" i="156"/>
  <c r="Y34" i="156"/>
  <c r="Y39" i="156"/>
  <c r="BU40" i="156"/>
  <c r="BX36" i="3"/>
  <c r="D42" i="3"/>
  <c r="L42" i="3"/>
  <c r="T42" i="3"/>
  <c r="AB42" i="3"/>
  <c r="AJ42" i="3"/>
  <c r="AG51" i="3"/>
  <c r="X340" i="3"/>
  <c r="D62" i="156"/>
  <c r="L62" i="156"/>
  <c r="T62" i="156"/>
  <c r="AB62" i="156"/>
  <c r="AJ62" i="156"/>
  <c r="BM30" i="156"/>
  <c r="BQ30" i="156"/>
  <c r="BM35" i="156"/>
  <c r="BQ35" i="156"/>
  <c r="D22" i="3"/>
  <c r="L22" i="3"/>
  <c r="T22" i="3"/>
  <c r="AB22" i="3"/>
  <c r="AJ22" i="3"/>
  <c r="H124" i="3"/>
  <c r="P124" i="3"/>
  <c r="X124" i="3"/>
  <c r="AF124" i="3"/>
  <c r="BW124" i="3"/>
  <c r="BW161" i="3"/>
  <c r="T64" i="156"/>
  <c r="AB64" i="156"/>
  <c r="AF10" i="3"/>
  <c r="AF15" i="3"/>
  <c r="AJ10" i="3"/>
  <c r="AJ15" i="3"/>
  <c r="F22" i="3"/>
  <c r="N22" i="3"/>
  <c r="V22" i="3"/>
  <c r="AD22" i="3"/>
  <c r="AL22" i="3"/>
  <c r="BS22" i="3"/>
  <c r="BU32" i="3"/>
  <c r="BO35" i="156"/>
  <c r="B22" i="3"/>
  <c r="J22" i="3"/>
  <c r="R22" i="3"/>
  <c r="Z22" i="3"/>
  <c r="AH22" i="3"/>
  <c r="BW22" i="3"/>
  <c r="D32" i="3"/>
  <c r="H32" i="3"/>
  <c r="L32" i="3"/>
  <c r="P32" i="3"/>
  <c r="T32" i="3"/>
  <c r="X32" i="3"/>
  <c r="AB32" i="3"/>
  <c r="AF32" i="3"/>
  <c r="AJ32" i="3"/>
  <c r="J242" i="3"/>
  <c r="N242" i="3"/>
  <c r="R242" i="3"/>
  <c r="V242" i="3"/>
  <c r="X22" i="3"/>
  <c r="BU22" i="3"/>
  <c r="BW32" i="3"/>
  <c r="P42" i="3"/>
  <c r="H22" i="3"/>
  <c r="P22" i="3"/>
  <c r="AF22" i="3"/>
  <c r="F34" i="3"/>
  <c r="N34" i="3"/>
  <c r="V34" i="3"/>
  <c r="AD34" i="3"/>
  <c r="F42" i="3"/>
  <c r="N42" i="3"/>
  <c r="B37" i="3"/>
  <c r="F37" i="3"/>
  <c r="J37" i="3"/>
  <c r="N37" i="3"/>
  <c r="R37" i="3"/>
  <c r="V37" i="3"/>
  <c r="Z37" i="3"/>
  <c r="AD37" i="3"/>
  <c r="AH37" i="3"/>
  <c r="AL37" i="3"/>
  <c r="BS37" i="3"/>
  <c r="B124" i="3"/>
  <c r="J124" i="3"/>
  <c r="R124" i="3"/>
  <c r="Z124" i="3"/>
  <c r="AH124" i="3"/>
  <c r="BU124" i="3"/>
  <c r="C11" i="156"/>
  <c r="G11" i="156"/>
  <c r="K11" i="156"/>
  <c r="O11" i="156"/>
  <c r="AJ64" i="156"/>
  <c r="F65" i="156"/>
  <c r="N65" i="156"/>
  <c r="V65" i="156"/>
  <c r="AD65" i="156"/>
  <c r="AL65" i="156"/>
  <c r="T66" i="156"/>
  <c r="AB66" i="156"/>
  <c r="AJ66" i="156"/>
  <c r="D67" i="156"/>
  <c r="L67" i="156"/>
  <c r="T67" i="156"/>
  <c r="AB67" i="156"/>
  <c r="AJ67" i="156"/>
  <c r="D68" i="156"/>
  <c r="L68" i="156"/>
  <c r="T69" i="156"/>
  <c r="AB69" i="156"/>
  <c r="AJ69" i="156"/>
  <c r="BY61" i="156"/>
  <c r="BY62" i="156"/>
  <c r="BY64" i="156"/>
  <c r="BY15" i="3"/>
  <c r="R15" i="3"/>
  <c r="Z15" i="3"/>
  <c r="AH15" i="3"/>
  <c r="BU15" i="3"/>
  <c r="H78" i="3"/>
  <c r="P78" i="3"/>
  <c r="X78" i="3"/>
  <c r="AF78" i="3"/>
  <c r="H242" i="3"/>
  <c r="L242" i="3"/>
  <c r="X242" i="3"/>
  <c r="D63" i="156"/>
  <c r="L63" i="156"/>
  <c r="BW65" i="156"/>
  <c r="BW66" i="156"/>
  <c r="BW67" i="156"/>
  <c r="BW69" i="156"/>
  <c r="D30" i="156"/>
  <c r="H30" i="156"/>
  <c r="L30" i="156"/>
  <c r="P30" i="156"/>
  <c r="T30" i="156"/>
  <c r="X30" i="156"/>
  <c r="AB30" i="156"/>
  <c r="AF30" i="156"/>
  <c r="AJ30" i="156"/>
  <c r="V15" i="3"/>
  <c r="AL15" i="3"/>
  <c r="BU10" i="3"/>
  <c r="AF34" i="3"/>
  <c r="H42" i="3"/>
  <c r="X42" i="3"/>
  <c r="T242" i="3"/>
  <c r="AL42" i="3"/>
  <c r="BY42" i="3"/>
  <c r="BS15" i="3"/>
  <c r="BW15" i="3"/>
  <c r="BY22" i="3"/>
  <c r="BZ21" i="3"/>
  <c r="BY32" i="3"/>
  <c r="BZ31" i="3"/>
  <c r="BW34" i="3"/>
  <c r="BU42" i="3"/>
  <c r="AF242" i="3"/>
  <c r="D299" i="3"/>
  <c r="H299" i="3"/>
  <c r="L299" i="3"/>
  <c r="P299" i="3"/>
  <c r="T299" i="3"/>
  <c r="X299" i="3"/>
  <c r="AB299" i="3"/>
  <c r="AF299" i="3"/>
  <c r="AJ299" i="3"/>
  <c r="F363" i="3"/>
  <c r="N363" i="3"/>
  <c r="V363" i="3"/>
  <c r="AD363" i="3"/>
  <c r="AL363" i="3"/>
  <c r="F409" i="3"/>
  <c r="N409" i="3"/>
  <c r="V409" i="3"/>
  <c r="AD409" i="3"/>
  <c r="AL409" i="3"/>
  <c r="D35" i="156"/>
  <c r="H35" i="156"/>
  <c r="L35" i="156"/>
  <c r="P35" i="156"/>
  <c r="T35" i="156"/>
  <c r="X35" i="156"/>
  <c r="AB35" i="156"/>
  <c r="AF35" i="156"/>
  <c r="AJ35" i="156"/>
  <c r="AV14" i="3"/>
  <c r="AV15" i="3" s="1"/>
  <c r="AU14" i="3"/>
  <c r="AU412" i="3"/>
  <c r="AV416" i="3"/>
  <c r="AT412" i="3"/>
  <c r="AU13" i="3"/>
  <c r="AT366" i="3"/>
  <c r="CG316" i="3"/>
  <c r="BW42" i="3"/>
  <c r="BY78" i="3"/>
  <c r="D124" i="3"/>
  <c r="L124" i="3"/>
  <c r="T124" i="3"/>
  <c r="AB124" i="3"/>
  <c r="AJ124" i="3"/>
  <c r="BS124" i="3"/>
  <c r="B242" i="3"/>
  <c r="F242" i="3"/>
  <c r="Z242" i="3"/>
  <c r="AD242" i="3"/>
  <c r="AH242" i="3"/>
  <c r="AL242" i="3"/>
  <c r="BU242" i="3"/>
  <c r="BY242" i="3"/>
  <c r="B453" i="3"/>
  <c r="F453" i="3"/>
  <c r="J453" i="3"/>
  <c r="N453" i="3"/>
  <c r="R453" i="3"/>
  <c r="V453" i="3"/>
  <c r="Z453" i="3"/>
  <c r="AD453" i="3"/>
  <c r="AH453" i="3"/>
  <c r="AL453" i="3"/>
  <c r="F62" i="156"/>
  <c r="N62" i="156"/>
  <c r="V62" i="156"/>
  <c r="AD62" i="156"/>
  <c r="AL62" i="156"/>
  <c r="BU30" i="156"/>
  <c r="BY30" i="156"/>
  <c r="BW35" i="156"/>
  <c r="AR15" i="3"/>
  <c r="BZ24" i="3"/>
  <c r="H34" i="3"/>
  <c r="P34" i="3"/>
  <c r="X34" i="3"/>
  <c r="AF42" i="3"/>
  <c r="BU299" i="3"/>
  <c r="BY299" i="3"/>
  <c r="X339" i="3"/>
  <c r="D453" i="3"/>
  <c r="L453" i="3"/>
  <c r="T453" i="3"/>
  <c r="AB453" i="3"/>
  <c r="AJ453" i="3"/>
  <c r="E11" i="156"/>
  <c r="I11" i="156"/>
  <c r="M11" i="156"/>
  <c r="Q11" i="156"/>
  <c r="V64" i="156"/>
  <c r="AD64" i="156"/>
  <c r="AL64" i="156"/>
  <c r="V66" i="156"/>
  <c r="AD66" i="156"/>
  <c r="AL66" i="156"/>
  <c r="F67" i="156"/>
  <c r="N67" i="156"/>
  <c r="V67" i="156"/>
  <c r="AD67" i="156"/>
  <c r="AL67" i="156"/>
  <c r="F68" i="156"/>
  <c r="N68" i="156"/>
  <c r="V69" i="156"/>
  <c r="AD69" i="156"/>
  <c r="AL69" i="156"/>
  <c r="BU39" i="156"/>
  <c r="T10" i="3"/>
  <c r="AD15" i="3"/>
  <c r="BW37" i="3"/>
  <c r="AL34" i="3"/>
  <c r="V42" i="3"/>
  <c r="AD42" i="3"/>
  <c r="F124" i="3"/>
  <c r="N124" i="3"/>
  <c r="V124" i="3"/>
  <c r="AD124" i="3"/>
  <c r="AL124" i="3"/>
  <c r="BY124" i="3"/>
  <c r="D242" i="3"/>
  <c r="AB242" i="3"/>
  <c r="AJ242" i="3"/>
  <c r="BS242" i="3"/>
  <c r="BW242" i="3"/>
  <c r="X337" i="3"/>
  <c r="B363" i="3"/>
  <c r="J363" i="3"/>
  <c r="R363" i="3"/>
  <c r="Z363" i="3"/>
  <c r="AH363" i="3"/>
  <c r="BS363" i="3"/>
  <c r="BW363" i="3"/>
  <c r="D363" i="3"/>
  <c r="H363" i="3"/>
  <c r="L363" i="3"/>
  <c r="P363" i="3"/>
  <c r="T363" i="3"/>
  <c r="X363" i="3"/>
  <c r="AB363" i="3"/>
  <c r="AF363" i="3"/>
  <c r="AJ363" i="3"/>
  <c r="B409" i="3"/>
  <c r="J409" i="3"/>
  <c r="R409" i="3"/>
  <c r="Z409" i="3"/>
  <c r="AH409" i="3"/>
  <c r="H453" i="3"/>
  <c r="P453" i="3"/>
  <c r="X453" i="3"/>
  <c r="AF453" i="3"/>
  <c r="BY453" i="3"/>
  <c r="F61" i="156"/>
  <c r="N61" i="156"/>
  <c r="V61" i="156"/>
  <c r="AD61" i="156"/>
  <c r="AL61" i="156"/>
  <c r="F63" i="156"/>
  <c r="N63" i="156"/>
  <c r="BY65" i="156"/>
  <c r="BY66" i="156"/>
  <c r="BY67" i="156"/>
  <c r="BY69" i="156"/>
  <c r="F35" i="156"/>
  <c r="N35" i="156"/>
  <c r="V35" i="156"/>
  <c r="BU35" i="156"/>
  <c r="BY35" i="156"/>
  <c r="BX25" i="156"/>
  <c r="AP409" i="3"/>
  <c r="AN15" i="3"/>
  <c r="AT409" i="3"/>
  <c r="CD406" i="3"/>
  <c r="CD15" i="156"/>
  <c r="AT363" i="3"/>
  <c r="AP363" i="3"/>
  <c r="CA363" i="3"/>
  <c r="AN363" i="3"/>
  <c r="AR363" i="3"/>
  <c r="AV363" i="3"/>
  <c r="AN453" i="3"/>
  <c r="AV453" i="3"/>
  <c r="CG453" i="3"/>
  <c r="AP15" i="3"/>
  <c r="AT15" i="3"/>
  <c r="AP453" i="3"/>
  <c r="AT453" i="3"/>
  <c r="AV417" i="3"/>
  <c r="BS409" i="3"/>
  <c r="BW409" i="3"/>
  <c r="CA409" i="3"/>
  <c r="D409" i="3"/>
  <c r="H409" i="3"/>
  <c r="L409" i="3"/>
  <c r="P409" i="3"/>
  <c r="T409" i="3"/>
  <c r="X409" i="3"/>
  <c r="AB409" i="3"/>
  <c r="AF409" i="3"/>
  <c r="AJ409" i="3"/>
  <c r="AN409" i="3"/>
  <c r="AR409" i="3"/>
  <c r="AV409" i="3"/>
  <c r="BS453" i="3"/>
  <c r="BW453" i="3"/>
  <c r="CA453" i="3"/>
  <c r="CE453" i="3"/>
  <c r="BU453" i="3"/>
  <c r="CC453" i="3"/>
  <c r="BS15" i="156"/>
  <c r="BS68" i="156" s="1"/>
  <c r="B35" i="156"/>
  <c r="CJ16" i="156"/>
  <c r="Y338" i="3"/>
  <c r="CF401" i="3"/>
  <c r="CJ385" i="3"/>
  <c r="CJ383" i="3"/>
  <c r="W51" i="178"/>
  <c r="AA323" i="3"/>
  <c r="AA264" i="3"/>
  <c r="BX155" i="3"/>
  <c r="AA146" i="3"/>
  <c r="CL357" i="3"/>
  <c r="CM357" i="3"/>
  <c r="CA15" i="3"/>
  <c r="V10" i="3"/>
  <c r="AD10" i="3"/>
  <c r="AL10" i="3"/>
  <c r="BW10" i="3"/>
  <c r="BZ19" i="3"/>
  <c r="B42" i="3"/>
  <c r="J42" i="3"/>
  <c r="R42" i="3"/>
  <c r="Z42" i="3"/>
  <c r="AH42" i="3"/>
  <c r="BS42" i="3"/>
  <c r="F78" i="3"/>
  <c r="N78" i="3"/>
  <c r="V78" i="3"/>
  <c r="AD78" i="3"/>
  <c r="AL78" i="3"/>
  <c r="BW78" i="3"/>
  <c r="D184" i="3"/>
  <c r="H184" i="3"/>
  <c r="L184" i="3"/>
  <c r="P184" i="3"/>
  <c r="T184" i="3"/>
  <c r="X184" i="3"/>
  <c r="AB184" i="3"/>
  <c r="AF184" i="3"/>
  <c r="AJ184" i="3"/>
  <c r="BU184" i="3"/>
  <c r="BY184" i="3"/>
  <c r="BS299" i="3"/>
  <c r="B299" i="3"/>
  <c r="J299" i="3"/>
  <c r="R299" i="3"/>
  <c r="Z299" i="3"/>
  <c r="AH299" i="3"/>
  <c r="BU363" i="3"/>
  <c r="BY363" i="3"/>
  <c r="CC363" i="3"/>
  <c r="BU409" i="3"/>
  <c r="BY409" i="3"/>
  <c r="CC409" i="3"/>
  <c r="AR453" i="3"/>
  <c r="J35" i="156"/>
  <c r="AD35" i="156"/>
  <c r="AL35" i="156"/>
  <c r="CM450" i="3"/>
  <c r="CL450" i="3"/>
  <c r="BX264" i="3"/>
  <c r="CH421" i="3"/>
  <c r="BV31" i="3"/>
  <c r="W21" i="178"/>
  <c r="AC314" i="3"/>
  <c r="BX31" i="3"/>
  <c r="CF354" i="3"/>
  <c r="Y221" i="3"/>
  <c r="Y215" i="3"/>
  <c r="CJ402" i="3"/>
  <c r="BZ25" i="3"/>
  <c r="D34" i="3"/>
  <c r="L34" i="3"/>
  <c r="T34" i="3"/>
  <c r="AB34" i="3"/>
  <c r="AJ34" i="3"/>
  <c r="D78" i="3"/>
  <c r="L78" i="3"/>
  <c r="T78" i="3"/>
  <c r="AB78" i="3"/>
  <c r="AJ78" i="3"/>
  <c r="BU78" i="3"/>
  <c r="CA15" i="156"/>
  <c r="R35" i="156"/>
  <c r="CD408" i="3"/>
  <c r="CJ328" i="3"/>
  <c r="S67" i="178"/>
  <c r="W22" i="178"/>
  <c r="T67" i="178"/>
  <c r="AA269" i="3"/>
  <c r="BX159" i="3"/>
  <c r="U67" i="178"/>
  <c r="CM422" i="3"/>
  <c r="CL422" i="3"/>
  <c r="BY34" i="3"/>
  <c r="BY10" i="3"/>
  <c r="R10" i="3"/>
  <c r="Z10" i="3"/>
  <c r="AH10" i="3"/>
  <c r="BS10" i="3"/>
  <c r="D37" i="3"/>
  <c r="H37" i="3"/>
  <c r="L37" i="3"/>
  <c r="P37" i="3"/>
  <c r="T37" i="3"/>
  <c r="X37" i="3"/>
  <c r="AB37" i="3"/>
  <c r="AF37" i="3"/>
  <c r="AJ37" i="3"/>
  <c r="BZ27" i="3"/>
  <c r="BU34" i="3"/>
  <c r="B78" i="3"/>
  <c r="J78" i="3"/>
  <c r="R78" i="3"/>
  <c r="Z78" i="3"/>
  <c r="AH78" i="3"/>
  <c r="BS78" i="3"/>
  <c r="B184" i="3"/>
  <c r="F184" i="3"/>
  <c r="J184" i="3"/>
  <c r="N184" i="3"/>
  <c r="R184" i="3"/>
  <c r="V184" i="3"/>
  <c r="Z184" i="3"/>
  <c r="AD184" i="3"/>
  <c r="AH184" i="3"/>
  <c r="AL184" i="3"/>
  <c r="BS184" i="3"/>
  <c r="BW184" i="3"/>
  <c r="P242" i="3"/>
  <c r="BW15" i="156"/>
  <c r="BW68" i="156" s="1"/>
  <c r="Z35" i="156"/>
  <c r="AH35" i="156"/>
  <c r="AA204" i="3"/>
  <c r="CJ384" i="3"/>
  <c r="AA262" i="3"/>
  <c r="CH452" i="3"/>
  <c r="BX206" i="3"/>
  <c r="AC139" i="3"/>
  <c r="T10" i="156"/>
  <c r="T63" i="156" s="1"/>
  <c r="X10" i="156"/>
  <c r="X63" i="156" s="1"/>
  <c r="AB10" i="156"/>
  <c r="AB63" i="156" s="1"/>
  <c r="AF10" i="156"/>
  <c r="AF63" i="156" s="1"/>
  <c r="AJ10" i="156"/>
  <c r="AJ63" i="156" s="1"/>
  <c r="D11" i="156"/>
  <c r="H11" i="156"/>
  <c r="L11" i="156"/>
  <c r="P11" i="156"/>
  <c r="D13" i="156"/>
  <c r="D66" i="156" s="1"/>
  <c r="H13" i="156"/>
  <c r="H66" i="156" s="1"/>
  <c r="L13" i="156"/>
  <c r="L66" i="156" s="1"/>
  <c r="P13" i="156"/>
  <c r="P66" i="156" s="1"/>
  <c r="T15" i="156"/>
  <c r="T68" i="156" s="1"/>
  <c r="X15" i="156"/>
  <c r="X68" i="156" s="1"/>
  <c r="AB15" i="156"/>
  <c r="AB68" i="156" s="1"/>
  <c r="AF15" i="156"/>
  <c r="AF68" i="156" s="1"/>
  <c r="AJ15" i="156"/>
  <c r="AJ68" i="156" s="1"/>
  <c r="AN15" i="156"/>
  <c r="AR15" i="156"/>
  <c r="AV15" i="156"/>
  <c r="D16" i="156"/>
  <c r="D69" i="156" s="1"/>
  <c r="H16" i="156"/>
  <c r="H69" i="156" s="1"/>
  <c r="L16" i="156"/>
  <c r="L69" i="156" s="1"/>
  <c r="P16" i="156"/>
  <c r="P69" i="156" s="1"/>
  <c r="BS10" i="156"/>
  <c r="BS63" i="156" s="1"/>
  <c r="BW10" i="156"/>
  <c r="BW63" i="156" s="1"/>
  <c r="B26" i="156"/>
  <c r="J26" i="156"/>
  <c r="R26" i="156"/>
  <c r="Z26" i="156"/>
  <c r="AH26" i="156"/>
  <c r="BS26" i="156"/>
  <c r="R20" i="156"/>
  <c r="V20" i="156"/>
  <c r="Z20" i="156"/>
  <c r="AD20" i="156"/>
  <c r="AH20" i="156"/>
  <c r="AL20" i="156"/>
  <c r="BS20" i="156"/>
  <c r="BW20" i="156"/>
  <c r="D26" i="156"/>
  <c r="L26" i="156"/>
  <c r="T26" i="156"/>
  <c r="AB26" i="156"/>
  <c r="AJ26" i="156"/>
  <c r="BU26" i="156"/>
  <c r="R10" i="156"/>
  <c r="R63" i="156" s="1"/>
  <c r="V10" i="156"/>
  <c r="V63" i="156" s="1"/>
  <c r="Z10" i="156"/>
  <c r="Z63" i="156" s="1"/>
  <c r="AD10" i="156"/>
  <c r="AD63" i="156" s="1"/>
  <c r="AH10" i="156"/>
  <c r="AH63" i="156" s="1"/>
  <c r="AL10" i="156"/>
  <c r="AL63" i="156" s="1"/>
  <c r="B11" i="156"/>
  <c r="F11" i="156"/>
  <c r="J11" i="156"/>
  <c r="N11" i="156"/>
  <c r="B13" i="156"/>
  <c r="B66" i="156" s="1"/>
  <c r="F13" i="156"/>
  <c r="F66" i="156" s="1"/>
  <c r="J13" i="156"/>
  <c r="J66" i="156" s="1"/>
  <c r="N13" i="156"/>
  <c r="N66" i="156" s="1"/>
  <c r="R15" i="156"/>
  <c r="R68" i="156" s="1"/>
  <c r="V15" i="156"/>
  <c r="V68" i="156" s="1"/>
  <c r="Z15" i="156"/>
  <c r="Z68" i="156" s="1"/>
  <c r="AD15" i="156"/>
  <c r="AD68" i="156" s="1"/>
  <c r="AH15" i="156"/>
  <c r="AH68" i="156" s="1"/>
  <c r="AL15" i="156"/>
  <c r="AL68" i="156" s="1"/>
  <c r="AP15" i="156"/>
  <c r="AT15" i="156"/>
  <c r="B16" i="156"/>
  <c r="B69" i="156" s="1"/>
  <c r="F16" i="156"/>
  <c r="F69" i="156" s="1"/>
  <c r="J16" i="156"/>
  <c r="J69" i="156" s="1"/>
  <c r="N16" i="156"/>
  <c r="N69" i="156" s="1"/>
  <c r="BU10" i="156"/>
  <c r="BU63" i="156" s="1"/>
  <c r="BY10" i="156"/>
  <c r="BY63" i="156" s="1"/>
  <c r="CM16" i="156"/>
  <c r="F26" i="156"/>
  <c r="N26" i="156"/>
  <c r="V26" i="156"/>
  <c r="AD26" i="156"/>
  <c r="AL26" i="156"/>
  <c r="BW26" i="156"/>
  <c r="BU15" i="156"/>
  <c r="BU68" i="156" s="1"/>
  <c r="BY15" i="156"/>
  <c r="BY68" i="156" s="1"/>
  <c r="CC15" i="156"/>
  <c r="T20" i="156"/>
  <c r="X20" i="156"/>
  <c r="AB20" i="156"/>
  <c r="AF20" i="156"/>
  <c r="AJ20" i="156"/>
  <c r="BU20" i="156"/>
  <c r="BY20" i="156"/>
  <c r="H26" i="156"/>
  <c r="P26" i="156"/>
  <c r="X26" i="156"/>
  <c r="AF26" i="156"/>
  <c r="BY26" i="156"/>
  <c r="A431" i="3"/>
  <c r="A388" i="3"/>
  <c r="A372" i="3"/>
  <c r="A342" i="3"/>
  <c r="A307" i="3"/>
  <c r="A278" i="3"/>
  <c r="A223" i="3"/>
  <c r="A192" i="3"/>
  <c r="A103" i="3"/>
  <c r="A56" i="3"/>
  <c r="A250" i="3"/>
  <c r="A163" i="3"/>
  <c r="A132" i="3"/>
  <c r="F299" i="3"/>
  <c r="N299" i="3"/>
  <c r="V299" i="3"/>
  <c r="AD299" i="3"/>
  <c r="AL299" i="3"/>
  <c r="BW299" i="3"/>
  <c r="BZ28" i="3"/>
  <c r="BS32" i="3"/>
  <c r="AI235" i="2" l="1"/>
  <c r="AI234" i="2"/>
  <c r="AJ234" i="2" s="1"/>
  <c r="AI228" i="2"/>
  <c r="AJ221" i="2"/>
  <c r="BO685" i="2"/>
  <c r="AH248" i="2"/>
  <c r="BH248" i="2"/>
  <c r="BI248" i="2" s="1"/>
  <c r="AI253" i="2"/>
  <c r="AI246" i="2"/>
  <c r="AJ239" i="2"/>
  <c r="AI252" i="2"/>
  <c r="AJ252" i="2" s="1"/>
  <c r="AJ292" i="2"/>
  <c r="AI308" i="2"/>
  <c r="AI299" i="2"/>
  <c r="AI307" i="2"/>
  <c r="AJ307" i="2" s="1"/>
  <c r="AG121" i="2"/>
  <c r="AH121" i="2" s="1"/>
  <c r="AG118" i="2"/>
  <c r="AH118" i="2" s="1"/>
  <c r="AG117" i="2"/>
  <c r="AH92" i="2"/>
  <c r="AG122" i="2"/>
  <c r="AH122" i="2" s="1"/>
  <c r="AG123" i="2"/>
  <c r="AG116" i="2"/>
  <c r="AH116" i="2" s="1"/>
  <c r="AG127" i="2"/>
  <c r="AH127" i="2" s="1"/>
  <c r="BH92" i="2"/>
  <c r="AH275" i="2"/>
  <c r="AG282" i="2"/>
  <c r="AG288" i="2"/>
  <c r="AG287" i="2"/>
  <c r="AH287" i="2" s="1"/>
  <c r="AG160" i="2"/>
  <c r="AH159" i="2"/>
  <c r="AI154" i="2"/>
  <c r="AG161" i="2"/>
  <c r="BH160" i="2"/>
  <c r="AG173" i="2"/>
  <c r="AH173" i="2" s="1"/>
  <c r="AH172" i="2"/>
  <c r="AG866" i="2"/>
  <c r="AH866" i="2" s="1"/>
  <c r="AG69" i="2"/>
  <c r="AH69" i="2" s="1"/>
  <c r="AG68" i="2"/>
  <c r="AG72" i="2"/>
  <c r="AH72" i="2" s="1"/>
  <c r="AH42" i="2"/>
  <c r="AG74" i="2"/>
  <c r="AG73" i="2"/>
  <c r="AH73" i="2" s="1"/>
  <c r="AG67" i="2"/>
  <c r="AH67" i="2" s="1"/>
  <c r="AG78" i="2"/>
  <c r="AH78" i="2" s="1"/>
  <c r="BH42" i="2"/>
  <c r="BR683" i="2"/>
  <c r="BT684" i="2"/>
  <c r="BS684" i="2"/>
  <c r="U218" i="2"/>
  <c r="V218" i="2" s="1"/>
  <c r="V217" i="2"/>
  <c r="AH230" i="2"/>
  <c r="BH230" i="2"/>
  <c r="BI230" i="2" s="1"/>
  <c r="BT696" i="2"/>
  <c r="BV682" i="2"/>
  <c r="BU682" i="2"/>
  <c r="AI99" i="2"/>
  <c r="AJ99" i="2" s="1"/>
  <c r="AI97" i="2"/>
  <c r="AJ84" i="2"/>
  <c r="AI96" i="2"/>
  <c r="AJ96" i="2" s="1"/>
  <c r="AI90" i="2"/>
  <c r="AI98" i="2"/>
  <c r="AJ98" i="2" s="1"/>
  <c r="AH266" i="2"/>
  <c r="BH266" i="2"/>
  <c r="BI266" i="2" s="1"/>
  <c r="BU664" i="2"/>
  <c r="BV664" i="2"/>
  <c r="AH302" i="2"/>
  <c r="AG303" i="2"/>
  <c r="AF283" i="2"/>
  <c r="BQ683" i="2"/>
  <c r="BP685" i="2"/>
  <c r="V211" i="2"/>
  <c r="U212" i="2"/>
  <c r="V212" i="2" s="1"/>
  <c r="BU650" i="2"/>
  <c r="BV650" i="2"/>
  <c r="AE349" i="2"/>
  <c r="AF349" i="2" s="1"/>
  <c r="AF346" i="2"/>
  <c r="AI264" i="2"/>
  <c r="AJ257" i="2"/>
  <c r="AI271" i="2"/>
  <c r="AI270" i="2"/>
  <c r="AJ270" i="2" s="1"/>
  <c r="AI46" i="2"/>
  <c r="AJ46" i="2" s="1"/>
  <c r="AI40" i="2"/>
  <c r="AI49" i="2"/>
  <c r="AJ34" i="2"/>
  <c r="AI47" i="2"/>
  <c r="AI48" i="2"/>
  <c r="AJ48" i="2" s="1"/>
  <c r="BZ10" i="3"/>
  <c r="BU73" i="156"/>
  <c r="BS73" i="156"/>
  <c r="Z73" i="156"/>
  <c r="AB73" i="156"/>
  <c r="R73" i="156"/>
  <c r="AH73" i="156"/>
  <c r="T73" i="156"/>
  <c r="BZ15" i="3"/>
  <c r="BW73" i="156"/>
  <c r="BY73" i="156"/>
  <c r="AJ73" i="156"/>
  <c r="CB15" i="3"/>
  <c r="AD73" i="156"/>
  <c r="V73" i="156"/>
  <c r="BZ47" i="3"/>
  <c r="BZ40" i="156"/>
  <c r="AL73" i="156"/>
  <c r="AC151" i="3"/>
  <c r="AB151" i="3"/>
  <c r="BX214" i="3"/>
  <c r="BW214" i="3"/>
  <c r="BX220" i="3"/>
  <c r="BW220" i="3"/>
  <c r="AC257" i="3"/>
  <c r="AB257" i="3"/>
  <c r="CM384" i="3"/>
  <c r="CL384" i="3"/>
  <c r="CK384" i="3"/>
  <c r="AC199" i="3"/>
  <c r="AB199" i="3"/>
  <c r="BZ97" i="3"/>
  <c r="BZ92" i="156"/>
  <c r="BX44" i="156"/>
  <c r="BX51" i="3"/>
  <c r="BV51" i="3"/>
  <c r="BV44" i="156"/>
  <c r="CD417" i="3"/>
  <c r="W29" i="178"/>
  <c r="CC417" i="3"/>
  <c r="BX87" i="3"/>
  <c r="BX82" i="156"/>
  <c r="AW413" i="3"/>
  <c r="AW14" i="3"/>
  <c r="CF358" i="3"/>
  <c r="CE358" i="3"/>
  <c r="CH401" i="3"/>
  <c r="CG401" i="3"/>
  <c r="CL16" i="156"/>
  <c r="CK16" i="156"/>
  <c r="AA160" i="3"/>
  <c r="Z160" i="3"/>
  <c r="AA154" i="3"/>
  <c r="Z154" i="3"/>
  <c r="AA325" i="3"/>
  <c r="Z325" i="3"/>
  <c r="CL385" i="3"/>
  <c r="CM385" i="3"/>
  <c r="CK385" i="3"/>
  <c r="CM328" i="3"/>
  <c r="CL328" i="3"/>
  <c r="CK328" i="3"/>
  <c r="BX219" i="3"/>
  <c r="BW219" i="3"/>
  <c r="AA206" i="3"/>
  <c r="Z206" i="3"/>
  <c r="BZ41" i="3"/>
  <c r="BZ34" i="156"/>
  <c r="BX92" i="156"/>
  <c r="BX97" i="3"/>
  <c r="BZ51" i="3"/>
  <c r="BZ44" i="156"/>
  <c r="CC14" i="3"/>
  <c r="CC15" i="3" s="1"/>
  <c r="CD15" i="3" s="1"/>
  <c r="CC413" i="3"/>
  <c r="BZ82" i="156"/>
  <c r="BZ87" i="3"/>
  <c r="CH459" i="3"/>
  <c r="CG459" i="3"/>
  <c r="AC321" i="3"/>
  <c r="AB321" i="3"/>
  <c r="CJ421" i="3"/>
  <c r="CI421" i="3"/>
  <c r="BX273" i="3"/>
  <c r="BW273" i="3"/>
  <c r="AA130" i="3"/>
  <c r="Z130" i="3"/>
  <c r="AA159" i="3"/>
  <c r="Z159" i="3"/>
  <c r="AA155" i="3"/>
  <c r="Z155" i="3"/>
  <c r="AA248" i="3"/>
  <c r="Z248" i="3"/>
  <c r="AA272" i="3"/>
  <c r="Z272" i="3"/>
  <c r="CM383" i="3"/>
  <c r="CL383" i="3"/>
  <c r="CK383" i="3"/>
  <c r="CJ452" i="3"/>
  <c r="CI452" i="3"/>
  <c r="CI453" i="3" s="1"/>
  <c r="BZ46" i="3"/>
  <c r="BZ39" i="156"/>
  <c r="BX40" i="156"/>
  <c r="BX47" i="3"/>
  <c r="AC150" i="3"/>
  <c r="AB150" i="3"/>
  <c r="AC144" i="3"/>
  <c r="AB144" i="3"/>
  <c r="BX190" i="3"/>
  <c r="BW190" i="3"/>
  <c r="BX215" i="3"/>
  <c r="BW215" i="3"/>
  <c r="CH354" i="3"/>
  <c r="CG354" i="3"/>
  <c r="CJ316" i="3"/>
  <c r="CI316" i="3"/>
  <c r="CD416" i="3"/>
  <c r="CC416" i="3"/>
  <c r="W28" i="178"/>
  <c r="AC330" i="3"/>
  <c r="AB330" i="3"/>
  <c r="BW248" i="3"/>
  <c r="BX276" i="3"/>
  <c r="BW276" i="3"/>
  <c r="BX46" i="3"/>
  <c r="BX39" i="156"/>
  <c r="AA161" i="3"/>
  <c r="Z161" i="3"/>
  <c r="AA276" i="3"/>
  <c r="Z276" i="3"/>
  <c r="AA273" i="3"/>
  <c r="Z273" i="3"/>
  <c r="CD13" i="3"/>
  <c r="CF404" i="3"/>
  <c r="CE404" i="3"/>
  <c r="BX221" i="3"/>
  <c r="BW221" i="3"/>
  <c r="BX218" i="3"/>
  <c r="BW218" i="3"/>
  <c r="CH16" i="3"/>
  <c r="CG16" i="3"/>
  <c r="CJ355" i="3"/>
  <c r="CI355" i="3"/>
  <c r="CM402" i="3"/>
  <c r="CL402" i="3"/>
  <c r="CK402" i="3"/>
  <c r="AW412" i="3"/>
  <c r="AV366" i="3"/>
  <c r="AV412" i="3"/>
  <c r="AC329" i="3"/>
  <c r="AB329" i="3"/>
  <c r="BX272" i="3"/>
  <c r="BW272" i="3"/>
  <c r="CC412" i="3"/>
  <c r="BX34" i="156"/>
  <c r="BX41" i="3"/>
  <c r="AA158" i="3"/>
  <c r="Z158" i="3"/>
  <c r="AW13" i="3"/>
  <c r="X51" i="178"/>
  <c r="Y51" i="178" s="1"/>
  <c r="CJ356" i="3"/>
  <c r="CI356" i="3"/>
  <c r="F64" i="156"/>
  <c r="F73" i="156" s="1"/>
  <c r="F20" i="156"/>
  <c r="P64" i="156"/>
  <c r="P73" i="156" s="1"/>
  <c r="P20" i="156"/>
  <c r="B64" i="156"/>
  <c r="B73" i="156" s="1"/>
  <c r="B20" i="156"/>
  <c r="L64" i="156"/>
  <c r="L73" i="156" s="1"/>
  <c r="L20" i="156"/>
  <c r="N64" i="156"/>
  <c r="N73" i="156" s="1"/>
  <c r="N20" i="156"/>
  <c r="H64" i="156"/>
  <c r="H73" i="156" s="1"/>
  <c r="H20" i="156"/>
  <c r="J64" i="156"/>
  <c r="J73" i="156" s="1"/>
  <c r="J20" i="156"/>
  <c r="D64" i="156"/>
  <c r="D73" i="156" s="1"/>
  <c r="D20" i="156"/>
  <c r="BU696" i="2" l="1"/>
  <c r="BV696" i="2"/>
  <c r="AJ49" i="2"/>
  <c r="AI50" i="2"/>
  <c r="AJ271" i="2"/>
  <c r="AI272" i="2"/>
  <c r="AJ272" i="2" s="1"/>
  <c r="BT683" i="2"/>
  <c r="BV684" i="2"/>
  <c r="BU684" i="2"/>
  <c r="AI170" i="2"/>
  <c r="AI169" i="2"/>
  <c r="AJ169" i="2" s="1"/>
  <c r="AJ154" i="2"/>
  <c r="AI172" i="2"/>
  <c r="AI159" i="2"/>
  <c r="AI171" i="2"/>
  <c r="AJ171" i="2" s="1"/>
  <c r="AG289" i="2"/>
  <c r="AH289" i="2" s="1"/>
  <c r="AH288" i="2"/>
  <c r="AI42" i="2"/>
  <c r="AI41" i="2"/>
  <c r="AJ40" i="2"/>
  <c r="AK34" i="2"/>
  <c r="BQ685" i="2"/>
  <c r="AJ97" i="2"/>
  <c r="AR97" i="2"/>
  <c r="BS683" i="2"/>
  <c r="BR685" i="2"/>
  <c r="AH68" i="2"/>
  <c r="AG70" i="2"/>
  <c r="AH70" i="2" s="1"/>
  <c r="AI275" i="2"/>
  <c r="AH282" i="2"/>
  <c r="AG283" i="2"/>
  <c r="AG119" i="2"/>
  <c r="AH119" i="2" s="1"/>
  <c r="AH117" i="2"/>
  <c r="AI302" i="2"/>
  <c r="AK292" i="2"/>
  <c r="AI300" i="2"/>
  <c r="AJ299" i="2"/>
  <c r="AJ228" i="2"/>
  <c r="AK221" i="2"/>
  <c r="AI229" i="2"/>
  <c r="AI230" i="2"/>
  <c r="AR47" i="2"/>
  <c r="AJ47" i="2"/>
  <c r="AJ264" i="2"/>
  <c r="AK257" i="2"/>
  <c r="AI265" i="2"/>
  <c r="AI266" i="2"/>
  <c r="AG342" i="2"/>
  <c r="AH342" i="2" s="1"/>
  <c r="AG346" i="2"/>
  <c r="AG343" i="2"/>
  <c r="AH343" i="2" s="1"/>
  <c r="AH303" i="2"/>
  <c r="BH303" i="2"/>
  <c r="AG341" i="2"/>
  <c r="AH341" i="2" s="1"/>
  <c r="AG347" i="2"/>
  <c r="AH347" i="2" s="1"/>
  <c r="AG348" i="2"/>
  <c r="AH348" i="2" s="1"/>
  <c r="AG344" i="2"/>
  <c r="AH344" i="2" s="1"/>
  <c r="AG351" i="2"/>
  <c r="AH351" i="2" s="1"/>
  <c r="AI92" i="2"/>
  <c r="AK84" i="2"/>
  <c r="AI91" i="2"/>
  <c r="AJ90" i="2"/>
  <c r="BI42" i="2"/>
  <c r="BH74" i="2"/>
  <c r="BI74" i="2" s="1"/>
  <c r="BH73" i="2"/>
  <c r="BI73" i="2" s="1"/>
  <c r="BH72" i="2"/>
  <c r="BH67" i="2"/>
  <c r="BI67" i="2" s="1"/>
  <c r="BH68" i="2"/>
  <c r="BH69" i="2"/>
  <c r="BI69" i="2" s="1"/>
  <c r="BH78" i="2"/>
  <c r="BI78" i="2" s="1"/>
  <c r="AG75" i="2"/>
  <c r="AH75" i="2" s="1"/>
  <c r="AH74" i="2"/>
  <c r="AG124" i="2"/>
  <c r="AH124" i="2" s="1"/>
  <c r="AH123" i="2"/>
  <c r="AJ308" i="2"/>
  <c r="AI309" i="2"/>
  <c r="AJ309" i="2" s="1"/>
  <c r="AK239" i="2"/>
  <c r="AI247" i="2"/>
  <c r="AJ246" i="2"/>
  <c r="AI248" i="2"/>
  <c r="AG190" i="2"/>
  <c r="AH190" i="2" s="1"/>
  <c r="AG189" i="2"/>
  <c r="AH189" i="2" s="1"/>
  <c r="AH161" i="2"/>
  <c r="AG191" i="2"/>
  <c r="AH191" i="2" s="1"/>
  <c r="AG192" i="2"/>
  <c r="AH192" i="2" s="1"/>
  <c r="AG193" i="2"/>
  <c r="AH193" i="2" s="1"/>
  <c r="BH161" i="2"/>
  <c r="BI92" i="2"/>
  <c r="BH122" i="2"/>
  <c r="BI122" i="2" s="1"/>
  <c r="BH117" i="2"/>
  <c r="BH121" i="2"/>
  <c r="BH123" i="2"/>
  <c r="BI123" i="2" s="1"/>
  <c r="BH118" i="2"/>
  <c r="BI118" i="2" s="1"/>
  <c r="BH116" i="2"/>
  <c r="BI116" i="2" s="1"/>
  <c r="BH127" i="2"/>
  <c r="BI127" i="2" s="1"/>
  <c r="AJ253" i="2"/>
  <c r="AI254" i="2"/>
  <c r="AI236" i="2"/>
  <c r="AJ235" i="2"/>
  <c r="AW366" i="3"/>
  <c r="CH358" i="3"/>
  <c r="CG358" i="3"/>
  <c r="AE139" i="3"/>
  <c r="AD139" i="3"/>
  <c r="CM421" i="3"/>
  <c r="CL421" i="3"/>
  <c r="CK421" i="3"/>
  <c r="AA214" i="3"/>
  <c r="Z214" i="3"/>
  <c r="AA305" i="3"/>
  <c r="Z305" i="3"/>
  <c r="AA333" i="3"/>
  <c r="Z333" i="3"/>
  <c r="AA338" i="3"/>
  <c r="Z338" i="3"/>
  <c r="AC204" i="3"/>
  <c r="AB204" i="3"/>
  <c r="AC268" i="3"/>
  <c r="AB268" i="3"/>
  <c r="CD366" i="3"/>
  <c r="CC366" i="3"/>
  <c r="CJ459" i="3"/>
  <c r="CI459" i="3"/>
  <c r="BX248" i="3"/>
  <c r="AE314" i="3"/>
  <c r="AD314" i="3"/>
  <c r="AA220" i="3"/>
  <c r="Z220" i="3"/>
  <c r="AA218" i="3"/>
  <c r="Z218" i="3"/>
  <c r="CL316" i="3"/>
  <c r="CM316" i="3"/>
  <c r="CK316" i="3"/>
  <c r="CJ354" i="3"/>
  <c r="CI354" i="3"/>
  <c r="AA334" i="3"/>
  <c r="Z334" i="3"/>
  <c r="CH404" i="3"/>
  <c r="CG404" i="3"/>
  <c r="AC269" i="3"/>
  <c r="AB269" i="3"/>
  <c r="AC262" i="3"/>
  <c r="AB262" i="3"/>
  <c r="CE14" i="156"/>
  <c r="CE406" i="3"/>
  <c r="AC146" i="3"/>
  <c r="AB146" i="3"/>
  <c r="CJ16" i="3"/>
  <c r="CI16" i="3"/>
  <c r="AC323" i="3"/>
  <c r="AB323" i="3"/>
  <c r="AA221" i="3"/>
  <c r="Z221" i="3"/>
  <c r="AA215" i="3"/>
  <c r="Z215" i="3"/>
  <c r="AA339" i="3"/>
  <c r="Z339" i="3"/>
  <c r="AC210" i="3"/>
  <c r="AB210" i="3"/>
  <c r="CL355" i="3"/>
  <c r="CM355" i="3"/>
  <c r="CK355" i="3"/>
  <c r="CJ401" i="3"/>
  <c r="CI401" i="3"/>
  <c r="CD413" i="3"/>
  <c r="CD14" i="3"/>
  <c r="AA190" i="3"/>
  <c r="Z190" i="3"/>
  <c r="AA219" i="3"/>
  <c r="Z219" i="3"/>
  <c r="CM356" i="3"/>
  <c r="CL356" i="3"/>
  <c r="CK356" i="3"/>
  <c r="AA340" i="3"/>
  <c r="Z340" i="3"/>
  <c r="AA337" i="3"/>
  <c r="Z337" i="3"/>
  <c r="CM452" i="3"/>
  <c r="CL452" i="3"/>
  <c r="CK452" i="3"/>
  <c r="CK453" i="3" s="1"/>
  <c r="CE13" i="156"/>
  <c r="CE360" i="3"/>
  <c r="AC211" i="3"/>
  <c r="AB211" i="3"/>
  <c r="BH124" i="2" l="1"/>
  <c r="BI121" i="2"/>
  <c r="BI68" i="2"/>
  <c r="BH70" i="2"/>
  <c r="BI70" i="2" s="1"/>
  <c r="BS685" i="2"/>
  <c r="AI173" i="2"/>
  <c r="AJ172" i="2"/>
  <c r="AJ236" i="2"/>
  <c r="AR236" i="2"/>
  <c r="BI117" i="2"/>
  <c r="BH119" i="2"/>
  <c r="BI119" i="2" s="1"/>
  <c r="AI121" i="2"/>
  <c r="AJ121" i="2" s="1"/>
  <c r="AI117" i="2"/>
  <c r="AJ92" i="2"/>
  <c r="AI118" i="2"/>
  <c r="AJ118" i="2" s="1"/>
  <c r="AI122" i="2"/>
  <c r="AJ122" i="2" s="1"/>
  <c r="AI123" i="2"/>
  <c r="AI116" i="2"/>
  <c r="AI127" i="2"/>
  <c r="AJ127" i="2" s="1"/>
  <c r="AK228" i="2"/>
  <c r="AK235" i="2"/>
  <c r="AK234" i="2"/>
  <c r="AL234" i="2" s="1"/>
  <c r="AL221" i="2"/>
  <c r="AI282" i="2"/>
  <c r="AJ275" i="2"/>
  <c r="AI288" i="2"/>
  <c r="AI287" i="2"/>
  <c r="AJ287" i="2" s="1"/>
  <c r="AJ50" i="2"/>
  <c r="AR50" i="2"/>
  <c r="AJ266" i="2"/>
  <c r="AR254" i="2"/>
  <c r="AJ254" i="2"/>
  <c r="BI72" i="2"/>
  <c r="BH75" i="2"/>
  <c r="BI75" i="2" s="1"/>
  <c r="AG349" i="2"/>
  <c r="AH349" i="2" s="1"/>
  <c r="AH346" i="2"/>
  <c r="AK271" i="2"/>
  <c r="AL257" i="2"/>
  <c r="AK264" i="2"/>
  <c r="AK270" i="2"/>
  <c r="AL270" i="2" s="1"/>
  <c r="AK308" i="2"/>
  <c r="AK299" i="2"/>
  <c r="AL292" i="2"/>
  <c r="AK307" i="2"/>
  <c r="AL307" i="2" s="1"/>
  <c r="AH283" i="2"/>
  <c r="BH283" i="2"/>
  <c r="BI283" i="2" s="1"/>
  <c r="AJ42" i="2"/>
  <c r="AI72" i="2"/>
  <c r="AJ72" i="2" s="1"/>
  <c r="AI69" i="2"/>
  <c r="AJ69" i="2" s="1"/>
  <c r="AI68" i="2"/>
  <c r="AI67" i="2"/>
  <c r="AJ67" i="2" s="1"/>
  <c r="AI74" i="2"/>
  <c r="AI73" i="2"/>
  <c r="AI78" i="2"/>
  <c r="AJ78" i="2" s="1"/>
  <c r="BU683" i="2"/>
  <c r="BV683" i="2"/>
  <c r="BT685" i="2"/>
  <c r="BI161" i="2"/>
  <c r="BH190" i="2"/>
  <c r="BI190" i="2" s="1"/>
  <c r="BH192" i="2"/>
  <c r="BI192" i="2" s="1"/>
  <c r="BH191" i="2"/>
  <c r="BI191" i="2" s="1"/>
  <c r="BH189" i="2"/>
  <c r="BI189" i="2" s="1"/>
  <c r="BH193" i="2"/>
  <c r="AK96" i="2"/>
  <c r="AL96" i="2" s="1"/>
  <c r="AK90" i="2"/>
  <c r="AL84" i="2"/>
  <c r="AK99" i="2"/>
  <c r="AL99" i="2" s="1"/>
  <c r="AK97" i="2"/>
  <c r="AK98" i="2"/>
  <c r="AL98" i="2" s="1"/>
  <c r="AJ248" i="2"/>
  <c r="AK253" i="2"/>
  <c r="AK246" i="2"/>
  <c r="AK252" i="2"/>
  <c r="AL252" i="2" s="1"/>
  <c r="AL239" i="2"/>
  <c r="BI303" i="2"/>
  <c r="BH342" i="2"/>
  <c r="BI342" i="2" s="1"/>
  <c r="BH346" i="2"/>
  <c r="BH343" i="2"/>
  <c r="BI343" i="2" s="1"/>
  <c r="BH360" i="2"/>
  <c r="BI360" i="2" s="1"/>
  <c r="BH361" i="2"/>
  <c r="BI361" i="2" s="1"/>
  <c r="BH347" i="2"/>
  <c r="BI347" i="2" s="1"/>
  <c r="BH366" i="2"/>
  <c r="BI366" i="2" s="1"/>
  <c r="BH364" i="2"/>
  <c r="BH365" i="2"/>
  <c r="BI365" i="2" s="1"/>
  <c r="BH348" i="2"/>
  <c r="BI348" i="2" s="1"/>
  <c r="BH341" i="2"/>
  <c r="BI341" i="2" s="1"/>
  <c r="BH359" i="2"/>
  <c r="BH344" i="2"/>
  <c r="BI344" i="2" s="1"/>
  <c r="BH369" i="2"/>
  <c r="BI369" i="2" s="1"/>
  <c r="BH351" i="2"/>
  <c r="BI351" i="2" s="1"/>
  <c r="BH370" i="2"/>
  <c r="BI370" i="2" s="1"/>
  <c r="AJ230" i="2"/>
  <c r="AJ302" i="2"/>
  <c r="AI303" i="2"/>
  <c r="AK47" i="2"/>
  <c r="AK46" i="2"/>
  <c r="AL46" i="2" s="1"/>
  <c r="AK40" i="2"/>
  <c r="AL34" i="2"/>
  <c r="AK49" i="2"/>
  <c r="AK48" i="2"/>
  <c r="AL48" i="2" s="1"/>
  <c r="AI866" i="2"/>
  <c r="AJ866" i="2" s="1"/>
  <c r="AI161" i="2"/>
  <c r="AK154" i="2"/>
  <c r="AI160" i="2"/>
  <c r="AJ159" i="2"/>
  <c r="AR170" i="2"/>
  <c r="AJ170" i="2"/>
  <c r="CD412" i="3"/>
  <c r="CF13" i="156"/>
  <c r="CF360" i="3"/>
  <c r="CM16" i="3"/>
  <c r="CL16" i="3"/>
  <c r="CK16" i="3"/>
  <c r="AC158" i="3"/>
  <c r="AB158" i="3"/>
  <c r="AC154" i="3"/>
  <c r="AB154" i="3"/>
  <c r="CE15" i="156"/>
  <c r="CF15" i="156"/>
  <c r="CF14" i="156"/>
  <c r="CF406" i="3"/>
  <c r="AC264" i="3"/>
  <c r="AB264" i="3"/>
  <c r="CG406" i="3"/>
  <c r="CG14" i="156"/>
  <c r="CJ358" i="3"/>
  <c r="CI358" i="3"/>
  <c r="AE330" i="3"/>
  <c r="AD330" i="3"/>
  <c r="CJ404" i="3"/>
  <c r="CI404" i="3"/>
  <c r="AC325" i="3"/>
  <c r="AB325" i="3"/>
  <c r="AC161" i="3"/>
  <c r="AB161" i="3"/>
  <c r="AC155" i="3"/>
  <c r="AB155" i="3"/>
  <c r="AE329" i="3"/>
  <c r="AD329" i="3"/>
  <c r="CM354" i="3"/>
  <c r="CL354" i="3"/>
  <c r="CK354" i="3"/>
  <c r="AE150" i="3"/>
  <c r="AD150" i="3"/>
  <c r="CG13" i="156"/>
  <c r="CG360" i="3"/>
  <c r="CF362" i="3"/>
  <c r="CE362" i="3"/>
  <c r="CE363" i="3" s="1"/>
  <c r="CM459" i="3"/>
  <c r="CL459" i="3"/>
  <c r="CK459" i="3"/>
  <c r="AC130" i="3"/>
  <c r="AB130" i="3"/>
  <c r="CF408" i="3"/>
  <c r="CE408" i="3"/>
  <c r="CE409" i="3" s="1"/>
  <c r="AE257" i="3"/>
  <c r="AD257" i="3"/>
  <c r="AC206" i="3"/>
  <c r="AB206" i="3"/>
  <c r="W23" i="178"/>
  <c r="W32" i="178"/>
  <c r="CF379" i="3"/>
  <c r="CE379" i="3"/>
  <c r="AC160" i="3"/>
  <c r="AB160" i="3"/>
  <c r="AC159" i="3"/>
  <c r="AB159" i="3"/>
  <c r="AE321" i="3"/>
  <c r="AD321" i="3"/>
  <c r="AE199" i="3"/>
  <c r="AD199" i="3"/>
  <c r="CM401" i="3"/>
  <c r="CL401" i="3"/>
  <c r="CK401" i="3"/>
  <c r="AE144" i="3"/>
  <c r="AD144" i="3"/>
  <c r="AE151" i="3"/>
  <c r="AD151" i="3"/>
  <c r="AJ68" i="2" l="1"/>
  <c r="AR68" i="2"/>
  <c r="AI70" i="2"/>
  <c r="AJ70" i="2" s="1"/>
  <c r="BH194" i="2"/>
  <c r="BI193" i="2"/>
  <c r="BI194" i="2" s="1"/>
  <c r="AI75" i="2"/>
  <c r="AJ74" i="2"/>
  <c r="AL308" i="2"/>
  <c r="AK309" i="2"/>
  <c r="AL309" i="2" s="1"/>
  <c r="AK272" i="2"/>
  <c r="AL272" i="2" s="1"/>
  <c r="AL271" i="2"/>
  <c r="AJ288" i="2"/>
  <c r="AI289" i="2"/>
  <c r="AJ289" i="2" s="1"/>
  <c r="AR116" i="2"/>
  <c r="AJ116" i="2"/>
  <c r="AK91" i="2"/>
  <c r="AM84" i="2"/>
  <c r="AK92" i="2"/>
  <c r="AL90" i="2"/>
  <c r="BU685" i="2"/>
  <c r="BV685" i="2"/>
  <c r="AK229" i="2"/>
  <c r="AL228" i="2"/>
  <c r="AM221" i="2"/>
  <c r="AK230" i="2"/>
  <c r="AI119" i="2"/>
  <c r="AJ117" i="2"/>
  <c r="AK172" i="2"/>
  <c r="AK159" i="2"/>
  <c r="AK171" i="2"/>
  <c r="AL171" i="2" s="1"/>
  <c r="AK170" i="2"/>
  <c r="AK169" i="2"/>
  <c r="AL169" i="2" s="1"/>
  <c r="AL154" i="2"/>
  <c r="AK50" i="2"/>
  <c r="AL49" i="2"/>
  <c r="AS47" i="2"/>
  <c r="AL47" i="2"/>
  <c r="BH349" i="2"/>
  <c r="BI349" i="2" s="1"/>
  <c r="BI346" i="2"/>
  <c r="AL235" i="2"/>
  <c r="AK236" i="2"/>
  <c r="AJ123" i="2"/>
  <c r="AI124" i="2"/>
  <c r="AJ124" i="2" s="1"/>
  <c r="AJ173" i="2"/>
  <c r="AR173" i="2"/>
  <c r="AI191" i="2"/>
  <c r="AJ191" i="2" s="1"/>
  <c r="AI190" i="2"/>
  <c r="AI189" i="2"/>
  <c r="AJ161" i="2"/>
  <c r="AI193" i="2"/>
  <c r="AI192" i="2"/>
  <c r="AJ192" i="2" s="1"/>
  <c r="AI346" i="2"/>
  <c r="AI343" i="2"/>
  <c r="AI342" i="2"/>
  <c r="AJ303" i="2"/>
  <c r="AI341" i="2"/>
  <c r="AI347" i="2"/>
  <c r="AJ347" i="2" s="1"/>
  <c r="AI348" i="2"/>
  <c r="AJ348" i="2" s="1"/>
  <c r="AI344" i="2"/>
  <c r="AI351" i="2"/>
  <c r="AJ351" i="2" s="1"/>
  <c r="AK247" i="2"/>
  <c r="AL246" i="2"/>
  <c r="AM239" i="2"/>
  <c r="AK248" i="2"/>
  <c r="AK265" i="2"/>
  <c r="AL264" i="2"/>
  <c r="AM257" i="2"/>
  <c r="AK266" i="2"/>
  <c r="AJ282" i="2"/>
  <c r="AK275" i="2"/>
  <c r="AI283" i="2"/>
  <c r="AK42" i="2"/>
  <c r="AL40" i="2"/>
  <c r="AK41" i="2"/>
  <c r="AM34" i="2"/>
  <c r="BI359" i="2"/>
  <c r="BH362" i="2"/>
  <c r="BI362" i="2" s="1"/>
  <c r="BI364" i="2"/>
  <c r="BH367" i="2"/>
  <c r="BI367" i="2" s="1"/>
  <c r="AK254" i="2"/>
  <c r="AL253" i="2"/>
  <c r="AL97" i="2"/>
  <c r="AT97" i="2"/>
  <c r="AR73" i="2"/>
  <c r="AJ73" i="2"/>
  <c r="AK300" i="2"/>
  <c r="AM292" i="2"/>
  <c r="AL299" i="2"/>
  <c r="AK302" i="2"/>
  <c r="AK866" i="2" s="1"/>
  <c r="AL866" i="2" s="1"/>
  <c r="BI124" i="2"/>
  <c r="BI125" i="2" s="1"/>
  <c r="BH125" i="2"/>
  <c r="AE210" i="3"/>
  <c r="AD210" i="3"/>
  <c r="AC220" i="3"/>
  <c r="AB220" i="3"/>
  <c r="AC219" i="3"/>
  <c r="AB219" i="3"/>
  <c r="CH14" i="156"/>
  <c r="CH360" i="3"/>
  <c r="AC305" i="3"/>
  <c r="AB305" i="3"/>
  <c r="AC333" i="3"/>
  <c r="AB333" i="3"/>
  <c r="AC334" i="3"/>
  <c r="AB334" i="3"/>
  <c r="CI406" i="3"/>
  <c r="CI14" i="156"/>
  <c r="CH15" i="156"/>
  <c r="CH406" i="3"/>
  <c r="AC272" i="3"/>
  <c r="AB272" i="3"/>
  <c r="AE146" i="3"/>
  <c r="AD146" i="3"/>
  <c r="CM404" i="3"/>
  <c r="CL404" i="3"/>
  <c r="CK404" i="3"/>
  <c r="AE211" i="3"/>
  <c r="AD211" i="3"/>
  <c r="AE323" i="3"/>
  <c r="AD323" i="3"/>
  <c r="AC221" i="3"/>
  <c r="AB221" i="3"/>
  <c r="AE262" i="3"/>
  <c r="AD262" i="3"/>
  <c r="CF417" i="3"/>
  <c r="X29" i="178"/>
  <c r="Y29" i="178" s="1"/>
  <c r="CE417" i="3"/>
  <c r="X22" i="178"/>
  <c r="Y22" i="178" s="1"/>
  <c r="CM13" i="156"/>
  <c r="CH362" i="3"/>
  <c r="CG362" i="3"/>
  <c r="CG363" i="3" s="1"/>
  <c r="CM358" i="3"/>
  <c r="CL358" i="3"/>
  <c r="CK358" i="3"/>
  <c r="CI360" i="3"/>
  <c r="CI13" i="156"/>
  <c r="AC273" i="3"/>
  <c r="AB273" i="3"/>
  <c r="AG139" i="3"/>
  <c r="AF139" i="3"/>
  <c r="X32" i="178"/>
  <c r="Y32" i="178" s="1"/>
  <c r="X23" i="178"/>
  <c r="Y23" i="178" s="1"/>
  <c r="AC190" i="3"/>
  <c r="AB190" i="3"/>
  <c r="AC218" i="3"/>
  <c r="AB218" i="3"/>
  <c r="AE269" i="3"/>
  <c r="AD269" i="3"/>
  <c r="CF416" i="3"/>
  <c r="CE416" i="3"/>
  <c r="CE14" i="3"/>
  <c r="CE413" i="3"/>
  <c r="CE13" i="3"/>
  <c r="AC340" i="3"/>
  <c r="AB340" i="3"/>
  <c r="AC337" i="3"/>
  <c r="AB337" i="3"/>
  <c r="AC248" i="3"/>
  <c r="AB248" i="3"/>
  <c r="AE204" i="3"/>
  <c r="AD204" i="3"/>
  <c r="AG314" i="3"/>
  <c r="AF314" i="3"/>
  <c r="AC214" i="3"/>
  <c r="AB214" i="3"/>
  <c r="AC215" i="3"/>
  <c r="AB215" i="3"/>
  <c r="AE268" i="3"/>
  <c r="AD268" i="3"/>
  <c r="X28" i="178"/>
  <c r="X21" i="178"/>
  <c r="CH379" i="3"/>
  <c r="CG379" i="3"/>
  <c r="AC339" i="3"/>
  <c r="AB339" i="3"/>
  <c r="AC338" i="3"/>
  <c r="AB338" i="3"/>
  <c r="CM14" i="156"/>
  <c r="CG15" i="156"/>
  <c r="CH408" i="3"/>
  <c r="CG408" i="3"/>
  <c r="CG409" i="3" s="1"/>
  <c r="AC276" i="3"/>
  <c r="AB276" i="3"/>
  <c r="AM264" i="2" l="1"/>
  <c r="AN257" i="2"/>
  <c r="AM271" i="2"/>
  <c r="AM270" i="2"/>
  <c r="AN270" i="2" s="1"/>
  <c r="AJ343" i="2"/>
  <c r="AR343" i="2"/>
  <c r="AT50" i="2"/>
  <c r="AL50" i="2"/>
  <c r="AL254" i="2"/>
  <c r="AT254" i="2"/>
  <c r="AK68" i="2"/>
  <c r="AK72" i="2"/>
  <c r="AL72" i="2" s="1"/>
  <c r="AL42" i="2"/>
  <c r="AK67" i="2"/>
  <c r="AL67" i="2" s="1"/>
  <c r="AK69" i="2"/>
  <c r="AL69" i="2" s="1"/>
  <c r="AK74" i="2"/>
  <c r="AK73" i="2"/>
  <c r="AK78" i="2"/>
  <c r="AL78" i="2" s="1"/>
  <c r="AM253" i="2"/>
  <c r="AM246" i="2"/>
  <c r="AN239" i="2"/>
  <c r="AM252" i="2"/>
  <c r="AN252" i="2" s="1"/>
  <c r="AJ341" i="2"/>
  <c r="AR341" i="2"/>
  <c r="AI349" i="2"/>
  <c r="AJ349" i="2" s="1"/>
  <c r="AJ346" i="2"/>
  <c r="AT236" i="2"/>
  <c r="AL236" i="2"/>
  <c r="AK160" i="2"/>
  <c r="AL159" i="2"/>
  <c r="AK161" i="2"/>
  <c r="AM154" i="2"/>
  <c r="AL230" i="2"/>
  <c r="AL275" i="2"/>
  <c r="AK282" i="2"/>
  <c r="AK288" i="2"/>
  <c r="AK287" i="2"/>
  <c r="AL287" i="2" s="1"/>
  <c r="AL248" i="2"/>
  <c r="AR119" i="2"/>
  <c r="AJ119" i="2"/>
  <c r="AN292" i="2"/>
  <c r="AM308" i="2"/>
  <c r="AM299" i="2"/>
  <c r="AM307" i="2"/>
  <c r="AN307" i="2" s="1"/>
  <c r="AM46" i="2"/>
  <c r="AN46" i="2" s="1"/>
  <c r="AM40" i="2"/>
  <c r="AM49" i="2"/>
  <c r="AM47" i="2"/>
  <c r="AN34" i="2"/>
  <c r="AM48" i="2"/>
  <c r="AN48" i="2" s="1"/>
  <c r="AJ344" i="2"/>
  <c r="AR344" i="2"/>
  <c r="AJ189" i="2"/>
  <c r="AR189" i="2"/>
  <c r="AT47" i="2"/>
  <c r="AK173" i="2"/>
  <c r="AL172" i="2"/>
  <c r="AK121" i="2"/>
  <c r="AL121" i="2" s="1"/>
  <c r="AK118" i="2"/>
  <c r="AL118" i="2" s="1"/>
  <c r="AK117" i="2"/>
  <c r="AL92" i="2"/>
  <c r="AK122" i="2"/>
  <c r="AL122" i="2" s="1"/>
  <c r="AK123" i="2"/>
  <c r="AK116" i="2"/>
  <c r="AK127" i="2"/>
  <c r="AL127" i="2" s="1"/>
  <c r="AJ75" i="2"/>
  <c r="AR75" i="2"/>
  <c r="AL302" i="2"/>
  <c r="AK303" i="2"/>
  <c r="AJ283" i="2"/>
  <c r="AL266" i="2"/>
  <c r="AR342" i="2"/>
  <c r="AJ342" i="2"/>
  <c r="AJ193" i="2"/>
  <c r="AR193" i="2"/>
  <c r="AR190" i="2"/>
  <c r="AJ190" i="2"/>
  <c r="AL170" i="2"/>
  <c r="AT170" i="2"/>
  <c r="AM235" i="2"/>
  <c r="AM234" i="2"/>
  <c r="AN234" i="2" s="1"/>
  <c r="AM228" i="2"/>
  <c r="AN221" i="2"/>
  <c r="AM99" i="2"/>
  <c r="AN99" i="2" s="1"/>
  <c r="AM97" i="2"/>
  <c r="AN84" i="2"/>
  <c r="AM96" i="2"/>
  <c r="AN96" i="2" s="1"/>
  <c r="AM90" i="2"/>
  <c r="AM98" i="2"/>
  <c r="AN98" i="2" s="1"/>
  <c r="CE366" i="3"/>
  <c r="CE412" i="3"/>
  <c r="CG413" i="3"/>
  <c r="CG14" i="3"/>
  <c r="AG330" i="3"/>
  <c r="AF330" i="3"/>
  <c r="CH416" i="3"/>
  <c r="CG416" i="3"/>
  <c r="AG151" i="3"/>
  <c r="AF151" i="3"/>
  <c r="AE264" i="3"/>
  <c r="AD264" i="3"/>
  <c r="CM406" i="3"/>
  <c r="CK14" i="156"/>
  <c r="CK406" i="3"/>
  <c r="AE161" i="3"/>
  <c r="AD161" i="3"/>
  <c r="AE154" i="3"/>
  <c r="AD154" i="3"/>
  <c r="CI15" i="156"/>
  <c r="CJ406" i="3"/>
  <c r="CJ15" i="156"/>
  <c r="CH417" i="3"/>
  <c r="CG417" i="3"/>
  <c r="AG199" i="3"/>
  <c r="AF199" i="3"/>
  <c r="AG329" i="3"/>
  <c r="AF329" i="3"/>
  <c r="CF366" i="3"/>
  <c r="CF13" i="3"/>
  <c r="CE15" i="3"/>
  <c r="AG150" i="3"/>
  <c r="AF150" i="3"/>
  <c r="AG144" i="3"/>
  <c r="AF144" i="3"/>
  <c r="CJ362" i="3"/>
  <c r="CI362" i="3"/>
  <c r="CI363" i="3" s="1"/>
  <c r="CM360" i="3"/>
  <c r="CK13" i="156"/>
  <c r="CK360" i="3"/>
  <c r="AE160" i="3"/>
  <c r="AD160" i="3"/>
  <c r="AE155" i="3"/>
  <c r="AD155" i="3"/>
  <c r="CM15" i="156"/>
  <c r="AE206" i="3"/>
  <c r="AD206" i="3"/>
  <c r="CF14" i="3"/>
  <c r="CF413" i="3"/>
  <c r="CF412" i="3"/>
  <c r="CJ379" i="3"/>
  <c r="CI379" i="3"/>
  <c r="AG257" i="3"/>
  <c r="AF257" i="3"/>
  <c r="AE325" i="3"/>
  <c r="AD325" i="3"/>
  <c r="AE130" i="3"/>
  <c r="AD130" i="3"/>
  <c r="AE159" i="3"/>
  <c r="AD159" i="3"/>
  <c r="AG321" i="3"/>
  <c r="AF321" i="3"/>
  <c r="CJ14" i="156"/>
  <c r="CJ360" i="3"/>
  <c r="CG13" i="3"/>
  <c r="AE158" i="3"/>
  <c r="AD158" i="3"/>
  <c r="CJ408" i="3"/>
  <c r="CI408" i="3"/>
  <c r="CI409" i="3" s="1"/>
  <c r="AK119" i="2" l="1"/>
  <c r="AL117" i="2"/>
  <c r="AL173" i="2"/>
  <c r="AT173" i="2"/>
  <c r="AK190" i="2"/>
  <c r="AK189" i="2"/>
  <c r="AL161" i="2"/>
  <c r="AK191" i="2"/>
  <c r="AL191" i="2" s="1"/>
  <c r="AK192" i="2"/>
  <c r="AL192" i="2" s="1"/>
  <c r="AK193" i="2"/>
  <c r="AK342" i="2"/>
  <c r="AK346" i="2"/>
  <c r="AK343" i="2"/>
  <c r="AL303" i="2"/>
  <c r="AK347" i="2"/>
  <c r="AL347" i="2" s="1"/>
  <c r="AK348" i="2"/>
  <c r="AL348" i="2" s="1"/>
  <c r="AK341" i="2"/>
  <c r="AK344" i="2"/>
  <c r="AK351" i="2"/>
  <c r="AL351" i="2" s="1"/>
  <c r="AL123" i="2"/>
  <c r="AK124" i="2"/>
  <c r="AL124" i="2" s="1"/>
  <c r="AN47" i="2"/>
  <c r="AU47" i="2"/>
  <c r="AL68" i="2"/>
  <c r="AK70" i="2"/>
  <c r="AL70" i="2" s="1"/>
  <c r="AT68" i="2"/>
  <c r="AN271" i="2"/>
  <c r="AM272" i="2"/>
  <c r="AN272" i="2" s="1"/>
  <c r="AN90" i="2"/>
  <c r="AM92" i="2"/>
  <c r="AM91" i="2"/>
  <c r="AO84" i="2"/>
  <c r="AM236" i="2"/>
  <c r="AN235" i="2"/>
  <c r="AT116" i="2"/>
  <c r="AL116" i="2"/>
  <c r="AN253" i="2"/>
  <c r="AM254" i="2"/>
  <c r="AK75" i="2"/>
  <c r="AL74" i="2"/>
  <c r="AN228" i="2"/>
  <c r="AM229" i="2"/>
  <c r="AO221" i="2"/>
  <c r="AM230" i="2"/>
  <c r="AN49" i="2"/>
  <c r="AM50" i="2"/>
  <c r="AM302" i="2"/>
  <c r="AM300" i="2"/>
  <c r="AN299" i="2"/>
  <c r="AO292" i="2"/>
  <c r="AK289" i="2"/>
  <c r="AL289" i="2" s="1"/>
  <c r="AL288" i="2"/>
  <c r="AN97" i="2"/>
  <c r="AV97" i="2"/>
  <c r="AM866" i="2"/>
  <c r="AN866" i="2" s="1"/>
  <c r="AN40" i="2"/>
  <c r="AO34" i="2"/>
  <c r="AM42" i="2"/>
  <c r="AM41" i="2"/>
  <c r="AN308" i="2"/>
  <c r="AM309" i="2"/>
  <c r="AN309" i="2" s="1"/>
  <c r="AM275" i="2"/>
  <c r="AL282" i="2"/>
  <c r="AK283" i="2"/>
  <c r="AM170" i="2"/>
  <c r="AM169" i="2"/>
  <c r="AN169" i="2" s="1"/>
  <c r="AN154" i="2"/>
  <c r="AM159" i="2"/>
  <c r="AM172" i="2"/>
  <c r="AM171" i="2"/>
  <c r="AN171" i="2" s="1"/>
  <c r="AM247" i="2"/>
  <c r="AO239" i="2"/>
  <c r="AN246" i="2"/>
  <c r="AM248" i="2"/>
  <c r="AL73" i="2"/>
  <c r="AT73" i="2"/>
  <c r="AO257" i="2"/>
  <c r="AN264" i="2"/>
  <c r="AM265" i="2"/>
  <c r="AM266" i="2"/>
  <c r="CG15" i="3"/>
  <c r="AE333" i="3"/>
  <c r="AD333" i="3"/>
  <c r="AI139" i="3"/>
  <c r="AH139" i="3"/>
  <c r="AG210" i="3"/>
  <c r="AF210" i="3"/>
  <c r="AE248" i="3"/>
  <c r="AD248" i="3"/>
  <c r="AE273" i="3"/>
  <c r="AD273" i="3"/>
  <c r="CG412" i="3"/>
  <c r="AE337" i="3"/>
  <c r="AD337" i="3"/>
  <c r="AE190" i="3"/>
  <c r="AD190" i="3"/>
  <c r="AG323" i="3"/>
  <c r="AF323" i="3"/>
  <c r="AE305" i="3"/>
  <c r="AD305" i="3"/>
  <c r="AE339" i="3"/>
  <c r="AD339" i="3"/>
  <c r="AE338" i="3"/>
  <c r="AD338" i="3"/>
  <c r="AG262" i="3"/>
  <c r="AF262" i="3"/>
  <c r="AE220" i="3"/>
  <c r="AD220" i="3"/>
  <c r="AE218" i="3"/>
  <c r="AD218" i="3"/>
  <c r="CL362" i="3"/>
  <c r="CM362" i="3"/>
  <c r="CK362" i="3"/>
  <c r="CK363" i="3" s="1"/>
  <c r="CI13" i="3"/>
  <c r="AG204" i="3"/>
  <c r="AF204" i="3"/>
  <c r="AG211" i="3"/>
  <c r="AF211" i="3"/>
  <c r="CL408" i="3"/>
  <c r="CM408" i="3"/>
  <c r="CK408" i="3"/>
  <c r="CK409" i="3" s="1"/>
  <c r="CJ417" i="3"/>
  <c r="CI417" i="3"/>
  <c r="CG366" i="3"/>
  <c r="AI314" i="3"/>
  <c r="AH314" i="3"/>
  <c r="AE334" i="3"/>
  <c r="AD334" i="3"/>
  <c r="AE221" i="3"/>
  <c r="AD221" i="3"/>
  <c r="AE215" i="3"/>
  <c r="AD215" i="3"/>
  <c r="CM379" i="3"/>
  <c r="CL379" i="3"/>
  <c r="CK379" i="3"/>
  <c r="AG146" i="3"/>
  <c r="AF146" i="3"/>
  <c r="CK15" i="156"/>
  <c r="CL15" i="156"/>
  <c r="CL406" i="3"/>
  <c r="CH413" i="3"/>
  <c r="CH412" i="3"/>
  <c r="CM412" i="3" s="1"/>
  <c r="CH14" i="3"/>
  <c r="CJ416" i="3"/>
  <c r="CI416" i="3"/>
  <c r="CI14" i="3"/>
  <c r="CI413" i="3"/>
  <c r="CH13" i="3"/>
  <c r="CH366" i="3"/>
  <c r="CM366" i="3" s="1"/>
  <c r="AE340" i="3"/>
  <c r="AD340" i="3"/>
  <c r="AG269" i="3"/>
  <c r="AF269" i="3"/>
  <c r="AG268" i="3"/>
  <c r="AF268" i="3"/>
  <c r="AE214" i="3"/>
  <c r="AD214" i="3"/>
  <c r="AE219" i="3"/>
  <c r="AD219" i="3"/>
  <c r="CL14" i="156"/>
  <c r="CL360" i="3"/>
  <c r="AE276" i="3"/>
  <c r="AD276" i="3"/>
  <c r="AE272" i="3"/>
  <c r="AD272" i="3"/>
  <c r="AM173" i="2" l="1"/>
  <c r="AN172" i="2"/>
  <c r="AN170" i="2"/>
  <c r="AV170" i="2"/>
  <c r="AM282" i="2"/>
  <c r="AN275" i="2"/>
  <c r="AM287" i="2"/>
  <c r="AN287" i="2" s="1"/>
  <c r="AM288" i="2"/>
  <c r="AN42" i="2"/>
  <c r="AM72" i="2"/>
  <c r="AN72" i="2" s="1"/>
  <c r="AM69" i="2"/>
  <c r="AN69" i="2" s="1"/>
  <c r="AM68" i="2"/>
  <c r="AM73" i="2"/>
  <c r="AM67" i="2"/>
  <c r="AN67" i="2" s="1"/>
  <c r="AM74" i="2"/>
  <c r="AM78" i="2"/>
  <c r="AN78" i="2" s="1"/>
  <c r="AO308" i="2"/>
  <c r="AO299" i="2"/>
  <c r="AP292" i="2"/>
  <c r="AO307" i="2"/>
  <c r="AP307" i="2" s="1"/>
  <c r="AV50" i="2"/>
  <c r="AN50" i="2"/>
  <c r="AL75" i="2"/>
  <c r="AT75" i="2"/>
  <c r="AV47" i="2"/>
  <c r="AL342" i="2"/>
  <c r="AT342" i="2"/>
  <c r="AO253" i="2"/>
  <c r="AO246" i="2"/>
  <c r="AO252" i="2"/>
  <c r="AP252" i="2" s="1"/>
  <c r="AP239" i="2"/>
  <c r="AM161" i="2"/>
  <c r="AM160" i="2"/>
  <c r="AO154" i="2"/>
  <c r="AN159" i="2"/>
  <c r="AL283" i="2"/>
  <c r="AO47" i="2"/>
  <c r="AP34" i="2"/>
  <c r="AO46" i="2"/>
  <c r="AP46" i="2" s="1"/>
  <c r="AO40" i="2"/>
  <c r="AO49" i="2"/>
  <c r="AO48" i="2"/>
  <c r="AP48" i="2" s="1"/>
  <c r="AN254" i="2"/>
  <c r="AV254" i="2"/>
  <c r="AM121" i="2"/>
  <c r="AN121" i="2" s="1"/>
  <c r="AM117" i="2"/>
  <c r="AN92" i="2"/>
  <c r="AM118" i="2"/>
  <c r="AN118" i="2" s="1"/>
  <c r="AM122" i="2"/>
  <c r="AN122" i="2" s="1"/>
  <c r="AM116" i="2"/>
  <c r="AM123" i="2"/>
  <c r="AM127" i="2"/>
  <c r="AN127" i="2" s="1"/>
  <c r="AL344" i="2"/>
  <c r="AT344" i="2"/>
  <c r="AN248" i="2"/>
  <c r="AN230" i="2"/>
  <c r="AN236" i="2"/>
  <c r="AV236" i="2"/>
  <c r="AL341" i="2"/>
  <c r="AT341" i="2"/>
  <c r="AL343" i="2"/>
  <c r="AT343" i="2"/>
  <c r="AL193" i="2"/>
  <c r="AT193" i="2"/>
  <c r="AL189" i="2"/>
  <c r="AT189" i="2"/>
  <c r="AN266" i="2"/>
  <c r="AO271" i="2"/>
  <c r="AP257" i="2"/>
  <c r="AO264" i="2"/>
  <c r="AO270" i="2"/>
  <c r="AP270" i="2" s="1"/>
  <c r="AN302" i="2"/>
  <c r="AM303" i="2"/>
  <c r="AO228" i="2"/>
  <c r="AO235" i="2"/>
  <c r="AO234" i="2"/>
  <c r="AP234" i="2" s="1"/>
  <c r="AP221" i="2"/>
  <c r="AO96" i="2"/>
  <c r="AP96" i="2" s="1"/>
  <c r="AO90" i="2"/>
  <c r="AO99" i="2"/>
  <c r="AP99" i="2" s="1"/>
  <c r="AO97" i="2"/>
  <c r="AP84" i="2"/>
  <c r="AO98" i="2"/>
  <c r="AP98" i="2" s="1"/>
  <c r="AK349" i="2"/>
  <c r="AL349" i="2" s="1"/>
  <c r="AL346" i="2"/>
  <c r="AL190" i="2"/>
  <c r="AT190" i="2"/>
  <c r="AL119" i="2"/>
  <c r="AT119" i="2"/>
  <c r="CJ366" i="3"/>
  <c r="CJ13" i="3"/>
  <c r="AG325" i="3"/>
  <c r="AF325" i="3"/>
  <c r="AI151" i="3"/>
  <c r="AH151" i="3"/>
  <c r="CI412" i="3"/>
  <c r="AG154" i="3"/>
  <c r="AF154" i="3"/>
  <c r="AG158" i="3"/>
  <c r="AF158" i="3"/>
  <c r="AI329" i="3"/>
  <c r="AH329" i="3"/>
  <c r="CK413" i="3"/>
  <c r="CK14" i="3"/>
  <c r="AG206" i="3"/>
  <c r="AF206" i="3"/>
  <c r="AG264" i="3"/>
  <c r="AF264" i="3"/>
  <c r="CK412" i="3"/>
  <c r="AI144" i="3"/>
  <c r="AH144" i="3"/>
  <c r="CJ14" i="3"/>
  <c r="CJ413" i="3"/>
  <c r="CJ412" i="3"/>
  <c r="AG160" i="3"/>
  <c r="AF160" i="3"/>
  <c r="AG155" i="3"/>
  <c r="AF155" i="3"/>
  <c r="CM417" i="3"/>
  <c r="CL417" i="3"/>
  <c r="CK417" i="3"/>
  <c r="AG130" i="3"/>
  <c r="AF130" i="3"/>
  <c r="CI366" i="3"/>
  <c r="CM13" i="3"/>
  <c r="CK13" i="3"/>
  <c r="AI257" i="3"/>
  <c r="AH257" i="3"/>
  <c r="AI150" i="3"/>
  <c r="AH150" i="3"/>
  <c r="BZ146" i="3"/>
  <c r="BY146" i="3"/>
  <c r="AI330" i="3"/>
  <c r="AH330" i="3"/>
  <c r="AG161" i="3"/>
  <c r="AF161" i="3"/>
  <c r="AG159" i="3"/>
  <c r="AF159" i="3"/>
  <c r="AI321" i="3"/>
  <c r="AH321" i="3"/>
  <c r="CL416" i="3"/>
  <c r="CM416" i="3"/>
  <c r="CK416" i="3"/>
  <c r="AI199" i="3"/>
  <c r="AH199" i="3"/>
  <c r="CI15" i="3"/>
  <c r="AP235" i="2" l="1"/>
  <c r="AO236" i="2"/>
  <c r="AO272" i="2"/>
  <c r="AP271" i="2"/>
  <c r="BJ247" i="2"/>
  <c r="AO247" i="2"/>
  <c r="AP246" i="2"/>
  <c r="AQ239" i="2"/>
  <c r="AO248" i="2"/>
  <c r="AO300" i="2"/>
  <c r="BJ300" i="2"/>
  <c r="AP299" i="2"/>
  <c r="AO302" i="2"/>
  <c r="AQ292" i="2"/>
  <c r="AO50" i="2"/>
  <c r="AP49" i="2"/>
  <c r="AX47" i="2"/>
  <c r="AP47" i="2"/>
  <c r="AO159" i="2"/>
  <c r="AO172" i="2"/>
  <c r="AO171" i="2"/>
  <c r="AP171" i="2" s="1"/>
  <c r="AO170" i="2"/>
  <c r="AO169" i="2"/>
  <c r="AP169" i="2" s="1"/>
  <c r="AP154" i="2"/>
  <c r="AN68" i="2"/>
  <c r="AM70" i="2"/>
  <c r="AN70" i="2" s="1"/>
  <c r="AV68" i="2"/>
  <c r="AN288" i="2"/>
  <c r="AM289" i="2"/>
  <c r="AN289" i="2" s="1"/>
  <c r="AO42" i="2"/>
  <c r="AQ34" i="2"/>
  <c r="AO41" i="2"/>
  <c r="AP40" i="2"/>
  <c r="BJ41" i="2"/>
  <c r="AN74" i="2"/>
  <c r="AM75" i="2"/>
  <c r="AM124" i="2"/>
  <c r="AN124" i="2" s="1"/>
  <c r="AN123" i="2"/>
  <c r="AM191" i="2"/>
  <c r="AN191" i="2" s="1"/>
  <c r="AM190" i="2"/>
  <c r="AM189" i="2"/>
  <c r="AN161" i="2"/>
  <c r="AM193" i="2"/>
  <c r="AM192" i="2"/>
  <c r="AN192" i="2" s="1"/>
  <c r="AO254" i="2"/>
  <c r="AP253" i="2"/>
  <c r="AP308" i="2"/>
  <c r="AO309" i="2"/>
  <c r="AP309" i="2" s="1"/>
  <c r="AO91" i="2"/>
  <c r="AP90" i="2"/>
  <c r="BJ91" i="2"/>
  <c r="AQ84" i="2"/>
  <c r="AO92" i="2"/>
  <c r="AO229" i="2"/>
  <c r="AP228" i="2"/>
  <c r="AQ221" i="2"/>
  <c r="BJ229" i="2"/>
  <c r="AO230" i="2"/>
  <c r="AP97" i="2"/>
  <c r="AX97" i="2"/>
  <c r="AM346" i="2"/>
  <c r="AM343" i="2"/>
  <c r="AM342" i="2"/>
  <c r="AN303" i="2"/>
  <c r="AM347" i="2"/>
  <c r="AN347" i="2" s="1"/>
  <c r="AM348" i="2"/>
  <c r="AN348" i="2" s="1"/>
  <c r="AM341" i="2"/>
  <c r="AM344" i="2"/>
  <c r="AM351" i="2"/>
  <c r="AN351" i="2" s="1"/>
  <c r="BJ265" i="2"/>
  <c r="AO265" i="2"/>
  <c r="AP264" i="2"/>
  <c r="AQ257" i="2"/>
  <c r="AO266" i="2"/>
  <c r="AV116" i="2"/>
  <c r="AN116" i="2"/>
  <c r="AM119" i="2"/>
  <c r="AN117" i="2"/>
  <c r="AN73" i="2"/>
  <c r="AV73" i="2"/>
  <c r="AN282" i="2"/>
  <c r="AO275" i="2"/>
  <c r="AM283" i="2"/>
  <c r="AN173" i="2"/>
  <c r="AV173" i="2"/>
  <c r="CK366" i="3"/>
  <c r="AQ150" i="3"/>
  <c r="AP150" i="3"/>
  <c r="AQ268" i="3"/>
  <c r="AI268" i="3"/>
  <c r="AH268" i="3"/>
  <c r="AG218" i="3"/>
  <c r="AF218" i="3"/>
  <c r="AG339" i="3"/>
  <c r="AF339" i="3"/>
  <c r="AI211" i="3"/>
  <c r="AH211" i="3"/>
  <c r="AK314" i="3"/>
  <c r="AJ314" i="3"/>
  <c r="BZ130" i="3"/>
  <c r="BY130" i="3"/>
  <c r="BZ160" i="3"/>
  <c r="BY160" i="3"/>
  <c r="CL13" i="3"/>
  <c r="AG273" i="3"/>
  <c r="AF273" i="3"/>
  <c r="AG214" i="3"/>
  <c r="AF214" i="3"/>
  <c r="AG215" i="3"/>
  <c r="AF215" i="3"/>
  <c r="AG340" i="3"/>
  <c r="AF340" i="3"/>
  <c r="AG337" i="3"/>
  <c r="AF337" i="3"/>
  <c r="BZ159" i="3"/>
  <c r="BY159" i="3"/>
  <c r="AI146" i="3"/>
  <c r="AH146" i="3"/>
  <c r="BZ264" i="3"/>
  <c r="BY264" i="3"/>
  <c r="AG272" i="3"/>
  <c r="AF272" i="3"/>
  <c r="AG190" i="3"/>
  <c r="AF190" i="3"/>
  <c r="CL413" i="3"/>
  <c r="CL14" i="3"/>
  <c r="AI204" i="3"/>
  <c r="AH204" i="3"/>
  <c r="BZ154" i="3"/>
  <c r="BY154" i="3"/>
  <c r="BZ161" i="3"/>
  <c r="BY161" i="3"/>
  <c r="AI269" i="3"/>
  <c r="AH269" i="3"/>
  <c r="AG276" i="3"/>
  <c r="AF276" i="3"/>
  <c r="BZ206" i="3"/>
  <c r="BY206" i="3"/>
  <c r="AG221" i="3"/>
  <c r="AF221" i="3"/>
  <c r="AG219" i="3"/>
  <c r="AF219" i="3"/>
  <c r="AG305" i="3"/>
  <c r="AF305" i="3"/>
  <c r="AG333" i="3"/>
  <c r="AF333" i="3"/>
  <c r="AG338" i="3"/>
  <c r="AF338" i="3"/>
  <c r="AI323" i="3"/>
  <c r="AH323" i="3"/>
  <c r="AI210" i="3"/>
  <c r="AQ210" i="3"/>
  <c r="AH210" i="3"/>
  <c r="BZ158" i="3"/>
  <c r="BY158" i="3"/>
  <c r="BZ155" i="3"/>
  <c r="BY155" i="3"/>
  <c r="AI262" i="3"/>
  <c r="AH262" i="3"/>
  <c r="CK15" i="3"/>
  <c r="AK139" i="3"/>
  <c r="AJ139" i="3"/>
  <c r="CL366" i="3"/>
  <c r="AG248" i="3"/>
  <c r="AF248" i="3"/>
  <c r="AG220" i="3"/>
  <c r="AF220" i="3"/>
  <c r="CM14" i="3"/>
  <c r="CM413" i="3"/>
  <c r="BZ325" i="3"/>
  <c r="BY325" i="3"/>
  <c r="AG334" i="3"/>
  <c r="AF334" i="3"/>
  <c r="AP266" i="2" l="1"/>
  <c r="BJ266" i="2"/>
  <c r="BK266" i="2" s="1"/>
  <c r="AN342" i="2"/>
  <c r="AV342" i="2"/>
  <c r="AN343" i="2"/>
  <c r="AV343" i="2"/>
  <c r="AN119" i="2"/>
  <c r="AV119" i="2"/>
  <c r="AR257" i="2"/>
  <c r="AQ270" i="2"/>
  <c r="AR270" i="2" s="1"/>
  <c r="AP230" i="2"/>
  <c r="BJ230" i="2"/>
  <c r="BK230" i="2" s="1"/>
  <c r="AQ224" i="2"/>
  <c r="AQ228" i="2" s="1"/>
  <c r="AR221" i="2"/>
  <c r="AQ234" i="2"/>
  <c r="AR234" i="2" s="1"/>
  <c r="AR84" i="2"/>
  <c r="AQ88" i="2"/>
  <c r="AQ87" i="2"/>
  <c r="AQ96" i="2"/>
  <c r="AR96" i="2" s="1"/>
  <c r="AX254" i="2"/>
  <c r="AP254" i="2"/>
  <c r="AO68" i="2"/>
  <c r="AO72" i="2"/>
  <c r="AP42" i="2"/>
  <c r="AO74" i="2"/>
  <c r="AO73" i="2"/>
  <c r="AO69" i="2"/>
  <c r="AP69" i="2" s="1"/>
  <c r="AO67" i="2"/>
  <c r="AO78" i="2"/>
  <c r="AP78" i="2" s="1"/>
  <c r="BJ42" i="2"/>
  <c r="BJ160" i="2"/>
  <c r="AQ154" i="2"/>
  <c r="AP159" i="2"/>
  <c r="AO161" i="2"/>
  <c r="AO160" i="2"/>
  <c r="AX50" i="2"/>
  <c r="AP50" i="2"/>
  <c r="AN283" i="2"/>
  <c r="AM349" i="2"/>
  <c r="AN349" i="2" s="1"/>
  <c r="AN346" i="2"/>
  <c r="AN189" i="2"/>
  <c r="AV189" i="2"/>
  <c r="AO866" i="2"/>
  <c r="AP170" i="2"/>
  <c r="AX170" i="2"/>
  <c r="AR292" i="2"/>
  <c r="AQ307" i="2"/>
  <c r="AR307" i="2" s="1"/>
  <c r="AQ272" i="2"/>
  <c r="AP272" i="2"/>
  <c r="AN341" i="2"/>
  <c r="AV341" i="2"/>
  <c r="AP275" i="2"/>
  <c r="AO282" i="2"/>
  <c r="AO288" i="2"/>
  <c r="AO287" i="2"/>
  <c r="AP287" i="2" s="1"/>
  <c r="AN344" i="2"/>
  <c r="AV344" i="2"/>
  <c r="AN190" i="2"/>
  <c r="AV190" i="2"/>
  <c r="AN75" i="2"/>
  <c r="AV75" i="2"/>
  <c r="AP302" i="2"/>
  <c r="AO303" i="2"/>
  <c r="AP248" i="2"/>
  <c r="BJ248" i="2"/>
  <c r="BK248" i="2" s="1"/>
  <c r="AX236" i="2"/>
  <c r="AP236" i="2"/>
  <c r="AO121" i="2"/>
  <c r="AO118" i="2"/>
  <c r="AP118" i="2" s="1"/>
  <c r="AO117" i="2"/>
  <c r="AP92" i="2"/>
  <c r="AO122" i="2"/>
  <c r="AO116" i="2"/>
  <c r="AO123" i="2"/>
  <c r="AO127" i="2"/>
  <c r="AP127" i="2" s="1"/>
  <c r="BJ92" i="2"/>
  <c r="AN193" i="2"/>
  <c r="AV193" i="2"/>
  <c r="AQ38" i="2"/>
  <c r="AQ40" i="2" s="1"/>
  <c r="AQ37" i="2"/>
  <c r="AR34" i="2"/>
  <c r="AQ46" i="2"/>
  <c r="AR46" i="2" s="1"/>
  <c r="AO173" i="2"/>
  <c r="AP172" i="2"/>
  <c r="AQ242" i="2"/>
  <c r="AQ246" i="2" s="1"/>
  <c r="AR239" i="2"/>
  <c r="AQ252" i="2"/>
  <c r="AR252" i="2" s="1"/>
  <c r="BZ276" i="3"/>
  <c r="BY276" i="3"/>
  <c r="AI160" i="3"/>
  <c r="AH160" i="3"/>
  <c r="AK321" i="3"/>
  <c r="AJ321" i="3"/>
  <c r="BZ337" i="3"/>
  <c r="BY337" i="3"/>
  <c r="BZ334" i="3"/>
  <c r="BY334" i="3"/>
  <c r="AK150" i="3"/>
  <c r="AJ150" i="3"/>
  <c r="AK144" i="3"/>
  <c r="AJ144" i="3"/>
  <c r="AI325" i="3"/>
  <c r="AH325" i="3"/>
  <c r="BZ214" i="3"/>
  <c r="BY214" i="3"/>
  <c r="BZ219" i="3"/>
  <c r="BY219" i="3"/>
  <c r="AI154" i="3"/>
  <c r="AH154" i="3"/>
  <c r="AI155" i="3"/>
  <c r="AH155" i="3"/>
  <c r="AK330" i="3"/>
  <c r="AJ330" i="3"/>
  <c r="BZ339" i="3"/>
  <c r="BY339" i="3"/>
  <c r="BZ220" i="3"/>
  <c r="BY220" i="3"/>
  <c r="AK257" i="3"/>
  <c r="AJ257" i="3"/>
  <c r="BZ218" i="3"/>
  <c r="BY218" i="3"/>
  <c r="BZ215" i="3"/>
  <c r="BY215" i="3"/>
  <c r="AK199" i="3"/>
  <c r="AJ199" i="3"/>
  <c r="BZ272" i="3"/>
  <c r="BY272" i="3"/>
  <c r="AI130" i="3"/>
  <c r="AH130" i="3"/>
  <c r="AI159" i="3"/>
  <c r="AH159" i="3"/>
  <c r="AI158" i="3"/>
  <c r="AH158" i="3"/>
  <c r="AK329" i="3"/>
  <c r="AJ329" i="3"/>
  <c r="BZ190" i="3"/>
  <c r="BY190" i="3"/>
  <c r="BZ305" i="3"/>
  <c r="BY305" i="3"/>
  <c r="BZ333" i="3"/>
  <c r="BY333" i="3"/>
  <c r="BZ340" i="3"/>
  <c r="BY340" i="3"/>
  <c r="BZ338" i="3"/>
  <c r="BY338" i="3"/>
  <c r="AK151" i="3"/>
  <c r="AJ151" i="3"/>
  <c r="AI264" i="3"/>
  <c r="AH264" i="3"/>
  <c r="BZ221" i="3"/>
  <c r="BY221" i="3"/>
  <c r="AI206" i="3"/>
  <c r="AH206" i="3"/>
  <c r="CL412" i="3"/>
  <c r="BY248" i="3"/>
  <c r="BZ273" i="3"/>
  <c r="BY273" i="3"/>
  <c r="AI161" i="3"/>
  <c r="AH161" i="3"/>
  <c r="AQ247" i="2" l="1"/>
  <c r="AR246" i="2"/>
  <c r="AS239" i="2"/>
  <c r="AQ248" i="2"/>
  <c r="AP173" i="2"/>
  <c r="AX173" i="2"/>
  <c r="AR37" i="2"/>
  <c r="AQ44" i="2"/>
  <c r="BK92" i="2"/>
  <c r="BJ123" i="2"/>
  <c r="BK123" i="2" s="1"/>
  <c r="BJ118" i="2"/>
  <c r="BK118" i="2" s="1"/>
  <c r="BJ121" i="2"/>
  <c r="BJ117" i="2"/>
  <c r="BJ122" i="2"/>
  <c r="BK122" i="2" s="1"/>
  <c r="BJ116" i="2"/>
  <c r="BK116" i="2" s="1"/>
  <c r="BJ127" i="2"/>
  <c r="BK127" i="2" s="1"/>
  <c r="AQ122" i="2"/>
  <c r="AP122" i="2"/>
  <c r="AQ121" i="2"/>
  <c r="AP121" i="2"/>
  <c r="AQ275" i="2"/>
  <c r="AP282" i="2"/>
  <c r="AO283" i="2"/>
  <c r="AR154" i="2"/>
  <c r="AQ159" i="2"/>
  <c r="AQ156" i="2"/>
  <c r="AQ172" i="2"/>
  <c r="AR172" i="2" s="1"/>
  <c r="AQ169" i="2"/>
  <c r="AR169" i="2" s="1"/>
  <c r="AQ67" i="2"/>
  <c r="AP67" i="2"/>
  <c r="AQ99" i="2"/>
  <c r="AR99" i="2" s="1"/>
  <c r="AR88" i="2"/>
  <c r="AQ235" i="2"/>
  <c r="AR235" i="2" s="1"/>
  <c r="AR224" i="2"/>
  <c r="AQ49" i="2"/>
  <c r="AR49" i="2" s="1"/>
  <c r="AR38" i="2"/>
  <c r="AO342" i="2"/>
  <c r="AO346" i="2"/>
  <c r="AO343" i="2"/>
  <c r="AP303" i="2"/>
  <c r="BJ303" i="2"/>
  <c r="AO341" i="2"/>
  <c r="AO347" i="2"/>
  <c r="AO348" i="2"/>
  <c r="AO344" i="2"/>
  <c r="AO351" i="2"/>
  <c r="AP351" i="2" s="1"/>
  <c r="AS272" i="2"/>
  <c r="AR272" i="2"/>
  <c r="AO190" i="2"/>
  <c r="AO189" i="2"/>
  <c r="AP161" i="2"/>
  <c r="AO191" i="2"/>
  <c r="AO192" i="2"/>
  <c r="AP192" i="2" s="1"/>
  <c r="AO193" i="2"/>
  <c r="BJ161" i="2"/>
  <c r="AQ72" i="2"/>
  <c r="AP72" i="2"/>
  <c r="AQ229" i="2"/>
  <c r="AR228" i="2"/>
  <c r="AS221" i="2"/>
  <c r="AQ230" i="2"/>
  <c r="AQ260" i="2"/>
  <c r="AQ253" i="2"/>
  <c r="AR253" i="2" s="1"/>
  <c r="AR242" i="2"/>
  <c r="AS34" i="2"/>
  <c r="AQ41" i="2"/>
  <c r="AQ42" i="2"/>
  <c r="AR40" i="2"/>
  <c r="AO124" i="2"/>
  <c r="AP123" i="2"/>
  <c r="AQ117" i="2"/>
  <c r="AO119" i="2"/>
  <c r="AP117" i="2"/>
  <c r="BK42" i="2"/>
  <c r="BJ72" i="2"/>
  <c r="BJ73" i="2"/>
  <c r="BK73" i="2" s="1"/>
  <c r="BJ74" i="2"/>
  <c r="BK74" i="2" s="1"/>
  <c r="BJ68" i="2"/>
  <c r="BJ67" i="2"/>
  <c r="BK67" i="2" s="1"/>
  <c r="BJ69" i="2"/>
  <c r="BK69" i="2" s="1"/>
  <c r="BJ78" i="2"/>
  <c r="BK78" i="2" s="1"/>
  <c r="AP73" i="2"/>
  <c r="AX73" i="2"/>
  <c r="AP68" i="2"/>
  <c r="AO70" i="2"/>
  <c r="AX68" i="2"/>
  <c r="AR87" i="2"/>
  <c r="AQ94" i="2"/>
  <c r="AP116" i="2"/>
  <c r="AX116" i="2"/>
  <c r="AO289" i="2"/>
  <c r="AP288" i="2"/>
  <c r="AP866" i="2"/>
  <c r="AQ866" i="2"/>
  <c r="AP74" i="2"/>
  <c r="AO75" i="2"/>
  <c r="AQ90" i="2"/>
  <c r="AK210" i="3"/>
  <c r="AS210" i="3"/>
  <c r="AJ210" i="3"/>
  <c r="AI305" i="3"/>
  <c r="AH305" i="3"/>
  <c r="AI340" i="3"/>
  <c r="AH340" i="3"/>
  <c r="AI338" i="3"/>
  <c r="AH338" i="3"/>
  <c r="AK146" i="3"/>
  <c r="AJ146" i="3"/>
  <c r="AS150" i="3"/>
  <c r="AR150" i="3"/>
  <c r="AK323" i="3"/>
  <c r="AJ323" i="3"/>
  <c r="AI220" i="3"/>
  <c r="AH220" i="3"/>
  <c r="AI219" i="3"/>
  <c r="AH219" i="3"/>
  <c r="AK211" i="3"/>
  <c r="AJ211" i="3"/>
  <c r="AI334" i="3"/>
  <c r="AH334" i="3"/>
  <c r="AI248" i="3"/>
  <c r="AH248" i="3"/>
  <c r="AK204" i="3"/>
  <c r="AJ204" i="3"/>
  <c r="AI333" i="3"/>
  <c r="AH333" i="3"/>
  <c r="AM139" i="3"/>
  <c r="AL139" i="3"/>
  <c r="AI221" i="3"/>
  <c r="AH221" i="3"/>
  <c r="AI218" i="3"/>
  <c r="AH218" i="3"/>
  <c r="AI273" i="3"/>
  <c r="AH273" i="3"/>
  <c r="BZ248" i="3"/>
  <c r="AI190" i="3"/>
  <c r="AH190" i="3"/>
  <c r="AI215" i="3"/>
  <c r="AH215" i="3"/>
  <c r="AK262" i="3"/>
  <c r="AJ262" i="3"/>
  <c r="AQ214" i="3"/>
  <c r="AI214" i="3"/>
  <c r="AH214" i="3"/>
  <c r="AI276" i="3"/>
  <c r="AH276" i="3"/>
  <c r="AI272" i="3"/>
  <c r="AQ272" i="3"/>
  <c r="AH272" i="3"/>
  <c r="AK269" i="3"/>
  <c r="AJ269" i="3"/>
  <c r="AK268" i="3"/>
  <c r="AS268" i="3"/>
  <c r="AJ268" i="3"/>
  <c r="AI339" i="3"/>
  <c r="AH339" i="3"/>
  <c r="AI337" i="3"/>
  <c r="AH337" i="3"/>
  <c r="AM314" i="3"/>
  <c r="AL314" i="3"/>
  <c r="AQ92" i="2" l="1"/>
  <c r="AS84" i="2"/>
  <c r="AQ91" i="2"/>
  <c r="AR90" i="2"/>
  <c r="BJ70" i="2"/>
  <c r="BK70" i="2" s="1"/>
  <c r="BK68" i="2"/>
  <c r="AP190" i="2"/>
  <c r="AX190" i="2"/>
  <c r="AP344" i="2"/>
  <c r="AX344" i="2"/>
  <c r="BK303" i="2"/>
  <c r="BJ366" i="2"/>
  <c r="BK366" i="2" s="1"/>
  <c r="BJ343" i="2"/>
  <c r="BK343" i="2" s="1"/>
  <c r="BJ364" i="2"/>
  <c r="BJ347" i="2"/>
  <c r="BK347" i="2" s="1"/>
  <c r="BJ361" i="2"/>
  <c r="BK361" i="2" s="1"/>
  <c r="BJ342" i="2"/>
  <c r="BK342" i="2" s="1"/>
  <c r="BJ360" i="2"/>
  <c r="BK360" i="2" s="1"/>
  <c r="BJ348" i="2"/>
  <c r="BK348" i="2" s="1"/>
  <c r="BJ346" i="2"/>
  <c r="BJ365" i="2"/>
  <c r="BK365" i="2" s="1"/>
  <c r="BJ359" i="2"/>
  <c r="BJ341" i="2"/>
  <c r="BK341" i="2" s="1"/>
  <c r="BJ369" i="2"/>
  <c r="BK369" i="2" s="1"/>
  <c r="BJ344" i="2"/>
  <c r="BK344" i="2" s="1"/>
  <c r="BJ370" i="2"/>
  <c r="BK370" i="2" s="1"/>
  <c r="BJ351" i="2"/>
  <c r="BK351" i="2" s="1"/>
  <c r="AO349" i="2"/>
  <c r="AP349" i="2" s="1"/>
  <c r="AQ346" i="2"/>
  <c r="AP346" i="2"/>
  <c r="AS67" i="2"/>
  <c r="AR67" i="2"/>
  <c r="AQ52" i="2"/>
  <c r="AQ163" i="2"/>
  <c r="AQ161" i="2"/>
  <c r="AQ160" i="2"/>
  <c r="AS154" i="2"/>
  <c r="AQ164" i="2"/>
  <c r="AQ165" i="2" s="1"/>
  <c r="AR159" i="2"/>
  <c r="AS242" i="2"/>
  <c r="AT239" i="2"/>
  <c r="AS252" i="2"/>
  <c r="AT252" i="2" s="1"/>
  <c r="AP75" i="2"/>
  <c r="AX75" i="2"/>
  <c r="AQ98" i="2"/>
  <c r="AR98" i="2" s="1"/>
  <c r="AR94" i="2"/>
  <c r="AP70" i="2"/>
  <c r="AQ70" i="2"/>
  <c r="AP124" i="2"/>
  <c r="AQ124" i="2"/>
  <c r="AS38" i="2"/>
  <c r="AT34" i="2"/>
  <c r="AS46" i="2"/>
  <c r="AT46" i="2" s="1"/>
  <c r="AS37" i="2"/>
  <c r="AS224" i="2"/>
  <c r="AS228" i="2" s="1"/>
  <c r="AT221" i="2"/>
  <c r="AS234" i="2"/>
  <c r="AT234" i="2" s="1"/>
  <c r="AQ74" i="2"/>
  <c r="AR72" i="2"/>
  <c r="AQ58" i="2"/>
  <c r="AS72" i="2"/>
  <c r="AQ191" i="2"/>
  <c r="AP191" i="2"/>
  <c r="AQ348" i="2"/>
  <c r="AP348" i="2"/>
  <c r="AP342" i="2"/>
  <c r="AX342" i="2"/>
  <c r="AR275" i="2"/>
  <c r="AQ287" i="2"/>
  <c r="AR287" i="2" s="1"/>
  <c r="AR122" i="2"/>
  <c r="AQ108" i="2"/>
  <c r="AS122" i="2"/>
  <c r="BK117" i="2"/>
  <c r="BJ119" i="2"/>
  <c r="BK119" i="2" s="1"/>
  <c r="AQ289" i="2"/>
  <c r="AQ278" i="2" s="1"/>
  <c r="AP289" i="2"/>
  <c r="AP119" i="2"/>
  <c r="AX119" i="2"/>
  <c r="AR260" i="2"/>
  <c r="AQ271" i="2"/>
  <c r="AR271" i="2" s="1"/>
  <c r="AQ264" i="2"/>
  <c r="BK161" i="2"/>
  <c r="BJ190" i="2"/>
  <c r="BK190" i="2" s="1"/>
  <c r="BJ189" i="2"/>
  <c r="BK189" i="2" s="1"/>
  <c r="BJ191" i="2"/>
  <c r="BK191" i="2" s="1"/>
  <c r="BJ192" i="2"/>
  <c r="BK192" i="2" s="1"/>
  <c r="BJ193" i="2"/>
  <c r="AU272" i="2"/>
  <c r="AT272" i="2"/>
  <c r="AQ347" i="2"/>
  <c r="AP347" i="2"/>
  <c r="AP283" i="2"/>
  <c r="BJ283" i="2"/>
  <c r="BK283" i="2" s="1"/>
  <c r="BK121" i="2"/>
  <c r="BJ124" i="2"/>
  <c r="AQ48" i="2"/>
  <c r="AR48" i="2" s="1"/>
  <c r="AR44" i="2"/>
  <c r="AS866" i="2"/>
  <c r="AR866" i="2"/>
  <c r="BJ75" i="2"/>
  <c r="BK75" i="2" s="1"/>
  <c r="BK72" i="2"/>
  <c r="AS117" i="2"/>
  <c r="AR117" i="2"/>
  <c r="AQ102" i="2"/>
  <c r="AQ118" i="2"/>
  <c r="AQ59" i="2"/>
  <c r="AQ53" i="2"/>
  <c r="AR42" i="2"/>
  <c r="AR230" i="2"/>
  <c r="AP193" i="2"/>
  <c r="AX193" i="2"/>
  <c r="AP189" i="2"/>
  <c r="AX189" i="2"/>
  <c r="AP341" i="2"/>
  <c r="AX341" i="2"/>
  <c r="AP343" i="2"/>
  <c r="AX343" i="2"/>
  <c r="AR156" i="2"/>
  <c r="AQ167" i="2"/>
  <c r="AS121" i="2"/>
  <c r="AR121" i="2"/>
  <c r="AQ107" i="2"/>
  <c r="AR248" i="2"/>
  <c r="AK158" i="3"/>
  <c r="AJ158" i="3"/>
  <c r="AK159" i="3"/>
  <c r="AJ159" i="3"/>
  <c r="AM329" i="3"/>
  <c r="AL329" i="3"/>
  <c r="AM257" i="3"/>
  <c r="AL257" i="3"/>
  <c r="AM150" i="3"/>
  <c r="AL150" i="3"/>
  <c r="AK325" i="3"/>
  <c r="AJ325" i="3"/>
  <c r="AK154" i="3"/>
  <c r="AJ154" i="3"/>
  <c r="AK155" i="3"/>
  <c r="AJ155" i="3"/>
  <c r="AM321" i="3"/>
  <c r="AL321" i="3"/>
  <c r="AM330" i="3"/>
  <c r="AL330" i="3"/>
  <c r="AK264" i="3"/>
  <c r="AJ264" i="3"/>
  <c r="AK206" i="3"/>
  <c r="AJ206" i="3"/>
  <c r="AK130" i="3"/>
  <c r="AJ130" i="3"/>
  <c r="AK161" i="3"/>
  <c r="AJ161" i="3"/>
  <c r="AM144" i="3"/>
  <c r="AL144" i="3"/>
  <c r="AM151" i="3"/>
  <c r="AL151" i="3"/>
  <c r="AM199" i="3"/>
  <c r="AL199" i="3"/>
  <c r="AK160" i="3"/>
  <c r="AJ160" i="3"/>
  <c r="AS40" i="2" l="1"/>
  <c r="AQ295" i="2"/>
  <c r="AQ288" i="2"/>
  <c r="AR288" i="2" s="1"/>
  <c r="AR278" i="2"/>
  <c r="AQ282" i="2"/>
  <c r="AQ171" i="2"/>
  <c r="AR171" i="2" s="1"/>
  <c r="AR167" i="2"/>
  <c r="AR107" i="2"/>
  <c r="AR102" i="2"/>
  <c r="AW272" i="2"/>
  <c r="AX272" i="2" s="1"/>
  <c r="AV272" i="2"/>
  <c r="AS348" i="2"/>
  <c r="AR348" i="2"/>
  <c r="AQ138" i="2"/>
  <c r="AR138" i="2" s="1"/>
  <c r="AR58" i="2"/>
  <c r="AS124" i="2"/>
  <c r="AQ125" i="2"/>
  <c r="AR124" i="2"/>
  <c r="BK346" i="2"/>
  <c r="BJ349" i="2"/>
  <c r="BK349" i="2" s="1"/>
  <c r="AU121" i="2"/>
  <c r="AT121" i="2"/>
  <c r="AQ134" i="2"/>
  <c r="AR134" i="2" s="1"/>
  <c r="AR53" i="2"/>
  <c r="BJ125" i="2"/>
  <c r="BK124" i="2"/>
  <c r="BK125" i="2" s="1"/>
  <c r="BJ194" i="2"/>
  <c r="BK193" i="2"/>
  <c r="BK194" i="2" s="1"/>
  <c r="AS235" i="2"/>
  <c r="AT235" i="2" s="1"/>
  <c r="AT224" i="2"/>
  <c r="AQ177" i="2"/>
  <c r="AQ176" i="2"/>
  <c r="AR161" i="2"/>
  <c r="AU67" i="2"/>
  <c r="AT67" i="2"/>
  <c r="AQ139" i="2"/>
  <c r="AR139" i="2" s="1"/>
  <c r="AR59" i="2"/>
  <c r="AS118" i="2"/>
  <c r="AU117" i="2"/>
  <c r="AT117" i="2"/>
  <c r="AT866" i="2"/>
  <c r="AU866" i="2"/>
  <c r="AS347" i="2"/>
  <c r="AR347" i="2"/>
  <c r="AU122" i="2"/>
  <c r="AT122" i="2"/>
  <c r="AR191" i="2"/>
  <c r="AS191" i="2"/>
  <c r="AQ180" i="2"/>
  <c r="AQ192" i="2"/>
  <c r="AQ60" i="2"/>
  <c r="AR74" i="2"/>
  <c r="AS229" i="2"/>
  <c r="AT228" i="2"/>
  <c r="AU221" i="2"/>
  <c r="AS230" i="2"/>
  <c r="AS42" i="2"/>
  <c r="AS58" i="2" s="1"/>
  <c r="AU34" i="2"/>
  <c r="AT40" i="2"/>
  <c r="AS41" i="2"/>
  <c r="AS70" i="2"/>
  <c r="AR70" i="2"/>
  <c r="AQ69" i="2"/>
  <c r="AS253" i="2"/>
  <c r="AT253" i="2" s="1"/>
  <c r="AT242" i="2"/>
  <c r="AS157" i="2"/>
  <c r="BJ362" i="2"/>
  <c r="BK362" i="2" s="1"/>
  <c r="BK359" i="2"/>
  <c r="BJ367" i="2"/>
  <c r="BK367" i="2" s="1"/>
  <c r="BK364" i="2"/>
  <c r="AT84" i="2"/>
  <c r="AS88" i="2"/>
  <c r="AS87" i="2"/>
  <c r="AS96" i="2"/>
  <c r="AT96" i="2" s="1"/>
  <c r="AR118" i="2"/>
  <c r="AQ106" i="2"/>
  <c r="AR264" i="2"/>
  <c r="AS257" i="2"/>
  <c r="AQ265" i="2"/>
  <c r="AQ266" i="2"/>
  <c r="AS289" i="2"/>
  <c r="AR289" i="2"/>
  <c r="AR108" i="2"/>
  <c r="AU72" i="2"/>
  <c r="AT72" i="2"/>
  <c r="AS74" i="2"/>
  <c r="AT37" i="2"/>
  <c r="AS44" i="2"/>
  <c r="AS49" i="2"/>
  <c r="AT49" i="2" s="1"/>
  <c r="AT38" i="2"/>
  <c r="AS246" i="2"/>
  <c r="AS156" i="2"/>
  <c r="AS169" i="2"/>
  <c r="AT169" i="2" s="1"/>
  <c r="AT154" i="2"/>
  <c r="AR52" i="2"/>
  <c r="AQ54" i="2"/>
  <c r="AQ349" i="2"/>
  <c r="AR349" i="2" s="1"/>
  <c r="AS346" i="2"/>
  <c r="AR346" i="2"/>
  <c r="AR92" i="2"/>
  <c r="AQ101" i="2"/>
  <c r="AN150" i="3"/>
  <c r="AO150" i="3"/>
  <c r="AM211" i="3"/>
  <c r="AL211" i="3"/>
  <c r="AO139" i="3"/>
  <c r="AN139" i="3"/>
  <c r="AK221" i="3"/>
  <c r="AJ221" i="3"/>
  <c r="AU150" i="3"/>
  <c r="AT150" i="3"/>
  <c r="AM210" i="3"/>
  <c r="AU210" i="3"/>
  <c r="AL210" i="3"/>
  <c r="AK214" i="3"/>
  <c r="AS214" i="3"/>
  <c r="AJ214" i="3"/>
  <c r="AK219" i="3"/>
  <c r="AJ219" i="3"/>
  <c r="AK248" i="3"/>
  <c r="AJ248" i="3"/>
  <c r="AO314" i="3"/>
  <c r="AN314" i="3"/>
  <c r="AK333" i="3"/>
  <c r="AJ333" i="3"/>
  <c r="AK337" i="3"/>
  <c r="AJ337" i="3"/>
  <c r="AM262" i="3"/>
  <c r="AL262" i="3"/>
  <c r="AM204" i="3"/>
  <c r="AL204" i="3"/>
  <c r="AK215" i="3"/>
  <c r="AJ215" i="3"/>
  <c r="AK273" i="3"/>
  <c r="AJ273" i="3"/>
  <c r="AM268" i="3"/>
  <c r="AU268" i="3"/>
  <c r="AL268" i="3"/>
  <c r="AM146" i="3"/>
  <c r="AL146" i="3"/>
  <c r="AK220" i="3"/>
  <c r="AJ220" i="3"/>
  <c r="AK276" i="3"/>
  <c r="AJ276" i="3"/>
  <c r="AM323" i="3"/>
  <c r="AL323" i="3"/>
  <c r="AK340" i="3"/>
  <c r="AJ340" i="3"/>
  <c r="AK338" i="3"/>
  <c r="AJ338" i="3"/>
  <c r="AK190" i="3"/>
  <c r="AJ190" i="3"/>
  <c r="AK218" i="3"/>
  <c r="AJ218" i="3"/>
  <c r="AS272" i="3"/>
  <c r="AK272" i="3"/>
  <c r="AJ272" i="3"/>
  <c r="AK305" i="3"/>
  <c r="AJ305" i="3"/>
  <c r="AK339" i="3"/>
  <c r="AJ339" i="3"/>
  <c r="AK334" i="3"/>
  <c r="AJ334" i="3"/>
  <c r="AM269" i="3"/>
  <c r="AL269" i="3"/>
  <c r="AS90" i="2" l="1"/>
  <c r="AS91" i="2" s="1"/>
  <c r="AU84" i="2"/>
  <c r="AT90" i="2"/>
  <c r="AS247" i="2"/>
  <c r="AT246" i="2"/>
  <c r="AU239" i="2"/>
  <c r="AS248" i="2"/>
  <c r="AQ103" i="2"/>
  <c r="AR101" i="2"/>
  <c r="AQ597" i="2"/>
  <c r="AR597" i="2" s="1"/>
  <c r="AR54" i="2"/>
  <c r="AT44" i="2"/>
  <c r="AS48" i="2"/>
  <c r="AT48" i="2" s="1"/>
  <c r="AT70" i="2"/>
  <c r="AU70" i="2"/>
  <c r="AS69" i="2"/>
  <c r="AS59" i="2"/>
  <c r="AS53" i="2"/>
  <c r="AT42" i="2"/>
  <c r="AU224" i="2"/>
  <c r="AU228" i="2" s="1"/>
  <c r="AV221" i="2"/>
  <c r="AU234" i="2"/>
  <c r="AV234" i="2" s="1"/>
  <c r="AR60" i="2"/>
  <c r="AT118" i="2"/>
  <c r="AR176" i="2"/>
  <c r="AQ178" i="2"/>
  <c r="AS125" i="2"/>
  <c r="AT124" i="2"/>
  <c r="AU124" i="2"/>
  <c r="AS349" i="2"/>
  <c r="AT349" i="2" s="1"/>
  <c r="AU346" i="2"/>
  <c r="AT346" i="2"/>
  <c r="AT156" i="2"/>
  <c r="AS167" i="2"/>
  <c r="AV72" i="2"/>
  <c r="AW72" i="2"/>
  <c r="AU74" i="2"/>
  <c r="AU289" i="2"/>
  <c r="AT289" i="2"/>
  <c r="AT257" i="2"/>
  <c r="AS260" i="2"/>
  <c r="AS264" i="2" s="1"/>
  <c r="AS270" i="2"/>
  <c r="AT270" i="2" s="1"/>
  <c r="AR192" i="2"/>
  <c r="AQ181" i="2"/>
  <c r="AW67" i="2"/>
  <c r="AV67" i="2"/>
  <c r="AQ133" i="2"/>
  <c r="AS159" i="2"/>
  <c r="AT74" i="2"/>
  <c r="AS60" i="2"/>
  <c r="AR266" i="2"/>
  <c r="AT87" i="2"/>
  <c r="AS94" i="2"/>
  <c r="AS172" i="2"/>
  <c r="AT172" i="2" s="1"/>
  <c r="AT157" i="2"/>
  <c r="AQ57" i="2"/>
  <c r="AR69" i="2"/>
  <c r="AT230" i="2"/>
  <c r="AV122" i="2"/>
  <c r="AW122" i="2"/>
  <c r="AU347" i="2"/>
  <c r="AT347" i="2"/>
  <c r="AW117" i="2"/>
  <c r="AU118" i="2"/>
  <c r="AV117" i="2"/>
  <c r="AS52" i="2"/>
  <c r="AR177" i="2"/>
  <c r="AW121" i="2"/>
  <c r="AV121" i="2"/>
  <c r="AU348" i="2"/>
  <c r="AT348" i="2"/>
  <c r="AT58" i="2"/>
  <c r="AR106" i="2"/>
  <c r="AT88" i="2"/>
  <c r="AS99" i="2"/>
  <c r="AT99" i="2" s="1"/>
  <c r="AU38" i="2"/>
  <c r="AV34" i="2"/>
  <c r="AU46" i="2"/>
  <c r="AV46" i="2" s="1"/>
  <c r="AU37" i="2"/>
  <c r="AU191" i="2"/>
  <c r="AT191" i="2"/>
  <c r="AS192" i="2"/>
  <c r="AW866" i="2"/>
  <c r="AX866" i="2" s="1"/>
  <c r="AV866" i="2"/>
  <c r="AQ123" i="2"/>
  <c r="AR125" i="2"/>
  <c r="AR282" i="2"/>
  <c r="AS275" i="2"/>
  <c r="AQ283" i="2"/>
  <c r="AR295" i="2"/>
  <c r="AQ308" i="2"/>
  <c r="AQ299" i="2"/>
  <c r="AW150" i="3"/>
  <c r="AV150" i="3"/>
  <c r="AO144" i="3"/>
  <c r="AN144" i="3"/>
  <c r="AM130" i="3"/>
  <c r="AL130" i="3"/>
  <c r="AM325" i="3"/>
  <c r="AL325" i="3"/>
  <c r="AM161" i="3"/>
  <c r="AL161" i="3"/>
  <c r="AM155" i="3"/>
  <c r="AL155" i="3"/>
  <c r="AO199" i="3"/>
  <c r="AN199" i="3"/>
  <c r="AM264" i="3"/>
  <c r="AL264" i="3"/>
  <c r="AM206" i="3"/>
  <c r="AL206" i="3"/>
  <c r="AO329" i="3"/>
  <c r="AN329" i="3"/>
  <c r="AM154" i="3"/>
  <c r="AL154" i="3"/>
  <c r="AM158" i="3"/>
  <c r="AL158" i="3"/>
  <c r="AO141" i="3"/>
  <c r="AN141" i="3"/>
  <c r="AM160" i="3"/>
  <c r="AL160" i="3"/>
  <c r="AM159" i="3"/>
  <c r="AL159" i="3"/>
  <c r="AO268" i="3"/>
  <c r="AW268" i="3"/>
  <c r="AN268" i="3"/>
  <c r="AO257" i="3"/>
  <c r="AN257" i="3"/>
  <c r="AO142" i="3"/>
  <c r="AN142" i="3"/>
  <c r="AS92" i="2" l="1"/>
  <c r="AS106" i="2" s="1"/>
  <c r="AU40" i="2"/>
  <c r="AU229" i="2"/>
  <c r="AV228" i="2"/>
  <c r="AW221" i="2"/>
  <c r="AU230" i="2"/>
  <c r="AT275" i="2"/>
  <c r="AS278" i="2"/>
  <c r="AS282" i="2" s="1"/>
  <c r="AS287" i="2"/>
  <c r="AT287" i="2" s="1"/>
  <c r="AR308" i="2"/>
  <c r="AQ309" i="2"/>
  <c r="AR309" i="2" s="1"/>
  <c r="AW191" i="2"/>
  <c r="AV191" i="2"/>
  <c r="AU192" i="2"/>
  <c r="AX121" i="2"/>
  <c r="AQ989" i="2"/>
  <c r="AQ606" i="2"/>
  <c r="AR606" i="2" s="1"/>
  <c r="AR178" i="2"/>
  <c r="AQ179" i="2"/>
  <c r="AT59" i="2"/>
  <c r="AQ598" i="2"/>
  <c r="AR598" i="2" s="1"/>
  <c r="AQ104" i="2"/>
  <c r="AR104" i="2" s="1"/>
  <c r="AR103" i="2"/>
  <c r="AW34" i="2"/>
  <c r="AU41" i="2"/>
  <c r="AV40" i="2"/>
  <c r="AU42" i="2"/>
  <c r="AU60" i="2" s="1"/>
  <c r="AW348" i="2"/>
  <c r="AV348" i="2"/>
  <c r="AS164" i="2"/>
  <c r="AS163" i="2"/>
  <c r="AT159" i="2"/>
  <c r="AS161" i="2"/>
  <c r="AS181" i="2" s="1"/>
  <c r="AT181" i="2" s="1"/>
  <c r="AU154" i="2"/>
  <c r="AS160" i="2"/>
  <c r="AX67" i="2"/>
  <c r="AS271" i="2"/>
  <c r="AT271" i="2" s="1"/>
  <c r="AT260" i="2"/>
  <c r="AW289" i="2"/>
  <c r="AX289" i="2" s="1"/>
  <c r="AV289" i="2"/>
  <c r="AW124" i="2"/>
  <c r="AU125" i="2"/>
  <c r="AV124" i="2"/>
  <c r="AT106" i="2"/>
  <c r="AT69" i="2"/>
  <c r="AS57" i="2"/>
  <c r="AT248" i="2"/>
  <c r="AS101" i="2"/>
  <c r="AT92" i="2"/>
  <c r="AS107" i="2"/>
  <c r="AS102" i="2"/>
  <c r="AS108" i="2"/>
  <c r="AS139" i="2" s="1"/>
  <c r="AT139" i="2" s="1"/>
  <c r="AQ302" i="2"/>
  <c r="AS292" i="2"/>
  <c r="AR299" i="2"/>
  <c r="AQ300" i="2"/>
  <c r="AR283" i="2"/>
  <c r="AT192" i="2"/>
  <c r="AV37" i="2"/>
  <c r="AU44" i="2"/>
  <c r="AU49" i="2"/>
  <c r="AV49" i="2" s="1"/>
  <c r="AV38" i="2"/>
  <c r="AV118" i="2"/>
  <c r="AW347" i="2"/>
  <c r="AV347" i="2"/>
  <c r="AQ137" i="2"/>
  <c r="AQ61" i="2"/>
  <c r="AR57" i="2"/>
  <c r="AR133" i="2"/>
  <c r="AQ135" i="2"/>
  <c r="AR181" i="2"/>
  <c r="AS265" i="2"/>
  <c r="AT264" i="2"/>
  <c r="AU257" i="2"/>
  <c r="AS266" i="2"/>
  <c r="AV74" i="2"/>
  <c r="AW70" i="2"/>
  <c r="AV70" i="2"/>
  <c r="AU69" i="2"/>
  <c r="AQ55" i="2"/>
  <c r="AR55" i="2" s="1"/>
  <c r="AU242" i="2"/>
  <c r="AU246" i="2" s="1"/>
  <c r="AU252" i="2"/>
  <c r="AV252" i="2" s="1"/>
  <c r="AV239" i="2"/>
  <c r="AU88" i="2"/>
  <c r="AV84" i="2"/>
  <c r="AU87" i="2"/>
  <c r="AU90" i="2" s="1"/>
  <c r="AU96" i="2"/>
  <c r="AV96" i="2" s="1"/>
  <c r="AQ109" i="2"/>
  <c r="AR123" i="2"/>
  <c r="AS54" i="2"/>
  <c r="AS133" i="2"/>
  <c r="AT52" i="2"/>
  <c r="AW118" i="2"/>
  <c r="AX117" i="2"/>
  <c r="AX122" i="2"/>
  <c r="AS98" i="2"/>
  <c r="AT98" i="2" s="1"/>
  <c r="AT94" i="2"/>
  <c r="AT60" i="2"/>
  <c r="AX72" i="2"/>
  <c r="AW74" i="2"/>
  <c r="AS171" i="2"/>
  <c r="AT171" i="2" s="1"/>
  <c r="AT167" i="2"/>
  <c r="AU349" i="2"/>
  <c r="AV349" i="2" s="1"/>
  <c r="AW346" i="2"/>
  <c r="AV346" i="2"/>
  <c r="AS123" i="2"/>
  <c r="AT125" i="2"/>
  <c r="AQ182" i="2"/>
  <c r="AV224" i="2"/>
  <c r="AU235" i="2"/>
  <c r="AV235" i="2" s="1"/>
  <c r="AS134" i="2"/>
  <c r="AT134" i="2" s="1"/>
  <c r="AT53" i="2"/>
  <c r="AW210" i="3"/>
  <c r="AN210" i="3"/>
  <c r="AO210" i="3"/>
  <c r="AO262" i="3"/>
  <c r="AN262" i="3"/>
  <c r="AO159" i="3"/>
  <c r="AN159" i="3"/>
  <c r="AM214" i="3"/>
  <c r="AU214" i="3"/>
  <c r="AL214" i="3"/>
  <c r="AM219" i="3"/>
  <c r="AL219" i="3"/>
  <c r="AM248" i="3"/>
  <c r="AL248" i="3"/>
  <c r="AM272" i="3"/>
  <c r="AU272" i="3"/>
  <c r="AL272" i="3"/>
  <c r="AO201" i="3"/>
  <c r="AN201" i="3"/>
  <c r="AO155" i="3"/>
  <c r="AN155" i="3"/>
  <c r="AM333" i="3"/>
  <c r="AL333" i="3"/>
  <c r="AM334" i="3"/>
  <c r="AL334" i="3"/>
  <c r="AO259" i="3"/>
  <c r="AN259" i="3"/>
  <c r="CB141" i="3"/>
  <c r="CA141" i="3"/>
  <c r="AM190" i="3"/>
  <c r="AL190" i="3"/>
  <c r="AM276" i="3"/>
  <c r="AL276" i="3"/>
  <c r="AM273" i="3"/>
  <c r="AL273" i="3"/>
  <c r="AM339" i="3"/>
  <c r="AL339" i="3"/>
  <c r="AO317" i="3"/>
  <c r="AN317" i="3"/>
  <c r="AQ139" i="3"/>
  <c r="AP139" i="3"/>
  <c r="AO151" i="3"/>
  <c r="AN151" i="3"/>
  <c r="AO260" i="3"/>
  <c r="AN260" i="3"/>
  <c r="AO154" i="3"/>
  <c r="AN154" i="3"/>
  <c r="AM221" i="3"/>
  <c r="AL221" i="3"/>
  <c r="AM218" i="3"/>
  <c r="AL218" i="3"/>
  <c r="AO202" i="3"/>
  <c r="AN202" i="3"/>
  <c r="AM305" i="3"/>
  <c r="AL305" i="3"/>
  <c r="AM340" i="3"/>
  <c r="AL340" i="3"/>
  <c r="AM337" i="3"/>
  <c r="AL337" i="3"/>
  <c r="AO146" i="3"/>
  <c r="AN146" i="3"/>
  <c r="AO160" i="3"/>
  <c r="AN160" i="3"/>
  <c r="CB142" i="3"/>
  <c r="CA142" i="3"/>
  <c r="AO149" i="3"/>
  <c r="AN149" i="3"/>
  <c r="AM220" i="3"/>
  <c r="AL220" i="3"/>
  <c r="AM215" i="3"/>
  <c r="AL215" i="3"/>
  <c r="AM338" i="3"/>
  <c r="AL338" i="3"/>
  <c r="AS165" i="2" l="1"/>
  <c r="AS109" i="2"/>
  <c r="AS110" i="2" s="1"/>
  <c r="AT110" i="2" s="1"/>
  <c r="AT123" i="2"/>
  <c r="AX118" i="2"/>
  <c r="AS135" i="2"/>
  <c r="AT133" i="2"/>
  <c r="AU253" i="2"/>
  <c r="AV253" i="2" s="1"/>
  <c r="AV242" i="2"/>
  <c r="AQ198" i="2"/>
  <c r="AQ197" i="2"/>
  <c r="AR182" i="2"/>
  <c r="AQ199" i="2"/>
  <c r="AR199" i="2" s="1"/>
  <c r="AQ183" i="2"/>
  <c r="AQ184" i="2" s="1"/>
  <c r="AS597" i="2"/>
  <c r="AT597" i="2" s="1"/>
  <c r="AT54" i="2"/>
  <c r="AS55" i="2"/>
  <c r="AT55" i="2" s="1"/>
  <c r="AV87" i="2"/>
  <c r="AU94" i="2"/>
  <c r="AU48" i="2"/>
  <c r="AV48" i="2" s="1"/>
  <c r="AV44" i="2"/>
  <c r="AT292" i="2"/>
  <c r="AS307" i="2"/>
  <c r="AT307" i="2" s="1"/>
  <c r="AT102" i="2"/>
  <c r="AW125" i="2"/>
  <c r="AX124" i="2"/>
  <c r="AV192" i="2"/>
  <c r="AS288" i="2"/>
  <c r="AT288" i="2" s="1"/>
  <c r="AS295" i="2"/>
  <c r="AS299" i="2" s="1"/>
  <c r="AT278" i="2"/>
  <c r="AW224" i="2"/>
  <c r="AW228" i="2" s="1"/>
  <c r="AX221" i="2"/>
  <c r="AW234" i="2"/>
  <c r="AX234" i="2" s="1"/>
  <c r="AW349" i="2"/>
  <c r="AX349" i="2" s="1"/>
  <c r="AX346" i="2"/>
  <c r="AX74" i="2"/>
  <c r="AV90" i="2"/>
  <c r="AU92" i="2"/>
  <c r="AU91" i="2"/>
  <c r="AW84" i="2"/>
  <c r="AU247" i="2"/>
  <c r="AV246" i="2"/>
  <c r="AW239" i="2"/>
  <c r="AU248" i="2"/>
  <c r="AU57" i="2"/>
  <c r="AV69" i="2"/>
  <c r="AV60" i="2"/>
  <c r="AQ596" i="2"/>
  <c r="AR135" i="2"/>
  <c r="AR61" i="2"/>
  <c r="AQ62" i="2"/>
  <c r="AX347" i="2"/>
  <c r="AR302" i="2"/>
  <c r="AQ303" i="2"/>
  <c r="AQ861" i="2"/>
  <c r="AT107" i="2"/>
  <c r="AS138" i="2"/>
  <c r="AT138" i="2" s="1"/>
  <c r="AU157" i="2"/>
  <c r="AX348" i="2"/>
  <c r="AW38" i="2"/>
  <c r="AX34" i="2"/>
  <c r="AW37" i="2"/>
  <c r="AW46" i="2"/>
  <c r="AX46" i="2" s="1"/>
  <c r="AR109" i="2"/>
  <c r="AQ110" i="2"/>
  <c r="AQ140" i="2"/>
  <c r="AR140" i="2" s="1"/>
  <c r="AT266" i="2"/>
  <c r="AR137" i="2"/>
  <c r="AS137" i="2"/>
  <c r="AS61" i="2"/>
  <c r="AT61" i="2" s="1"/>
  <c r="AT57" i="2"/>
  <c r="AV154" i="2"/>
  <c r="AU169" i="2"/>
  <c r="AV169" i="2" s="1"/>
  <c r="AU156" i="2"/>
  <c r="AU59" i="2"/>
  <c r="AU53" i="2"/>
  <c r="AV42" i="2"/>
  <c r="AU52" i="2"/>
  <c r="AU58" i="2"/>
  <c r="AV230" i="2"/>
  <c r="AU99" i="2"/>
  <c r="AV99" i="2" s="1"/>
  <c r="AV88" i="2"/>
  <c r="AX70" i="2"/>
  <c r="AW69" i="2"/>
  <c r="AV257" i="2"/>
  <c r="AU260" i="2"/>
  <c r="AU264" i="2" s="1"/>
  <c r="AU270" i="2"/>
  <c r="AV270" i="2" s="1"/>
  <c r="AT108" i="2"/>
  <c r="AT101" i="2"/>
  <c r="AS103" i="2"/>
  <c r="AU123" i="2"/>
  <c r="AV125" i="2"/>
  <c r="AS176" i="2"/>
  <c r="AT161" i="2"/>
  <c r="AS177" i="2"/>
  <c r="AS180" i="2"/>
  <c r="AX191" i="2"/>
  <c r="AW192" i="2"/>
  <c r="AU275" i="2"/>
  <c r="AT282" i="2"/>
  <c r="AS283" i="2"/>
  <c r="AN248" i="3"/>
  <c r="AO248" i="3"/>
  <c r="AW272" i="3"/>
  <c r="AN272" i="3"/>
  <c r="AO272" i="3"/>
  <c r="AO117" i="3"/>
  <c r="AN117" i="3"/>
  <c r="AO340" i="3"/>
  <c r="AN340" i="3"/>
  <c r="AQ155" i="3"/>
  <c r="AP155" i="3"/>
  <c r="AO158" i="3"/>
  <c r="AN158" i="3"/>
  <c r="CB202" i="3"/>
  <c r="CA202" i="3"/>
  <c r="CB317" i="3"/>
  <c r="CA317" i="3"/>
  <c r="AO204" i="3"/>
  <c r="AN204" i="3"/>
  <c r="AO264" i="3"/>
  <c r="AN264" i="3"/>
  <c r="AO211" i="3"/>
  <c r="AN211" i="3"/>
  <c r="CB260" i="3"/>
  <c r="CA260" i="3"/>
  <c r="AQ141" i="3"/>
  <c r="AP141" i="3"/>
  <c r="AO330" i="3"/>
  <c r="AN330" i="3"/>
  <c r="AO273" i="3"/>
  <c r="AN273" i="3"/>
  <c r="CB150" i="3"/>
  <c r="CA150" i="3"/>
  <c r="CB259" i="3"/>
  <c r="CA259" i="3"/>
  <c r="AO116" i="3"/>
  <c r="AN116" i="3"/>
  <c r="AO338" i="3"/>
  <c r="AN338" i="3"/>
  <c r="CB151" i="3"/>
  <c r="CA151" i="3"/>
  <c r="AO321" i="3"/>
  <c r="AN321" i="3"/>
  <c r="CB149" i="3"/>
  <c r="CA149" i="3"/>
  <c r="AO267" i="3"/>
  <c r="AN267" i="3"/>
  <c r="AO334" i="3"/>
  <c r="AN334" i="3"/>
  <c r="CB201" i="3"/>
  <c r="CA201" i="3"/>
  <c r="AO161" i="3"/>
  <c r="AN161" i="3"/>
  <c r="CB146" i="3"/>
  <c r="CA146" i="3"/>
  <c r="AO110" i="3"/>
  <c r="AN110" i="3"/>
  <c r="AQ160" i="3"/>
  <c r="AP160" i="3"/>
  <c r="AQ154" i="3"/>
  <c r="AP154" i="3"/>
  <c r="AO269" i="3"/>
  <c r="AN269" i="3"/>
  <c r="AQ142" i="3"/>
  <c r="AP142" i="3"/>
  <c r="AO339" i="3"/>
  <c r="AN339" i="3"/>
  <c r="CB144" i="3"/>
  <c r="CA144" i="3"/>
  <c r="AO333" i="3"/>
  <c r="AN333" i="3"/>
  <c r="AO111" i="3"/>
  <c r="AN111" i="3"/>
  <c r="AO209" i="3"/>
  <c r="AN209" i="3"/>
  <c r="AQ159" i="3"/>
  <c r="AP159" i="3"/>
  <c r="AQ257" i="3"/>
  <c r="AP257" i="3"/>
  <c r="AW40" i="2" l="1"/>
  <c r="AU159" i="2"/>
  <c r="AU163" i="2" s="1"/>
  <c r="AQ141" i="2"/>
  <c r="AU160" i="2"/>
  <c r="AW154" i="2"/>
  <c r="AV264" i="2"/>
  <c r="AW257" i="2"/>
  <c r="AU265" i="2"/>
  <c r="AU266" i="2"/>
  <c r="AX37" i="2"/>
  <c r="AW44" i="2"/>
  <c r="BL37" i="2"/>
  <c r="AQ971" i="2"/>
  <c r="AQ618" i="2"/>
  <c r="AQ78" i="2"/>
  <c r="AR78" i="2" s="1"/>
  <c r="AQ80" i="2"/>
  <c r="AR80" i="2" s="1"/>
  <c r="AQ65" i="2"/>
  <c r="AR62" i="2"/>
  <c r="AQ7" i="2"/>
  <c r="AR7" i="2" s="1"/>
  <c r="AV248" i="2"/>
  <c r="AW235" i="2"/>
  <c r="AX235" i="2" s="1"/>
  <c r="AX224" i="2"/>
  <c r="BL224" i="2"/>
  <c r="AS308" i="2"/>
  <c r="AT295" i="2"/>
  <c r="AS62" i="2"/>
  <c r="AR183" i="2"/>
  <c r="AU278" i="2"/>
  <c r="AV275" i="2"/>
  <c r="AU287" i="2"/>
  <c r="AV287" i="2" s="1"/>
  <c r="AS182" i="2"/>
  <c r="AS183" i="2" s="1"/>
  <c r="AS178" i="2"/>
  <c r="AT176" i="2"/>
  <c r="AS598" i="2"/>
  <c r="AT598" i="2" s="1"/>
  <c r="AS111" i="2"/>
  <c r="AT103" i="2"/>
  <c r="AS104" i="2"/>
  <c r="AT104" i="2" s="1"/>
  <c r="AX69" i="2"/>
  <c r="AU138" i="2"/>
  <c r="AV138" i="2" s="1"/>
  <c r="AV58" i="2"/>
  <c r="AV53" i="2"/>
  <c r="AT137" i="2"/>
  <c r="AV157" i="2"/>
  <c r="AU172" i="2"/>
  <c r="AV172" i="2" s="1"/>
  <c r="AW242" i="2"/>
  <c r="AW246" i="2" s="1"/>
  <c r="AX239" i="2"/>
  <c r="AW252" i="2"/>
  <c r="AX252" i="2" s="1"/>
  <c r="AX84" i="2"/>
  <c r="AW88" i="2"/>
  <c r="AW87" i="2"/>
  <c r="AW96" i="2"/>
  <c r="AX96" i="2" s="1"/>
  <c r="AW229" i="2"/>
  <c r="AX228" i="2"/>
  <c r="AW230" i="2"/>
  <c r="AW123" i="2"/>
  <c r="AX125" i="2"/>
  <c r="AU292" i="2"/>
  <c r="AS300" i="2"/>
  <c r="AT299" i="2"/>
  <c r="AS302" i="2"/>
  <c r="AQ974" i="2"/>
  <c r="AQ627" i="2"/>
  <c r="AQ187" i="2"/>
  <c r="AR184" i="2"/>
  <c r="AQ10" i="2"/>
  <c r="AR10" i="2" s="1"/>
  <c r="AT283" i="2"/>
  <c r="AX192" i="2"/>
  <c r="AV260" i="2"/>
  <c r="AU271" i="2"/>
  <c r="AV271" i="2" s="1"/>
  <c r="AV59" i="2"/>
  <c r="AX38" i="2"/>
  <c r="AW49" i="2"/>
  <c r="AX49" i="2" s="1"/>
  <c r="BL38" i="2"/>
  <c r="AQ879" i="2"/>
  <c r="AR879" i="2" s="1"/>
  <c r="AR861" i="2"/>
  <c r="AQ863" i="2"/>
  <c r="AU98" i="2"/>
  <c r="AV98" i="2" s="1"/>
  <c r="AV94" i="2"/>
  <c r="AT177" i="2"/>
  <c r="AU109" i="2"/>
  <c r="AV123" i="2"/>
  <c r="AV52" i="2"/>
  <c r="AU54" i="2"/>
  <c r="AV156" i="2"/>
  <c r="AU167" i="2"/>
  <c r="AR110" i="2"/>
  <c r="AQ111" i="2"/>
  <c r="AQ143" i="2" s="1"/>
  <c r="AW42" i="2"/>
  <c r="AW57" i="2" s="1"/>
  <c r="AW41" i="2"/>
  <c r="AX40" i="2"/>
  <c r="AQ323" i="2"/>
  <c r="AQ319" i="2"/>
  <c r="AR303" i="2"/>
  <c r="AQ320" i="2"/>
  <c r="AQ316" i="2"/>
  <c r="AQ324" i="2"/>
  <c r="AQ326" i="2"/>
  <c r="AQ325" i="2"/>
  <c r="AR596" i="2"/>
  <c r="AU61" i="2"/>
  <c r="AV61" i="2" s="1"/>
  <c r="AV57" i="2"/>
  <c r="AV92" i="2"/>
  <c r="AU101" i="2"/>
  <c r="AU133" i="2" s="1"/>
  <c r="AU107" i="2"/>
  <c r="AU108" i="2"/>
  <c r="AU102" i="2"/>
  <c r="AU134" i="2" s="1"/>
  <c r="AV134" i="2" s="1"/>
  <c r="AU106" i="2"/>
  <c r="AU137" i="2" s="1"/>
  <c r="AS596" i="2"/>
  <c r="AT135" i="2"/>
  <c r="AT109" i="2"/>
  <c r="AS140" i="2"/>
  <c r="AT140" i="2" s="1"/>
  <c r="AN218" i="3"/>
  <c r="AO218" i="3"/>
  <c r="AN219" i="3"/>
  <c r="AO219" i="3"/>
  <c r="AP248" i="3"/>
  <c r="AQ248" i="3"/>
  <c r="AW214" i="3"/>
  <c r="AN214" i="3"/>
  <c r="AO214" i="3"/>
  <c r="AO221" i="3"/>
  <c r="AN221" i="3"/>
  <c r="AO215" i="3"/>
  <c r="AN215" i="3"/>
  <c r="AO220" i="3"/>
  <c r="AN220" i="3"/>
  <c r="AS154" i="3"/>
  <c r="AR154" i="3"/>
  <c r="CB110" i="3"/>
  <c r="CA110" i="3"/>
  <c r="AO118" i="3"/>
  <c r="AN118" i="3"/>
  <c r="AQ334" i="3"/>
  <c r="AP334" i="3"/>
  <c r="AQ314" i="3"/>
  <c r="AP314" i="3"/>
  <c r="AO276" i="3"/>
  <c r="AN276" i="3"/>
  <c r="AQ199" i="3"/>
  <c r="AP199" i="3"/>
  <c r="CB321" i="3"/>
  <c r="CA323" i="3"/>
  <c r="CA321" i="3"/>
  <c r="AS159" i="3"/>
  <c r="AR159" i="3"/>
  <c r="AQ260" i="3"/>
  <c r="AP260" i="3"/>
  <c r="AQ333" i="3"/>
  <c r="AP333" i="3"/>
  <c r="CB210" i="3"/>
  <c r="CA210" i="3"/>
  <c r="AO323" i="3"/>
  <c r="AN323" i="3"/>
  <c r="CB268" i="3"/>
  <c r="CA268" i="3"/>
  <c r="AQ144" i="3"/>
  <c r="AP144" i="3"/>
  <c r="AO230" i="3"/>
  <c r="AN230" i="3"/>
  <c r="CB330" i="3"/>
  <c r="CA330" i="3"/>
  <c r="CB211" i="3"/>
  <c r="CA211" i="3"/>
  <c r="AQ259" i="3"/>
  <c r="AP259" i="3"/>
  <c r="CB111" i="3"/>
  <c r="CA111" i="3"/>
  <c r="AO337" i="3"/>
  <c r="AN337" i="3"/>
  <c r="CD139" i="3"/>
  <c r="CC139" i="3"/>
  <c r="AS160" i="3"/>
  <c r="AR160" i="3"/>
  <c r="AO112" i="3"/>
  <c r="AN112" i="3"/>
  <c r="CB204" i="3"/>
  <c r="CA204" i="3"/>
  <c r="CB116" i="3"/>
  <c r="CA116" i="3"/>
  <c r="CB262" i="3"/>
  <c r="CA262" i="3"/>
  <c r="AQ273" i="3"/>
  <c r="AP273" i="3"/>
  <c r="AO115" i="3"/>
  <c r="AN115" i="3"/>
  <c r="AS155" i="3"/>
  <c r="AR155" i="3"/>
  <c r="CB117" i="3"/>
  <c r="CA117" i="3"/>
  <c r="AQ339" i="3"/>
  <c r="AP339" i="3"/>
  <c r="AQ151" i="3"/>
  <c r="AP151" i="3"/>
  <c r="CB209" i="3"/>
  <c r="CA209" i="3"/>
  <c r="AQ338" i="3"/>
  <c r="AP338" i="3"/>
  <c r="CB267" i="3"/>
  <c r="CA267" i="3"/>
  <c r="AO231" i="3"/>
  <c r="AN231" i="3"/>
  <c r="AQ149" i="3"/>
  <c r="AP149" i="3"/>
  <c r="CB269" i="3"/>
  <c r="CA269" i="3"/>
  <c r="CB264" i="3"/>
  <c r="CA264" i="3"/>
  <c r="AO206" i="3"/>
  <c r="AN206" i="3"/>
  <c r="AQ158" i="3"/>
  <c r="AP158" i="3"/>
  <c r="AQ340" i="3"/>
  <c r="AP340" i="3"/>
  <c r="AW90" i="2" l="1"/>
  <c r="AX90" i="2" s="1"/>
  <c r="AV159" i="2"/>
  <c r="AU164" i="2"/>
  <c r="AU161" i="2"/>
  <c r="AV161" i="2" s="1"/>
  <c r="AW91" i="2"/>
  <c r="AQ617" i="2"/>
  <c r="AQ146" i="2"/>
  <c r="AR143" i="2"/>
  <c r="AX57" i="2"/>
  <c r="BL57" i="2"/>
  <c r="AW247" i="2"/>
  <c r="AX246" i="2"/>
  <c r="AW248" i="2"/>
  <c r="AR326" i="2"/>
  <c r="AQ581" i="2"/>
  <c r="AR581" i="2" s="1"/>
  <c r="AV133" i="2"/>
  <c r="AU135" i="2"/>
  <c r="AT596" i="2"/>
  <c r="AV108" i="2"/>
  <c r="AR324" i="2"/>
  <c r="AQ579" i="2"/>
  <c r="AR579" i="2" s="1"/>
  <c r="AQ321" i="2"/>
  <c r="AR319" i="2"/>
  <c r="AQ573" i="2"/>
  <c r="AQ955" i="2"/>
  <c r="AQ662" i="2"/>
  <c r="AR187" i="2"/>
  <c r="AQ200" i="2"/>
  <c r="AR200" i="2" s="1"/>
  <c r="AX123" i="2"/>
  <c r="AS972" i="2"/>
  <c r="AS619" i="2"/>
  <c r="AS129" i="2"/>
  <c r="AT129" i="2" s="1"/>
  <c r="AS127" i="2"/>
  <c r="AT127" i="2" s="1"/>
  <c r="AS114" i="2"/>
  <c r="AT111" i="2"/>
  <c r="AS8" i="2"/>
  <c r="AS989" i="2"/>
  <c r="AS606" i="2"/>
  <c r="AT606" i="2" s="1"/>
  <c r="AS179" i="2"/>
  <c r="AS198" i="2" s="1"/>
  <c r="AT178" i="2"/>
  <c r="BL47" i="2"/>
  <c r="BM37" i="2"/>
  <c r="BL44" i="2"/>
  <c r="BL40" i="2"/>
  <c r="AV102" i="2"/>
  <c r="AU110" i="2"/>
  <c r="AV110" i="2" s="1"/>
  <c r="AV106" i="2"/>
  <c r="AV107" i="2"/>
  <c r="AR316" i="2"/>
  <c r="AQ327" i="2"/>
  <c r="AR323" i="2"/>
  <c r="AQ578" i="2"/>
  <c r="AR578" i="2" s="1"/>
  <c r="AX42" i="2"/>
  <c r="AW53" i="2"/>
  <c r="AW59" i="2"/>
  <c r="AW52" i="2"/>
  <c r="AW58" i="2"/>
  <c r="BL42" i="2"/>
  <c r="BM42" i="2" s="1"/>
  <c r="AW60" i="2"/>
  <c r="AU597" i="2"/>
  <c r="AV597" i="2" s="1"/>
  <c r="AU62" i="2"/>
  <c r="AV54" i="2"/>
  <c r="AU55" i="2"/>
  <c r="AV55" i="2" s="1"/>
  <c r="AV109" i="2"/>
  <c r="AU140" i="2"/>
  <c r="AV140" i="2" s="1"/>
  <c r="BM38" i="2"/>
  <c r="BL49" i="2"/>
  <c r="BM49" i="2" s="1"/>
  <c r="AQ648" i="2"/>
  <c r="AR648" i="2" s="1"/>
  <c r="AR627" i="2"/>
  <c r="AX230" i="2"/>
  <c r="BL230" i="2"/>
  <c r="BM230" i="2" s="1"/>
  <c r="AX87" i="2"/>
  <c r="AW94" i="2"/>
  <c r="BL87" i="2"/>
  <c r="AS141" i="2"/>
  <c r="AS199" i="2"/>
  <c r="AT199" i="2" s="1"/>
  <c r="AS184" i="2"/>
  <c r="AS197" i="2"/>
  <c r="AT182" i="2"/>
  <c r="AV278" i="2"/>
  <c r="AU295" i="2"/>
  <c r="AU299" i="2" s="1"/>
  <c r="AU288" i="2"/>
  <c r="AV288" i="2" s="1"/>
  <c r="AW48" i="2"/>
  <c r="AX48" i="2" s="1"/>
  <c r="AX44" i="2"/>
  <c r="AV137" i="2"/>
  <c r="AQ972" i="2"/>
  <c r="AQ619" i="2"/>
  <c r="AQ114" i="2"/>
  <c r="AQ129" i="2"/>
  <c r="AR129" i="2" s="1"/>
  <c r="AR111" i="2"/>
  <c r="AQ127" i="2"/>
  <c r="AR127" i="2" s="1"/>
  <c r="AQ8" i="2"/>
  <c r="AU103" i="2"/>
  <c r="AV101" i="2"/>
  <c r="AR325" i="2"/>
  <c r="AQ580" i="2"/>
  <c r="AR580" i="2" s="1"/>
  <c r="AR320" i="2"/>
  <c r="AQ574" i="2"/>
  <c r="AR574" i="2" s="1"/>
  <c r="AU171" i="2"/>
  <c r="AV171" i="2" s="1"/>
  <c r="AV167" i="2"/>
  <c r="AQ864" i="2"/>
  <c r="AR863" i="2"/>
  <c r="AU139" i="2"/>
  <c r="AV139" i="2" s="1"/>
  <c r="AV292" i="2"/>
  <c r="AU307" i="2"/>
  <c r="AV307" i="2" s="1"/>
  <c r="AW99" i="2"/>
  <c r="AX99" i="2" s="1"/>
  <c r="AX88" i="2"/>
  <c r="BL88" i="2"/>
  <c r="AU282" i="2"/>
  <c r="AT308" i="2"/>
  <c r="AS309" i="2"/>
  <c r="AT309" i="2" s="1"/>
  <c r="AQ952" i="2"/>
  <c r="AQ660" i="2"/>
  <c r="AQ79" i="2"/>
  <c r="AR79" i="2" s="1"/>
  <c r="AR65" i="2"/>
  <c r="AQ639" i="2"/>
  <c r="AR639" i="2" s="1"/>
  <c r="AR618" i="2"/>
  <c r="AX257" i="2"/>
  <c r="AW260" i="2"/>
  <c r="AW264" i="2" s="1"/>
  <c r="AW270" i="2"/>
  <c r="AX270" i="2" s="1"/>
  <c r="AX154" i="2"/>
  <c r="AW169" i="2"/>
  <c r="AX169" i="2" s="1"/>
  <c r="AW156" i="2"/>
  <c r="AU176" i="2"/>
  <c r="AU180" i="2"/>
  <c r="AT302" i="2"/>
  <c r="AS861" i="2"/>
  <c r="AS303" i="2"/>
  <c r="AW253" i="2"/>
  <c r="AX253" i="2" s="1"/>
  <c r="AX242" i="2"/>
  <c r="BL242" i="2"/>
  <c r="AT183" i="2"/>
  <c r="AS971" i="2"/>
  <c r="AS618" i="2"/>
  <c r="AS143" i="2"/>
  <c r="AS80" i="2"/>
  <c r="AT80" i="2" s="1"/>
  <c r="AS7" i="2"/>
  <c r="AT7" i="2" s="1"/>
  <c r="AS65" i="2"/>
  <c r="AT62" i="2"/>
  <c r="AS78" i="2"/>
  <c r="AT78" i="2" s="1"/>
  <c r="BM224" i="2"/>
  <c r="BL235" i="2"/>
  <c r="BM235" i="2" s="1"/>
  <c r="BL228" i="2"/>
  <c r="AQ973" i="2"/>
  <c r="AV266" i="2"/>
  <c r="AU165" i="2"/>
  <c r="AW157" i="2" s="1"/>
  <c r="AP220" i="3"/>
  <c r="AQ220" i="3"/>
  <c r="AQ219" i="3"/>
  <c r="AP219" i="3"/>
  <c r="AP215" i="3"/>
  <c r="AQ215" i="3"/>
  <c r="AR248" i="3"/>
  <c r="AS248" i="3"/>
  <c r="AQ321" i="3"/>
  <c r="AP321" i="3"/>
  <c r="AO177" i="3"/>
  <c r="AN177" i="3"/>
  <c r="AS273" i="3"/>
  <c r="AR273" i="3"/>
  <c r="AO289" i="3"/>
  <c r="AN289" i="3"/>
  <c r="AQ337" i="3"/>
  <c r="AP337" i="3"/>
  <c r="AO171" i="3"/>
  <c r="AN171" i="3"/>
  <c r="AO170" i="3"/>
  <c r="AN170" i="3"/>
  <c r="CB231" i="3"/>
  <c r="CA231" i="3"/>
  <c r="CB160" i="3"/>
  <c r="CA160" i="3"/>
  <c r="AO119" i="3"/>
  <c r="AN119" i="3"/>
  <c r="CD199" i="3"/>
  <c r="CC199" i="3"/>
  <c r="AQ262" i="3"/>
  <c r="AP262" i="3"/>
  <c r="AN238" i="3"/>
  <c r="AN11" i="156"/>
  <c r="CD314" i="3"/>
  <c r="CC314" i="3"/>
  <c r="AQ201" i="3"/>
  <c r="AP201" i="3"/>
  <c r="AO235" i="3"/>
  <c r="AO236" i="3" s="1"/>
  <c r="AN235" i="3"/>
  <c r="AN236" i="3" s="1"/>
  <c r="AS334" i="3"/>
  <c r="AR334" i="3"/>
  <c r="CB118" i="3"/>
  <c r="CA118" i="3"/>
  <c r="CD257" i="3"/>
  <c r="CC257" i="3"/>
  <c r="CB154" i="3"/>
  <c r="CA154" i="3"/>
  <c r="AO175" i="3"/>
  <c r="AN175" i="3"/>
  <c r="AO176" i="3"/>
  <c r="AN176" i="3"/>
  <c r="AS339" i="3"/>
  <c r="AR339" i="3"/>
  <c r="CB155" i="3"/>
  <c r="CA155" i="3"/>
  <c r="AQ267" i="3"/>
  <c r="AP267" i="3"/>
  <c r="CB230" i="3"/>
  <c r="CA230" i="3"/>
  <c r="AS139" i="3"/>
  <c r="AR139" i="3"/>
  <c r="AQ269" i="3"/>
  <c r="AP269" i="3"/>
  <c r="AQ317" i="3"/>
  <c r="AP317" i="3"/>
  <c r="CB112" i="3"/>
  <c r="CA112" i="3"/>
  <c r="AS340" i="3"/>
  <c r="AR340" i="3"/>
  <c r="AS158" i="3"/>
  <c r="AR158" i="3"/>
  <c r="AU160" i="3"/>
  <c r="AT160" i="3"/>
  <c r="AO232" i="3"/>
  <c r="AN232" i="3"/>
  <c r="AQ115" i="3"/>
  <c r="AP115" i="3"/>
  <c r="AO178" i="3"/>
  <c r="AN178" i="3"/>
  <c r="CB206" i="3"/>
  <c r="CA206" i="3"/>
  <c r="AS338" i="3"/>
  <c r="AR338" i="3"/>
  <c r="AU155" i="3"/>
  <c r="AT155" i="3"/>
  <c r="CB115" i="3"/>
  <c r="CA115" i="3"/>
  <c r="AQ276" i="3"/>
  <c r="AP276" i="3"/>
  <c r="CB159" i="3"/>
  <c r="CA159" i="3"/>
  <c r="AQ146" i="3"/>
  <c r="AP146" i="3"/>
  <c r="AO325" i="3"/>
  <c r="AN325" i="3"/>
  <c r="AS333" i="3"/>
  <c r="AR333" i="3"/>
  <c r="AU159" i="3"/>
  <c r="AT159" i="3"/>
  <c r="AQ202" i="3"/>
  <c r="AP202" i="3"/>
  <c r="AQ329" i="3"/>
  <c r="AP329" i="3"/>
  <c r="AU154" i="3"/>
  <c r="AT154" i="3"/>
  <c r="AU177" i="2" l="1"/>
  <c r="AU182" i="2" s="1"/>
  <c r="AW92" i="2"/>
  <c r="AS973" i="2"/>
  <c r="AU181" i="2"/>
  <c r="AU141" i="2"/>
  <c r="AW292" i="2"/>
  <c r="AU302" i="2"/>
  <c r="AU300" i="2"/>
  <c r="AV299" i="2"/>
  <c r="AW172" i="2"/>
  <c r="AX172" i="2" s="1"/>
  <c r="AX157" i="2"/>
  <c r="BL157" i="2"/>
  <c r="AW159" i="2"/>
  <c r="AS952" i="2"/>
  <c r="AS660" i="2"/>
  <c r="AT65" i="2"/>
  <c r="AS79" i="2"/>
  <c r="AT79" i="2" s="1"/>
  <c r="AS639" i="2"/>
  <c r="AT639" i="2" s="1"/>
  <c r="AT618" i="2"/>
  <c r="AT303" i="2"/>
  <c r="AS320" i="2"/>
  <c r="AS323" i="2"/>
  <c r="AS319" i="2"/>
  <c r="AS326" i="2"/>
  <c r="AS324" i="2"/>
  <c r="AS325" i="2"/>
  <c r="AW265" i="2"/>
  <c r="AX264" i="2"/>
  <c r="AW266" i="2"/>
  <c r="BM88" i="2"/>
  <c r="BL99" i="2"/>
  <c r="BM99" i="2" s="1"/>
  <c r="AR864" i="2"/>
  <c r="AR8" i="2"/>
  <c r="AQ9" i="2"/>
  <c r="AQ953" i="2"/>
  <c r="AQ954" i="2" s="1"/>
  <c r="AQ661" i="2"/>
  <c r="AQ128" i="2"/>
  <c r="AR128" i="2" s="1"/>
  <c r="AR114" i="2"/>
  <c r="AU971" i="2"/>
  <c r="AU618" i="2"/>
  <c r="AU78" i="2"/>
  <c r="AV78" i="2" s="1"/>
  <c r="AU7" i="2"/>
  <c r="AV7" i="2" s="1"/>
  <c r="AU80" i="2"/>
  <c r="AV80" i="2" s="1"/>
  <c r="AU65" i="2"/>
  <c r="AV62" i="2"/>
  <c r="AX58" i="2"/>
  <c r="BL58" i="2"/>
  <c r="BL48" i="2"/>
  <c r="BM48" i="2" s="1"/>
  <c r="BM44" i="2"/>
  <c r="AS678" i="2"/>
  <c r="AS640" i="2"/>
  <c r="AT640" i="2" s="1"/>
  <c r="AT619" i="2"/>
  <c r="AQ983" i="2"/>
  <c r="AR573" i="2"/>
  <c r="AQ575" i="2"/>
  <c r="BL253" i="2"/>
  <c r="BM253" i="2" s="1"/>
  <c r="BM242" i="2"/>
  <c r="BL246" i="2"/>
  <c r="AS879" i="2"/>
  <c r="AT879" i="2" s="1"/>
  <c r="AT861" i="2"/>
  <c r="AS863" i="2"/>
  <c r="AV181" i="2"/>
  <c r="AQ678" i="2"/>
  <c r="AQ640" i="2"/>
  <c r="AR640" i="2" s="1"/>
  <c r="AR619" i="2"/>
  <c r="AV295" i="2"/>
  <c r="AU308" i="2"/>
  <c r="AW54" i="2"/>
  <c r="AX52" i="2"/>
  <c r="BL52" i="2"/>
  <c r="AS953" i="2"/>
  <c r="AS661" i="2"/>
  <c r="AS128" i="2"/>
  <c r="AT128" i="2" s="1"/>
  <c r="AT114" i="2"/>
  <c r="AX248" i="2"/>
  <c r="BL248" i="2"/>
  <c r="BM248" i="2" s="1"/>
  <c r="BL69" i="2"/>
  <c r="BM69" i="2" s="1"/>
  <c r="BM57" i="2"/>
  <c r="AX92" i="2"/>
  <c r="AW101" i="2"/>
  <c r="AW133" i="2" s="1"/>
  <c r="AW107" i="2"/>
  <c r="AW138" i="2" s="1"/>
  <c r="AX138" i="2" s="1"/>
  <c r="AW108" i="2"/>
  <c r="AW139" i="2" s="1"/>
  <c r="AX139" i="2" s="1"/>
  <c r="AW102" i="2"/>
  <c r="AW106" i="2"/>
  <c r="BL92" i="2"/>
  <c r="BM92" i="2" s="1"/>
  <c r="AX156" i="2"/>
  <c r="AW167" i="2"/>
  <c r="BL156" i="2"/>
  <c r="AS974" i="2"/>
  <c r="AS627" i="2"/>
  <c r="AS187" i="2"/>
  <c r="AT184" i="2"/>
  <c r="AS10" i="2"/>
  <c r="AT10" i="2" s="1"/>
  <c r="BM87" i="2"/>
  <c r="BL97" i="2"/>
  <c r="BL94" i="2"/>
  <c r="BL90" i="2"/>
  <c r="AX60" i="2"/>
  <c r="BL60" i="2"/>
  <c r="AX59" i="2"/>
  <c r="BL59" i="2"/>
  <c r="AS316" i="2"/>
  <c r="BM47" i="2"/>
  <c r="BN47" i="2"/>
  <c r="AR662" i="2"/>
  <c r="AQ607" i="2"/>
  <c r="AQ322" i="2"/>
  <c r="AR322" i="2" s="1"/>
  <c r="AR321" i="2"/>
  <c r="AQ328" i="2"/>
  <c r="AQ659" i="2"/>
  <c r="AR146" i="2"/>
  <c r="AQ148" i="2"/>
  <c r="BN221" i="2"/>
  <c r="BM228" i="2"/>
  <c r="BL229" i="2"/>
  <c r="AS617" i="2"/>
  <c r="AS146" i="2"/>
  <c r="AT143" i="2"/>
  <c r="AV176" i="2"/>
  <c r="AU178" i="2"/>
  <c r="AW271" i="2"/>
  <c r="AX271" i="2" s="1"/>
  <c r="AX260" i="2"/>
  <c r="BL260" i="2"/>
  <c r="AR660" i="2"/>
  <c r="AV282" i="2"/>
  <c r="AW275" i="2"/>
  <c r="AU283" i="2"/>
  <c r="AU598" i="2"/>
  <c r="AV598" i="2" s="1"/>
  <c r="AU104" i="2"/>
  <c r="AV104" i="2" s="1"/>
  <c r="AU111" i="2"/>
  <c r="AU143" i="2" s="1"/>
  <c r="AV103" i="2"/>
  <c r="AW98" i="2"/>
  <c r="AX98" i="2" s="1"/>
  <c r="AX94" i="2"/>
  <c r="AW134" i="2"/>
  <c r="AX134" i="2" s="1"/>
  <c r="AX53" i="2"/>
  <c r="BL53" i="2"/>
  <c r="AR327" i="2"/>
  <c r="AQ582" i="2"/>
  <c r="AR582" i="2" s="1"/>
  <c r="BM40" i="2"/>
  <c r="BN34" i="2"/>
  <c r="BL41" i="2"/>
  <c r="AS9" i="2"/>
  <c r="AT8" i="2"/>
  <c r="AW109" i="2"/>
  <c r="AU596" i="2"/>
  <c r="AV135" i="2"/>
  <c r="AW61" i="2"/>
  <c r="AX61" i="2" s="1"/>
  <c r="AQ638" i="2"/>
  <c r="AR638" i="2" s="1"/>
  <c r="AR617" i="2"/>
  <c r="AQ218" i="3"/>
  <c r="AQ161" i="3"/>
  <c r="AP161" i="3"/>
  <c r="AS220" i="3"/>
  <c r="AR220" i="3"/>
  <c r="AS215" i="3"/>
  <c r="AR215" i="3"/>
  <c r="AS219" i="3"/>
  <c r="AR219" i="3"/>
  <c r="AT248" i="3"/>
  <c r="AU248" i="3"/>
  <c r="AO239" i="3"/>
  <c r="AN239" i="3"/>
  <c r="AQ264" i="3"/>
  <c r="AP264" i="3"/>
  <c r="AQ323" i="3"/>
  <c r="AP323" i="3"/>
  <c r="AQ211" i="3"/>
  <c r="AP211" i="3"/>
  <c r="CB273" i="3"/>
  <c r="CA273" i="3"/>
  <c r="CB178" i="3"/>
  <c r="CA178" i="3"/>
  <c r="AQ204" i="3"/>
  <c r="AP204" i="3"/>
  <c r="AS144" i="3"/>
  <c r="AR144" i="3"/>
  <c r="CB272" i="3"/>
  <c r="CA272" i="3"/>
  <c r="CB161" i="3"/>
  <c r="CA161" i="3"/>
  <c r="AU334" i="3"/>
  <c r="AT334" i="3"/>
  <c r="CB235" i="3"/>
  <c r="CB236" i="3" s="1"/>
  <c r="CA235" i="3"/>
  <c r="CA236" i="3" s="1"/>
  <c r="CA11" i="156"/>
  <c r="CA238" i="3"/>
  <c r="AN121" i="3"/>
  <c r="AN8" i="156"/>
  <c r="AO172" i="3"/>
  <c r="AN172" i="3"/>
  <c r="CB171" i="3"/>
  <c r="CA171" i="3"/>
  <c r="AS276" i="3"/>
  <c r="AR276" i="3"/>
  <c r="AW159" i="3"/>
  <c r="AV159" i="3"/>
  <c r="AO286" i="3"/>
  <c r="AN286" i="3"/>
  <c r="AQ116" i="3"/>
  <c r="AP116" i="3"/>
  <c r="AQ235" i="3"/>
  <c r="AQ236" i="3" s="1"/>
  <c r="AP235" i="3"/>
  <c r="AP236" i="3" s="1"/>
  <c r="AO290" i="3"/>
  <c r="AN290" i="3"/>
  <c r="AQ110" i="3"/>
  <c r="AP110" i="3"/>
  <c r="AS337" i="3"/>
  <c r="AR337" i="3"/>
  <c r="AQ118" i="3"/>
  <c r="AP118" i="3"/>
  <c r="AO292" i="3"/>
  <c r="AN292" i="3"/>
  <c r="AQ111" i="3"/>
  <c r="AP111" i="3"/>
  <c r="AU158" i="3"/>
  <c r="AT158" i="3"/>
  <c r="AU338" i="3"/>
  <c r="AT338" i="3"/>
  <c r="AW160" i="3"/>
  <c r="AV160" i="3"/>
  <c r="V4" i="178"/>
  <c r="V5" i="178" s="1"/>
  <c r="AS141" i="3"/>
  <c r="AR141" i="3"/>
  <c r="CB176" i="3"/>
  <c r="CA176" i="3"/>
  <c r="CB175" i="3"/>
  <c r="CA175" i="3"/>
  <c r="AO238" i="3"/>
  <c r="AO11" i="156"/>
  <c r="AS257" i="3"/>
  <c r="AR257" i="3"/>
  <c r="AU273" i="3"/>
  <c r="AT273" i="3"/>
  <c r="CB177" i="3"/>
  <c r="CA177" i="3"/>
  <c r="AS314" i="3"/>
  <c r="AR314" i="3"/>
  <c r="CB119" i="3"/>
  <c r="CA119" i="3"/>
  <c r="AW154" i="3"/>
  <c r="AV154" i="3"/>
  <c r="AU333" i="3"/>
  <c r="AT333" i="3"/>
  <c r="AW155" i="3"/>
  <c r="AV155" i="3"/>
  <c r="AO285" i="3"/>
  <c r="AN285" i="3"/>
  <c r="AO291" i="3"/>
  <c r="AN291" i="3"/>
  <c r="CB325" i="3"/>
  <c r="CA325" i="3"/>
  <c r="AQ117" i="3"/>
  <c r="AP117" i="3"/>
  <c r="CB158" i="3"/>
  <c r="CA158" i="3"/>
  <c r="AU340" i="3"/>
  <c r="AT340" i="3"/>
  <c r="AQ330" i="3"/>
  <c r="AP330" i="3"/>
  <c r="AS142" i="3"/>
  <c r="AR142" i="3"/>
  <c r="CB232" i="3"/>
  <c r="CA232" i="3"/>
  <c r="AU339" i="3"/>
  <c r="AT339" i="3"/>
  <c r="AO179" i="3"/>
  <c r="AN179" i="3"/>
  <c r="AQ209" i="3"/>
  <c r="AP209" i="3"/>
  <c r="CD329" i="3"/>
  <c r="CC329" i="3"/>
  <c r="CB170" i="3"/>
  <c r="CA170" i="3"/>
  <c r="CB289" i="3"/>
  <c r="CA289" i="3"/>
  <c r="AV177" i="2" l="1"/>
  <c r="AU617" i="2"/>
  <c r="AU146" i="2"/>
  <c r="AV143" i="2"/>
  <c r="AW135" i="2"/>
  <c r="AX133" i="2"/>
  <c r="AV596" i="2"/>
  <c r="BL271" i="2"/>
  <c r="BM271" i="2" s="1"/>
  <c r="BM260" i="2"/>
  <c r="BL264" i="2"/>
  <c r="AU197" i="2"/>
  <c r="AV182" i="2"/>
  <c r="AU199" i="2"/>
  <c r="AV199" i="2" s="1"/>
  <c r="AU183" i="2"/>
  <c r="AU184" i="2" s="1"/>
  <c r="AS659" i="2"/>
  <c r="AS148" i="2"/>
  <c r="AT146" i="2"/>
  <c r="BN224" i="2"/>
  <c r="BO221" i="2"/>
  <c r="BO234" i="2" s="1"/>
  <c r="BN234" i="2"/>
  <c r="AR607" i="2"/>
  <c r="AQ613" i="2"/>
  <c r="BN84" i="2"/>
  <c r="BM90" i="2"/>
  <c r="BL91" i="2"/>
  <c r="AX102" i="2"/>
  <c r="BL102" i="2"/>
  <c r="AV308" i="2"/>
  <c r="AU309" i="2"/>
  <c r="AV309" i="2" s="1"/>
  <c r="AQ679" i="2"/>
  <c r="AQ681" i="2" s="1"/>
  <c r="AR678" i="2"/>
  <c r="AQ695" i="2"/>
  <c r="AR695" i="2" s="1"/>
  <c r="AX266" i="2"/>
  <c r="BL266" i="2"/>
  <c r="BM266" i="2" s="1"/>
  <c r="AT326" i="2"/>
  <c r="AS581" i="2"/>
  <c r="AT581" i="2" s="1"/>
  <c r="AX159" i="2"/>
  <c r="AW164" i="2"/>
  <c r="BL164" i="2" s="1"/>
  <c r="AW161" i="2"/>
  <c r="AW163" i="2"/>
  <c r="BL163" i="2" s="1"/>
  <c r="AW160" i="2"/>
  <c r="AX109" i="2"/>
  <c r="BL109" i="2"/>
  <c r="BO34" i="2"/>
  <c r="BN38" i="2"/>
  <c r="BN46" i="2"/>
  <c r="BO46" i="2" s="1"/>
  <c r="BM53" i="2"/>
  <c r="BL68" i="2"/>
  <c r="BN68" i="2" s="1"/>
  <c r="AU989" i="2"/>
  <c r="AU606" i="2"/>
  <c r="AV606" i="2" s="1"/>
  <c r="AU179" i="2"/>
  <c r="AU198" i="2" s="1"/>
  <c r="AV178" i="2"/>
  <c r="AS638" i="2"/>
  <c r="AT638" i="2" s="1"/>
  <c r="AT617" i="2"/>
  <c r="AQ332" i="2"/>
  <c r="AR332" i="2" s="1"/>
  <c r="AR328" i="2"/>
  <c r="AQ329" i="2"/>
  <c r="AT316" i="2"/>
  <c r="BL140" i="2"/>
  <c r="BM140" i="2" s="1"/>
  <c r="BM60" i="2"/>
  <c r="BL74" i="2"/>
  <c r="BM74" i="2" s="1"/>
  <c r="BL98" i="2"/>
  <c r="BM98" i="2" s="1"/>
  <c r="BM94" i="2"/>
  <c r="BM156" i="2"/>
  <c r="BL170" i="2"/>
  <c r="BL167" i="2"/>
  <c r="BL159" i="2"/>
  <c r="AX108" i="2"/>
  <c r="BL108" i="2"/>
  <c r="BL139" i="2" s="1"/>
  <c r="BM139" i="2" s="1"/>
  <c r="BL61" i="2"/>
  <c r="BM61" i="2" s="1"/>
  <c r="AT661" i="2"/>
  <c r="AW597" i="2"/>
  <c r="AX597" i="2" s="1"/>
  <c r="AX54" i="2"/>
  <c r="AW55" i="2"/>
  <c r="AX55" i="2" s="1"/>
  <c r="AW62" i="2"/>
  <c r="AR9" i="2"/>
  <c r="AS321" i="2"/>
  <c r="AT319" i="2"/>
  <c r="AS573" i="2"/>
  <c r="BM157" i="2"/>
  <c r="BL172" i="2"/>
  <c r="BM172" i="2" s="1"/>
  <c r="AV283" i="2"/>
  <c r="BL73" i="2"/>
  <c r="BM59" i="2"/>
  <c r="BN97" i="2"/>
  <c r="BM97" i="2"/>
  <c r="AS955" i="2"/>
  <c r="AS662" i="2"/>
  <c r="AS200" i="2"/>
  <c r="AT200" i="2" s="1"/>
  <c r="AT187" i="2"/>
  <c r="AW171" i="2"/>
  <c r="AX171" i="2" s="1"/>
  <c r="AX167" i="2"/>
  <c r="AX107" i="2"/>
  <c r="BL107" i="2"/>
  <c r="BM246" i="2"/>
  <c r="BN239" i="2"/>
  <c r="BL247" i="2"/>
  <c r="AR575" i="2"/>
  <c r="AQ584" i="2"/>
  <c r="BL138" i="2"/>
  <c r="BM138" i="2" s="1"/>
  <c r="BM58" i="2"/>
  <c r="BL72" i="2"/>
  <c r="AU952" i="2"/>
  <c r="AU660" i="2"/>
  <c r="AU79" i="2"/>
  <c r="AV79" i="2" s="1"/>
  <c r="AV65" i="2"/>
  <c r="AT325" i="2"/>
  <c r="AS580" i="2"/>
  <c r="AT580" i="2" s="1"/>
  <c r="AT323" i="2"/>
  <c r="AS327" i="2"/>
  <c r="AS578" i="2"/>
  <c r="AT578" i="2" s="1"/>
  <c r="AT660" i="2"/>
  <c r="AV302" i="2"/>
  <c r="AU861" i="2"/>
  <c r="AU303" i="2"/>
  <c r="AT9" i="2"/>
  <c r="AU972" i="2"/>
  <c r="AU973" i="2" s="1"/>
  <c r="AU619" i="2"/>
  <c r="AU114" i="2"/>
  <c r="AU8" i="2"/>
  <c r="AV111" i="2"/>
  <c r="AU129" i="2"/>
  <c r="AV129" i="2" s="1"/>
  <c r="AU127" i="2"/>
  <c r="AV127" i="2" s="1"/>
  <c r="AX275" i="2"/>
  <c r="AW278" i="2"/>
  <c r="AW287" i="2"/>
  <c r="AX287" i="2" s="1"/>
  <c r="AR659" i="2"/>
  <c r="BP47" i="2"/>
  <c r="BN37" i="2"/>
  <c r="BO47" i="2"/>
  <c r="AW140" i="2"/>
  <c r="AX140" i="2" s="1"/>
  <c r="AS648" i="2"/>
  <c r="AT648" i="2" s="1"/>
  <c r="AT627" i="2"/>
  <c r="AW110" i="2"/>
  <c r="AX110" i="2" s="1"/>
  <c r="AX106" i="2"/>
  <c r="BL106" i="2"/>
  <c r="AW137" i="2"/>
  <c r="AX101" i="2"/>
  <c r="AW103" i="2"/>
  <c r="BL101" i="2"/>
  <c r="BL133" i="2" s="1"/>
  <c r="BL67" i="2"/>
  <c r="BL54" i="2"/>
  <c r="BM52" i="2"/>
  <c r="AS864" i="2"/>
  <c r="AT863" i="2"/>
  <c r="AS695" i="2"/>
  <c r="AT695" i="2" s="1"/>
  <c r="AT678" i="2"/>
  <c r="AS679" i="2"/>
  <c r="AU639" i="2"/>
  <c r="AV639" i="2" s="1"/>
  <c r="AV618" i="2"/>
  <c r="AR661" i="2"/>
  <c r="AT324" i="2"/>
  <c r="AS579" i="2"/>
  <c r="AT579" i="2" s="1"/>
  <c r="AT320" i="2"/>
  <c r="AS574" i="2"/>
  <c r="AT574" i="2" s="1"/>
  <c r="AS954" i="2"/>
  <c r="AX292" i="2"/>
  <c r="AW307" i="2"/>
  <c r="AX307" i="2" s="1"/>
  <c r="AR218" i="3"/>
  <c r="AP218" i="3"/>
  <c r="AS161" i="3"/>
  <c r="AR161" i="3"/>
  <c r="AS218" i="3"/>
  <c r="AU220" i="3"/>
  <c r="AT220" i="3"/>
  <c r="AT219" i="3"/>
  <c r="AU219" i="3"/>
  <c r="AT215" i="3"/>
  <c r="AU215" i="3"/>
  <c r="AW248" i="3"/>
  <c r="AV248" i="3"/>
  <c r="AW339" i="3"/>
  <c r="AV339" i="3"/>
  <c r="CB337" i="3"/>
  <c r="CA337" i="3"/>
  <c r="AU337" i="3"/>
  <c r="AT337" i="3"/>
  <c r="AS329" i="3"/>
  <c r="AR329" i="3"/>
  <c r="AW273" i="3"/>
  <c r="AV273" i="3"/>
  <c r="CB218" i="3"/>
  <c r="CA218" i="3"/>
  <c r="AS149" i="3"/>
  <c r="AR149" i="3"/>
  <c r="AW338" i="3"/>
  <c r="AV338" i="3"/>
  <c r="CB292" i="3"/>
  <c r="CA292" i="3"/>
  <c r="AQ112" i="3"/>
  <c r="AP112" i="3"/>
  <c r="AO130" i="3"/>
  <c r="AN130" i="3"/>
  <c r="V38" i="178"/>
  <c r="AS146" i="3"/>
  <c r="AR146" i="3"/>
  <c r="V41" i="178"/>
  <c r="V42" i="178" s="1"/>
  <c r="CB239" i="3"/>
  <c r="CA239" i="3"/>
  <c r="CB293" i="3"/>
  <c r="CA293" i="3"/>
  <c r="CB214" i="3"/>
  <c r="CA214" i="3"/>
  <c r="AS151" i="3"/>
  <c r="AR151" i="3"/>
  <c r="AW340" i="3"/>
  <c r="AV340" i="3"/>
  <c r="CB291" i="3"/>
  <c r="CA291" i="3"/>
  <c r="CB285" i="3"/>
  <c r="CA285" i="3"/>
  <c r="AW158" i="3"/>
  <c r="AV158" i="3"/>
  <c r="AU276" i="3"/>
  <c r="AT276" i="3"/>
  <c r="AO293" i="3"/>
  <c r="AN293" i="3"/>
  <c r="AS260" i="3"/>
  <c r="AR260" i="3"/>
  <c r="CB179" i="3"/>
  <c r="CA179" i="3"/>
  <c r="CB219" i="3"/>
  <c r="CA219" i="3"/>
  <c r="CB286" i="3"/>
  <c r="CA286" i="3"/>
  <c r="AO121" i="3"/>
  <c r="AO8" i="156"/>
  <c r="CB11" i="156"/>
  <c r="CB238" i="3"/>
  <c r="CB221" i="3"/>
  <c r="CA221" i="3"/>
  <c r="CB172" i="3"/>
  <c r="CA172" i="3"/>
  <c r="V34" i="178"/>
  <c r="V35" i="178" s="1"/>
  <c r="CA8" i="156"/>
  <c r="CA121" i="3"/>
  <c r="CB220" i="3"/>
  <c r="CA220" i="3"/>
  <c r="AQ119" i="3"/>
  <c r="AP119" i="3"/>
  <c r="CB290" i="3"/>
  <c r="CA290" i="3"/>
  <c r="CB215" i="3"/>
  <c r="CA215" i="3"/>
  <c r="AO123" i="3"/>
  <c r="AN123" i="3"/>
  <c r="AN124" i="3" s="1"/>
  <c r="AS199" i="3"/>
  <c r="AR199" i="3"/>
  <c r="AQ230" i="3"/>
  <c r="AP230" i="3"/>
  <c r="AO287" i="3"/>
  <c r="AN287" i="3"/>
  <c r="AW333" i="3"/>
  <c r="AV333" i="3"/>
  <c r="AS259" i="3"/>
  <c r="AR259" i="3"/>
  <c r="AN181" i="3"/>
  <c r="AN9" i="156"/>
  <c r="CB276" i="3"/>
  <c r="CA276" i="3"/>
  <c r="AW334" i="3"/>
  <c r="AV334" i="3"/>
  <c r="AU139" i="3"/>
  <c r="AT139" i="3"/>
  <c r="AQ206" i="3"/>
  <c r="AP206" i="3"/>
  <c r="AQ325" i="3"/>
  <c r="AP325" i="3"/>
  <c r="AQ231" i="3"/>
  <c r="AP231" i="3"/>
  <c r="BL597" i="2" l="1"/>
  <c r="BM597" i="2" s="1"/>
  <c r="BL55" i="2"/>
  <c r="BM55" i="2" s="1"/>
  <c r="BM54" i="2"/>
  <c r="BL62" i="2"/>
  <c r="AW598" i="2"/>
  <c r="AX598" i="2" s="1"/>
  <c r="AW111" i="2"/>
  <c r="AX103" i="2"/>
  <c r="AW104" i="2"/>
  <c r="AX104" i="2" s="1"/>
  <c r="AW288" i="2"/>
  <c r="AX288" i="2" s="1"/>
  <c r="AW295" i="2"/>
  <c r="AX278" i="2"/>
  <c r="BL278" i="2"/>
  <c r="AV861" i="2"/>
  <c r="AU879" i="2"/>
  <c r="AV879" i="2" s="1"/>
  <c r="AU863" i="2"/>
  <c r="BN72" i="2"/>
  <c r="BM72" i="2"/>
  <c r="BL75" i="2"/>
  <c r="BM107" i="2"/>
  <c r="BL121" i="2"/>
  <c r="AS607" i="2"/>
  <c r="AS328" i="2"/>
  <c r="AS322" i="2"/>
  <c r="AT322" i="2" s="1"/>
  <c r="AT321" i="2"/>
  <c r="BM159" i="2"/>
  <c r="BN154" i="2"/>
  <c r="BL160" i="2"/>
  <c r="AR329" i="2"/>
  <c r="AQ585" i="2"/>
  <c r="AR585" i="2" s="1"/>
  <c r="BN235" i="2"/>
  <c r="BO235" i="2" s="1"/>
  <c r="BO224" i="2"/>
  <c r="AT659" i="2"/>
  <c r="BM264" i="2"/>
  <c r="BN257" i="2"/>
  <c r="BL265" i="2"/>
  <c r="AW596" i="2"/>
  <c r="AX135" i="2"/>
  <c r="AT679" i="2"/>
  <c r="BM133" i="2"/>
  <c r="AV8" i="2"/>
  <c r="AU9" i="2"/>
  <c r="BO97" i="2"/>
  <c r="BP97" i="2"/>
  <c r="BN87" i="2"/>
  <c r="BL171" i="2"/>
  <c r="BM171" i="2" s="1"/>
  <c r="BM167" i="2"/>
  <c r="AQ335" i="2"/>
  <c r="BM68" i="2"/>
  <c r="BL70" i="2"/>
  <c r="BN70" i="2" s="1"/>
  <c r="BO38" i="2"/>
  <c r="BN49" i="2"/>
  <c r="BO49" i="2" s="1"/>
  <c r="BM109" i="2"/>
  <c r="BL123" i="2"/>
  <c r="BM123" i="2" s="1"/>
  <c r="AW165" i="2"/>
  <c r="BL165" i="2" s="1"/>
  <c r="BN157" i="2" s="1"/>
  <c r="AV183" i="2"/>
  <c r="BN67" i="2"/>
  <c r="BM67" i="2"/>
  <c r="AX137" i="2"/>
  <c r="AW141" i="2"/>
  <c r="BO37" i="2"/>
  <c r="BN44" i="2"/>
  <c r="AU953" i="2"/>
  <c r="AU661" i="2"/>
  <c r="AU128" i="2"/>
  <c r="AV128" i="2" s="1"/>
  <c r="AV114" i="2"/>
  <c r="AV660" i="2"/>
  <c r="BN242" i="2"/>
  <c r="BN246" i="2" s="1"/>
  <c r="BO239" i="2"/>
  <c r="BN252" i="2"/>
  <c r="BO252" i="2" s="1"/>
  <c r="AT662" i="2"/>
  <c r="AS983" i="2"/>
  <c r="AT573" i="2"/>
  <c r="AS575" i="2"/>
  <c r="BL122" i="2"/>
  <c r="BM108" i="2"/>
  <c r="BN170" i="2"/>
  <c r="BM170" i="2"/>
  <c r="BN40" i="2"/>
  <c r="AX161" i="2"/>
  <c r="AW177" i="2"/>
  <c r="AW176" i="2"/>
  <c r="AW180" i="2"/>
  <c r="BL180" i="2" s="1"/>
  <c r="AW181" i="2"/>
  <c r="BL161" i="2"/>
  <c r="BM161" i="2" s="1"/>
  <c r="AR681" i="2"/>
  <c r="BM102" i="2"/>
  <c r="BL117" i="2"/>
  <c r="BO84" i="2"/>
  <c r="BN88" i="2"/>
  <c r="BN90" i="2" s="1"/>
  <c r="BN96" i="2"/>
  <c r="BO96" i="2" s="1"/>
  <c r="AU974" i="2"/>
  <c r="AU627" i="2"/>
  <c r="AU187" i="2"/>
  <c r="AV184" i="2"/>
  <c r="AU10" i="2"/>
  <c r="AV10" i="2" s="1"/>
  <c r="AU659" i="2"/>
  <c r="AV146" i="2"/>
  <c r="AU148" i="2"/>
  <c r="AT864" i="2"/>
  <c r="AS681" i="2"/>
  <c r="BL116" i="2"/>
  <c r="BL103" i="2"/>
  <c r="BM101" i="2"/>
  <c r="BL110" i="2"/>
  <c r="BM110" i="2" s="1"/>
  <c r="BL118" i="2"/>
  <c r="BM118" i="2" s="1"/>
  <c r="BM106" i="2"/>
  <c r="BL137" i="2"/>
  <c r="BR47" i="2"/>
  <c r="BQ47" i="2"/>
  <c r="AW282" i="2"/>
  <c r="AU640" i="2"/>
  <c r="AV640" i="2" s="1"/>
  <c r="AU678" i="2"/>
  <c r="AV619" i="2"/>
  <c r="AV303" i="2"/>
  <c r="AU320" i="2"/>
  <c r="AU319" i="2"/>
  <c r="AU323" i="2"/>
  <c r="AU326" i="2"/>
  <c r="AU325" i="2"/>
  <c r="AU324" i="2"/>
  <c r="AT327" i="2"/>
  <c r="AS582" i="2"/>
  <c r="AT582" i="2" s="1"/>
  <c r="AU954" i="2"/>
  <c r="AR584" i="2"/>
  <c r="AQ586" i="2"/>
  <c r="BN73" i="2"/>
  <c r="BM73" i="2"/>
  <c r="AW971" i="2"/>
  <c r="AW618" i="2"/>
  <c r="AW143" i="2"/>
  <c r="AW80" i="2"/>
  <c r="AX80" i="2" s="1"/>
  <c r="AW65" i="2"/>
  <c r="AX62" i="2"/>
  <c r="AW78" i="2"/>
  <c r="AX78" i="2" s="1"/>
  <c r="AW7" i="2"/>
  <c r="AX7" i="2" s="1"/>
  <c r="AU316" i="2"/>
  <c r="AQ330" i="2"/>
  <c r="BL134" i="2"/>
  <c r="BL135" i="2" s="1"/>
  <c r="AR679" i="2"/>
  <c r="AQ614" i="2"/>
  <c r="AR613" i="2"/>
  <c r="BN228" i="2"/>
  <c r="AU638" i="2"/>
  <c r="AV638" i="2" s="1"/>
  <c r="AV617" i="2"/>
  <c r="AS264" i="3"/>
  <c r="AS262" i="3"/>
  <c r="AR262" i="3"/>
  <c r="AW215" i="3"/>
  <c r="AV215" i="3"/>
  <c r="AW219" i="3"/>
  <c r="AV219" i="3"/>
  <c r="AQ221" i="3"/>
  <c r="AP221" i="3"/>
  <c r="AT161" i="3"/>
  <c r="AU161" i="3"/>
  <c r="AV220" i="3"/>
  <c r="AW220" i="3"/>
  <c r="AP238" i="3"/>
  <c r="AP11" i="156"/>
  <c r="AQ290" i="3"/>
  <c r="AP290" i="3"/>
  <c r="AQ175" i="3"/>
  <c r="AP175" i="3"/>
  <c r="AQ171" i="3"/>
  <c r="AP171" i="3"/>
  <c r="AQ170" i="3"/>
  <c r="AP170" i="3"/>
  <c r="AN10" i="156"/>
  <c r="AW337" i="3"/>
  <c r="AV337" i="3"/>
  <c r="AS201" i="3"/>
  <c r="AR201" i="3"/>
  <c r="V37" i="178"/>
  <c r="CB338" i="3"/>
  <c r="CA338" i="3"/>
  <c r="CB130" i="3"/>
  <c r="CA130" i="3"/>
  <c r="CA9" i="156"/>
  <c r="CA181" i="3"/>
  <c r="CB333" i="3"/>
  <c r="CA333" i="3"/>
  <c r="AS117" i="3"/>
  <c r="AR117" i="3"/>
  <c r="AQ292" i="3"/>
  <c r="AP292" i="3"/>
  <c r="AQ178" i="3"/>
  <c r="AP178" i="3"/>
  <c r="AU141" i="3"/>
  <c r="AT141" i="3"/>
  <c r="AO183" i="3"/>
  <c r="AN183" i="3"/>
  <c r="AN184" i="3" s="1"/>
  <c r="AS267" i="3"/>
  <c r="AR267" i="3"/>
  <c r="AS202" i="3"/>
  <c r="AR202" i="3"/>
  <c r="CB241" i="3"/>
  <c r="CA241" i="3"/>
  <c r="CA242" i="3" s="1"/>
  <c r="AO8" i="3"/>
  <c r="AN8" i="3"/>
  <c r="CB334" i="3"/>
  <c r="CA334" i="3"/>
  <c r="AS110" i="3"/>
  <c r="AR110" i="3"/>
  <c r="AP8" i="156"/>
  <c r="AP121" i="3"/>
  <c r="AW276" i="3"/>
  <c r="AV276" i="3"/>
  <c r="AQ286" i="3"/>
  <c r="AP286" i="3"/>
  <c r="AQ291" i="3"/>
  <c r="AP291" i="3"/>
  <c r="AQ289" i="3"/>
  <c r="AP289" i="3"/>
  <c r="AQ285" i="3"/>
  <c r="AP285" i="3"/>
  <c r="AQ176" i="3"/>
  <c r="AP176" i="3"/>
  <c r="AU142" i="3"/>
  <c r="AT142" i="3"/>
  <c r="AO190" i="3"/>
  <c r="AN190" i="3"/>
  <c r="AN295" i="3"/>
  <c r="AN12" i="156"/>
  <c r="AQ232" i="3"/>
  <c r="AP232" i="3"/>
  <c r="CB123" i="3"/>
  <c r="V7" i="178"/>
  <c r="CA123" i="3"/>
  <c r="CA124" i="3" s="1"/>
  <c r="AS269" i="3"/>
  <c r="AR269" i="3"/>
  <c r="AS115" i="3"/>
  <c r="AR115" i="3"/>
  <c r="AS111" i="3"/>
  <c r="AR111" i="3"/>
  <c r="CB340" i="3"/>
  <c r="CA340" i="3"/>
  <c r="AQ177" i="3"/>
  <c r="AP177" i="3"/>
  <c r="AO181" i="3"/>
  <c r="AO9" i="156"/>
  <c r="CB8" i="156"/>
  <c r="CB121" i="3"/>
  <c r="V11" i="178"/>
  <c r="V12" i="178" s="1"/>
  <c r="CB287" i="3"/>
  <c r="CA287" i="3"/>
  <c r="CB339" i="3"/>
  <c r="CA339" i="3"/>
  <c r="AO241" i="3"/>
  <c r="AN241" i="3"/>
  <c r="AN242" i="3" s="1"/>
  <c r="AS118" i="3"/>
  <c r="AR118" i="3"/>
  <c r="AS116" i="3"/>
  <c r="AR116" i="3"/>
  <c r="BL596" i="2" l="1"/>
  <c r="BM135" i="2"/>
  <c r="BO90" i="2"/>
  <c r="BP84" i="2"/>
  <c r="BN92" i="2"/>
  <c r="BO92" i="2" s="1"/>
  <c r="BO246" i="2"/>
  <c r="BP239" i="2"/>
  <c r="BN248" i="2"/>
  <c r="BO248" i="2" s="1"/>
  <c r="AQ975" i="2"/>
  <c r="AQ980" i="2" s="1"/>
  <c r="AQ628" i="2"/>
  <c r="AQ351" i="2"/>
  <c r="AR351" i="2" s="1"/>
  <c r="AR330" i="2"/>
  <c r="AQ355" i="2"/>
  <c r="AR355" i="2" s="1"/>
  <c r="AQ339" i="2"/>
  <c r="AQ11" i="2"/>
  <c r="AW639" i="2"/>
  <c r="AX639" i="2" s="1"/>
  <c r="AX618" i="2"/>
  <c r="AQ591" i="2"/>
  <c r="AR586" i="2"/>
  <c r="AU327" i="2"/>
  <c r="AV323" i="2"/>
  <c r="AU578" i="2"/>
  <c r="AV578" i="2" s="1"/>
  <c r="BL598" i="2"/>
  <c r="BM598" i="2" s="1"/>
  <c r="BL104" i="2"/>
  <c r="BM104" i="2" s="1"/>
  <c r="BM103" i="2"/>
  <c r="BL111" i="2"/>
  <c r="AX181" i="2"/>
  <c r="BL181" i="2"/>
  <c r="AV661" i="2"/>
  <c r="BP68" i="2"/>
  <c r="BO68" i="2"/>
  <c r="BO87" i="2"/>
  <c r="BN94" i="2"/>
  <c r="BO154" i="2"/>
  <c r="BN169" i="2"/>
  <c r="BO169" i="2" s="1"/>
  <c r="AS335" i="2"/>
  <c r="AT328" i="2"/>
  <c r="AS332" i="2"/>
  <c r="AT332" i="2" s="1"/>
  <c r="BN75" i="2"/>
  <c r="BM75" i="2"/>
  <c r="AW308" i="2"/>
  <c r="AX295" i="2"/>
  <c r="BL295" i="2"/>
  <c r="AW299" i="2"/>
  <c r="AW972" i="2"/>
  <c r="AW973" i="2" s="1"/>
  <c r="AW619" i="2"/>
  <c r="AW127" i="2"/>
  <c r="AX127" i="2" s="1"/>
  <c r="AW129" i="2"/>
  <c r="AX129" i="2" s="1"/>
  <c r="AW8" i="2"/>
  <c r="AW114" i="2"/>
  <c r="AX111" i="2"/>
  <c r="BP221" i="2"/>
  <c r="BO228" i="2"/>
  <c r="BN230" i="2"/>
  <c r="BO230" i="2" s="1"/>
  <c r="AV316" i="2"/>
  <c r="AW952" i="2"/>
  <c r="AW660" i="2"/>
  <c r="AX65" i="2"/>
  <c r="AW79" i="2"/>
  <c r="AX79" i="2" s="1"/>
  <c r="AV324" i="2"/>
  <c r="AU579" i="2"/>
  <c r="AV579" i="2" s="1"/>
  <c r="AU321" i="2"/>
  <c r="AV319" i="2"/>
  <c r="AU573" i="2"/>
  <c r="AU695" i="2"/>
  <c r="AV695" i="2" s="1"/>
  <c r="AV678" i="2"/>
  <c r="AU679" i="2"/>
  <c r="AU681" i="2" s="1"/>
  <c r="BM116" i="2"/>
  <c r="BN116" i="2"/>
  <c r="BL191" i="2"/>
  <c r="BM180" i="2"/>
  <c r="BP34" i="2"/>
  <c r="BO40" i="2"/>
  <c r="BN42" i="2"/>
  <c r="BO42" i="2" s="1"/>
  <c r="BM122" i="2"/>
  <c r="BN122" i="2"/>
  <c r="BO157" i="2"/>
  <c r="BN172" i="2"/>
  <c r="BO172" i="2" s="1"/>
  <c r="AQ338" i="2"/>
  <c r="AR338" i="2" s="1"/>
  <c r="AR335" i="2"/>
  <c r="BR97" i="2"/>
  <c r="BP87" i="2"/>
  <c r="BQ97" i="2"/>
  <c r="BN260" i="2"/>
  <c r="BO257" i="2"/>
  <c r="BN270" i="2"/>
  <c r="BO270" i="2" s="1"/>
  <c r="AT607" i="2"/>
  <c r="AS613" i="2"/>
  <c r="AV325" i="2"/>
  <c r="AU580" i="2"/>
  <c r="AV580" i="2" s="1"/>
  <c r="AV320" i="2"/>
  <c r="AU574" i="2"/>
  <c r="AV574" i="2" s="1"/>
  <c r="BS47" i="2"/>
  <c r="BT47" i="2"/>
  <c r="AT681" i="2"/>
  <c r="AU955" i="2"/>
  <c r="AU662" i="2"/>
  <c r="AV187" i="2"/>
  <c r="AU200" i="2"/>
  <c r="AV200" i="2" s="1"/>
  <c r="BN117" i="2"/>
  <c r="BM117" i="2"/>
  <c r="BL119" i="2"/>
  <c r="AW182" i="2"/>
  <c r="AW178" i="2"/>
  <c r="AX176" i="2"/>
  <c r="BL176" i="2"/>
  <c r="AT575" i="2"/>
  <c r="AS584" i="2"/>
  <c r="BN48" i="2"/>
  <c r="BO48" i="2" s="1"/>
  <c r="BO44" i="2"/>
  <c r="BM70" i="2"/>
  <c r="AS329" i="2"/>
  <c r="BL124" i="2"/>
  <c r="BN121" i="2"/>
  <c r="BM121" i="2"/>
  <c r="BO72" i="2"/>
  <c r="BP72" i="2"/>
  <c r="BN58" i="2"/>
  <c r="BM278" i="2"/>
  <c r="BL288" i="2"/>
  <c r="BM288" i="2" s="1"/>
  <c r="BL282" i="2"/>
  <c r="BL971" i="2"/>
  <c r="BL618" i="2"/>
  <c r="BL78" i="2"/>
  <c r="BM78" i="2" s="1"/>
  <c r="BM62" i="2"/>
  <c r="BL7" i="2"/>
  <c r="BM7" i="2" s="1"/>
  <c r="BL65" i="2"/>
  <c r="BM134" i="2"/>
  <c r="AW617" i="2"/>
  <c r="AW146" i="2"/>
  <c r="AX143" i="2"/>
  <c r="BO73" i="2"/>
  <c r="BP73" i="2"/>
  <c r="BN59" i="2"/>
  <c r="AV326" i="2"/>
  <c r="AU581" i="2"/>
  <c r="AV581" i="2" s="1"/>
  <c r="AX282" i="2"/>
  <c r="AW283" i="2"/>
  <c r="BL141" i="2"/>
  <c r="BM141" i="2" s="1"/>
  <c r="BM137" i="2"/>
  <c r="AV659" i="2"/>
  <c r="AU648" i="2"/>
  <c r="AV648" i="2" s="1"/>
  <c r="AV627" i="2"/>
  <c r="BO88" i="2"/>
  <c r="BN99" i="2"/>
  <c r="BO99" i="2" s="1"/>
  <c r="AX177" i="2"/>
  <c r="BL177" i="2"/>
  <c r="BO170" i="2"/>
  <c r="BP170" i="2"/>
  <c r="BN156" i="2"/>
  <c r="BO242" i="2"/>
  <c r="BN253" i="2"/>
  <c r="BO253" i="2" s="1"/>
  <c r="BP67" i="2"/>
  <c r="BO67" i="2"/>
  <c r="AV9" i="2"/>
  <c r="AX596" i="2"/>
  <c r="AU864" i="2"/>
  <c r="AV863" i="2"/>
  <c r="AR230" i="3"/>
  <c r="AU144" i="3"/>
  <c r="AT144" i="3"/>
  <c r="AR264" i="3"/>
  <c r="AU257" i="3"/>
  <c r="AT257" i="3"/>
  <c r="AS204" i="3"/>
  <c r="AR206" i="3"/>
  <c r="AR204" i="3"/>
  <c r="AR317" i="3"/>
  <c r="AS317" i="3"/>
  <c r="AV161" i="3"/>
  <c r="AW161" i="3"/>
  <c r="AS221" i="3"/>
  <c r="AR221" i="3"/>
  <c r="AT218" i="3"/>
  <c r="AU218" i="3"/>
  <c r="AS230" i="3"/>
  <c r="AO11" i="3"/>
  <c r="AN11" i="3"/>
  <c r="V8" i="178"/>
  <c r="AO12" i="156"/>
  <c r="AO295" i="3"/>
  <c r="AQ130" i="3"/>
  <c r="AP130" i="3"/>
  <c r="CB11" i="3"/>
  <c r="CA11" i="3"/>
  <c r="CB181" i="3"/>
  <c r="CB9" i="156"/>
  <c r="AS209" i="3"/>
  <c r="AR209" i="3"/>
  <c r="AS231" i="3"/>
  <c r="AR231" i="3"/>
  <c r="AO296" i="3"/>
  <c r="AN296" i="3"/>
  <c r="AU151" i="3"/>
  <c r="AT151" i="3"/>
  <c r="CA248" i="3"/>
  <c r="AS211" i="3"/>
  <c r="AR211" i="3"/>
  <c r="CA10" i="156"/>
  <c r="CB183" i="3"/>
  <c r="CA183" i="3"/>
  <c r="CA184" i="3" s="1"/>
  <c r="AS235" i="3"/>
  <c r="AS236" i="3" s="1"/>
  <c r="AR235" i="3"/>
  <c r="AR236" i="3" s="1"/>
  <c r="CB8" i="3"/>
  <c r="CA8" i="3"/>
  <c r="CA12" i="156"/>
  <c r="CA295" i="3"/>
  <c r="AQ293" i="3"/>
  <c r="AP293" i="3"/>
  <c r="AQ8" i="156"/>
  <c r="AQ121" i="3"/>
  <c r="AO9" i="3"/>
  <c r="AN9" i="3"/>
  <c r="AN10" i="3" s="1"/>
  <c r="AU149" i="3"/>
  <c r="AT149" i="3"/>
  <c r="AQ179" i="3"/>
  <c r="AP179" i="3"/>
  <c r="AQ11" i="156"/>
  <c r="AQ238" i="3"/>
  <c r="AS119" i="3"/>
  <c r="AR119" i="3"/>
  <c r="AQ287" i="3"/>
  <c r="AP287" i="3"/>
  <c r="AQ123" i="3"/>
  <c r="AP123" i="3"/>
  <c r="AP124" i="3" s="1"/>
  <c r="AS112" i="3"/>
  <c r="AR112" i="3"/>
  <c r="CB190" i="3"/>
  <c r="CA190" i="3"/>
  <c r="AQ172" i="3"/>
  <c r="AP172" i="3"/>
  <c r="AU199" i="3"/>
  <c r="AT199" i="3"/>
  <c r="AQ239" i="3"/>
  <c r="AP239" i="3"/>
  <c r="AW139" i="3"/>
  <c r="AV139" i="3"/>
  <c r="BN52" i="2" l="1"/>
  <c r="AV864" i="2"/>
  <c r="AX283" i="2"/>
  <c r="BL283" i="2"/>
  <c r="BM283" i="2" s="1"/>
  <c r="AT329" i="2"/>
  <c r="AS585" i="2"/>
  <c r="AT585" i="2" s="1"/>
  <c r="BN119" i="2"/>
  <c r="BM119" i="2"/>
  <c r="BN271" i="2"/>
  <c r="BO271" i="2" s="1"/>
  <c r="BO260" i="2"/>
  <c r="BS97" i="2"/>
  <c r="BT97" i="2"/>
  <c r="BN191" i="2"/>
  <c r="BM191" i="2"/>
  <c r="AU983" i="2"/>
  <c r="AV573" i="2"/>
  <c r="AU575" i="2"/>
  <c r="BP224" i="2"/>
  <c r="BP228" i="2" s="1"/>
  <c r="BQ221" i="2"/>
  <c r="BQ234" i="2" s="1"/>
  <c r="BP234" i="2"/>
  <c r="AW300" i="2"/>
  <c r="AX299" i="2"/>
  <c r="AW302" i="2"/>
  <c r="BN53" i="2"/>
  <c r="AV327" i="2"/>
  <c r="AU582" i="2"/>
  <c r="AV582" i="2" s="1"/>
  <c r="AQ956" i="2"/>
  <c r="AQ961" i="2" s="1"/>
  <c r="AQ663" i="2"/>
  <c r="AQ357" i="2"/>
  <c r="AR357" i="2" s="1"/>
  <c r="AQ354" i="2"/>
  <c r="AR354" i="2" s="1"/>
  <c r="AQ356" i="2"/>
  <c r="AR356" i="2" s="1"/>
  <c r="AR339" i="2"/>
  <c r="AQ649" i="2"/>
  <c r="AR649" i="2" s="1"/>
  <c r="AR628" i="2"/>
  <c r="AQ674" i="2"/>
  <c r="AQ634" i="2"/>
  <c r="BO52" i="2"/>
  <c r="BM177" i="2"/>
  <c r="BL190" i="2"/>
  <c r="BO59" i="2"/>
  <c r="AW659" i="2"/>
  <c r="AW148" i="2"/>
  <c r="AX146" i="2"/>
  <c r="BL952" i="2"/>
  <c r="BL660" i="2"/>
  <c r="BM65" i="2"/>
  <c r="BL79" i="2"/>
  <c r="BM79" i="2" s="1"/>
  <c r="BL639" i="2"/>
  <c r="BM639" i="2" s="1"/>
  <c r="BM618" i="2"/>
  <c r="AT584" i="2"/>
  <c r="AS586" i="2"/>
  <c r="AW989" i="2"/>
  <c r="AW606" i="2"/>
  <c r="AW179" i="2"/>
  <c r="AW198" i="2" s="1"/>
  <c r="AX178" i="2"/>
  <c r="AV662" i="2"/>
  <c r="BN108" i="2"/>
  <c r="BO108" i="2" s="1"/>
  <c r="BP122" i="2"/>
  <c r="BO122" i="2"/>
  <c r="BQ34" i="2"/>
  <c r="BP38" i="2"/>
  <c r="BP46" i="2"/>
  <c r="BQ46" i="2" s="1"/>
  <c r="BP37" i="2"/>
  <c r="BP116" i="2"/>
  <c r="BO116" i="2"/>
  <c r="BN101" i="2"/>
  <c r="AV681" i="2"/>
  <c r="AX660" i="2"/>
  <c r="BM295" i="2"/>
  <c r="BL308" i="2"/>
  <c r="BM308" i="2" s="1"/>
  <c r="BL299" i="2"/>
  <c r="BP75" i="2"/>
  <c r="BN76" i="2"/>
  <c r="BN74" i="2" s="1"/>
  <c r="BO75" i="2"/>
  <c r="AS338" i="2"/>
  <c r="AT338" i="2" s="1"/>
  <c r="AT335" i="2"/>
  <c r="BL972" i="2"/>
  <c r="BM972" i="2" s="1"/>
  <c r="BL619" i="2"/>
  <c r="BM111" i="2"/>
  <c r="BL127" i="2"/>
  <c r="BM127" i="2" s="1"/>
  <c r="BL114" i="2"/>
  <c r="BL8" i="2"/>
  <c r="BO156" i="2"/>
  <c r="BN167" i="2"/>
  <c r="BQ73" i="2"/>
  <c r="BR73" i="2"/>
  <c r="AW638" i="2"/>
  <c r="AX638" i="2" s="1"/>
  <c r="AX617" i="2"/>
  <c r="BM971" i="2"/>
  <c r="BO58" i="2"/>
  <c r="BO121" i="2"/>
  <c r="BN107" i="2"/>
  <c r="BO107" i="2" s="1"/>
  <c r="BP121" i="2"/>
  <c r="BP70" i="2"/>
  <c r="BP69" i="2" s="1"/>
  <c r="BO70" i="2"/>
  <c r="AW199" i="2"/>
  <c r="AX199" i="2" s="1"/>
  <c r="AW197" i="2"/>
  <c r="AX182" i="2"/>
  <c r="BL182" i="2"/>
  <c r="AW183" i="2"/>
  <c r="BO117" i="2"/>
  <c r="BN102" i="2"/>
  <c r="BO102" i="2" s="1"/>
  <c r="BN118" i="2"/>
  <c r="BP117" i="2"/>
  <c r="BU47" i="2"/>
  <c r="BV47" i="2"/>
  <c r="AU607" i="2"/>
  <c r="AU322" i="2"/>
  <c r="AV322" i="2" s="1"/>
  <c r="AV321" i="2"/>
  <c r="AU328" i="2"/>
  <c r="AU329" i="2" s="1"/>
  <c r="AW953" i="2"/>
  <c r="AW954" i="2" s="1"/>
  <c r="AW661" i="2"/>
  <c r="AW128" i="2"/>
  <c r="AX128" i="2" s="1"/>
  <c r="AX114" i="2"/>
  <c r="AW678" i="2"/>
  <c r="AW640" i="2"/>
  <c r="AX640" i="2" s="1"/>
  <c r="AX619" i="2"/>
  <c r="AS330" i="2"/>
  <c r="BN159" i="2"/>
  <c r="BR68" i="2"/>
  <c r="BQ68" i="2"/>
  <c r="BL143" i="2"/>
  <c r="BR67" i="2"/>
  <c r="BQ67" i="2"/>
  <c r="BR170" i="2"/>
  <c r="BQ170" i="2"/>
  <c r="BM282" i="2"/>
  <c r="BN275" i="2"/>
  <c r="BQ72" i="2"/>
  <c r="BR72" i="2"/>
  <c r="BM124" i="2"/>
  <c r="BM125" i="2" s="1"/>
  <c r="BL125" i="2"/>
  <c r="BN124" i="2"/>
  <c r="BL189" i="2"/>
  <c r="BL178" i="2"/>
  <c r="BM176" i="2"/>
  <c r="AT613" i="2"/>
  <c r="AS614" i="2"/>
  <c r="BN264" i="2"/>
  <c r="BQ87" i="2"/>
  <c r="BP94" i="2"/>
  <c r="AV679" i="2"/>
  <c r="AW9" i="2"/>
  <c r="AX8" i="2"/>
  <c r="AX308" i="2"/>
  <c r="AW309" i="2"/>
  <c r="AX309" i="2" s="1"/>
  <c r="BN98" i="2"/>
  <c r="BO98" i="2" s="1"/>
  <c r="BO94" i="2"/>
  <c r="BN69" i="2"/>
  <c r="BL192" i="2"/>
  <c r="BM192" i="2" s="1"/>
  <c r="BM181" i="2"/>
  <c r="AR11" i="2"/>
  <c r="AQ16" i="2"/>
  <c r="BP242" i="2"/>
  <c r="BP246" i="2" s="1"/>
  <c r="BQ239" i="2"/>
  <c r="BP252" i="2"/>
  <c r="BQ252" i="2" s="1"/>
  <c r="BQ84" i="2"/>
  <c r="BP88" i="2"/>
  <c r="BP90" i="2" s="1"/>
  <c r="BP96" i="2"/>
  <c r="BQ96" i="2" s="1"/>
  <c r="BM596" i="2"/>
  <c r="AU259" i="3"/>
  <c r="AS239" i="3"/>
  <c r="AU146" i="3"/>
  <c r="AS232" i="3"/>
  <c r="AT146" i="3"/>
  <c r="AU110" i="3"/>
  <c r="AT118" i="3"/>
  <c r="AU115" i="3"/>
  <c r="AU117" i="3"/>
  <c r="AU260" i="3"/>
  <c r="AT260" i="3"/>
  <c r="AT269" i="3"/>
  <c r="AT259" i="3"/>
  <c r="AS177" i="3"/>
  <c r="AS171" i="3"/>
  <c r="AR170" i="3"/>
  <c r="AS176" i="3"/>
  <c r="AS206" i="3"/>
  <c r="AS175" i="3"/>
  <c r="AS330" i="3"/>
  <c r="AR330" i="3"/>
  <c r="AU221" i="3"/>
  <c r="AT221" i="3"/>
  <c r="AW218" i="3"/>
  <c r="AV218" i="3"/>
  <c r="AR321" i="3"/>
  <c r="AS321" i="3"/>
  <c r="AW144" i="3"/>
  <c r="AP9" i="156"/>
  <c r="AP181" i="3"/>
  <c r="AQ8" i="3"/>
  <c r="AP8" i="3"/>
  <c r="CB296" i="3"/>
  <c r="CA296" i="3"/>
  <c r="AR8" i="156"/>
  <c r="AR121" i="3"/>
  <c r="AW141" i="3"/>
  <c r="AV141" i="3"/>
  <c r="AW142" i="3"/>
  <c r="AV142" i="3"/>
  <c r="AU201" i="3"/>
  <c r="AT201" i="3"/>
  <c r="AP12" i="156"/>
  <c r="AP295" i="3"/>
  <c r="CB12" i="156"/>
  <c r="CB295" i="3"/>
  <c r="CB9" i="3"/>
  <c r="CA9" i="3"/>
  <c r="CA10" i="3" s="1"/>
  <c r="CB10" i="3" s="1"/>
  <c r="AO10" i="156"/>
  <c r="AQ241" i="3"/>
  <c r="AP241" i="3"/>
  <c r="AP242" i="3" s="1"/>
  <c r="AU202" i="3"/>
  <c r="AT202" i="3"/>
  <c r="AS170" i="3"/>
  <c r="CB10" i="156"/>
  <c r="AT111" i="3"/>
  <c r="V14" i="178"/>
  <c r="CB248" i="3"/>
  <c r="AU267" i="3"/>
  <c r="AT267" i="3"/>
  <c r="AU116" i="3"/>
  <c r="AT116" i="3"/>
  <c r="V15" i="178"/>
  <c r="AR238" i="3"/>
  <c r="AR11" i="156"/>
  <c r="BN54" i="2" l="1"/>
  <c r="AV329" i="2"/>
  <c r="AU585" i="2"/>
  <c r="AV585" i="2" s="1"/>
  <c r="BR84" i="2"/>
  <c r="BQ90" i="2"/>
  <c r="BP92" i="2"/>
  <c r="BQ92" i="2" s="1"/>
  <c r="BQ246" i="2"/>
  <c r="BR239" i="2"/>
  <c r="BP248" i="2"/>
  <c r="BQ248" i="2" s="1"/>
  <c r="AR16" i="2"/>
  <c r="BN57" i="2"/>
  <c r="BN55" i="2" s="1"/>
  <c r="BO55" i="2" s="1"/>
  <c r="BO69" i="2"/>
  <c r="BP257" i="2"/>
  <c r="BO264" i="2"/>
  <c r="BN266" i="2"/>
  <c r="BO266" i="2" s="1"/>
  <c r="BN125" i="2"/>
  <c r="BN123" i="2" s="1"/>
  <c r="BP124" i="2"/>
  <c r="BO124" i="2"/>
  <c r="BO125" i="2" s="1"/>
  <c r="AS975" i="2"/>
  <c r="AS980" i="2" s="1"/>
  <c r="AS628" i="2"/>
  <c r="AS355" i="2"/>
  <c r="AT355" i="2" s="1"/>
  <c r="AS339" i="2"/>
  <c r="AS351" i="2"/>
  <c r="AT351" i="2" s="1"/>
  <c r="AT330" i="2"/>
  <c r="AS11" i="2"/>
  <c r="BL973" i="2"/>
  <c r="BT73" i="2"/>
  <c r="BS73" i="2"/>
  <c r="BL302" i="2"/>
  <c r="BM299" i="2"/>
  <c r="BN292" i="2"/>
  <c r="BM660" i="2"/>
  <c r="AX659" i="2"/>
  <c r="AQ987" i="2"/>
  <c r="AQ981" i="2"/>
  <c r="AQ656" i="2"/>
  <c r="AR656" i="2" s="1"/>
  <c r="AQ635" i="2"/>
  <c r="AR634" i="2"/>
  <c r="AR663" i="2"/>
  <c r="AQ668" i="2"/>
  <c r="AQ962" i="2" s="1"/>
  <c r="BN134" i="2"/>
  <c r="BO53" i="2"/>
  <c r="BQ224" i="2"/>
  <c r="BP235" i="2"/>
  <c r="BQ235" i="2" s="1"/>
  <c r="BV97" i="2"/>
  <c r="BU97" i="2"/>
  <c r="BT67" i="2"/>
  <c r="BS67" i="2"/>
  <c r="BT68" i="2"/>
  <c r="BS68" i="2"/>
  <c r="AV607" i="2"/>
  <c r="AU613" i="2"/>
  <c r="BR117" i="2"/>
  <c r="BQ117" i="2"/>
  <c r="BP102" i="2"/>
  <c r="BQ102" i="2" s="1"/>
  <c r="AX183" i="2"/>
  <c r="BL183" i="2"/>
  <c r="BL184" i="2" s="1"/>
  <c r="AW184" i="2"/>
  <c r="BR70" i="2"/>
  <c r="BR69" i="2" s="1"/>
  <c r="BQ70" i="2"/>
  <c r="BM8" i="2"/>
  <c r="BL9" i="2"/>
  <c r="BL678" i="2"/>
  <c r="BM619" i="2"/>
  <c r="BL640" i="2"/>
  <c r="BM640" i="2" s="1"/>
  <c r="BQ116" i="2"/>
  <c r="BP101" i="2"/>
  <c r="BR116" i="2"/>
  <c r="BQ38" i="2"/>
  <c r="BP49" i="2"/>
  <c r="BQ49" i="2" s="1"/>
  <c r="BQ122" i="2"/>
  <c r="BV122" i="2" s="1"/>
  <c r="BP108" i="2"/>
  <c r="BQ108" i="2" s="1"/>
  <c r="BR122" i="2"/>
  <c r="AS591" i="2"/>
  <c r="AT586" i="2"/>
  <c r="BM952" i="2"/>
  <c r="BN597" i="2"/>
  <c r="BO597" i="2" s="1"/>
  <c r="BO54" i="2"/>
  <c r="AQ694" i="2"/>
  <c r="AR694" i="2" s="1"/>
  <c r="AQ675" i="2"/>
  <c r="AQ677" i="2" s="1"/>
  <c r="AR674" i="2"/>
  <c r="AX302" i="2"/>
  <c r="AW861" i="2"/>
  <c r="AW303" i="2"/>
  <c r="BR221" i="2"/>
  <c r="BQ228" i="2"/>
  <c r="BO119" i="2"/>
  <c r="BP119" i="2"/>
  <c r="BP118" i="2" s="1"/>
  <c r="AX9" i="2"/>
  <c r="BP98" i="2"/>
  <c r="BQ98" i="2" s="1"/>
  <c r="BQ94" i="2"/>
  <c r="BL989" i="2"/>
  <c r="BM989" i="2" s="1"/>
  <c r="BL606" i="2"/>
  <c r="BL179" i="2"/>
  <c r="BM179" i="2" s="1"/>
  <c r="BM178" i="2"/>
  <c r="BN278" i="2"/>
  <c r="BO275" i="2"/>
  <c r="BN287" i="2"/>
  <c r="BO287" i="2" s="1"/>
  <c r="BS170" i="2"/>
  <c r="BT170" i="2"/>
  <c r="BL617" i="2"/>
  <c r="BL146" i="2"/>
  <c r="BM143" i="2"/>
  <c r="BQ69" i="2"/>
  <c r="AX661" i="2"/>
  <c r="AU332" i="2"/>
  <c r="AV332" i="2" s="1"/>
  <c r="AU330" i="2"/>
  <c r="AV328" i="2"/>
  <c r="BO118" i="2"/>
  <c r="BN106" i="2"/>
  <c r="BM182" i="2"/>
  <c r="BL199" i="2"/>
  <c r="BM199" i="2" s="1"/>
  <c r="BL197" i="2"/>
  <c r="BM197" i="2" s="1"/>
  <c r="BR121" i="2"/>
  <c r="BQ121" i="2"/>
  <c r="BV121" i="2" s="1"/>
  <c r="BP107" i="2"/>
  <c r="BQ107" i="2" s="1"/>
  <c r="BN138" i="2"/>
  <c r="BO138" i="2" s="1"/>
  <c r="BL953" i="2"/>
  <c r="BM953" i="2" s="1"/>
  <c r="BL661" i="2"/>
  <c r="BL128" i="2"/>
  <c r="BM128" i="2" s="1"/>
  <c r="BM114" i="2"/>
  <c r="BN60" i="2"/>
  <c r="BO74" i="2"/>
  <c r="BQ37" i="2"/>
  <c r="BP44" i="2"/>
  <c r="BP40" i="2"/>
  <c r="BN139" i="2"/>
  <c r="BO139" i="2" s="1"/>
  <c r="AV575" i="2"/>
  <c r="AU584" i="2"/>
  <c r="BP191" i="2"/>
  <c r="BO191" i="2"/>
  <c r="BQ88" i="2"/>
  <c r="BP99" i="2"/>
  <c r="BQ99" i="2" s="1"/>
  <c r="BP253" i="2"/>
  <c r="BQ253" i="2" s="1"/>
  <c r="BQ242" i="2"/>
  <c r="BN189" i="2"/>
  <c r="BP189" i="2" s="1"/>
  <c r="BM189" i="2"/>
  <c r="BT72" i="2"/>
  <c r="BS72" i="2"/>
  <c r="BO159" i="2"/>
  <c r="BP154" i="2"/>
  <c r="BN164" i="2"/>
  <c r="BN163" i="2"/>
  <c r="BN161" i="2"/>
  <c r="BO161" i="2" s="1"/>
  <c r="AW695" i="2"/>
  <c r="AX695" i="2" s="1"/>
  <c r="AX678" i="2"/>
  <c r="AW679" i="2"/>
  <c r="BO167" i="2"/>
  <c r="BN171" i="2"/>
  <c r="BO171" i="2" s="1"/>
  <c r="BQ75" i="2"/>
  <c r="BR75" i="2"/>
  <c r="BP76" i="2"/>
  <c r="BP74" i="2" s="1"/>
  <c r="BN103" i="2"/>
  <c r="BO101" i="2"/>
  <c r="AX606" i="2"/>
  <c r="BN190" i="2"/>
  <c r="BM190" i="2"/>
  <c r="BN133" i="2"/>
  <c r="BL300" i="2"/>
  <c r="BP230" i="2"/>
  <c r="BQ230" i="2" s="1"/>
  <c r="AR232" i="3"/>
  <c r="AR239" i="3"/>
  <c r="AR177" i="3"/>
  <c r="AU118" i="3"/>
  <c r="AT110" i="3"/>
  <c r="AT117" i="3"/>
  <c r="AU112" i="3"/>
  <c r="AT115" i="3"/>
  <c r="AU111" i="3"/>
  <c r="AU119" i="3"/>
  <c r="AU269" i="3"/>
  <c r="AW257" i="3"/>
  <c r="AU264" i="3"/>
  <c r="AT264" i="3"/>
  <c r="AT262" i="3"/>
  <c r="AU231" i="3"/>
  <c r="AT235" i="3"/>
  <c r="AT236" i="3" s="1"/>
  <c r="AU262" i="3"/>
  <c r="AR178" i="3"/>
  <c r="AS178" i="3"/>
  <c r="AR171" i="3"/>
  <c r="AR175" i="3"/>
  <c r="AR179" i="3"/>
  <c r="AR176" i="3"/>
  <c r="AV144" i="3"/>
  <c r="AS323" i="3"/>
  <c r="AR323" i="3"/>
  <c r="AU314" i="3"/>
  <c r="AT314" i="3"/>
  <c r="AV221" i="3"/>
  <c r="AW221" i="3"/>
  <c r="AU204" i="3"/>
  <c r="AT204" i="3"/>
  <c r="AU230" i="3"/>
  <c r="AT230" i="3"/>
  <c r="AQ296" i="3"/>
  <c r="AP296" i="3"/>
  <c r="CB298" i="3"/>
  <c r="CA298" i="3"/>
  <c r="CA299" i="3" s="1"/>
  <c r="V44" i="178"/>
  <c r="AW149" i="3"/>
  <c r="AV149" i="3"/>
  <c r="AQ190" i="3"/>
  <c r="AP190" i="3"/>
  <c r="AS238" i="3"/>
  <c r="AS11" i="156"/>
  <c r="CB305" i="3"/>
  <c r="CA305" i="3"/>
  <c r="AO305" i="3"/>
  <c r="AN305" i="3"/>
  <c r="AQ12" i="156"/>
  <c r="AQ295" i="3"/>
  <c r="AW151" i="3"/>
  <c r="AV151" i="3"/>
  <c r="AQ9" i="156"/>
  <c r="AQ181" i="3"/>
  <c r="AU206" i="3"/>
  <c r="AT206" i="3"/>
  <c r="AU211" i="3"/>
  <c r="AT211" i="3"/>
  <c r="CD142" i="3"/>
  <c r="CC142" i="3"/>
  <c r="CD141" i="3"/>
  <c r="CC141" i="3"/>
  <c r="AS8" i="156"/>
  <c r="AS121" i="3"/>
  <c r="AS130" i="3"/>
  <c r="AR130" i="3"/>
  <c r="AP10" i="156"/>
  <c r="AW199" i="3"/>
  <c r="AQ11" i="3"/>
  <c r="AP11" i="3"/>
  <c r="AO298" i="3"/>
  <c r="AN298" i="3"/>
  <c r="AN299" i="3" s="1"/>
  <c r="AU209" i="3"/>
  <c r="AT209" i="3"/>
  <c r="AS123" i="3"/>
  <c r="AR123" i="3"/>
  <c r="AR124" i="3" s="1"/>
  <c r="AQ183" i="3"/>
  <c r="AP183" i="3"/>
  <c r="AP184" i="3" s="1"/>
  <c r="AU335" i="2" l="1"/>
  <c r="BN165" i="2"/>
  <c r="BQ118" i="2"/>
  <c r="BP106" i="2"/>
  <c r="BO133" i="2"/>
  <c r="BN135" i="2"/>
  <c r="BT75" i="2"/>
  <c r="BR76" i="2"/>
  <c r="BR74" i="2" s="1"/>
  <c r="BS75" i="2"/>
  <c r="AX679" i="2"/>
  <c r="BL679" i="2"/>
  <c r="BQ154" i="2"/>
  <c r="BP169" i="2"/>
  <c r="BQ169" i="2" s="1"/>
  <c r="BP156" i="2"/>
  <c r="BL638" i="2"/>
  <c r="BM638" i="2" s="1"/>
  <c r="BM617" i="2"/>
  <c r="BN288" i="2"/>
  <c r="BO288" i="2" s="1"/>
  <c r="BO278" i="2"/>
  <c r="BN295" i="2"/>
  <c r="BS221" i="2"/>
  <c r="BS234" i="2" s="1"/>
  <c r="BR224" i="2"/>
  <c r="BR228" i="2" s="1"/>
  <c r="BR234" i="2"/>
  <c r="BP103" i="2"/>
  <c r="BQ101" i="2"/>
  <c r="BL695" i="2"/>
  <c r="BM695" i="2" s="1"/>
  <c r="BM678" i="2"/>
  <c r="BT70" i="2"/>
  <c r="BS70" i="2"/>
  <c r="BV68" i="2"/>
  <c r="BU68" i="2"/>
  <c r="BO134" i="2"/>
  <c r="AT11" i="2"/>
  <c r="AS16" i="2"/>
  <c r="BQ124" i="2"/>
  <c r="BP125" i="2"/>
  <c r="BP123" i="2" s="1"/>
  <c r="BR124" i="2"/>
  <c r="BQ257" i="2"/>
  <c r="BP260" i="2"/>
  <c r="BP264" i="2" s="1"/>
  <c r="BP270" i="2"/>
  <c r="BQ270" i="2" s="1"/>
  <c r="AW681" i="2"/>
  <c r="BV72" i="2"/>
  <c r="BU72" i="2"/>
  <c r="BR191" i="2"/>
  <c r="BQ191" i="2"/>
  <c r="BM661" i="2"/>
  <c r="AU338" i="2"/>
  <c r="AV338" i="2" s="1"/>
  <c r="AV335" i="2"/>
  <c r="BR119" i="2"/>
  <c r="BQ119" i="2"/>
  <c r="AX303" i="2"/>
  <c r="BL303" i="2"/>
  <c r="BM303" i="2" s="1"/>
  <c r="AW320" i="2"/>
  <c r="AW319" i="2"/>
  <c r="AW323" i="2"/>
  <c r="AW324" i="2"/>
  <c r="AW326" i="2"/>
  <c r="AW325" i="2"/>
  <c r="AW316" i="2"/>
  <c r="AQ699" i="2"/>
  <c r="AR699" i="2" s="1"/>
  <c r="AR677" i="2"/>
  <c r="AQ701" i="2"/>
  <c r="AR701" i="2" s="1"/>
  <c r="AQ700" i="2"/>
  <c r="AR700" i="2" s="1"/>
  <c r="BM9" i="2"/>
  <c r="AW974" i="2"/>
  <c r="AW627" i="2"/>
  <c r="AW187" i="2"/>
  <c r="AX184" i="2"/>
  <c r="AW10" i="2"/>
  <c r="AU614" i="2"/>
  <c r="AV613" i="2"/>
  <c r="BS69" i="2"/>
  <c r="BV67" i="2"/>
  <c r="BU67" i="2"/>
  <c r="AQ670" i="2"/>
  <c r="AR668" i="2"/>
  <c r="AQ724" i="2"/>
  <c r="AQ721" i="2"/>
  <c r="AR721" i="2" s="1"/>
  <c r="AQ722" i="2"/>
  <c r="AQ715" i="2"/>
  <c r="AR715" i="2" s="1"/>
  <c r="AQ716" i="2"/>
  <c r="AR716" i="2" s="1"/>
  <c r="AQ719" i="2"/>
  <c r="BO292" i="2"/>
  <c r="BN299" i="2"/>
  <c r="BN307" i="2"/>
  <c r="BO307" i="2" s="1"/>
  <c r="AS649" i="2"/>
  <c r="AT649" i="2" s="1"/>
  <c r="AT628" i="2"/>
  <c r="AS634" i="2"/>
  <c r="AS674" i="2"/>
  <c r="BO123" i="2"/>
  <c r="BN109" i="2"/>
  <c r="BO109" i="2" s="1"/>
  <c r="BO190" i="2"/>
  <c r="BN177" i="2"/>
  <c r="BO177" i="2" s="1"/>
  <c r="BP190" i="2"/>
  <c r="BN598" i="2"/>
  <c r="BO598" i="2" s="1"/>
  <c r="BN104" i="2"/>
  <c r="BO104" i="2" s="1"/>
  <c r="BO103" i="2"/>
  <c r="BP157" i="2"/>
  <c r="BN180" i="2"/>
  <c r="BO180" i="2" s="1"/>
  <c r="BQ40" i="2"/>
  <c r="BR34" i="2"/>
  <c r="BP42" i="2"/>
  <c r="BO60" i="2"/>
  <c r="BS121" i="2"/>
  <c r="BT121" i="2"/>
  <c r="BV170" i="2"/>
  <c r="BU170" i="2"/>
  <c r="AW879" i="2"/>
  <c r="AX879" i="2" s="1"/>
  <c r="BL861" i="2"/>
  <c r="AX861" i="2"/>
  <c r="AW863" i="2"/>
  <c r="BL954" i="2"/>
  <c r="BT122" i="2"/>
  <c r="BS122" i="2"/>
  <c r="BM183" i="2"/>
  <c r="BU73" i="2"/>
  <c r="BV73" i="2"/>
  <c r="BN137" i="2"/>
  <c r="BN61" i="2"/>
  <c r="BO57" i="2"/>
  <c r="BQ74" i="2"/>
  <c r="BP60" i="2"/>
  <c r="BN176" i="2"/>
  <c r="BO189" i="2"/>
  <c r="AV584" i="2"/>
  <c r="AU586" i="2"/>
  <c r="BP48" i="2"/>
  <c r="BQ48" i="2" s="1"/>
  <c r="BQ44" i="2"/>
  <c r="BL974" i="2"/>
  <c r="BM974" i="2" s="1"/>
  <c r="BL627" i="2"/>
  <c r="BL187" i="2"/>
  <c r="BM184" i="2"/>
  <c r="BL10" i="2"/>
  <c r="BM10" i="2" s="1"/>
  <c r="BO106" i="2"/>
  <c r="BN110" i="2"/>
  <c r="BO110" i="2" s="1"/>
  <c r="AU975" i="2"/>
  <c r="AU980" i="2" s="1"/>
  <c r="AU628" i="2"/>
  <c r="AU351" i="2"/>
  <c r="AV351" i="2" s="1"/>
  <c r="AV330" i="2"/>
  <c r="AU355" i="2"/>
  <c r="AV355" i="2" s="1"/>
  <c r="AU339" i="2"/>
  <c r="AU11" i="2"/>
  <c r="BL659" i="2"/>
  <c r="BM146" i="2"/>
  <c r="BL148" i="2"/>
  <c r="BN282" i="2"/>
  <c r="BM606" i="2"/>
  <c r="AR675" i="2"/>
  <c r="AQ691" i="2"/>
  <c r="BT116" i="2"/>
  <c r="BS116" i="2"/>
  <c r="BS117" i="2"/>
  <c r="BR118" i="2"/>
  <c r="BT117" i="2"/>
  <c r="AQ717" i="2"/>
  <c r="BM973" i="2"/>
  <c r="AS956" i="2"/>
  <c r="AS961" i="2" s="1"/>
  <c r="AS663" i="2"/>
  <c r="AS356" i="2"/>
  <c r="AT356" i="2" s="1"/>
  <c r="AT339" i="2"/>
  <c r="AS357" i="2"/>
  <c r="AT357" i="2" s="1"/>
  <c r="AS354" i="2"/>
  <c r="AT354" i="2" s="1"/>
  <c r="BR242" i="2"/>
  <c r="BR246" i="2" s="1"/>
  <c r="BS239" i="2"/>
  <c r="BR252" i="2"/>
  <c r="BS252" i="2" s="1"/>
  <c r="BS84" i="2"/>
  <c r="BR88" i="2"/>
  <c r="BR96" i="2"/>
  <c r="BS96" i="2" s="1"/>
  <c r="BR87" i="2"/>
  <c r="AT112" i="3"/>
  <c r="AT119" i="3"/>
  <c r="AV146" i="3"/>
  <c r="AW146" i="3"/>
  <c r="AV117" i="3"/>
  <c r="AU235" i="3"/>
  <c r="AU236" i="3" s="1"/>
  <c r="AV257" i="3"/>
  <c r="AT231" i="3"/>
  <c r="AR172" i="3"/>
  <c r="CD146" i="3"/>
  <c r="AV199" i="3"/>
  <c r="AS179" i="3"/>
  <c r="AS172" i="3"/>
  <c r="AS325" i="3"/>
  <c r="AR325" i="3"/>
  <c r="AT317" i="3"/>
  <c r="AU317" i="3"/>
  <c r="AT329" i="3"/>
  <c r="AU329" i="3"/>
  <c r="AU170" i="3"/>
  <c r="AT170" i="3"/>
  <c r="AQ9" i="3"/>
  <c r="AP9" i="3"/>
  <c r="AP10" i="3" s="1"/>
  <c r="AS8" i="3"/>
  <c r="AR8" i="3"/>
  <c r="AW201" i="3"/>
  <c r="AV201" i="3"/>
  <c r="AU178" i="3"/>
  <c r="AT178" i="3"/>
  <c r="AU176" i="3"/>
  <c r="AT176" i="3"/>
  <c r="V45" i="178"/>
  <c r="CD151" i="3"/>
  <c r="CC151" i="3"/>
  <c r="CD144" i="3"/>
  <c r="CC144" i="3"/>
  <c r="CD150" i="3"/>
  <c r="CC150" i="3"/>
  <c r="AQ10" i="156"/>
  <c r="AU175" i="3"/>
  <c r="AT175" i="3"/>
  <c r="CA19" i="3"/>
  <c r="CB19" i="3" s="1"/>
  <c r="AO12" i="3"/>
  <c r="AN12" i="3"/>
  <c r="CD149" i="3"/>
  <c r="CC149" i="3"/>
  <c r="AU171" i="3"/>
  <c r="AT171" i="3"/>
  <c r="AS241" i="3"/>
  <c r="AR241" i="3"/>
  <c r="AR242" i="3" s="1"/>
  <c r="V16" i="178"/>
  <c r="AW202" i="3"/>
  <c r="AW111" i="3"/>
  <c r="AV111" i="3"/>
  <c r="AU177" i="3"/>
  <c r="AT177" i="3"/>
  <c r="CB12" i="3"/>
  <c r="V46" i="178"/>
  <c r="CA12" i="3"/>
  <c r="BT221" i="2" l="1"/>
  <c r="BS228" i="2"/>
  <c r="BR230" i="2"/>
  <c r="BS230" i="2" s="1"/>
  <c r="BS246" i="2"/>
  <c r="BT239" i="2"/>
  <c r="BR248" i="2"/>
  <c r="BS248" i="2" s="1"/>
  <c r="BS118" i="2"/>
  <c r="AU956" i="2"/>
  <c r="AU961" i="2" s="1"/>
  <c r="AU663" i="2"/>
  <c r="AU357" i="2"/>
  <c r="AV357" i="2" s="1"/>
  <c r="AU354" i="2"/>
  <c r="AV354" i="2" s="1"/>
  <c r="AU356" i="2"/>
  <c r="AV356" i="2" s="1"/>
  <c r="AV339" i="2"/>
  <c r="AU649" i="2"/>
  <c r="AV649" i="2" s="1"/>
  <c r="AV628" i="2"/>
  <c r="AU634" i="2"/>
  <c r="AU674" i="2"/>
  <c r="BR189" i="2"/>
  <c r="BQ189" i="2"/>
  <c r="BO61" i="2"/>
  <c r="BN62" i="2"/>
  <c r="AW864" i="2"/>
  <c r="AX863" i="2"/>
  <c r="BQ42" i="2"/>
  <c r="BP53" i="2"/>
  <c r="BP52" i="2"/>
  <c r="BP59" i="2"/>
  <c r="BP58" i="2"/>
  <c r="BP57" i="2"/>
  <c r="BN111" i="2"/>
  <c r="AS987" i="2"/>
  <c r="AS981" i="2"/>
  <c r="AS635" i="2"/>
  <c r="AS656" i="2"/>
  <c r="AT656" i="2" s="1"/>
  <c r="AT634" i="2"/>
  <c r="BN302" i="2"/>
  <c r="BO299" i="2"/>
  <c r="BN303" i="2"/>
  <c r="BO303" i="2" s="1"/>
  <c r="BP292" i="2"/>
  <c r="AW648" i="2"/>
  <c r="AX648" i="2" s="1"/>
  <c r="AX627" i="2"/>
  <c r="AX324" i="2"/>
  <c r="AW579" i="2"/>
  <c r="AX579" i="2" s="1"/>
  <c r="BL324" i="2"/>
  <c r="BQ260" i="2"/>
  <c r="BP271" i="2"/>
  <c r="BQ271" i="2" s="1"/>
  <c r="BR125" i="2"/>
  <c r="BR123" i="2" s="1"/>
  <c r="BT124" i="2"/>
  <c r="BS124" i="2"/>
  <c r="BS125" i="2" s="1"/>
  <c r="BV70" i="2"/>
  <c r="BU70" i="2"/>
  <c r="BP598" i="2"/>
  <c r="BQ598" i="2" s="1"/>
  <c r="BP104" i="2"/>
  <c r="BQ104" i="2" s="1"/>
  <c r="BQ103" i="2"/>
  <c r="BQ156" i="2"/>
  <c r="BP167" i="2"/>
  <c r="BQ60" i="2"/>
  <c r="BO137" i="2"/>
  <c r="BU122" i="2"/>
  <c r="BS34" i="2"/>
  <c r="BR38" i="2"/>
  <c r="BR46" i="2"/>
  <c r="BS46" i="2" s="1"/>
  <c r="BR37" i="2"/>
  <c r="BQ157" i="2"/>
  <c r="BP172" i="2"/>
  <c r="BQ172" i="2" s="1"/>
  <c r="AR722" i="2"/>
  <c r="AQ723" i="2"/>
  <c r="AR723" i="2" s="1"/>
  <c r="AQ671" i="2"/>
  <c r="AR670" i="2"/>
  <c r="AQ703" i="2"/>
  <c r="AX10" i="2"/>
  <c r="AX316" i="2"/>
  <c r="BL316" i="2"/>
  <c r="AX323" i="2"/>
  <c r="AW327" i="2"/>
  <c r="AW578" i="2"/>
  <c r="AX578" i="2" s="1"/>
  <c r="BL323" i="2"/>
  <c r="BQ264" i="2"/>
  <c r="BR257" i="2"/>
  <c r="BP109" i="2"/>
  <c r="BQ109" i="2" s="1"/>
  <c r="BQ123" i="2"/>
  <c r="BV123" i="2" s="1"/>
  <c r="BM679" i="2"/>
  <c r="BL680" i="2"/>
  <c r="BS74" i="2"/>
  <c r="BS88" i="2"/>
  <c r="BR99" i="2"/>
  <c r="BS99" i="2" s="1"/>
  <c r="AT663" i="2"/>
  <c r="AS668" i="2"/>
  <c r="AS717" i="2" s="1"/>
  <c r="AQ718" i="2"/>
  <c r="AR718" i="2" s="1"/>
  <c r="AR717" i="2"/>
  <c r="AQ704" i="2"/>
  <c r="AR691" i="2"/>
  <c r="BM659" i="2"/>
  <c r="BL955" i="2"/>
  <c r="BM955" i="2" s="1"/>
  <c r="BL662" i="2"/>
  <c r="BL200" i="2"/>
  <c r="BM200" i="2" s="1"/>
  <c r="BL193" i="2"/>
  <c r="BM187" i="2"/>
  <c r="BL879" i="2"/>
  <c r="BM879" i="2" s="1"/>
  <c r="BM861" i="2"/>
  <c r="BL866" i="2"/>
  <c r="BL863" i="2"/>
  <c r="BR190" i="2"/>
  <c r="BQ190" i="2"/>
  <c r="AR719" i="2"/>
  <c r="AQ720" i="2"/>
  <c r="AR720" i="2" s="1"/>
  <c r="AX325" i="2"/>
  <c r="AW580" i="2"/>
  <c r="AX580" i="2" s="1"/>
  <c r="BL325" i="2"/>
  <c r="AW321" i="2"/>
  <c r="AX319" i="2"/>
  <c r="AW573" i="2"/>
  <c r="BL319" i="2"/>
  <c r="BT191" i="2"/>
  <c r="BS191" i="2"/>
  <c r="AX681" i="2"/>
  <c r="BL681" i="2"/>
  <c r="BQ125" i="2"/>
  <c r="BV124" i="2"/>
  <c r="BT69" i="2"/>
  <c r="BN308" i="2"/>
  <c r="BO308" i="2" s="1"/>
  <c r="BO295" i="2"/>
  <c r="BP159" i="2"/>
  <c r="BV75" i="2"/>
  <c r="BT76" i="2"/>
  <c r="BU75" i="2"/>
  <c r="BQ106" i="2"/>
  <c r="BS242" i="2"/>
  <c r="BR253" i="2"/>
  <c r="BS253" i="2" s="1"/>
  <c r="BU116" i="2"/>
  <c r="BV116" i="2"/>
  <c r="BS87" i="2"/>
  <c r="BR94" i="2"/>
  <c r="BR90" i="2"/>
  <c r="AS962" i="2"/>
  <c r="BV117" i="2"/>
  <c r="BU117" i="2"/>
  <c r="BO282" i="2"/>
  <c r="BP275" i="2"/>
  <c r="BN283" i="2"/>
  <c r="BO283" i="2" s="1"/>
  <c r="AV11" i="2"/>
  <c r="AU16" i="2"/>
  <c r="BL648" i="2"/>
  <c r="BM648" i="2" s="1"/>
  <c r="BM627" i="2"/>
  <c r="AV586" i="2"/>
  <c r="AU591" i="2"/>
  <c r="BN178" i="2"/>
  <c r="BO176" i="2"/>
  <c r="BM954" i="2"/>
  <c r="BU121" i="2"/>
  <c r="BN140" i="2"/>
  <c r="BO140" i="2" s="1"/>
  <c r="AT674" i="2"/>
  <c r="AS694" i="2"/>
  <c r="AT694" i="2" s="1"/>
  <c r="AS675" i="2"/>
  <c r="AS677" i="2" s="1"/>
  <c r="AR724" i="2"/>
  <c r="AW955" i="2"/>
  <c r="AW662" i="2"/>
  <c r="AW200" i="2"/>
  <c r="AX200" i="2" s="1"/>
  <c r="AX187" i="2"/>
  <c r="AX326" i="2"/>
  <c r="AW581" i="2"/>
  <c r="AX581" i="2" s="1"/>
  <c r="BL326" i="2"/>
  <c r="AX320" i="2"/>
  <c r="AW574" i="2"/>
  <c r="AX574" i="2" s="1"/>
  <c r="BL320" i="2"/>
  <c r="BS119" i="2"/>
  <c r="BT119" i="2"/>
  <c r="BP266" i="2"/>
  <c r="BQ266" i="2" s="1"/>
  <c r="AT16" i="2"/>
  <c r="BR235" i="2"/>
  <c r="BS235" i="2" s="1"/>
  <c r="BS224" i="2"/>
  <c r="BN596" i="2"/>
  <c r="BO135" i="2"/>
  <c r="AU130" i="3"/>
  <c r="AT8" i="156"/>
  <c r="AU8" i="156"/>
  <c r="AT121" i="3"/>
  <c r="AV116" i="3"/>
  <c r="CC146" i="3"/>
  <c r="AW116" i="3"/>
  <c r="AW117" i="3"/>
  <c r="AV118" i="3"/>
  <c r="AW118" i="3"/>
  <c r="AV119" i="3"/>
  <c r="AV259" i="3"/>
  <c r="CD117" i="3"/>
  <c r="AT11" i="156"/>
  <c r="AT232" i="3"/>
  <c r="AT238" i="3"/>
  <c r="AU239" i="3"/>
  <c r="AV267" i="3"/>
  <c r="AW267" i="3"/>
  <c r="AU232" i="3"/>
  <c r="AW259" i="3"/>
  <c r="AV269" i="3"/>
  <c r="AW262" i="3"/>
  <c r="AV260" i="3"/>
  <c r="AW260" i="3"/>
  <c r="AW115" i="3"/>
  <c r="AW110" i="3"/>
  <c r="CC115" i="3"/>
  <c r="AV115" i="3"/>
  <c r="AV110" i="3"/>
  <c r="AV204" i="3"/>
  <c r="AS9" i="156"/>
  <c r="AR9" i="156"/>
  <c r="AR10" i="156" s="1"/>
  <c r="AR190" i="3"/>
  <c r="AR181" i="3"/>
  <c r="AV202" i="3"/>
  <c r="AU330" i="3"/>
  <c r="AT330" i="3"/>
  <c r="AS289" i="3"/>
  <c r="AR289" i="3"/>
  <c r="AR290" i="3"/>
  <c r="AS290" i="3"/>
  <c r="AT321" i="3"/>
  <c r="AU321" i="3"/>
  <c r="AS292" i="3"/>
  <c r="AR292" i="3"/>
  <c r="AR291" i="3"/>
  <c r="AS291" i="3"/>
  <c r="AR286" i="3"/>
  <c r="AS286" i="3"/>
  <c r="AS285" i="3"/>
  <c r="AR285" i="3"/>
  <c r="AO19" i="3"/>
  <c r="AN19" i="3"/>
  <c r="CD118" i="3"/>
  <c r="CC118" i="3"/>
  <c r="AS183" i="3"/>
  <c r="AR183" i="3"/>
  <c r="AR184" i="3" s="1"/>
  <c r="CD201" i="3"/>
  <c r="CC201" i="3"/>
  <c r="AS11" i="3"/>
  <c r="AR11" i="3"/>
  <c r="AW211" i="3"/>
  <c r="AV211" i="3"/>
  <c r="CA187" i="3"/>
  <c r="CA71" i="3"/>
  <c r="CA73" i="3"/>
  <c r="CA367" i="3"/>
  <c r="CB19" i="156"/>
  <c r="CA19" i="156"/>
  <c r="CA21" i="3"/>
  <c r="AQ305" i="3"/>
  <c r="AP305" i="3"/>
  <c r="CF150" i="3"/>
  <c r="CE150" i="3"/>
  <c r="CD116" i="3"/>
  <c r="CC116" i="3"/>
  <c r="CD111" i="3"/>
  <c r="CC111" i="3"/>
  <c r="AN302" i="3"/>
  <c r="AN69" i="3"/>
  <c r="CA70" i="3"/>
  <c r="CA69" i="3"/>
  <c r="CA302" i="3"/>
  <c r="CD202" i="3"/>
  <c r="CC202" i="3"/>
  <c r="CA127" i="3"/>
  <c r="CA67" i="3"/>
  <c r="CB74" i="3"/>
  <c r="CA74" i="3"/>
  <c r="CF139" i="3"/>
  <c r="CE139" i="3"/>
  <c r="AW112" i="3"/>
  <c r="AV112" i="3"/>
  <c r="AS181" i="3"/>
  <c r="AW209" i="3"/>
  <c r="AV209" i="3"/>
  <c r="AU172" i="3"/>
  <c r="AT172" i="3"/>
  <c r="AU11" i="156"/>
  <c r="AU238" i="3"/>
  <c r="CA245" i="3"/>
  <c r="CA68" i="3"/>
  <c r="CA76" i="3"/>
  <c r="CA456" i="3"/>
  <c r="AU179" i="3"/>
  <c r="AT179" i="3"/>
  <c r="AQ298" i="3"/>
  <c r="AP298" i="3"/>
  <c r="AP299" i="3" s="1"/>
  <c r="CC110" i="3"/>
  <c r="AQ725" i="2" l="1"/>
  <c r="AR725" i="2" s="1"/>
  <c r="BL366" i="2"/>
  <c r="BM366" i="2" s="1"/>
  <c r="BL348" i="2"/>
  <c r="BM326" i="2"/>
  <c r="BL581" i="2"/>
  <c r="BM581" i="2" s="1"/>
  <c r="BN989" i="2"/>
  <c r="BO989" i="2" s="1"/>
  <c r="BN606" i="2"/>
  <c r="BO606" i="2" s="1"/>
  <c r="BO178" i="2"/>
  <c r="BN179" i="2"/>
  <c r="BO179" i="2" s="1"/>
  <c r="BV76" i="2"/>
  <c r="BT74" i="2"/>
  <c r="AW983" i="2"/>
  <c r="AX573" i="2"/>
  <c r="AW575" i="2"/>
  <c r="BN866" i="2"/>
  <c r="BN861" i="2" s="1"/>
  <c r="BM866" i="2"/>
  <c r="BN193" i="2"/>
  <c r="BL194" i="2"/>
  <c r="BM193" i="2"/>
  <c r="BM194" i="2" s="1"/>
  <c r="AT717" i="2"/>
  <c r="BL343" i="2"/>
  <c r="BL361" i="2"/>
  <c r="BM361" i="2" s="1"/>
  <c r="BL327" i="2"/>
  <c r="BM327" i="2" s="1"/>
  <c r="BM323" i="2"/>
  <c r="BL578" i="2"/>
  <c r="BN316" i="2"/>
  <c r="BM316" i="2"/>
  <c r="BS37" i="2"/>
  <c r="BR44" i="2"/>
  <c r="BN141" i="2"/>
  <c r="BP171" i="2"/>
  <c r="BQ171" i="2" s="1"/>
  <c r="BQ167" i="2"/>
  <c r="BQ292" i="2"/>
  <c r="BP307" i="2"/>
  <c r="BQ307" i="2" s="1"/>
  <c r="BP139" i="2"/>
  <c r="BQ139" i="2" s="1"/>
  <c r="BQ59" i="2"/>
  <c r="AU694" i="2"/>
  <c r="AV694" i="2" s="1"/>
  <c r="AV674" i="2"/>
  <c r="AU675" i="2"/>
  <c r="AU677" i="2" s="1"/>
  <c r="AV663" i="2"/>
  <c r="AU668" i="2"/>
  <c r="AU717" i="2" s="1"/>
  <c r="AT677" i="2"/>
  <c r="AS699" i="2"/>
  <c r="AT699" i="2" s="1"/>
  <c r="AS701" i="2"/>
  <c r="AT701" i="2" s="1"/>
  <c r="AS700" i="2"/>
  <c r="AT700" i="2" s="1"/>
  <c r="BS90" i="2"/>
  <c r="BT84" i="2"/>
  <c r="BR92" i="2"/>
  <c r="BV69" i="2"/>
  <c r="BU69" i="2"/>
  <c r="BM681" i="2"/>
  <c r="BV191" i="2"/>
  <c r="BU191" i="2"/>
  <c r="AQ707" i="2"/>
  <c r="AR703" i="2"/>
  <c r="BU124" i="2"/>
  <c r="BU125" i="2" s="1"/>
  <c r="BT125" i="2"/>
  <c r="BL364" i="2"/>
  <c r="BL346" i="2"/>
  <c r="BM324" i="2"/>
  <c r="BL579" i="2"/>
  <c r="BM579" i="2" s="1"/>
  <c r="BN972" i="2"/>
  <c r="BO972" i="2" s="1"/>
  <c r="BN619" i="2"/>
  <c r="BO111" i="2"/>
  <c r="BN8" i="2"/>
  <c r="BN114" i="2"/>
  <c r="BN127" i="2"/>
  <c r="BO127" i="2" s="1"/>
  <c r="BP133" i="2"/>
  <c r="BP54" i="2"/>
  <c r="BQ52" i="2"/>
  <c r="AX864" i="2"/>
  <c r="AU987" i="2"/>
  <c r="AU981" i="2"/>
  <c r="AU656" i="2"/>
  <c r="AV656" i="2" s="1"/>
  <c r="AU635" i="2"/>
  <c r="AV634" i="2"/>
  <c r="AU962" i="2"/>
  <c r="BO596" i="2"/>
  <c r="AX662" i="2"/>
  <c r="AT675" i="2"/>
  <c r="AS691" i="2"/>
  <c r="BQ275" i="2"/>
  <c r="BP278" i="2"/>
  <c r="BP282" i="2" s="1"/>
  <c r="BP283" i="2" s="1"/>
  <c r="BQ283" i="2" s="1"/>
  <c r="BP287" i="2"/>
  <c r="BQ287" i="2" s="1"/>
  <c r="BR98" i="2"/>
  <c r="BS98" i="2" s="1"/>
  <c r="BS94" i="2"/>
  <c r="BP110" i="2"/>
  <c r="BP163" i="2"/>
  <c r="BQ159" i="2"/>
  <c r="BP164" i="2"/>
  <c r="BR154" i="2"/>
  <c r="BP161" i="2"/>
  <c r="AW607" i="2"/>
  <c r="AW328" i="2"/>
  <c r="AW322" i="2"/>
  <c r="AX322" i="2" s="1"/>
  <c r="AX321" i="2"/>
  <c r="BS190" i="2"/>
  <c r="BT190" i="2"/>
  <c r="BM662" i="2"/>
  <c r="AS670" i="2"/>
  <c r="AT668" i="2"/>
  <c r="AS724" i="2"/>
  <c r="AS722" i="2"/>
  <c r="AS721" i="2"/>
  <c r="AT721" i="2" s="1"/>
  <c r="AS719" i="2"/>
  <c r="AS715" i="2"/>
  <c r="AT715" i="2" s="1"/>
  <c r="AS716" i="2"/>
  <c r="AT716" i="2" s="1"/>
  <c r="BN680" i="2"/>
  <c r="BM680" i="2"/>
  <c r="BS257" i="2"/>
  <c r="BR260" i="2"/>
  <c r="BR264" i="2" s="1"/>
  <c r="BR270" i="2"/>
  <c r="BS270" i="2" s="1"/>
  <c r="AX327" i="2"/>
  <c r="AW582" i="2"/>
  <c r="AX582" i="2" s="1"/>
  <c r="BS38" i="2"/>
  <c r="BR49" i="2"/>
  <c r="BS49" i="2" s="1"/>
  <c r="BS123" i="2"/>
  <c r="BR109" i="2"/>
  <c r="BS109" i="2" s="1"/>
  <c r="BP137" i="2"/>
  <c r="BQ57" i="2"/>
  <c r="BP61" i="2"/>
  <c r="BQ61" i="2" s="1"/>
  <c r="BP134" i="2"/>
  <c r="BQ53" i="2"/>
  <c r="BN971" i="2"/>
  <c r="BN618" i="2"/>
  <c r="BN7" i="2"/>
  <c r="BO7" i="2" s="1"/>
  <c r="BN78" i="2"/>
  <c r="BO78" i="2" s="1"/>
  <c r="BO62" i="2"/>
  <c r="BN65" i="2"/>
  <c r="BT189" i="2"/>
  <c r="BS189" i="2"/>
  <c r="BL342" i="2"/>
  <c r="BL360" i="2"/>
  <c r="BM320" i="2"/>
  <c r="BL574" i="2"/>
  <c r="BM574" i="2" s="1"/>
  <c r="BV119" i="2"/>
  <c r="BU119" i="2"/>
  <c r="AV16" i="2"/>
  <c r="BT118" i="2"/>
  <c r="BL341" i="2"/>
  <c r="BL359" i="2"/>
  <c r="BL321" i="2"/>
  <c r="BM319" i="2"/>
  <c r="BL573" i="2"/>
  <c r="BL347" i="2"/>
  <c r="BL365" i="2"/>
  <c r="BM325" i="2"/>
  <c r="BL580" i="2"/>
  <c r="BM580" i="2" s="1"/>
  <c r="BM863" i="2"/>
  <c r="BL864" i="2"/>
  <c r="AQ705" i="2"/>
  <c r="AR704" i="2"/>
  <c r="AQ587" i="2"/>
  <c r="AQ17" i="2"/>
  <c r="BR40" i="2"/>
  <c r="BP140" i="2"/>
  <c r="BQ140" i="2" s="1"/>
  <c r="BP138" i="2"/>
  <c r="BQ138" i="2" s="1"/>
  <c r="BQ58" i="2"/>
  <c r="BT242" i="2"/>
  <c r="BT246" i="2" s="1"/>
  <c r="BT248" i="2" s="1"/>
  <c r="BV239" i="2"/>
  <c r="BU239" i="2"/>
  <c r="BT252" i="2"/>
  <c r="BT224" i="2"/>
  <c r="BT228" i="2" s="1"/>
  <c r="BT230" i="2" s="1"/>
  <c r="BV221" i="2"/>
  <c r="BU221" i="2"/>
  <c r="BU234" i="2" s="1"/>
  <c r="BT234" i="2"/>
  <c r="BV234" i="2" s="1"/>
  <c r="AT130" i="3"/>
  <c r="AU121" i="3"/>
  <c r="AU123" i="3"/>
  <c r="AU8" i="3"/>
  <c r="AT123" i="3"/>
  <c r="AT124" i="3" s="1"/>
  <c r="CD110" i="3"/>
  <c r="CC112" i="3"/>
  <c r="CD115" i="3"/>
  <c r="CC117" i="3"/>
  <c r="CD119" i="3"/>
  <c r="AW119" i="3"/>
  <c r="AT239" i="3"/>
  <c r="AW269" i="3"/>
  <c r="CD259" i="3"/>
  <c r="CC259" i="3"/>
  <c r="AV262" i="3"/>
  <c r="CC260" i="3"/>
  <c r="CD260" i="3"/>
  <c r="AW204" i="3"/>
  <c r="AS190" i="3"/>
  <c r="AS293" i="3"/>
  <c r="AR293" i="3"/>
  <c r="AW314" i="3"/>
  <c r="AV314" i="3"/>
  <c r="AR287" i="3"/>
  <c r="AS287" i="3"/>
  <c r="AU323" i="3"/>
  <c r="AT323" i="3"/>
  <c r="AW317" i="3"/>
  <c r="AV317" i="3"/>
  <c r="CB77" i="3"/>
  <c r="CF142" i="3"/>
  <c r="CE142" i="3"/>
  <c r="CB302" i="3"/>
  <c r="CB69" i="3"/>
  <c r="AO69" i="3"/>
  <c r="AO302" i="3"/>
  <c r="CD155" i="3"/>
  <c r="CC155" i="3"/>
  <c r="CF141" i="3"/>
  <c r="CE141" i="3"/>
  <c r="CA22" i="3"/>
  <c r="CB21" i="3"/>
  <c r="CD209" i="3"/>
  <c r="CC209" i="3"/>
  <c r="CD154" i="3"/>
  <c r="CC154" i="3"/>
  <c r="AO70" i="3"/>
  <c r="AN70" i="3"/>
  <c r="CH150" i="3"/>
  <c r="CG150" i="3"/>
  <c r="CA72" i="156"/>
  <c r="CA67" i="156"/>
  <c r="CA66" i="156"/>
  <c r="CA69" i="156"/>
  <c r="CA68" i="156"/>
  <c r="CA64" i="156"/>
  <c r="CA20" i="156"/>
  <c r="CA61" i="156"/>
  <c r="CA62" i="156"/>
  <c r="CA63" i="156"/>
  <c r="CA65" i="156"/>
  <c r="CD160" i="3"/>
  <c r="CC160" i="3"/>
  <c r="AS9" i="3"/>
  <c r="AR9" i="3"/>
  <c r="AR10" i="3" s="1"/>
  <c r="CD161" i="3"/>
  <c r="CC161" i="3"/>
  <c r="AN68" i="3"/>
  <c r="AN245" i="3"/>
  <c r="AO74" i="3"/>
  <c r="AN74" i="3"/>
  <c r="AN21" i="3"/>
  <c r="AN22" i="3" s="1"/>
  <c r="AN19" i="156"/>
  <c r="AQ19" i="3"/>
  <c r="AP19" i="3"/>
  <c r="AQ12" i="3"/>
  <c r="AP12" i="3"/>
  <c r="CB245" i="3"/>
  <c r="CB68" i="3"/>
  <c r="AT9" i="156"/>
  <c r="AT181" i="3"/>
  <c r="CB75" i="3"/>
  <c r="CA75" i="3"/>
  <c r="CB67" i="3"/>
  <c r="CB127" i="3"/>
  <c r="CD159" i="3"/>
  <c r="CC159" i="3"/>
  <c r="CB187" i="3"/>
  <c r="CB71" i="3"/>
  <c r="CD204" i="3"/>
  <c r="CC204" i="3"/>
  <c r="CD210" i="3"/>
  <c r="CC210" i="3"/>
  <c r="AN71" i="3"/>
  <c r="AN187" i="3"/>
  <c r="AN367" i="3"/>
  <c r="AN73" i="3"/>
  <c r="CB76" i="3"/>
  <c r="CB456" i="3"/>
  <c r="CD211" i="3"/>
  <c r="CC211" i="3"/>
  <c r="CB367" i="3"/>
  <c r="CB73" i="3"/>
  <c r="CB72" i="3"/>
  <c r="CA72" i="3"/>
  <c r="AN67" i="3"/>
  <c r="AN127" i="3"/>
  <c r="AN76" i="3"/>
  <c r="AN456" i="3"/>
  <c r="BP165" i="2" l="1"/>
  <c r="BT257" i="2"/>
  <c r="BS264" i="2"/>
  <c r="BR266" i="2"/>
  <c r="BS266" i="2" s="1"/>
  <c r="BU252" i="2"/>
  <c r="BV252" i="2"/>
  <c r="AR587" i="2"/>
  <c r="AQ588" i="2"/>
  <c r="AR588" i="2" s="1"/>
  <c r="AQ589" i="2"/>
  <c r="AR589" i="2" s="1"/>
  <c r="BP680" i="2"/>
  <c r="BO680" i="2"/>
  <c r="AW332" i="2"/>
  <c r="AX332" i="2" s="1"/>
  <c r="AX328" i="2"/>
  <c r="AW329" i="2"/>
  <c r="BL328" i="2"/>
  <c r="BV230" i="2"/>
  <c r="BU230" i="2"/>
  <c r="BV228" i="2"/>
  <c r="BU228" i="2"/>
  <c r="BU248" i="2"/>
  <c r="BV248" i="2"/>
  <c r="AQ18" i="2"/>
  <c r="AR18" i="2" s="1"/>
  <c r="AR17" i="2"/>
  <c r="AQ20" i="2"/>
  <c r="AQ948" i="2"/>
  <c r="AR705" i="2"/>
  <c r="BU118" i="2"/>
  <c r="BV118" i="2"/>
  <c r="BN360" i="2"/>
  <c r="BM360" i="2"/>
  <c r="BP141" i="2"/>
  <c r="BQ141" i="2" s="1"/>
  <c r="BQ137" i="2"/>
  <c r="AT719" i="2"/>
  <c r="AS720" i="2"/>
  <c r="AT720" i="2" s="1"/>
  <c r="BV190" i="2"/>
  <c r="BU190" i="2"/>
  <c r="BP135" i="2"/>
  <c r="BQ133" i="2"/>
  <c r="BV84" i="2"/>
  <c r="BU84" i="2"/>
  <c r="BT88" i="2"/>
  <c r="BT96" i="2"/>
  <c r="BT87" i="2"/>
  <c r="BT90" i="2" s="1"/>
  <c r="BT92" i="2" s="1"/>
  <c r="AU699" i="2"/>
  <c r="AV699" i="2" s="1"/>
  <c r="AV677" i="2"/>
  <c r="AU701" i="2"/>
  <c r="AV701" i="2" s="1"/>
  <c r="AU700" i="2"/>
  <c r="AV700" i="2" s="1"/>
  <c r="BN879" i="2"/>
  <c r="BO879" i="2" s="1"/>
  <c r="BO861" i="2"/>
  <c r="BN863" i="2"/>
  <c r="BR271" i="2"/>
  <c r="BS271" i="2" s="1"/>
  <c r="BS260" i="2"/>
  <c r="BN678" i="2"/>
  <c r="BN640" i="2"/>
  <c r="BO640" i="2" s="1"/>
  <c r="BO619" i="2"/>
  <c r="AV717" i="2"/>
  <c r="BO141" i="2"/>
  <c r="BN143" i="2"/>
  <c r="BP316" i="2"/>
  <c r="BO316" i="2"/>
  <c r="BP866" i="2"/>
  <c r="BO866" i="2"/>
  <c r="BV74" i="2"/>
  <c r="BU74" i="2"/>
  <c r="BV189" i="2"/>
  <c r="BU189" i="2"/>
  <c r="BQ134" i="2"/>
  <c r="BS154" i="2"/>
  <c r="BR169" i="2"/>
  <c r="BS169" i="2" s="1"/>
  <c r="BR156" i="2"/>
  <c r="BR157" i="2"/>
  <c r="BV246" i="2"/>
  <c r="BU246" i="2"/>
  <c r="BT253" i="2"/>
  <c r="BV242" i="2"/>
  <c r="BU242" i="2"/>
  <c r="BM347" i="2"/>
  <c r="BN347" i="2"/>
  <c r="BM359" i="2"/>
  <c r="BL362" i="2"/>
  <c r="BN359" i="2"/>
  <c r="BN952" i="2"/>
  <c r="BN660" i="2"/>
  <c r="BN79" i="2"/>
  <c r="BO79" i="2" s="1"/>
  <c r="BO65" i="2"/>
  <c r="BN639" i="2"/>
  <c r="BO639" i="2" s="1"/>
  <c r="BO618" i="2"/>
  <c r="AT722" i="2"/>
  <c r="AS723" i="2"/>
  <c r="AT723" i="2" s="1"/>
  <c r="AX607" i="2"/>
  <c r="AW613" i="2"/>
  <c r="BQ110" i="2"/>
  <c r="BP111" i="2"/>
  <c r="BR275" i="2"/>
  <c r="BQ282" i="2"/>
  <c r="BN953" i="2"/>
  <c r="BO953" i="2" s="1"/>
  <c r="BN661" i="2"/>
  <c r="BO114" i="2"/>
  <c r="BN128" i="2"/>
  <c r="BO128" i="2" s="1"/>
  <c r="BM364" i="2"/>
  <c r="BL367" i="2"/>
  <c r="BN364" i="2"/>
  <c r="AQ845" i="2"/>
  <c r="AQ731" i="2"/>
  <c r="AR707" i="2"/>
  <c r="AQ709" i="2"/>
  <c r="AQ736" i="2"/>
  <c r="AR736" i="2" s="1"/>
  <c r="AV675" i="2"/>
  <c r="AU691" i="2"/>
  <c r="BR48" i="2"/>
  <c r="BS48" i="2" s="1"/>
  <c r="BS44" i="2"/>
  <c r="BM578" i="2"/>
  <c r="BL582" i="2"/>
  <c r="BM582" i="2" s="1"/>
  <c r="BN343" i="2"/>
  <c r="BM343" i="2"/>
  <c r="AX575" i="2"/>
  <c r="AW584" i="2"/>
  <c r="BN348" i="2"/>
  <c r="BM348" i="2"/>
  <c r="BM864" i="2"/>
  <c r="BN365" i="2"/>
  <c r="BM365" i="2"/>
  <c r="BL607" i="2"/>
  <c r="BL322" i="2"/>
  <c r="BM321" i="2"/>
  <c r="BN342" i="2"/>
  <c r="BP342" i="2" s="1"/>
  <c r="BR342" i="2" s="1"/>
  <c r="BT342" i="2" s="1"/>
  <c r="BM342" i="2"/>
  <c r="AS703" i="2"/>
  <c r="AT670" i="2"/>
  <c r="AS671" i="2"/>
  <c r="BL349" i="2"/>
  <c r="BM349" i="2" s="1"/>
  <c r="BN346" i="2"/>
  <c r="BM346" i="2"/>
  <c r="BU224" i="2"/>
  <c r="BT235" i="2"/>
  <c r="BV224" i="2"/>
  <c r="BT34" i="2"/>
  <c r="BS40" i="2"/>
  <c r="BR42" i="2"/>
  <c r="BL983" i="2"/>
  <c r="BL575" i="2"/>
  <c r="BM573" i="2"/>
  <c r="BM983" i="2" s="1"/>
  <c r="BN341" i="2"/>
  <c r="BM341" i="2"/>
  <c r="BN973" i="2"/>
  <c r="BO971" i="2"/>
  <c r="AT724" i="2"/>
  <c r="BQ161" i="2"/>
  <c r="BP180" i="2"/>
  <c r="BQ180" i="2" s="1"/>
  <c r="BP176" i="2"/>
  <c r="BP177" i="2"/>
  <c r="BQ177" i="2" s="1"/>
  <c r="BP295" i="2"/>
  <c r="BP288" i="2"/>
  <c r="BQ288" i="2" s="1"/>
  <c r="BQ278" i="2"/>
  <c r="AT691" i="2"/>
  <c r="AS704" i="2"/>
  <c r="BP597" i="2"/>
  <c r="BQ597" i="2" s="1"/>
  <c r="BP55" i="2"/>
  <c r="BQ55" i="2" s="1"/>
  <c r="BQ54" i="2"/>
  <c r="BP62" i="2"/>
  <c r="BO8" i="2"/>
  <c r="BN9" i="2"/>
  <c r="BV125" i="2"/>
  <c r="BT123" i="2"/>
  <c r="BS92" i="2"/>
  <c r="BR101" i="2"/>
  <c r="BR108" i="2"/>
  <c r="BS108" i="2" s="1"/>
  <c r="BR102" i="2"/>
  <c r="BS102" i="2" s="1"/>
  <c r="BR107" i="2"/>
  <c r="BS107" i="2" s="1"/>
  <c r="BR106" i="2"/>
  <c r="AU670" i="2"/>
  <c r="AV668" i="2"/>
  <c r="AU724" i="2"/>
  <c r="AU722" i="2"/>
  <c r="AU721" i="2"/>
  <c r="AV721" i="2" s="1"/>
  <c r="AU715" i="2"/>
  <c r="AV715" i="2" s="1"/>
  <c r="AU719" i="2"/>
  <c r="AU716" i="2"/>
  <c r="AV716" i="2" s="1"/>
  <c r="AS718" i="2"/>
  <c r="AT718" i="2" s="1"/>
  <c r="BP193" i="2"/>
  <c r="BN194" i="2"/>
  <c r="BN192" i="2" s="1"/>
  <c r="BO193" i="2"/>
  <c r="BO194" i="2" s="1"/>
  <c r="AT8" i="3"/>
  <c r="AV8" i="156"/>
  <c r="AW8" i="156"/>
  <c r="AV121" i="3"/>
  <c r="CD112" i="3"/>
  <c r="CC158" i="3"/>
  <c r="CC119" i="3"/>
  <c r="CD158" i="3"/>
  <c r="CC268" i="3"/>
  <c r="CD268" i="3"/>
  <c r="CD267" i="3"/>
  <c r="CC267" i="3"/>
  <c r="AW264" i="3"/>
  <c r="AV264" i="3"/>
  <c r="CC262" i="3"/>
  <c r="CD262" i="3"/>
  <c r="CD269" i="3"/>
  <c r="CC269" i="3"/>
  <c r="AW178" i="3"/>
  <c r="AV178" i="3"/>
  <c r="AW175" i="3"/>
  <c r="AV206" i="3"/>
  <c r="AW176" i="3"/>
  <c r="AW206" i="3"/>
  <c r="CA77" i="3"/>
  <c r="CA78" i="3" s="1"/>
  <c r="AV321" i="3"/>
  <c r="AW321" i="3"/>
  <c r="AU325" i="3"/>
  <c r="AT325" i="3"/>
  <c r="CD317" i="3"/>
  <c r="CC317" i="3"/>
  <c r="AV329" i="3"/>
  <c r="AW329" i="3"/>
  <c r="AW330" i="3"/>
  <c r="AV330" i="3"/>
  <c r="AR12" i="156"/>
  <c r="AR295" i="3"/>
  <c r="CF210" i="3"/>
  <c r="CE210" i="3"/>
  <c r="AO77" i="3"/>
  <c r="AN77" i="3"/>
  <c r="AN78" i="3" s="1"/>
  <c r="AO71" i="3"/>
  <c r="AO187" i="3"/>
  <c r="CF159" i="3"/>
  <c r="CE159" i="3"/>
  <c r="AT10" i="156"/>
  <c r="AP187" i="3"/>
  <c r="AP71" i="3"/>
  <c r="AQ74" i="3"/>
  <c r="AP74" i="3"/>
  <c r="AP19" i="156"/>
  <c r="AP21" i="3"/>
  <c r="AP22" i="3" s="1"/>
  <c r="CF160" i="3"/>
  <c r="CE160" i="3"/>
  <c r="CF149" i="3"/>
  <c r="CE149" i="3"/>
  <c r="CF151" i="3"/>
  <c r="CE151" i="3"/>
  <c r="AO456" i="3"/>
  <c r="AO76" i="3"/>
  <c r="AW130" i="3"/>
  <c r="AV130" i="3"/>
  <c r="AO73" i="3"/>
  <c r="AO367" i="3"/>
  <c r="AO72" i="3"/>
  <c r="AN72" i="3"/>
  <c r="AU183" i="3"/>
  <c r="AT183" i="3"/>
  <c r="AT184" i="3" s="1"/>
  <c r="AP245" i="3"/>
  <c r="AP68" i="3"/>
  <c r="AP73" i="3"/>
  <c r="AP367" i="3"/>
  <c r="AN72" i="156"/>
  <c r="AN69" i="156"/>
  <c r="AN67" i="156"/>
  <c r="AN66" i="156"/>
  <c r="AN68" i="156"/>
  <c r="AN64" i="156"/>
  <c r="AN20" i="156"/>
  <c r="AN61" i="156"/>
  <c r="AN62" i="156"/>
  <c r="AN65" i="156"/>
  <c r="AN63" i="156"/>
  <c r="CA73" i="156"/>
  <c r="CF155" i="3"/>
  <c r="CE155" i="3"/>
  <c r="V9" i="178"/>
  <c r="V47" i="178"/>
  <c r="V39" i="178"/>
  <c r="AO67" i="3"/>
  <c r="AO127" i="3"/>
  <c r="CF199" i="3"/>
  <c r="CE199" i="3"/>
  <c r="AU190" i="3"/>
  <c r="AT190" i="3"/>
  <c r="AP69" i="3"/>
  <c r="AP302" i="3"/>
  <c r="AP127" i="3"/>
  <c r="AP67" i="3"/>
  <c r="AP76" i="3"/>
  <c r="AP456" i="3"/>
  <c r="CD178" i="3"/>
  <c r="CC178" i="3"/>
  <c r="AU9" i="156"/>
  <c r="AU181" i="3"/>
  <c r="AN22" i="156"/>
  <c r="AN24" i="3"/>
  <c r="AO21" i="3"/>
  <c r="AO19" i="156"/>
  <c r="AO75" i="3"/>
  <c r="AN75" i="3"/>
  <c r="AO245" i="3"/>
  <c r="AO68" i="3"/>
  <c r="CJ150" i="3"/>
  <c r="CI150" i="3"/>
  <c r="CF144" i="3"/>
  <c r="CE144" i="3"/>
  <c r="CF154" i="3"/>
  <c r="CE154" i="3"/>
  <c r="BU92" i="2" l="1"/>
  <c r="BV92" i="2"/>
  <c r="BT107" i="2"/>
  <c r="BT108" i="2"/>
  <c r="BT101" i="2"/>
  <c r="BT102" i="2"/>
  <c r="BT106" i="2"/>
  <c r="AV670" i="2"/>
  <c r="AU703" i="2"/>
  <c r="AU671" i="2"/>
  <c r="AS725" i="2"/>
  <c r="AT725" i="2" s="1"/>
  <c r="BO365" i="2"/>
  <c r="BP365" i="2"/>
  <c r="BO348" i="2"/>
  <c r="BP348" i="2"/>
  <c r="BP343" i="2"/>
  <c r="BO343" i="2"/>
  <c r="BN323" i="2"/>
  <c r="AQ939" i="2"/>
  <c r="AR939" i="2" s="1"/>
  <c r="AQ927" i="2"/>
  <c r="AR927" i="2" s="1"/>
  <c r="AQ884" i="2"/>
  <c r="AQ848" i="2"/>
  <c r="AR848" i="2" s="1"/>
  <c r="AQ887" i="2"/>
  <c r="AR731" i="2"/>
  <c r="AQ837" i="2"/>
  <c r="AR837" i="2" s="1"/>
  <c r="BN367" i="2"/>
  <c r="BM367" i="2"/>
  <c r="BO661" i="2"/>
  <c r="BP972" i="2"/>
  <c r="BQ972" i="2" s="1"/>
  <c r="BP619" i="2"/>
  <c r="BP127" i="2"/>
  <c r="BQ127" i="2" s="1"/>
  <c r="BP8" i="2"/>
  <c r="BQ111" i="2"/>
  <c r="BP114" i="2"/>
  <c r="BN954" i="2"/>
  <c r="BO952" i="2"/>
  <c r="BP347" i="2"/>
  <c r="BO347" i="2"/>
  <c r="BN325" i="2"/>
  <c r="BU253" i="2"/>
  <c r="BV253" i="2"/>
  <c r="BS156" i="2"/>
  <c r="BR167" i="2"/>
  <c r="BR159" i="2"/>
  <c r="BN695" i="2"/>
  <c r="BO695" i="2" s="1"/>
  <c r="BO678" i="2"/>
  <c r="BV88" i="2"/>
  <c r="BU88" i="2"/>
  <c r="BT99" i="2"/>
  <c r="BO360" i="2"/>
  <c r="BP360" i="2"/>
  <c r="AX329" i="2"/>
  <c r="BL329" i="2"/>
  <c r="AW585" i="2"/>
  <c r="AX585" i="2" s="1"/>
  <c r="AW330" i="2"/>
  <c r="AV722" i="2"/>
  <c r="AU723" i="2"/>
  <c r="AV723" i="2" s="1"/>
  <c r="BS106" i="2"/>
  <c r="BR110" i="2"/>
  <c r="BS110" i="2" s="1"/>
  <c r="BR103" i="2"/>
  <c r="BS101" i="2"/>
  <c r="BO9" i="2"/>
  <c r="BP178" i="2"/>
  <c r="BQ176" i="2"/>
  <c r="BP341" i="2"/>
  <c r="BO341" i="2"/>
  <c r="BN319" i="2"/>
  <c r="BS42" i="2"/>
  <c r="BR52" i="2"/>
  <c r="BR58" i="2"/>
  <c r="BR53" i="2"/>
  <c r="BR59" i="2"/>
  <c r="BR57" i="2"/>
  <c r="BR60" i="2"/>
  <c r="BO346" i="2"/>
  <c r="BN349" i="2"/>
  <c r="BO349" i="2" s="1"/>
  <c r="BP346" i="2"/>
  <c r="BN324" i="2"/>
  <c r="AS707" i="2"/>
  <c r="AT703" i="2"/>
  <c r="BL344" i="2"/>
  <c r="BM322" i="2"/>
  <c r="AX584" i="2"/>
  <c r="AU704" i="2"/>
  <c r="AV691" i="2"/>
  <c r="AQ967" i="2"/>
  <c r="AQ850" i="2"/>
  <c r="AQ738" i="2"/>
  <c r="AR738" i="2" s="1"/>
  <c r="AR709" i="2"/>
  <c r="AQ836" i="2"/>
  <c r="AR836" i="2" s="1"/>
  <c r="AQ1043" i="2"/>
  <c r="AR845" i="2"/>
  <c r="AQ818" i="2"/>
  <c r="AR818" i="2" s="1"/>
  <c r="AQ22" i="2"/>
  <c r="AR22" i="2" s="1"/>
  <c r="BP359" i="2"/>
  <c r="BO359" i="2"/>
  <c r="BR316" i="2"/>
  <c r="BQ316" i="2"/>
  <c r="AU718" i="2"/>
  <c r="AV718" i="2" s="1"/>
  <c r="BV90" i="2"/>
  <c r="BU90" i="2"/>
  <c r="BN679" i="2"/>
  <c r="BN181" i="2"/>
  <c r="BO192" i="2"/>
  <c r="AV719" i="2"/>
  <c r="AU720" i="2"/>
  <c r="AV720" i="2" s="1"/>
  <c r="AV724" i="2"/>
  <c r="BV235" i="2"/>
  <c r="BU235" i="2"/>
  <c r="BM607" i="2"/>
  <c r="BL613" i="2"/>
  <c r="AW614" i="2"/>
  <c r="AX613" i="2"/>
  <c r="BN362" i="2"/>
  <c r="BM362" i="2"/>
  <c r="BN617" i="2"/>
  <c r="BN146" i="2"/>
  <c r="BO143" i="2"/>
  <c r="BU87" i="2"/>
  <c r="BV87" i="2"/>
  <c r="BT94" i="2"/>
  <c r="BP596" i="2"/>
  <c r="BP143" i="2"/>
  <c r="BQ135" i="2"/>
  <c r="AR20" i="2"/>
  <c r="AQ21" i="2"/>
  <c r="AW335" i="2"/>
  <c r="BR193" i="2"/>
  <c r="BP194" i="2"/>
  <c r="BP192" i="2" s="1"/>
  <c r="BQ193" i="2"/>
  <c r="BQ194" i="2" s="1"/>
  <c r="BT109" i="2"/>
  <c r="BU123" i="2"/>
  <c r="BP971" i="2"/>
  <c r="BP618" i="2"/>
  <c r="BP78" i="2"/>
  <c r="BQ78" i="2" s="1"/>
  <c r="BQ62" i="2"/>
  <c r="BP65" i="2"/>
  <c r="BP7" i="2"/>
  <c r="BQ7" i="2" s="1"/>
  <c r="AT704" i="2"/>
  <c r="AS705" i="2"/>
  <c r="AS587" i="2"/>
  <c r="AS17" i="2"/>
  <c r="BQ295" i="2"/>
  <c r="BP308" i="2"/>
  <c r="BQ308" i="2" s="1"/>
  <c r="BP299" i="2"/>
  <c r="BO973" i="2"/>
  <c r="BL584" i="2"/>
  <c r="BM575" i="2"/>
  <c r="BU34" i="2"/>
  <c r="BT38" i="2"/>
  <c r="BV34" i="2"/>
  <c r="BT46" i="2"/>
  <c r="BT37" i="2"/>
  <c r="BO342" i="2"/>
  <c r="BN320" i="2"/>
  <c r="BP364" i="2"/>
  <c r="BO364" i="2"/>
  <c r="BR278" i="2"/>
  <c r="BS275" i="2"/>
  <c r="BR287" i="2"/>
  <c r="BS287" i="2" s="1"/>
  <c r="BO660" i="2"/>
  <c r="BS157" i="2"/>
  <c r="BR172" i="2"/>
  <c r="BS172" i="2" s="1"/>
  <c r="BR866" i="2"/>
  <c r="BQ866" i="2"/>
  <c r="BN864" i="2"/>
  <c r="BO863" i="2"/>
  <c r="BU96" i="2"/>
  <c r="BV96" i="2"/>
  <c r="BL372" i="2"/>
  <c r="BM372" i="2" s="1"/>
  <c r="BL369" i="2"/>
  <c r="BM369" i="2" s="1"/>
  <c r="BL332" i="2"/>
  <c r="BM332" i="2" s="1"/>
  <c r="BL330" i="2"/>
  <c r="BM328" i="2"/>
  <c r="BR680" i="2"/>
  <c r="BQ680" i="2"/>
  <c r="BT260" i="2"/>
  <c r="BT264" i="2" s="1"/>
  <c r="BV257" i="2"/>
  <c r="BU257" i="2"/>
  <c r="BT270" i="2"/>
  <c r="W4" i="178"/>
  <c r="W5" i="178" s="1"/>
  <c r="AV8" i="3"/>
  <c r="AV123" i="3"/>
  <c r="AV124" i="3" s="1"/>
  <c r="CD130" i="3"/>
  <c r="CC8" i="156"/>
  <c r="AW123" i="3"/>
  <c r="AW121" i="3"/>
  <c r="CC121" i="3"/>
  <c r="CF260" i="3"/>
  <c r="AT241" i="3"/>
  <c r="AT242" i="3" s="1"/>
  <c r="AU241" i="3"/>
  <c r="CE260" i="3"/>
  <c r="CE268" i="3"/>
  <c r="CF268" i="3"/>
  <c r="CE257" i="3"/>
  <c r="CF257" i="3"/>
  <c r="CD264" i="3"/>
  <c r="CC264" i="3"/>
  <c r="AW230" i="3"/>
  <c r="AV230" i="3"/>
  <c r="AW235" i="3"/>
  <c r="AW236" i="3" s="1"/>
  <c r="AV235" i="3"/>
  <c r="AV236" i="3" s="1"/>
  <c r="CE269" i="3"/>
  <c r="AW231" i="3"/>
  <c r="AV231" i="3"/>
  <c r="AW177" i="3"/>
  <c r="AV177" i="3"/>
  <c r="AW179" i="3"/>
  <c r="AV175" i="3"/>
  <c r="CD206" i="3"/>
  <c r="CC206" i="3"/>
  <c r="CD221" i="3"/>
  <c r="AW170" i="3"/>
  <c r="AV170" i="3"/>
  <c r="AV176" i="3"/>
  <c r="AV171" i="3"/>
  <c r="AW171" i="3"/>
  <c r="AT289" i="3"/>
  <c r="AU289" i="3"/>
  <c r="AS10" i="156"/>
  <c r="AS12" i="156"/>
  <c r="AS295" i="3"/>
  <c r="CC321" i="3"/>
  <c r="CC323" i="3"/>
  <c r="CD321" i="3"/>
  <c r="AU290" i="3"/>
  <c r="AT290" i="3"/>
  <c r="AU292" i="3"/>
  <c r="AT292" i="3"/>
  <c r="AT285" i="3"/>
  <c r="AU285" i="3"/>
  <c r="AR296" i="3"/>
  <c r="AS296" i="3"/>
  <c r="CC330" i="3"/>
  <c r="CD330" i="3"/>
  <c r="AU291" i="3"/>
  <c r="AT291" i="3"/>
  <c r="AV323" i="3"/>
  <c r="AW323" i="3"/>
  <c r="AU286" i="3"/>
  <c r="AT286" i="3"/>
  <c r="AQ77" i="3"/>
  <c r="CF158" i="3"/>
  <c r="CE158" i="3"/>
  <c r="CF116" i="3"/>
  <c r="CE116" i="3"/>
  <c r="CB22" i="156"/>
  <c r="CA22" i="156"/>
  <c r="CA24" i="3"/>
  <c r="CB24" i="3" s="1"/>
  <c r="CH139" i="3"/>
  <c r="CG139" i="3"/>
  <c r="CL150" i="3"/>
  <c r="CM150" i="3"/>
  <c r="CK150" i="3"/>
  <c r="AQ302" i="3"/>
  <c r="AQ69" i="3"/>
  <c r="CF202" i="3"/>
  <c r="CE202" i="3"/>
  <c r="CH160" i="3"/>
  <c r="CG160" i="3"/>
  <c r="AQ21" i="3"/>
  <c r="AQ19" i="156"/>
  <c r="AQ187" i="3"/>
  <c r="AQ71" i="3"/>
  <c r="AU11" i="3"/>
  <c r="AT11" i="3"/>
  <c r="AN23" i="156"/>
  <c r="AN25" i="3"/>
  <c r="CF146" i="3"/>
  <c r="CE146" i="3"/>
  <c r="AQ76" i="3"/>
  <c r="AQ456" i="3"/>
  <c r="AQ67" i="3"/>
  <c r="AQ127" i="3"/>
  <c r="AQ70" i="3"/>
  <c r="AP70" i="3"/>
  <c r="AN73" i="156"/>
  <c r="AQ245" i="3"/>
  <c r="AQ68" i="3"/>
  <c r="AQ75" i="3"/>
  <c r="AP75" i="3"/>
  <c r="AQ72" i="3"/>
  <c r="AP72" i="3"/>
  <c r="CH159" i="3"/>
  <c r="CG159" i="3"/>
  <c r="CF201" i="3"/>
  <c r="CE201" i="3"/>
  <c r="CH154" i="3"/>
  <c r="CG154" i="3"/>
  <c r="AO22" i="156"/>
  <c r="AO24" i="3"/>
  <c r="CD8" i="156"/>
  <c r="CD121" i="3"/>
  <c r="AO27" i="3"/>
  <c r="AN27" i="3"/>
  <c r="AQ367" i="3"/>
  <c r="AQ73" i="3"/>
  <c r="CH155" i="3"/>
  <c r="CG155" i="3"/>
  <c r="AU9" i="3"/>
  <c r="AT9" i="3"/>
  <c r="AT10" i="3" s="1"/>
  <c r="AP72" i="156"/>
  <c r="AP66" i="156"/>
  <c r="AP69" i="156"/>
  <c r="AP67" i="156"/>
  <c r="AP68" i="156"/>
  <c r="AP64" i="156"/>
  <c r="AP61" i="156"/>
  <c r="AP20" i="156"/>
  <c r="AP65" i="156"/>
  <c r="AP62" i="156"/>
  <c r="AP63" i="156"/>
  <c r="CH210" i="3"/>
  <c r="CG210" i="3"/>
  <c r="AU725" i="2" l="1"/>
  <c r="AV725" i="2" s="1"/>
  <c r="BL335" i="2"/>
  <c r="BL338" i="2" s="1"/>
  <c r="BL370" i="2" s="1"/>
  <c r="BM370" i="2" s="1"/>
  <c r="BT40" i="2"/>
  <c r="BT42" i="2" s="1"/>
  <c r="BV270" i="2"/>
  <c r="BU270" i="2"/>
  <c r="BU264" i="2"/>
  <c r="BV264" i="2"/>
  <c r="BQ364" i="2"/>
  <c r="BR364" i="2"/>
  <c r="BV37" i="2"/>
  <c r="BU37" i="2"/>
  <c r="BT44" i="2"/>
  <c r="BU38" i="2"/>
  <c r="BT49" i="2"/>
  <c r="BV38" i="2"/>
  <c r="BM584" i="2"/>
  <c r="AT587" i="2"/>
  <c r="AS588" i="2"/>
  <c r="AT588" i="2" s="1"/>
  <c r="AS589" i="2"/>
  <c r="AT589" i="2" s="1"/>
  <c r="BP952" i="2"/>
  <c r="BP660" i="2"/>
  <c r="BQ65" i="2"/>
  <c r="BP79" i="2"/>
  <c r="BQ79" i="2" s="1"/>
  <c r="BP973" i="2"/>
  <c r="BQ971" i="2"/>
  <c r="BQ192" i="2"/>
  <c r="BP181" i="2"/>
  <c r="BQ181" i="2" s="1"/>
  <c r="BV94" i="2"/>
  <c r="BT98" i="2"/>
  <c r="BU94" i="2"/>
  <c r="BN659" i="2"/>
  <c r="BN148" i="2"/>
  <c r="BO146" i="2"/>
  <c r="BO362" i="2"/>
  <c r="BP362" i="2"/>
  <c r="BP361" i="2" s="1"/>
  <c r="BO181" i="2"/>
  <c r="BN182" i="2"/>
  <c r="BO324" i="2"/>
  <c r="BN579" i="2"/>
  <c r="BO579" i="2" s="1"/>
  <c r="BR140" i="2"/>
  <c r="BS140" i="2" s="1"/>
  <c r="BS60" i="2"/>
  <c r="BR138" i="2"/>
  <c r="BS138" i="2" s="1"/>
  <c r="BS58" i="2"/>
  <c r="AW975" i="2"/>
  <c r="AW980" i="2" s="1"/>
  <c r="AW628" i="2"/>
  <c r="AW355" i="2"/>
  <c r="AX355" i="2" s="1"/>
  <c r="AW339" i="2"/>
  <c r="AW351" i="2"/>
  <c r="AX351" i="2" s="1"/>
  <c r="AX330" i="2"/>
  <c r="AW11" i="2"/>
  <c r="BR360" i="2"/>
  <c r="BQ360" i="2"/>
  <c r="BR164" i="2"/>
  <c r="BS159" i="2"/>
  <c r="BR163" i="2"/>
  <c r="BR165" i="2" s="1"/>
  <c r="BT154" i="2"/>
  <c r="BR161" i="2"/>
  <c r="BP9" i="2"/>
  <c r="BQ8" i="2"/>
  <c r="BR343" i="2"/>
  <c r="BQ343" i="2"/>
  <c r="BV108" i="2"/>
  <c r="BU108" i="2"/>
  <c r="BT266" i="2"/>
  <c r="BT866" i="2"/>
  <c r="BS866" i="2"/>
  <c r="BR288" i="2"/>
  <c r="BS288" i="2" s="1"/>
  <c r="BS278" i="2"/>
  <c r="BR295" i="2"/>
  <c r="BO320" i="2"/>
  <c r="BN574" i="2"/>
  <c r="BO574" i="2" s="1"/>
  <c r="BU46" i="2"/>
  <c r="BV46" i="2"/>
  <c r="BV40" i="2"/>
  <c r="AS948" i="2"/>
  <c r="AT705" i="2"/>
  <c r="BT193" i="2"/>
  <c r="BR194" i="2"/>
  <c r="BR192" i="2" s="1"/>
  <c r="BS193" i="2"/>
  <c r="BS194" i="2" s="1"/>
  <c r="BN638" i="2"/>
  <c r="BO638" i="2" s="1"/>
  <c r="BO617" i="2"/>
  <c r="BO679" i="2"/>
  <c r="BQ359" i="2"/>
  <c r="BR359" i="2"/>
  <c r="AQ968" i="2"/>
  <c r="AR850" i="2"/>
  <c r="AQ852" i="2"/>
  <c r="AQ23" i="2"/>
  <c r="AR23" i="2" s="1"/>
  <c r="AU705" i="2"/>
  <c r="AV704" i="2"/>
  <c r="AU587" i="2"/>
  <c r="AU17" i="2"/>
  <c r="BN344" i="2"/>
  <c r="BM344" i="2"/>
  <c r="BP349" i="2"/>
  <c r="BQ349" i="2" s="1"/>
  <c r="BR346" i="2"/>
  <c r="BQ346" i="2"/>
  <c r="BR137" i="2"/>
  <c r="BR61" i="2"/>
  <c r="BS61" i="2" s="1"/>
  <c r="BS57" i="2"/>
  <c r="BR133" i="2"/>
  <c r="BS52" i="2"/>
  <c r="BR54" i="2"/>
  <c r="BR341" i="2"/>
  <c r="BQ341" i="2"/>
  <c r="BS167" i="2"/>
  <c r="BR171" i="2"/>
  <c r="BS171" i="2" s="1"/>
  <c r="BO325" i="2"/>
  <c r="BN580" i="2"/>
  <c r="BO580" i="2" s="1"/>
  <c r="BO954" i="2"/>
  <c r="AR884" i="2"/>
  <c r="BR348" i="2"/>
  <c r="BQ348" i="2"/>
  <c r="BT110" i="2"/>
  <c r="BV106" i="2"/>
  <c r="BU106" i="2"/>
  <c r="BV107" i="2"/>
  <c r="BU107" i="2"/>
  <c r="BL975" i="2"/>
  <c r="BL628" i="2"/>
  <c r="BL351" i="2"/>
  <c r="BM351" i="2" s="1"/>
  <c r="BL339" i="2"/>
  <c r="BM330" i="2"/>
  <c r="BL11" i="2"/>
  <c r="BR282" i="2"/>
  <c r="BU109" i="2"/>
  <c r="BV109" i="2"/>
  <c r="AW338" i="2"/>
  <c r="AX338" i="2" s="1"/>
  <c r="AX335" i="2"/>
  <c r="BP617" i="2"/>
  <c r="BP146" i="2"/>
  <c r="BQ143" i="2"/>
  <c r="BT316" i="2"/>
  <c r="BS316" i="2"/>
  <c r="AW586" i="2"/>
  <c r="BR139" i="2"/>
  <c r="BS139" i="2" s="1"/>
  <c r="BS59" i="2"/>
  <c r="BM329" i="2"/>
  <c r="BL585" i="2"/>
  <c r="BM585" i="2" s="1"/>
  <c r="BV99" i="2"/>
  <c r="BU99" i="2"/>
  <c r="BP953" i="2"/>
  <c r="BQ953" i="2" s="1"/>
  <c r="BP661" i="2"/>
  <c r="BP128" i="2"/>
  <c r="BQ128" i="2" s="1"/>
  <c r="BQ114" i="2"/>
  <c r="BP678" i="2"/>
  <c r="BP640" i="2"/>
  <c r="BQ640" i="2" s="1"/>
  <c r="BQ619" i="2"/>
  <c r="BO323" i="2"/>
  <c r="BN578" i="2"/>
  <c r="BV102" i="2"/>
  <c r="BU102" i="2"/>
  <c r="BV260" i="2"/>
  <c r="BU260" i="2"/>
  <c r="BT271" i="2"/>
  <c r="BT680" i="2"/>
  <c r="BS680" i="2"/>
  <c r="BO864" i="2"/>
  <c r="BQ342" i="2"/>
  <c r="BP302" i="2"/>
  <c r="BP861" i="2" s="1"/>
  <c r="BQ299" i="2"/>
  <c r="BP303" i="2"/>
  <c r="BQ303" i="2" s="1"/>
  <c r="BR292" i="2"/>
  <c r="AS18" i="2"/>
  <c r="AT18" i="2" s="1"/>
  <c r="AT17" i="2"/>
  <c r="AS20" i="2"/>
  <c r="BP639" i="2"/>
  <c r="BQ639" i="2" s="1"/>
  <c r="BQ618" i="2"/>
  <c r="BQ596" i="2"/>
  <c r="BL614" i="2"/>
  <c r="BM613" i="2"/>
  <c r="BN361" i="2"/>
  <c r="BO361" i="2" s="1"/>
  <c r="AS845" i="2"/>
  <c r="AS731" i="2"/>
  <c r="AS887" i="2" s="1"/>
  <c r="AS709" i="2"/>
  <c r="AT707" i="2"/>
  <c r="AS736" i="2"/>
  <c r="AT736" i="2" s="1"/>
  <c r="BR134" i="2"/>
  <c r="BS53" i="2"/>
  <c r="BN321" i="2"/>
  <c r="BO319" i="2"/>
  <c r="BN573" i="2"/>
  <c r="BP989" i="2"/>
  <c r="BQ989" i="2" s="1"/>
  <c r="BP606" i="2"/>
  <c r="BQ606" i="2" s="1"/>
  <c r="BP179" i="2"/>
  <c r="BQ179" i="2" s="1"/>
  <c r="BQ178" i="2"/>
  <c r="BR598" i="2"/>
  <c r="BS598" i="2" s="1"/>
  <c r="BR111" i="2"/>
  <c r="BR104" i="2"/>
  <c r="BS104" i="2" s="1"/>
  <c r="BS103" i="2"/>
  <c r="BN681" i="2"/>
  <c r="BQ347" i="2"/>
  <c r="BR347" i="2"/>
  <c r="BO367" i="2"/>
  <c r="BP367" i="2"/>
  <c r="BN366" i="2"/>
  <c r="AQ940" i="2"/>
  <c r="AQ937" i="2"/>
  <c r="AR937" i="2" s="1"/>
  <c r="AQ890" i="2"/>
  <c r="AQ889" i="2"/>
  <c r="AR887" i="2"/>
  <c r="AQ883" i="2"/>
  <c r="AR883" i="2" s="1"/>
  <c r="AQ931" i="2"/>
  <c r="AR931" i="2" s="1"/>
  <c r="AQ935" i="2"/>
  <c r="AR935" i="2" s="1"/>
  <c r="AQ932" i="2"/>
  <c r="AR932" i="2" s="1"/>
  <c r="AQ934" i="2"/>
  <c r="AR934" i="2" s="1"/>
  <c r="AQ933" i="2"/>
  <c r="AR933" i="2" s="1"/>
  <c r="BR365" i="2"/>
  <c r="BQ365" i="2"/>
  <c r="AU707" i="2"/>
  <c r="AV703" i="2"/>
  <c r="BT103" i="2"/>
  <c r="BV101" i="2"/>
  <c r="BU101" i="2"/>
  <c r="AW8" i="3"/>
  <c r="W7" i="178"/>
  <c r="CD123" i="3"/>
  <c r="CC123" i="3"/>
  <c r="CC124" i="3" s="1"/>
  <c r="CC130" i="3"/>
  <c r="CC221" i="3"/>
  <c r="CD220" i="3"/>
  <c r="CC220" i="3"/>
  <c r="CF269" i="3"/>
  <c r="CH268" i="3"/>
  <c r="CG268" i="3"/>
  <c r="AV238" i="3"/>
  <c r="AV11" i="156"/>
  <c r="CC230" i="3"/>
  <c r="CD230" i="3"/>
  <c r="AW232" i="3"/>
  <c r="AV232" i="3"/>
  <c r="CD231" i="3"/>
  <c r="CC231" i="3"/>
  <c r="CC235" i="3"/>
  <c r="CC236" i="3" s="1"/>
  <c r="CD235" i="3"/>
  <c r="CD236" i="3" s="1"/>
  <c r="CF259" i="3"/>
  <c r="CE259" i="3"/>
  <c r="CC177" i="3"/>
  <c r="CD177" i="3"/>
  <c r="AV179" i="3"/>
  <c r="CD175" i="3"/>
  <c r="CC175" i="3"/>
  <c r="AV172" i="3"/>
  <c r="AW172" i="3"/>
  <c r="AV181" i="3"/>
  <c r="CD171" i="3"/>
  <c r="CC171" i="3"/>
  <c r="CC176" i="3"/>
  <c r="CD176" i="3"/>
  <c r="CC170" i="3"/>
  <c r="CD170" i="3"/>
  <c r="CF206" i="3"/>
  <c r="CE204" i="3"/>
  <c r="CF204" i="3"/>
  <c r="CE206" i="3"/>
  <c r="AP77" i="3"/>
  <c r="AP78" i="3" s="1"/>
  <c r="AW325" i="3"/>
  <c r="AV325" i="3"/>
  <c r="AU287" i="3"/>
  <c r="AT287" i="3"/>
  <c r="CF314" i="3"/>
  <c r="CE314" i="3"/>
  <c r="AT293" i="3"/>
  <c r="AU293" i="3"/>
  <c r="AS305" i="3"/>
  <c r="AR305" i="3"/>
  <c r="AS298" i="3"/>
  <c r="AR298" i="3"/>
  <c r="AR299" i="3" s="1"/>
  <c r="AP73" i="156"/>
  <c r="AQ27" i="3"/>
  <c r="AP27" i="3"/>
  <c r="CJ210" i="3"/>
  <c r="CI210" i="3"/>
  <c r="AN39" i="3"/>
  <c r="AN32" i="156"/>
  <c r="CD8" i="3"/>
  <c r="CC8" i="3"/>
  <c r="CA27" i="3"/>
  <c r="AO28" i="3"/>
  <c r="AN28" i="3"/>
  <c r="CF209" i="3"/>
  <c r="CE209" i="3"/>
  <c r="CF111" i="3"/>
  <c r="CE111" i="3"/>
  <c r="CJ160" i="3"/>
  <c r="CI160" i="3"/>
  <c r="CF110" i="3"/>
  <c r="CE110" i="3"/>
  <c r="CF161" i="3"/>
  <c r="CE161" i="3"/>
  <c r="CF117" i="3"/>
  <c r="CE117" i="3"/>
  <c r="CJ155" i="3"/>
  <c r="CI155" i="3"/>
  <c r="CF220" i="3"/>
  <c r="CE220" i="3"/>
  <c r="CJ154" i="3"/>
  <c r="CI154" i="3"/>
  <c r="CJ159" i="3"/>
  <c r="CI159" i="3"/>
  <c r="AO23" i="156"/>
  <c r="AO25" i="3"/>
  <c r="CH142" i="3"/>
  <c r="CG142" i="3"/>
  <c r="CB23" i="156"/>
  <c r="V49" i="178"/>
  <c r="CA25" i="3"/>
  <c r="CB25" i="3" s="1"/>
  <c r="CA23" i="156"/>
  <c r="CF115" i="3"/>
  <c r="CE115" i="3"/>
  <c r="CH158" i="3"/>
  <c r="CG158" i="3"/>
  <c r="AN29" i="156"/>
  <c r="AN36" i="3"/>
  <c r="AP24" i="3"/>
  <c r="AP22" i="156"/>
  <c r="AO25" i="156"/>
  <c r="AN25" i="156"/>
  <c r="CF211" i="3"/>
  <c r="CE211" i="3"/>
  <c r="CH141" i="3"/>
  <c r="CG141" i="3"/>
  <c r="BU40" i="2" l="1"/>
  <c r="BP182" i="2"/>
  <c r="BP199" i="2" s="1"/>
  <c r="AS940" i="2"/>
  <c r="AS937" i="2"/>
  <c r="AT937" i="2" s="1"/>
  <c r="AS890" i="2"/>
  <c r="AT890" i="2" s="1"/>
  <c r="AS889" i="2"/>
  <c r="AT887" i="2"/>
  <c r="AS931" i="2"/>
  <c r="AT931" i="2" s="1"/>
  <c r="AS932" i="2"/>
  <c r="AT932" i="2" s="1"/>
  <c r="AS935" i="2"/>
  <c r="AT935" i="2" s="1"/>
  <c r="AS934" i="2"/>
  <c r="AT934" i="2" s="1"/>
  <c r="AS933" i="2"/>
  <c r="AT933" i="2" s="1"/>
  <c r="BR367" i="2"/>
  <c r="BP366" i="2"/>
  <c r="BQ367" i="2"/>
  <c r="BR972" i="2"/>
  <c r="BS972" i="2" s="1"/>
  <c r="BR619" i="2"/>
  <c r="BS111" i="2"/>
  <c r="BR114" i="2"/>
  <c r="BR8" i="2"/>
  <c r="BR127" i="2"/>
  <c r="BS127" i="2" s="1"/>
  <c r="BQ182" i="2"/>
  <c r="AS939" i="2"/>
  <c r="AT939" i="2" s="1"/>
  <c r="AS927" i="2"/>
  <c r="AT927" i="2" s="1"/>
  <c r="AS848" i="2"/>
  <c r="AT848" i="2" s="1"/>
  <c r="AT731" i="2"/>
  <c r="AS837" i="2"/>
  <c r="AT837" i="2" s="1"/>
  <c r="AS21" i="2"/>
  <c r="AT20" i="2"/>
  <c r="BP320" i="2"/>
  <c r="BV271" i="2"/>
  <c r="BU271" i="2"/>
  <c r="BV316" i="2"/>
  <c r="BU316" i="2"/>
  <c r="BS282" i="2"/>
  <c r="BT275" i="2"/>
  <c r="BR283" i="2"/>
  <c r="BS283" i="2" s="1"/>
  <c r="BT341" i="2"/>
  <c r="BS341" i="2"/>
  <c r="BP344" i="2"/>
  <c r="BO344" i="2"/>
  <c r="AU948" i="2"/>
  <c r="AV705" i="2"/>
  <c r="AW649" i="2"/>
  <c r="AX649" i="2" s="1"/>
  <c r="AX628" i="2"/>
  <c r="AW674" i="2"/>
  <c r="AW634" i="2"/>
  <c r="BN197" i="2"/>
  <c r="BO197" i="2" s="1"/>
  <c r="BO182" i="2"/>
  <c r="BN199" i="2"/>
  <c r="BO199" i="2" s="1"/>
  <c r="BN183" i="2"/>
  <c r="BN184" i="2" s="1"/>
  <c r="BU98" i="2"/>
  <c r="BV98" i="2"/>
  <c r="BQ660" i="2"/>
  <c r="AU845" i="2"/>
  <c r="AU731" i="2"/>
  <c r="AV707" i="2"/>
  <c r="AU709" i="2"/>
  <c r="AU736" i="2"/>
  <c r="AV736" i="2" s="1"/>
  <c r="AQ925" i="2"/>
  <c r="AR925" i="2" s="1"/>
  <c r="AQ891" i="2"/>
  <c r="AR889" i="2"/>
  <c r="AQ923" i="2"/>
  <c r="AR923" i="2" s="1"/>
  <c r="AQ920" i="2"/>
  <c r="AR920" i="2" s="1"/>
  <c r="AQ922" i="2"/>
  <c r="AR922" i="2" s="1"/>
  <c r="AQ919" i="2"/>
  <c r="AR919" i="2" s="1"/>
  <c r="AQ921" i="2"/>
  <c r="AR921" i="2" s="1"/>
  <c r="AQ880" i="2"/>
  <c r="BO681" i="2"/>
  <c r="BN607" i="2"/>
  <c r="BN322" i="2"/>
  <c r="BO322" i="2" s="1"/>
  <c r="BO321" i="2"/>
  <c r="AS1043" i="2"/>
  <c r="AT845" i="2"/>
  <c r="AS22" i="2"/>
  <c r="AT22" i="2" s="1"/>
  <c r="AS818" i="2"/>
  <c r="AT818" i="2" s="1"/>
  <c r="BO578" i="2"/>
  <c r="BQ661" i="2"/>
  <c r="BM11" i="2"/>
  <c r="BL16" i="2"/>
  <c r="BM628" i="2"/>
  <c r="BL649" i="2"/>
  <c r="BM649" i="2" s="1"/>
  <c r="BL634" i="2"/>
  <c r="BL674" i="2"/>
  <c r="BS348" i="2"/>
  <c r="BT348" i="2"/>
  <c r="BR597" i="2"/>
  <c r="BS597" i="2" s="1"/>
  <c r="BR55" i="2"/>
  <c r="BS55" i="2" s="1"/>
  <c r="BS54" i="2"/>
  <c r="BR62" i="2"/>
  <c r="BS346" i="2"/>
  <c r="BR349" i="2"/>
  <c r="BS349" i="2" s="1"/>
  <c r="BT346" i="2"/>
  <c r="AU18" i="2"/>
  <c r="AV18" i="2" s="1"/>
  <c r="AV17" i="2"/>
  <c r="AU20" i="2"/>
  <c r="BT359" i="2"/>
  <c r="BS359" i="2"/>
  <c r="BR308" i="2"/>
  <c r="BS308" i="2" s="1"/>
  <c r="BS295" i="2"/>
  <c r="BV866" i="2"/>
  <c r="BU866" i="2"/>
  <c r="BP323" i="2"/>
  <c r="BQ9" i="2"/>
  <c r="BU154" i="2"/>
  <c r="BV154" i="2"/>
  <c r="BT169" i="2"/>
  <c r="BT156" i="2"/>
  <c r="BQ973" i="2"/>
  <c r="BP954" i="2"/>
  <c r="BQ952" i="2"/>
  <c r="BU49" i="2"/>
  <c r="BV49" i="2"/>
  <c r="AR890" i="2"/>
  <c r="AQ906" i="2"/>
  <c r="AR906" i="2" s="1"/>
  <c r="AR940" i="2"/>
  <c r="AQ928" i="2"/>
  <c r="AR928" i="2" s="1"/>
  <c r="BP325" i="2"/>
  <c r="AS967" i="2"/>
  <c r="AS850" i="2"/>
  <c r="AS738" i="2"/>
  <c r="AT738" i="2" s="1"/>
  <c r="AT709" i="2"/>
  <c r="AS836" i="2"/>
  <c r="AT836" i="2" s="1"/>
  <c r="BP879" i="2"/>
  <c r="BQ879" i="2" s="1"/>
  <c r="BQ861" i="2"/>
  <c r="BP863" i="2"/>
  <c r="BS342" i="2"/>
  <c r="BV680" i="2"/>
  <c r="BU680" i="2"/>
  <c r="BP695" i="2"/>
  <c r="BQ695" i="2" s="1"/>
  <c r="BQ678" i="2"/>
  <c r="BP679" i="2"/>
  <c r="AX586" i="2"/>
  <c r="AW591" i="2"/>
  <c r="BP659" i="2"/>
  <c r="BP148" i="2"/>
  <c r="BQ146" i="2"/>
  <c r="BM975" i="2"/>
  <c r="BL980" i="2"/>
  <c r="BM980" i="2" s="1"/>
  <c r="AS884" i="2"/>
  <c r="BP319" i="2"/>
  <c r="BS137" i="2"/>
  <c r="BR141" i="2"/>
  <c r="BS141" i="2" s="1"/>
  <c r="AV587" i="2"/>
  <c r="AU588" i="2"/>
  <c r="AV588" i="2" s="1"/>
  <c r="AU589" i="2"/>
  <c r="AV589" i="2" s="1"/>
  <c r="AR852" i="2"/>
  <c r="AQ24" i="2"/>
  <c r="AR24" i="2" s="1"/>
  <c r="AQ711" i="2"/>
  <c r="BQ361" i="2"/>
  <c r="BR181" i="2"/>
  <c r="BS181" i="2" s="1"/>
  <c r="BS192" i="2"/>
  <c r="BV266" i="2"/>
  <c r="BU266" i="2"/>
  <c r="BT157" i="2"/>
  <c r="BS360" i="2"/>
  <c r="BT360" i="2"/>
  <c r="AW956" i="2"/>
  <c r="AW961" i="2" s="1"/>
  <c r="AW663" i="2"/>
  <c r="AW356" i="2"/>
  <c r="AX356" i="2" s="1"/>
  <c r="AX339" i="2"/>
  <c r="AW357" i="2"/>
  <c r="AX357" i="2" s="1"/>
  <c r="AW354" i="2"/>
  <c r="AX354" i="2" s="1"/>
  <c r="BR362" i="2"/>
  <c r="BQ362" i="2"/>
  <c r="BO659" i="2"/>
  <c r="BL586" i="2"/>
  <c r="BT364" i="2"/>
  <c r="BS364" i="2"/>
  <c r="BT598" i="2"/>
  <c r="BV103" i="2"/>
  <c r="BT104" i="2"/>
  <c r="BU103" i="2"/>
  <c r="BT111" i="2"/>
  <c r="BS365" i="2"/>
  <c r="BT365" i="2"/>
  <c r="BO366" i="2"/>
  <c r="BN326" i="2"/>
  <c r="BT347" i="2"/>
  <c r="BS347" i="2"/>
  <c r="BN983" i="2"/>
  <c r="BO573" i="2"/>
  <c r="BO983" i="2" s="1"/>
  <c r="BN575" i="2"/>
  <c r="BS134" i="2"/>
  <c r="BS292" i="2"/>
  <c r="BR299" i="2"/>
  <c r="BR307" i="2"/>
  <c r="BS307" i="2" s="1"/>
  <c r="BV42" i="2"/>
  <c r="BU42" i="2"/>
  <c r="BT53" i="2"/>
  <c r="BT58" i="2"/>
  <c r="BT59" i="2"/>
  <c r="BT52" i="2"/>
  <c r="BT57" i="2"/>
  <c r="BT60" i="2"/>
  <c r="BP638" i="2"/>
  <c r="BQ638" i="2" s="1"/>
  <c r="BQ617" i="2"/>
  <c r="BL956" i="2"/>
  <c r="BL663" i="2"/>
  <c r="BL373" i="2"/>
  <c r="BL357" i="2"/>
  <c r="BM357" i="2" s="1"/>
  <c r="BL356" i="2"/>
  <c r="BM356" i="2" s="1"/>
  <c r="BM339" i="2"/>
  <c r="BL374" i="2"/>
  <c r="BL354" i="2"/>
  <c r="BM354" i="2" s="1"/>
  <c r="BV110" i="2"/>
  <c r="BU110" i="2"/>
  <c r="BS133" i="2"/>
  <c r="BR135" i="2"/>
  <c r="BP324" i="2"/>
  <c r="BV193" i="2"/>
  <c r="BT194" i="2"/>
  <c r="BU193" i="2"/>
  <c r="BU194" i="2" s="1"/>
  <c r="BT343" i="2"/>
  <c r="BS343" i="2"/>
  <c r="BS161" i="2"/>
  <c r="BR180" i="2"/>
  <c r="BS180" i="2" s="1"/>
  <c r="BR177" i="2"/>
  <c r="BS177" i="2" s="1"/>
  <c r="BR176" i="2"/>
  <c r="AX11" i="2"/>
  <c r="AW16" i="2"/>
  <c r="BT48" i="2"/>
  <c r="BV44" i="2"/>
  <c r="BU44" i="2"/>
  <c r="W8" i="178"/>
  <c r="CH199" i="3"/>
  <c r="CH201" i="3"/>
  <c r="CJ268" i="3"/>
  <c r="CI268" i="3"/>
  <c r="CF267" i="3"/>
  <c r="CE267" i="3"/>
  <c r="CC272" i="3"/>
  <c r="CD272" i="3"/>
  <c r="AW239" i="3"/>
  <c r="AV239" i="3"/>
  <c r="CF262" i="3"/>
  <c r="CE262" i="3"/>
  <c r="CD273" i="3"/>
  <c r="CC273" i="3"/>
  <c r="AW11" i="156"/>
  <c r="AW238" i="3"/>
  <c r="CD276" i="3"/>
  <c r="CC276" i="3"/>
  <c r="CC238" i="3"/>
  <c r="CC11" i="156"/>
  <c r="CD232" i="3"/>
  <c r="CC232" i="3"/>
  <c r="CF171" i="3"/>
  <c r="CE171" i="3"/>
  <c r="CE215" i="3"/>
  <c r="CD218" i="3"/>
  <c r="CC218" i="3"/>
  <c r="CG199" i="3"/>
  <c r="CG201" i="3"/>
  <c r="CC219" i="3"/>
  <c r="CD219" i="3"/>
  <c r="CF215" i="3"/>
  <c r="CC215" i="3"/>
  <c r="CD215" i="3"/>
  <c r="AV9" i="156"/>
  <c r="AV10" i="156" s="1"/>
  <c r="CC172" i="3"/>
  <c r="CD172" i="3"/>
  <c r="CC179" i="3"/>
  <c r="CD179" i="3"/>
  <c r="CC214" i="3"/>
  <c r="CD214" i="3"/>
  <c r="CF329" i="3"/>
  <c r="CE329" i="3"/>
  <c r="AV290" i="3"/>
  <c r="AW290" i="3"/>
  <c r="AW291" i="3"/>
  <c r="AV291" i="3"/>
  <c r="AV285" i="3"/>
  <c r="AW285" i="3"/>
  <c r="AT295" i="3"/>
  <c r="AT12" i="156"/>
  <c r="CD325" i="3"/>
  <c r="CC325" i="3"/>
  <c r="AS12" i="3"/>
  <c r="AR12" i="3"/>
  <c r="CF317" i="3"/>
  <c r="CE317" i="3"/>
  <c r="AW286" i="3"/>
  <c r="AV286" i="3"/>
  <c r="AV289" i="3"/>
  <c r="AW289" i="3"/>
  <c r="AW292" i="3"/>
  <c r="AV292" i="3"/>
  <c r="AN30" i="156"/>
  <c r="AN26" i="156"/>
  <c r="CH151" i="3"/>
  <c r="CG151" i="3"/>
  <c r="CH202" i="3"/>
  <c r="CG202" i="3"/>
  <c r="CG220" i="3"/>
  <c r="AO31" i="3"/>
  <c r="AN31" i="3"/>
  <c r="AN34" i="3" s="1"/>
  <c r="CA28" i="3"/>
  <c r="AP29" i="156"/>
  <c r="AP36" i="3"/>
  <c r="AP37" i="3" s="1"/>
  <c r="AQ24" i="3"/>
  <c r="AQ22" i="156"/>
  <c r="AN44" i="156"/>
  <c r="AN51" i="3"/>
  <c r="CF119" i="3"/>
  <c r="CE119" i="3"/>
  <c r="CH149" i="3"/>
  <c r="CG149" i="3"/>
  <c r="AN37" i="3"/>
  <c r="CH209" i="3"/>
  <c r="CG209" i="3"/>
  <c r="CB27" i="3"/>
  <c r="CA32" i="156"/>
  <c r="CA39" i="3"/>
  <c r="AO32" i="156"/>
  <c r="AO39" i="3"/>
  <c r="AQ28" i="3"/>
  <c r="AP28" i="3"/>
  <c r="AP25" i="3"/>
  <c r="AP23" i="156"/>
  <c r="CM155" i="3"/>
  <c r="CL155" i="3"/>
  <c r="CK155" i="3"/>
  <c r="CF118" i="3"/>
  <c r="CE118" i="3"/>
  <c r="CB25" i="156"/>
  <c r="CA25" i="156"/>
  <c r="CA36" i="3"/>
  <c r="CA29" i="156"/>
  <c r="AN82" i="156"/>
  <c r="AN87" i="3"/>
  <c r="CH144" i="3"/>
  <c r="CG144" i="3"/>
  <c r="AO29" i="156"/>
  <c r="AO36" i="3"/>
  <c r="CL159" i="3"/>
  <c r="CM159" i="3"/>
  <c r="CK159" i="3"/>
  <c r="CL154" i="3"/>
  <c r="CM154" i="3"/>
  <c r="CK154" i="3"/>
  <c r="CF177" i="3"/>
  <c r="CE177" i="3"/>
  <c r="CJ158" i="3"/>
  <c r="CI158" i="3"/>
  <c r="CH161" i="3"/>
  <c r="CG161" i="3"/>
  <c r="CF112" i="3"/>
  <c r="CE112" i="3"/>
  <c r="CL160" i="3"/>
  <c r="CM160" i="3"/>
  <c r="CK160" i="3"/>
  <c r="AN34" i="156"/>
  <c r="AN35" i="156" s="1"/>
  <c r="AN41" i="3"/>
  <c r="AN42" i="3" s="1"/>
  <c r="AN97" i="3"/>
  <c r="AN92" i="156"/>
  <c r="CM210" i="3"/>
  <c r="CL210" i="3"/>
  <c r="CK210" i="3"/>
  <c r="AP32" i="156"/>
  <c r="AP39" i="3"/>
  <c r="BP197" i="2" l="1"/>
  <c r="BQ197" i="2" s="1"/>
  <c r="BT159" i="2"/>
  <c r="BU159" i="2" s="1"/>
  <c r="AS906" i="2"/>
  <c r="AT906" i="2" s="1"/>
  <c r="BT161" i="2"/>
  <c r="AX16" i="2"/>
  <c r="BV343" i="2"/>
  <c r="BU343" i="2"/>
  <c r="BQ324" i="2"/>
  <c r="BP579" i="2"/>
  <c r="BQ579" i="2" s="1"/>
  <c r="BM663" i="2"/>
  <c r="BL668" i="2"/>
  <c r="BL717" i="2" s="1"/>
  <c r="BT139" i="2"/>
  <c r="BV59" i="2"/>
  <c r="BU59" i="2"/>
  <c r="BU347" i="2"/>
  <c r="BV347" i="2"/>
  <c r="BL591" i="2"/>
  <c r="BM586" i="2"/>
  <c r="BS362" i="2"/>
  <c r="BT362" i="2"/>
  <c r="AU884" i="2"/>
  <c r="AT884" i="2"/>
  <c r="BQ325" i="2"/>
  <c r="BP580" i="2"/>
  <c r="BQ580" i="2" s="1"/>
  <c r="BQ954" i="2"/>
  <c r="BU169" i="2"/>
  <c r="BV169" i="2"/>
  <c r="BR361" i="2"/>
  <c r="BS361" i="2" s="1"/>
  <c r="BM674" i="2"/>
  <c r="BL694" i="2"/>
  <c r="BM694" i="2" s="1"/>
  <c r="BM16" i="2"/>
  <c r="AR880" i="2"/>
  <c r="AQ878" i="2"/>
  <c r="AR891" i="2"/>
  <c r="AQ903" i="2"/>
  <c r="AR903" i="2" s="1"/>
  <c r="AQ905" i="2"/>
  <c r="AR905" i="2" s="1"/>
  <c r="AQ904" i="2"/>
  <c r="AR904" i="2" s="1"/>
  <c r="AQ985" i="2"/>
  <c r="AU967" i="2"/>
  <c r="AU850" i="2"/>
  <c r="AU738" i="2"/>
  <c r="AV738" i="2" s="1"/>
  <c r="AV709" i="2"/>
  <c r="AU836" i="2"/>
  <c r="AV836" i="2" s="1"/>
  <c r="AU1043" i="2"/>
  <c r="AV845" i="2"/>
  <c r="AU818" i="2"/>
  <c r="AV818" i="2" s="1"/>
  <c r="AU22" i="2"/>
  <c r="AV22" i="2" s="1"/>
  <c r="AW694" i="2"/>
  <c r="AX694" i="2" s="1"/>
  <c r="AX674" i="2"/>
  <c r="AW675" i="2"/>
  <c r="AW677" i="2" s="1"/>
  <c r="BR678" i="2"/>
  <c r="BR640" i="2"/>
  <c r="BS640" i="2" s="1"/>
  <c r="BS619" i="2"/>
  <c r="BS367" i="2"/>
  <c r="BT367" i="2"/>
  <c r="BR366" i="2"/>
  <c r="BR596" i="2"/>
  <c r="BR143" i="2"/>
  <c r="BS135" i="2"/>
  <c r="BM956" i="2"/>
  <c r="BL961" i="2"/>
  <c r="BT140" i="2"/>
  <c r="BV60" i="2"/>
  <c r="BU60" i="2"/>
  <c r="BT138" i="2"/>
  <c r="BU58" i="2"/>
  <c r="BV58" i="2"/>
  <c r="BO326" i="2"/>
  <c r="BN581" i="2"/>
  <c r="BN327" i="2"/>
  <c r="BT972" i="2"/>
  <c r="BU972" i="2" s="1"/>
  <c r="BT619" i="2"/>
  <c r="BT127" i="2"/>
  <c r="BV111" i="2"/>
  <c r="BU111" i="2"/>
  <c r="BT114" i="2"/>
  <c r="BT8" i="2"/>
  <c r="BV598" i="2"/>
  <c r="BU598" i="2"/>
  <c r="AX663" i="2"/>
  <c r="AW668" i="2"/>
  <c r="AW717" i="2" s="1"/>
  <c r="BV157" i="2"/>
  <c r="BU157" i="2"/>
  <c r="BT172" i="2"/>
  <c r="BQ659" i="2"/>
  <c r="BQ679" i="2"/>
  <c r="AS968" i="2"/>
  <c r="AS852" i="2"/>
  <c r="AT850" i="2"/>
  <c r="AS23" i="2"/>
  <c r="AT23" i="2" s="1"/>
  <c r="BL987" i="2"/>
  <c r="BM987" i="2" s="1"/>
  <c r="BL981" i="2"/>
  <c r="BL656" i="2"/>
  <c r="BM656" i="2" s="1"/>
  <c r="BL635" i="2"/>
  <c r="BM634" i="2"/>
  <c r="BO607" i="2"/>
  <c r="BN613" i="2"/>
  <c r="BN974" i="2"/>
  <c r="BN627" i="2"/>
  <c r="BO184" i="2"/>
  <c r="BN187" i="2"/>
  <c r="BN10" i="2"/>
  <c r="BV341" i="2"/>
  <c r="BU341" i="2"/>
  <c r="BQ320" i="2"/>
  <c r="BP574" i="2"/>
  <c r="BQ574" i="2" s="1"/>
  <c r="BS8" i="2"/>
  <c r="AS925" i="2"/>
  <c r="AT925" i="2" s="1"/>
  <c r="AT889" i="2"/>
  <c r="AS891" i="2"/>
  <c r="AS985" i="2" s="1"/>
  <c r="AS920" i="2"/>
  <c r="AT920" i="2" s="1"/>
  <c r="AS919" i="2"/>
  <c r="AT919" i="2" s="1"/>
  <c r="AS923" i="2"/>
  <c r="AT923" i="2" s="1"/>
  <c r="AS922" i="2"/>
  <c r="AT922" i="2" s="1"/>
  <c r="AS921" i="2"/>
  <c r="AT921" i="2" s="1"/>
  <c r="AS880" i="2"/>
  <c r="BR178" i="2"/>
  <c r="BS176" i="2"/>
  <c r="BV194" i="2"/>
  <c r="BT192" i="2"/>
  <c r="BT137" i="2"/>
  <c r="BV57" i="2"/>
  <c r="BU57" i="2"/>
  <c r="BT61" i="2"/>
  <c r="BT134" i="2"/>
  <c r="BV53" i="2"/>
  <c r="BU53" i="2"/>
  <c r="BR302" i="2"/>
  <c r="BR861" i="2" s="1"/>
  <c r="BS299" i="2"/>
  <c r="BR303" i="2"/>
  <c r="BT292" i="2"/>
  <c r="AW962" i="2"/>
  <c r="BV342" i="2"/>
  <c r="BU342" i="2"/>
  <c r="BU359" i="2"/>
  <c r="BT361" i="2"/>
  <c r="BV359" i="2"/>
  <c r="BR971" i="2"/>
  <c r="BR618" i="2"/>
  <c r="BR78" i="2"/>
  <c r="BS78" i="2" s="1"/>
  <c r="BS62" i="2"/>
  <c r="BR65" i="2"/>
  <c r="BR7" i="2"/>
  <c r="BS7" i="2" s="1"/>
  <c r="BV348" i="2"/>
  <c r="BU348" i="2"/>
  <c r="BP183" i="2"/>
  <c r="BO183" i="2"/>
  <c r="BR344" i="2"/>
  <c r="BQ344" i="2"/>
  <c r="BQ199" i="2"/>
  <c r="BR953" i="2"/>
  <c r="BS953" i="2" s="1"/>
  <c r="BR661" i="2"/>
  <c r="BS114" i="2"/>
  <c r="BR128" i="2"/>
  <c r="BS128" i="2" s="1"/>
  <c r="BV48" i="2"/>
  <c r="BU48" i="2"/>
  <c r="BT54" i="2"/>
  <c r="BV52" i="2"/>
  <c r="BU52" i="2"/>
  <c r="BT133" i="2"/>
  <c r="BO575" i="2"/>
  <c r="BV365" i="2"/>
  <c r="BU365" i="2"/>
  <c r="BU104" i="2"/>
  <c r="BV104" i="2"/>
  <c r="BU364" i="2"/>
  <c r="BV364" i="2"/>
  <c r="BV360" i="2"/>
  <c r="BU360" i="2"/>
  <c r="AR711" i="2"/>
  <c r="AQ712" i="2"/>
  <c r="AQ733" i="2"/>
  <c r="AR733" i="2" s="1"/>
  <c r="BP321" i="2"/>
  <c r="BQ319" i="2"/>
  <c r="BP573" i="2"/>
  <c r="BP681" i="2"/>
  <c r="BQ863" i="2"/>
  <c r="BP864" i="2"/>
  <c r="BU156" i="2"/>
  <c r="BV156" i="2"/>
  <c r="BT167" i="2"/>
  <c r="BQ323" i="2"/>
  <c r="BP578" i="2"/>
  <c r="AV20" i="2"/>
  <c r="AU21" i="2"/>
  <c r="BT349" i="2"/>
  <c r="BV346" i="2"/>
  <c r="BU346" i="2"/>
  <c r="AU939" i="2"/>
  <c r="AV939" i="2" s="1"/>
  <c r="AU927" i="2"/>
  <c r="AV927" i="2" s="1"/>
  <c r="AU848" i="2"/>
  <c r="AV848" i="2" s="1"/>
  <c r="AV731" i="2"/>
  <c r="AU837" i="2"/>
  <c r="AV837" i="2" s="1"/>
  <c r="AW987" i="2"/>
  <c r="AW981" i="2"/>
  <c r="AW635" i="2"/>
  <c r="AX634" i="2"/>
  <c r="AW656" i="2"/>
  <c r="AX656" i="2" s="1"/>
  <c r="BT278" i="2"/>
  <c r="BT282" i="2" s="1"/>
  <c r="BV275" i="2"/>
  <c r="BU275" i="2"/>
  <c r="BT287" i="2"/>
  <c r="BQ366" i="2"/>
  <c r="BP326" i="2"/>
  <c r="AU887" i="2"/>
  <c r="AS883" i="2"/>
  <c r="AT883" i="2" s="1"/>
  <c r="AT940" i="2"/>
  <c r="AS928" i="2"/>
  <c r="AT928" i="2" s="1"/>
  <c r="CL268" i="3"/>
  <c r="CK268" i="3"/>
  <c r="CM268" i="3"/>
  <c r="CG257" i="3"/>
  <c r="CH257" i="3"/>
  <c r="CD239" i="3"/>
  <c r="CC239" i="3"/>
  <c r="CE272" i="3"/>
  <c r="CF272" i="3"/>
  <c r="W38" i="178"/>
  <c r="W34" i="178"/>
  <c r="W35" i="178" s="1"/>
  <c r="CE264" i="3"/>
  <c r="CF264" i="3"/>
  <c r="CD11" i="156"/>
  <c r="CD238" i="3"/>
  <c r="CF273" i="3"/>
  <c r="CE273" i="3"/>
  <c r="CH215" i="3"/>
  <c r="CG215" i="3"/>
  <c r="AW190" i="3"/>
  <c r="AV190" i="3"/>
  <c r="CE214" i="3"/>
  <c r="CF214" i="3"/>
  <c r="AW181" i="3"/>
  <c r="AW9" i="156"/>
  <c r="W11" i="178"/>
  <c r="W12" i="178" s="1"/>
  <c r="CE219" i="3"/>
  <c r="CF219" i="3"/>
  <c r="CC9" i="156"/>
  <c r="CC10" i="156" s="1"/>
  <c r="CC181" i="3"/>
  <c r="AW183" i="3"/>
  <c r="AV183" i="3"/>
  <c r="AV184" i="3" s="1"/>
  <c r="AR302" i="3"/>
  <c r="AR69" i="3"/>
  <c r="CE321" i="3"/>
  <c r="CF321" i="3"/>
  <c r="AU12" i="156"/>
  <c r="AU295" i="3"/>
  <c r="CC292" i="3"/>
  <c r="CD292" i="3"/>
  <c r="CF330" i="3"/>
  <c r="CE330" i="3"/>
  <c r="AU296" i="3"/>
  <c r="AT296" i="3"/>
  <c r="AV287" i="3"/>
  <c r="AW287" i="3"/>
  <c r="CD290" i="3"/>
  <c r="CC290" i="3"/>
  <c r="CC285" i="3"/>
  <c r="CD285" i="3"/>
  <c r="W41" i="178"/>
  <c r="W42" i="178" s="1"/>
  <c r="AW293" i="3"/>
  <c r="AV293" i="3"/>
  <c r="AS19" i="3"/>
  <c r="AR19" i="3"/>
  <c r="CC286" i="3"/>
  <c r="CD286" i="3"/>
  <c r="CD291" i="3"/>
  <c r="CC291" i="3"/>
  <c r="CD289" i="3"/>
  <c r="CC289" i="3"/>
  <c r="AN32" i="3"/>
  <c r="AO97" i="3"/>
  <c r="AO92" i="156"/>
  <c r="AP92" i="156"/>
  <c r="AP97" i="3"/>
  <c r="CH146" i="3"/>
  <c r="CG146" i="3"/>
  <c r="AN87" i="156"/>
  <c r="AN92" i="3"/>
  <c r="AN90" i="156"/>
  <c r="AN95" i="3"/>
  <c r="V67" i="178"/>
  <c r="CA51" i="3"/>
  <c r="CA44" i="156"/>
  <c r="CA34" i="156"/>
  <c r="CA35" i="156" s="1"/>
  <c r="CA41" i="3"/>
  <c r="CA42" i="3" s="1"/>
  <c r="AQ25" i="156"/>
  <c r="AP25" i="156"/>
  <c r="AQ36" i="3"/>
  <c r="AQ29" i="156"/>
  <c r="AP34" i="156"/>
  <c r="AP35" i="156" s="1"/>
  <c r="AP41" i="3"/>
  <c r="AP42" i="3" s="1"/>
  <c r="AO34" i="156"/>
  <c r="AO41" i="3"/>
  <c r="X4" i="178"/>
  <c r="X5" i="178" s="1"/>
  <c r="Y5" i="178" s="1"/>
  <c r="AN93" i="3"/>
  <c r="AN88" i="156"/>
  <c r="CA30" i="156"/>
  <c r="CA26" i="156"/>
  <c r="AQ31" i="3"/>
  <c r="AP31" i="3"/>
  <c r="AP34" i="3" s="1"/>
  <c r="CB32" i="156"/>
  <c r="CB39" i="3"/>
  <c r="CA87" i="3"/>
  <c r="CA82" i="156"/>
  <c r="CM220" i="3"/>
  <c r="CH220" i="3"/>
  <c r="AP87" i="3"/>
  <c r="AP82" i="156"/>
  <c r="AQ32" i="156"/>
  <c r="AQ39" i="3"/>
  <c r="CE121" i="3"/>
  <c r="CE8" i="156"/>
  <c r="CH118" i="3"/>
  <c r="CG118" i="3"/>
  <c r="AO87" i="3"/>
  <c r="AO82" i="156"/>
  <c r="AN98" i="3"/>
  <c r="AN93" i="156"/>
  <c r="CB29" i="156"/>
  <c r="CB36" i="3"/>
  <c r="CH204" i="3"/>
  <c r="CG204" i="3"/>
  <c r="CA97" i="3"/>
  <c r="CA92" i="156"/>
  <c r="CB28" i="3"/>
  <c r="CJ161" i="3"/>
  <c r="CI161" i="3"/>
  <c r="CJ139" i="3"/>
  <c r="CI139" i="3"/>
  <c r="AN86" i="156"/>
  <c r="AN91" i="3"/>
  <c r="CA31" i="3"/>
  <c r="CB31" i="3" s="1"/>
  <c r="CL158" i="3"/>
  <c r="CM158" i="3"/>
  <c r="CK158" i="3"/>
  <c r="AQ23" i="156"/>
  <c r="AQ25" i="3"/>
  <c r="CA37" i="3"/>
  <c r="AO51" i="3"/>
  <c r="AO44" i="156"/>
  <c r="AP51" i="3"/>
  <c r="AP44" i="156"/>
  <c r="CJ220" i="3"/>
  <c r="CI220" i="3"/>
  <c r="CH211" i="3"/>
  <c r="CG211" i="3"/>
  <c r="BT164" i="2" l="1"/>
  <c r="BT165" i="2"/>
  <c r="BT163" i="2"/>
  <c r="BV159" i="2"/>
  <c r="BR9" i="2"/>
  <c r="BS9" i="2" s="1"/>
  <c r="BV282" i="2"/>
  <c r="BU282" i="2"/>
  <c r="BT283" i="2"/>
  <c r="BM717" i="2"/>
  <c r="AX677" i="2"/>
  <c r="AW699" i="2"/>
  <c r="AX699" i="2" s="1"/>
  <c r="AW701" i="2"/>
  <c r="AX701" i="2" s="1"/>
  <c r="AW700" i="2"/>
  <c r="AX700" i="2" s="1"/>
  <c r="BL677" i="2"/>
  <c r="BQ326" i="2"/>
  <c r="BP581" i="2"/>
  <c r="BQ581" i="2" s="1"/>
  <c r="BU349" i="2"/>
  <c r="BV349" i="2"/>
  <c r="BQ681" i="2"/>
  <c r="BT597" i="2"/>
  <c r="BT55" i="2"/>
  <c r="BU54" i="2"/>
  <c r="BT62" i="2"/>
  <c r="BV54" i="2"/>
  <c r="BQ183" i="2"/>
  <c r="BP184" i="2"/>
  <c r="BR639" i="2"/>
  <c r="BS639" i="2" s="1"/>
  <c r="BS618" i="2"/>
  <c r="BV134" i="2"/>
  <c r="BU134" i="2"/>
  <c r="BT141" i="2"/>
  <c r="BV137" i="2"/>
  <c r="BU137" i="2"/>
  <c r="BR989" i="2"/>
  <c r="BS989" i="2" s="1"/>
  <c r="BR606" i="2"/>
  <c r="BS606" i="2" s="1"/>
  <c r="BS178" i="2"/>
  <c r="BR182" i="2"/>
  <c r="BR183" i="2" s="1"/>
  <c r="BR179" i="2"/>
  <c r="BS179" i="2" s="1"/>
  <c r="AT891" i="2"/>
  <c r="AS903" i="2"/>
  <c r="AT903" i="2" s="1"/>
  <c r="AS904" i="2"/>
  <c r="AT904" i="2" s="1"/>
  <c r="AS905" i="2"/>
  <c r="AT905" i="2" s="1"/>
  <c r="BO10" i="2"/>
  <c r="BO974" i="2"/>
  <c r="BV172" i="2"/>
  <c r="BU172" i="2"/>
  <c r="BV8" i="2"/>
  <c r="BU8" i="2"/>
  <c r="BU127" i="2"/>
  <c r="BV127" i="2"/>
  <c r="BO581" i="2"/>
  <c r="BN582" i="2"/>
  <c r="BV138" i="2"/>
  <c r="BU138" i="2"/>
  <c r="BL962" i="2"/>
  <c r="BM961" i="2"/>
  <c r="BS596" i="2"/>
  <c r="AV884" i="2"/>
  <c r="BP327" i="2"/>
  <c r="BQ327" i="2" s="1"/>
  <c r="BP983" i="2"/>
  <c r="BP575" i="2"/>
  <c r="BQ573" i="2"/>
  <c r="BQ983" i="2" s="1"/>
  <c r="AR712" i="2"/>
  <c r="AQ832" i="2"/>
  <c r="BT135" i="2"/>
  <c r="BV133" i="2"/>
  <c r="BU133" i="2"/>
  <c r="BR952" i="2"/>
  <c r="BR660" i="2"/>
  <c r="BR79" i="2"/>
  <c r="BS79" i="2" s="1"/>
  <c r="BS65" i="2"/>
  <c r="BR973" i="2"/>
  <c r="BS971" i="2"/>
  <c r="BR879" i="2"/>
  <c r="BS879" i="2" s="1"/>
  <c r="BS861" i="2"/>
  <c r="BR863" i="2"/>
  <c r="BV61" i="2"/>
  <c r="BU61" i="2"/>
  <c r="BU192" i="2"/>
  <c r="BT181" i="2"/>
  <c r="BV192" i="2"/>
  <c r="AS878" i="2"/>
  <c r="AT880" i="2"/>
  <c r="BN955" i="2"/>
  <c r="BN662" i="2"/>
  <c r="BN200" i="2"/>
  <c r="BO200" i="2" s="1"/>
  <c r="BO187" i="2"/>
  <c r="BN614" i="2"/>
  <c r="BO613" i="2"/>
  <c r="AX717" i="2"/>
  <c r="BT953" i="2"/>
  <c r="BU953" i="2" s="1"/>
  <c r="BT661" i="2"/>
  <c r="BT128" i="2"/>
  <c r="BV114" i="2"/>
  <c r="BU114" i="2"/>
  <c r="BT678" i="2"/>
  <c r="BV619" i="2"/>
  <c r="BU619" i="2"/>
  <c r="BT640" i="2"/>
  <c r="BS366" i="2"/>
  <c r="BR326" i="2"/>
  <c r="BV362" i="2"/>
  <c r="BU362" i="2"/>
  <c r="BV161" i="2"/>
  <c r="BU161" i="2"/>
  <c r="BT180" i="2"/>
  <c r="BT177" i="2"/>
  <c r="BT176" i="2"/>
  <c r="BV287" i="2"/>
  <c r="BU287" i="2"/>
  <c r="BV278" i="2"/>
  <c r="BT295" i="2"/>
  <c r="BU278" i="2"/>
  <c r="BT288" i="2"/>
  <c r="BT171" i="2"/>
  <c r="BV167" i="2"/>
  <c r="BU167" i="2"/>
  <c r="BQ864" i="2"/>
  <c r="BS661" i="2"/>
  <c r="BT344" i="2"/>
  <c r="BS344" i="2"/>
  <c r="BT299" i="2"/>
  <c r="BV292" i="2"/>
  <c r="BU292" i="2"/>
  <c r="BT307" i="2"/>
  <c r="AT852" i="2"/>
  <c r="AS24" i="2"/>
  <c r="AT24" i="2" s="1"/>
  <c r="AS711" i="2"/>
  <c r="BV367" i="2"/>
  <c r="BT366" i="2"/>
  <c r="BU367" i="2"/>
  <c r="BR695" i="2"/>
  <c r="BS695" i="2" s="1"/>
  <c r="BS678" i="2"/>
  <c r="BR679" i="2"/>
  <c r="BR681" i="2" s="1"/>
  <c r="AU968" i="2"/>
  <c r="AV850" i="2"/>
  <c r="AU852" i="2"/>
  <c r="AU23" i="2"/>
  <c r="AV23" i="2" s="1"/>
  <c r="AR878" i="2"/>
  <c r="AQ936" i="2"/>
  <c r="AR936" i="2" s="1"/>
  <c r="AQ938" i="2"/>
  <c r="AR938" i="2" s="1"/>
  <c r="AQ926" i="2"/>
  <c r="AR926" i="2" s="1"/>
  <c r="AQ924" i="2"/>
  <c r="AR924" i="2" s="1"/>
  <c r="BV139" i="2"/>
  <c r="BU139" i="2"/>
  <c r="AU940" i="2"/>
  <c r="AU937" i="2"/>
  <c r="AV937" i="2" s="1"/>
  <c r="AU890" i="2"/>
  <c r="AU889" i="2"/>
  <c r="AV887" i="2"/>
  <c r="AU883" i="2"/>
  <c r="AV883" i="2" s="1"/>
  <c r="AU932" i="2"/>
  <c r="AV932" i="2" s="1"/>
  <c r="AU931" i="2"/>
  <c r="AV931" i="2" s="1"/>
  <c r="AU935" i="2"/>
  <c r="AV935" i="2" s="1"/>
  <c r="AU934" i="2"/>
  <c r="AV934" i="2" s="1"/>
  <c r="AU933" i="2"/>
  <c r="AV933" i="2" s="1"/>
  <c r="BQ578" i="2"/>
  <c r="BP607" i="2"/>
  <c r="BP322" i="2"/>
  <c r="BQ322" i="2" s="1"/>
  <c r="BQ321" i="2"/>
  <c r="BP328" i="2"/>
  <c r="BU361" i="2"/>
  <c r="BV361" i="2"/>
  <c r="BS303" i="2"/>
  <c r="BR319" i="2"/>
  <c r="BR324" i="2"/>
  <c r="BR325" i="2"/>
  <c r="BR323" i="2"/>
  <c r="BR320" i="2"/>
  <c r="BO627" i="2"/>
  <c r="BN648" i="2"/>
  <c r="BO648" i="2" s="1"/>
  <c r="AX668" i="2"/>
  <c r="AW670" i="2"/>
  <c r="AW724" i="2"/>
  <c r="AW721" i="2"/>
  <c r="AX721" i="2" s="1"/>
  <c r="AW722" i="2"/>
  <c r="AW715" i="2"/>
  <c r="AX715" i="2" s="1"/>
  <c r="AW719" i="2"/>
  <c r="AW716" i="2"/>
  <c r="AX716" i="2" s="1"/>
  <c r="BO327" i="2"/>
  <c r="BN328" i="2"/>
  <c r="BU140" i="2"/>
  <c r="BV140" i="2"/>
  <c r="BR617" i="2"/>
  <c r="BR146" i="2"/>
  <c r="BS143" i="2"/>
  <c r="AX675" i="2"/>
  <c r="AW691" i="2"/>
  <c r="BL675" i="2"/>
  <c r="BL670" i="2"/>
  <c r="BM668" i="2"/>
  <c r="BL724" i="2"/>
  <c r="BL721" i="2"/>
  <c r="BM721" i="2" s="1"/>
  <c r="BL722" i="2"/>
  <c r="BL715" i="2"/>
  <c r="BM715" i="2" s="1"/>
  <c r="BL719" i="2"/>
  <c r="BL716" i="2"/>
  <c r="BM716" i="2" s="1"/>
  <c r="CG260" i="3"/>
  <c r="CH260" i="3"/>
  <c r="CH273" i="3"/>
  <c r="CG273" i="3"/>
  <c r="AV241" i="3"/>
  <c r="AV242" i="3" s="1"/>
  <c r="AW241" i="3"/>
  <c r="CG272" i="3"/>
  <c r="CH272" i="3"/>
  <c r="CH259" i="3"/>
  <c r="CG259" i="3"/>
  <c r="CF231" i="3"/>
  <c r="CE231" i="3"/>
  <c r="CE230" i="3"/>
  <c r="CF230" i="3"/>
  <c r="CJ215" i="3"/>
  <c r="CI215" i="3"/>
  <c r="AW9" i="3"/>
  <c r="AV9" i="3"/>
  <c r="AV10" i="3" s="1"/>
  <c r="CD183" i="3"/>
  <c r="CC183" i="3"/>
  <c r="CC184" i="3" s="1"/>
  <c r="CF170" i="3"/>
  <c r="CE170" i="3"/>
  <c r="CD9" i="156"/>
  <c r="CD181" i="3"/>
  <c r="CG219" i="3"/>
  <c r="CD190" i="3"/>
  <c r="CC190" i="3"/>
  <c r="CF176" i="3"/>
  <c r="CE176" i="3"/>
  <c r="CG214" i="3"/>
  <c r="CH214" i="3"/>
  <c r="AS70" i="3"/>
  <c r="AR73" i="3"/>
  <c r="AR367" i="3"/>
  <c r="CD338" i="3"/>
  <c r="CC338" i="3"/>
  <c r="CD339" i="3"/>
  <c r="CC339" i="3"/>
  <c r="AR76" i="3"/>
  <c r="AR456" i="3"/>
  <c r="AR127" i="3"/>
  <c r="AR67" i="3"/>
  <c r="AU10" i="156"/>
  <c r="CC293" i="3"/>
  <c r="CD293" i="3"/>
  <c r="AR187" i="3"/>
  <c r="AR71" i="3"/>
  <c r="CE323" i="3"/>
  <c r="AR68" i="3"/>
  <c r="AR245" i="3"/>
  <c r="AR21" i="3"/>
  <c r="AR22" i="3" s="1"/>
  <c r="AR19" i="156"/>
  <c r="X41" i="178"/>
  <c r="X42" i="178" s="1"/>
  <c r="Y42" i="178" s="1"/>
  <c r="CD287" i="3"/>
  <c r="CC287" i="3"/>
  <c r="CC340" i="3"/>
  <c r="CD340" i="3"/>
  <c r="CH314" i="3"/>
  <c r="CG314" i="3"/>
  <c r="CD337" i="3"/>
  <c r="CC337" i="3"/>
  <c r="CC334" i="3"/>
  <c r="CD334" i="3"/>
  <c r="AR74" i="3"/>
  <c r="AS74" i="3"/>
  <c r="CD333" i="3"/>
  <c r="CC333" i="3"/>
  <c r="AV295" i="3"/>
  <c r="AV12" i="156"/>
  <c r="CF325" i="3"/>
  <c r="CE325" i="3"/>
  <c r="AS69" i="3"/>
  <c r="AS302" i="3"/>
  <c r="CL220" i="3"/>
  <c r="CK220" i="3"/>
  <c r="AQ51" i="3"/>
  <c r="AQ44" i="156"/>
  <c r="CA93" i="3"/>
  <c r="CA88" i="156"/>
  <c r="CA93" i="156"/>
  <c r="CA98" i="3"/>
  <c r="CF130" i="3"/>
  <c r="CE130" i="3"/>
  <c r="AO93" i="3"/>
  <c r="AO88" i="156"/>
  <c r="CB44" i="156"/>
  <c r="CB51" i="3"/>
  <c r="CH116" i="3"/>
  <c r="CG116" i="3"/>
  <c r="CJ141" i="3"/>
  <c r="CI141" i="3"/>
  <c r="CB92" i="156"/>
  <c r="CB97" i="3"/>
  <c r="CH206" i="3"/>
  <c r="CG206" i="3"/>
  <c r="AN88" i="3"/>
  <c r="AN83" i="156"/>
  <c r="CA92" i="3"/>
  <c r="CA87" i="156"/>
  <c r="CA90" i="156"/>
  <c r="CA95" i="3"/>
  <c r="AP91" i="3"/>
  <c r="AP86" i="156"/>
  <c r="AP95" i="3"/>
  <c r="AP90" i="156"/>
  <c r="CF8" i="156"/>
  <c r="CF121" i="3"/>
  <c r="CB87" i="3"/>
  <c r="CB82" i="156"/>
  <c r="AN81" i="3"/>
  <c r="AN76" i="156"/>
  <c r="AN85" i="3"/>
  <c r="AN80" i="156"/>
  <c r="AO92" i="3"/>
  <c r="AO87" i="156"/>
  <c r="CH110" i="3"/>
  <c r="CG110" i="3"/>
  <c r="CA34" i="3"/>
  <c r="CJ142" i="3"/>
  <c r="CI142" i="3"/>
  <c r="AO86" i="156"/>
  <c r="AO91" i="3"/>
  <c r="CA32" i="3"/>
  <c r="AO93" i="156"/>
  <c r="AO98" i="3"/>
  <c r="AP92" i="3"/>
  <c r="AP87" i="156"/>
  <c r="CF123" i="3"/>
  <c r="X7" i="178"/>
  <c r="CE123" i="3"/>
  <c r="CE124" i="3" s="1"/>
  <c r="AQ82" i="156"/>
  <c r="AQ87" i="3"/>
  <c r="AP32" i="3"/>
  <c r="AN47" i="3"/>
  <c r="AN40" i="156"/>
  <c r="AQ41" i="3"/>
  <c r="AQ34" i="156"/>
  <c r="AP30" i="156"/>
  <c r="AP26" i="156"/>
  <c r="AN77" i="156"/>
  <c r="AN82" i="3"/>
  <c r="CH115" i="3"/>
  <c r="CG115" i="3"/>
  <c r="CH117" i="3"/>
  <c r="CG117" i="3"/>
  <c r="CJ199" i="3"/>
  <c r="CI199" i="3"/>
  <c r="CA86" i="156"/>
  <c r="CA91" i="3"/>
  <c r="AP88" i="156"/>
  <c r="AP93" i="3"/>
  <c r="AP93" i="156"/>
  <c r="AP98" i="3"/>
  <c r="CB41" i="3"/>
  <c r="CB34" i="156"/>
  <c r="AO90" i="156"/>
  <c r="AO95" i="3"/>
  <c r="AN78" i="156"/>
  <c r="AN83" i="3"/>
  <c r="CH111" i="3"/>
  <c r="CG111" i="3"/>
  <c r="AQ92" i="156"/>
  <c r="AQ97" i="3"/>
  <c r="BP582" i="2" l="1"/>
  <c r="BQ582" i="2" s="1"/>
  <c r="BS183" i="2"/>
  <c r="BS681" i="2"/>
  <c r="BM722" i="2"/>
  <c r="BL723" i="2"/>
  <c r="BM723" i="2" s="1"/>
  <c r="BL703" i="2"/>
  <c r="BM670" i="2"/>
  <c r="BL671" i="2"/>
  <c r="AX719" i="2"/>
  <c r="AW720" i="2"/>
  <c r="AX720" i="2" s="1"/>
  <c r="AX724" i="2"/>
  <c r="BS323" i="2"/>
  <c r="BR327" i="2"/>
  <c r="BS327" i="2" s="1"/>
  <c r="BR578" i="2"/>
  <c r="AV852" i="2"/>
  <c r="AU24" i="2"/>
  <c r="AV24" i="2" s="1"/>
  <c r="AU711" i="2"/>
  <c r="BU366" i="2"/>
  <c r="BV366" i="2"/>
  <c r="BT302" i="2"/>
  <c r="BU299" i="2"/>
  <c r="BT303" i="2"/>
  <c r="BT326" i="2" s="1"/>
  <c r="BV299" i="2"/>
  <c r="BU295" i="2"/>
  <c r="BT308" i="2"/>
  <c r="BV295" i="2"/>
  <c r="BT178" i="2"/>
  <c r="BV176" i="2"/>
  <c r="BU176" i="2"/>
  <c r="BT695" i="2"/>
  <c r="BT681" i="2"/>
  <c r="BV678" i="2"/>
  <c r="BU678" i="2"/>
  <c r="BT679" i="2"/>
  <c r="BV661" i="2"/>
  <c r="BU661" i="2"/>
  <c r="BO662" i="2"/>
  <c r="BQ575" i="2"/>
  <c r="BO582" i="2"/>
  <c r="BN584" i="2"/>
  <c r="BV141" i="2"/>
  <c r="BU141" i="2"/>
  <c r="BT971" i="2"/>
  <c r="BT618" i="2"/>
  <c r="BT78" i="2"/>
  <c r="BU62" i="2"/>
  <c r="BT7" i="2"/>
  <c r="BT65" i="2"/>
  <c r="BV62" i="2"/>
  <c r="BL718" i="2"/>
  <c r="BL676" i="2"/>
  <c r="BM675" i="2"/>
  <c r="BL691" i="2"/>
  <c r="BM691" i="2" s="1"/>
  <c r="BR659" i="2"/>
  <c r="BR148" i="2"/>
  <c r="BS146" i="2"/>
  <c r="BN335" i="2"/>
  <c r="BN338" i="2" s="1"/>
  <c r="BN370" i="2" s="1"/>
  <c r="BO370" i="2" s="1"/>
  <c r="BN332" i="2"/>
  <c r="BO332" i="2" s="1"/>
  <c r="BN372" i="2"/>
  <c r="BO372" i="2" s="1"/>
  <c r="BN369" i="2"/>
  <c r="BO369" i="2" s="1"/>
  <c r="BO328" i="2"/>
  <c r="BN329" i="2"/>
  <c r="AW703" i="2"/>
  <c r="AW671" i="2"/>
  <c r="AX670" i="2"/>
  <c r="BS325" i="2"/>
  <c r="BR580" i="2"/>
  <c r="BS580" i="2" s="1"/>
  <c r="BV307" i="2"/>
  <c r="BU307" i="2"/>
  <c r="BU171" i="2"/>
  <c r="BV171" i="2"/>
  <c r="BV177" i="2"/>
  <c r="BU177" i="2"/>
  <c r="BU640" i="2"/>
  <c r="BV640" i="2"/>
  <c r="BO955" i="2"/>
  <c r="AT878" i="2"/>
  <c r="AS938" i="2"/>
  <c r="AT938" i="2" s="1"/>
  <c r="AS936" i="2"/>
  <c r="AT936" i="2" s="1"/>
  <c r="AS926" i="2"/>
  <c r="AT926" i="2" s="1"/>
  <c r="AS924" i="2"/>
  <c r="AT924" i="2" s="1"/>
  <c r="BU283" i="2"/>
  <c r="BV283" i="2"/>
  <c r="BL720" i="2"/>
  <c r="BM720" i="2" s="1"/>
  <c r="BM719" i="2"/>
  <c r="BM724" i="2"/>
  <c r="AX691" i="2"/>
  <c r="AW704" i="2"/>
  <c r="BR638" i="2"/>
  <c r="BS638" i="2" s="1"/>
  <c r="BS617" i="2"/>
  <c r="AX722" i="2"/>
  <c r="AW723" i="2"/>
  <c r="AX723" i="2" s="1"/>
  <c r="BS324" i="2"/>
  <c r="BR579" i="2"/>
  <c r="BS579" i="2" s="1"/>
  <c r="BQ607" i="2"/>
  <c r="BP613" i="2"/>
  <c r="AU925" i="2"/>
  <c r="AV925" i="2" s="1"/>
  <c r="AU891" i="2"/>
  <c r="AV889" i="2"/>
  <c r="AU920" i="2"/>
  <c r="AV920" i="2" s="1"/>
  <c r="AU919" i="2"/>
  <c r="AV919" i="2" s="1"/>
  <c r="AU923" i="2"/>
  <c r="AV923" i="2" s="1"/>
  <c r="AU922" i="2"/>
  <c r="AV922" i="2" s="1"/>
  <c r="AU921" i="2"/>
  <c r="AV921" i="2" s="1"/>
  <c r="AU880" i="2"/>
  <c r="AT711" i="2"/>
  <c r="AS712" i="2"/>
  <c r="AS733" i="2"/>
  <c r="AT733" i="2" s="1"/>
  <c r="BV344" i="2"/>
  <c r="BU344" i="2"/>
  <c r="BV288" i="2"/>
  <c r="BU288" i="2"/>
  <c r="BV180" i="2"/>
  <c r="BU180" i="2"/>
  <c r="AW718" i="2"/>
  <c r="AX718" i="2" s="1"/>
  <c r="BS660" i="2"/>
  <c r="BT596" i="2"/>
  <c r="BT143" i="2"/>
  <c r="BU135" i="2"/>
  <c r="BV135" i="2"/>
  <c r="BR184" i="2"/>
  <c r="BR197" i="2"/>
  <c r="BS197" i="2" s="1"/>
  <c r="BS182" i="2"/>
  <c r="BR199" i="2"/>
  <c r="BS199" i="2" s="1"/>
  <c r="BV55" i="2"/>
  <c r="BU55" i="2"/>
  <c r="BM677" i="2"/>
  <c r="BL699" i="2"/>
  <c r="BM699" i="2" s="1"/>
  <c r="BL701" i="2"/>
  <c r="BM701" i="2" s="1"/>
  <c r="BL700" i="2"/>
  <c r="BM700" i="2" s="1"/>
  <c r="BS320" i="2"/>
  <c r="BR574" i="2"/>
  <c r="BS574" i="2" s="1"/>
  <c r="BR321" i="2"/>
  <c r="BS319" i="2"/>
  <c r="BR573" i="2"/>
  <c r="BP369" i="2"/>
  <c r="BQ369" i="2" s="1"/>
  <c r="BP372" i="2"/>
  <c r="BQ372" i="2" s="1"/>
  <c r="BP332" i="2"/>
  <c r="BQ332" i="2" s="1"/>
  <c r="BQ328" i="2"/>
  <c r="AV890" i="2"/>
  <c r="AU906" i="2"/>
  <c r="AV906" i="2" s="1"/>
  <c r="AV940" i="2"/>
  <c r="AU928" i="2"/>
  <c r="AV928" i="2" s="1"/>
  <c r="BS679" i="2"/>
  <c r="BS326" i="2"/>
  <c r="BR581" i="2"/>
  <c r="BS581" i="2" s="1"/>
  <c r="BU128" i="2"/>
  <c r="BV128" i="2"/>
  <c r="BV181" i="2"/>
  <c r="BU181" i="2"/>
  <c r="BR864" i="2"/>
  <c r="BS863" i="2"/>
  <c r="BS973" i="2"/>
  <c r="BR954" i="2"/>
  <c r="BS952" i="2"/>
  <c r="BP974" i="2"/>
  <c r="BP627" i="2"/>
  <c r="BP187" i="2"/>
  <c r="BQ184" i="2"/>
  <c r="BP10" i="2"/>
  <c r="BU597" i="2"/>
  <c r="BV597" i="2"/>
  <c r="CI144" i="3"/>
  <c r="CJ144" i="3"/>
  <c r="W37" i="178"/>
  <c r="CI272" i="3"/>
  <c r="CJ272" i="3"/>
  <c r="CI273" i="3"/>
  <c r="CJ273" i="3"/>
  <c r="CG267" i="3"/>
  <c r="CH267" i="3"/>
  <c r="CD241" i="3"/>
  <c r="CC241" i="3"/>
  <c r="CC242" i="3" s="1"/>
  <c r="CE232" i="3"/>
  <c r="CF232" i="3"/>
  <c r="CG262" i="3"/>
  <c r="CH262" i="3"/>
  <c r="AW11" i="3"/>
  <c r="AV11" i="3"/>
  <c r="CH269" i="3"/>
  <c r="CG269" i="3"/>
  <c r="CL215" i="3"/>
  <c r="CK215" i="3"/>
  <c r="CM215" i="3"/>
  <c r="CJ219" i="3"/>
  <c r="CI219" i="3"/>
  <c r="CE218" i="3"/>
  <c r="CF218" i="3"/>
  <c r="CI214" i="3"/>
  <c r="CJ214" i="3"/>
  <c r="CD9" i="3"/>
  <c r="CC9" i="3"/>
  <c r="CC10" i="3" s="1"/>
  <c r="CD10" i="3" s="1"/>
  <c r="W15" i="178"/>
  <c r="CE221" i="3"/>
  <c r="CF221" i="3"/>
  <c r="CM219" i="3"/>
  <c r="CH219" i="3"/>
  <c r="CE172" i="3"/>
  <c r="CF172" i="3"/>
  <c r="W14" i="178"/>
  <c r="AS77" i="3"/>
  <c r="AR70" i="3"/>
  <c r="CH317" i="3"/>
  <c r="CG317" i="3"/>
  <c r="AV296" i="3"/>
  <c r="AW296" i="3"/>
  <c r="CG329" i="3"/>
  <c r="CH329" i="3"/>
  <c r="CF340" i="3"/>
  <c r="CE340" i="3"/>
  <c r="AS76" i="3"/>
  <c r="AS456" i="3"/>
  <c r="AR24" i="3"/>
  <c r="AR22" i="156"/>
  <c r="AS73" i="3"/>
  <c r="AS367" i="3"/>
  <c r="AS245" i="3"/>
  <c r="AS68" i="3"/>
  <c r="AW12" i="156"/>
  <c r="AW295" i="3"/>
  <c r="CE333" i="3"/>
  <c r="CF333" i="3"/>
  <c r="AR75" i="3"/>
  <c r="AS75" i="3"/>
  <c r="CE334" i="3"/>
  <c r="CF334" i="3"/>
  <c r="AS19" i="156"/>
  <c r="AS21" i="3"/>
  <c r="CE339" i="3"/>
  <c r="CF339" i="3"/>
  <c r="CF338" i="3"/>
  <c r="CE338" i="3"/>
  <c r="CC295" i="3"/>
  <c r="CC12" i="156"/>
  <c r="AS187" i="3"/>
  <c r="AS71" i="3"/>
  <c r="AT298" i="3"/>
  <c r="AT299" i="3" s="1"/>
  <c r="AU298" i="3"/>
  <c r="CE337" i="3"/>
  <c r="CF337" i="3"/>
  <c r="AR67" i="156"/>
  <c r="AR20" i="156"/>
  <c r="AR72" i="156"/>
  <c r="AR68" i="156"/>
  <c r="AR65" i="156"/>
  <c r="AR69" i="156"/>
  <c r="AR63" i="156"/>
  <c r="AR66" i="156"/>
  <c r="AR61" i="156"/>
  <c r="AR62" i="156"/>
  <c r="AR64" i="156"/>
  <c r="AS72" i="3"/>
  <c r="AR72" i="3"/>
  <c r="AU305" i="3"/>
  <c r="AT305" i="3"/>
  <c r="AS127" i="3"/>
  <c r="AS67" i="3"/>
  <c r="AQ98" i="3"/>
  <c r="AQ93" i="156"/>
  <c r="CB91" i="3"/>
  <c r="CB86" i="156"/>
  <c r="AP47" i="3"/>
  <c r="AP40" i="156"/>
  <c r="CA88" i="3"/>
  <c r="CA83" i="156"/>
  <c r="CJ201" i="3"/>
  <c r="CI201" i="3"/>
  <c r="AO77" i="156"/>
  <c r="AO82" i="3"/>
  <c r="CF8" i="3"/>
  <c r="CE8" i="3"/>
  <c r="AP76" i="156"/>
  <c r="AP81" i="3"/>
  <c r="AP80" i="156"/>
  <c r="AP85" i="3"/>
  <c r="AQ87" i="156"/>
  <c r="AQ92" i="3"/>
  <c r="CJ151" i="3"/>
  <c r="CI151" i="3"/>
  <c r="CH112" i="3"/>
  <c r="CG112" i="3"/>
  <c r="CB92" i="3"/>
  <c r="CB87" i="156"/>
  <c r="AO88" i="3"/>
  <c r="AO83" i="156"/>
  <c r="CA47" i="3"/>
  <c r="CA40" i="156"/>
  <c r="CB88" i="156"/>
  <c r="CB93" i="3"/>
  <c r="CJ146" i="3"/>
  <c r="CI146" i="3"/>
  <c r="CA77" i="156"/>
  <c r="CA82" i="3"/>
  <c r="AO83" i="3"/>
  <c r="AO78" i="156"/>
  <c r="CA76" i="156"/>
  <c r="CA81" i="3"/>
  <c r="CJ202" i="3"/>
  <c r="CI202" i="3"/>
  <c r="AP83" i="3"/>
  <c r="AP78" i="156"/>
  <c r="AO76" i="156"/>
  <c r="AO81" i="3"/>
  <c r="CB95" i="3"/>
  <c r="CB90" i="156"/>
  <c r="CH176" i="3"/>
  <c r="CG176" i="3"/>
  <c r="CH171" i="3"/>
  <c r="CG171" i="3"/>
  <c r="AQ88" i="156"/>
  <c r="AQ93" i="3"/>
  <c r="CA80" i="156"/>
  <c r="CA85" i="3"/>
  <c r="AN45" i="3"/>
  <c r="AN38" i="156"/>
  <c r="AN46" i="3"/>
  <c r="AN39" i="156"/>
  <c r="AP83" i="156"/>
  <c r="AP88" i="3"/>
  <c r="CA83" i="3"/>
  <c r="CA78" i="156"/>
  <c r="AO40" i="156"/>
  <c r="AO47" i="3"/>
  <c r="X8" i="178"/>
  <c r="Y8" i="178" s="1"/>
  <c r="AO80" i="156"/>
  <c r="AO85" i="3"/>
  <c r="AQ91" i="3"/>
  <c r="AQ86" i="156"/>
  <c r="CH170" i="3"/>
  <c r="CG170" i="3"/>
  <c r="CH119" i="3"/>
  <c r="CG119" i="3"/>
  <c r="AP82" i="3"/>
  <c r="AP77" i="156"/>
  <c r="CM161" i="3"/>
  <c r="CL161" i="3"/>
  <c r="CK161" i="3"/>
  <c r="AQ95" i="3"/>
  <c r="AQ90" i="156"/>
  <c r="CH177" i="3"/>
  <c r="CG177" i="3"/>
  <c r="CJ149" i="3"/>
  <c r="CI149" i="3"/>
  <c r="CB93" i="156"/>
  <c r="CB98" i="3"/>
  <c r="CM139" i="3"/>
  <c r="BP335" i="2" l="1"/>
  <c r="BP338" i="2" s="1"/>
  <c r="BP370" i="2" s="1"/>
  <c r="BQ370" i="2" s="1"/>
  <c r="BL725" i="2"/>
  <c r="BM725" i="2" s="1"/>
  <c r="BP584" i="2"/>
  <c r="BQ584" i="2" s="1"/>
  <c r="BR607" i="2"/>
  <c r="BR328" i="2"/>
  <c r="BR322" i="2"/>
  <c r="BS322" i="2" s="1"/>
  <c r="BS321" i="2"/>
  <c r="BR974" i="2"/>
  <c r="BR627" i="2"/>
  <c r="BS184" i="2"/>
  <c r="BR187" i="2"/>
  <c r="BR10" i="2"/>
  <c r="BV596" i="2"/>
  <c r="BU596" i="2"/>
  <c r="BP614" i="2"/>
  <c r="BQ613" i="2"/>
  <c r="AW707" i="2"/>
  <c r="AX703" i="2"/>
  <c r="BT952" i="2"/>
  <c r="BT660" i="2"/>
  <c r="BU65" i="2"/>
  <c r="BT79" i="2"/>
  <c r="BV65" i="2"/>
  <c r="BT639" i="2"/>
  <c r="BV618" i="2"/>
  <c r="BU618" i="2"/>
  <c r="BO584" i="2"/>
  <c r="BV302" i="2"/>
  <c r="BT861" i="2"/>
  <c r="AV711" i="2"/>
  <c r="AU712" i="2"/>
  <c r="AU733" i="2"/>
  <c r="AV733" i="2" s="1"/>
  <c r="BM703" i="2"/>
  <c r="BP955" i="2"/>
  <c r="BP662" i="2"/>
  <c r="BP200" i="2"/>
  <c r="BQ200" i="2" s="1"/>
  <c r="BQ187" i="2"/>
  <c r="AV880" i="2"/>
  <c r="AU878" i="2"/>
  <c r="AV891" i="2"/>
  <c r="AU903" i="2"/>
  <c r="AV903" i="2" s="1"/>
  <c r="AU904" i="2"/>
  <c r="AV904" i="2" s="1"/>
  <c r="AU905" i="2"/>
  <c r="AV905" i="2" s="1"/>
  <c r="AU985" i="2"/>
  <c r="AW705" i="2"/>
  <c r="AX704" i="2"/>
  <c r="AW587" i="2"/>
  <c r="AW17" i="2"/>
  <c r="BL704" i="2"/>
  <c r="BP329" i="2"/>
  <c r="BO329" i="2"/>
  <c r="BN585" i="2"/>
  <c r="BO585" i="2" s="1"/>
  <c r="BN676" i="2"/>
  <c r="BM676" i="2"/>
  <c r="BV7" i="2"/>
  <c r="BU7" i="2"/>
  <c r="BT9" i="2"/>
  <c r="BT973" i="2"/>
  <c r="BU971" i="2"/>
  <c r="BU681" i="2"/>
  <c r="BV681" i="2"/>
  <c r="BT989" i="2"/>
  <c r="BU989" i="2" s="1"/>
  <c r="BT606" i="2"/>
  <c r="BT182" i="2"/>
  <c r="BT179" i="2"/>
  <c r="BV178" i="2"/>
  <c r="BU178" i="2"/>
  <c r="BU326" i="2"/>
  <c r="BV326" i="2"/>
  <c r="BT581" i="2"/>
  <c r="BP648" i="2"/>
  <c r="BQ648" i="2" s="1"/>
  <c r="BQ627" i="2"/>
  <c r="BR983" i="2"/>
  <c r="BS573" i="2"/>
  <c r="BS983" i="2" s="1"/>
  <c r="BR575" i="2"/>
  <c r="BN330" i="2"/>
  <c r="BS659" i="2"/>
  <c r="BU679" i="2"/>
  <c r="BV679" i="2"/>
  <c r="BU695" i="2"/>
  <c r="BV695" i="2"/>
  <c r="BU303" i="2"/>
  <c r="BV303" i="2"/>
  <c r="BT325" i="2"/>
  <c r="BT319" i="2"/>
  <c r="BT320" i="2"/>
  <c r="BT324" i="2"/>
  <c r="BT323" i="2"/>
  <c r="AW725" i="2"/>
  <c r="AX725" i="2" s="1"/>
  <c r="BQ10" i="2"/>
  <c r="BQ974" i="2"/>
  <c r="BS954" i="2"/>
  <c r="BS864" i="2"/>
  <c r="BT617" i="2"/>
  <c r="BT146" i="2"/>
  <c r="BV143" i="2"/>
  <c r="BU143" i="2"/>
  <c r="AT712" i="2"/>
  <c r="AS832" i="2"/>
  <c r="BV78" i="2"/>
  <c r="BU78" i="2"/>
  <c r="BV308" i="2"/>
  <c r="BU308" i="2"/>
  <c r="BR582" i="2"/>
  <c r="BS582" i="2" s="1"/>
  <c r="BS578" i="2"/>
  <c r="CL139" i="3"/>
  <c r="CM141" i="3"/>
  <c r="CK139" i="3"/>
  <c r="CJ257" i="3"/>
  <c r="CI257" i="3"/>
  <c r="CC11" i="3"/>
  <c r="CD11" i="3"/>
  <c r="CC248" i="3"/>
  <c r="CM273" i="3"/>
  <c r="CK273" i="3"/>
  <c r="CL273" i="3"/>
  <c r="CK272" i="3"/>
  <c r="CL272" i="3"/>
  <c r="CM272" i="3"/>
  <c r="CG264" i="3"/>
  <c r="CH264" i="3"/>
  <c r="X34" i="178"/>
  <c r="X35" i="178" s="1"/>
  <c r="Y35" i="178" s="1"/>
  <c r="AR77" i="3"/>
  <c r="AR78" i="3" s="1"/>
  <c r="CF178" i="3"/>
  <c r="CE178" i="3"/>
  <c r="CF175" i="3"/>
  <c r="CE175" i="3"/>
  <c r="CL219" i="3"/>
  <c r="CK219" i="3"/>
  <c r="CG221" i="3"/>
  <c r="CG218" i="3"/>
  <c r="CH218" i="3"/>
  <c r="CM214" i="3"/>
  <c r="CL214" i="3"/>
  <c r="CK214" i="3"/>
  <c r="AR73" i="156"/>
  <c r="CE285" i="3"/>
  <c r="CF285" i="3"/>
  <c r="CE289" i="3"/>
  <c r="CF289" i="3"/>
  <c r="CD10" i="156"/>
  <c r="CE291" i="3"/>
  <c r="CF291" i="3"/>
  <c r="CH334" i="3"/>
  <c r="CG334" i="3"/>
  <c r="AR25" i="3"/>
  <c r="AR23" i="156"/>
  <c r="AR27" i="3"/>
  <c r="AS27" i="3"/>
  <c r="CH330" i="3"/>
  <c r="CG330" i="3"/>
  <c r="AS22" i="156"/>
  <c r="AS24" i="3"/>
  <c r="CG337" i="3"/>
  <c r="CH337" i="3"/>
  <c r="AU12" i="3"/>
  <c r="AT12" i="3"/>
  <c r="CF290" i="3"/>
  <c r="CE290" i="3"/>
  <c r="CF286" i="3"/>
  <c r="CE286" i="3"/>
  <c r="CG333" i="3"/>
  <c r="CH333" i="3"/>
  <c r="CD296" i="3"/>
  <c r="CC296" i="3"/>
  <c r="CG321" i="3"/>
  <c r="CH321" i="3"/>
  <c r="AW10" i="156"/>
  <c r="CD12" i="156"/>
  <c r="CD295" i="3"/>
  <c r="CG338" i="3"/>
  <c r="CH338" i="3"/>
  <c r="CH339" i="3"/>
  <c r="CG339" i="3"/>
  <c r="CH340" i="3"/>
  <c r="CG340" i="3"/>
  <c r="CM142" i="3"/>
  <c r="CL142" i="3"/>
  <c r="CK142" i="3"/>
  <c r="AO46" i="3"/>
  <c r="AO39" i="156"/>
  <c r="AQ78" i="156"/>
  <c r="AQ83" i="3"/>
  <c r="CB76" i="156"/>
  <c r="CB81" i="3"/>
  <c r="CJ117" i="3"/>
  <c r="CI117" i="3"/>
  <c r="AN94" i="3"/>
  <c r="AN89" i="156"/>
  <c r="CG121" i="3"/>
  <c r="CG8" i="156"/>
  <c r="CJ209" i="3"/>
  <c r="CI209" i="3"/>
  <c r="CB83" i="156"/>
  <c r="CB88" i="3"/>
  <c r="AQ47" i="3"/>
  <c r="AQ40" i="156"/>
  <c r="AQ82" i="3"/>
  <c r="AQ77" i="156"/>
  <c r="CB83" i="3"/>
  <c r="CB78" i="156"/>
  <c r="CB80" i="156"/>
  <c r="CB85" i="3"/>
  <c r="CJ211" i="3"/>
  <c r="CI211" i="3"/>
  <c r="CB82" i="3"/>
  <c r="CB77" i="156"/>
  <c r="CJ118" i="3"/>
  <c r="CI118" i="3"/>
  <c r="CJ116" i="3"/>
  <c r="CI116" i="3"/>
  <c r="AN84" i="3"/>
  <c r="AN79" i="156"/>
  <c r="CA46" i="3"/>
  <c r="CA39" i="156"/>
  <c r="CL141" i="3"/>
  <c r="AP45" i="3"/>
  <c r="AP38" i="156"/>
  <c r="CH172" i="3"/>
  <c r="CG172" i="3"/>
  <c r="AQ83" i="156"/>
  <c r="AQ88" i="3"/>
  <c r="CJ115" i="3"/>
  <c r="CI115" i="3"/>
  <c r="CJ110" i="3"/>
  <c r="CI110" i="3"/>
  <c r="AN81" i="156"/>
  <c r="AN86" i="3"/>
  <c r="AQ81" i="3"/>
  <c r="AQ76" i="156"/>
  <c r="CJ204" i="3"/>
  <c r="CI204" i="3"/>
  <c r="AP39" i="156"/>
  <c r="AP46" i="3"/>
  <c r="AO45" i="3"/>
  <c r="AO38" i="156"/>
  <c r="CJ111" i="3"/>
  <c r="CI111" i="3"/>
  <c r="CB40" i="156"/>
  <c r="CB47" i="3"/>
  <c r="AN91" i="156"/>
  <c r="AN96" i="3"/>
  <c r="AQ85" i="3"/>
  <c r="AQ80" i="156"/>
  <c r="V66" i="178"/>
  <c r="CA45" i="3"/>
  <c r="CA38" i="156"/>
  <c r="BT321" i="2" l="1"/>
  <c r="BV319" i="2"/>
  <c r="BU319" i="2"/>
  <c r="BT573" i="2"/>
  <c r="BS575" i="2"/>
  <c r="BR584" i="2"/>
  <c r="BU179" i="2"/>
  <c r="BV179" i="2"/>
  <c r="BU973" i="2"/>
  <c r="BR329" i="2"/>
  <c r="BQ329" i="2"/>
  <c r="BP585" i="2"/>
  <c r="BP330" i="2"/>
  <c r="BQ955" i="2"/>
  <c r="AV712" i="2"/>
  <c r="AU832" i="2"/>
  <c r="BV79" i="2"/>
  <c r="BU79" i="2"/>
  <c r="BR955" i="2"/>
  <c r="BR662" i="2"/>
  <c r="BR200" i="2"/>
  <c r="BS200" i="2" s="1"/>
  <c r="BS187" i="2"/>
  <c r="BT327" i="2"/>
  <c r="BV323" i="2"/>
  <c r="BU323" i="2"/>
  <c r="BT578" i="2"/>
  <c r="BV325" i="2"/>
  <c r="BU325" i="2"/>
  <c r="BT580" i="2"/>
  <c r="BU182" i="2"/>
  <c r="BT199" i="2"/>
  <c r="BT197" i="2"/>
  <c r="BV182" i="2"/>
  <c r="BT183" i="2"/>
  <c r="BV9" i="2"/>
  <c r="BU9" i="2"/>
  <c r="BP676" i="2"/>
  <c r="BO676" i="2"/>
  <c r="BM704" i="2"/>
  <c r="BL705" i="2"/>
  <c r="BL587" i="2"/>
  <c r="BL17" i="2"/>
  <c r="AW948" i="2"/>
  <c r="AX705" i="2"/>
  <c r="BL707" i="2"/>
  <c r="BV639" i="2"/>
  <c r="BU639" i="2"/>
  <c r="AW845" i="2"/>
  <c r="AW731" i="2"/>
  <c r="AW709" i="2"/>
  <c r="AX707" i="2"/>
  <c r="AW736" i="2"/>
  <c r="AX736" i="2" s="1"/>
  <c r="BT659" i="2"/>
  <c r="BV146" i="2"/>
  <c r="BU146" i="2"/>
  <c r="BT148" i="2"/>
  <c r="BV148" i="2" s="1"/>
  <c r="BV324" i="2"/>
  <c r="BU324" i="2"/>
  <c r="BT579" i="2"/>
  <c r="BV606" i="2"/>
  <c r="BU606" i="2"/>
  <c r="AX17" i="2"/>
  <c r="AW18" i="2"/>
  <c r="AX18" i="2" s="1"/>
  <c r="AW20" i="2"/>
  <c r="BT879" i="2"/>
  <c r="BU861" i="2"/>
  <c r="BV861" i="2"/>
  <c r="BT863" i="2"/>
  <c r="BN586" i="2"/>
  <c r="BU660" i="2"/>
  <c r="BV660" i="2"/>
  <c r="BR648" i="2"/>
  <c r="BS648" i="2" s="1"/>
  <c r="BS627" i="2"/>
  <c r="BR372" i="2"/>
  <c r="BS372" i="2" s="1"/>
  <c r="BR332" i="2"/>
  <c r="BS332" i="2" s="1"/>
  <c r="BR369" i="2"/>
  <c r="BS369" i="2" s="1"/>
  <c r="BS328" i="2"/>
  <c r="BR330" i="2"/>
  <c r="BT638" i="2"/>
  <c r="BV617" i="2"/>
  <c r="BU617" i="2"/>
  <c r="BV320" i="2"/>
  <c r="BU320" i="2"/>
  <c r="BT574" i="2"/>
  <c r="BN975" i="2"/>
  <c r="BN628" i="2"/>
  <c r="BN339" i="2"/>
  <c r="BN351" i="2"/>
  <c r="BO351" i="2" s="1"/>
  <c r="BO330" i="2"/>
  <c r="BN11" i="2"/>
  <c r="BV581" i="2"/>
  <c r="BU581" i="2"/>
  <c r="AX587" i="2"/>
  <c r="AW588" i="2"/>
  <c r="AX588" i="2" s="1"/>
  <c r="AW589" i="2"/>
  <c r="AX589" i="2" s="1"/>
  <c r="AV878" i="2"/>
  <c r="AU938" i="2"/>
  <c r="AV938" i="2" s="1"/>
  <c r="AU936" i="2"/>
  <c r="AV936" i="2" s="1"/>
  <c r="AU926" i="2"/>
  <c r="AV926" i="2" s="1"/>
  <c r="AU924" i="2"/>
  <c r="AV924" i="2" s="1"/>
  <c r="BQ662" i="2"/>
  <c r="BT954" i="2"/>
  <c r="BU952" i="2"/>
  <c r="BS10" i="2"/>
  <c r="BS974" i="2"/>
  <c r="BS607" i="2"/>
  <c r="BR613" i="2"/>
  <c r="CK141" i="3"/>
  <c r="CM144" i="3"/>
  <c r="CI260" i="3"/>
  <c r="CJ269" i="3"/>
  <c r="CJ260" i="3"/>
  <c r="CI259" i="3"/>
  <c r="CJ259" i="3"/>
  <c r="CG230" i="3"/>
  <c r="CH230" i="3"/>
  <c r="CE248" i="3"/>
  <c r="CH231" i="3"/>
  <c r="CG231" i="3"/>
  <c r="CD248" i="3"/>
  <c r="W16" i="178"/>
  <c r="CI221" i="3"/>
  <c r="CJ221" i="3"/>
  <c r="CH178" i="3"/>
  <c r="CG178" i="3"/>
  <c r="CG175" i="3"/>
  <c r="CH175" i="3"/>
  <c r="CM221" i="3"/>
  <c r="CH221" i="3"/>
  <c r="X11" i="178"/>
  <c r="X12" i="178" s="1"/>
  <c r="Y12" i="178" s="1"/>
  <c r="CE179" i="3"/>
  <c r="CF179" i="3"/>
  <c r="CJ218" i="3"/>
  <c r="CI218" i="3"/>
  <c r="CG291" i="3"/>
  <c r="CI314" i="3"/>
  <c r="CJ314" i="3"/>
  <c r="CH325" i="3"/>
  <c r="CG325" i="3"/>
  <c r="AU19" i="3"/>
  <c r="AT19" i="3"/>
  <c r="AR39" i="3"/>
  <c r="AR32" i="156"/>
  <c r="CF287" i="3"/>
  <c r="CE287" i="3"/>
  <c r="AW305" i="3"/>
  <c r="AV305" i="3"/>
  <c r="CI337" i="3"/>
  <c r="CJ337" i="3"/>
  <c r="CD305" i="3"/>
  <c r="CC305" i="3"/>
  <c r="CI338" i="3"/>
  <c r="CJ338" i="3"/>
  <c r="AV298" i="3"/>
  <c r="AV299" i="3" s="1"/>
  <c r="AW298" i="3"/>
  <c r="AR25" i="156"/>
  <c r="AS25" i="156"/>
  <c r="CI333" i="3"/>
  <c r="CJ333" i="3"/>
  <c r="AR29" i="156"/>
  <c r="AR36" i="3"/>
  <c r="AS28" i="3"/>
  <c r="AR28" i="3"/>
  <c r="CJ334" i="3"/>
  <c r="CI334" i="3"/>
  <c r="CD298" i="3"/>
  <c r="CC298" i="3"/>
  <c r="CC299" i="3" s="1"/>
  <c r="CG323" i="3"/>
  <c r="AS25" i="3"/>
  <c r="AS23" i="156"/>
  <c r="CH286" i="3"/>
  <c r="CG286" i="3"/>
  <c r="CJ340" i="3"/>
  <c r="CI340" i="3"/>
  <c r="CI339" i="3"/>
  <c r="CJ339" i="3"/>
  <c r="W44" i="178"/>
  <c r="CJ112" i="3"/>
  <c r="CI112" i="3"/>
  <c r="CJ119" i="3"/>
  <c r="CI119" i="3"/>
  <c r="AP79" i="156"/>
  <c r="AP84" i="3"/>
  <c r="CA81" i="156"/>
  <c r="CA86" i="3"/>
  <c r="CB45" i="3"/>
  <c r="CB38" i="156"/>
  <c r="CJ206" i="3"/>
  <c r="CI206" i="3"/>
  <c r="AP89" i="156"/>
  <c r="AP94" i="3"/>
  <c r="CA89" i="156"/>
  <c r="CA94" i="3"/>
  <c r="CH121" i="3"/>
  <c r="CH8" i="156"/>
  <c r="AO89" i="156"/>
  <c r="AO94" i="3"/>
  <c r="AQ46" i="3"/>
  <c r="AQ39" i="156"/>
  <c r="AP96" i="3"/>
  <c r="AP91" i="156"/>
  <c r="AQ38" i="156"/>
  <c r="AQ45" i="3"/>
  <c r="CM149" i="3"/>
  <c r="CL149" i="3"/>
  <c r="CK149" i="3"/>
  <c r="CA96" i="3"/>
  <c r="CA91" i="156"/>
  <c r="AO84" i="3"/>
  <c r="AO79" i="156"/>
  <c r="CH123" i="3"/>
  <c r="CG123" i="3"/>
  <c r="CG124" i="3" s="1"/>
  <c r="AO96" i="3"/>
  <c r="AO91" i="156"/>
  <c r="CL199" i="3"/>
  <c r="CM199" i="3"/>
  <c r="CK199" i="3"/>
  <c r="AO81" i="156"/>
  <c r="AO86" i="3"/>
  <c r="AP86" i="3"/>
  <c r="AP81" i="156"/>
  <c r="CB46" i="3"/>
  <c r="CB39" i="156"/>
  <c r="CA84" i="3"/>
  <c r="CA79" i="156"/>
  <c r="CH130" i="3"/>
  <c r="CG130" i="3"/>
  <c r="CL151" i="3"/>
  <c r="CM151" i="3"/>
  <c r="CK151" i="3"/>
  <c r="BO11" i="2" l="1"/>
  <c r="BN16" i="2"/>
  <c r="BN649" i="2"/>
  <c r="BO649" i="2" s="1"/>
  <c r="BO628" i="2"/>
  <c r="BN634" i="2"/>
  <c r="BN674" i="2"/>
  <c r="BV579" i="2"/>
  <c r="BU579" i="2"/>
  <c r="BL845" i="2"/>
  <c r="BL731" i="2"/>
  <c r="BL709" i="2"/>
  <c r="BM707" i="2"/>
  <c r="BL836" i="2"/>
  <c r="BM836" i="2" s="1"/>
  <c r="BL588" i="2"/>
  <c r="BM588" i="2" s="1"/>
  <c r="BM587" i="2"/>
  <c r="BL589" i="2"/>
  <c r="BM589" i="2" s="1"/>
  <c r="BV197" i="2"/>
  <c r="BU197" i="2"/>
  <c r="BO975" i="2"/>
  <c r="BN980" i="2"/>
  <c r="BO980" i="2" s="1"/>
  <c r="BR975" i="2"/>
  <c r="BR628" i="2"/>
  <c r="BR339" i="2"/>
  <c r="BR351" i="2"/>
  <c r="BS330" i="2"/>
  <c r="BR11" i="2"/>
  <c r="AW967" i="2"/>
  <c r="AW850" i="2"/>
  <c r="AW738" i="2"/>
  <c r="AX738" i="2" s="1"/>
  <c r="AX709" i="2"/>
  <c r="AW836" i="2"/>
  <c r="AX836" i="2" s="1"/>
  <c r="BL948" i="2"/>
  <c r="BM948" i="2" s="1"/>
  <c r="BM705" i="2"/>
  <c r="BV183" i="2"/>
  <c r="BU183" i="2"/>
  <c r="BV327" i="2"/>
  <c r="BU327" i="2"/>
  <c r="BS613" i="2"/>
  <c r="BR614" i="2"/>
  <c r="BN956" i="2"/>
  <c r="BN663" i="2"/>
  <c r="BN374" i="2"/>
  <c r="BN373" i="2"/>
  <c r="BN357" i="2"/>
  <c r="BO357" i="2" s="1"/>
  <c r="BN354" i="2"/>
  <c r="BO354" i="2" s="1"/>
  <c r="BN356" i="2"/>
  <c r="BO356" i="2" s="1"/>
  <c r="BO339" i="2"/>
  <c r="BU863" i="2"/>
  <c r="BT864" i="2"/>
  <c r="BV863" i="2"/>
  <c r="AW21" i="2"/>
  <c r="AX20" i="2"/>
  <c r="AW939" i="2"/>
  <c r="AX939" i="2" s="1"/>
  <c r="AW927" i="2"/>
  <c r="AX927" i="2" s="1"/>
  <c r="AW848" i="2"/>
  <c r="AX848" i="2" s="1"/>
  <c r="AX731" i="2"/>
  <c r="AW837" i="2"/>
  <c r="AX837" i="2" s="1"/>
  <c r="AW884" i="2"/>
  <c r="AW887" i="2"/>
  <c r="BL18" i="2"/>
  <c r="BM18" i="2" s="1"/>
  <c r="BM17" i="2"/>
  <c r="BL20" i="2"/>
  <c r="BT184" i="2"/>
  <c r="BV580" i="2"/>
  <c r="BU580" i="2"/>
  <c r="BS329" i="2"/>
  <c r="BR585" i="2"/>
  <c r="BS585" i="2" s="1"/>
  <c r="BU638" i="2"/>
  <c r="BV638" i="2"/>
  <c r="AW1043" i="2"/>
  <c r="AX845" i="2"/>
  <c r="AW22" i="2"/>
  <c r="AX22" i="2" s="1"/>
  <c r="AW818" i="2"/>
  <c r="AX818" i="2" s="1"/>
  <c r="BS662" i="2"/>
  <c r="BP975" i="2"/>
  <c r="BP628" i="2"/>
  <c r="BP351" i="2"/>
  <c r="BQ351" i="2" s="1"/>
  <c r="BP339" i="2"/>
  <c r="BQ330" i="2"/>
  <c r="BP11" i="2"/>
  <c r="BS584" i="2"/>
  <c r="BR335" i="2"/>
  <c r="BR338" i="2" s="1"/>
  <c r="BR370" i="2" s="1"/>
  <c r="BS370" i="2" s="1"/>
  <c r="BR676" i="2"/>
  <c r="BQ676" i="2"/>
  <c r="BU199" i="2"/>
  <c r="BV199" i="2"/>
  <c r="BS955" i="2"/>
  <c r="BQ585" i="2"/>
  <c r="BP586" i="2"/>
  <c r="BT607" i="2"/>
  <c r="BV321" i="2"/>
  <c r="BT322" i="2"/>
  <c r="BU321" i="2"/>
  <c r="BT328" i="2"/>
  <c r="BT329" i="2" s="1"/>
  <c r="BU954" i="2"/>
  <c r="BV574" i="2"/>
  <c r="BU574" i="2"/>
  <c r="BN591" i="2"/>
  <c r="BO586" i="2"/>
  <c r="BU879" i="2"/>
  <c r="BV879" i="2"/>
  <c r="BV659" i="2"/>
  <c r="BU659" i="2"/>
  <c r="BV578" i="2"/>
  <c r="BU578" i="2"/>
  <c r="BT582" i="2"/>
  <c r="BT983" i="2"/>
  <c r="BT575" i="2"/>
  <c r="BV573" i="2"/>
  <c r="BU573" i="2"/>
  <c r="BU983" i="2" s="1"/>
  <c r="CH291" i="3"/>
  <c r="CL146" i="3"/>
  <c r="CK144" i="3"/>
  <c r="CL144" i="3"/>
  <c r="CI269" i="3"/>
  <c r="CI262" i="3"/>
  <c r="CJ262" i="3"/>
  <c r="CE276" i="3"/>
  <c r="CF276" i="3"/>
  <c r="CG248" i="3"/>
  <c r="CJ267" i="3"/>
  <c r="CI267" i="3"/>
  <c r="CF248" i="3"/>
  <c r="CG232" i="3"/>
  <c r="CH232" i="3"/>
  <c r="CH179" i="3"/>
  <c r="CG179" i="3"/>
  <c r="CE181" i="3"/>
  <c r="CE9" i="156"/>
  <c r="CE10" i="156" s="1"/>
  <c r="CK218" i="3"/>
  <c r="CM218" i="3"/>
  <c r="CL218" i="3"/>
  <c r="X16" i="178"/>
  <c r="Y16" i="178" s="1"/>
  <c r="CG290" i="3"/>
  <c r="CH285" i="3"/>
  <c r="CG285" i="3"/>
  <c r="CH290" i="3"/>
  <c r="W45" i="178"/>
  <c r="CL338" i="3"/>
  <c r="CK338" i="3"/>
  <c r="CM338" i="3"/>
  <c r="CL118" i="3"/>
  <c r="CK339" i="3"/>
  <c r="CM339" i="3"/>
  <c r="CL339" i="3"/>
  <c r="AS36" i="3"/>
  <c r="AS29" i="156"/>
  <c r="AS32" i="156"/>
  <c r="AS39" i="3"/>
  <c r="CG289" i="3"/>
  <c r="CH289" i="3"/>
  <c r="AT456" i="3"/>
  <c r="AT76" i="3"/>
  <c r="AT68" i="3"/>
  <c r="AT245" i="3"/>
  <c r="CK333" i="3"/>
  <c r="CL333" i="3"/>
  <c r="CM333" i="3"/>
  <c r="AR34" i="156"/>
  <c r="AR35" i="156" s="1"/>
  <c r="AR41" i="3"/>
  <c r="AR42" i="3" s="1"/>
  <c r="AT367" i="3"/>
  <c r="AT73" i="3"/>
  <c r="CK146" i="3"/>
  <c r="CC12" i="3"/>
  <c r="CD12" i="3"/>
  <c r="CJ317" i="3"/>
  <c r="CI317" i="3"/>
  <c r="AV12" i="3"/>
  <c r="AW12" i="3"/>
  <c r="AR97" i="3"/>
  <c r="AR92" i="156"/>
  <c r="AT19" i="156"/>
  <c r="AT21" i="3"/>
  <c r="AT22" i="3" s="1"/>
  <c r="AT74" i="3"/>
  <c r="AU74" i="3"/>
  <c r="AT69" i="3"/>
  <c r="AT302" i="3"/>
  <c r="CJ329" i="3"/>
  <c r="CI329" i="3"/>
  <c r="AT71" i="3"/>
  <c r="AT187" i="3"/>
  <c r="CJ321" i="3"/>
  <c r="CI321" i="3"/>
  <c r="CF292" i="3"/>
  <c r="CE292" i="3"/>
  <c r="CM340" i="3"/>
  <c r="CL340" i="3"/>
  <c r="CK340" i="3"/>
  <c r="CK334" i="3"/>
  <c r="CM334" i="3"/>
  <c r="CL334" i="3"/>
  <c r="AR31" i="3"/>
  <c r="AR32" i="3" s="1"/>
  <c r="AS31" i="3"/>
  <c r="AR37" i="3"/>
  <c r="AR44" i="156"/>
  <c r="AR51" i="3"/>
  <c r="AR30" i="156"/>
  <c r="AR26" i="156"/>
  <c r="CL337" i="3"/>
  <c r="CK337" i="3"/>
  <c r="CM337" i="3"/>
  <c r="AR87" i="3"/>
  <c r="AR82" i="156"/>
  <c r="AT67" i="3"/>
  <c r="AT127" i="3"/>
  <c r="CG287" i="3"/>
  <c r="CH287" i="3"/>
  <c r="CM201" i="3"/>
  <c r="CL201" i="3"/>
  <c r="CK201" i="3"/>
  <c r="CL202" i="3"/>
  <c r="CM202" i="3"/>
  <c r="CK202" i="3"/>
  <c r="AQ94" i="3"/>
  <c r="AQ89" i="156"/>
  <c r="CJ177" i="3"/>
  <c r="CI177" i="3"/>
  <c r="CJ171" i="3"/>
  <c r="CI171" i="3"/>
  <c r="CB79" i="156"/>
  <c r="CB84" i="3"/>
  <c r="CH8" i="3"/>
  <c r="CG8" i="3"/>
  <c r="CB96" i="3"/>
  <c r="CB91" i="156"/>
  <c r="CB89" i="156"/>
  <c r="CB94" i="3"/>
  <c r="CJ176" i="3"/>
  <c r="CI176" i="3"/>
  <c r="AQ79" i="156"/>
  <c r="AQ84" i="3"/>
  <c r="AQ86" i="3"/>
  <c r="AQ81" i="156"/>
  <c r="CJ175" i="3"/>
  <c r="CI175" i="3"/>
  <c r="CJ170" i="3"/>
  <c r="CI170" i="3"/>
  <c r="CB86" i="3"/>
  <c r="CB81" i="156"/>
  <c r="CI8" i="156"/>
  <c r="CI121" i="3"/>
  <c r="AQ91" i="156"/>
  <c r="AQ96" i="3"/>
  <c r="CJ178" i="3"/>
  <c r="CI178" i="3"/>
  <c r="BR586" i="2" l="1"/>
  <c r="BR591" i="2" s="1"/>
  <c r="BV329" i="2"/>
  <c r="BU329" i="2"/>
  <c r="BT585" i="2"/>
  <c r="BT584" i="2"/>
  <c r="BV575" i="2"/>
  <c r="BU575" i="2"/>
  <c r="BV607" i="2"/>
  <c r="BU607" i="2"/>
  <c r="BT613" i="2"/>
  <c r="BS11" i="2"/>
  <c r="BR16" i="2"/>
  <c r="BQ975" i="2"/>
  <c r="BP980" i="2"/>
  <c r="BQ980" i="2" s="1"/>
  <c r="BM20" i="2"/>
  <c r="BL21" i="2"/>
  <c r="BL884" i="2"/>
  <c r="AX884" i="2"/>
  <c r="BV864" i="2"/>
  <c r="BU864" i="2"/>
  <c r="BO663" i="2"/>
  <c r="BN668" i="2"/>
  <c r="BR956" i="2"/>
  <c r="BR663" i="2"/>
  <c r="BR354" i="2"/>
  <c r="BR374" i="2"/>
  <c r="BR357" i="2"/>
  <c r="BR373" i="2"/>
  <c r="BR356" i="2"/>
  <c r="BS339" i="2"/>
  <c r="BL967" i="2"/>
  <c r="BL738" i="2"/>
  <c r="BM738" i="2" s="1"/>
  <c r="BM709" i="2"/>
  <c r="BL736" i="2"/>
  <c r="BM736" i="2" s="1"/>
  <c r="BT372" i="2"/>
  <c r="BT369" i="2"/>
  <c r="BT330" i="2"/>
  <c r="BV328" i="2"/>
  <c r="BU328" i="2"/>
  <c r="BT332" i="2"/>
  <c r="BU332" i="2" s="1"/>
  <c r="BQ586" i="2"/>
  <c r="BP591" i="2"/>
  <c r="AW968" i="2"/>
  <c r="AW852" i="2"/>
  <c r="AX850" i="2"/>
  <c r="AW23" i="2"/>
  <c r="AX23" i="2" s="1"/>
  <c r="BS975" i="2"/>
  <c r="BR980" i="2"/>
  <c r="BL1043" i="2"/>
  <c r="BM845" i="2"/>
  <c r="BL850" i="2"/>
  <c r="BL22" i="2"/>
  <c r="BM22" i="2" s="1"/>
  <c r="BL818" i="2"/>
  <c r="BM818" i="2" s="1"/>
  <c r="BN694" i="2"/>
  <c r="BO694" i="2" s="1"/>
  <c r="BO674" i="2"/>
  <c r="BN675" i="2"/>
  <c r="BO16" i="2"/>
  <c r="BS676" i="2"/>
  <c r="BT676" i="2"/>
  <c r="BP956" i="2"/>
  <c r="BP663" i="2"/>
  <c r="BP357" i="2"/>
  <c r="BQ357" i="2" s="1"/>
  <c r="BP374" i="2"/>
  <c r="BP356" i="2"/>
  <c r="BQ356" i="2" s="1"/>
  <c r="BP354" i="2"/>
  <c r="BQ354" i="2" s="1"/>
  <c r="BQ339" i="2"/>
  <c r="BP373" i="2"/>
  <c r="BO956" i="2"/>
  <c r="BN961" i="2"/>
  <c r="BR649" i="2"/>
  <c r="BS628" i="2"/>
  <c r="BR634" i="2"/>
  <c r="BR674" i="2"/>
  <c r="BL939" i="2"/>
  <c r="BM939" i="2" s="1"/>
  <c r="BL927" i="2"/>
  <c r="BM927" i="2" s="1"/>
  <c r="BL848" i="2"/>
  <c r="BM848" i="2" s="1"/>
  <c r="BM731" i="2"/>
  <c r="BL837" i="2"/>
  <c r="BM837" i="2" s="1"/>
  <c r="BV582" i="2"/>
  <c r="BU582" i="2"/>
  <c r="BU322" i="2"/>
  <c r="BV322" i="2"/>
  <c r="BQ11" i="2"/>
  <c r="BP16" i="2"/>
  <c r="BP649" i="2"/>
  <c r="BQ649" i="2" s="1"/>
  <c r="BQ628" i="2"/>
  <c r="BP634" i="2"/>
  <c r="BP674" i="2"/>
  <c r="BT974" i="2"/>
  <c r="BT627" i="2"/>
  <c r="BT187" i="2"/>
  <c r="BV184" i="2"/>
  <c r="BU184" i="2"/>
  <c r="BT10" i="2"/>
  <c r="AW940" i="2"/>
  <c r="AW937" i="2"/>
  <c r="AX937" i="2" s="1"/>
  <c r="AW883" i="2"/>
  <c r="AW890" i="2"/>
  <c r="AW889" i="2"/>
  <c r="BL887" i="2"/>
  <c r="AX887" i="2"/>
  <c r="AW932" i="2"/>
  <c r="AX932" i="2" s="1"/>
  <c r="AW931" i="2"/>
  <c r="AX931" i="2" s="1"/>
  <c r="AW935" i="2"/>
  <c r="AX935" i="2" s="1"/>
  <c r="AW934" i="2"/>
  <c r="AX934" i="2" s="1"/>
  <c r="AW933" i="2"/>
  <c r="AX933" i="2" s="1"/>
  <c r="BS351" i="2"/>
  <c r="BN987" i="2"/>
  <c r="BO987" i="2" s="1"/>
  <c r="BN981" i="2"/>
  <c r="BN656" i="2"/>
  <c r="BO656" i="2" s="1"/>
  <c r="BN635" i="2"/>
  <c r="BO634" i="2"/>
  <c r="CM111" i="3"/>
  <c r="CL115" i="3"/>
  <c r="CM146" i="3"/>
  <c r="CL117" i="3"/>
  <c r="CI248" i="3"/>
  <c r="CH248" i="3"/>
  <c r="CM257" i="3"/>
  <c r="CK257" i="3"/>
  <c r="CL257" i="3"/>
  <c r="CH276" i="3"/>
  <c r="CG276" i="3"/>
  <c r="CJ264" i="3"/>
  <c r="CI264" i="3"/>
  <c r="CF235" i="3"/>
  <c r="CF236" i="3" s="1"/>
  <c r="CE235" i="3"/>
  <c r="CE236" i="3" s="1"/>
  <c r="CE190" i="3"/>
  <c r="CF190" i="3"/>
  <c r="CF183" i="3"/>
  <c r="CE183" i="3"/>
  <c r="CE184" i="3" s="1"/>
  <c r="CK221" i="3"/>
  <c r="CL221" i="3"/>
  <c r="CF181" i="3"/>
  <c r="CF9" i="156"/>
  <c r="CH181" i="3"/>
  <c r="CG9" i="156"/>
  <c r="CG10" i="156" s="1"/>
  <c r="CM10" i="156" s="1"/>
  <c r="CG181" i="3"/>
  <c r="AR34" i="3"/>
  <c r="CM110" i="3"/>
  <c r="CK110" i="3"/>
  <c r="CK116" i="3"/>
  <c r="CK118" i="3"/>
  <c r="CL116" i="3"/>
  <c r="CM118" i="3"/>
  <c r="CM116" i="3"/>
  <c r="AT77" i="3"/>
  <c r="AT78" i="3" s="1"/>
  <c r="CE293" i="3"/>
  <c r="CF293" i="3"/>
  <c r="AR86" i="156"/>
  <c r="AR91" i="3"/>
  <c r="AR98" i="3"/>
  <c r="AR93" i="156"/>
  <c r="CL110" i="3"/>
  <c r="CK111" i="3"/>
  <c r="AU67" i="3"/>
  <c r="AU127" i="3"/>
  <c r="CK314" i="3"/>
  <c r="CL314" i="3"/>
  <c r="CM314" i="3"/>
  <c r="AR87" i="156"/>
  <c r="AR92" i="3"/>
  <c r="AT75" i="3"/>
  <c r="AU75" i="3"/>
  <c r="AU19" i="156"/>
  <c r="AU21" i="3"/>
  <c r="AU73" i="3"/>
  <c r="AU367" i="3"/>
  <c r="AS41" i="3"/>
  <c r="AS34" i="156"/>
  <c r="AU245" i="3"/>
  <c r="AU68" i="3"/>
  <c r="AU76" i="3"/>
  <c r="AU456" i="3"/>
  <c r="CI325" i="3"/>
  <c r="CJ325" i="3"/>
  <c r="AU187" i="3"/>
  <c r="AU71" i="3"/>
  <c r="AU69" i="3"/>
  <c r="AU302" i="3"/>
  <c r="AT69" i="156"/>
  <c r="AT64" i="156"/>
  <c r="AT61" i="156"/>
  <c r="AT72" i="156"/>
  <c r="AT68" i="156"/>
  <c r="AT62" i="156"/>
  <c r="AT66" i="156"/>
  <c r="AT65" i="156"/>
  <c r="AT67" i="156"/>
  <c r="AT20" i="156"/>
  <c r="AT63" i="156"/>
  <c r="AW19" i="3"/>
  <c r="AV19" i="3"/>
  <c r="CI330" i="3"/>
  <c r="CJ330" i="3"/>
  <c r="AS87" i="3"/>
  <c r="AS82" i="156"/>
  <c r="AS51" i="3"/>
  <c r="AS44" i="156"/>
  <c r="CI323" i="3"/>
  <c r="AT72" i="3"/>
  <c r="AU72" i="3"/>
  <c r="AR93" i="3"/>
  <c r="AR88" i="156"/>
  <c r="AR95" i="3"/>
  <c r="AR90" i="156"/>
  <c r="CH292" i="3"/>
  <c r="CG292" i="3"/>
  <c r="AS97" i="3"/>
  <c r="AS92" i="156"/>
  <c r="CC19" i="3"/>
  <c r="CD19" i="3" s="1"/>
  <c r="W46" i="178"/>
  <c r="AU70" i="3"/>
  <c r="AT70" i="3"/>
  <c r="AT22" i="156"/>
  <c r="AT24" i="3"/>
  <c r="CL204" i="3"/>
  <c r="CM204" i="3"/>
  <c r="CK204" i="3"/>
  <c r="CJ123" i="3"/>
  <c r="CI123" i="3"/>
  <c r="CI124" i="3" s="1"/>
  <c r="CJ130" i="3"/>
  <c r="CI130" i="3"/>
  <c r="CM209" i="3"/>
  <c r="CL209" i="3"/>
  <c r="CK209" i="3"/>
  <c r="CJ8" i="156"/>
  <c r="CJ121" i="3"/>
  <c r="CJ172" i="3"/>
  <c r="CI172" i="3"/>
  <c r="CJ179" i="3"/>
  <c r="CI179" i="3"/>
  <c r="CM211" i="3"/>
  <c r="CL211" i="3"/>
  <c r="CK211" i="3"/>
  <c r="BS980" i="2" l="1"/>
  <c r="BS586" i="2"/>
  <c r="BS649" i="2"/>
  <c r="BS356" i="2"/>
  <c r="BS354" i="2"/>
  <c r="AX890" i="2"/>
  <c r="AW906" i="2"/>
  <c r="AX906" i="2" s="1"/>
  <c r="BP694" i="2"/>
  <c r="BQ694" i="2" s="1"/>
  <c r="BQ674" i="2"/>
  <c r="BP675" i="2"/>
  <c r="BP677" i="2" s="1"/>
  <c r="BQ16" i="2"/>
  <c r="BV676" i="2"/>
  <c r="BU676" i="2"/>
  <c r="BT335" i="2"/>
  <c r="BM884" i="2"/>
  <c r="BT586" i="2"/>
  <c r="BV584" i="2"/>
  <c r="BU584" i="2"/>
  <c r="AX940" i="2"/>
  <c r="AW928" i="2"/>
  <c r="AX928" i="2" s="1"/>
  <c r="BO675" i="2"/>
  <c r="BN691" i="2"/>
  <c r="BN670" i="2"/>
  <c r="BO668" i="2"/>
  <c r="BN724" i="2"/>
  <c r="BN722" i="2"/>
  <c r="BN721" i="2"/>
  <c r="BO721" i="2" s="1"/>
  <c r="BN719" i="2"/>
  <c r="BN715" i="2"/>
  <c r="BO715" i="2" s="1"/>
  <c r="BN716" i="2"/>
  <c r="BO716" i="2" s="1"/>
  <c r="BL940" i="2"/>
  <c r="BM940" i="2" s="1"/>
  <c r="BL937" i="2"/>
  <c r="BM937" i="2" s="1"/>
  <c r="BL889" i="2"/>
  <c r="BM887" i="2"/>
  <c r="BL890" i="2"/>
  <c r="BL932" i="2"/>
  <c r="BM932" i="2" s="1"/>
  <c r="BL931" i="2"/>
  <c r="BM931" i="2" s="1"/>
  <c r="BL935" i="2"/>
  <c r="BM935" i="2" s="1"/>
  <c r="BL934" i="2"/>
  <c r="BM934" i="2" s="1"/>
  <c r="BL933" i="2"/>
  <c r="BM933" i="2" s="1"/>
  <c r="BV10" i="2"/>
  <c r="BU10" i="2"/>
  <c r="BV627" i="2"/>
  <c r="BU627" i="2"/>
  <c r="BT648" i="2"/>
  <c r="BR694" i="2"/>
  <c r="BS674" i="2"/>
  <c r="BN962" i="2"/>
  <c r="BO961" i="2"/>
  <c r="BQ663" i="2"/>
  <c r="BP668" i="2"/>
  <c r="BP717" i="2" s="1"/>
  <c r="BR675" i="2"/>
  <c r="BR677" i="2" s="1"/>
  <c r="AX852" i="2"/>
  <c r="AW24" i="2"/>
  <c r="AX24" i="2" s="1"/>
  <c r="AW711" i="2"/>
  <c r="BV372" i="2"/>
  <c r="BU372" i="2"/>
  <c r="BS663" i="2"/>
  <c r="BR668" i="2"/>
  <c r="BR717" i="2" s="1"/>
  <c r="BL883" i="2"/>
  <c r="BM883" i="2" s="1"/>
  <c r="AX883" i="2"/>
  <c r="BT955" i="2"/>
  <c r="BT662" i="2"/>
  <c r="BT200" i="2"/>
  <c r="BU187" i="2"/>
  <c r="BV187" i="2"/>
  <c r="BP981" i="2"/>
  <c r="BP987" i="2"/>
  <c r="BQ987" i="2" s="1"/>
  <c r="BQ634" i="2"/>
  <c r="BP656" i="2"/>
  <c r="BQ656" i="2" s="1"/>
  <c r="BP635" i="2"/>
  <c r="BU369" i="2"/>
  <c r="BV369" i="2"/>
  <c r="BS16" i="2"/>
  <c r="BV585" i="2"/>
  <c r="BU585" i="2"/>
  <c r="AW925" i="2"/>
  <c r="AX925" i="2" s="1"/>
  <c r="AX889" i="2"/>
  <c r="AW891" i="2"/>
  <c r="AW919" i="2"/>
  <c r="AX919" i="2" s="1"/>
  <c r="AW920" i="2"/>
  <c r="AX920" i="2" s="1"/>
  <c r="AW922" i="2"/>
  <c r="AX922" i="2" s="1"/>
  <c r="AW923" i="2"/>
  <c r="AX923" i="2" s="1"/>
  <c r="AW921" i="2"/>
  <c r="AX921" i="2" s="1"/>
  <c r="AW880" i="2"/>
  <c r="BU974" i="2"/>
  <c r="BR987" i="2"/>
  <c r="BR981" i="2"/>
  <c r="BR656" i="2"/>
  <c r="BR635" i="2"/>
  <c r="BS634" i="2"/>
  <c r="BQ956" i="2"/>
  <c r="BP961" i="2"/>
  <c r="BN677" i="2"/>
  <c r="BL968" i="2"/>
  <c r="BM968" i="2" s="1"/>
  <c r="BM850" i="2"/>
  <c r="BL23" i="2"/>
  <c r="BM23" i="2" s="1"/>
  <c r="BT975" i="2"/>
  <c r="BU975" i="2" s="1"/>
  <c r="BT628" i="2"/>
  <c r="BT674" i="2" s="1"/>
  <c r="BT351" i="2"/>
  <c r="BT339" i="2"/>
  <c r="BU330" i="2"/>
  <c r="BV330" i="2"/>
  <c r="BT11" i="2"/>
  <c r="BT16" i="2" s="1"/>
  <c r="BM967" i="2"/>
  <c r="BS357" i="2"/>
  <c r="BS956" i="2"/>
  <c r="BR961" i="2"/>
  <c r="BN717" i="2"/>
  <c r="BV613" i="2"/>
  <c r="BT614" i="2"/>
  <c r="BU613" i="2"/>
  <c r="CL119" i="3"/>
  <c r="CL112" i="3"/>
  <c r="CL111" i="3"/>
  <c r="CM115" i="3"/>
  <c r="CK115" i="3"/>
  <c r="CK117" i="3"/>
  <c r="CM117" i="3"/>
  <c r="CL260" i="3"/>
  <c r="CE11" i="156"/>
  <c r="CE238" i="3"/>
  <c r="CI230" i="3"/>
  <c r="CJ230" i="3"/>
  <c r="CJ248" i="3"/>
  <c r="CJ231" i="3"/>
  <c r="CI231" i="3"/>
  <c r="CH235" i="3"/>
  <c r="CH236" i="3" s="1"/>
  <c r="CG235" i="3"/>
  <c r="CG236" i="3" s="1"/>
  <c r="CK259" i="3"/>
  <c r="CM259" i="3"/>
  <c r="CL259" i="3"/>
  <c r="CI276" i="3"/>
  <c r="CJ276" i="3"/>
  <c r="CK248" i="3"/>
  <c r="CM248" i="3"/>
  <c r="X15" i="178"/>
  <c r="Y15" i="178" s="1"/>
  <c r="CE9" i="3"/>
  <c r="CE10" i="3" s="1"/>
  <c r="CF9" i="3"/>
  <c r="CH190" i="3"/>
  <c r="CG190" i="3"/>
  <c r="CG183" i="3"/>
  <c r="CG184" i="3" s="1"/>
  <c r="CH183" i="3"/>
  <c r="X14" i="178"/>
  <c r="CK119" i="3"/>
  <c r="CM119" i="3"/>
  <c r="AU77" i="3"/>
  <c r="AT73" i="156"/>
  <c r="CC69" i="3"/>
  <c r="CC302" i="3"/>
  <c r="CC70" i="3"/>
  <c r="AT27" i="3"/>
  <c r="AU27" i="3"/>
  <c r="AV367" i="3"/>
  <c r="AV73" i="3"/>
  <c r="AV67" i="3"/>
  <c r="AV127" i="3"/>
  <c r="CJ290" i="3"/>
  <c r="CI290" i="3"/>
  <c r="AR82" i="3"/>
  <c r="AR77" i="156"/>
  <c r="AR81" i="3"/>
  <c r="AR76" i="156"/>
  <c r="AS98" i="3"/>
  <c r="AS93" i="156"/>
  <c r="AU22" i="156"/>
  <c r="AU24" i="3"/>
  <c r="CC19" i="156"/>
  <c r="CD19" i="156"/>
  <c r="CC21" i="3"/>
  <c r="CG293" i="3"/>
  <c r="CH293" i="3"/>
  <c r="AV245" i="3"/>
  <c r="AV68" i="3"/>
  <c r="AV71" i="3"/>
  <c r="AV187" i="3"/>
  <c r="AV456" i="3"/>
  <c r="AV76" i="3"/>
  <c r="CJ285" i="3"/>
  <c r="CI285" i="3"/>
  <c r="CE12" i="156"/>
  <c r="CE295" i="3"/>
  <c r="CF10" i="156"/>
  <c r="CC245" i="3"/>
  <c r="CC68" i="3"/>
  <c r="CC367" i="3"/>
  <c r="CC73" i="3"/>
  <c r="CC127" i="3"/>
  <c r="CC67" i="3"/>
  <c r="AS90" i="156"/>
  <c r="AS95" i="3"/>
  <c r="CI292" i="3"/>
  <c r="CJ292" i="3"/>
  <c r="AW74" i="3"/>
  <c r="AV74" i="3"/>
  <c r="AV69" i="3"/>
  <c r="AV302" i="3"/>
  <c r="AR47" i="3"/>
  <c r="AR40" i="156"/>
  <c r="CJ289" i="3"/>
  <c r="CI289" i="3"/>
  <c r="CJ286" i="3"/>
  <c r="CI286" i="3"/>
  <c r="AR78" i="156"/>
  <c r="AR83" i="3"/>
  <c r="AS92" i="3"/>
  <c r="AS87" i="156"/>
  <c r="AT25" i="3"/>
  <c r="AT23" i="156"/>
  <c r="CD74" i="3"/>
  <c r="CC74" i="3"/>
  <c r="CC187" i="3"/>
  <c r="CC71" i="3"/>
  <c r="CC456" i="3"/>
  <c r="CC76" i="3"/>
  <c r="AS93" i="3"/>
  <c r="AS88" i="156"/>
  <c r="AV19" i="156"/>
  <c r="AV21" i="3"/>
  <c r="AV22" i="3" s="1"/>
  <c r="CJ291" i="3"/>
  <c r="CI291" i="3"/>
  <c r="AR80" i="156"/>
  <c r="AR85" i="3"/>
  <c r="CK329" i="3"/>
  <c r="CM329" i="3"/>
  <c r="CL329" i="3"/>
  <c r="AR88" i="3"/>
  <c r="AR83" i="156"/>
  <c r="AS91" i="3"/>
  <c r="AS86" i="156"/>
  <c r="CJ181" i="3"/>
  <c r="CI9" i="156"/>
  <c r="CI181" i="3"/>
  <c r="CJ8" i="3"/>
  <c r="CI8" i="3"/>
  <c r="CM206" i="3"/>
  <c r="CL206" i="3"/>
  <c r="CK206" i="3"/>
  <c r="BS694" i="2" l="1"/>
  <c r="BS656" i="2"/>
  <c r="BT694" i="2"/>
  <c r="BV674" i="2"/>
  <c r="BU674" i="2"/>
  <c r="BT675" i="2"/>
  <c r="BS717" i="2"/>
  <c r="BV16" i="2"/>
  <c r="BU16" i="2"/>
  <c r="BR699" i="2"/>
  <c r="BS677" i="2"/>
  <c r="BR701" i="2"/>
  <c r="BR700" i="2"/>
  <c r="BQ677" i="2"/>
  <c r="BP699" i="2"/>
  <c r="BP701" i="2"/>
  <c r="BP700" i="2"/>
  <c r="BR962" i="2"/>
  <c r="BS961" i="2"/>
  <c r="BT956" i="2"/>
  <c r="BU956" i="2" s="1"/>
  <c r="BT663" i="2"/>
  <c r="BT668" i="2" s="1"/>
  <c r="BT716" i="2" s="1"/>
  <c r="BT373" i="2"/>
  <c r="BV373" i="2" s="1"/>
  <c r="BT357" i="2"/>
  <c r="BV339" i="2"/>
  <c r="BT356" i="2"/>
  <c r="BU339" i="2"/>
  <c r="BT374" i="2"/>
  <c r="BV374" i="2" s="1"/>
  <c r="BT354" i="2"/>
  <c r="BP962" i="2"/>
  <c r="BQ961" i="2"/>
  <c r="AX891" i="2"/>
  <c r="AW903" i="2"/>
  <c r="AX903" i="2" s="1"/>
  <c r="AW904" i="2"/>
  <c r="AX904" i="2" s="1"/>
  <c r="AW905" i="2"/>
  <c r="AX905" i="2" s="1"/>
  <c r="AW985" i="2"/>
  <c r="BM890" i="2"/>
  <c r="BL906" i="2"/>
  <c r="BM906" i="2" s="1"/>
  <c r="BN720" i="2"/>
  <c r="BO720" i="2" s="1"/>
  <c r="BO719" i="2"/>
  <c r="BT591" i="2"/>
  <c r="BV591" i="2" s="1"/>
  <c r="BV586" i="2"/>
  <c r="BU586" i="2"/>
  <c r="BV335" i="2"/>
  <c r="BT338" i="2"/>
  <c r="BT370" i="2" s="1"/>
  <c r="BV11" i="2"/>
  <c r="BU11" i="2"/>
  <c r="BV200" i="2"/>
  <c r="BU200" i="2"/>
  <c r="BU648" i="2"/>
  <c r="BV648" i="2"/>
  <c r="BN703" i="2"/>
  <c r="BO670" i="2"/>
  <c r="BN671" i="2"/>
  <c r="BV628" i="2"/>
  <c r="BU628" i="2"/>
  <c r="BT649" i="2"/>
  <c r="BS987" i="2"/>
  <c r="BU662" i="2"/>
  <c r="BV662" i="2"/>
  <c r="BR670" i="2"/>
  <c r="BS668" i="2"/>
  <c r="BR724" i="2"/>
  <c r="BR722" i="2"/>
  <c r="BR721" i="2"/>
  <c r="BR719" i="2"/>
  <c r="BR715" i="2"/>
  <c r="BR716" i="2"/>
  <c r="BS675" i="2"/>
  <c r="BR691" i="2"/>
  <c r="BN723" i="2"/>
  <c r="BO723" i="2" s="1"/>
  <c r="BO722" i="2"/>
  <c r="BN704" i="2"/>
  <c r="BO691" i="2"/>
  <c r="BQ675" i="2"/>
  <c r="BP691" i="2"/>
  <c r="BV351" i="2"/>
  <c r="BU351" i="2"/>
  <c r="AW878" i="2"/>
  <c r="AX880" i="2"/>
  <c r="BQ717" i="2"/>
  <c r="BN718" i="2"/>
  <c r="BO717" i="2"/>
  <c r="BN699" i="2"/>
  <c r="BO699" i="2" s="1"/>
  <c r="BO677" i="2"/>
  <c r="BN701" i="2"/>
  <c r="BO701" i="2" s="1"/>
  <c r="BN700" i="2"/>
  <c r="BO700" i="2" s="1"/>
  <c r="BT980" i="2"/>
  <c r="BU980" i="2" s="1"/>
  <c r="BU955" i="2"/>
  <c r="AX711" i="2"/>
  <c r="AW712" i="2"/>
  <c r="AW733" i="2"/>
  <c r="AX733" i="2" s="1"/>
  <c r="BQ668" i="2"/>
  <c r="BP670" i="2"/>
  <c r="BP724" i="2"/>
  <c r="BP721" i="2"/>
  <c r="BQ721" i="2" s="1"/>
  <c r="BP722" i="2"/>
  <c r="BP715" i="2"/>
  <c r="BQ715" i="2" s="1"/>
  <c r="BP719" i="2"/>
  <c r="BP716" i="2"/>
  <c r="BQ716" i="2" s="1"/>
  <c r="BT634" i="2"/>
  <c r="BL925" i="2"/>
  <c r="BM925" i="2" s="1"/>
  <c r="BL928" i="2"/>
  <c r="BM928" i="2" s="1"/>
  <c r="BM889" i="2"/>
  <c r="BL891" i="2"/>
  <c r="BL919" i="2"/>
  <c r="BM919" i="2" s="1"/>
  <c r="BL920" i="2"/>
  <c r="BM920" i="2" s="1"/>
  <c r="BL923" i="2"/>
  <c r="BM923" i="2" s="1"/>
  <c r="BL922" i="2"/>
  <c r="BM922" i="2" s="1"/>
  <c r="BL921" i="2"/>
  <c r="BM921" i="2" s="1"/>
  <c r="BL880" i="2"/>
  <c r="BO724" i="2"/>
  <c r="CM112" i="3"/>
  <c r="CK112" i="3"/>
  <c r="CM260" i="3"/>
  <c r="CK269" i="3"/>
  <c r="CK260" i="3"/>
  <c r="CL264" i="3"/>
  <c r="CI232" i="3"/>
  <c r="CJ232" i="3"/>
  <c r="X38" i="178"/>
  <c r="Y38" i="178" s="1"/>
  <c r="CE239" i="3"/>
  <c r="CF239" i="3"/>
  <c r="CL248" i="3"/>
  <c r="CI235" i="3"/>
  <c r="CI236" i="3" s="1"/>
  <c r="CJ235" i="3"/>
  <c r="CJ236" i="3" s="1"/>
  <c r="CK267" i="3"/>
  <c r="CM267" i="3"/>
  <c r="CL267" i="3"/>
  <c r="CH238" i="3"/>
  <c r="CG11" i="156"/>
  <c r="CM11" i="156" s="1"/>
  <c r="CG238" i="3"/>
  <c r="CF11" i="156"/>
  <c r="CF238" i="3"/>
  <c r="CG9" i="3"/>
  <c r="CG10" i="3" s="1"/>
  <c r="CH9" i="3"/>
  <c r="X39" i="178"/>
  <c r="X9" i="178"/>
  <c r="X47" i="178"/>
  <c r="CF305" i="3"/>
  <c r="CM8" i="156"/>
  <c r="CK8" i="156"/>
  <c r="CM130" i="3"/>
  <c r="CL8" i="156"/>
  <c r="CK121" i="3"/>
  <c r="AV22" i="156"/>
  <c r="AV24" i="3"/>
  <c r="AV66" i="156"/>
  <c r="AV64" i="156"/>
  <c r="AV65" i="156"/>
  <c r="AV69" i="156"/>
  <c r="AV20" i="156"/>
  <c r="AV72" i="156"/>
  <c r="AV68" i="156"/>
  <c r="AV62" i="156"/>
  <c r="AV67" i="156"/>
  <c r="AV61" i="156"/>
  <c r="AV63" i="156"/>
  <c r="CD72" i="3"/>
  <c r="CC72" i="3"/>
  <c r="CC75" i="3"/>
  <c r="CD75" i="3"/>
  <c r="AU23" i="156"/>
  <c r="AU25" i="3"/>
  <c r="AS83" i="3"/>
  <c r="AS78" i="156"/>
  <c r="AW70" i="3"/>
  <c r="AV70" i="3"/>
  <c r="CD68" i="3"/>
  <c r="CD245" i="3"/>
  <c r="AW72" i="3"/>
  <c r="AV72" i="3"/>
  <c r="AW245" i="3"/>
  <c r="AW68" i="3"/>
  <c r="CC69" i="156"/>
  <c r="CC20" i="156"/>
  <c r="CC72" i="156"/>
  <c r="CC68" i="156"/>
  <c r="CC62" i="156"/>
  <c r="CC66" i="156"/>
  <c r="CC61" i="156"/>
  <c r="CC63" i="156"/>
  <c r="CC67" i="156"/>
  <c r="CC64" i="156"/>
  <c r="CC65" i="156"/>
  <c r="W9" i="178"/>
  <c r="W39" i="178"/>
  <c r="W47" i="178"/>
  <c r="AT36" i="3"/>
  <c r="AT37" i="3" s="1"/>
  <c r="AT29" i="156"/>
  <c r="CD302" i="3"/>
  <c r="CD69" i="3"/>
  <c r="AS88" i="3"/>
  <c r="AS83" i="156"/>
  <c r="AW302" i="3"/>
  <c r="AW69" i="3"/>
  <c r="AW75" i="3"/>
  <c r="AV75" i="3"/>
  <c r="CF12" i="156"/>
  <c r="CF295" i="3"/>
  <c r="AW456" i="3"/>
  <c r="AW76" i="3"/>
  <c r="CD21" i="3"/>
  <c r="CC22" i="3"/>
  <c r="AR45" i="3"/>
  <c r="AR38" i="156"/>
  <c r="AW19" i="156"/>
  <c r="AW21" i="3"/>
  <c r="CD76" i="3"/>
  <c r="CD456" i="3"/>
  <c r="CJ293" i="3"/>
  <c r="CI293" i="3"/>
  <c r="AS47" i="3"/>
  <c r="AS40" i="156"/>
  <c r="CD73" i="3"/>
  <c r="CD367" i="3"/>
  <c r="CJ287" i="3"/>
  <c r="CI287" i="3"/>
  <c r="AS81" i="3"/>
  <c r="AS76" i="156"/>
  <c r="AS77" i="156"/>
  <c r="AS82" i="3"/>
  <c r="AW127" i="3"/>
  <c r="AW67" i="3"/>
  <c r="AT32" i="156"/>
  <c r="AT39" i="3"/>
  <c r="AS80" i="156"/>
  <c r="AS85" i="3"/>
  <c r="AR46" i="3"/>
  <c r="AR39" i="156"/>
  <c r="CD71" i="3"/>
  <c r="CD187" i="3"/>
  <c r="CK317" i="3"/>
  <c r="CL317" i="3"/>
  <c r="CM317" i="3"/>
  <c r="CD127" i="3"/>
  <c r="CD67" i="3"/>
  <c r="CE296" i="3"/>
  <c r="CF296" i="3"/>
  <c r="AW71" i="3"/>
  <c r="AW187" i="3"/>
  <c r="CG295" i="3"/>
  <c r="CH295" i="3"/>
  <c r="CG12" i="156"/>
  <c r="CM12" i="156" s="1"/>
  <c r="AW367" i="3"/>
  <c r="AW73" i="3"/>
  <c r="AT28" i="3"/>
  <c r="AU28" i="3"/>
  <c r="AT25" i="156"/>
  <c r="AU25" i="156"/>
  <c r="CM178" i="3"/>
  <c r="CL178" i="3"/>
  <c r="CK178" i="3"/>
  <c r="CL176" i="3"/>
  <c r="CM176" i="3"/>
  <c r="CK176" i="3"/>
  <c r="CI10" i="156"/>
  <c r="CJ183" i="3"/>
  <c r="CI183" i="3"/>
  <c r="CI184" i="3" s="1"/>
  <c r="CM175" i="3"/>
  <c r="CL175" i="3"/>
  <c r="CK175" i="3"/>
  <c r="CM170" i="3"/>
  <c r="CL170" i="3"/>
  <c r="CK170" i="3"/>
  <c r="CM171" i="3"/>
  <c r="CL171" i="3"/>
  <c r="CK171" i="3"/>
  <c r="CJ190" i="3"/>
  <c r="CI190" i="3"/>
  <c r="CM177" i="3"/>
  <c r="CL177" i="3"/>
  <c r="CK177" i="3"/>
  <c r="BT961" i="2" l="1"/>
  <c r="BT962" i="2" s="1"/>
  <c r="Y9" i="178"/>
  <c r="BS721" i="2"/>
  <c r="BS699" i="2"/>
  <c r="BQ724" i="2"/>
  <c r="BR703" i="2"/>
  <c r="BR671" i="2"/>
  <c r="BS670" i="2"/>
  <c r="BU716" i="2"/>
  <c r="BV716" i="2"/>
  <c r="BN725" i="2"/>
  <c r="BO725" i="2" s="1"/>
  <c r="BP718" i="2"/>
  <c r="BR704" i="2"/>
  <c r="BS691" i="2"/>
  <c r="BR720" i="2"/>
  <c r="BS719" i="2"/>
  <c r="BN707" i="2"/>
  <c r="BO703" i="2"/>
  <c r="BV357" i="2"/>
  <c r="BU357" i="2"/>
  <c r="BQ699" i="2"/>
  <c r="BP720" i="2"/>
  <c r="BQ720" i="2" s="1"/>
  <c r="BQ719" i="2"/>
  <c r="AX712" i="2"/>
  <c r="BL712" i="2"/>
  <c r="AW832" i="2"/>
  <c r="BM880" i="2"/>
  <c r="BL878" i="2"/>
  <c r="BP703" i="2"/>
  <c r="BP671" i="2"/>
  <c r="BQ670" i="2"/>
  <c r="BQ691" i="2"/>
  <c r="BP704" i="2"/>
  <c r="BS716" i="2"/>
  <c r="BR723" i="2"/>
  <c r="BS722" i="2"/>
  <c r="BT670" i="2"/>
  <c r="BU668" i="2"/>
  <c r="BV668" i="2"/>
  <c r="BT724" i="2"/>
  <c r="BT721" i="2"/>
  <c r="BT722" i="2"/>
  <c r="BT719" i="2"/>
  <c r="BT715" i="2"/>
  <c r="BU356" i="2"/>
  <c r="BV356" i="2"/>
  <c r="BV663" i="2"/>
  <c r="BT717" i="2"/>
  <c r="BU663" i="2"/>
  <c r="BQ700" i="2"/>
  <c r="BS700" i="2"/>
  <c r="BR718" i="2"/>
  <c r="BV694" i="2"/>
  <c r="BU694" i="2"/>
  <c r="BM891" i="2"/>
  <c r="BL903" i="2"/>
  <c r="BM903" i="2" s="1"/>
  <c r="BL904" i="2"/>
  <c r="BM904" i="2" s="1"/>
  <c r="BL905" i="2"/>
  <c r="BM905" i="2" s="1"/>
  <c r="BL985" i="2"/>
  <c r="BM985" i="2" s="1"/>
  <c r="BN705" i="2"/>
  <c r="BO704" i="2"/>
  <c r="BN587" i="2"/>
  <c r="BN17" i="2"/>
  <c r="BT987" i="2"/>
  <c r="BU987" i="2" s="1"/>
  <c r="BT981" i="2"/>
  <c r="BT656" i="2"/>
  <c r="BT635" i="2"/>
  <c r="BU634" i="2"/>
  <c r="BV634" i="2"/>
  <c r="BP723" i="2"/>
  <c r="BQ723" i="2" s="1"/>
  <c r="BQ722" i="2"/>
  <c r="AX878" i="2"/>
  <c r="AW936" i="2"/>
  <c r="AX936" i="2" s="1"/>
  <c r="AW938" i="2"/>
  <c r="AX938" i="2" s="1"/>
  <c r="AW926" i="2"/>
  <c r="AX926" i="2" s="1"/>
  <c r="AW924" i="2"/>
  <c r="AX924" i="2" s="1"/>
  <c r="BS715" i="2"/>
  <c r="BS724" i="2"/>
  <c r="BU649" i="2"/>
  <c r="BV649" i="2"/>
  <c r="BV370" i="2"/>
  <c r="BU370" i="2"/>
  <c r="BV354" i="2"/>
  <c r="BU354" i="2"/>
  <c r="BQ701" i="2"/>
  <c r="BS701" i="2"/>
  <c r="BU675" i="2"/>
  <c r="BV675" i="2"/>
  <c r="BT691" i="2"/>
  <c r="BT677" i="2"/>
  <c r="CM262" i="3"/>
  <c r="CL262" i="3"/>
  <c r="CK262" i="3"/>
  <c r="CL269" i="3"/>
  <c r="CM269" i="3"/>
  <c r="Y47" i="178"/>
  <c r="CK230" i="3"/>
  <c r="CL231" i="3"/>
  <c r="CK264" i="3"/>
  <c r="CM264" i="3"/>
  <c r="CG239" i="3"/>
  <c r="CH239" i="3"/>
  <c r="CI11" i="156"/>
  <c r="CI238" i="3"/>
  <c r="CJ238" i="3"/>
  <c r="CL276" i="3"/>
  <c r="CM276" i="3"/>
  <c r="CK276" i="3"/>
  <c r="CE305" i="3"/>
  <c r="X44" i="178"/>
  <c r="Y39" i="178"/>
  <c r="CM121" i="3"/>
  <c r="CL123" i="3"/>
  <c r="X45" i="178"/>
  <c r="Y45" i="178" s="1"/>
  <c r="CE298" i="3"/>
  <c r="CE299" i="3" s="1"/>
  <c r="CF298" i="3"/>
  <c r="CL121" i="3"/>
  <c r="CM123" i="3"/>
  <c r="CL8" i="3"/>
  <c r="CK123" i="3"/>
  <c r="CK124" i="3" s="1"/>
  <c r="CK130" i="3"/>
  <c r="CL130" i="3"/>
  <c r="AR89" i="156"/>
  <c r="AR94" i="3"/>
  <c r="CM330" i="3"/>
  <c r="CL330" i="3"/>
  <c r="CK330" i="3"/>
  <c r="AS39" i="156"/>
  <c r="AS46" i="3"/>
  <c r="AT92" i="156"/>
  <c r="AT97" i="3"/>
  <c r="AS45" i="3"/>
  <c r="AS38" i="156"/>
  <c r="AT26" i="156"/>
  <c r="AT30" i="156"/>
  <c r="AT31" i="3"/>
  <c r="AT34" i="3" s="1"/>
  <c r="AU31" i="3"/>
  <c r="AR81" i="156"/>
  <c r="AR86" i="3"/>
  <c r="CM321" i="3"/>
  <c r="CK321" i="3"/>
  <c r="CL321" i="3"/>
  <c r="AT82" i="156"/>
  <c r="AT87" i="3"/>
  <c r="CI12" i="156"/>
  <c r="CI295" i="3"/>
  <c r="CJ295" i="3"/>
  <c r="CC27" i="3"/>
  <c r="CD27" i="3" s="1"/>
  <c r="AV27" i="3"/>
  <c r="AW27" i="3"/>
  <c r="AT44" i="156"/>
  <c r="AT51" i="3"/>
  <c r="CC73" i="156"/>
  <c r="AW24" i="3"/>
  <c r="AW22" i="156"/>
  <c r="AV77" i="3"/>
  <c r="AV78" i="3" s="1"/>
  <c r="AW77" i="3"/>
  <c r="AR79" i="156"/>
  <c r="AR84" i="3"/>
  <c r="AU32" i="156"/>
  <c r="AU39" i="3"/>
  <c r="AU29" i="156"/>
  <c r="AU36" i="3"/>
  <c r="CD77" i="3"/>
  <c r="CC77" i="3"/>
  <c r="CC78" i="3" s="1"/>
  <c r="CC24" i="3"/>
  <c r="CD24" i="3" s="1"/>
  <c r="CD22" i="156"/>
  <c r="CC22" i="156"/>
  <c r="AR91" i="156"/>
  <c r="AR96" i="3"/>
  <c r="CH296" i="3"/>
  <c r="CG296" i="3"/>
  <c r="AT41" i="3"/>
  <c r="AT42" i="3" s="1"/>
  <c r="AT34" i="156"/>
  <c r="AT35" i="156" s="1"/>
  <c r="AV73" i="156"/>
  <c r="AV23" i="156"/>
  <c r="AV25" i="3"/>
  <c r="CJ9" i="3"/>
  <c r="CI9" i="3"/>
  <c r="CI10" i="3" s="1"/>
  <c r="CF12" i="3"/>
  <c r="CE12" i="3"/>
  <c r="CM179" i="3"/>
  <c r="CL179" i="3"/>
  <c r="CK179" i="3"/>
  <c r="CM172" i="3"/>
  <c r="CL172" i="3"/>
  <c r="CK172" i="3"/>
  <c r="BU961" i="2" l="1"/>
  <c r="BS723" i="2"/>
  <c r="BS720" i="2"/>
  <c r="BO17" i="2"/>
  <c r="BN18" i="2"/>
  <c r="BO18" i="2" s="1"/>
  <c r="BN20" i="2"/>
  <c r="BV719" i="2"/>
  <c r="BT720" i="2"/>
  <c r="BU719" i="2"/>
  <c r="BV656" i="2"/>
  <c r="BU656" i="2"/>
  <c r="BN588" i="2"/>
  <c r="BO588" i="2" s="1"/>
  <c r="BO587" i="2"/>
  <c r="BN589" i="2"/>
  <c r="BO589" i="2" s="1"/>
  <c r="BV722" i="2"/>
  <c r="BT723" i="2"/>
  <c r="BU722" i="2"/>
  <c r="BS703" i="2"/>
  <c r="BR707" i="2"/>
  <c r="BT699" i="2"/>
  <c r="BU677" i="2"/>
  <c r="BV677" i="2"/>
  <c r="BT701" i="2"/>
  <c r="BT700" i="2"/>
  <c r="BR725" i="2"/>
  <c r="BU721" i="2"/>
  <c r="BV721" i="2"/>
  <c r="BT703" i="2"/>
  <c r="BT671" i="2"/>
  <c r="BU670" i="2"/>
  <c r="BV670" i="2"/>
  <c r="BP705" i="2"/>
  <c r="BP587" i="2"/>
  <c r="BQ704" i="2"/>
  <c r="BP17" i="2"/>
  <c r="BP707" i="2"/>
  <c r="BQ703" i="2"/>
  <c r="BL852" i="2"/>
  <c r="BM712" i="2"/>
  <c r="BL832" i="2"/>
  <c r="BN845" i="2"/>
  <c r="BN731" i="2"/>
  <c r="BO707" i="2"/>
  <c r="BN709" i="2"/>
  <c r="BN836" i="2"/>
  <c r="BO836" i="2" s="1"/>
  <c r="BR705" i="2"/>
  <c r="BS704" i="2"/>
  <c r="BR587" i="2"/>
  <c r="BR17" i="2"/>
  <c r="BU691" i="2"/>
  <c r="BV691" i="2"/>
  <c r="BT704" i="2"/>
  <c r="BN948" i="2"/>
  <c r="BO948" i="2" s="1"/>
  <c r="BO705" i="2"/>
  <c r="BV717" i="2"/>
  <c r="BT718" i="2"/>
  <c r="BT725" i="2" s="1"/>
  <c r="BU717" i="2"/>
  <c r="BV715" i="2"/>
  <c r="BU715" i="2"/>
  <c r="BU724" i="2"/>
  <c r="BV724" i="2"/>
  <c r="BM878" i="2"/>
  <c r="BL936" i="2"/>
  <c r="BM936" i="2" s="1"/>
  <c r="BL938" i="2"/>
  <c r="BM938" i="2" s="1"/>
  <c r="BL924" i="2"/>
  <c r="BM924" i="2" s="1"/>
  <c r="BL926" i="2"/>
  <c r="BM926" i="2" s="1"/>
  <c r="BP725" i="2"/>
  <c r="BQ725" i="2" s="1"/>
  <c r="CM230" i="3"/>
  <c r="CL230" i="3"/>
  <c r="CM231" i="3"/>
  <c r="CK232" i="3"/>
  <c r="CK231" i="3"/>
  <c r="X37" i="178"/>
  <c r="CH9" i="156"/>
  <c r="CF241" i="3"/>
  <c r="CE241" i="3"/>
  <c r="CE242" i="3" s="1"/>
  <c r="CJ9" i="156"/>
  <c r="CK235" i="3"/>
  <c r="CK236" i="3" s="1"/>
  <c r="CM235" i="3"/>
  <c r="CM236" i="3" s="1"/>
  <c r="CL235" i="3"/>
  <c r="CL236" i="3" s="1"/>
  <c r="CJ239" i="3"/>
  <c r="CI239" i="3"/>
  <c r="CM8" i="3"/>
  <c r="CK8" i="3"/>
  <c r="AV28" i="3"/>
  <c r="AW28" i="3"/>
  <c r="CK325" i="3"/>
  <c r="CM325" i="3"/>
  <c r="CL325" i="3"/>
  <c r="AS89" i="156"/>
  <c r="AS94" i="3"/>
  <c r="AU34" i="156"/>
  <c r="AU41" i="3"/>
  <c r="AS96" i="3"/>
  <c r="AS91" i="156"/>
  <c r="CD23" i="156"/>
  <c r="W49" i="178"/>
  <c r="CC23" i="156"/>
  <c r="CC25" i="3"/>
  <c r="CD25" i="3" s="1"/>
  <c r="AT95" i="3"/>
  <c r="AT90" i="156"/>
  <c r="AV36" i="3"/>
  <c r="AV29" i="156"/>
  <c r="CC28" i="3"/>
  <c r="CD28" i="3" s="1"/>
  <c r="AS84" i="3"/>
  <c r="AS79" i="156"/>
  <c r="AW23" i="156"/>
  <c r="AW25" i="3"/>
  <c r="CJ296" i="3"/>
  <c r="CI296" i="3"/>
  <c r="AT88" i="156"/>
  <c r="AT93" i="3"/>
  <c r="AU51" i="3"/>
  <c r="AU44" i="156"/>
  <c r="AU82" i="156"/>
  <c r="AU87" i="3"/>
  <c r="CM323" i="3"/>
  <c r="CK323" i="3"/>
  <c r="AT32" i="3"/>
  <c r="AT91" i="3"/>
  <c r="AT86" i="156"/>
  <c r="AT98" i="3"/>
  <c r="AT93" i="156"/>
  <c r="AW25" i="156"/>
  <c r="AV25" i="156"/>
  <c r="CH10" i="156"/>
  <c r="AT92" i="3"/>
  <c r="AT87" i="156"/>
  <c r="AV39" i="3"/>
  <c r="AV32" i="156"/>
  <c r="CC29" i="156"/>
  <c r="CC36" i="3"/>
  <c r="CC37" i="3" s="1"/>
  <c r="CC39" i="3"/>
  <c r="CC32" i="156"/>
  <c r="AS86" i="3"/>
  <c r="AS81" i="156"/>
  <c r="AU92" i="156"/>
  <c r="AU97" i="3"/>
  <c r="CL181" i="3"/>
  <c r="CM181" i="3"/>
  <c r="CK181" i="3"/>
  <c r="CK9" i="156"/>
  <c r="BR18" i="2" l="1"/>
  <c r="BS17" i="2"/>
  <c r="BR20" i="2"/>
  <c r="BN939" i="2"/>
  <c r="BO939" i="2" s="1"/>
  <c r="BN927" i="2"/>
  <c r="BO927" i="2" s="1"/>
  <c r="BO731" i="2"/>
  <c r="BN848" i="2"/>
  <c r="BO848" i="2" s="1"/>
  <c r="BN837" i="2"/>
  <c r="BO837" i="2" s="1"/>
  <c r="BN884" i="2"/>
  <c r="BN887" i="2"/>
  <c r="BP18" i="2"/>
  <c r="BQ18" i="2" s="1"/>
  <c r="BQ17" i="2"/>
  <c r="BP20" i="2"/>
  <c r="BU701" i="2"/>
  <c r="BV701" i="2"/>
  <c r="BR845" i="2"/>
  <c r="BR731" i="2"/>
  <c r="BS707" i="2"/>
  <c r="BR709" i="2"/>
  <c r="BR836" i="2"/>
  <c r="BU725" i="2"/>
  <c r="BV725" i="2"/>
  <c r="BV704" i="2"/>
  <c r="BT705" i="2"/>
  <c r="BU704" i="2"/>
  <c r="BT587" i="2"/>
  <c r="BT17" i="2"/>
  <c r="BR588" i="2"/>
  <c r="BS587" i="2"/>
  <c r="BR589" i="2"/>
  <c r="BN1043" i="2"/>
  <c r="BN850" i="2"/>
  <c r="BO845" i="2"/>
  <c r="BN22" i="2"/>
  <c r="BO22" i="2" s="1"/>
  <c r="BN818" i="2"/>
  <c r="BO818" i="2" s="1"/>
  <c r="BM852" i="2"/>
  <c r="BL24" i="2"/>
  <c r="BM24" i="2" s="1"/>
  <c r="BL711" i="2"/>
  <c r="BO20" i="2"/>
  <c r="BN21" i="2"/>
  <c r="BN967" i="2"/>
  <c r="BN738" i="2"/>
  <c r="BO738" i="2" s="1"/>
  <c r="BO709" i="2"/>
  <c r="BN736" i="2"/>
  <c r="BO736" i="2" s="1"/>
  <c r="BP588" i="2"/>
  <c r="BQ588" i="2" s="1"/>
  <c r="BQ587" i="2"/>
  <c r="BP589" i="2"/>
  <c r="BQ589" i="2" s="1"/>
  <c r="BS725" i="2"/>
  <c r="BR948" i="2"/>
  <c r="BS705" i="2"/>
  <c r="BP845" i="2"/>
  <c r="BP731" i="2"/>
  <c r="BP709" i="2"/>
  <c r="BQ707" i="2"/>
  <c r="BP836" i="2"/>
  <c r="BQ836" i="2" s="1"/>
  <c r="BP948" i="2"/>
  <c r="BQ948" i="2" s="1"/>
  <c r="BQ705" i="2"/>
  <c r="BT707" i="2"/>
  <c r="BU703" i="2"/>
  <c r="BV703" i="2"/>
  <c r="BU700" i="2"/>
  <c r="BV700" i="2"/>
  <c r="BV699" i="2"/>
  <c r="BU699" i="2"/>
  <c r="BV723" i="2"/>
  <c r="BU723" i="2"/>
  <c r="BU720" i="2"/>
  <c r="BV720" i="2"/>
  <c r="CM232" i="3"/>
  <c r="CL232" i="3"/>
  <c r="CK238" i="3"/>
  <c r="CE11" i="3"/>
  <c r="CF11" i="3"/>
  <c r="CG241" i="3"/>
  <c r="CG242" i="3" s="1"/>
  <c r="CI241" i="3"/>
  <c r="CI242" i="3" s="1"/>
  <c r="CC34" i="156"/>
  <c r="CC35" i="156" s="1"/>
  <c r="CC41" i="3"/>
  <c r="CC42" i="3" s="1"/>
  <c r="AW32" i="156"/>
  <c r="AW39" i="3"/>
  <c r="AU87" i="156"/>
  <c r="AU92" i="3"/>
  <c r="CC25" i="156"/>
  <c r="CD25" i="156"/>
  <c r="CD39" i="3"/>
  <c r="CD32" i="156"/>
  <c r="CC31" i="3"/>
  <c r="CC32" i="3" s="1"/>
  <c r="AV34" i="156"/>
  <c r="AV35" i="156" s="1"/>
  <c r="AV41" i="3"/>
  <c r="AV42" i="3" s="1"/>
  <c r="AT76" i="156"/>
  <c r="AT81" i="3"/>
  <c r="AT83" i="3"/>
  <c r="AT78" i="156"/>
  <c r="AT80" i="156"/>
  <c r="AT85" i="3"/>
  <c r="CH298" i="3"/>
  <c r="CG298" i="3"/>
  <c r="CG299" i="3" s="1"/>
  <c r="AV30" i="156"/>
  <c r="AV26" i="156"/>
  <c r="AT83" i="156"/>
  <c r="AT88" i="3"/>
  <c r="CJ10" i="156"/>
  <c r="AT40" i="156"/>
  <c r="AT47" i="3"/>
  <c r="AV37" i="3"/>
  <c r="CL289" i="3"/>
  <c r="CK289" i="3"/>
  <c r="CM289" i="3"/>
  <c r="CM285" i="3"/>
  <c r="CL285" i="3"/>
  <c r="CK285" i="3"/>
  <c r="CM292" i="3"/>
  <c r="CL292" i="3"/>
  <c r="CK292" i="3"/>
  <c r="AU88" i="156"/>
  <c r="AU93" i="3"/>
  <c r="CC87" i="3"/>
  <c r="CC82" i="156"/>
  <c r="W67" i="178"/>
  <c r="CC44" i="156"/>
  <c r="CC51" i="3"/>
  <c r="AV92" i="156"/>
  <c r="AV97" i="3"/>
  <c r="CH305" i="3"/>
  <c r="CG305" i="3"/>
  <c r="AU93" i="156"/>
  <c r="AU98" i="3"/>
  <c r="AU91" i="3"/>
  <c r="AU86" i="156"/>
  <c r="AW29" i="156"/>
  <c r="AW36" i="3"/>
  <c r="CL291" i="3"/>
  <c r="CK291" i="3"/>
  <c r="CM291" i="3"/>
  <c r="CC97" i="3"/>
  <c r="CC92" i="156"/>
  <c r="AV82" i="156"/>
  <c r="AV87" i="3"/>
  <c r="CD29" i="156"/>
  <c r="CD36" i="3"/>
  <c r="AT82" i="3"/>
  <c r="AT77" i="156"/>
  <c r="AV44" i="156"/>
  <c r="AV51" i="3"/>
  <c r="AU95" i="3"/>
  <c r="AU90" i="156"/>
  <c r="CK286" i="3"/>
  <c r="CL286" i="3"/>
  <c r="CM286" i="3"/>
  <c r="CM290" i="3"/>
  <c r="CK290" i="3"/>
  <c r="CL290" i="3"/>
  <c r="AV31" i="3"/>
  <c r="AV32" i="3" s="1"/>
  <c r="AW31" i="3"/>
  <c r="CM190" i="3"/>
  <c r="CL190" i="3"/>
  <c r="CK190" i="3"/>
  <c r="CK10" i="156"/>
  <c r="CM183" i="3"/>
  <c r="CL183" i="3"/>
  <c r="CK183" i="3"/>
  <c r="CK184" i="3" s="1"/>
  <c r="BT18" i="2" l="1"/>
  <c r="BV17" i="2"/>
  <c r="BU17" i="2"/>
  <c r="BT20" i="2"/>
  <c r="BR1043" i="2"/>
  <c r="BR850" i="2"/>
  <c r="BS845" i="2"/>
  <c r="BR22" i="2"/>
  <c r="BR818" i="2"/>
  <c r="BP21" i="2"/>
  <c r="BQ20" i="2"/>
  <c r="BP884" i="2"/>
  <c r="BO884" i="2"/>
  <c r="BP939" i="2"/>
  <c r="BQ939" i="2" s="1"/>
  <c r="BP927" i="2"/>
  <c r="BQ927" i="2" s="1"/>
  <c r="BP848" i="2"/>
  <c r="BQ848" i="2" s="1"/>
  <c r="BQ731" i="2"/>
  <c r="BP837" i="2"/>
  <c r="BQ837" i="2" s="1"/>
  <c r="BS948" i="2"/>
  <c r="BM711" i="2"/>
  <c r="BL733" i="2"/>
  <c r="BM733" i="2" s="1"/>
  <c r="BS589" i="2"/>
  <c r="BT588" i="2"/>
  <c r="BV587" i="2"/>
  <c r="BU587" i="2"/>
  <c r="BT589" i="2"/>
  <c r="BR967" i="2"/>
  <c r="BR738" i="2"/>
  <c r="BS709" i="2"/>
  <c r="BR736" i="2"/>
  <c r="BR21" i="2"/>
  <c r="BS20" i="2"/>
  <c r="BT845" i="2"/>
  <c r="BT731" i="2"/>
  <c r="BT709" i="2"/>
  <c r="BV707" i="2"/>
  <c r="BU707" i="2"/>
  <c r="BT836" i="2"/>
  <c r="BP1043" i="2"/>
  <c r="BQ845" i="2"/>
  <c r="BP850" i="2"/>
  <c r="BP22" i="2"/>
  <c r="BQ22" i="2" s="1"/>
  <c r="BP818" i="2"/>
  <c r="BQ818" i="2" s="1"/>
  <c r="BO967" i="2"/>
  <c r="BP967" i="2"/>
  <c r="BP738" i="2"/>
  <c r="BQ738" i="2" s="1"/>
  <c r="BQ709" i="2"/>
  <c r="BP736" i="2"/>
  <c r="BQ736" i="2" s="1"/>
  <c r="BN968" i="2"/>
  <c r="BO968" i="2" s="1"/>
  <c r="BN852" i="2"/>
  <c r="BO850" i="2"/>
  <c r="BN23" i="2"/>
  <c r="BO23" i="2" s="1"/>
  <c r="BS588" i="2"/>
  <c r="BT948" i="2"/>
  <c r="BU948" i="2" s="1"/>
  <c r="BU705" i="2"/>
  <c r="BV705" i="2"/>
  <c r="BS836" i="2"/>
  <c r="BR939" i="2"/>
  <c r="BS939" i="2" s="1"/>
  <c r="BR927" i="2"/>
  <c r="BS731" i="2"/>
  <c r="BR848" i="2"/>
  <c r="BR837" i="2"/>
  <c r="BS837" i="2" s="1"/>
  <c r="BN937" i="2"/>
  <c r="BO937" i="2" s="1"/>
  <c r="BN940" i="2"/>
  <c r="BO940" i="2" s="1"/>
  <c r="BO887" i="2"/>
  <c r="BN889" i="2"/>
  <c r="BN883" i="2"/>
  <c r="BO883" i="2" s="1"/>
  <c r="BP887" i="2"/>
  <c r="BP890" i="2" s="1"/>
  <c r="BN931" i="2"/>
  <c r="BO931" i="2" s="1"/>
  <c r="BN932" i="2"/>
  <c r="BO932" i="2" s="1"/>
  <c r="BN935" i="2"/>
  <c r="BO935" i="2" s="1"/>
  <c r="BN934" i="2"/>
  <c r="BO934" i="2" s="1"/>
  <c r="BN933" i="2"/>
  <c r="BO933" i="2" s="1"/>
  <c r="BN890" i="2"/>
  <c r="BS18" i="2"/>
  <c r="CK11" i="156"/>
  <c r="CM238" i="3"/>
  <c r="CL238" i="3"/>
  <c r="CM239" i="3"/>
  <c r="CH11" i="3"/>
  <c r="CG11" i="3"/>
  <c r="CJ11" i="3"/>
  <c r="CI11" i="3"/>
  <c r="CH12" i="156"/>
  <c r="CH13" i="156" s="1"/>
  <c r="CH241" i="3"/>
  <c r="CJ241" i="3"/>
  <c r="CJ12" i="156"/>
  <c r="CJ13" i="156" s="1"/>
  <c r="X46" i="178"/>
  <c r="Y46" i="178" s="1"/>
  <c r="CF19" i="3"/>
  <c r="CE19" i="3"/>
  <c r="AW92" i="156"/>
  <c r="AW97" i="3"/>
  <c r="CL287" i="3"/>
  <c r="CK287" i="3"/>
  <c r="CM287" i="3"/>
  <c r="AU85" i="3"/>
  <c r="AU80" i="156"/>
  <c r="AV95" i="3"/>
  <c r="AV90" i="156"/>
  <c r="CD44" i="156"/>
  <c r="CD51" i="3"/>
  <c r="AV34" i="3"/>
  <c r="AU83" i="3"/>
  <c r="AU78" i="156"/>
  <c r="AV93" i="3"/>
  <c r="AV88" i="156"/>
  <c r="CD34" i="156"/>
  <c r="CD41" i="3"/>
  <c r="AU81" i="3"/>
  <c r="AU76" i="156"/>
  <c r="AW82" i="156"/>
  <c r="AW87" i="3"/>
  <c r="AT39" i="156"/>
  <c r="AT46" i="3"/>
  <c r="CD87" i="3"/>
  <c r="CD82" i="156"/>
  <c r="CJ298" i="3"/>
  <c r="CI298" i="3"/>
  <c r="CI299" i="3" s="1"/>
  <c r="AU83" i="156"/>
  <c r="AU88" i="3"/>
  <c r="AV87" i="156"/>
  <c r="AV92" i="3"/>
  <c r="AW34" i="156"/>
  <c r="AW41" i="3"/>
  <c r="CD31" i="3"/>
  <c r="CC34" i="3"/>
  <c r="AW51" i="3"/>
  <c r="AW44" i="156"/>
  <c r="AU47" i="3"/>
  <c r="AU40" i="156"/>
  <c r="CC30" i="156"/>
  <c r="CC26" i="156"/>
  <c r="AU82" i="3"/>
  <c r="AU77" i="156"/>
  <c r="CD92" i="156"/>
  <c r="CD97" i="3"/>
  <c r="AT38" i="156"/>
  <c r="AT45" i="3"/>
  <c r="CM293" i="3"/>
  <c r="CL293" i="3"/>
  <c r="CK293" i="3"/>
  <c r="CJ305" i="3"/>
  <c r="CI305" i="3"/>
  <c r="CH12" i="3"/>
  <c r="CG12" i="3"/>
  <c r="AV86" i="156"/>
  <c r="AV91" i="3"/>
  <c r="AV98" i="3"/>
  <c r="AV93" i="156"/>
  <c r="CE24" i="3"/>
  <c r="CE22" i="156"/>
  <c r="CM9" i="3"/>
  <c r="CL9" i="3"/>
  <c r="CK9" i="3"/>
  <c r="CK10" i="3" s="1"/>
  <c r="BS848" i="2" l="1"/>
  <c r="BQ890" i="2"/>
  <c r="BN928" i="2"/>
  <c r="BO928" i="2" s="1"/>
  <c r="BN925" i="2"/>
  <c r="BO925" i="2" s="1"/>
  <c r="BO889" i="2"/>
  <c r="BN919" i="2"/>
  <c r="BO919" i="2" s="1"/>
  <c r="BN920" i="2"/>
  <c r="BO920" i="2" s="1"/>
  <c r="BN923" i="2"/>
  <c r="BO923" i="2" s="1"/>
  <c r="BN922" i="2"/>
  <c r="BO922" i="2" s="1"/>
  <c r="BN921" i="2"/>
  <c r="BO921" i="2" s="1"/>
  <c r="BN880" i="2"/>
  <c r="BN891" i="2"/>
  <c r="BQ967" i="2"/>
  <c r="BV836" i="2"/>
  <c r="BU836" i="2"/>
  <c r="BS738" i="2"/>
  <c r="BP906" i="2"/>
  <c r="BQ884" i="2"/>
  <c r="BR884" i="2"/>
  <c r="BS22" i="2"/>
  <c r="BV20" i="2"/>
  <c r="BU20" i="2"/>
  <c r="BT21" i="2"/>
  <c r="BP940" i="2"/>
  <c r="BQ940" i="2" s="1"/>
  <c r="BP937" i="2"/>
  <c r="BQ937" i="2" s="1"/>
  <c r="BR887" i="2"/>
  <c r="BR890" i="2" s="1"/>
  <c r="BP889" i="2"/>
  <c r="BP883" i="2"/>
  <c r="BQ883" i="2" s="1"/>
  <c r="BQ887" i="2"/>
  <c r="BP932" i="2"/>
  <c r="BQ932" i="2" s="1"/>
  <c r="BP931" i="2"/>
  <c r="BQ931" i="2" s="1"/>
  <c r="BP934" i="2"/>
  <c r="BQ934" i="2" s="1"/>
  <c r="BP935" i="2"/>
  <c r="BQ935" i="2" s="1"/>
  <c r="BP933" i="2"/>
  <c r="BQ933" i="2" s="1"/>
  <c r="BO852" i="2"/>
  <c r="BN24" i="2"/>
  <c r="BO24" i="2" s="1"/>
  <c r="BN711" i="2"/>
  <c r="BT1043" i="2"/>
  <c r="BV845" i="2"/>
  <c r="BU845" i="2"/>
  <c r="BT850" i="2"/>
  <c r="BT22" i="2"/>
  <c r="BT818" i="2"/>
  <c r="BS736" i="2"/>
  <c r="BS967" i="2"/>
  <c r="BV588" i="2"/>
  <c r="BU588" i="2"/>
  <c r="BR968" i="2"/>
  <c r="BR852" i="2"/>
  <c r="BS850" i="2"/>
  <c r="BR23" i="2"/>
  <c r="BP968" i="2"/>
  <c r="BQ968" i="2" s="1"/>
  <c r="BP852" i="2"/>
  <c r="BQ850" i="2"/>
  <c r="BP23" i="2"/>
  <c r="BQ23" i="2" s="1"/>
  <c r="BT939" i="2"/>
  <c r="BT927" i="2"/>
  <c r="BT848" i="2"/>
  <c r="BV731" i="2"/>
  <c r="BU731" i="2"/>
  <c r="BT837" i="2"/>
  <c r="BO890" i="2"/>
  <c r="BN906" i="2"/>
  <c r="BO906" i="2" s="1"/>
  <c r="BS927" i="2"/>
  <c r="BT967" i="2"/>
  <c r="BT738" i="2"/>
  <c r="BU709" i="2"/>
  <c r="BV709" i="2"/>
  <c r="BT736" i="2"/>
  <c r="BV589" i="2"/>
  <c r="BU589" i="2"/>
  <c r="BS818" i="2"/>
  <c r="BV18" i="2"/>
  <c r="BU18" i="2"/>
  <c r="CL239" i="3"/>
  <c r="CK239" i="3"/>
  <c r="CE74" i="3"/>
  <c r="CF74" i="3"/>
  <c r="CE302" i="3"/>
  <c r="CE69" i="3"/>
  <c r="CE70" i="3"/>
  <c r="CE245" i="3"/>
  <c r="CE68" i="3"/>
  <c r="CE21" i="3"/>
  <c r="CE22" i="3" s="1"/>
  <c r="CE19" i="156"/>
  <c r="CE73" i="3"/>
  <c r="CE367" i="3"/>
  <c r="CE187" i="3"/>
  <c r="CE71" i="3"/>
  <c r="CE127" i="3"/>
  <c r="CE67" i="3"/>
  <c r="CE456" i="3"/>
  <c r="CE76" i="3"/>
  <c r="CC87" i="156"/>
  <c r="CC92" i="3"/>
  <c r="AW91" i="3"/>
  <c r="AW86" i="156"/>
  <c r="CC95" i="3"/>
  <c r="CC90" i="156"/>
  <c r="AV85" i="3"/>
  <c r="AV80" i="156"/>
  <c r="AT84" i="3"/>
  <c r="AT79" i="156"/>
  <c r="CH19" i="3"/>
  <c r="CG19" i="3"/>
  <c r="AV88" i="3"/>
  <c r="AV83" i="156"/>
  <c r="AU38" i="156"/>
  <c r="AU45" i="3"/>
  <c r="CC88" i="156"/>
  <c r="CC93" i="3"/>
  <c r="CC98" i="3"/>
  <c r="CC93" i="156"/>
  <c r="AV76" i="156"/>
  <c r="AV81" i="3"/>
  <c r="AV77" i="156"/>
  <c r="AV82" i="3"/>
  <c r="CI12" i="3"/>
  <c r="CJ12" i="3"/>
  <c r="AT96" i="3"/>
  <c r="AT91" i="156"/>
  <c r="AW88" i="156"/>
  <c r="AW93" i="3"/>
  <c r="AW87" i="156"/>
  <c r="AW92" i="3"/>
  <c r="AV83" i="3"/>
  <c r="AV78" i="156"/>
  <c r="AU39" i="156"/>
  <c r="AU46" i="3"/>
  <c r="AW93" i="156"/>
  <c r="AW98" i="3"/>
  <c r="CC91" i="3"/>
  <c r="CC86" i="156"/>
  <c r="AT81" i="156"/>
  <c r="AT86" i="3"/>
  <c r="AT89" i="156"/>
  <c r="AT94" i="3"/>
  <c r="AV47" i="3"/>
  <c r="AV40" i="156"/>
  <c r="AW95" i="3"/>
  <c r="AW90" i="156"/>
  <c r="CK12" i="156"/>
  <c r="CK295" i="3"/>
  <c r="CM295" i="3"/>
  <c r="CL295" i="3"/>
  <c r="CF22" i="156"/>
  <c r="CF24" i="3"/>
  <c r="BQ906" i="2" l="1"/>
  <c r="BT968" i="2"/>
  <c r="BU968" i="2" s="1"/>
  <c r="BV850" i="2"/>
  <c r="BT852" i="2"/>
  <c r="BU850" i="2"/>
  <c r="BT23" i="2"/>
  <c r="BO711" i="2"/>
  <c r="BN712" i="2"/>
  <c r="BN733" i="2"/>
  <c r="BO733" i="2" s="1"/>
  <c r="BV736" i="2"/>
  <c r="BU736" i="2"/>
  <c r="BV927" i="2"/>
  <c r="BU927" i="2"/>
  <c r="BQ852" i="2"/>
  <c r="BP24" i="2"/>
  <c r="BQ24" i="2" s="1"/>
  <c r="BP711" i="2"/>
  <c r="BS852" i="2"/>
  <c r="BR24" i="2"/>
  <c r="BR711" i="2"/>
  <c r="BV22" i="2"/>
  <c r="BU22" i="2"/>
  <c r="BP925" i="2"/>
  <c r="BQ925" i="2" s="1"/>
  <c r="BP928" i="2"/>
  <c r="BQ928" i="2" s="1"/>
  <c r="BQ889" i="2"/>
  <c r="BP920" i="2"/>
  <c r="BQ920" i="2" s="1"/>
  <c r="BP919" i="2"/>
  <c r="BQ919" i="2" s="1"/>
  <c r="BP922" i="2"/>
  <c r="BQ922" i="2" s="1"/>
  <c r="BP923" i="2"/>
  <c r="BQ923" i="2" s="1"/>
  <c r="BP921" i="2"/>
  <c r="BQ921" i="2" s="1"/>
  <c r="BP880" i="2"/>
  <c r="BN878" i="2"/>
  <c r="BO880" i="2"/>
  <c r="BU967" i="2"/>
  <c r="BU848" i="2"/>
  <c r="BV848" i="2"/>
  <c r="BS23" i="2"/>
  <c r="BR937" i="2"/>
  <c r="BS937" i="2" s="1"/>
  <c r="BR940" i="2"/>
  <c r="BS940" i="2" s="1"/>
  <c r="BS887" i="2"/>
  <c r="BR889" i="2"/>
  <c r="BR891" i="2" s="1"/>
  <c r="BR883" i="2"/>
  <c r="BS883" i="2" s="1"/>
  <c r="BT887" i="2"/>
  <c r="BR931" i="2"/>
  <c r="BS931" i="2" s="1"/>
  <c r="BR932" i="2"/>
  <c r="BS932" i="2" s="1"/>
  <c r="BR935" i="2"/>
  <c r="BS935" i="2" s="1"/>
  <c r="BR934" i="2"/>
  <c r="BS934" i="2" s="1"/>
  <c r="BR933" i="2"/>
  <c r="BS933" i="2" s="1"/>
  <c r="BU837" i="2"/>
  <c r="BV837" i="2"/>
  <c r="BV939" i="2"/>
  <c r="BU939" i="2"/>
  <c r="BS968" i="2"/>
  <c r="BS890" i="2"/>
  <c r="BR906" i="2"/>
  <c r="BS906" i="2" s="1"/>
  <c r="BU738" i="2"/>
  <c r="BV738" i="2"/>
  <c r="BV818" i="2"/>
  <c r="BU818" i="2"/>
  <c r="BT884" i="2"/>
  <c r="BS884" i="2"/>
  <c r="BO891" i="2"/>
  <c r="BN903" i="2"/>
  <c r="BO903" i="2" s="1"/>
  <c r="BN905" i="2"/>
  <c r="BO905" i="2" s="1"/>
  <c r="BN904" i="2"/>
  <c r="BO904" i="2" s="1"/>
  <c r="BN985" i="2"/>
  <c r="BO985" i="2" s="1"/>
  <c r="BP891" i="2"/>
  <c r="CM9" i="156"/>
  <c r="CL9" i="156"/>
  <c r="CF72" i="3"/>
  <c r="CE72" i="3"/>
  <c r="CF302" i="3"/>
  <c r="CF69" i="3"/>
  <c r="CK241" i="3"/>
  <c r="CK242" i="3" s="1"/>
  <c r="CM241" i="3"/>
  <c r="CF456" i="3"/>
  <c r="CF76" i="3"/>
  <c r="CF71" i="3"/>
  <c r="CF187" i="3"/>
  <c r="CF21" i="3"/>
  <c r="CF19" i="156"/>
  <c r="CF245" i="3"/>
  <c r="CF68" i="3"/>
  <c r="CF75" i="3"/>
  <c r="CE75" i="3"/>
  <c r="CF127" i="3"/>
  <c r="CF67" i="3"/>
  <c r="CF367" i="3"/>
  <c r="CF73" i="3"/>
  <c r="CE69" i="156"/>
  <c r="CM69" i="156" s="1"/>
  <c r="CE61" i="156"/>
  <c r="CM61" i="156" s="1"/>
  <c r="CE64" i="156"/>
  <c r="CE20" i="156"/>
  <c r="CE66" i="156"/>
  <c r="CM66" i="156" s="1"/>
  <c r="CE62" i="156"/>
  <c r="CM62" i="156" s="1"/>
  <c r="CE65" i="156"/>
  <c r="CM65" i="156" s="1"/>
  <c r="CE72" i="156"/>
  <c r="CM72" i="156" s="1"/>
  <c r="CE68" i="156"/>
  <c r="CE63" i="156"/>
  <c r="CM63" i="156" s="1"/>
  <c r="CE67" i="156"/>
  <c r="CM67" i="156" s="1"/>
  <c r="CL10" i="156"/>
  <c r="CC88" i="3"/>
  <c r="CC83" i="156"/>
  <c r="AW83" i="3"/>
  <c r="AW78" i="156"/>
  <c r="AV46" i="3"/>
  <c r="AV39" i="156"/>
  <c r="CD90" i="156"/>
  <c r="CD95" i="3"/>
  <c r="AU81" i="156"/>
  <c r="AU86" i="3"/>
  <c r="CC81" i="3"/>
  <c r="CC76" i="156"/>
  <c r="CC40" i="156"/>
  <c r="CC47" i="3"/>
  <c r="AU96" i="3"/>
  <c r="AU91" i="156"/>
  <c r="CG187" i="3"/>
  <c r="CG71" i="3"/>
  <c r="CG69" i="3"/>
  <c r="CG302" i="3"/>
  <c r="CG70" i="3"/>
  <c r="AU84" i="3"/>
  <c r="AU79" i="156"/>
  <c r="AV45" i="3"/>
  <c r="AV38" i="156"/>
  <c r="AW80" i="156"/>
  <c r="AW85" i="3"/>
  <c r="CD86" i="156"/>
  <c r="CD91" i="3"/>
  <c r="CC80" i="156"/>
  <c r="CC85" i="3"/>
  <c r="CJ19" i="3"/>
  <c r="CI19" i="3"/>
  <c r="AW88" i="3"/>
  <c r="AW83" i="156"/>
  <c r="AW76" i="156"/>
  <c r="AW81" i="3"/>
  <c r="CG456" i="3"/>
  <c r="CG76" i="3"/>
  <c r="CH74" i="3"/>
  <c r="CG74" i="3"/>
  <c r="CM296" i="3"/>
  <c r="CL296" i="3"/>
  <c r="CK296" i="3"/>
  <c r="AU94" i="3"/>
  <c r="AU89" i="156"/>
  <c r="CD93" i="3"/>
  <c r="CD88" i="156"/>
  <c r="CG68" i="3"/>
  <c r="CG245" i="3"/>
  <c r="CG127" i="3"/>
  <c r="CG67" i="3"/>
  <c r="AW40" i="156"/>
  <c r="AW47" i="3"/>
  <c r="CC77" i="156"/>
  <c r="CC82" i="3"/>
  <c r="CC83" i="3"/>
  <c r="CC78" i="156"/>
  <c r="AW77" i="156"/>
  <c r="AW82" i="3"/>
  <c r="CD93" i="156"/>
  <c r="CD98" i="3"/>
  <c r="CG21" i="3"/>
  <c r="CG22" i="3" s="1"/>
  <c r="CG19" i="156"/>
  <c r="CG73" i="3"/>
  <c r="CG367" i="3"/>
  <c r="CD92" i="3"/>
  <c r="CD87" i="156"/>
  <c r="CF25" i="156"/>
  <c r="CE25" i="156"/>
  <c r="BS891" i="2" l="1"/>
  <c r="BR903" i="2"/>
  <c r="BR904" i="2"/>
  <c r="BR905" i="2"/>
  <c r="BR985" i="2"/>
  <c r="BT940" i="2"/>
  <c r="BT937" i="2"/>
  <c r="BV887" i="2"/>
  <c r="BT889" i="2"/>
  <c r="BT883" i="2"/>
  <c r="BU887" i="2"/>
  <c r="BT932" i="2"/>
  <c r="BT931" i="2"/>
  <c r="BT934" i="2"/>
  <c r="BT935" i="2"/>
  <c r="BT933" i="2"/>
  <c r="BQ880" i="2"/>
  <c r="BP878" i="2"/>
  <c r="BO712" i="2"/>
  <c r="BN832" i="2"/>
  <c r="BU884" i="2"/>
  <c r="BV884" i="2"/>
  <c r="BR928" i="2"/>
  <c r="BS928" i="2" s="1"/>
  <c r="BR925" i="2"/>
  <c r="BS925" i="2" s="1"/>
  <c r="BS889" i="2"/>
  <c r="BR919" i="2"/>
  <c r="BS919" i="2" s="1"/>
  <c r="BR920" i="2"/>
  <c r="BS920" i="2" s="1"/>
  <c r="BR922" i="2"/>
  <c r="BS922" i="2" s="1"/>
  <c r="BR923" i="2"/>
  <c r="BS923" i="2" s="1"/>
  <c r="BR921" i="2"/>
  <c r="BS921" i="2" s="1"/>
  <c r="BR880" i="2"/>
  <c r="BS711" i="2"/>
  <c r="BR712" i="2"/>
  <c r="BR733" i="2"/>
  <c r="BQ711" i="2"/>
  <c r="BP712" i="2"/>
  <c r="BP733" i="2"/>
  <c r="BQ733" i="2" s="1"/>
  <c r="BU852" i="2"/>
  <c r="BV852" i="2"/>
  <c r="BT24" i="2"/>
  <c r="BT711" i="2"/>
  <c r="BQ891" i="2"/>
  <c r="BP903" i="2"/>
  <c r="BQ903" i="2" s="1"/>
  <c r="BP905" i="2"/>
  <c r="BQ905" i="2" s="1"/>
  <c r="BP904" i="2"/>
  <c r="BQ904" i="2" s="1"/>
  <c r="BP985" i="2"/>
  <c r="BQ985" i="2" s="1"/>
  <c r="BT890" i="2"/>
  <c r="BO878" i="2"/>
  <c r="BN936" i="2"/>
  <c r="BO936" i="2" s="1"/>
  <c r="BN938" i="2"/>
  <c r="BO938" i="2" s="1"/>
  <c r="BN924" i="2"/>
  <c r="BO924" i="2" s="1"/>
  <c r="BN926" i="2"/>
  <c r="BO926" i="2" s="1"/>
  <c r="BS24" i="2"/>
  <c r="BV23" i="2"/>
  <c r="BU23" i="2"/>
  <c r="CM64" i="156"/>
  <c r="CE73" i="156"/>
  <c r="CF77" i="3"/>
  <c r="CE77" i="3"/>
  <c r="CE78" i="3" s="1"/>
  <c r="CE25" i="3"/>
  <c r="CE23" i="156"/>
  <c r="X49" i="178"/>
  <c r="CL11" i="3"/>
  <c r="CM11" i="3"/>
  <c r="CK11" i="3"/>
  <c r="CL241" i="3"/>
  <c r="CL12" i="156"/>
  <c r="CL13" i="156" s="1"/>
  <c r="CF27" i="3"/>
  <c r="CE27" i="3"/>
  <c r="CH19" i="156"/>
  <c r="CH21" i="3"/>
  <c r="CI127" i="3"/>
  <c r="CI67" i="3"/>
  <c r="CH72" i="3"/>
  <c r="CG72" i="3"/>
  <c r="CD76" i="156"/>
  <c r="CD81" i="3"/>
  <c r="CI21" i="3"/>
  <c r="CI22" i="3" s="1"/>
  <c r="CI19" i="156"/>
  <c r="CI245" i="3"/>
  <c r="CI68" i="3"/>
  <c r="CD47" i="3"/>
  <c r="CD40" i="156"/>
  <c r="CG72" i="156"/>
  <c r="CG67" i="156"/>
  <c r="CG64" i="156"/>
  <c r="CG63" i="156"/>
  <c r="CG66" i="156"/>
  <c r="CG69" i="156"/>
  <c r="CG68" i="156"/>
  <c r="CM19" i="156"/>
  <c r="CG61" i="156"/>
  <c r="CG20" i="156"/>
  <c r="CG62" i="156"/>
  <c r="CG65" i="156"/>
  <c r="CD78" i="156"/>
  <c r="CD83" i="3"/>
  <c r="AV91" i="156"/>
  <c r="AV96" i="3"/>
  <c r="CI70" i="3"/>
  <c r="CI69" i="3"/>
  <c r="CI302" i="3"/>
  <c r="CC39" i="156"/>
  <c r="CC46" i="3"/>
  <c r="CI71" i="3"/>
  <c r="CI187" i="3"/>
  <c r="CI73" i="3"/>
  <c r="CI367" i="3"/>
  <c r="CH71" i="3"/>
  <c r="CH187" i="3"/>
  <c r="AV86" i="3"/>
  <c r="AV81" i="156"/>
  <c r="AV94" i="3"/>
  <c r="AV89" i="156"/>
  <c r="AW39" i="156"/>
  <c r="AW46" i="3"/>
  <c r="CK305" i="3"/>
  <c r="CL305" i="3"/>
  <c r="CM305" i="3"/>
  <c r="CH73" i="3"/>
  <c r="CH367" i="3"/>
  <c r="CG22" i="156"/>
  <c r="CG24" i="3"/>
  <c r="CD77" i="156"/>
  <c r="CD82" i="3"/>
  <c r="CH127" i="3"/>
  <c r="CH67" i="3"/>
  <c r="CH245" i="3"/>
  <c r="CH68" i="3"/>
  <c r="CG75" i="3"/>
  <c r="CH75" i="3"/>
  <c r="CH456" i="3"/>
  <c r="CH76" i="3"/>
  <c r="CC45" i="3"/>
  <c r="CC38" i="156"/>
  <c r="W66" i="178"/>
  <c r="CI76" i="3"/>
  <c r="CI456" i="3"/>
  <c r="CJ74" i="3"/>
  <c r="CI74" i="3"/>
  <c r="CD80" i="156"/>
  <c r="CD85" i="3"/>
  <c r="AW45" i="3"/>
  <c r="AW38" i="156"/>
  <c r="CH69" i="3"/>
  <c r="CH302" i="3"/>
  <c r="AV84" i="3"/>
  <c r="AV79" i="156"/>
  <c r="CD88" i="3"/>
  <c r="CD83" i="156"/>
  <c r="CK298" i="3"/>
  <c r="CK299" i="3" s="1"/>
  <c r="CL298" i="3"/>
  <c r="CM298" i="3"/>
  <c r="CE26" i="156"/>
  <c r="BS733" i="2" l="1"/>
  <c r="BV931" i="2"/>
  <c r="BU931" i="2"/>
  <c r="BV883" i="2"/>
  <c r="BU883" i="2"/>
  <c r="BS905" i="2"/>
  <c r="BU711" i="2"/>
  <c r="BT712" i="2"/>
  <c r="BT733" i="2"/>
  <c r="BS712" i="2"/>
  <c r="BR832" i="2"/>
  <c r="BV932" i="2"/>
  <c r="BU932" i="2"/>
  <c r="BT925" i="2"/>
  <c r="BT928" i="2"/>
  <c r="BV889" i="2"/>
  <c r="BU889" i="2"/>
  <c r="BT919" i="2"/>
  <c r="BT920" i="2"/>
  <c r="BT923" i="2"/>
  <c r="BT922" i="2"/>
  <c r="BT921" i="2"/>
  <c r="BT880" i="2"/>
  <c r="BV24" i="2"/>
  <c r="BU24" i="2"/>
  <c r="BQ712" i="2"/>
  <c r="BP832" i="2"/>
  <c r="BT891" i="2"/>
  <c r="BV935" i="2"/>
  <c r="BU935" i="2"/>
  <c r="BV940" i="2"/>
  <c r="BU940" i="2"/>
  <c r="BS903" i="2"/>
  <c r="BV933" i="2"/>
  <c r="BU933" i="2"/>
  <c r="BS904" i="2"/>
  <c r="BU890" i="2"/>
  <c r="BV890" i="2"/>
  <c r="BT906" i="2"/>
  <c r="BR878" i="2"/>
  <c r="BS880" i="2"/>
  <c r="BQ878" i="2"/>
  <c r="BP938" i="2"/>
  <c r="BQ938" i="2" s="1"/>
  <c r="BP936" i="2"/>
  <c r="BQ936" i="2" s="1"/>
  <c r="BP924" i="2"/>
  <c r="BQ924" i="2" s="1"/>
  <c r="BP926" i="2"/>
  <c r="BQ926" i="2" s="1"/>
  <c r="BV934" i="2"/>
  <c r="BU934" i="2"/>
  <c r="BV937" i="2"/>
  <c r="BU937" i="2"/>
  <c r="BS985" i="2"/>
  <c r="CE36" i="3"/>
  <c r="CE37" i="3" s="1"/>
  <c r="CE29" i="156"/>
  <c r="CE30" i="156" s="1"/>
  <c r="CF28" i="3"/>
  <c r="CE28" i="3"/>
  <c r="CE39" i="3"/>
  <c r="CE32" i="156"/>
  <c r="CF23" i="156"/>
  <c r="CF25" i="3"/>
  <c r="AW86" i="3"/>
  <c r="AW81" i="156"/>
  <c r="CC79" i="156"/>
  <c r="CC84" i="3"/>
  <c r="CC94" i="3"/>
  <c r="CC89" i="156"/>
  <c r="CJ75" i="3"/>
  <c r="CI75" i="3"/>
  <c r="CH24" i="3"/>
  <c r="CH22" i="156"/>
  <c r="CJ367" i="3"/>
  <c r="CJ73" i="3"/>
  <c r="CJ302" i="3"/>
  <c r="CJ69" i="3"/>
  <c r="AW96" i="3"/>
  <c r="AW91" i="156"/>
  <c r="CG73" i="156"/>
  <c r="CI69" i="156"/>
  <c r="CI61" i="156"/>
  <c r="CI62" i="156"/>
  <c r="CI72" i="156"/>
  <c r="CI65" i="156"/>
  <c r="CI67" i="156"/>
  <c r="CI64" i="156"/>
  <c r="CI63" i="156"/>
  <c r="CI66" i="156"/>
  <c r="CI20" i="156"/>
  <c r="CI68" i="156"/>
  <c r="CC86" i="3"/>
  <c r="CC81" i="156"/>
  <c r="CM12" i="3"/>
  <c r="CL12" i="3"/>
  <c r="CK12" i="3"/>
  <c r="CJ76" i="3"/>
  <c r="CJ456" i="3"/>
  <c r="AW89" i="156"/>
  <c r="AW94" i="3"/>
  <c r="CJ72" i="3"/>
  <c r="CI72" i="3"/>
  <c r="CJ68" i="3"/>
  <c r="CJ245" i="3"/>
  <c r="CH27" i="3"/>
  <c r="CG27" i="3"/>
  <c r="CJ127" i="3"/>
  <c r="CJ67" i="3"/>
  <c r="CG77" i="3"/>
  <c r="CG78" i="3" s="1"/>
  <c r="CH77" i="3"/>
  <c r="CD39" i="156"/>
  <c r="CD46" i="3"/>
  <c r="AW84" i="3"/>
  <c r="AW79" i="156"/>
  <c r="CI77" i="3"/>
  <c r="CI78" i="3" s="1"/>
  <c r="CJ77" i="3"/>
  <c r="CD45" i="3"/>
  <c r="CD38" i="156"/>
  <c r="CI22" i="156"/>
  <c r="CI24" i="3"/>
  <c r="CJ71" i="3"/>
  <c r="CJ187" i="3"/>
  <c r="CJ21" i="3"/>
  <c r="CJ19" i="156"/>
  <c r="CC91" i="156"/>
  <c r="CC96" i="3"/>
  <c r="CG25" i="3"/>
  <c r="CG23" i="156"/>
  <c r="BV919" i="2" l="1"/>
  <c r="BU919" i="2"/>
  <c r="BV928" i="2"/>
  <c r="BU928" i="2"/>
  <c r="BU921" i="2"/>
  <c r="BV921" i="2"/>
  <c r="BV920" i="2"/>
  <c r="BU920" i="2"/>
  <c r="BU712" i="2"/>
  <c r="BV712" i="2"/>
  <c r="BT832" i="2"/>
  <c r="BS878" i="2"/>
  <c r="BR938" i="2"/>
  <c r="BS938" i="2" s="1"/>
  <c r="BR936" i="2"/>
  <c r="BS936" i="2" s="1"/>
  <c r="BR924" i="2"/>
  <c r="BS924" i="2" s="1"/>
  <c r="BR926" i="2"/>
  <c r="BS926" i="2" s="1"/>
  <c r="BV891" i="2"/>
  <c r="BU891" i="2"/>
  <c r="BT903" i="2"/>
  <c r="BT905" i="2"/>
  <c r="BT904" i="2"/>
  <c r="BT985" i="2"/>
  <c r="BU985" i="2" s="1"/>
  <c r="BV922" i="2"/>
  <c r="BU922" i="2"/>
  <c r="BV925" i="2"/>
  <c r="BU925" i="2"/>
  <c r="BV906" i="2"/>
  <c r="BU906" i="2"/>
  <c r="BV880" i="2"/>
  <c r="BU880" i="2"/>
  <c r="BT878" i="2"/>
  <c r="BV923" i="2"/>
  <c r="BU923" i="2"/>
  <c r="BV733" i="2"/>
  <c r="BU733" i="2"/>
  <c r="CE97" i="3"/>
  <c r="CE92" i="156"/>
  <c r="CE82" i="156"/>
  <c r="CE87" i="3"/>
  <c r="CE51" i="3"/>
  <c r="X67" i="178"/>
  <c r="CE44" i="156"/>
  <c r="CE41" i="3"/>
  <c r="CE42" i="3" s="1"/>
  <c r="CE34" i="156"/>
  <c r="CE35" i="156" s="1"/>
  <c r="CF32" i="156"/>
  <c r="CF39" i="3"/>
  <c r="CF36" i="3"/>
  <c r="CF29" i="156"/>
  <c r="CE31" i="3"/>
  <c r="CF31" i="3"/>
  <c r="CI73" i="156"/>
  <c r="CG25" i="156"/>
  <c r="CG26" i="156" s="1"/>
  <c r="CH25" i="156"/>
  <c r="CI23" i="156"/>
  <c r="CI25" i="3"/>
  <c r="CH28" i="3"/>
  <c r="CG28" i="3"/>
  <c r="CK19" i="3"/>
  <c r="CL19" i="3"/>
  <c r="CM19" i="3"/>
  <c r="CD94" i="3"/>
  <c r="CD89" i="156"/>
  <c r="CJ27" i="3"/>
  <c r="CI27" i="3"/>
  <c r="CD79" i="156"/>
  <c r="CD84" i="3"/>
  <c r="CJ22" i="156"/>
  <c r="CJ24" i="3"/>
  <c r="CG29" i="156"/>
  <c r="CG36" i="3"/>
  <c r="CG37" i="3" s="1"/>
  <c r="CH23" i="156"/>
  <c r="CH25" i="3"/>
  <c r="CD91" i="156"/>
  <c r="CD96" i="3"/>
  <c r="CG32" i="156"/>
  <c r="CG39" i="3"/>
  <c r="CD86" i="3"/>
  <c r="CD81" i="156"/>
  <c r="BV878" i="2" l="1"/>
  <c r="BU878" i="2"/>
  <c r="BT938" i="2"/>
  <c r="BT936" i="2"/>
  <c r="BT926" i="2"/>
  <c r="BT924" i="2"/>
  <c r="BV905" i="2"/>
  <c r="BU905" i="2"/>
  <c r="BU903" i="2"/>
  <c r="BV903" i="2"/>
  <c r="BV904" i="2"/>
  <c r="BU904" i="2"/>
  <c r="CE32" i="3"/>
  <c r="CE34" i="3"/>
  <c r="CE88" i="156"/>
  <c r="CE93" i="3"/>
  <c r="CE92" i="3"/>
  <c r="CE87" i="156"/>
  <c r="CF44" i="156"/>
  <c r="CF51" i="3"/>
  <c r="CF92" i="156"/>
  <c r="CF97" i="3"/>
  <c r="CF41" i="3"/>
  <c r="CF34" i="156"/>
  <c r="CE98" i="3"/>
  <c r="CE93" i="156"/>
  <c r="CE90" i="156"/>
  <c r="CE95" i="3"/>
  <c r="CE86" i="156"/>
  <c r="CE91" i="3"/>
  <c r="CF82" i="156"/>
  <c r="CF87" i="3"/>
  <c r="CG30" i="156"/>
  <c r="CG34" i="156"/>
  <c r="CG35" i="156" s="1"/>
  <c r="CG41" i="3"/>
  <c r="CG42" i="3" s="1"/>
  <c r="CH36" i="3"/>
  <c r="CH29" i="156"/>
  <c r="CK127" i="3"/>
  <c r="CK67" i="3"/>
  <c r="CK367" i="3"/>
  <c r="CK73" i="3"/>
  <c r="CK76" i="3"/>
  <c r="CK456" i="3"/>
  <c r="CG82" i="156"/>
  <c r="CG87" i="3"/>
  <c r="CJ25" i="156"/>
  <c r="CI25" i="156"/>
  <c r="CI39" i="3"/>
  <c r="CI32" i="156"/>
  <c r="CL74" i="3"/>
  <c r="CK74" i="3"/>
  <c r="CM74" i="3"/>
  <c r="CM21" i="3"/>
  <c r="CK21" i="3"/>
  <c r="CK22" i="3" s="1"/>
  <c r="CK19" i="156"/>
  <c r="CJ25" i="3"/>
  <c r="CJ23" i="156"/>
  <c r="CH39" i="3"/>
  <c r="CH32" i="156"/>
  <c r="CG44" i="156"/>
  <c r="CG51" i="3"/>
  <c r="CG31" i="3"/>
  <c r="CH31" i="3"/>
  <c r="CK302" i="3"/>
  <c r="CK69" i="3"/>
  <c r="CK70" i="3"/>
  <c r="CG92" i="156"/>
  <c r="CG97" i="3"/>
  <c r="CI36" i="3"/>
  <c r="CI37" i="3" s="1"/>
  <c r="CI29" i="156"/>
  <c r="CJ28" i="3"/>
  <c r="CI28" i="3"/>
  <c r="CK187" i="3"/>
  <c r="CK71" i="3"/>
  <c r="CK245" i="3"/>
  <c r="CK68" i="3"/>
  <c r="BV938" i="2" l="1"/>
  <c r="BU938" i="2"/>
  <c r="BV936" i="2"/>
  <c r="BU936" i="2"/>
  <c r="BV924" i="2"/>
  <c r="BU924" i="2"/>
  <c r="BV926" i="2"/>
  <c r="BU926" i="2"/>
  <c r="CF91" i="3"/>
  <c r="CF86" i="156"/>
  <c r="CF93" i="156"/>
  <c r="CF98" i="3"/>
  <c r="CE83" i="3"/>
  <c r="CE78" i="156"/>
  <c r="CE47" i="3"/>
  <c r="CE40" i="156"/>
  <c r="CF90" i="156"/>
  <c r="CF95" i="3"/>
  <c r="CE88" i="3"/>
  <c r="CE83" i="156"/>
  <c r="CE77" i="156"/>
  <c r="CE82" i="3"/>
  <c r="CF87" i="156"/>
  <c r="CF92" i="3"/>
  <c r="CF93" i="3"/>
  <c r="CF88" i="156"/>
  <c r="CE80" i="156"/>
  <c r="CE85" i="3"/>
  <c r="CE81" i="3"/>
  <c r="CE76" i="156"/>
  <c r="CM245" i="3"/>
  <c r="CM68" i="3"/>
  <c r="CL71" i="3"/>
  <c r="CL187" i="3"/>
  <c r="CG98" i="3"/>
  <c r="CG93" i="156"/>
  <c r="CM456" i="3"/>
  <c r="CM76" i="3"/>
  <c r="CI31" i="3"/>
  <c r="CJ31" i="3"/>
  <c r="CM302" i="3"/>
  <c r="CM69" i="3"/>
  <c r="CG95" i="3"/>
  <c r="CG90" i="156"/>
  <c r="CK66" i="156"/>
  <c r="CK20" i="156"/>
  <c r="CK72" i="156"/>
  <c r="CK69" i="156"/>
  <c r="CK61" i="156"/>
  <c r="CK62" i="156"/>
  <c r="CK65" i="156"/>
  <c r="CK67" i="156"/>
  <c r="CK64" i="156"/>
  <c r="CK63" i="156"/>
  <c r="CK68" i="156"/>
  <c r="CL75" i="3"/>
  <c r="CM75" i="3"/>
  <c r="CK75" i="3"/>
  <c r="CI87" i="3"/>
  <c r="CI82" i="156"/>
  <c r="CJ32" i="156"/>
  <c r="CJ39" i="3"/>
  <c r="CM367" i="3"/>
  <c r="CM73" i="3"/>
  <c r="CL68" i="3"/>
  <c r="CL245" i="3"/>
  <c r="CM71" i="3"/>
  <c r="CM187" i="3"/>
  <c r="CI51" i="3"/>
  <c r="CI44" i="156"/>
  <c r="CJ36" i="3"/>
  <c r="CJ29" i="156"/>
  <c r="CH97" i="3"/>
  <c r="CH92" i="156"/>
  <c r="CK24" i="3"/>
  <c r="CK22" i="156"/>
  <c r="CG93" i="3"/>
  <c r="CG88" i="156"/>
  <c r="CG91" i="3"/>
  <c r="CG86" i="156"/>
  <c r="CL456" i="3"/>
  <c r="CL76" i="3"/>
  <c r="CM67" i="3"/>
  <c r="CM127" i="3"/>
  <c r="CM72" i="3"/>
  <c r="CL72" i="3"/>
  <c r="CK72" i="3"/>
  <c r="CL302" i="3"/>
  <c r="CL69" i="3"/>
  <c r="CG32" i="3"/>
  <c r="CG34" i="3"/>
  <c r="CH51" i="3"/>
  <c r="CH44" i="156"/>
  <c r="CG87" i="156"/>
  <c r="CG92" i="3"/>
  <c r="CL19" i="156"/>
  <c r="CL21" i="3"/>
  <c r="CI41" i="3"/>
  <c r="CI42" i="3" s="1"/>
  <c r="CI34" i="156"/>
  <c r="CI35" i="156" s="1"/>
  <c r="CI97" i="3"/>
  <c r="CI92" i="156"/>
  <c r="CI30" i="156"/>
  <c r="CI26" i="156"/>
  <c r="CH82" i="156"/>
  <c r="CH87" i="3"/>
  <c r="CL367" i="3"/>
  <c r="CL73" i="3"/>
  <c r="CL67" i="3"/>
  <c r="CL127" i="3"/>
  <c r="CH41" i="3"/>
  <c r="CH34" i="156"/>
  <c r="CF76" i="156" l="1"/>
  <c r="CF81" i="3"/>
  <c r="CE39" i="156"/>
  <c r="CE46" i="3"/>
  <c r="CF80" i="156"/>
  <c r="CF85" i="3"/>
  <c r="CF82" i="3"/>
  <c r="CF77" i="156"/>
  <c r="CF40" i="156"/>
  <c r="CF47" i="3"/>
  <c r="CE45" i="3"/>
  <c r="CE38" i="156"/>
  <c r="X66" i="178"/>
  <c r="CF83" i="156"/>
  <c r="CF88" i="3"/>
  <c r="CF83" i="3"/>
  <c r="CF78" i="156"/>
  <c r="CK73" i="156"/>
  <c r="CG82" i="3"/>
  <c r="CG77" i="156"/>
  <c r="CK23" i="156"/>
  <c r="CK25" i="3"/>
  <c r="CI92" i="3"/>
  <c r="CI87" i="156"/>
  <c r="CG47" i="3"/>
  <c r="CG40" i="156"/>
  <c r="CI34" i="3"/>
  <c r="CI32" i="3"/>
  <c r="CH87" i="156"/>
  <c r="CH92" i="3"/>
  <c r="CH91" i="3"/>
  <c r="CH86" i="156"/>
  <c r="CG78" i="156"/>
  <c r="CG83" i="3"/>
  <c r="CG88" i="3"/>
  <c r="CG83" i="156"/>
  <c r="CM24" i="3"/>
  <c r="CM22" i="156"/>
  <c r="CJ44" i="156"/>
  <c r="CJ51" i="3"/>
  <c r="CJ87" i="3"/>
  <c r="CJ82" i="156"/>
  <c r="CH90" i="156"/>
  <c r="CH95" i="3"/>
  <c r="CI86" i="156"/>
  <c r="CI91" i="3"/>
  <c r="CJ92" i="156"/>
  <c r="CJ97" i="3"/>
  <c r="CG76" i="156"/>
  <c r="CG81" i="3"/>
  <c r="CI90" i="156"/>
  <c r="CI95" i="3"/>
  <c r="CG85" i="3"/>
  <c r="CG80" i="156"/>
  <c r="CK27" i="3"/>
  <c r="CM27" i="3"/>
  <c r="CL27" i="3"/>
  <c r="CI93" i="3"/>
  <c r="CI88" i="156"/>
  <c r="CJ41" i="3"/>
  <c r="CJ34" i="156"/>
  <c r="CH88" i="156"/>
  <c r="CH93" i="3"/>
  <c r="CL24" i="3"/>
  <c r="CL22" i="156"/>
  <c r="CK77" i="3"/>
  <c r="CK78" i="3" s="1"/>
  <c r="CM77" i="3"/>
  <c r="CL77" i="3"/>
  <c r="CI93" i="156"/>
  <c r="CI98" i="3"/>
  <c r="CH93" i="156"/>
  <c r="CH98" i="3"/>
  <c r="CE91" i="156" l="1"/>
  <c r="CE96" i="3"/>
  <c r="CE84" i="3"/>
  <c r="CE79" i="156"/>
  <c r="CF46" i="3"/>
  <c r="CF39" i="156"/>
  <c r="CE81" i="156"/>
  <c r="CE86" i="3"/>
  <c r="CF45" i="3"/>
  <c r="CF38" i="156"/>
  <c r="CE89" i="156"/>
  <c r="CE94" i="3"/>
  <c r="CI77" i="156"/>
  <c r="CI82" i="3"/>
  <c r="CI85" i="3"/>
  <c r="CI80" i="156"/>
  <c r="CI88" i="3"/>
  <c r="CI83" i="156"/>
  <c r="CI38" i="156"/>
  <c r="CI45" i="3"/>
  <c r="CK29" i="156"/>
  <c r="CK36" i="3"/>
  <c r="CK37" i="3" s="1"/>
  <c r="CM28" i="3"/>
  <c r="CL28" i="3"/>
  <c r="CK28" i="3"/>
  <c r="CG39" i="156"/>
  <c r="CG46" i="3"/>
  <c r="CJ86" i="156"/>
  <c r="CJ91" i="3"/>
  <c r="CL23" i="156"/>
  <c r="CL25" i="3"/>
  <c r="CM25" i="3"/>
  <c r="CM23" i="156"/>
  <c r="CI78" i="156"/>
  <c r="CI83" i="3"/>
  <c r="CJ98" i="3"/>
  <c r="CJ93" i="156"/>
  <c r="CK32" i="156"/>
  <c r="CK39" i="3"/>
  <c r="CG45" i="3"/>
  <c r="CG38" i="156"/>
  <c r="CH85" i="3"/>
  <c r="CH80" i="156"/>
  <c r="CI46" i="3"/>
  <c r="CI39" i="156"/>
  <c r="CH47" i="3"/>
  <c r="CH40" i="156"/>
  <c r="CI81" i="3"/>
  <c r="CI76" i="156"/>
  <c r="CJ93" i="3"/>
  <c r="CJ88" i="156"/>
  <c r="CI47" i="3"/>
  <c r="CI40" i="156"/>
  <c r="CJ90" i="156"/>
  <c r="CJ95" i="3"/>
  <c r="CH76" i="156"/>
  <c r="CH81" i="3"/>
  <c r="CH83" i="156"/>
  <c r="CH88" i="3"/>
  <c r="CH78" i="156"/>
  <c r="CH83" i="3"/>
  <c r="CM25" i="156"/>
  <c r="CK25" i="156"/>
  <c r="CL25" i="156"/>
  <c r="CJ87" i="156"/>
  <c r="CJ92" i="3"/>
  <c r="CH82" i="3"/>
  <c r="CH77" i="156"/>
  <c r="CF79" i="156" l="1"/>
  <c r="CF84" i="3"/>
  <c r="CF81" i="156"/>
  <c r="CF86" i="3"/>
  <c r="CF91" i="156"/>
  <c r="CF96" i="3"/>
  <c r="CF89" i="156"/>
  <c r="CF94" i="3"/>
  <c r="CH38" i="156"/>
  <c r="CH45" i="3"/>
  <c r="CK41" i="3"/>
  <c r="CK42" i="3" s="1"/>
  <c r="CK34" i="156"/>
  <c r="CK35" i="156" s="1"/>
  <c r="CK97" i="3"/>
  <c r="CK92" i="156"/>
  <c r="CG91" i="156"/>
  <c r="CG96" i="3"/>
  <c r="CG94" i="3"/>
  <c r="CG89" i="156"/>
  <c r="CJ88" i="3"/>
  <c r="CJ83" i="156"/>
  <c r="CJ39" i="156"/>
  <c r="CJ46" i="3"/>
  <c r="CL39" i="3"/>
  <c r="CL32" i="156"/>
  <c r="CL29" i="156"/>
  <c r="CL36" i="3"/>
  <c r="CG79" i="156"/>
  <c r="CG84" i="3"/>
  <c r="CJ82" i="3"/>
  <c r="CJ77" i="156"/>
  <c r="CK87" i="3"/>
  <c r="CK82" i="156"/>
  <c r="CK44" i="156"/>
  <c r="CK51" i="3"/>
  <c r="CJ45" i="3"/>
  <c r="CJ38" i="156"/>
  <c r="CK30" i="156"/>
  <c r="CK26" i="156"/>
  <c r="CJ47" i="3"/>
  <c r="CJ40" i="156"/>
  <c r="CJ76" i="156"/>
  <c r="CJ81" i="3"/>
  <c r="CM32" i="156"/>
  <c r="CM39" i="3"/>
  <c r="CJ78" i="156"/>
  <c r="CJ83" i="3"/>
  <c r="CH46" i="3"/>
  <c r="CH39" i="156"/>
  <c r="CL31" i="3"/>
  <c r="CM31" i="3"/>
  <c r="CK31" i="3"/>
  <c r="CK34" i="3" s="1"/>
  <c r="CM29" i="156"/>
  <c r="CM36" i="3"/>
  <c r="CG86" i="3"/>
  <c r="CG81" i="156"/>
  <c r="CJ80" i="156"/>
  <c r="CJ85" i="3"/>
  <c r="CI91" i="156" l="1"/>
  <c r="CI96" i="3"/>
  <c r="CM82" i="156"/>
  <c r="CM87" i="3"/>
  <c r="CL92" i="156"/>
  <c r="CL97" i="3"/>
  <c r="CL41" i="3"/>
  <c r="CL34" i="156"/>
  <c r="CH86" i="3"/>
  <c r="CH81" i="156"/>
  <c r="CM44" i="156"/>
  <c r="CM51" i="3"/>
  <c r="CH84" i="3"/>
  <c r="CH79" i="156"/>
  <c r="CH94" i="3"/>
  <c r="CH89" i="156"/>
  <c r="CK95" i="3"/>
  <c r="CK90" i="156"/>
  <c r="CK98" i="3"/>
  <c r="CK93" i="156"/>
  <c r="CI79" i="156"/>
  <c r="CI84" i="3"/>
  <c r="CL51" i="3"/>
  <c r="CL44" i="156"/>
  <c r="CK32" i="3"/>
  <c r="CH91" i="156"/>
  <c r="CH96" i="3"/>
  <c r="CK93" i="3"/>
  <c r="CK88" i="156"/>
  <c r="CM34" i="156"/>
  <c r="CM41" i="3"/>
  <c r="CI81" i="156"/>
  <c r="CI86" i="3"/>
  <c r="CI94" i="3"/>
  <c r="CI89" i="156"/>
  <c r="CL82" i="156"/>
  <c r="CL87" i="3"/>
  <c r="CK87" i="156"/>
  <c r="CK92" i="3"/>
  <c r="CK91" i="3"/>
  <c r="CK86" i="156"/>
  <c r="CM92" i="156"/>
  <c r="CM97" i="3"/>
  <c r="CM91" i="3" l="1"/>
  <c r="CM86" i="156"/>
  <c r="CK82" i="3"/>
  <c r="CK77" i="156"/>
  <c r="CM88" i="156"/>
  <c r="CM93" i="3"/>
  <c r="CL95" i="3"/>
  <c r="CL90" i="156"/>
  <c r="CL91" i="3"/>
  <c r="CL86" i="156"/>
  <c r="CK76" i="156"/>
  <c r="CK81" i="3"/>
  <c r="CL98" i="3"/>
  <c r="CL93" i="156"/>
  <c r="CK83" i="156"/>
  <c r="CK88" i="3"/>
  <c r="CM92" i="3"/>
  <c r="CM87" i="156"/>
  <c r="CL93" i="3"/>
  <c r="CL88" i="156"/>
  <c r="CM93" i="156"/>
  <c r="CM98" i="3"/>
  <c r="CJ91" i="156"/>
  <c r="CJ96" i="3"/>
  <c r="CJ79" i="156"/>
  <c r="CJ84" i="3"/>
  <c r="CK47" i="3"/>
  <c r="CK40" i="156"/>
  <c r="CL87" i="156"/>
  <c r="CL92" i="3"/>
  <c r="CJ81" i="156"/>
  <c r="CJ86" i="3"/>
  <c r="CK85" i="3"/>
  <c r="CK80" i="156"/>
  <c r="CK78" i="156"/>
  <c r="CK83" i="3"/>
  <c r="CJ89" i="156"/>
  <c r="CJ94" i="3"/>
  <c r="CM90" i="156"/>
  <c r="CM95" i="3"/>
  <c r="CM83" i="3" l="1"/>
  <c r="CM78" i="156"/>
  <c r="CK38" i="156"/>
  <c r="CK45" i="3"/>
  <c r="CL85" i="3"/>
  <c r="CL80" i="156"/>
  <c r="CM47" i="3"/>
  <c r="CM40" i="156"/>
  <c r="CM82" i="3"/>
  <c r="CM77" i="156"/>
  <c r="CL83" i="3"/>
  <c r="CL78" i="156"/>
  <c r="CM80" i="156"/>
  <c r="CM85" i="3"/>
  <c r="CM76" i="156"/>
  <c r="CM81" i="3"/>
  <c r="CL47" i="3"/>
  <c r="CL40" i="156"/>
  <c r="CM88" i="3"/>
  <c r="CM83" i="156"/>
  <c r="CK39" i="156"/>
  <c r="CK46" i="3"/>
  <c r="CL88" i="3"/>
  <c r="CL83" i="156"/>
  <c r="CL81" i="3"/>
  <c r="CL76" i="156"/>
  <c r="CL77" i="156"/>
  <c r="CL82" i="3"/>
  <c r="CK81" i="156" l="1"/>
  <c r="CK86" i="3"/>
  <c r="CM45" i="3"/>
  <c r="CM38" i="156"/>
  <c r="CL39" i="156"/>
  <c r="CL46" i="3"/>
  <c r="CK84" i="3"/>
  <c r="CK79" i="156"/>
  <c r="CL38" i="156"/>
  <c r="CL45" i="3"/>
  <c r="CM46" i="3"/>
  <c r="CM39" i="156"/>
  <c r="CK91" i="156"/>
  <c r="CK96" i="3"/>
  <c r="CK94" i="3"/>
  <c r="CK89" i="156"/>
  <c r="CM89" i="156" l="1"/>
  <c r="CM94" i="3"/>
  <c r="CM79" i="156"/>
  <c r="CM84" i="3"/>
  <c r="CM86" i="3"/>
  <c r="CM81" i="156"/>
  <c r="CL89" i="156"/>
  <c r="CL94" i="3"/>
  <c r="CL86" i="3"/>
  <c r="CL81" i="156"/>
  <c r="CM96" i="3"/>
  <c r="CM91" i="156"/>
  <c r="CL96" i="3"/>
  <c r="CL91" i="156"/>
  <c r="CL84" i="3"/>
  <c r="CL79" i="156"/>
</calcChain>
</file>

<file path=xl/comments1.xml><?xml version="1.0" encoding="utf-8"?>
<comments xmlns="http://schemas.openxmlformats.org/spreadsheetml/2006/main">
  <authors>
    <author>Sanchez Bolanos, Laura (Research)</author>
    <author>sanclaur</author>
    <author>Gupta, Tanmay (Research)</author>
    <author>Zheng, Chaodan (Research)</author>
    <author>Zamora, Diana (Research)</author>
    <author>Laura Sanchez</author>
    <author>Rojas, Isabel (Research)</author>
    <author>hayleyl</author>
    <author>Locker, Hayley (Research)</author>
    <author>zerbeken</author>
    <author>Michelle D. Kushnir</author>
    <author>mlipton</author>
    <author>dianaz</author>
    <author>Aerin Lim</author>
    <author>Ken Zerbe</author>
    <author>Barberena, Narla (Research)</author>
    <author>Huang, Bob (Research)</author>
  </authors>
  <commentList>
    <comment ref="Q6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includes 4months of Cuprum</t>
        </r>
      </text>
    </comment>
    <comment ref="B31" authorId="1">
      <text>
        <r>
          <rPr>
            <b/>
            <sz val="10"/>
            <color indexed="81"/>
            <rFont val="Calibri"/>
            <family val="2"/>
          </rPr>
          <t>sanclaur:</t>
        </r>
        <r>
          <rPr>
            <sz val="10"/>
            <color indexed="81"/>
            <rFont val="Calibri"/>
            <family val="2"/>
          </rPr>
          <t xml:space="preserve">
=TF(".SPX-UT","TF.PR.PricePchg(sdate=20120101,edate=20120331)")*100</t>
        </r>
      </text>
    </comment>
    <comment ref="BL48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2018 Outlook: Expect flows of 1-3% of beginning AUM</t>
        </r>
      </text>
    </comment>
    <comment ref="BH55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2-4% growth</t>
        </r>
      </text>
    </comment>
    <comment ref="BJ55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2-5%</t>
        </r>
      </text>
    </comment>
    <comment ref="BL55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2-5%</t>
        </r>
      </text>
    </comment>
    <comment ref="AO5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higher DAC of $5mn in the Q</t>
        </r>
      </text>
    </comment>
    <comment ref="AO6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higher expenses in the Q</t>
        </r>
      </text>
    </comment>
    <comment ref="C6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div accrual benefit: 8
</t>
        </r>
      </text>
    </comment>
    <comment ref="I6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favorable VA income: 3</t>
        </r>
      </text>
    </comment>
    <comment ref="K6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up on a prior year dividend accrual</t>
        </r>
      </text>
    </comment>
    <comment ref="S64" authorId="4">
      <text>
        <r>
          <rPr>
            <b/>
            <sz val="10"/>
            <color indexed="81"/>
            <rFont val="Calibri"/>
            <family val="2"/>
          </rPr>
          <t>Zamora, Diana (Research):</t>
        </r>
        <r>
          <rPr>
            <sz val="10"/>
            <color indexed="81"/>
            <rFont val="Calibri"/>
            <family val="2"/>
          </rPr>
          <t xml:space="preserve">
dividend accrual true up</t>
        </r>
      </text>
    </comment>
    <comment ref="U64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favorable variable annuity income</t>
        </r>
      </text>
    </comment>
    <comment ref="W6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actuarial review - 23.6mn
Dac writedown - 6mn
</t>
        </r>
      </text>
    </comment>
    <comment ref="AE6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Act Review: -$26.2
RE Sale + Encaje: $11.8</t>
        </r>
      </text>
    </comment>
    <comment ref="AI64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</t>
        </r>
      </text>
    </comment>
    <comment ref="S65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abnormal was DRD item (tax deduction that does not impact PT earnings)</t>
        </r>
      </text>
    </comment>
    <comment ref="BH7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28-32%</t>
        </r>
      </text>
    </comment>
    <comment ref="BJ7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29-33%</t>
        </r>
      </text>
    </comment>
    <comment ref="BL7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2018 Outlook: 30-34%</t>
        </r>
      </text>
    </comment>
    <comment ref="BH10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8-10%</t>
        </r>
      </text>
    </comment>
    <comment ref="BJ10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5-10%</t>
        </r>
      </text>
    </comment>
    <comment ref="BL10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5-10%</t>
        </r>
      </text>
    </comment>
    <comment ref="K113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VII</t>
        </r>
      </text>
    </comment>
    <comment ref="M113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higher than expected prepayments: 3</t>
        </r>
      </text>
    </comment>
    <comment ref="S113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benefit from the transition of the self-directed account business to a 3rd party</t>
        </r>
      </text>
    </comment>
    <comment ref="W113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actuarial review  +$4.9mn
DAC write down - $12mn</t>
        </r>
      </text>
    </comment>
    <comment ref="AE113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Act Review: -$5.4
RE Sale + Encaje: $15</t>
        </r>
      </text>
    </comment>
    <comment ref="AG113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</t>
        </r>
      </text>
    </comment>
    <comment ref="AI113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</t>
        </r>
      </text>
    </comment>
    <comment ref="AK113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</t>
        </r>
      </text>
    </comment>
    <comment ref="AM113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</t>
        </r>
      </text>
    </comment>
    <comment ref="AO113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</t>
        </r>
      </text>
    </comment>
    <comment ref="AQ114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guid: $80-85mn run-rate</t>
        </r>
      </text>
    </comment>
    <comment ref="BH12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55-59%</t>
        </r>
      </text>
    </comment>
    <comment ref="BJ12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55-60%</t>
        </r>
      </text>
    </comment>
    <comment ref="BL12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55-60%</t>
        </r>
      </text>
    </comment>
    <comment ref="AQ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Rates+variance in performance</t>
        </r>
      </text>
    </comment>
    <comment ref="AS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</t>
        </r>
      </text>
    </comment>
    <comment ref="AU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</t>
        </r>
      </text>
    </comment>
    <comment ref="AW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</t>
        </r>
      </text>
    </comment>
    <comment ref="BN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</t>
        </r>
      </text>
    </comment>
    <comment ref="BP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</t>
        </r>
      </text>
    </comment>
    <comment ref="BR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</t>
        </r>
      </text>
    </comment>
    <comment ref="BT15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Equity + Alt AUM ~ Impacted by Equity markets.
Fixed Income AUM ~ Impacted by Int Rates</t>
        </r>
      </text>
    </comment>
    <comment ref="B167" authorId="5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Mostly institutional (asset mgmt) with sizable % being fixed income (pressured when rates go up)</t>
        </r>
      </text>
    </comment>
    <comment ref="AG176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4Q16: Higher performance fees in 4Q.</t>
        </r>
      </text>
    </comment>
    <comment ref="AQ176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Weak in 1Q, strong in 4Q</t>
        </r>
      </text>
    </comment>
    <comment ref="AS176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Weak in 1Q, strong in 4Q</t>
        </r>
      </text>
    </comment>
    <comment ref="AU176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Weak in 1Q, strong in 4Q</t>
        </r>
      </text>
    </comment>
    <comment ref="AW176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Weak in 1Q, strong in 4Q</t>
        </r>
      </text>
    </comment>
    <comment ref="BH17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8-10%</t>
        </r>
      </text>
    </comment>
    <comment ref="BJ17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4-8%</t>
        </r>
      </text>
    </comment>
    <comment ref="BL17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4-8%</t>
        </r>
      </text>
    </comment>
    <comment ref="E186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periodic real estate fund performance fee</t>
        </r>
      </text>
    </comment>
    <comment ref="AG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I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K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M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O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Q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Seasonally strongest in 4Q, seasonally weakest in 1Q
- 4Q the highest due to timing of year end performance fees and 1Q the lowest due to elevated payroll taxes</t>
        </r>
      </text>
    </comment>
    <comment ref="AS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Seasonally strongest in 4Q, seasonally weakest in 1Q
- 4Q the highest due to timing of year end performance fees and 1Q the lowest due to elevated payroll taxes</t>
        </r>
      </text>
    </comment>
    <comment ref="AU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Seasonally strongest in 4Q, seasonally weakest in 1Q
- 4Q the highest due to timing of year end performance fees and 1Q the lowest due to elevated payroll taxes</t>
        </r>
      </text>
    </comment>
    <comment ref="AW18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Seasonally strongest in 4Q, seasonally weakest in 1Q
- 4Q the highest due to timing of year end performance fees and 1Q the lowest due to elevated payroll taxes</t>
        </r>
      </text>
    </comment>
    <comment ref="BH19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33-36%</t>
        </r>
      </text>
    </comment>
    <comment ref="BJ19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34-37%</t>
        </r>
      </text>
    </comment>
    <comment ref="BL19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34-37%</t>
        </r>
      </text>
    </comment>
    <comment ref="B214" authorId="5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Mostly retail and pension funds (not asset mgmt)</t>
        </r>
      </text>
    </comment>
    <comment ref="B232" authorId="5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Mostly retail and pension funds (not asset mgmt)</t>
        </r>
      </text>
    </comment>
    <comment ref="B250" authorId="5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Mostly retail and pension funds (not asset mgmt)</t>
        </r>
      </text>
    </comment>
    <comment ref="B268" authorId="5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Mostly retail and pension funds (not asset mgmt)</t>
        </r>
      </text>
    </comment>
    <comment ref="B285" authorId="5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Mostly retail and pension funds (not asset mgmt)</t>
        </r>
      </text>
    </comment>
    <comment ref="AC301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majority of China’s AUM growth and net cash flows this quarter were institutional and ST in nature</t>
        </r>
      </text>
    </comment>
    <comment ref="AE301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majority of China’s AUM growth and net cash flows this quarter were institutional and ST in nature</t>
        </r>
      </text>
    </comment>
    <comment ref="AG301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majority of China’s AUM growth and net cash flows this quarter were institutional and ST in nature</t>
        </r>
      </text>
    </comment>
    <comment ref="AI301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majority of China’s AUM growth and net cash flows this quarter were institutional and ST in nature</t>
        </r>
      </text>
    </comment>
    <comment ref="AK301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majority of China’s AUM growth and net cash flows this quarter were institutional and ST in nature</t>
        </r>
      </text>
    </comment>
    <comment ref="AM301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majority of China’s AUM growth and net cash flows this quarter were institutional and ST in nature</t>
        </r>
      </text>
    </comment>
    <comment ref="AO301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majority of China’s AUM growth and net cash flows this quarter were institutional and ST in nature</t>
        </r>
      </text>
    </comment>
    <comment ref="B305" authorId="5">
      <text>
        <r>
          <rPr>
            <b/>
            <sz val="10"/>
            <color indexed="81"/>
            <rFont val="Calibri"/>
            <family val="2"/>
          </rPr>
          <t xml:space="preserve">Laura Sanchez:
</t>
        </r>
        <r>
          <rPr>
            <sz val="10"/>
            <color indexed="81"/>
            <rFont val="Calibri"/>
            <family val="2"/>
          </rPr>
          <t>Mostly retail and pension funds (not asset mgmt)</t>
        </r>
      </text>
    </comment>
    <comment ref="BH316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2016 outlook: 14-16% local fx, or 4-6% in USD</t>
        </r>
      </text>
    </comment>
    <comment ref="BJ316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11-14%</t>
        </r>
      </text>
    </comment>
    <comment ref="BL316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11-14%</t>
        </r>
      </text>
    </comment>
    <comment ref="BB322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14-16% local fx, or 8-10% in USD</t>
        </r>
      </text>
    </comment>
    <comment ref="BD322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14-16% local fx, or 8-10% in USD</t>
        </r>
      </text>
    </comment>
    <comment ref="BF322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14-16% local fx, or 8-10% in USD</t>
        </r>
      </text>
    </comment>
    <comment ref="BB333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9.5% as per call w/ IR</t>
        </r>
      </text>
    </comment>
    <comment ref="C337" authorId="5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tax on repatriated earnings from Hong Kong</t>
        </r>
      </text>
    </comment>
    <comment ref="E33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encaje</t>
        </r>
      </text>
    </comment>
    <comment ref="G337" authorId="7">
      <text>
        <r>
          <rPr>
            <b/>
            <sz val="10"/>
            <color indexed="81"/>
            <rFont val="Calibri"/>
            <family val="2"/>
          </rPr>
          <t>hayleyl:</t>
        </r>
        <r>
          <rPr>
            <sz val="10"/>
            <color indexed="81"/>
            <rFont val="Calibri"/>
            <family val="2"/>
          </rPr>
          <t xml:space="preserve">
encaje - adverse returns in chile</t>
        </r>
      </text>
    </comment>
    <comment ref="I337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encaje - adverse returns in Chile</t>
        </r>
      </text>
    </comment>
    <comment ref="K337" authorId="5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encaje (IR call)</t>
        </r>
      </text>
    </comment>
    <comment ref="M3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encaje</t>
        </r>
      </text>
    </comment>
    <comment ref="O3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encaje</t>
        </r>
      </text>
    </comment>
    <comment ref="Q3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-8mn encaje offset by +8mn from 1extra month of cuprum (from call w/ IR)</t>
        </r>
      </text>
    </comment>
    <comment ref="W33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Encaje - $(4.7)mn, Claritas intangible write-down - $(11.3)mn, Inflation + VIE - +7.6mn</t>
        </r>
      </text>
    </comment>
    <comment ref="AE33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Act Review: -$8.9
RE Sale + Encaje: $8</t>
        </r>
      </text>
    </comment>
    <comment ref="AG33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Encaje: -$11mn. Already included in estimates, so not considering abnormal.</t>
        </r>
      </text>
    </comment>
    <comment ref="AI33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Encaje: $12mn. Already included in estimates, so not considering abnormal.</t>
        </r>
      </text>
    </comment>
    <comment ref="AK33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Reg. Fine in Mexico</t>
        </r>
      </text>
    </comment>
    <comment ref="I338" authorId="7">
      <text>
        <r>
          <rPr>
            <b/>
            <sz val="10"/>
            <color indexed="81"/>
            <rFont val="Calibri"/>
            <family val="2"/>
          </rPr>
          <t>hayleyl:</t>
        </r>
        <r>
          <rPr>
            <sz val="10"/>
            <color indexed="81"/>
            <rFont val="Calibri"/>
            <family val="2"/>
          </rPr>
          <t xml:space="preserve">
includes $6M adverse tax impact Also incl higher DAC amortization of $3M</t>
        </r>
      </text>
    </comment>
    <comment ref="BH356" authorId="6">
      <text>
        <r>
          <rPr>
            <b/>
            <sz val="10"/>
            <color indexed="81"/>
            <rFont val="Calibri"/>
            <family val="2"/>
          </rPr>
          <t>Tanmay Gupta (Research):</t>
        </r>
        <r>
          <rPr>
            <sz val="10"/>
            <color indexed="81"/>
            <rFont val="Calibri"/>
            <family val="2"/>
          </rPr>
          <t xml:space="preserve">
2016 outlook: 37-40%</t>
        </r>
      </text>
    </comment>
    <comment ref="BJ356" authorId="6">
      <text>
        <r>
          <rPr>
            <b/>
            <sz val="10"/>
            <color indexed="81"/>
            <rFont val="Calibri"/>
            <family val="2"/>
          </rPr>
          <t>Tanmay Gupta (Research):</t>
        </r>
        <r>
          <rPr>
            <sz val="10"/>
            <color indexed="81"/>
            <rFont val="Calibri"/>
            <family val="2"/>
          </rPr>
          <t xml:space="preserve">
2017 outlook: 38-42%</t>
        </r>
      </text>
    </comment>
    <comment ref="BL356" authorId="6">
      <text>
        <r>
          <rPr>
            <b/>
            <sz val="10"/>
            <color indexed="81"/>
            <rFont val="Calibri"/>
            <family val="2"/>
          </rPr>
          <t>Tanmay Gupta (Research):</t>
        </r>
        <r>
          <rPr>
            <sz val="10"/>
            <color indexed="81"/>
            <rFont val="Calibri"/>
            <family val="2"/>
          </rPr>
          <t xml:space="preserve">
2017 outlook: 38-42%</t>
        </r>
      </text>
    </comment>
    <comment ref="BH38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3-5%</t>
        </r>
      </text>
    </comment>
    <comment ref="BJ38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3-6%</t>
        </r>
      </text>
    </comment>
    <comment ref="BL38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3-6%</t>
        </r>
      </text>
    </comment>
    <comment ref="BN389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 2014 inv. Ppt: unchanged
2014 Outlook Call: unchanged
2013 Outlook Call: unchanged
3Q12 slides: 4-8%</t>
        </r>
      </text>
    </comment>
    <comment ref="O412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assumption review</t>
        </r>
      </text>
    </comment>
    <comment ref="W412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actuarial review</t>
        </r>
      </text>
    </comment>
    <comment ref="AE412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Act Review: -$43.2</t>
        </r>
      </text>
    </comment>
    <comment ref="AK412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VII</t>
        </r>
      </text>
    </comment>
    <comment ref="AM412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VII</t>
        </r>
      </text>
    </comment>
    <comment ref="AO412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VII</t>
        </r>
      </text>
    </comment>
    <comment ref="O413" authorId="8">
      <text>
        <r>
          <rPr>
            <b/>
            <sz val="10"/>
            <color indexed="81"/>
            <rFont val="Calibri"/>
            <family val="2"/>
          </rPr>
          <t>Locker, Hayley (Research):</t>
        </r>
        <r>
          <rPr>
            <sz val="10"/>
            <color indexed="81"/>
            <rFont val="Calibri"/>
            <family val="2"/>
          </rPr>
          <t xml:space="preserve">
$10M adverse mortality</t>
        </r>
      </text>
    </comment>
    <comment ref="BB417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13-16%</t>
        </r>
      </text>
    </comment>
    <comment ref="BD417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13-16%</t>
        </r>
      </text>
    </comment>
    <comment ref="BF417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13-16%</t>
        </r>
      </text>
    </comment>
    <comment ref="BH417" authorId="2">
      <text>
        <r>
          <rPr>
            <b/>
            <sz val="10"/>
            <color indexed="81"/>
            <rFont val="Calibri"/>
            <family val="2"/>
          </rPr>
          <t xml:space="preserve">Gupta, Tanmay (Research): </t>
        </r>
        <r>
          <rPr>
            <sz val="10"/>
            <color indexed="81"/>
            <rFont val="Calibri"/>
            <family val="2"/>
          </rPr>
          <t xml:space="preserve">
2016 Outlook: 14-17%</t>
        </r>
      </text>
    </comment>
    <comment ref="O418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actuarial benefit taxed at 35%
</t>
        </r>
      </text>
    </comment>
    <comment ref="BJ418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14-18%</t>
        </r>
      </text>
    </comment>
    <comment ref="BL418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14-18%</t>
        </r>
      </text>
    </comment>
    <comment ref="B453" authorId="9">
      <text>
        <r>
          <rPr>
            <sz val="10"/>
            <color indexed="81"/>
            <rFont val="Calibri"/>
            <family val="2"/>
          </rPr>
          <t>Per mgmt, 1Q is typically the strongest for Health earnings, while 4Q is the weakest.</t>
        </r>
      </text>
    </comment>
    <comment ref="B468" authorId="10">
      <text>
        <r>
          <rPr>
            <sz val="10"/>
            <color indexed="81"/>
            <rFont val="Calibri"/>
            <family val="2"/>
          </rPr>
          <t>There were reclassification restatements within Life &amp; Health in 1Q04.  Prior periods before 2Q02 are not comparable.</t>
        </r>
      </text>
    </comment>
    <comment ref="BH47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6-8%</t>
        </r>
      </text>
    </comment>
    <comment ref="BJ47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7-9%</t>
        </r>
      </text>
    </comment>
    <comment ref="BL47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7-9%</t>
        </r>
      </text>
    </comment>
    <comment ref="U48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low end of targeted range</t>
        </r>
      </text>
    </comment>
    <comment ref="BB488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64-70%</t>
        </r>
      </text>
    </comment>
    <comment ref="BD488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64-70%</t>
        </r>
      </text>
    </comment>
    <comment ref="BF488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64-70%</t>
        </r>
      </text>
    </comment>
    <comment ref="BH488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2016 outlook: 64-70%</t>
        </r>
      </text>
    </comment>
    <comment ref="BJ488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2017 outlook: 62-68%</t>
        </r>
      </text>
    </comment>
    <comment ref="BL488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2017 outlook: 62-68%</t>
        </r>
      </text>
    </comment>
    <comment ref="W499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actuarial review</t>
        </r>
      </text>
    </comment>
    <comment ref="AE499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Act Review: $10
RE Sale+Encaje: $7.9</t>
        </r>
      </text>
    </comment>
    <comment ref="AG49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</t>
        </r>
      </text>
    </comment>
    <comment ref="AI49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 ~ $6mn
Penn Treaty ~ $(6)mn</t>
        </r>
      </text>
    </comment>
    <comment ref="AK49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 ~ $6mn
Penn Treaty ~ $(6)mn</t>
        </r>
      </text>
    </comment>
    <comment ref="AM49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 ~ $6mn
Penn Treaty ~ $(6)mn</t>
        </r>
      </text>
    </comment>
    <comment ref="AO499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VII ~ $6mn
Penn Treaty ~ $(6)mn</t>
        </r>
      </text>
    </comment>
    <comment ref="AG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I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K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M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O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Seasonally strongest in 4Q, seasonally weakest in 1Q</t>
        </r>
      </text>
    </comment>
    <comment ref="AQ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Breakdown of Earnings by Q:
1Q: 20%, 2Q: 25%, 3Q: 25%, 4Q:30%
Seasonally strongest in 4Q, seasonally weakest in 1Q</t>
        </r>
      </text>
    </comment>
    <comment ref="AS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Breakdown of Earnings by Q:
1Q: 20%, 2Q: 25%, 3Q: 25%, 4Q:30%
Seasonally strongest in 4Q, seasonally weakest in 1Q</t>
        </r>
      </text>
    </comment>
    <comment ref="AU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Breakdown of Earnings by Q:
1Q: 20%, 2Q: 25%, 3Q: 25%, 4Q:30%
Seasonally strongest in 4Q, seasonally weakest in 1Q</t>
        </r>
      </text>
    </comment>
    <comment ref="AW50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Breakdown of Earnings by Q:
1Q: 20%, 2Q: 25%, 3Q: 25%, 4Q:30%
Seasonally strongest in 4Q, seasonally weakest in 1Q</t>
        </r>
      </text>
    </comment>
    <comment ref="BB503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10-12%</t>
        </r>
      </text>
    </comment>
    <comment ref="BD503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10-12%</t>
        </r>
      </text>
    </comment>
    <comment ref="BF503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10-12%</t>
        </r>
      </text>
    </comment>
    <comment ref="BH503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4Q15 guid ~ 2015 margin sustainable in 2016
2016 Outlook: 10-12%</t>
        </r>
      </text>
    </comment>
    <comment ref="BJ503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10-13%</t>
        </r>
      </text>
    </comment>
    <comment ref="BL503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10-13%</t>
        </r>
      </text>
    </comment>
    <comment ref="B532" authorId="9">
      <text>
        <r>
          <rPr>
            <sz val="10"/>
            <color indexed="81"/>
            <rFont val="Calibri"/>
            <family val="2"/>
          </rPr>
          <t xml:space="preserve">Per mgmt, 1Q is typically the strongest -- due to seasonality in the Health segment, while 4Q is the weakest.
</t>
        </r>
        <r>
          <rPr>
            <b/>
            <sz val="10"/>
            <color indexed="81"/>
            <rFont val="Calibri"/>
            <family val="2"/>
          </rPr>
          <t>However,</t>
        </r>
        <r>
          <rPr>
            <sz val="10"/>
            <color indexed="81"/>
            <rFont val="Calibri"/>
            <family val="2"/>
          </rPr>
          <t xml:space="preserve"> 4Q is typically the strongest for total company earnings.</t>
        </r>
      </text>
    </comment>
    <comment ref="AG553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Lower int expense in 2017 as paid down debt in 4Q16</t>
        </r>
      </text>
    </comment>
    <comment ref="BN553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Due to refinancing during 2Q15, lower coupon benefits PFG over the long-term from lower interest expense.</t>
        </r>
      </text>
    </comment>
    <comment ref="U563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includes Excess of redemption value over carrying value of preferred shares redeemed</t>
        </r>
      </text>
    </comment>
    <comment ref="Q566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tax benefit</t>
        </r>
      </text>
    </comment>
    <comment ref="U56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$10.0 million of expenses related to the preferred stock redemption in the second quarter, partially offset by the timing of certain expenses.</t>
        </r>
      </text>
    </comment>
    <comment ref="W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Y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A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C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E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G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I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K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M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AO567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2Q15: $(32)-(37)mn range</t>
        </r>
      </text>
    </comment>
    <comment ref="BH56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(235)-(265)mn</t>
        </r>
      </text>
    </comment>
    <comment ref="BJ56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(200)-(225)mn</t>
        </r>
      </text>
    </comment>
    <comment ref="BL56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(200)-(225)mn</t>
        </r>
      </text>
    </comment>
    <comment ref="BA588" authorId="4">
      <text>
        <r>
          <rPr>
            <b/>
            <sz val="10"/>
            <color indexed="81"/>
            <rFont val="Calibri"/>
            <family val="2"/>
          </rPr>
          <t xml:space="preserve">Zamora, Diana (Research):
</t>
        </r>
        <r>
          <rPr>
            <sz val="10"/>
            <color indexed="81"/>
            <rFont val="Calibri"/>
            <family val="2"/>
          </rPr>
          <t>4Q14 guid: 20-22%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2015 outlook (12/8/2014): 21-23%</t>
        </r>
      </text>
    </comment>
    <comment ref="BB588" authorId="4">
      <text>
        <r>
          <rPr>
            <b/>
            <sz val="10"/>
            <color indexed="81"/>
            <rFont val="Calibri"/>
            <family val="2"/>
          </rPr>
          <t xml:space="preserve">Zamora, Diana (Research):
</t>
        </r>
        <r>
          <rPr>
            <sz val="10"/>
            <color indexed="81"/>
            <rFont val="Calibri"/>
            <family val="2"/>
          </rPr>
          <t>4Q14 guid: 20-22%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2015 outlook (12/8/2014): 21-23%</t>
        </r>
      </text>
    </comment>
    <comment ref="BD588" authorId="4">
      <text>
        <r>
          <rPr>
            <b/>
            <sz val="10"/>
            <color indexed="81"/>
            <rFont val="Calibri"/>
            <family val="2"/>
          </rPr>
          <t xml:space="preserve">Zamora, Diana (Research):
</t>
        </r>
        <r>
          <rPr>
            <sz val="10"/>
            <color indexed="81"/>
            <rFont val="Calibri"/>
            <family val="2"/>
          </rPr>
          <t>4Q14 guid: 20-22%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2015 outlook (12/8/2014): 21-23%</t>
        </r>
      </text>
    </comment>
    <comment ref="BF588" authorId="4">
      <text>
        <r>
          <rPr>
            <b/>
            <sz val="10"/>
            <color indexed="81"/>
            <rFont val="Calibri"/>
            <family val="2"/>
          </rPr>
          <t xml:space="preserve">Zamora, Diana (Research):
</t>
        </r>
        <r>
          <rPr>
            <sz val="10"/>
            <color indexed="81"/>
            <rFont val="Calibri"/>
            <family val="2"/>
          </rPr>
          <t>4Q14 guid: 20-22%</t>
        </r>
        <r>
          <rPr>
            <b/>
            <sz val="10"/>
            <color indexed="81"/>
            <rFont val="Calibri"/>
            <family val="2"/>
          </rPr>
          <t xml:space="preserve">
</t>
        </r>
        <r>
          <rPr>
            <sz val="10"/>
            <color indexed="81"/>
            <rFont val="Calibri"/>
            <family val="2"/>
          </rPr>
          <t>2015 outlook (12/8/2014): 21-23%</t>
        </r>
      </text>
    </comment>
    <comment ref="BH58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20-22%</t>
        </r>
      </text>
    </comment>
    <comment ref="BJ588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21-23%</t>
        </r>
      </text>
    </comment>
    <comment ref="BL588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21-23%</t>
        </r>
      </text>
    </comment>
    <comment ref="W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low one time</t>
        </r>
      </text>
    </comment>
    <comment ref="Y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low one time</t>
        </r>
      </text>
    </comment>
    <comment ref="AA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low one time</t>
        </r>
      </text>
    </comment>
    <comment ref="AC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low one time</t>
        </r>
      </text>
    </comment>
    <comment ref="AE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low one time</t>
        </r>
      </text>
    </comment>
    <comment ref="BH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16-19%</t>
        </r>
      </text>
    </comment>
    <comment ref="BJ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19-21%</t>
        </r>
      </text>
    </comment>
    <comment ref="BL676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19-21%</t>
        </r>
      </text>
    </comment>
    <comment ref="BH680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30-35%</t>
        </r>
      </text>
    </comment>
    <comment ref="BJ680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28-32%</t>
        </r>
      </text>
    </comment>
    <comment ref="BL680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28-32%</t>
        </r>
      </text>
    </comment>
    <comment ref="BH68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Outlook:30-35%</t>
        </r>
      </text>
    </comment>
    <comment ref="BJ68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Outlook:30-34%</t>
        </r>
      </text>
    </comment>
    <comment ref="BL684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Outlook:30-34%</t>
        </r>
      </text>
    </comment>
    <comment ref="BH688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2016 Outlook: 40%</t>
        </r>
      </text>
    </comment>
    <comment ref="BJ688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40%</t>
        </r>
      </text>
    </comment>
    <comment ref="BL688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40%</t>
        </r>
      </text>
    </comment>
    <comment ref="BL705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guid: 18-21%</t>
        </r>
      </text>
    </comment>
    <comment ref="B729" authorId="11">
      <text>
        <r>
          <rPr>
            <b/>
            <sz val="10"/>
            <color indexed="81"/>
            <rFont val="Calibri"/>
            <family val="2"/>
          </rPr>
          <t>mlipton:</t>
        </r>
        <r>
          <rPr>
            <sz val="10"/>
            <color indexed="81"/>
            <rFont val="Calibri"/>
            <family val="2"/>
          </rPr>
          <t xml:space="preserve">
Will reflect income from Health below the line for 36 months until completely assumed by United Health.</t>
        </r>
      </text>
    </comment>
    <comment ref="AM81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Raised dividend to $0.47</t>
        </r>
      </text>
    </comment>
    <comment ref="AO817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Raised dividend to $0.47</t>
        </r>
      </text>
    </comment>
    <comment ref="BJ818" authorId="12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12/9/13: 40% unchanged
2012 Investor Day on 9/21/2012: Goal by 2017E; the increase reflects the business mix given that fee-based products allow to return greater amounts of capital to shareholders</t>
        </r>
      </text>
    </comment>
    <comment ref="BL818" authorId="12">
      <text>
        <r>
          <rPr>
            <b/>
            <sz val="10"/>
            <color indexed="81"/>
            <rFont val="Calibri"/>
            <family val="2"/>
          </rPr>
          <t>dianaz:</t>
        </r>
        <r>
          <rPr>
            <sz val="10"/>
            <color indexed="81"/>
            <rFont val="Calibri"/>
            <family val="2"/>
          </rPr>
          <t xml:space="preserve">
12/9/13: 40% unchanged
2012 Investor Day on 9/21/2012: Goal by 2017E; the increase reflects the business mix given that fee-based products allow to return greater amounts of capital to shareholders</t>
        </r>
      </text>
    </comment>
    <comment ref="W822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PFG 10Q, Pg 45: Shares Issued. Common Stock</t>
        </r>
      </text>
    </comment>
    <comment ref="Y822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PFG 10Q, Pg 45: Shares Issued. Common Stock</t>
        </r>
      </text>
    </comment>
    <comment ref="AA822" authorId="2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will be updated when 10-Q comes</t>
        </r>
      </text>
    </comment>
    <comment ref="AC822" authorId="2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will be updated when 10-Q comes</t>
        </r>
      </text>
    </comment>
    <comment ref="AE822" authorId="2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will be updated when 10-Q comes</t>
        </r>
      </text>
    </comment>
    <comment ref="AG822" authorId="2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will be updated when 10-Q comes</t>
        </r>
      </text>
    </comment>
    <comment ref="AI822" authorId="2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will be updated when 10-Q comes</t>
        </r>
      </text>
    </comment>
    <comment ref="AK822" authorId="2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will be updated when 10-Q comes</t>
        </r>
      </text>
    </comment>
    <comment ref="B827" authorId="9">
      <text>
        <r>
          <rPr>
            <sz val="10"/>
            <color indexed="81"/>
            <rFont val="Calibri"/>
            <family val="2"/>
          </rPr>
          <t>Use the prior quarter press release to calculate the amount repurchased in the quarter.  They only give total data.</t>
        </r>
      </text>
    </comment>
    <comment ref="E828" authorId="5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avg price in the Q</t>
        </r>
      </text>
    </comment>
    <comment ref="G828" authorId="5">
      <text>
        <r>
          <rPr>
            <b/>
            <sz val="10"/>
            <color indexed="81"/>
            <rFont val="Calibri"/>
            <family val="2"/>
          </rPr>
          <t>Laura Sanchez:</t>
        </r>
        <r>
          <rPr>
            <sz val="10"/>
            <color indexed="81"/>
            <rFont val="Calibri"/>
            <family val="2"/>
          </rPr>
          <t xml:space="preserve">
avg price in the Q</t>
        </r>
      </text>
    </comment>
    <comment ref="Q828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avg for the Q</t>
        </r>
      </text>
    </comment>
    <comment ref="AC83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 call: has $250 million left out of $400 million authorization</t>
        </r>
      </text>
    </comment>
    <comment ref="AE83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 call: has $250 million left out of $400 million authorization</t>
        </r>
      </text>
    </comment>
    <comment ref="AG83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 call: has $250 million left out of $400 million authorization</t>
        </r>
      </text>
    </comment>
    <comment ref="AI83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 call: has $250 million left out of $400 million authorization</t>
        </r>
      </text>
    </comment>
    <comment ref="AK830" authorId="3">
      <text>
        <r>
          <rPr>
            <b/>
            <sz val="10"/>
            <color indexed="81"/>
            <rFont val="Calibri"/>
            <family val="2"/>
          </rPr>
          <t>Zheng, Chaodan (Research):</t>
        </r>
        <r>
          <rPr>
            <sz val="10"/>
            <color indexed="81"/>
            <rFont val="Calibri"/>
            <family val="2"/>
          </rPr>
          <t xml:space="preserve">
2Q16 earnings call: has $250 million left out of $400 million authorization</t>
        </r>
      </text>
    </comment>
    <comment ref="BB830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$150 million share repurchase program in 1Q15. Repurchasing shares now.</t>
        </r>
      </text>
    </comment>
    <comment ref="BD830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$150 million share repurchase program in 1Q15. Repurchasing shares now.</t>
        </r>
      </text>
    </comment>
    <comment ref="BF830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$150 million share repurchase program in 1Q15. Repurchasing shares now.</t>
        </r>
      </text>
    </comment>
    <comment ref="BH830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J83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Capital deployment of $0.8-$1.1B</t>
        </r>
      </text>
    </comment>
    <comment ref="BL830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Capital deployment of $0.8-$1.1B</t>
        </r>
      </text>
    </comment>
    <comment ref="BN830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P830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R830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T830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B8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D8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F8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H8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J837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mgmt expects to deploy 65-70% of net income with volatility in any given year in the long-term</t>
        </r>
      </text>
    </comment>
    <comment ref="BL837" authorId="0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2017 Outlook: mgmt expects to deploy 65-70% of net income with volatility in any given year in the long-term</t>
        </r>
      </text>
    </comment>
    <comment ref="BN837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Aug.14 inv. ppt: mgmt expects to deploy 65-70% of net income with volatility in any given year in the long-term</t>
        </r>
      </text>
    </comment>
    <comment ref="BB842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Diluted weighted avg common shares outstanding between 297-300mn</t>
        </r>
      </text>
    </comment>
    <comment ref="BD842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Diluted weighted avg common shares outstanding between 297-300mn</t>
        </r>
      </text>
    </comment>
    <comment ref="BF842" authorId="6">
      <text>
        <r>
          <rPr>
            <b/>
            <sz val="10"/>
            <color indexed="81"/>
            <rFont val="Calibri"/>
            <family val="2"/>
          </rPr>
          <t>Rojas, Isabel (Research):</t>
        </r>
        <r>
          <rPr>
            <sz val="10"/>
            <color indexed="81"/>
            <rFont val="Calibri"/>
            <family val="2"/>
          </rPr>
          <t xml:space="preserve">
2015 outlook (12/8/2014): Diluted weighted avg common shares outstanding between 297-300mn</t>
        </r>
      </text>
    </comment>
    <comment ref="BH842" authorId="2">
      <text>
        <r>
          <rPr>
            <b/>
            <sz val="10"/>
            <color indexed="81"/>
            <rFont val="Calibri"/>
            <family val="2"/>
          </rPr>
          <t>Gupta, Tanmay (Research):</t>
        </r>
        <r>
          <rPr>
            <sz val="10"/>
            <color indexed="81"/>
            <rFont val="Calibri"/>
            <family val="2"/>
          </rPr>
          <t xml:space="preserve">
295-298mn</t>
        </r>
      </text>
    </comment>
    <comment ref="BJ842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288-292mn</t>
        </r>
      </text>
    </comment>
    <comment ref="BL842" authorId="2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Outlook: 288-292mn</t>
        </r>
      </text>
    </comment>
    <comment ref="BB8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</t>
        </r>
      </text>
    </comment>
    <comment ref="BD8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</t>
        </r>
      </text>
    </comment>
    <comment ref="BF8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</t>
        </r>
      </text>
    </comment>
    <comment ref="BH8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</t>
        </r>
      </text>
    </comment>
    <comment ref="BJ8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</t>
        </r>
      </text>
    </comment>
    <comment ref="BL8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</t>
        </r>
      </text>
    </comment>
    <comment ref="BN8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linked to core</t>
        </r>
      </text>
    </comment>
    <comment ref="B858" authorId="13">
      <text>
        <r>
          <rPr>
            <b/>
            <sz val="10"/>
            <color indexed="81"/>
            <rFont val="Calibri"/>
            <family val="2"/>
          </rPr>
          <t>Aerin Lim:</t>
        </r>
        <r>
          <rPr>
            <sz val="10"/>
            <color indexed="81"/>
            <rFont val="Calibri"/>
            <family val="2"/>
          </rPr>
          <t xml:space="preserve">
p14 - total investments (no cash)</t>
        </r>
      </text>
    </comment>
    <comment ref="C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E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G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I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K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M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O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Q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S859" authorId="14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U859" authorId="15">
      <text>
        <r>
          <rPr>
            <sz val="10"/>
            <color indexed="81"/>
            <rFont val="Calibri"/>
            <family val="2"/>
          </rPr>
          <t>Includes both Unrealized gains/losses plus foreign currency translation adjustments.</t>
        </r>
      </text>
    </comment>
    <comment ref="B868" authorId="16">
      <text>
        <r>
          <rPr>
            <b/>
            <sz val="9"/>
            <color indexed="81"/>
            <rFont val="Tahoma"/>
            <family val="2"/>
          </rPr>
          <t>Huang, Bob (Research):</t>
        </r>
        <r>
          <rPr>
            <sz val="9"/>
            <color indexed="81"/>
            <rFont val="Tahoma"/>
            <family val="2"/>
          </rPr>
          <t xml:space="preserve">
Supp: Look up "U.S. Invested Assets". And also NAIC designation in the Supp</t>
        </r>
      </text>
    </comment>
    <comment ref="B893" authorId="9">
      <text>
        <r>
          <rPr>
            <sz val="10"/>
            <color indexed="81"/>
            <rFont val="Calibri"/>
            <family val="2"/>
          </rPr>
          <t>Use the total stockholder's equity in the balance sheet.</t>
        </r>
      </text>
    </comment>
    <comment ref="BH903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mgmt expects 50-80bps avg annual improvement</t>
        </r>
      </text>
    </comment>
    <comment ref="BJ903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mgmt expects 50-80bps avg annual improvement</t>
        </r>
      </text>
    </comment>
    <comment ref="BL903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mgmt expects 50-80bps avg annual improvement</t>
        </r>
      </text>
    </comment>
    <comment ref="BN903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mgmt expects 50-80bps avg annual improvement</t>
        </r>
      </text>
    </comment>
    <comment ref="S952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abnormal was DRD item (tax deduction that does not impact PT earnings)</t>
        </r>
      </text>
    </comment>
    <comment ref="S971" authorId="0">
      <text>
        <r>
          <rPr>
            <b/>
            <sz val="10"/>
            <color indexed="81"/>
            <rFont val="Calibri"/>
            <family val="2"/>
          </rPr>
          <t>Sanchez Bolanos, Laura (Research):</t>
        </r>
        <r>
          <rPr>
            <sz val="10"/>
            <color indexed="81"/>
            <rFont val="Calibri"/>
            <family val="2"/>
          </rPr>
          <t xml:space="preserve">
abnormal was DRD item (tax deduction that does not impact PT earnings)</t>
        </r>
      </text>
    </comment>
  </commentList>
</comments>
</file>

<file path=xl/comments2.xml><?xml version="1.0" encoding="utf-8"?>
<comments xmlns="http://schemas.openxmlformats.org/spreadsheetml/2006/main">
  <authors>
    <author>Zheng, Chaodan (Research)</author>
    <author>Gupta, Tanmay (Research)</author>
    <author>Laura Sanchez</author>
    <author>Sanchez Bolanos, Laura (Research)</author>
    <author>Rojas, Isabel (Research)</author>
    <author>Zamora, Diana (Research)</author>
    <author>gohilcha</author>
  </authors>
  <commentList>
    <comment ref="AD2" authorId="0">
      <text>
        <r>
          <rPr>
            <b/>
            <sz val="9"/>
            <color indexed="81"/>
            <rFont val="Tahoma"/>
            <family val="2"/>
          </rPr>
          <t>Zheng, Chaodan (Research):</t>
        </r>
        <r>
          <rPr>
            <sz val="9"/>
            <color indexed="81"/>
            <rFont val="Tahoma"/>
            <family val="2"/>
          </rPr>
          <t xml:space="preserve">
2016 Investor Day</t>
        </r>
      </text>
    </comment>
    <comment ref="AF2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</t>
        </r>
      </text>
    </comment>
    <comment ref="AG2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2017 Outlook Call</t>
        </r>
      </text>
    </comment>
    <comment ref="A4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includes NII</t>
        </r>
      </text>
    </comment>
    <comment ref="AA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2Q13 guidance: assuming 2% of quarterly market gains in 2H13, will drive revenue grow above LT goal
1Q13 call: net revenue growth to be more in line with 5yr range of 6-8%
2013 Outlook Call: 2-4%; lower than LT goal due to pressure on fees</t>
        </r>
      </text>
    </comment>
    <comment ref="AB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5-7%</t>
        </r>
      </text>
    </comment>
    <comment ref="AC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4-6%</t>
        </r>
      </text>
    </comment>
    <comment ref="AD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6-8%</t>
        </r>
      </text>
    </comment>
    <comment ref="AE5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2015: 2016 Outlook</t>
        </r>
      </text>
    </comment>
    <comment ref="AA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2Q13: to be above 27-29% target
1Q13: to be more at the top end of 27-29%
2013 Outlook Call: 27-29%, lower than LT goal due to low interest rates</t>
        </r>
      </text>
    </comment>
    <comment ref="AB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30-32%</t>
        </r>
      </text>
    </comment>
    <comment ref="AC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30-33%</t>
        </r>
      </text>
    </comment>
    <comment ref="AD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28-32%</t>
        </r>
      </text>
    </comment>
    <comment ref="AE8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2015: 2016 Outlook</t>
        </r>
      </text>
    </comment>
    <comment ref="A11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includes NII</t>
        </r>
      </text>
    </comment>
    <comment ref="AA12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Call: 6-8%</t>
        </r>
      </text>
    </comment>
    <comment ref="AB1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(2)-2%</t>
        </r>
      </text>
    </comment>
    <comment ref="AC1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(2)-2%</t>
        </r>
      </text>
    </comment>
    <comment ref="AD1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6-8%</t>
        </r>
      </text>
    </comment>
    <comment ref="AE12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2015: 2016 Outlook</t>
        </r>
      </text>
    </comment>
    <comment ref="AA1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Call: 77-80%</t>
        </r>
      </text>
    </comment>
    <comment ref="AB1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78-80%</t>
        </r>
      </text>
    </comment>
    <comment ref="AC1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78-80%</t>
        </r>
      </text>
    </comment>
    <comment ref="AD1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75-80%</t>
        </r>
      </text>
    </comment>
    <comment ref="AE15" authorId="1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2015: 2016 Outlook</t>
        </r>
      </text>
    </comment>
    <comment ref="AA19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Call: 3-5%, lower than LT goal due to lower single premium sales</t>
        </r>
      </text>
    </comment>
    <comment ref="AB1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3-5%</t>
        </r>
      </text>
    </comment>
    <comment ref="AC1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3-5%</t>
        </r>
      </text>
    </comment>
    <comment ref="AD1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4-8%</t>
        </r>
      </text>
    </comment>
    <comment ref="A22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excludes NII</t>
        </r>
      </text>
    </comment>
    <comment ref="AA22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2Q13: Higher claims from 1H13 could put the marging below the range for full year
1Q13:  If low interest rates persists, pretax operating margin will be at the lower range of 15-17%
4Q12 call: if interest rates persist mgmt expects to be in the low end of the 16-21% long term target
2013 Outlook Call: 15-17%, lower than LT goal due to low interest rates</t>
        </r>
      </text>
    </comment>
    <comment ref="AB2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14-16%</t>
        </r>
      </text>
    </comment>
    <comment ref="AC2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13-16%</t>
        </r>
      </text>
    </comment>
    <comment ref="AD2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16-21%</t>
        </r>
      </text>
    </comment>
    <comment ref="AA26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2Q13 guidance: unchanged
2013 Outlook Call: 6-8%, lower than LT goal due to slow employment growth</t>
        </r>
      </text>
    </comment>
    <comment ref="AB26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3-5%</t>
        </r>
      </text>
    </comment>
    <comment ref="AC26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6-8%</t>
        </r>
      </text>
    </comment>
    <comment ref="AD26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8-10%</t>
        </r>
      </text>
    </comment>
    <comment ref="A29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excludes NII</t>
        </r>
      </text>
    </comment>
    <comment ref="AA29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Call: 8-10%, lower than LT goal due to low interest rates</t>
        </r>
      </text>
    </comment>
    <comment ref="AB2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10-12%</t>
        </r>
      </text>
    </comment>
    <comment ref="AC2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10-12%</t>
        </r>
      </text>
    </comment>
    <comment ref="AD2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8-12%</t>
        </r>
      </text>
    </comment>
    <comment ref="AB31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65-71%</t>
        </r>
      </text>
    </comment>
    <comment ref="AC31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64-70%</t>
        </r>
      </text>
    </comment>
    <comment ref="AD31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65-71%</t>
        </r>
      </text>
    </comment>
    <comment ref="A34" authorId="2">
      <text>
        <r>
          <rPr>
            <b/>
            <sz val="8"/>
            <color indexed="81"/>
            <rFont val="Tahoma"/>
            <family val="2"/>
          </rPr>
          <t>Tanmay Gupta:</t>
        </r>
        <r>
          <rPr>
            <sz val="8"/>
            <color indexed="81"/>
            <rFont val="Tahoma"/>
            <family val="2"/>
          </rPr>
          <t xml:space="preserve">
Operating Revenue - Commissions.</t>
        </r>
      </text>
    </comment>
    <comment ref="AA3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Call: 6-8%, lower than LT goal due to lower performance fees</t>
        </r>
      </text>
    </comment>
    <comment ref="AB3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7-10%</t>
        </r>
      </text>
    </comment>
    <comment ref="AC3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7-10%</t>
        </r>
      </text>
    </comment>
    <comment ref="AD3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14-17%</t>
        </r>
      </text>
    </comment>
    <comment ref="AB37" authorId="4">
      <text>
        <r>
          <rPr>
            <b/>
            <sz val="9"/>
            <color indexed="81"/>
            <rFont val="Tahoma"/>
            <family val="2"/>
          </rPr>
          <t>Rojas, Isabel (Research):</t>
        </r>
        <r>
          <rPr>
            <sz val="9"/>
            <color indexed="81"/>
            <rFont val="Tahoma"/>
            <family val="2"/>
          </rPr>
          <t xml:space="preserve">
3Q14 call: Similar to 2013 levels</t>
        </r>
      </text>
    </comment>
    <comment ref="A3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excludes NII</t>
        </r>
      </text>
    </comment>
    <comment ref="AA3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Call: 23-25%; LT they expect to build scale and improve margins</t>
        </r>
      </text>
    </comment>
    <comment ref="AB3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3Q14 call: Ancipate increasing to a 30%
Aug. 2014 inv. Ppt: unchanged
2014 Outlook: 26-28%</t>
        </r>
      </text>
    </comment>
    <comment ref="AC3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2/12/15 call: unchanged
2015 outlook ppt (12/8/14): 26-28%</t>
        </r>
      </text>
    </comment>
    <comment ref="AD3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2/12/15 call: unchanged
2015 outlook: unchanged
Aug. 2014 inv. Ppt: unchanged
2014 Outlook Call: unchanged
2013 Outlook Call: unchanged
3Q12 slides: &gt;30%</t>
        </r>
      </text>
    </comment>
    <comment ref="T4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1Q15 significantly down</t>
        </r>
      </text>
    </comment>
    <comment ref="AA42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Call: 16-19% due to strong execution</t>
        </r>
      </text>
    </comment>
    <comment ref="AB4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16-18%</t>
        </r>
      </text>
    </comment>
    <comment ref="AC4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14-16% local fx, or 8-10% in usd</t>
        </r>
      </text>
    </comment>
    <comment ref="AD4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15-20%</t>
        </r>
      </text>
    </comment>
    <comment ref="AA45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1Q13 guidance: 55-60%
2013 Outlook Call: 57-59% with scale offseting fee pressures</t>
        </r>
      </text>
    </comment>
    <comment ref="AB4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50-52%</t>
        </r>
      </text>
    </comment>
    <comment ref="AC4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50-52%</t>
        </r>
      </text>
    </comment>
    <comment ref="AD45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 Call: unchanged
2013 Outlook Call: unchanged
3Q12 slides: 55-60%</t>
        </r>
      </text>
    </comment>
    <comment ref="AB46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12/9/2013 outlook call: 36% of combined PT earnings</t>
        </r>
      </text>
    </comment>
    <comment ref="AC46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35%</t>
        </r>
      </text>
    </comment>
    <comment ref="AD46" authorId="5">
      <text>
        <r>
          <rPr>
            <b/>
            <sz val="9"/>
            <color indexed="81"/>
            <rFont val="Tahoma"/>
            <family val="2"/>
          </rPr>
          <t>Zamora, Diana (Research):</t>
        </r>
        <r>
          <rPr>
            <sz val="9"/>
            <color indexed="81"/>
            <rFont val="Tahoma"/>
            <family val="2"/>
          </rPr>
          <t xml:space="preserve">
2013 Outlook Call, Principal International Slides, pg 11</t>
        </r>
      </text>
    </comment>
    <comment ref="AE46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35%</t>
        </r>
      </text>
    </comment>
    <comment ref="AB49" authorId="6">
      <text>
        <r>
          <rPr>
            <b/>
            <sz val="8"/>
            <color indexed="81"/>
            <rFont val="Tahoma"/>
            <family val="2"/>
          </rPr>
          <t>gohilcha:</t>
        </r>
        <r>
          <rPr>
            <sz val="8"/>
            <color indexed="81"/>
            <rFont val="Tahoma"/>
            <family val="2"/>
          </rPr>
          <t xml:space="preserve">
2014 Outlook filing</t>
        </r>
      </text>
    </comment>
    <comment ref="AC4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21-23%</t>
        </r>
      </text>
    </comment>
    <comment ref="AA5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4Q12 call: $35-40mn run rate quarterly &gt;&gt; $140-160mn annually
2013 Outlook Call: losses of $145-165mn</t>
        </r>
      </text>
    </comment>
    <comment ref="AB50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 2014 inv. Ppt: unchanged
2014 Outlook: $130-150mn losses</t>
        </r>
      </text>
    </comment>
    <comment ref="AC52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130-150mn losses</t>
        </r>
      </text>
    </comment>
    <comment ref="AA5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2013 Outlook Call</t>
        </r>
      </text>
    </comment>
    <comment ref="AB53" authorId="6">
      <text>
        <r>
          <rPr>
            <b/>
            <sz val="8"/>
            <color indexed="81"/>
            <rFont val="Tahoma"/>
            <family val="2"/>
          </rPr>
          <t>gohilcha:</t>
        </r>
        <r>
          <rPr>
            <sz val="8"/>
            <color indexed="81"/>
            <rFont val="Tahoma"/>
            <family val="2"/>
          </rPr>
          <t xml:space="preserve">
2014 Outlook filing</t>
        </r>
      </text>
    </comment>
    <comment ref="AC53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2015 outlook ppt (12/8/14): 297-300mn</t>
        </r>
      </text>
    </comment>
    <comment ref="AB56" authorId="6">
      <text>
        <r>
          <rPr>
            <b/>
            <sz val="8"/>
            <color indexed="81"/>
            <rFont val="Tahoma"/>
            <family val="2"/>
          </rPr>
          <t>gohilcha:</t>
        </r>
        <r>
          <rPr>
            <sz val="8"/>
            <color indexed="81"/>
            <rFont val="Tahoma"/>
            <family val="2"/>
          </rPr>
          <t xml:space="preserve">
2014 Outlook filing</t>
        </r>
      </text>
    </comment>
    <comment ref="AC56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10-12% in normal environment but 2015 will get impacted by higher security benefits (-3%), FX (-3%), low interest rates (1-2% impact); implying 3-4%</t>
        </r>
      </text>
    </comment>
    <comment ref="AD56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2014 Outlook Call: unchanged
3Q12 slides and transcript:
Higher growth rate than the one in 2012 given the addition of Cuprum happening sometime in the 1Q13 and the business mix
</t>
        </r>
      </text>
    </comment>
    <comment ref="AD58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3Q12 slides</t>
        </r>
      </text>
    </comment>
    <comment ref="AD59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3Q12 slides</t>
        </r>
      </text>
    </comment>
    <comment ref="AD60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3Q12 slides: Mgmt expects a lower ROA in the long-term given business mix
</t>
        </r>
      </text>
    </comment>
    <comment ref="AD62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2014 Outlook Call</t>
        </r>
      </text>
    </comment>
    <comment ref="AD63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2014 Outlook Call</t>
        </r>
      </text>
    </comment>
    <comment ref="AD64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2014 Outlook Call</t>
        </r>
      </text>
    </comment>
    <comment ref="AA66" authorId="2">
      <text>
        <r>
          <rPr>
            <b/>
            <sz val="8"/>
            <color indexed="81"/>
            <rFont val="Tahoma"/>
            <family val="2"/>
          </rPr>
          <t xml:space="preserve">Laura Sanchez:
</t>
        </r>
        <r>
          <rPr>
            <sz val="8"/>
            <color indexed="81"/>
            <rFont val="Tahoma"/>
            <family val="2"/>
          </rPr>
          <t>2Q13 earnings: ROE to grow 50-80bps from the normalized year-end 2012</t>
        </r>
        <r>
          <rPr>
            <sz val="8"/>
            <color indexed="81"/>
            <rFont val="Tahoma"/>
            <family val="2"/>
          </rPr>
          <t xml:space="preserve">
&gt; 1Q13 earnings transcript (4/26/2013): ROE to expand 50-80bps by the end of the year to ~11.5%</t>
        </r>
      </text>
    </comment>
    <comment ref="AB66" authorId="6">
      <text>
        <r>
          <rPr>
            <b/>
            <sz val="8"/>
            <color indexed="81"/>
            <rFont val="Tahoma"/>
            <family val="2"/>
          </rPr>
          <t>gohilcha:</t>
        </r>
        <r>
          <rPr>
            <sz val="8"/>
            <color indexed="81"/>
            <rFont val="Tahoma"/>
            <family val="2"/>
          </rPr>
          <t xml:space="preserve">
3Q14 call: 50-80bps expansion
2014 Outlook filing</t>
        </r>
      </text>
    </comment>
    <comment ref="AD66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2014 Outlook Call on 12/9/13</t>
        </r>
      </text>
    </comment>
    <comment ref="AD67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2014 Outlook Call: unchanged
2012 Investor Day on 9/21/2012: Goal by 2017E; the increase reflects the business mix given that fee-based products allow to return greater amounts of capital to shareholders
</t>
        </r>
      </text>
    </comment>
    <comment ref="AB6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3Q14 call: more than $855mn
Aug.14 inv. ppt: unchanged
2Q14 guid: at or above the $500-700mn target</t>
        </r>
      </text>
    </comment>
    <comment ref="AC68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4Q14 call: unchanged
2015 outlook ppt (12/8/14): $0.8-1bn including: dividends, M&amp;A of $335mn in HK, debt repayment (preferred stock callable at mid-year), and anti-dilutive buybacks of $100-150mn</t>
        </r>
      </text>
    </comment>
    <comment ref="AB6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3Q14 call: unchanged
Aug.14 inv. ppt: mgmt expects to deploy 65-70% of net income with volatility in any given year in the long-term</t>
        </r>
      </text>
    </comment>
    <comment ref="AC69" authorId="5">
      <text>
        <r>
          <rPr>
            <b/>
            <sz val="9"/>
            <color indexed="81"/>
            <rFont val="Tahoma"/>
            <family val="2"/>
          </rPr>
          <t>Zamora, Diana (Research):</t>
        </r>
        <r>
          <rPr>
            <sz val="9"/>
            <color indexed="81"/>
            <rFont val="Tahoma"/>
            <family val="2"/>
          </rPr>
          <t xml:space="preserve">
4Q14 guid call</t>
        </r>
      </text>
    </comment>
    <comment ref="AD69" authorId="3">
      <text>
        <r>
          <rPr>
            <b/>
            <sz val="9"/>
            <color indexed="81"/>
            <rFont val="Tahoma"/>
            <family val="2"/>
          </rPr>
          <t>Sanchez Bolanos, Laura (Research):</t>
        </r>
        <r>
          <rPr>
            <sz val="9"/>
            <color indexed="81"/>
            <rFont val="Tahoma"/>
            <family val="2"/>
          </rPr>
          <t xml:space="preserve">
Aug.14 inv. ppt: mgmt expects to deploy 65-70% of net income with volatility in any given year in the long-term</t>
        </r>
      </text>
    </comment>
    <comment ref="AE69" authorId="5">
      <text>
        <r>
          <rPr>
            <b/>
            <sz val="9"/>
            <color indexed="81"/>
            <rFont val="Tahoma"/>
            <family val="2"/>
          </rPr>
          <t>Zamora, Diana (Research):</t>
        </r>
        <r>
          <rPr>
            <sz val="9"/>
            <color indexed="81"/>
            <rFont val="Tahoma"/>
            <family val="2"/>
          </rPr>
          <t xml:space="preserve">
4Q14 guid call</t>
        </r>
      </text>
    </comment>
    <comment ref="AC71" authorId="4">
      <text>
        <r>
          <rPr>
            <b/>
            <sz val="9"/>
            <color indexed="81"/>
            <rFont val="Tahoma"/>
            <family val="2"/>
          </rPr>
          <t>Rojas, Isabel (Research):</t>
        </r>
        <r>
          <rPr>
            <sz val="9"/>
            <color indexed="81"/>
            <rFont val="Tahoma"/>
            <family val="2"/>
          </rPr>
          <t xml:space="preserve">
2015 outlook ppt (12/8/2014): assuming a 2% quarterly total return</t>
        </r>
      </text>
    </comment>
    <comment ref="AE71" authorId="4">
      <text>
        <r>
          <rPr>
            <b/>
            <sz val="9"/>
            <color indexed="81"/>
            <rFont val="Tahoma"/>
            <family val="2"/>
          </rPr>
          <t>Rojas, Isabel (Research):</t>
        </r>
        <r>
          <rPr>
            <sz val="9"/>
            <color indexed="81"/>
            <rFont val="Tahoma"/>
            <family val="2"/>
          </rPr>
          <t xml:space="preserve">
2016 outlook ppt (12/3/2015): assuming a 2% quarterly total return</t>
        </r>
      </text>
    </comment>
  </commentList>
</comments>
</file>

<file path=xl/sharedStrings.xml><?xml version="1.0" encoding="utf-8"?>
<sst xmlns="http://schemas.openxmlformats.org/spreadsheetml/2006/main" count="1977" uniqueCount="1098">
  <si>
    <t>Total (incl Excess Cap)</t>
  </si>
  <si>
    <t>FSA PT RONR</t>
  </si>
  <si>
    <t>FSA PT Margin</t>
  </si>
  <si>
    <t>FSA AT ROA (bps)</t>
  </si>
  <si>
    <t>ROE</t>
  </si>
  <si>
    <t>Dividend Payout</t>
  </si>
  <si>
    <t>PI AUM</t>
  </si>
  <si>
    <t>PI Net Cash Flow</t>
  </si>
  <si>
    <t>PI % of PFG's earnings</t>
  </si>
  <si>
    <t>$160bn</t>
  </si>
  <si>
    <t>Capital Deployment</t>
  </si>
  <si>
    <t>(130)-(150)</t>
  </si>
  <si>
    <t>297-300</t>
  </si>
  <si>
    <t>Core PT RONR</t>
  </si>
  <si>
    <t>Non-Benefit Expenses</t>
  </si>
  <si>
    <t>SPECIALTY BENEFITS</t>
  </si>
  <si>
    <t>EPS - For Consensus</t>
  </si>
  <si>
    <t>Net Income - For Modelware</t>
  </si>
  <si>
    <t>Modelware Adjustment</t>
  </si>
  <si>
    <t>Op.Earnings - For Consensus</t>
  </si>
  <si>
    <t>t</t>
  </si>
  <si>
    <t>F2013</t>
  </si>
  <si>
    <t>Count</t>
  </si>
  <si>
    <t>Core Operating ROE</t>
  </si>
  <si>
    <t>PFG.N,mscalc:sedolCodeCalc</t>
  </si>
  <si>
    <t>2803014</t>
  </si>
  <si>
    <t>PFG.N,mscalc:targetPrice,,,,USD</t>
  </si>
  <si>
    <t>PFG.N,mscalc:closePriceCurrencyCalc</t>
  </si>
  <si>
    <t>Life Insurance</t>
  </si>
  <si>
    <t>Health Insurance</t>
  </si>
  <si>
    <t>Net Investment Income/Average AUM (%)</t>
  </si>
  <si>
    <t>Principal International (Page 1/2)</t>
  </si>
  <si>
    <t>Principal International (Page 2/2)</t>
  </si>
  <si>
    <t>% Chg</t>
  </si>
  <si>
    <t>Below Investment Grade / Shareholders' Equity (%)</t>
  </si>
  <si>
    <t>BIG_FixPct</t>
  </si>
  <si>
    <t>BIG</t>
  </si>
  <si>
    <t>BIG_ShrEqPct</t>
  </si>
  <si>
    <t>Label</t>
  </si>
  <si>
    <t>Net Flows/BOP AUM (%)</t>
  </si>
  <si>
    <t>28</t>
  </si>
  <si>
    <t>Contribution to Life &amp; Specialty Benefit Earnings (%)</t>
  </si>
  <si>
    <t>Total Life &amp; Specialty Benefit Earnings</t>
  </si>
  <si>
    <t>4b. US INSURANCE SOLUTIONS - Specialty Benefits</t>
  </si>
  <si>
    <t>4. US INSURANCE SOLUTIONS</t>
  </si>
  <si>
    <t>3. PRINCIPAL INTERNATIONAL</t>
  </si>
  <si>
    <t>5. CORPORATE AND OTHER SEGMENT</t>
  </si>
  <si>
    <t>6. CONSOLIDATED INCOME STATEMENT</t>
  </si>
  <si>
    <t>U.S. Insurance Solutions</t>
  </si>
  <si>
    <t>Pretax Core Earnings by Segment (using reported tax rate)</t>
  </si>
  <si>
    <t>Total Core Pretax Earnings (using reported tax rate)</t>
  </si>
  <si>
    <t>Pretax Core Earnings by Segment (using statutory tax rate)</t>
  </si>
  <si>
    <t>Total Core Pretax Earnings (using statutory tax rate)</t>
  </si>
  <si>
    <t>Taxes (incl. Preferred Stock Dividends)</t>
  </si>
  <si>
    <t>Life and Specialty Benefits Insurance</t>
  </si>
  <si>
    <t>Life Insurance (% of Life &amp; Specialty)</t>
  </si>
  <si>
    <t>Specialty Benefits (% of Life &amp; Specialty)</t>
  </si>
  <si>
    <t>PTEarns_Funds</t>
  </si>
  <si>
    <t>PTEarns_Assetmgmt</t>
  </si>
  <si>
    <t>Abnormal Items</t>
  </si>
  <si>
    <t>Core Op Earnings After Tax</t>
  </si>
  <si>
    <t>After-tax Earnings by Segment</t>
  </si>
  <si>
    <t>Income Tax Rate</t>
  </si>
  <si>
    <t>Description</t>
  </si>
  <si>
    <t>Total Non-Benefit Exp/AUM(%) - Scenario Analysis</t>
  </si>
  <si>
    <t>Pretax Earnings/Average AUM (%) - Scenario Analysis</t>
  </si>
  <si>
    <t>Amount Repurchased ($ in millions) - Scenario Analysis</t>
  </si>
  <si>
    <t>Core Pretax Margin</t>
  </si>
  <si>
    <t>Investment Performance</t>
  </si>
  <si>
    <t>Other</t>
  </si>
  <si>
    <t>AUM, End of Period</t>
  </si>
  <si>
    <t>Average AUM</t>
  </si>
  <si>
    <t>Net Fund Flows ($ in millions)</t>
  </si>
  <si>
    <t>Deposits/Beginning AUM (%)</t>
  </si>
  <si>
    <t>Withdrawals/Beginning AUM (%)</t>
  </si>
  <si>
    <t>Investment Performance (%)</t>
  </si>
  <si>
    <t>Forecast Only</t>
  </si>
  <si>
    <t>Inv Perf/BOP AUM (%)</t>
  </si>
  <si>
    <t>Premiums &amp; Fees</t>
  </si>
  <si>
    <t>PGI</t>
  </si>
  <si>
    <t>Op. After-tax Income</t>
  </si>
  <si>
    <t>Op. EPS</t>
  </si>
  <si>
    <t>PE (x)</t>
  </si>
  <si>
    <t>Value</t>
  </si>
  <si>
    <t>Intl</t>
  </si>
  <si>
    <t>Subtotal</t>
  </si>
  <si>
    <t>Excess Capital</t>
  </si>
  <si>
    <t>Price</t>
  </si>
  <si>
    <t>Fwd PE</t>
  </si>
  <si>
    <t>Accumulation Peers</t>
  </si>
  <si>
    <t>VOYA</t>
  </si>
  <si>
    <t>HABITAT-SN</t>
  </si>
  <si>
    <t>Protection</t>
  </si>
  <si>
    <t>UNM</t>
  </si>
  <si>
    <t>Pretax Return on Net Revenue (%)</t>
  </si>
  <si>
    <t>Operating Revenues</t>
  </si>
  <si>
    <t>Pretax Operating Margin (%)</t>
  </si>
  <si>
    <t>2017E</t>
  </si>
  <si>
    <t>1Q13</t>
  </si>
  <si>
    <t>2Q13</t>
  </si>
  <si>
    <t>3Q13</t>
  </si>
  <si>
    <t>4Q13</t>
  </si>
  <si>
    <t>F2017</t>
  </si>
  <si>
    <t>After-tax Core Earnings Contribution (%)</t>
  </si>
  <si>
    <t>Links to this same tab</t>
  </si>
  <si>
    <t>Inv Perf/Mkt Performance (%)</t>
  </si>
  <si>
    <t>Deposits/BOP AUM (%)</t>
  </si>
  <si>
    <t>Withdrawals/BOP AUM (%)</t>
  </si>
  <si>
    <t>Weighted Average Shares (FD)</t>
  </si>
  <si>
    <t>Weighted Average Shares (BASIC)</t>
  </si>
  <si>
    <t>Shares Repurchased (in millions)</t>
  </si>
  <si>
    <t>Amount Repurchased ($ in millions)</t>
  </si>
  <si>
    <t>Shares Outstanding</t>
  </si>
  <si>
    <t>Outstanding Shares (EOP)</t>
  </si>
  <si>
    <t>Earnings Per Share</t>
  </si>
  <si>
    <t>Operating EPS</t>
  </si>
  <si>
    <t xml:space="preserve">Net EPS </t>
  </si>
  <si>
    <t>Assets</t>
  </si>
  <si>
    <t>FAS 115 Adjustment</t>
  </si>
  <si>
    <t>Deferred Acquisition Costs (DAC)</t>
  </si>
  <si>
    <t>Separate Account Assets</t>
  </si>
  <si>
    <t>Other Assets</t>
  </si>
  <si>
    <t>Pctcontrib_Life&amp;Health</t>
  </si>
  <si>
    <t>Taxes</t>
  </si>
  <si>
    <t>CorePTEarns_Pension</t>
  </si>
  <si>
    <t>CorePTEarns_Funds</t>
  </si>
  <si>
    <t>CoreOpEarns_PT</t>
  </si>
  <si>
    <t>FAS115_Adjmt</t>
  </si>
  <si>
    <t>EOP_Eq_ex115</t>
  </si>
  <si>
    <t>Avg_Eq_ex115</t>
  </si>
  <si>
    <t>Avg_Eq_incl115</t>
  </si>
  <si>
    <t>STDebt</t>
  </si>
  <si>
    <t>LTDebt</t>
  </si>
  <si>
    <t>Investments</t>
  </si>
  <si>
    <t xml:space="preserve">Book Value per Share </t>
  </si>
  <si>
    <t>Deposits</t>
  </si>
  <si>
    <t>Withdrawals</t>
  </si>
  <si>
    <t>Net DAC</t>
  </si>
  <si>
    <t>Other Exp/Revenues (%)</t>
  </si>
  <si>
    <t>Net Fund Flows/Beg. AUM (%)</t>
  </si>
  <si>
    <t>Pension (% of USAMA)</t>
  </si>
  <si>
    <t>Pension (% of Total PFG)</t>
  </si>
  <si>
    <t>Other USAMA (% of Total PFG)</t>
  </si>
  <si>
    <t>DivPS</t>
  </si>
  <si>
    <t>DivAmt</t>
  </si>
  <si>
    <t>OpEarns_PT</t>
  </si>
  <si>
    <t>PTEarns_Disab</t>
  </si>
  <si>
    <t>PTEarns_LifeIns</t>
  </si>
  <si>
    <t>PTEarns_Intl</t>
  </si>
  <si>
    <t xml:space="preserve">  Investment Performance</t>
  </si>
  <si>
    <t xml:space="preserve">  Operations Acquired</t>
  </si>
  <si>
    <t xml:space="preserve">  Other</t>
  </si>
  <si>
    <t>Other USAMA (% of USAMA)</t>
  </si>
  <si>
    <t>% of Core PFG Op. Earnings</t>
  </si>
  <si>
    <t>25-30%</t>
  </si>
  <si>
    <t>Income Tax Rate (%)</t>
  </si>
  <si>
    <t>Asset Flows</t>
  </si>
  <si>
    <t>Asset Flow Analysis</t>
  </si>
  <si>
    <t>Group Life</t>
  </si>
  <si>
    <t>Group Medical</t>
  </si>
  <si>
    <t>1Q12</t>
  </si>
  <si>
    <t>2Q12</t>
  </si>
  <si>
    <t>3Q12</t>
  </si>
  <si>
    <t>4Q12</t>
  </si>
  <si>
    <t>2016E</t>
  </si>
  <si>
    <t>F2015</t>
  </si>
  <si>
    <t>F2016</t>
  </si>
  <si>
    <t>CHECK</t>
  </si>
  <si>
    <t>5-7%</t>
  </si>
  <si>
    <t>(2)-2%</t>
  </si>
  <si>
    <t>78-80%</t>
  </si>
  <si>
    <t>14-16%</t>
  </si>
  <si>
    <t>26-28%</t>
  </si>
  <si>
    <t>16-18%</t>
  </si>
  <si>
    <t>50-52%</t>
  </si>
  <si>
    <t>Pctcontrib_Intl</t>
  </si>
  <si>
    <t>PctContrib_Pension</t>
  </si>
  <si>
    <t>Group Medical Insurance</t>
  </si>
  <si>
    <t>Non-recurring Items</t>
  </si>
  <si>
    <t>Net Income</t>
  </si>
  <si>
    <t>Dividends</t>
  </si>
  <si>
    <t>Dividends Per Share</t>
  </si>
  <si>
    <t>Dividend Payout Ratio (%)</t>
  </si>
  <si>
    <t>Dividend Amount ($ in millions)</t>
  </si>
  <si>
    <t>Buybacks/Issuance</t>
  </si>
  <si>
    <t>Shares Issued</t>
  </si>
  <si>
    <t>Average Price</t>
  </si>
  <si>
    <t>Amount Raised</t>
  </si>
  <si>
    <t>Principal Financial Group</t>
  </si>
  <si>
    <t>5-Yr</t>
  </si>
  <si>
    <t>Principal Global Investors</t>
  </si>
  <si>
    <t>Principal International</t>
  </si>
  <si>
    <t>8. EPS/DPS CALCULATION</t>
  </si>
  <si>
    <t>9. CAPITAL &amp; OTHER</t>
  </si>
  <si>
    <t>FOR MODELWARE PURPOSES &amp; OTHER</t>
  </si>
  <si>
    <t>Retirement &amp; Investor Services</t>
  </si>
  <si>
    <t>Total RIS Earnings</t>
  </si>
  <si>
    <t>Principal Global Investors (% of Total PFG)</t>
  </si>
  <si>
    <t>Net Investment Income/AUM (%)</t>
  </si>
  <si>
    <t>Deposits- Scenario Analysis</t>
  </si>
  <si>
    <t xml:space="preserve">            </t>
  </si>
  <si>
    <t>Average Diluted Shares Outstanding</t>
  </si>
  <si>
    <t>Below Investment Grade / Fixed Income (%)</t>
  </si>
  <si>
    <t>Below Investment Grade ($)</t>
  </si>
  <si>
    <t>DAC</t>
  </si>
  <si>
    <t>Dividend and Stock Repurchases Payout Ratios</t>
  </si>
  <si>
    <t xml:space="preserve">Dividend and Stock Repurchases </t>
  </si>
  <si>
    <t>Income tax rate</t>
  </si>
  <si>
    <t>LTD_to_LTCap_incl115</t>
  </si>
  <si>
    <t>LTD_to_Cap_incl115</t>
  </si>
  <si>
    <t>BVPS_incl115</t>
  </si>
  <si>
    <t>LTD_to_LTCap_ex115</t>
  </si>
  <si>
    <t>LTD_to_Cap_ex115</t>
  </si>
  <si>
    <t>BVPS_ex115</t>
  </si>
  <si>
    <t>Op_ROE</t>
  </si>
  <si>
    <t>Rep_ROE_ex115</t>
  </si>
  <si>
    <t>Rep_ROE_incl115</t>
  </si>
  <si>
    <t>EOP_Eq_incl115</t>
  </si>
  <si>
    <t>Group Dental and Vision</t>
  </si>
  <si>
    <t>Expense Analysis</t>
  </si>
  <si>
    <t>Capital Ratios (Incl FAS 115)</t>
  </si>
  <si>
    <t>PTEarns_Pension</t>
  </si>
  <si>
    <t xml:space="preserve">  Effect of Exchange Rates</t>
  </si>
  <si>
    <t>ATEarns_LifeIns</t>
  </si>
  <si>
    <t>Rev_Health</t>
  </si>
  <si>
    <t>Abnormals - Per Share Impact</t>
  </si>
  <si>
    <t>ATEarns_Health</t>
  </si>
  <si>
    <t>Assets_Specialty</t>
  </si>
  <si>
    <t>Rev_Specialty</t>
  </si>
  <si>
    <t>ATEarns_Specialty</t>
  </si>
  <si>
    <t>Rev_CO</t>
  </si>
  <si>
    <t>ATEarns_CO</t>
  </si>
  <si>
    <t>Operating Earnings Pre Preferred</t>
  </si>
  <si>
    <t>Preferred Stock Dividends</t>
  </si>
  <si>
    <t>Sales (First Year Premiums)</t>
  </si>
  <si>
    <t>UL and VUL</t>
  </si>
  <si>
    <t>Total Life Insurance Sales</t>
  </si>
  <si>
    <t>Average</t>
  </si>
  <si>
    <t>MFC-T</t>
  </si>
  <si>
    <t>(140)-(160)</t>
  </si>
  <si>
    <t>295-297</t>
  </si>
  <si>
    <t>Net issuances</t>
  </si>
  <si>
    <t>Treasury Stock</t>
  </si>
  <si>
    <t>($Millions Except Per Share Data)</t>
  </si>
  <si>
    <t>Real Gain (Loss)/Invested Assets (%)</t>
  </si>
  <si>
    <t xml:space="preserve">   Withdrawals</t>
  </si>
  <si>
    <t xml:space="preserve">   Investment Performance</t>
  </si>
  <si>
    <t xml:space="preserve">   Other</t>
  </si>
  <si>
    <t>Other Liabilities</t>
  </si>
  <si>
    <t>Policyholder Reserves and Other</t>
  </si>
  <si>
    <t>Contribution to PFG Earnings (%)</t>
  </si>
  <si>
    <t>Pctcontrib_LifeIns</t>
  </si>
  <si>
    <t>Pctcontrib_Disab</t>
  </si>
  <si>
    <t>Total_Cap_ex115</t>
  </si>
  <si>
    <t>Total Capital</t>
  </si>
  <si>
    <t>Total_Cap_incl115</t>
  </si>
  <si>
    <t>PTEarns_Health_InvInc</t>
  </si>
  <si>
    <t>Market Performance - Scenario Analysis</t>
  </si>
  <si>
    <t>S&amp;P 500 Quarterly Performance (%)</t>
  </si>
  <si>
    <t>Equity Market Performance (%)</t>
  </si>
  <si>
    <t>Rev_Intl</t>
  </si>
  <si>
    <t>ATEarns_Intl</t>
  </si>
  <si>
    <t>Rev_LifeIns</t>
  </si>
  <si>
    <t>Retained Earnings</t>
  </si>
  <si>
    <t>Other Expenses/Avg AUM (%)</t>
  </si>
  <si>
    <t>Op Pretax Margin (%)</t>
  </si>
  <si>
    <t>Core Pretax Margin (%)</t>
  </si>
  <si>
    <t>Pretax Core Margin (%)</t>
  </si>
  <si>
    <t>Mortgage Banking</t>
  </si>
  <si>
    <t>Net-realized Capital Gains/(Losses)</t>
  </si>
  <si>
    <t>AmtRepurch</t>
  </si>
  <si>
    <t>Premiums, Fees and Other Considerations</t>
  </si>
  <si>
    <t>Benefits Expense/Premiums (%)</t>
  </si>
  <si>
    <t>,mscalc:closePriceCurrencyCalc</t>
  </si>
  <si>
    <t>,mscalc:sedolCodeCalc</t>
  </si>
  <si>
    <t>,mscalc:targetPrice,,,,USD</t>
  </si>
  <si>
    <t>PFG.N,mscalc:targetPrice</t>
  </si>
  <si>
    <t>Loss Ratio</t>
  </si>
  <si>
    <t>EPS</t>
  </si>
  <si>
    <t xml:space="preserve"> Total Assets (Incl FAS 115)</t>
  </si>
  <si>
    <t xml:space="preserve"> Total Assets (Excl FAS 115)</t>
  </si>
  <si>
    <t>Separate Acct Assets/Sep Acct Roll Fwds</t>
  </si>
  <si>
    <t>Debt Outstanding</t>
  </si>
  <si>
    <t>Short-Term Debt</t>
  </si>
  <si>
    <t>Long-Term Debt</t>
  </si>
  <si>
    <t>Equity EOP Excluding FAS 115</t>
  </si>
  <si>
    <t>Average Equity Incl FAS 115</t>
  </si>
  <si>
    <t>Assets_Intl</t>
  </si>
  <si>
    <t>Average Equity Excl FAS 115</t>
  </si>
  <si>
    <t>Equity by Division</t>
  </si>
  <si>
    <t>Total Equity</t>
  </si>
  <si>
    <t>Profitability</t>
  </si>
  <si>
    <t>Operating ROE (Excl FAS 115)(%)</t>
  </si>
  <si>
    <t>Reported ROE (Excl FAS 115)(%)</t>
  </si>
  <si>
    <t>Reported ROE (Incl FAS 115)(%)</t>
  </si>
  <si>
    <t>Revenue Analysis</t>
  </si>
  <si>
    <t>Total</t>
  </si>
  <si>
    <t>When in Qtr (0%-beg; 100%-end)</t>
  </si>
  <si>
    <t>Reserves</t>
  </si>
  <si>
    <t>Interest Sensitive Life</t>
  </si>
  <si>
    <t>Total Life Reserves</t>
  </si>
  <si>
    <t>PTEarns_Annuity</t>
  </si>
  <si>
    <t>PTEarns_Specialty</t>
  </si>
  <si>
    <t>BEN</t>
  </si>
  <si>
    <t>Current Price</t>
  </si>
  <si>
    <t>PFG</t>
  </si>
  <si>
    <t>PTEarns_Disab_InvInc</t>
  </si>
  <si>
    <t>Total Share Capital</t>
  </si>
  <si>
    <t>Corporate &amp; Other</t>
  </si>
  <si>
    <t xml:space="preserve">Quarterly income statement ratios are annualized where appropriate     NM = Not Meaningful       NA = Not Applicable </t>
  </si>
  <si>
    <t>ROE = Return on Equity        Excl = Excluding         Incl = Including</t>
  </si>
  <si>
    <t>Core After-tax Margin (%)</t>
  </si>
  <si>
    <t>Bank and Trust Services</t>
  </si>
  <si>
    <t>Consolidated Operating Earnings Forecast (Page 2/2)</t>
  </si>
  <si>
    <t>AUM, beginning of period ($ in millions)</t>
  </si>
  <si>
    <t>NetEarns</t>
  </si>
  <si>
    <t>DivPayout</t>
  </si>
  <si>
    <t>Profitability Metrics</t>
  </si>
  <si>
    <t>Net Op. Revenues</t>
  </si>
  <si>
    <t>Core Pretax Return on Net Revenue (%)</t>
  </si>
  <si>
    <t>Separate Account Liabilities</t>
  </si>
  <si>
    <t>Group Dental and Vision Insurance</t>
  </si>
  <si>
    <t>Group Disability</t>
  </si>
  <si>
    <t>Life Insurance ($)</t>
  </si>
  <si>
    <t>Corporate and Other</t>
  </si>
  <si>
    <t>Total Revenues</t>
  </si>
  <si>
    <t>Pretax Margin</t>
  </si>
  <si>
    <t>After-tax Margin</t>
  </si>
  <si>
    <t xml:space="preserve">    as a % of net income</t>
  </si>
  <si>
    <t>Statutory Tax Rate</t>
  </si>
  <si>
    <t>After-tax Core Earnings/Average AUM (%)</t>
  </si>
  <si>
    <t>27-29%</t>
  </si>
  <si>
    <t>77-80%</t>
  </si>
  <si>
    <t>6-8%</t>
  </si>
  <si>
    <t>30-32%</t>
  </si>
  <si>
    <t>28-32%</t>
  </si>
  <si>
    <t>23-25%</t>
  </si>
  <si>
    <t>20-24</t>
  </si>
  <si>
    <t>3-5%</t>
  </si>
  <si>
    <t>4-8%</t>
  </si>
  <si>
    <t>15-17%</t>
  </si>
  <si>
    <t>8-10%</t>
  </si>
  <si>
    <t>65-71%</t>
  </si>
  <si>
    <t>14-17%</t>
  </si>
  <si>
    <t>15-20%</t>
  </si>
  <si>
    <t>16-19%</t>
  </si>
  <si>
    <t>55-60%</t>
  </si>
  <si>
    <t>10-12%</t>
  </si>
  <si>
    <t>Other After-tax Adjustments</t>
  </si>
  <si>
    <t>PTEarns_USAMA</t>
  </si>
  <si>
    <t>Unrecorded goodwill from pooling</t>
  </si>
  <si>
    <t>ND</t>
  </si>
  <si>
    <t>Base Case</t>
  </si>
  <si>
    <t>Bull Variance (%)</t>
  </si>
  <si>
    <t>Bear Variance (%)</t>
  </si>
  <si>
    <t>Bull</t>
  </si>
  <si>
    <t>Bear</t>
  </si>
  <si>
    <t>Base</t>
  </si>
  <si>
    <t>LIFE INSURANCE</t>
  </si>
  <si>
    <t>Benefit Ratio</t>
  </si>
  <si>
    <t>Payout Ratios</t>
  </si>
  <si>
    <t xml:space="preserve">   Deposits</t>
  </si>
  <si>
    <t>Tax Rate (%)</t>
  </si>
  <si>
    <t>PTEarns_CO</t>
  </si>
  <si>
    <t>Pctcontrib_CO</t>
  </si>
  <si>
    <t>Pretax Earnings/Average AUM (%)</t>
  </si>
  <si>
    <t>1Q14</t>
  </si>
  <si>
    <t>2Q14</t>
  </si>
  <si>
    <t>3Q14</t>
  </si>
  <si>
    <t>4Q14</t>
  </si>
  <si>
    <t>F2018</t>
  </si>
  <si>
    <t>2018E</t>
  </si>
  <si>
    <t>Pretax Margin (%)</t>
  </si>
  <si>
    <t>After-tax Margin (%)</t>
  </si>
  <si>
    <t>Premiums, Fees and Other Revenues</t>
  </si>
  <si>
    <t>Premiums, Fees and Other/Average AUM (%)</t>
  </si>
  <si>
    <t>Capital Ratios (Excl FAS 115)</t>
  </si>
  <si>
    <t>LT Debt to LT Capital (%)</t>
  </si>
  <si>
    <t>DAC to Equity (%)</t>
  </si>
  <si>
    <t>Debt to Capital (%)</t>
  </si>
  <si>
    <t>Debt to Equity (%)</t>
  </si>
  <si>
    <t>Capital to Gen Policy Liab (%)</t>
  </si>
  <si>
    <t>Equity to Assets (%)</t>
  </si>
  <si>
    <t>Equity to Gen Policy Liab (%)</t>
  </si>
  <si>
    <t>Commissions/AUM (%)</t>
  </si>
  <si>
    <t>Net DPAC/AUM (%)</t>
  </si>
  <si>
    <t>Commissions/Revenues (%)</t>
  </si>
  <si>
    <t>Net DPAC/Revenues (%)</t>
  </si>
  <si>
    <t>CAGR</t>
  </si>
  <si>
    <t>AUM, end of period</t>
  </si>
  <si>
    <t>InvInc</t>
  </si>
  <si>
    <t>Net DPAC</t>
  </si>
  <si>
    <t>Core EPS</t>
  </si>
  <si>
    <t>F2014</t>
  </si>
  <si>
    <t>USD</t>
  </si>
  <si>
    <t>Group Dental &amp; Vision</t>
  </si>
  <si>
    <t>Reported Benefit Ratios</t>
  </si>
  <si>
    <t xml:space="preserve"> Total Liabilities (Excl Debt Outstanding)</t>
  </si>
  <si>
    <t>Equity</t>
  </si>
  <si>
    <t>Equity EOP Including FAS 115</t>
  </si>
  <si>
    <t>Operating ROE by Segment</t>
  </si>
  <si>
    <t>Book Value per Share</t>
  </si>
  <si>
    <t>Consolidated Operating Earnings Forecast (Page 1/2)</t>
  </si>
  <si>
    <t>(%)</t>
  </si>
  <si>
    <t>Rev</t>
  </si>
  <si>
    <t xml:space="preserve">   Investment Income, net</t>
  </si>
  <si>
    <t xml:space="preserve">Operating Earnings Before Taxes </t>
  </si>
  <si>
    <t xml:space="preserve">   Tax Rate (%)</t>
  </si>
  <si>
    <t>Operating Earnings (Loss)</t>
  </si>
  <si>
    <t>Segment Contribution (AT Earnings)</t>
  </si>
  <si>
    <t>NonControlling Interest</t>
  </si>
  <si>
    <t>Operating Earnings After Tax</t>
  </si>
  <si>
    <t>Profitability Analysis</t>
  </si>
  <si>
    <t xml:space="preserve">   Total Reserves</t>
  </si>
  <si>
    <t xml:space="preserve">   Average Reserves</t>
  </si>
  <si>
    <t>Fees and Other Revenues</t>
  </si>
  <si>
    <t>Net Investment Income</t>
  </si>
  <si>
    <t>Total Operating Revenues</t>
  </si>
  <si>
    <t>Expenses</t>
  </si>
  <si>
    <t>Benefits, Claims, and Settlement Expenses</t>
  </si>
  <si>
    <t>Benefits Expense/Revenues (%)</t>
  </si>
  <si>
    <t>Commissions</t>
  </si>
  <si>
    <t>RealGainLoss</t>
  </si>
  <si>
    <t>OtherNonOpItems</t>
  </si>
  <si>
    <t xml:space="preserve">  (NII-Benefits)/AUM  (%)</t>
  </si>
  <si>
    <t>Total Non-Benefit Exp/AUM(%)</t>
  </si>
  <si>
    <t>Prem + NII - Benefits/AUM</t>
  </si>
  <si>
    <t>Total Non-Benefit Exp/AUM (%)</t>
  </si>
  <si>
    <t>Real Gain (Loss)/Oper Inc (%)</t>
  </si>
  <si>
    <t>Benefits Expense/Revenues (%)- Scenario Analysis</t>
  </si>
  <si>
    <t>Benefits Expense/Revenues (%)-Scenario Analysis</t>
  </si>
  <si>
    <t>period end diluted shares</t>
  </si>
  <si>
    <t>Life Insurance (% of Total PFG)</t>
  </si>
  <si>
    <t>Benefits Expense/AUM (%)</t>
  </si>
  <si>
    <t>Benefits, Claims, Dividends and Settlement Expenses</t>
  </si>
  <si>
    <t>2013</t>
  </si>
  <si>
    <t>Comissions</t>
  </si>
  <si>
    <t>Y/Y Growth Rate</t>
  </si>
  <si>
    <t>PI</t>
  </si>
  <si>
    <t>FD Shares</t>
  </si>
  <si>
    <t>Corporate AT Losses</t>
  </si>
  <si>
    <t>Other and Eliminations</t>
  </si>
  <si>
    <t>Specialty Benefits</t>
  </si>
  <si>
    <t>Specialty Benefits ($)</t>
  </si>
  <si>
    <t>Return on Average Assets (%)</t>
  </si>
  <si>
    <t>Pretax Earnings/AUM</t>
  </si>
  <si>
    <t>Specialty Benefits (% of Total PFG)</t>
  </si>
  <si>
    <t>Traditional Life</t>
  </si>
  <si>
    <t>Individual Disability</t>
  </si>
  <si>
    <t xml:space="preserve"> </t>
  </si>
  <si>
    <t xml:space="preserve">   Premiums, Fees and Other Revenue</t>
  </si>
  <si>
    <t>Total Premiums</t>
  </si>
  <si>
    <t xml:space="preserve">   Other Expenses &amp; Interest Expense</t>
  </si>
  <si>
    <t>Full Service Accumulation</t>
  </si>
  <si>
    <t>Full Service Payout</t>
  </si>
  <si>
    <t>Investment Only</t>
  </si>
  <si>
    <t>Mutual Funds</t>
  </si>
  <si>
    <t>Individual Annuities</t>
  </si>
  <si>
    <t>O</t>
  </si>
  <si>
    <t>Other &amp; Eliminations</t>
  </si>
  <si>
    <t>Margin_PT</t>
  </si>
  <si>
    <t>Core ROE (Excl FAS 115)(%)</t>
  </si>
  <si>
    <t xml:space="preserve">    as a % of operating earnings</t>
  </si>
  <si>
    <t>AUM, Beginning of Period ($ in millions)</t>
  </si>
  <si>
    <t>IAMA (% of Total PFG)</t>
  </si>
  <si>
    <t>For SOI</t>
  </si>
  <si>
    <t>Core Pretax Earnings</t>
  </si>
  <si>
    <t>Core After Tax Earnings</t>
  </si>
  <si>
    <t>Core Operating EPS</t>
  </si>
  <si>
    <t>Core_AssetMgmt_PTEarns</t>
  </si>
  <si>
    <t>Core_Other_PTEarns</t>
  </si>
  <si>
    <t>Core_ATEarns</t>
  </si>
  <si>
    <t>Core_OpEPS</t>
  </si>
  <si>
    <t>Unrealized gains losses for modelware</t>
  </si>
  <si>
    <t>Total Debt Outstanding</t>
  </si>
  <si>
    <t>Corporate and Other (Page 1/1)</t>
  </si>
  <si>
    <t>Op_EPS</t>
  </si>
  <si>
    <t>Net_EPS</t>
  </si>
  <si>
    <t>EOPShrsOut</t>
  </si>
  <si>
    <t>AvgShrsOut</t>
  </si>
  <si>
    <t>ShrsRepurch</t>
  </si>
  <si>
    <t>Other Expenses &amp; Interest Expense</t>
  </si>
  <si>
    <t>Total Non-operating items</t>
  </si>
  <si>
    <t>Other Expenses/Revenues (%)</t>
  </si>
  <si>
    <t>Total Expenses</t>
  </si>
  <si>
    <t>Operating Earnings before Tax</t>
  </si>
  <si>
    <t>Income Tax</t>
  </si>
  <si>
    <t>Pension ($)</t>
  </si>
  <si>
    <t>Other USAMA ($)</t>
  </si>
  <si>
    <t>NA</t>
  </si>
  <si>
    <t xml:space="preserve">  Deposits</t>
  </si>
  <si>
    <t xml:space="preserve">  Withdrawals</t>
  </si>
  <si>
    <t>Revenues</t>
  </si>
  <si>
    <t>PTEarns_Life</t>
  </si>
  <si>
    <t>Investments (Excl FAS 115)</t>
  </si>
  <si>
    <t>Investments (Incl FAS 115)</t>
  </si>
  <si>
    <t>4b. Health Insurance</t>
  </si>
  <si>
    <t>Global Asset Management</t>
  </si>
  <si>
    <t>Total US Asset Mgmt and Global Asset Mgmt</t>
  </si>
  <si>
    <t>Benefits / Premiums&amp;Fees (%)</t>
  </si>
  <si>
    <t>Mortgage Banking (%)</t>
  </si>
  <si>
    <t>Corporate and Other (%)</t>
  </si>
  <si>
    <t>Total Operating ROE (%)</t>
  </si>
  <si>
    <t>Preferred stock (par + paid-in-capital)</t>
  </si>
  <si>
    <t>Currency</t>
  </si>
  <si>
    <t>US Insurance Solution - Life Segment (Page 2/2)</t>
  </si>
  <si>
    <t>US Insurance Solution - Life Segment (Page 1/2)</t>
  </si>
  <si>
    <t>US Insurance Solution - Group Segment (Page 1/1)</t>
  </si>
  <si>
    <t>Current Stock Price</t>
  </si>
  <si>
    <t>Net Operating Revenues</t>
  </si>
  <si>
    <t>Tax Rate ex-Corp</t>
  </si>
  <si>
    <t>1Q15</t>
  </si>
  <si>
    <t>2Q15</t>
  </si>
  <si>
    <t>3Q15</t>
  </si>
  <si>
    <t>4Q15</t>
  </si>
  <si>
    <t>F2019</t>
  </si>
  <si>
    <t>2019E</t>
  </si>
  <si>
    <t>7-10%</t>
  </si>
  <si>
    <t>Total Payout Ratio</t>
  </si>
  <si>
    <t>65-70%</t>
  </si>
  <si>
    <t>Upside %</t>
  </si>
  <si>
    <t>$855mn</t>
  </si>
  <si>
    <t>Core PT Earnings</t>
  </si>
  <si>
    <t>4-6%</t>
  </si>
  <si>
    <t>13-16%</t>
  </si>
  <si>
    <t>64-70%</t>
  </si>
  <si>
    <t>21-23%</t>
  </si>
  <si>
    <t>$0.8-1.0bn</t>
  </si>
  <si>
    <t>3-4%</t>
  </si>
  <si>
    <t>S&amp;P 500 Index</t>
  </si>
  <si>
    <t>BLK</t>
  </si>
  <si>
    <t>Asset Mgmt Earnings</t>
  </si>
  <si>
    <t>Other Earnings</t>
  </si>
  <si>
    <t>US Life</t>
  </si>
  <si>
    <t>Tax Rate</t>
  </si>
  <si>
    <t>2014</t>
  </si>
  <si>
    <t>Fair Value</t>
  </si>
  <si>
    <t>30-33%</t>
  </si>
  <si>
    <t>1Q16</t>
  </si>
  <si>
    <t>2Q16</t>
  </si>
  <si>
    <t>3Q16</t>
  </si>
  <si>
    <t>4Q16</t>
  </si>
  <si>
    <t>F2020</t>
  </si>
  <si>
    <t>2020E</t>
  </si>
  <si>
    <t>5Y Avg</t>
  </si>
  <si>
    <t>Interest Expense</t>
  </si>
  <si>
    <t>Other Expenses</t>
  </si>
  <si>
    <t>Retirement &amp; Income Solutions</t>
  </si>
  <si>
    <t>1a. RETIREMENT &amp; INCOME SOLUTIONS - Fee</t>
  </si>
  <si>
    <t>+</t>
  </si>
  <si>
    <t>&gt;&gt;The reporting structure changed (see 11/6/15 8K)</t>
  </si>
  <si>
    <t>1b. RETIREMENT &amp; INCOME SOLUTIONS - Spread</t>
  </si>
  <si>
    <t xml:space="preserve">1. TOTAL RETIREMENT &amp; INCOME SOLUTIONS </t>
  </si>
  <si>
    <t>2. PRINCIPAL GLOBAL INVESTORS</t>
  </si>
  <si>
    <t>NonControlling Interest (Pre-Tax)</t>
  </si>
  <si>
    <t>Operating Earnings before Tax (After NCI)</t>
  </si>
  <si>
    <t>Fee</t>
  </si>
  <si>
    <t>Spread</t>
  </si>
  <si>
    <t>Core Operating Earnings before Tax</t>
  </si>
  <si>
    <t>Core Pre-tax Earnings by Segment</t>
  </si>
  <si>
    <t>Core Pre-tax Op Earnings</t>
  </si>
  <si>
    <t>Core Earnings After-Tax</t>
  </si>
  <si>
    <t xml:space="preserve">Core After-Tax Margin (%) </t>
  </si>
  <si>
    <t>Pre-Tax Core Earnings Contributions (%)</t>
  </si>
  <si>
    <t xml:space="preserve">Total </t>
  </si>
  <si>
    <t xml:space="preserve">Principal Global Investors </t>
  </si>
  <si>
    <t xml:space="preserve">Principal International </t>
  </si>
  <si>
    <t xml:space="preserve">After- Tax Operating Earnings </t>
  </si>
  <si>
    <t>z</t>
  </si>
  <si>
    <t xml:space="preserve">Taxes </t>
  </si>
  <si>
    <t>Operating Earnings Before Taxes (After NCI)</t>
  </si>
  <si>
    <t xml:space="preserve">7. REVENUES &amp; EARNINGS BY SEGMENT </t>
  </si>
  <si>
    <t>Revenues by Segment</t>
  </si>
  <si>
    <t xml:space="preserve">Life Insurance Solutions </t>
  </si>
  <si>
    <t>Brazil</t>
  </si>
  <si>
    <t>Chile</t>
  </si>
  <si>
    <t>Mexico</t>
  </si>
  <si>
    <t>ADD: CHINA</t>
  </si>
  <si>
    <t>Combined AUM</t>
  </si>
  <si>
    <t>Total Principal International AUM</t>
  </si>
  <si>
    <t>Risk</t>
  </si>
  <si>
    <t>Op. Pre-tax Income</t>
  </si>
  <si>
    <t>Pretax Earnings by Segment</t>
  </si>
  <si>
    <t>Total Pretax Operating Earnings</t>
  </si>
  <si>
    <t>Reported Pre- Tax Earnings</t>
  </si>
  <si>
    <t>RIS - Fee</t>
  </si>
  <si>
    <t>RIS - Spread</t>
  </si>
  <si>
    <t>Total After-tax</t>
  </si>
  <si>
    <t>Fee Peers</t>
  </si>
  <si>
    <t>Total Taxes</t>
  </si>
  <si>
    <t>Fees - Pre-tax Op Earnings</t>
  </si>
  <si>
    <t>Fees - After-Tax Op Earnings</t>
  </si>
  <si>
    <t>Spread - Pre-tax Op Earnings</t>
  </si>
  <si>
    <t>Spread - After-Tax Op Earnings</t>
  </si>
  <si>
    <t>Risk - Pre-tax Op Earnings</t>
  </si>
  <si>
    <t>Risk - After-Tax Op Earnings</t>
  </si>
  <si>
    <t>Corporate - Pre-tax Op Earnings</t>
  </si>
  <si>
    <t>Corporate - After-Tax Op Earnings</t>
  </si>
  <si>
    <t>Others</t>
  </si>
  <si>
    <t>Operating Earnings Contribution (%) (exc. Corp.)</t>
  </si>
  <si>
    <t>Pre-tax Return on Net Revenue (%)</t>
  </si>
  <si>
    <t>Assumed Taxes</t>
  </si>
  <si>
    <t>Total Fee - AT</t>
  </si>
  <si>
    <t>Total Spread - AT</t>
  </si>
  <si>
    <t>Corp - AT</t>
  </si>
  <si>
    <t>RIS - Fee Segment (Page 1/2)</t>
  </si>
  <si>
    <t>Segment Contribution (PT Earnings)</t>
  </si>
  <si>
    <t>Pre-tax Earnings/Average AUM (%)</t>
  </si>
  <si>
    <t>RIS - Fee Segment (Page 2/2)</t>
  </si>
  <si>
    <t>RIS - Spread Segment (Page 1/2)</t>
  </si>
  <si>
    <t>RIS - Spread Segment (Page 2/2)</t>
  </si>
  <si>
    <t>Principal Global Investors Segment (Page 2/2)</t>
  </si>
  <si>
    <t>Pre-tax Core Earnings/Average AUM (%)</t>
  </si>
  <si>
    <t>Principal Global Investors Segment (Page 1/2)</t>
  </si>
  <si>
    <t>Pre-tax Earnings by Segment</t>
  </si>
  <si>
    <t>Total Pre-Tax Operating Earnings</t>
  </si>
  <si>
    <t>Pre-tax Earnings Contribution (%)</t>
  </si>
  <si>
    <t>Commission</t>
  </si>
  <si>
    <t>Commissions/Avg AUM (%)</t>
  </si>
  <si>
    <t>Pretax Return on Adj. Revenue</t>
  </si>
  <si>
    <t>Adj PGI Revenues</t>
  </si>
  <si>
    <t>2-4%</t>
  </si>
  <si>
    <t>55-59%</t>
  </si>
  <si>
    <t>Adjusted Revenue</t>
  </si>
  <si>
    <t>Core PT ROAR</t>
  </si>
  <si>
    <t>33-36%</t>
  </si>
  <si>
    <t>37-40%</t>
  </si>
  <si>
    <t>20-22%</t>
  </si>
  <si>
    <t>Corporate PT Losses</t>
  </si>
  <si>
    <t>(235)-(265)</t>
  </si>
  <si>
    <t>295-298</t>
  </si>
  <si>
    <t>10 year UST</t>
  </si>
  <si>
    <t>2.75-3%</t>
  </si>
  <si>
    <t>30-35%</t>
  </si>
  <si>
    <t>Total Risk - AT</t>
  </si>
  <si>
    <t>Combined Net Revenues (PFG Share)</t>
  </si>
  <si>
    <t>Total Combined Net Revenue (PFG Share)</t>
  </si>
  <si>
    <t>Combined Pretax Return on Net Revenue (%)</t>
  </si>
  <si>
    <t>Core PT Return on Net Revenues (%)</t>
  </si>
  <si>
    <t>Total Net Fund Flows ($ in millions)</t>
  </si>
  <si>
    <t>Total RIS</t>
  </si>
  <si>
    <t>Total US Insurance Solutions</t>
  </si>
  <si>
    <t>Abnormal Tax</t>
  </si>
  <si>
    <t>Individual Life</t>
  </si>
  <si>
    <t>2015</t>
  </si>
  <si>
    <t>'13 Target</t>
  </si>
  <si>
    <t>'14 Target</t>
  </si>
  <si>
    <t>'15 Target</t>
  </si>
  <si>
    <t>Check</t>
  </si>
  <si>
    <t>EPS '17</t>
  </si>
  <si>
    <t>F2021</t>
  </si>
  <si>
    <t>2021E</t>
  </si>
  <si>
    <t>1Q17</t>
  </si>
  <si>
    <t>2Q17</t>
  </si>
  <si>
    <t>3Q17</t>
  </si>
  <si>
    <t>4Q17</t>
  </si>
  <si>
    <t>Pretax Return on Net Revenue - TTM (%)</t>
  </si>
  <si>
    <t>Pretax Return on Adj. Revenue - TTM</t>
  </si>
  <si>
    <t>Combined Pretax Return on Net Revenue - TTM (%)</t>
  </si>
  <si>
    <t>Combined Core Pretax Return on Net Revenue - TTM(%)</t>
  </si>
  <si>
    <t>Pretax return on Premium &amp; Fees - TTM (%)</t>
  </si>
  <si>
    <t>Core PT Return on Premium &amp; Fees - TTM (%)</t>
  </si>
  <si>
    <t>PT Return on Premium &amp; Fees - TTM (%)</t>
  </si>
  <si>
    <t>Pretax Return on Premium &amp; Fees - TTM (%)</t>
  </si>
  <si>
    <t>Core PT Return on Premium &amp; Fees</t>
  </si>
  <si>
    <t>Combined Net Revenue</t>
  </si>
  <si>
    <t>4a. US INSURANCE SOLUTIONS - Individual Life</t>
  </si>
  <si>
    <t>US - Individual Life</t>
  </si>
  <si>
    <t>3-7%</t>
  </si>
  <si>
    <t>5-10%</t>
  </si>
  <si>
    <t>11-14%</t>
  </si>
  <si>
    <t>40-45%</t>
  </si>
  <si>
    <t>5-8%</t>
  </si>
  <si>
    <t>7-9%</t>
  </si>
  <si>
    <t>10-13%</t>
  </si>
  <si>
    <t>62-68%</t>
  </si>
  <si>
    <t>3-6%</t>
  </si>
  <si>
    <t>2-5%</t>
  </si>
  <si>
    <t>29-33%</t>
  </si>
  <si>
    <t>34-37%</t>
  </si>
  <si>
    <t>38-42%</t>
  </si>
  <si>
    <t>14-18%</t>
  </si>
  <si>
    <t>(200)-(225)</t>
  </si>
  <si>
    <t>19-21%</t>
  </si>
  <si>
    <t>30-34%</t>
  </si>
  <si>
    <t>288-292</t>
  </si>
  <si>
    <t>$0.8-1.1bn</t>
  </si>
  <si>
    <t>2,265-2,285</t>
  </si>
  <si>
    <t>2.5-3%</t>
  </si>
  <si>
    <t>LT Guidance</t>
  </si>
  <si>
    <t>US - Specialty Benefits</t>
  </si>
  <si>
    <t>TROW</t>
  </si>
  <si>
    <t>2016</t>
  </si>
  <si>
    <t>2018e</t>
  </si>
  <si>
    <t>Shares Out at 4Q18</t>
  </si>
  <si>
    <t>1Q18</t>
  </si>
  <si>
    <t>2Q18</t>
  </si>
  <si>
    <t>3Q18</t>
  </si>
  <si>
    <t>4Q18</t>
  </si>
  <si>
    <t>1Q18E</t>
  </si>
  <si>
    <t>2Q18E</t>
  </si>
  <si>
    <t>3Q18E</t>
  </si>
  <si>
    <t>4Q18E</t>
  </si>
  <si>
    <t>F2022</t>
  </si>
  <si>
    <t>2022E</t>
  </si>
  <si>
    <t xml:space="preserve">Periods Prior 2009 Need To Be Checked Since The Reporting Struture Changed &lt;&lt; </t>
  </si>
  <si>
    <t>18-20%</t>
  </si>
  <si>
    <t>60-65%</t>
  </si>
  <si>
    <t>31-35%</t>
  </si>
  <si>
    <t>34-38%</t>
  </si>
  <si>
    <t>(190)-(210)</t>
  </si>
  <si>
    <t>290-292</t>
  </si>
  <si>
    <t>$0.9-1.3bn</t>
  </si>
  <si>
    <t>2,730-2,750</t>
  </si>
  <si>
    <t>PFG.O</t>
  </si>
  <si>
    <t>PFG.O,mscalc:sedolCodeCalc</t>
  </si>
  <si>
    <t>PFG.O,mscalc:closePriceCurrencyCalc</t>
  </si>
  <si>
    <t>PFG.O,mscalc:targetPrice,,,,USD</t>
  </si>
  <si>
    <t>$T$2</t>
  </si>
  <si>
    <t>2017</t>
  </si>
  <si>
    <t>80</t>
  </si>
  <si>
    <t>Equity Investments AUM</t>
  </si>
  <si>
    <t>Fixed Income Investments AUM</t>
  </si>
  <si>
    <t>Alternatives &amp; Other AUM</t>
  </si>
  <si>
    <t>Bloomberg Barclays US Agg Total Return (%)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</si>
  <si>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</si>
  <si>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</si>
  <si>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</si>
  <si>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</si>
  <si>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</si>
  <si>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</si>
  <si>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</si>
  <si>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</si>
  <si>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Nigel Dally, Tanmay Gupta, Bob Huang</t>
  </si>
  <si>
    <t>Date: 05 Apr 2018</t>
  </si>
  <si>
    <t>Ticker: PFG.O</t>
  </si>
  <si>
    <t>Stock Rating: Equal-Weight</t>
  </si>
  <si>
    <t>Industry: Insurance - Life/Annuity</t>
  </si>
  <si>
    <t>Industry View: In-Line</t>
  </si>
  <si>
    <t>Price as of 05 Apr 2018: 61.04</t>
  </si>
  <si>
    <t>Target Price: 77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</si>
  <si>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</si>
  <si>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</si>
  <si>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</si>
  <si>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</si>
  <si>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Principal Financial Group.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</si>
  <si>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</si>
  <si>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</si>
  <si>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</si>
  <si>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</si>
  <si>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</si>
  <si>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</si>
  <si>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</si>
  <si>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</si>
  <si>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</si>
  <si>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</si>
  <si>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</si>
  <si>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</si>
  <si>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</si>
  <si>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</si>
  <si>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</si>
  <si>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</si>
  <si>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</si>
  <si>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</si>
  <si>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</si>
  <si>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</si>
  <si>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</si>
  <si>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</si>
  <si>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</si>
  <si>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</si>
  <si>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</si>
  <si>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</si>
  <si>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</si>
  <si>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</si>
  <si>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</si>
  <si>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</si>
  <si>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</si>
  <si>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</si>
  <si>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</si>
  <si>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</si>
  <si>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</si>
  <si>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</si>
  <si>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</si>
  <si>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</si>
  <si>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</si>
  <si>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</si>
  <si>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</si>
  <si>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</si>
  <si>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</si>
  <si>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</si>
  <si>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</si>
  <si>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</si>
  <si>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</si>
  <si>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</si>
  <si>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</si>
  <si>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</si>
  <si>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</si>
  <si>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</si>
  <si>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</si>
  <si>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</si>
  <si>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</si>
  <si>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</si>
  <si>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</si>
  <si>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</si>
  <si>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</si>
  <si>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</si>
  <si>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</si>
  <si>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</si>
  <si>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</si>
  <si>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</si>
  <si>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</si>
  <si>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</si>
  <si>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</si>
  <si>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</si>
  <si>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</si>
  <si>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</si>
  <si>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</si>
  <si>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</si>
  <si>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</si>
  <si>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</si>
  <si>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</si>
  <si>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</si>
  <si>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</si>
  <si>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</si>
  <si>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</si>
  <si>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</si>
  <si>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</si>
  <si>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</si>
  <si>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</si>
  <si>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</si>
  <si>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</si>
  <si>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</si>
  <si>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</si>
  <si>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</si>
  <si>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</si>
  <si>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</si>
  <si>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</si>
  <si>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</si>
  <si>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</si>
  <si>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</si>
  <si>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</si>
  <si>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</si>
  <si>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</si>
  <si>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</si>
  <si>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</si>
  <si>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</si>
  <si>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</si>
  <si>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</si>
  <si>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</si>
  <si>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</si>
  <si>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</si>
  <si>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</si>
  <si>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</si>
  <si>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</si>
  <si>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</si>
  <si>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</si>
  <si>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</si>
  <si>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</si>
  <si>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</si>
  <si>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</si>
  <si>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</si>
  <si>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</si>
  <si>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</si>
  <si>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</si>
  <si>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</si>
  <si>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</si>
  <si>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</si>
  <si>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</si>
  <si>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</si>
  <si>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</si>
  <si>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</si>
  <si>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</si>
  <si>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</si>
  <si>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</si>
  <si>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</si>
  <si>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</si>
  <si>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</si>
  <si>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</si>
  <si>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</si>
  <si>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</si>
  <si>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</si>
  <si>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</si>
  <si>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</si>
  <si>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</si>
  <si>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</si>
  <si>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</si>
  <si>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</si>
  <si>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</si>
  <si>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</si>
  <si>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</si>
  <si>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</si>
  <si>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</si>
  <si>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</si>
  <si>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</si>
  <si>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</si>
  <si>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</si>
  <si>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</si>
  <si>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</si>
  <si>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</si>
  <si>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</si>
  <si>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</si>
  <si>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</si>
  <si>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</si>
  <si>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</si>
  <si>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</si>
  <si>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</si>
  <si>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</si>
  <si>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</si>
  <si>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</si>
  <si>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</si>
  <si>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</si>
  <si>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</si>
  <si>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</si>
  <si>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</si>
  <si>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</si>
  <si>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</si>
  <si>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</si>
  <si>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</si>
  <si>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</si>
  <si>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</si>
  <si>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</si>
  <si>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</si>
  <si>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Principal Financial Group.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</si>
  <si>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</si>
  <si>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</si>
  <si>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</si>
  <si>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</si>
  <si>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</si>
  <si>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</si>
  <si>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</si>
  <si>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</si>
  <si>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</si>
  <si>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</si>
  <si>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</si>
  <si>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</si>
  <si>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</si>
  <si>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</si>
  <si>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</si>
  <si>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</si>
  <si>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</si>
  <si>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</si>
  <si>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</si>
  <si>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</si>
  <si>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</si>
  <si>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</si>
  <si>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</si>
  <si>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</si>
  <si>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</si>
  <si>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</si>
  <si>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</si>
  <si>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</si>
  <si>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</si>
  <si>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</si>
  <si>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</si>
  <si>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</si>
  <si>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</si>
  <si>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</si>
  <si>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</si>
  <si>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</si>
  <si>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</si>
  <si>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</si>
  <si>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</si>
  <si>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</si>
  <si>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</si>
  <si>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</si>
  <si>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</si>
  <si>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</si>
  <si>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</si>
  <si>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</si>
  <si>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</si>
  <si>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</si>
  <si>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</si>
  <si>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</si>
  <si>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</si>
  <si>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</si>
  <si>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</si>
  <si>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</si>
  <si>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</si>
  <si>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</si>
  <si>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</si>
  <si>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</si>
  <si>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</si>
  <si>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</si>
  <si>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</si>
  <si>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</si>
  <si>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</si>
  <si>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</si>
  <si>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</si>
  <si>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</si>
  <si>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non-securities related</t>
  </si>
  <si>
    <t>services to and/or in the past has entered into an agreement to provide services or has a client</t>
  </si>
  <si>
    <t>relationship with the following company: Principal Financial Group.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</si>
  <si>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</si>
  <si>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</si>
  <si>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Principal Financial Group.</t>
  </si>
  <si>
    <t>Within the last 12 months, Morgan Stanley has provided or is providing investment banking services to,</t>
  </si>
  <si>
    <t>or has an investment banking client relationship with, the following company: Principal Financial Group.</t>
  </si>
  <si>
    <t>Within the last 12 months, Morgan Stanley has received compensation for products and services other than</t>
  </si>
  <si>
    <t>investment banking services from Principal Financial Group.</t>
  </si>
  <si>
    <t>In the next 3 months, Morgan Stanley expects to receive or intends to seek compensation for investment</t>
  </si>
  <si>
    <t>banking services from Principal Financial Group.</t>
  </si>
  <si>
    <t>Within the last 12 months, Morgan Stanley has received compensation for investment banking services from</t>
  </si>
  <si>
    <t>Principal Financial Group.</t>
  </si>
  <si>
    <t>Within the last 12 months, Morgan Stanley managed or co-managed a public offering (or 144A offering) of</t>
  </si>
  <si>
    <t>securities of Principal Financial Group.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</si>
  <si>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</si>
  <si>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</si>
  <si>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</si>
  <si>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</si>
  <si>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</si>
  <si>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Nigel Dally.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</si>
  <si>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</si>
  <si>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</si>
  <si>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</si>
  <si>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</si>
  <si>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</si>
  <si>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</si>
  <si>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</si>
  <si>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</si>
  <si>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</si>
  <si>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</si>
  <si>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</si>
  <si>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</si>
  <si>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</si>
  <si>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</si>
  <si>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</si>
  <si>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</si>
  <si>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</si>
  <si>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</si>
  <si>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</si>
  <si>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</si>
  <si>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</si>
  <si>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</si>
  <si>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</si>
  <si>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</si>
  <si>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</si>
  <si>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</si>
  <si>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</si>
  <si>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</si>
  <si>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</si>
  <si>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</si>
  <si>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</si>
  <si>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</si>
  <si>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</si>
  <si>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</si>
  <si>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</si>
  <si>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</si>
  <si>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</si>
  <si>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</si>
  <si>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</si>
  <si>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</si>
  <si>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</si>
  <si>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</si>
  <si>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</si>
  <si>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</si>
  <si>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</si>
  <si>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</si>
  <si>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</si>
  <si>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</si>
  <si>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</si>
  <si>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</si>
  <si>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</si>
  <si>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</si>
  <si>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</si>
  <si>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</si>
  <si>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</si>
  <si>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</si>
  <si>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</si>
  <si>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</si>
  <si>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</si>
  <si>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</si>
  <si>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</si>
  <si>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</si>
  <si>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</si>
  <si>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</si>
  <si>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</si>
  <si>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</si>
  <si>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</si>
  <si>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</si>
  <si>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</si>
  <si>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NorthAmerica</t>
  </si>
  <si>
    <t>huangb</t>
  </si>
  <si>
    <t>MSA10131, MSA86LPP, MSA35NYJ</t>
  </si>
  <si>
    <t>74251V102</t>
  </si>
  <si>
    <t>L:\INSURANC\life&amp;annuities\models\Models to Submit\pre1Q18\CopyOf-PFG.xlsm</t>
  </si>
  <si>
    <t>[BRO MSA]</t>
  </si>
  <si>
    <t>[PRODUCT MODEL]</t>
  </si>
  <si>
    <t>[EMAIL_ALERT YES]</t>
  </si>
  <si>
    <t>[DISCIPLINE Company]</t>
  </si>
  <si>
    <t>[SUPPRESSED NO]</t>
  </si>
  <si>
    <t>[DOCDAT 2018-04-05]</t>
  </si>
  <si>
    <t>[DOCTIME 09:08]</t>
  </si>
  <si>
    <t>[PSYM PFG.O(S&amp;P) (None)]</t>
  </si>
  <si>
    <t>[COU 1]</t>
  </si>
  <si>
    <t>[ANA MSA86LPP MSA35NYJ]</t>
  </si>
  <si>
    <t>[HL PFG.O Model]</t>
  </si>
  <si>
    <t>[IND INSURN]</t>
  </si>
  <si>
    <t>[PANA MSA10131]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</si>
</sst>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_);\-#,##0.0_)"/>
    <numFmt numFmtId="165" formatCode="#,##0.0_);\(#,##0.0\)"/>
    <numFmt numFmtId="166" formatCode="#,##0.00_)"/>
    <numFmt numFmtId="167" formatCode="#,##0_)"/>
    <numFmt numFmtId="168" formatCode="0.0"/>
    <numFmt numFmtId="169" formatCode="#,##0;\-#,##0"/>
    <numFmt numFmtId="170" formatCode="#,##0.0_)"/>
    <numFmt numFmtId="171" formatCode="_(* #,##0.0_);_(* \(#,##0.0\);_(* &quot;-&quot;??_);_(@_)"/>
    <numFmt numFmtId="172" formatCode="_(* #,##0_);_(* \(#,##0\);_(* &quot;-&quot;??_);_(@_)"/>
    <numFmt numFmtId="174" formatCode="#,##0.0"/>
    <numFmt numFmtId="175" formatCode="0.0%"/>
    <numFmt numFmtId="176" formatCode="#,##0_);\(#,##0\);\-_);@_)"/>
    <numFmt numFmtId="177" formatCode="#,##0.0_);\(#,##0.0\);\-_);@_)"/>
    <numFmt numFmtId="178" formatCode="#,##0.00_);\(#,##0.00\);\-_);@_)"/>
    <numFmt numFmtId="179" formatCode="0_);\(0\)"/>
    <numFmt numFmtId="180" formatCode="0.0_);\(0.0\)"/>
    <numFmt numFmtId="181" formatCode="#,##0.0000"/>
    <numFmt numFmtId="184" formatCode="#,##0_);\-#,##0_)"/>
    <numFmt numFmtId="185" formatCode="#,##0.000_)"/>
    <numFmt numFmtId="192" formatCode="#,##0_);\(#,##0\);0_);@_)"/>
    <numFmt numFmtId="193" formatCode="&quot;$&quot;#,##0.0;\(&quot;$&quot;#,##0.0\)"/>
    <numFmt numFmtId="194" formatCode="#,##0.00000_);\(#,##0.00000\)"/>
    <numFmt numFmtId="201" formatCode="mm/dd/yy\ hh:mm"/>
  </numFmts>
  <fonts count="10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name val="Helv"/>
    </font>
    <font>
      <sz val="1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0"/>
      <name val="Calibri"/>
      <family val="2"/>
    </font>
    <font>
      <sz val="10"/>
      <name val="Calibri"/>
      <family val="2"/>
    </font>
    <font>
      <b/>
      <sz val="10"/>
      <color indexed="9"/>
      <name val="Calibri"/>
      <family val="2"/>
    </font>
    <font>
      <sz val="10"/>
      <color indexed="12"/>
      <name val="Calibri"/>
      <family val="2"/>
    </font>
    <font>
      <b/>
      <i/>
      <sz val="10"/>
      <name val="Calibri"/>
      <family val="2"/>
    </font>
    <font>
      <sz val="10"/>
      <color indexed="8"/>
      <name val="Calibri"/>
      <family val="2"/>
    </font>
    <font>
      <i/>
      <sz val="10"/>
      <name val="Calibri"/>
      <family val="2"/>
    </font>
    <font>
      <sz val="10"/>
      <color indexed="9"/>
      <name val="Calibri"/>
      <family val="2"/>
    </font>
    <font>
      <i/>
      <sz val="10"/>
      <color indexed="9"/>
      <name val="Calibri"/>
      <family val="2"/>
    </font>
    <font>
      <sz val="10"/>
      <color indexed="16"/>
      <name val="Calibri"/>
      <family val="2"/>
    </font>
    <font>
      <sz val="10"/>
      <color indexed="10"/>
      <name val="Calibri"/>
      <family val="2"/>
    </font>
    <font>
      <i/>
      <sz val="10"/>
      <color indexed="16"/>
      <name val="Calibri"/>
      <family val="2"/>
    </font>
    <font>
      <i/>
      <sz val="10"/>
      <color indexed="12"/>
      <name val="Calibri"/>
      <family val="2"/>
    </font>
    <font>
      <b/>
      <sz val="10"/>
      <color indexed="8"/>
      <name val="Calibri"/>
      <family val="2"/>
    </font>
    <font>
      <b/>
      <sz val="10"/>
      <color indexed="12"/>
      <name val="Calibri"/>
      <family val="2"/>
    </font>
    <font>
      <i/>
      <sz val="10"/>
      <color indexed="8"/>
      <name val="Calibri"/>
      <family val="2"/>
    </font>
    <font>
      <i/>
      <sz val="10"/>
      <color indexed="10"/>
      <name val="Calibri"/>
      <family val="2"/>
    </font>
    <font>
      <b/>
      <sz val="10"/>
      <color indexed="10"/>
      <name val="Calibri"/>
      <family val="2"/>
    </font>
    <font>
      <b/>
      <i/>
      <sz val="10"/>
      <color indexed="1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ahoma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b/>
      <sz val="18"/>
      <color indexed="12"/>
      <name val="Calibri"/>
      <family val="2"/>
    </font>
    <font>
      <sz val="8"/>
      <name val="Tms Rmn"/>
    </font>
    <font>
      <sz val="8"/>
      <name val="Times New Roman"/>
      <family val="1"/>
    </font>
    <font>
      <sz val="10"/>
      <name val="Times New Roman"/>
      <family val="1"/>
    </font>
    <font>
      <sz val="8"/>
      <color indexed="12"/>
      <name val="Tms Rmn"/>
      <family val="1"/>
    </font>
    <font>
      <sz val="10"/>
      <color indexed="18"/>
      <name val="Times New Roman"/>
      <family val="1"/>
    </font>
    <font>
      <u/>
      <sz val="8"/>
      <name val="Tms Rmn"/>
    </font>
    <font>
      <u/>
      <sz val="8"/>
      <name val="Times New Roman"/>
      <family val="1"/>
    </font>
    <font>
      <b/>
      <sz val="10"/>
      <color indexed="56"/>
      <name val="Calibri"/>
      <family val="2"/>
    </font>
    <font>
      <sz val="10"/>
      <color theme="4"/>
      <name val="Calibri"/>
      <family val="2"/>
    </font>
    <font>
      <i/>
      <sz val="8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0"/>
      <color indexed="10"/>
      <name val="Calibri"/>
      <family val="2"/>
      <scheme val="minor"/>
    </font>
    <font>
      <i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9"/>
      <name val="Calibri"/>
      <family val="2"/>
      <scheme val="minor"/>
    </font>
    <font>
      <i/>
      <sz val="10"/>
      <color indexed="9"/>
      <name val="Calibri"/>
      <family val="2"/>
      <scheme val="minor"/>
    </font>
    <font>
      <i/>
      <sz val="10"/>
      <color indexed="12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70C0"/>
      <name val="Calibri"/>
      <family val="2"/>
    </font>
    <font>
      <sz val="11"/>
      <color theme="1"/>
      <name val="Calibri"/>
      <family val="2"/>
    </font>
    <font>
      <b/>
      <sz val="10"/>
      <color theme="0"/>
      <name val="Calibri"/>
      <family val="2"/>
    </font>
    <font>
      <sz val="10"/>
      <color rgb="FFC00000"/>
      <name val="Calibri"/>
      <family val="2"/>
    </font>
    <font>
      <i/>
      <sz val="10"/>
      <color rgb="FFC00000"/>
      <name val="Calibri"/>
      <family val="2"/>
    </font>
    <font>
      <b/>
      <sz val="10"/>
      <color rgb="FFC00000"/>
      <name val="Calibri"/>
      <family val="2"/>
    </font>
    <font>
      <b/>
      <i/>
      <sz val="10"/>
      <color indexed="9"/>
      <name val="Calibri"/>
      <family val="2"/>
    </font>
    <font>
      <u/>
      <sz val="8"/>
      <color indexed="12"/>
      <name val="Arial"/>
      <family val="2"/>
    </font>
    <font>
      <sz val="10"/>
      <color indexed="22"/>
      <name val="Calibri"/>
      <family val="2"/>
    </font>
    <font>
      <sz val="10"/>
      <color rgb="FF2270AB"/>
      <name val="Calibri"/>
      <family val="2"/>
    </font>
    <font>
      <b/>
      <sz val="10"/>
      <color rgb="FF2270AB"/>
      <name val="Calibri"/>
      <family val="2"/>
    </font>
    <font>
      <b/>
      <i/>
      <sz val="10"/>
      <color indexed="10"/>
      <name val="Calibri"/>
      <family val="2"/>
      <scheme val="minor"/>
    </font>
    <font>
      <sz val="10"/>
      <color rgb="FF006699"/>
      <name val="Calibri"/>
      <family val="2"/>
    </font>
    <font>
      <i/>
      <sz val="10"/>
      <color theme="0"/>
      <name val="Calibri"/>
      <family val="2"/>
      <scheme val="minor"/>
    </font>
    <font>
      <sz val="10"/>
      <color theme="0"/>
      <name val="Calibri"/>
      <family val="2"/>
    </font>
    <font>
      <i/>
      <sz val="10"/>
      <color theme="0"/>
      <name val="Calibri"/>
      <family val="2"/>
    </font>
    <font>
      <b/>
      <i/>
      <sz val="10"/>
      <color theme="0"/>
      <name val="Calibri"/>
      <family val="2"/>
    </font>
    <font>
      <b/>
      <i/>
      <sz val="10"/>
      <color rgb="FF7F7F7F"/>
      <name val="Calibri"/>
      <family val="2"/>
    </font>
    <font>
      <i/>
      <sz val="10"/>
      <color rgb="FF7F7F7F"/>
      <name val="Calibri"/>
      <family val="2"/>
    </font>
    <font>
      <sz val="10"/>
      <color rgb="FF7F7F7F"/>
      <name val="Calibri"/>
      <family val="2"/>
    </font>
    <font>
      <b/>
      <sz val="10"/>
      <color rgb="FF7F7F7F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b/>
      <i/>
      <sz val="10"/>
      <color rgb="FF006699"/>
      <name val="Calibri"/>
      <family val="2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65"/>
        <bgColor indexed="64"/>
      </patternFill>
    </fill>
  </fills>
  <borders count="3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19">
    <xf numFmtId="0" fontId="0" fillId="0" borderId="0"/>
    <xf numFmtId="0" fontId="55" fillId="0" borderId="0">
      <alignment horizontal="right"/>
    </xf>
    <xf numFmtId="193" fontId="56" fillId="0" borderId="0">
      <alignment horizontal="right"/>
    </xf>
    <xf numFmtId="0" fontId="55" fillId="0" borderId="0">
      <alignment horizontal="right"/>
    </xf>
    <xf numFmtId="0" fontId="1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0" fontId="1" fillId="0" borderId="0"/>
    <xf numFmtId="0" fontId="56" fillId="0" borderId="0">
      <alignment horizontal="right"/>
    </xf>
    <xf numFmtId="0" fontId="57" fillId="0" borderId="0"/>
    <xf numFmtId="0" fontId="57" fillId="0" borderId="0"/>
    <xf numFmtId="0" fontId="8" fillId="0" borderId="0"/>
    <xf numFmtId="0" fontId="8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2" borderId="0" applyNumberFormat="0" applyBorder="0" applyAlignment="0" applyProtection="0"/>
    <xf numFmtId="0" fontId="32" fillId="5" borderId="0" applyNumberFormat="0" applyBorder="0" applyAlignment="0" applyProtection="0"/>
    <xf numFmtId="0" fontId="32" fillId="4" borderId="0" applyNumberFormat="0" applyBorder="0" applyAlignment="0" applyProtection="0"/>
    <xf numFmtId="0" fontId="32" fillId="6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4" borderId="0" applyNumberFormat="0" applyBorder="0" applyAlignment="0" applyProtection="0"/>
    <xf numFmtId="0" fontId="33" fillId="8" borderId="0" applyNumberFormat="0" applyBorder="0" applyAlignment="0" applyProtection="0"/>
    <xf numFmtId="0" fontId="33" fillId="3" borderId="0" applyNumberFormat="0" applyBorder="0" applyAlignment="0" applyProtection="0"/>
    <xf numFmtId="0" fontId="33" fillId="9" borderId="0" applyNumberFormat="0" applyBorder="0" applyAlignment="0" applyProtection="0"/>
    <xf numFmtId="0" fontId="33" fillId="6" borderId="0" applyNumberFormat="0" applyBorder="0" applyAlignment="0" applyProtection="0"/>
    <xf numFmtId="0" fontId="33" fillId="8" borderId="0" applyNumberFormat="0" applyBorder="0" applyAlignment="0" applyProtection="0"/>
    <xf numFmtId="0" fontId="33" fillId="4" borderId="0" applyNumberFormat="0" applyBorder="0" applyAlignment="0" applyProtection="0"/>
    <xf numFmtId="0" fontId="33" fillId="8" borderId="0" applyNumberFormat="0" applyBorder="0" applyAlignment="0" applyProtection="0"/>
    <xf numFmtId="0" fontId="33" fillId="3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8" borderId="0" applyNumberFormat="0" applyBorder="0" applyAlignment="0" applyProtection="0"/>
    <xf numFmtId="0" fontId="33" fillId="3" borderId="0" applyNumberFormat="0" applyBorder="0" applyAlignment="0" applyProtection="0"/>
    <xf numFmtId="0" fontId="34" fillId="11" borderId="0" applyNumberFormat="0" applyBorder="0" applyAlignment="0" applyProtection="0"/>
    <xf numFmtId="0" fontId="58" fillId="0" borderId="0" applyNumberFormat="0" applyFill="0" applyBorder="0" applyAlignment="0" applyProtection="0"/>
    <xf numFmtId="0" fontId="9" fillId="0" borderId="0"/>
    <xf numFmtId="0" fontId="35" fillId="12" borderId="1" applyNumberFormat="0" applyAlignment="0" applyProtection="0"/>
    <xf numFmtId="1" fontId="59" fillId="0" borderId="0"/>
    <xf numFmtId="0" fontId="36" fillId="13" borderId="2" applyNumberFormat="0" applyAlignment="0" applyProtection="0"/>
    <xf numFmtId="43" fontId="1" fillId="0" borderId="0" applyFont="0" applyFill="0" applyBorder="0" applyAlignment="0" applyProtection="0"/>
    <xf numFmtId="14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56" fillId="0" borderId="0">
      <alignment horizontal="right"/>
    </xf>
    <xf numFmtId="0" fontId="37" fillId="0" borderId="0" applyNumberFormat="0" applyFill="0" applyBorder="0" applyAlignment="0" applyProtection="0"/>
    <xf numFmtId="0" fontId="50" fillId="0" borderId="0"/>
    <xf numFmtId="0" fontId="51" fillId="14" borderId="0"/>
    <xf numFmtId="0" fontId="38" fillId="15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9" fillId="0" borderId="0">
      <alignment wrapText="1"/>
    </xf>
    <xf numFmtId="0" fontId="42" fillId="4" borderId="1" applyNumberFormat="0" applyAlignment="0" applyProtection="0"/>
    <xf numFmtId="0" fontId="43" fillId="0" borderId="6" applyNumberFormat="0" applyFill="0" applyAlignment="0" applyProtection="0"/>
    <xf numFmtId="0" fontId="51" fillId="0" borderId="0"/>
    <xf numFmtId="0" fontId="52" fillId="0" borderId="0"/>
    <xf numFmtId="0" fontId="53" fillId="0" borderId="0"/>
    <xf numFmtId="0" fontId="44" fillId="4" borderId="0" applyNumberFormat="0" applyBorder="0" applyAlignment="0" applyProtection="0"/>
    <xf numFmtId="0" fontId="14" fillId="0" borderId="0"/>
    <xf numFmtId="0" fontId="6" fillId="0" borderId="0"/>
    <xf numFmtId="0" fontId="1" fillId="0" borderId="0"/>
    <xf numFmtId="0" fontId="1" fillId="4" borderId="7" applyNumberFormat="0" applyFont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0" fontId="55" fillId="0" borderId="0"/>
    <xf numFmtId="0" fontId="45" fillId="12" borderId="8" applyNumberFormat="0" applyAlignment="0" applyProtection="0"/>
    <xf numFmtId="0" fontId="10" fillId="0" borderId="0">
      <alignment vertical="center"/>
    </xf>
    <xf numFmtId="0" fontId="53" fillId="0" borderId="0"/>
    <xf numFmtId="9" fontId="1" fillId="0" borderId="0" applyFont="0" applyFill="0" applyBorder="0" applyAlignment="0" applyProtection="0"/>
    <xf numFmtId="0" fontId="56" fillId="0" borderId="0">
      <alignment horizontal="right"/>
    </xf>
    <xf numFmtId="10" fontId="56" fillId="0" borderId="0">
      <alignment horizontal="right"/>
    </xf>
    <xf numFmtId="9" fontId="55" fillId="0" borderId="0">
      <alignment horizontal="right"/>
    </xf>
    <xf numFmtId="0" fontId="3" fillId="16" borderId="0" applyNumberFormat="0" applyFont="0" applyBorder="0" applyAlignment="0" applyProtection="0"/>
    <xf numFmtId="0" fontId="11" fillId="0" borderId="0"/>
    <xf numFmtId="0" fontId="11" fillId="0" borderId="9">
      <alignment horizontal="centerContinuous"/>
    </xf>
    <xf numFmtId="0" fontId="12" fillId="0" borderId="9"/>
    <xf numFmtId="0" fontId="1" fillId="0" borderId="0">
      <alignment vertical="top"/>
    </xf>
    <xf numFmtId="0" fontId="8" fillId="0" borderId="0"/>
    <xf numFmtId="0" fontId="1" fillId="0" borderId="0">
      <alignment vertical="top"/>
    </xf>
    <xf numFmtId="0" fontId="1" fillId="0" borderId="0"/>
    <xf numFmtId="0" fontId="1" fillId="0" borderId="0"/>
    <xf numFmtId="0" fontId="46" fillId="0" borderId="0" applyNumberFormat="0" applyFill="0" applyBorder="0" applyAlignment="0" applyProtection="0"/>
    <xf numFmtId="0" fontId="47" fillId="0" borderId="10" applyNumberFormat="0" applyFill="0" applyAlignment="0" applyProtection="0"/>
    <xf numFmtId="0" fontId="60" fillId="0" borderId="0">
      <alignment horizontal="left"/>
    </xf>
    <xf numFmtId="0" fontId="60" fillId="0" borderId="0">
      <alignment horizontal="right"/>
    </xf>
    <xf numFmtId="0" fontId="61" fillId="0" borderId="0">
      <alignment horizontal="right"/>
    </xf>
    <xf numFmtId="1" fontId="60" fillId="0" borderId="0">
      <alignment horizontal="left"/>
    </xf>
    <xf numFmtId="0" fontId="60" fillId="0" borderId="0">
      <alignment horizontal="right"/>
    </xf>
    <xf numFmtId="165" fontId="60" fillId="0" borderId="0">
      <alignment horizontal="left"/>
    </xf>
    <xf numFmtId="0" fontId="48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1" fillId="0" borderId="0"/>
    <xf numFmtId="0" fontId="1" fillId="16" borderId="0" applyNumberFormat="0" applyFont="0" applyBorder="0" applyAlignment="0" applyProtection="0"/>
    <xf numFmtId="44" fontId="1" fillId="0" borderId="0" applyFont="0" applyFill="0" applyBorder="0" applyAlignment="0" applyProtection="0"/>
    <xf numFmtId="0" fontId="82" fillId="0" borderId="0"/>
    <xf numFmtId="43" fontId="82" fillId="0" borderId="0" applyFont="0" applyFill="0" applyBorder="0" applyAlignment="0" applyProtection="0"/>
    <xf numFmtId="0" fontId="1" fillId="0" borderId="0"/>
    <xf numFmtId="0" fontId="1" fillId="0" borderId="0"/>
    <xf numFmtId="0" fontId="88" fillId="0" borderId="0" applyNumberFormat="0" applyFill="0" applyBorder="0" applyAlignment="0" applyProtection="0">
      <alignment vertical="top"/>
      <protection locked="0"/>
    </xf>
    <xf numFmtId="0" fontId="1" fillId="0" borderId="0">
      <alignment vertical="top"/>
    </xf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05" fillId="0" borderId="0"/>
  </cellStyleXfs>
  <cellXfs count="1033">
    <xf numFmtId="0" fontId="0" fillId="0" borderId="0" xfId="0"/>
    <xf numFmtId="49" fontId="0" fillId="0" borderId="0" xfId="0" applyNumberFormat="1"/>
    <xf numFmtId="0" fontId="14" fillId="0" borderId="0" xfId="0" applyFont="1"/>
    <xf numFmtId="0" fontId="13" fillId="0" borderId="0" xfId="0" applyNumberFormat="1" applyFont="1" applyFill="1" applyBorder="1"/>
    <xf numFmtId="0" fontId="13" fillId="0" borderId="0" xfId="0" applyFont="1"/>
    <xf numFmtId="0" fontId="14" fillId="0" borderId="0" xfId="0" applyFont="1" applyFill="1" applyBorder="1" applyAlignment="1">
      <alignment horizontal="left" indent="1"/>
    </xf>
    <xf numFmtId="1" fontId="13" fillId="0" borderId="0" xfId="0" applyNumberFormat="1" applyFont="1"/>
    <xf numFmtId="0" fontId="14" fillId="0" borderId="0" xfId="0" applyFont="1" applyFill="1"/>
    <xf numFmtId="41" fontId="14" fillId="0" borderId="0" xfId="0" applyNumberFormat="1" applyFont="1" applyFill="1" applyAlignment="1">
      <alignment horizontal="right"/>
    </xf>
    <xf numFmtId="1" fontId="19" fillId="0" borderId="0" xfId="0" applyNumberFormat="1" applyFont="1" applyFill="1" applyAlignment="1">
      <alignment horizontal="right"/>
    </xf>
    <xf numFmtId="0" fontId="19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Border="1" applyAlignment="1">
      <alignment horizontal="right"/>
    </xf>
    <xf numFmtId="0" fontId="14" fillId="0" borderId="0" xfId="0" applyFont="1" applyFill="1" applyBorder="1" applyAlignment="1">
      <alignment horizontal="right"/>
    </xf>
    <xf numFmtId="43" fontId="14" fillId="0" borderId="0" xfId="0" applyNumberFormat="1" applyFont="1"/>
    <xf numFmtId="167" fontId="14" fillId="0" borderId="0" xfId="0" applyNumberFormat="1" applyFont="1" applyFill="1" applyBorder="1" applyAlignment="1">
      <alignment horizontal="right"/>
    </xf>
    <xf numFmtId="169" fontId="19" fillId="0" borderId="0" xfId="0" applyNumberFormat="1" applyFont="1" applyFill="1" applyBorder="1" applyAlignment="1">
      <alignment horizontal="right"/>
    </xf>
    <xf numFmtId="0" fontId="14" fillId="0" borderId="0" xfId="0" applyFont="1" applyFill="1" applyBorder="1" applyAlignment="1">
      <alignment horizontal="left"/>
    </xf>
    <xf numFmtId="0" fontId="14" fillId="18" borderId="0" xfId="0" applyFont="1" applyFill="1" applyBorder="1" applyAlignment="1"/>
    <xf numFmtId="169" fontId="19" fillId="18" borderId="0" xfId="0" applyNumberFormat="1" applyFont="1" applyFill="1" applyBorder="1" applyAlignment="1"/>
    <xf numFmtId="167" fontId="14" fillId="18" borderId="0" xfId="0" applyNumberFormat="1" applyFont="1" applyFill="1" applyBorder="1" applyAlignment="1"/>
    <xf numFmtId="1" fontId="19" fillId="18" borderId="0" xfId="0" applyNumberFormat="1" applyFont="1" applyFill="1" applyBorder="1" applyAlignment="1"/>
    <xf numFmtId="0" fontId="14" fillId="18" borderId="0" xfId="0" applyFont="1" applyFill="1" applyAlignment="1"/>
    <xf numFmtId="0" fontId="13" fillId="18" borderId="0" xfId="0" applyFont="1" applyFill="1" applyBorder="1" applyAlignment="1"/>
    <xf numFmtId="0" fontId="14" fillId="18" borderId="0" xfId="0" applyFont="1" applyFill="1" applyBorder="1" applyAlignment="1">
      <alignment horizontal="left"/>
    </xf>
    <xf numFmtId="166" fontId="14" fillId="18" borderId="0" xfId="0" applyNumberFormat="1" applyFont="1" applyFill="1" applyBorder="1" applyAlignment="1"/>
    <xf numFmtId="166" fontId="14" fillId="18" borderId="0" xfId="0" applyNumberFormat="1" applyFont="1" applyFill="1" applyAlignment="1"/>
    <xf numFmtId="166" fontId="19" fillId="18" borderId="0" xfId="0" applyNumberFormat="1" applyFont="1" applyFill="1" applyBorder="1" applyAlignment="1"/>
    <xf numFmtId="39" fontId="16" fillId="18" borderId="0" xfId="0" applyNumberFormat="1" applyFont="1" applyFill="1" applyBorder="1" applyAlignment="1"/>
    <xf numFmtId="39" fontId="16" fillId="19" borderId="0" xfId="0" applyNumberFormat="1" applyFont="1" applyFill="1" applyBorder="1" applyAlignment="1"/>
    <xf numFmtId="39" fontId="16" fillId="19" borderId="11" xfId="0" applyNumberFormat="1" applyFont="1" applyFill="1" applyBorder="1" applyAlignment="1"/>
    <xf numFmtId="43" fontId="14" fillId="18" borderId="0" xfId="0" applyNumberFormat="1" applyFont="1" applyFill="1" applyBorder="1" applyAlignment="1"/>
    <xf numFmtId="43" fontId="14" fillId="18" borderId="0" xfId="0" applyNumberFormat="1" applyFont="1" applyFill="1" applyAlignment="1"/>
    <xf numFmtId="165" fontId="19" fillId="18" borderId="0" xfId="0" applyNumberFormat="1" applyFont="1" applyFill="1" applyBorder="1" applyAlignment="1"/>
    <xf numFmtId="165" fontId="16" fillId="19" borderId="0" xfId="0" applyNumberFormat="1" applyFont="1" applyFill="1" applyBorder="1" applyAlignment="1"/>
    <xf numFmtId="39" fontId="14" fillId="18" borderId="0" xfId="0" applyNumberFormat="1" applyFont="1" applyFill="1" applyAlignment="1"/>
    <xf numFmtId="39" fontId="19" fillId="18" borderId="0" xfId="0" applyNumberFormat="1" applyFont="1" applyFill="1" applyBorder="1" applyAlignment="1"/>
    <xf numFmtId="165" fontId="16" fillId="19" borderId="11" xfId="0" applyNumberFormat="1" applyFont="1" applyFill="1" applyBorder="1" applyAlignment="1"/>
    <xf numFmtId="166" fontId="14" fillId="19" borderId="11" xfId="0" applyNumberFormat="1" applyFont="1" applyFill="1" applyBorder="1" applyAlignment="1"/>
    <xf numFmtId="167" fontId="19" fillId="0" borderId="0" xfId="0" applyNumberFormat="1" applyFont="1" applyFill="1" applyBorder="1" applyAlignment="1">
      <alignment horizontal="right"/>
    </xf>
    <xf numFmtId="1" fontId="19" fillId="0" borderId="0" xfId="0" applyNumberFormat="1" applyFont="1" applyFill="1" applyBorder="1" applyAlignment="1">
      <alignment horizontal="right"/>
    </xf>
    <xf numFmtId="0" fontId="14" fillId="0" borderId="0" xfId="0" applyFont="1" applyBorder="1"/>
    <xf numFmtId="0" fontId="14" fillId="0" borderId="0" xfId="0" applyFont="1" applyFill="1" applyBorder="1"/>
    <xf numFmtId="3" fontId="19" fillId="0" borderId="0" xfId="0" applyNumberFormat="1" applyFont="1" applyFill="1" applyAlignment="1">
      <alignment horizontal="right"/>
    </xf>
    <xf numFmtId="0" fontId="22" fillId="0" borderId="0" xfId="0" applyFont="1" applyBorder="1"/>
    <xf numFmtId="172" fontId="22" fillId="0" borderId="0" xfId="51" applyNumberFormat="1" applyFont="1" applyFill="1" applyBorder="1"/>
    <xf numFmtId="1" fontId="24" fillId="0" borderId="0" xfId="0" applyNumberFormat="1" applyFont="1" applyFill="1" applyAlignment="1">
      <alignment horizontal="right"/>
    </xf>
    <xf numFmtId="171" fontId="22" fillId="0" borderId="0" xfId="51" applyNumberFormat="1" applyFont="1" applyFill="1" applyBorder="1" applyAlignment="1">
      <alignment horizontal="right"/>
    </xf>
    <xf numFmtId="0" fontId="22" fillId="0" borderId="0" xfId="0" applyFont="1"/>
    <xf numFmtId="172" fontId="18" fillId="0" borderId="0" xfId="0" applyNumberFormat="1" applyFont="1" applyFill="1" applyBorder="1" applyAlignment="1">
      <alignment horizontal="right"/>
    </xf>
    <xf numFmtId="37" fontId="16" fillId="0" borderId="0" xfId="51" applyNumberFormat="1" applyFont="1" applyFill="1" applyBorder="1"/>
    <xf numFmtId="41" fontId="14" fillId="0" borderId="0" xfId="0" applyNumberFormat="1" applyFont="1" applyFill="1" applyBorder="1" applyAlignment="1">
      <alignment horizontal="right"/>
    </xf>
    <xf numFmtId="168" fontId="14" fillId="0" borderId="0" xfId="0" applyNumberFormat="1" applyFont="1" applyFill="1" applyBorder="1"/>
    <xf numFmtId="175" fontId="14" fillId="0" borderId="0" xfId="81" applyNumberFormat="1" applyFont="1" applyFill="1" applyBorder="1" applyAlignment="1">
      <alignment horizontal="right"/>
    </xf>
    <xf numFmtId="175" fontId="14" fillId="0" borderId="0" xfId="81" applyNumberFormat="1" applyFont="1" applyFill="1" applyBorder="1"/>
    <xf numFmtId="37" fontId="14" fillId="0" borderId="0" xfId="0" applyNumberFormat="1" applyFont="1" applyFill="1" applyBorder="1" applyAlignment="1">
      <alignment horizontal="right"/>
    </xf>
    <xf numFmtId="37" fontId="18" fillId="0" borderId="0" xfId="0" applyNumberFormat="1" applyFont="1" applyFill="1" applyBorder="1" applyAlignment="1">
      <alignment horizontal="right"/>
    </xf>
    <xf numFmtId="165" fontId="14" fillId="0" borderId="0" xfId="0" applyNumberFormat="1" applyFont="1" applyFill="1" applyBorder="1" applyAlignment="1">
      <alignment horizontal="right"/>
    </xf>
    <xf numFmtId="171" fontId="16" fillId="0" borderId="0" xfId="51" applyNumberFormat="1" applyFont="1" applyFill="1" applyBorder="1"/>
    <xf numFmtId="174" fontId="14" fillId="0" borderId="0" xfId="0" applyNumberFormat="1" applyFont="1" applyFill="1" applyBorder="1" applyAlignment="1">
      <alignment horizontal="right"/>
    </xf>
    <xf numFmtId="39" fontId="14" fillId="0" borderId="0" xfId="0" applyNumberFormat="1" applyFont="1" applyFill="1" applyBorder="1" applyAlignment="1">
      <alignment horizontal="right"/>
    </xf>
    <xf numFmtId="167" fontId="18" fillId="0" borderId="0" xfId="0" applyNumberFormat="1" applyFont="1" applyFill="1" applyBorder="1" applyAlignment="1">
      <alignment horizontal="right"/>
    </xf>
    <xf numFmtId="0" fontId="14" fillId="0" borderId="0" xfId="0" applyFont="1" applyFill="1" applyBorder="1" applyAlignment="1"/>
    <xf numFmtId="172" fontId="16" fillId="0" borderId="0" xfId="0" applyNumberFormat="1" applyFont="1" applyFill="1" applyBorder="1" applyAlignment="1">
      <alignment horizontal="right"/>
    </xf>
    <xf numFmtId="172" fontId="14" fillId="0" borderId="0" xfId="0" applyNumberFormat="1" applyFont="1" applyFill="1" applyBorder="1" applyAlignment="1">
      <alignment horizontal="right"/>
    </xf>
    <xf numFmtId="172" fontId="14" fillId="0" borderId="0" xfId="0" applyNumberFormat="1" applyFont="1" applyFill="1" applyBorder="1" applyAlignment="1"/>
    <xf numFmtId="0" fontId="13" fillId="0" borderId="0" xfId="0" applyFont="1" applyBorder="1"/>
    <xf numFmtId="0" fontId="13" fillId="0" borderId="0" xfId="0" applyFont="1" applyFill="1" applyBorder="1" applyAlignment="1"/>
    <xf numFmtId="172" fontId="13" fillId="0" borderId="0" xfId="0" applyNumberFormat="1" applyFont="1" applyFill="1" applyBorder="1" applyAlignment="1">
      <alignment horizontal="right"/>
    </xf>
    <xf numFmtId="172" fontId="26" fillId="0" borderId="0" xfId="51" applyNumberFormat="1" applyFont="1" applyFill="1" applyBorder="1"/>
    <xf numFmtId="37" fontId="16" fillId="0" borderId="0" xfId="0" applyNumberFormat="1" applyFont="1" applyFill="1" applyBorder="1" applyAlignment="1">
      <alignment horizontal="right"/>
    </xf>
    <xf numFmtId="179" fontId="14" fillId="0" borderId="0" xfId="0" applyNumberFormat="1" applyFont="1" applyFill="1" applyBorder="1" applyAlignment="1"/>
    <xf numFmtId="37" fontId="19" fillId="0" borderId="0" xfId="0" applyNumberFormat="1" applyFont="1" applyFill="1" applyAlignment="1">
      <alignment horizontal="right"/>
    </xf>
    <xf numFmtId="0" fontId="14" fillId="0" borderId="0" xfId="0" applyFont="1" applyBorder="1" applyAlignment="1"/>
    <xf numFmtId="0" fontId="13" fillId="0" borderId="0" xfId="0" applyFont="1" applyBorder="1" applyAlignment="1"/>
    <xf numFmtId="3" fontId="13" fillId="0" borderId="0" xfId="0" applyNumberFormat="1" applyFont="1" applyFill="1" applyBorder="1" applyAlignment="1">
      <alignment horizontal="right"/>
    </xf>
    <xf numFmtId="37" fontId="14" fillId="0" borderId="0" xfId="0" applyNumberFormat="1" applyFont="1" applyFill="1" applyBorder="1" applyAlignment="1"/>
    <xf numFmtId="37" fontId="14" fillId="0" borderId="0" xfId="0" applyNumberFormat="1" applyFont="1"/>
    <xf numFmtId="171" fontId="16" fillId="0" borderId="0" xfId="51" applyNumberFormat="1" applyFont="1" applyFill="1" applyBorder="1" applyAlignment="1">
      <alignment horizontal="right"/>
    </xf>
    <xf numFmtId="167" fontId="13" fillId="0" borderId="0" xfId="0" applyNumberFormat="1" applyFont="1" applyFill="1" applyBorder="1" applyAlignment="1">
      <alignment horizontal="right"/>
    </xf>
    <xf numFmtId="0" fontId="13" fillId="0" borderId="0" xfId="0" applyFont="1" applyFill="1" applyBorder="1"/>
    <xf numFmtId="37" fontId="13" fillId="0" borderId="0" xfId="0" applyNumberFormat="1" applyFont="1" applyFill="1" applyBorder="1" applyAlignment="1">
      <alignment horizontal="right"/>
    </xf>
    <xf numFmtId="172" fontId="26" fillId="0" borderId="0" xfId="0" applyNumberFormat="1" applyFont="1" applyFill="1" applyBorder="1" applyAlignment="1">
      <alignment horizontal="right"/>
    </xf>
    <xf numFmtId="43" fontId="14" fillId="0" borderId="0" xfId="0" applyNumberFormat="1" applyFont="1" applyFill="1"/>
    <xf numFmtId="43" fontId="14" fillId="0" borderId="0" xfId="0" applyNumberFormat="1" applyFont="1" applyFill="1" applyAlignment="1">
      <alignment horizontal="right"/>
    </xf>
    <xf numFmtId="1" fontId="19" fillId="19" borderId="0" xfId="0" applyNumberFormat="1" applyFont="1" applyFill="1" applyAlignment="1">
      <alignment horizontal="right"/>
    </xf>
    <xf numFmtId="0" fontId="14" fillId="19" borderId="0" xfId="0" applyFont="1" applyFill="1"/>
    <xf numFmtId="167" fontId="16" fillId="0" borderId="0" xfId="0" applyNumberFormat="1" applyFont="1" applyFill="1" applyBorder="1" applyAlignment="1">
      <alignment horizontal="right"/>
    </xf>
    <xf numFmtId="4" fontId="14" fillId="0" borderId="0" xfId="0" applyNumberFormat="1" applyFont="1" applyFill="1" applyBorder="1" applyAlignment="1">
      <alignment horizontal="right"/>
    </xf>
    <xf numFmtId="172" fontId="18" fillId="0" borderId="0" xfId="51" applyNumberFormat="1" applyFont="1" applyFill="1" applyBorder="1" applyAlignment="1">
      <alignment horizontal="right"/>
    </xf>
    <xf numFmtId="0" fontId="19" fillId="0" borderId="0" xfId="0" applyFont="1" applyFill="1" applyBorder="1"/>
    <xf numFmtId="165" fontId="16" fillId="0" borderId="0" xfId="0" applyNumberFormat="1" applyFont="1" applyFill="1" applyBorder="1" applyAlignment="1">
      <alignment horizontal="right"/>
    </xf>
    <xf numFmtId="171" fontId="14" fillId="0" borderId="0" xfId="0" applyNumberFormat="1" applyFont="1" applyFill="1" applyBorder="1" applyAlignment="1">
      <alignment horizontal="right"/>
    </xf>
    <xf numFmtId="171" fontId="18" fillId="0" borderId="0" xfId="0" applyNumberFormat="1" applyFont="1" applyFill="1" applyBorder="1" applyAlignment="1">
      <alignment horizontal="right"/>
    </xf>
    <xf numFmtId="171" fontId="19" fillId="0" borderId="0" xfId="0" applyNumberFormat="1" applyFont="1" applyFill="1" applyAlignment="1">
      <alignment horizontal="right"/>
    </xf>
    <xf numFmtId="167" fontId="16" fillId="0" borderId="0" xfId="51" applyNumberFormat="1" applyFont="1" applyFill="1" applyBorder="1"/>
    <xf numFmtId="167" fontId="14" fillId="0" borderId="0" xfId="51" applyNumberFormat="1" applyFont="1" applyFill="1" applyBorder="1"/>
    <xf numFmtId="171" fontId="27" fillId="0" borderId="0" xfId="51" applyNumberFormat="1" applyFont="1" applyFill="1" applyBorder="1"/>
    <xf numFmtId="167" fontId="13" fillId="0" borderId="0" xfId="51" applyNumberFormat="1" applyFont="1" applyFill="1" applyBorder="1"/>
    <xf numFmtId="170" fontId="14" fillId="0" borderId="0" xfId="0" applyNumberFormat="1" applyFont="1" applyFill="1" applyBorder="1" applyAlignment="1">
      <alignment horizontal="right"/>
    </xf>
    <xf numFmtId="167" fontId="19" fillId="0" borderId="0" xfId="0" applyNumberFormat="1" applyFont="1" applyFill="1" applyAlignment="1">
      <alignment horizontal="right"/>
    </xf>
    <xf numFmtId="170" fontId="16" fillId="0" borderId="0" xfId="0" applyNumberFormat="1" applyFont="1" applyFill="1" applyBorder="1" applyAlignment="1">
      <alignment horizontal="right"/>
    </xf>
    <xf numFmtId="43" fontId="16" fillId="0" borderId="0" xfId="0" applyNumberFormat="1" applyFont="1" applyFill="1"/>
    <xf numFmtId="0" fontId="13" fillId="0" borderId="0" xfId="0" applyFont="1" applyFill="1"/>
    <xf numFmtId="167" fontId="14" fillId="0" borderId="0" xfId="0" applyNumberFormat="1" applyFont="1" applyFill="1" applyAlignment="1">
      <alignment horizontal="right"/>
    </xf>
    <xf numFmtId="166" fontId="14" fillId="0" borderId="0" xfId="0" applyNumberFormat="1" applyFont="1" applyFill="1" applyBorder="1" applyAlignment="1">
      <alignment horizontal="right"/>
    </xf>
    <xf numFmtId="170" fontId="16" fillId="0" borderId="0" xfId="51" applyNumberFormat="1" applyFont="1" applyFill="1" applyBorder="1" applyAlignment="1">
      <alignment horizontal="right"/>
    </xf>
    <xf numFmtId="170" fontId="13" fillId="0" borderId="0" xfId="51" applyNumberFormat="1" applyFont="1" applyFill="1" applyBorder="1"/>
    <xf numFmtId="3" fontId="28" fillId="0" borderId="0" xfId="51" applyNumberFormat="1" applyFont="1" applyFill="1" applyBorder="1" applyAlignment="1">
      <alignment horizontal="right"/>
    </xf>
    <xf numFmtId="172" fontId="14" fillId="0" borderId="0" xfId="51" applyNumberFormat="1" applyFont="1" applyFill="1"/>
    <xf numFmtId="172" fontId="14" fillId="0" borderId="0" xfId="51" applyNumberFormat="1" applyFont="1" applyBorder="1"/>
    <xf numFmtId="171" fontId="16" fillId="0" borderId="0" xfId="0" applyNumberFormat="1" applyFont="1" applyFill="1" applyBorder="1" applyAlignment="1">
      <alignment horizontal="right"/>
    </xf>
    <xf numFmtId="165" fontId="13" fillId="0" borderId="0" xfId="0" applyNumberFormat="1" applyFont="1" applyFill="1" applyBorder="1" applyAlignment="1">
      <alignment horizontal="right"/>
    </xf>
    <xf numFmtId="179" fontId="14" fillId="0" borderId="0" xfId="0" applyNumberFormat="1" applyFont="1" applyFill="1" applyBorder="1" applyAlignment="1">
      <alignment horizontal="right"/>
    </xf>
    <xf numFmtId="171" fontId="23" fillId="0" borderId="0" xfId="51" applyNumberFormat="1" applyFont="1" applyFill="1" applyBorder="1"/>
    <xf numFmtId="172" fontId="14" fillId="0" borderId="0" xfId="0" applyNumberFormat="1" applyFont="1" applyBorder="1"/>
    <xf numFmtId="172" fontId="14" fillId="0" borderId="0" xfId="0" applyNumberFormat="1" applyFont="1" applyBorder="1" applyAlignment="1"/>
    <xf numFmtId="171" fontId="23" fillId="0" borderId="0" xfId="51" applyNumberFormat="1" applyFont="1" applyFill="1"/>
    <xf numFmtId="170" fontId="18" fillId="0" borderId="0" xfId="0" applyNumberFormat="1" applyFont="1" applyFill="1" applyBorder="1" applyAlignment="1">
      <alignment horizontal="right"/>
    </xf>
    <xf numFmtId="0" fontId="18" fillId="0" borderId="0" xfId="0" applyFont="1" applyFill="1" applyBorder="1" applyAlignment="1"/>
    <xf numFmtId="179" fontId="13" fillId="0" borderId="0" xfId="0" applyNumberFormat="1" applyFont="1" applyFill="1" applyBorder="1" applyAlignment="1">
      <alignment horizontal="right"/>
    </xf>
    <xf numFmtId="179" fontId="19" fillId="0" borderId="0" xfId="0" applyNumberFormat="1" applyFont="1" applyFill="1" applyAlignment="1">
      <alignment horizontal="right"/>
    </xf>
    <xf numFmtId="164" fontId="14" fillId="0" borderId="0" xfId="0" applyNumberFormat="1" applyFont="1" applyFill="1" applyBorder="1" applyAlignment="1">
      <alignment horizontal="right"/>
    </xf>
    <xf numFmtId="0" fontId="14" fillId="0" borderId="0" xfId="0" applyFont="1" applyBorder="1" applyAlignment="1">
      <alignment horizontal="left"/>
    </xf>
    <xf numFmtId="184" fontId="16" fillId="0" borderId="0" xfId="0" applyNumberFormat="1" applyFont="1" applyFill="1" applyBorder="1"/>
    <xf numFmtId="184" fontId="14" fillId="0" borderId="0" xfId="0" applyNumberFormat="1" applyFont="1" applyFill="1" applyBorder="1"/>
    <xf numFmtId="37" fontId="14" fillId="0" borderId="0" xfId="0" applyNumberFormat="1" applyFont="1" applyFill="1" applyBorder="1"/>
    <xf numFmtId="37" fontId="16" fillId="0" borderId="0" xfId="0" applyNumberFormat="1" applyFont="1" applyFill="1" applyBorder="1"/>
    <xf numFmtId="184" fontId="14" fillId="0" borderId="0" xfId="0" applyNumberFormat="1" applyFont="1" applyFill="1" applyBorder="1" applyAlignment="1">
      <alignment horizontal="right"/>
    </xf>
    <xf numFmtId="168" fontId="19" fillId="0" borderId="0" xfId="0" applyNumberFormat="1" applyFont="1" applyFill="1" applyAlignment="1">
      <alignment horizontal="right"/>
    </xf>
    <xf numFmtId="165" fontId="14" fillId="0" borderId="0" xfId="0" applyNumberFormat="1" applyFont="1" applyFill="1" applyBorder="1"/>
    <xf numFmtId="164" fontId="19" fillId="0" borderId="0" xfId="0" applyNumberFormat="1" applyFont="1" applyFill="1" applyAlignment="1">
      <alignment horizontal="right"/>
    </xf>
    <xf numFmtId="179" fontId="16" fillId="0" borderId="0" xfId="51" applyNumberFormat="1" applyFont="1" applyFill="1" applyBorder="1"/>
    <xf numFmtId="179" fontId="13" fillId="19" borderId="0" xfId="51" applyNumberFormat="1" applyFont="1" applyFill="1" applyBorder="1"/>
    <xf numFmtId="10" fontId="14" fillId="0" borderId="0" xfId="81" applyNumberFormat="1" applyFont="1" applyFill="1" applyBorder="1" applyAlignment="1">
      <alignment horizontal="right"/>
    </xf>
    <xf numFmtId="175" fontId="16" fillId="0" borderId="0" xfId="81" applyNumberFormat="1" applyFont="1" applyFill="1" applyBorder="1" applyAlignment="1">
      <alignment horizontal="right"/>
    </xf>
    <xf numFmtId="0" fontId="23" fillId="0" borderId="0" xfId="0" applyFont="1" applyBorder="1"/>
    <xf numFmtId="0" fontId="23" fillId="0" borderId="0" xfId="0" applyFont="1" applyBorder="1" applyAlignment="1"/>
    <xf numFmtId="167" fontId="23" fillId="0" borderId="0" xfId="0" applyNumberFormat="1" applyFont="1" applyFill="1" applyBorder="1" applyAlignment="1">
      <alignment horizontal="right"/>
    </xf>
    <xf numFmtId="0" fontId="23" fillId="0" borderId="0" xfId="0" applyFont="1"/>
    <xf numFmtId="170" fontId="19" fillId="0" borderId="0" xfId="0" applyNumberFormat="1" applyFont="1" applyFill="1" applyAlignment="1">
      <alignment horizontal="right"/>
    </xf>
    <xf numFmtId="3" fontId="19" fillId="0" borderId="0" xfId="51" applyNumberFormat="1" applyFont="1" applyBorder="1" applyAlignment="1">
      <alignment horizontal="right"/>
    </xf>
    <xf numFmtId="172" fontId="16" fillId="0" borderId="0" xfId="81" applyNumberFormat="1" applyFont="1" applyFill="1" applyBorder="1" applyAlignment="1">
      <alignment horizontal="right"/>
    </xf>
    <xf numFmtId="172" fontId="14" fillId="0" borderId="0" xfId="81" applyNumberFormat="1" applyFont="1" applyFill="1" applyBorder="1" applyAlignment="1">
      <alignment horizontal="right"/>
    </xf>
    <xf numFmtId="167" fontId="14" fillId="0" borderId="0" xfId="0" applyNumberFormat="1" applyFont="1"/>
    <xf numFmtId="167" fontId="14" fillId="0" borderId="0" xfId="0" applyNumberFormat="1" applyFont="1" applyFill="1"/>
    <xf numFmtId="0" fontId="30" fillId="0" borderId="0" xfId="0" applyFont="1" applyBorder="1"/>
    <xf numFmtId="0" fontId="30" fillId="0" borderId="0" xfId="0" applyFont="1" applyFill="1" applyBorder="1" applyAlignment="1"/>
    <xf numFmtId="171" fontId="30" fillId="0" borderId="0" xfId="51" applyNumberFormat="1" applyFont="1" applyFill="1" applyBorder="1"/>
    <xf numFmtId="167" fontId="30" fillId="0" borderId="0" xfId="0" applyNumberFormat="1" applyFont="1" applyFill="1" applyBorder="1" applyAlignment="1">
      <alignment horizontal="right"/>
    </xf>
    <xf numFmtId="1" fontId="29" fillId="0" borderId="0" xfId="0" applyNumberFormat="1" applyFont="1" applyFill="1" applyAlignment="1">
      <alignment horizontal="right"/>
    </xf>
    <xf numFmtId="3" fontId="29" fillId="0" borderId="0" xfId="51" applyNumberFormat="1" applyFont="1" applyFill="1" applyBorder="1" applyAlignment="1">
      <alignment horizontal="right"/>
    </xf>
    <xf numFmtId="165" fontId="16" fillId="0" borderId="0" xfId="51" applyNumberFormat="1" applyFont="1" applyFill="1" applyBorder="1"/>
    <xf numFmtId="167" fontId="22" fillId="0" borderId="0" xfId="0" applyNumberFormat="1" applyFont="1" applyFill="1" applyBorder="1" applyAlignment="1">
      <alignment horizontal="right"/>
    </xf>
    <xf numFmtId="171" fontId="14" fillId="0" borderId="0" xfId="0" applyNumberFormat="1" applyFont="1" applyFill="1"/>
    <xf numFmtId="172" fontId="13" fillId="0" borderId="0" xfId="51" applyNumberFormat="1" applyFont="1" applyBorder="1"/>
    <xf numFmtId="180" fontId="13" fillId="0" borderId="0" xfId="0" applyNumberFormat="1" applyFont="1" applyFill="1" applyBorder="1" applyAlignment="1">
      <alignment horizontal="right"/>
    </xf>
    <xf numFmtId="0" fontId="14" fillId="0" borderId="0" xfId="0" applyNumberFormat="1" applyFont="1"/>
    <xf numFmtId="0" fontId="13" fillId="0" borderId="0" xfId="0" applyNumberFormat="1" applyFont="1" applyFill="1"/>
    <xf numFmtId="0" fontId="14" fillId="0" borderId="0" xfId="0" applyNumberFormat="1" applyFont="1" applyFill="1"/>
    <xf numFmtId="0" fontId="14" fillId="0" borderId="0" xfId="0" applyNumberFormat="1" applyFont="1" applyFill="1" applyAlignment="1">
      <alignment horizontal="left" indent="1"/>
    </xf>
    <xf numFmtId="0" fontId="13" fillId="0" borderId="0" xfId="0" applyNumberFormat="1" applyFont="1"/>
    <xf numFmtId="3" fontId="17" fillId="0" borderId="0" xfId="0" applyNumberFormat="1" applyFont="1" applyFill="1" applyAlignment="1">
      <alignment horizontal="right"/>
    </xf>
    <xf numFmtId="179" fontId="18" fillId="0" borderId="0" xfId="51" applyNumberFormat="1" applyFont="1" applyFill="1" applyBorder="1" applyAlignment="1">
      <alignment horizontal="right"/>
    </xf>
    <xf numFmtId="43" fontId="16" fillId="0" borderId="0" xfId="51" applyNumberFormat="1" applyFont="1" applyFill="1" applyBorder="1" applyAlignment="1">
      <alignment horizontal="right"/>
    </xf>
    <xf numFmtId="171" fontId="13" fillId="0" borderId="0" xfId="0" applyNumberFormat="1" applyFont="1" applyFill="1" applyBorder="1" applyAlignment="1">
      <alignment horizontal="right"/>
    </xf>
    <xf numFmtId="37" fontId="16" fillId="0" borderId="0" xfId="51" applyNumberFormat="1" applyFont="1" applyFill="1" applyBorder="1" applyAlignment="1">
      <alignment horizontal="right"/>
    </xf>
    <xf numFmtId="174" fontId="13" fillId="0" borderId="0" xfId="0" applyNumberFormat="1" applyFont="1" applyFill="1" applyBorder="1" applyAlignment="1">
      <alignment horizontal="right"/>
    </xf>
    <xf numFmtId="39" fontId="16" fillId="0" borderId="0" xfId="51" applyNumberFormat="1" applyFont="1" applyFill="1" applyBorder="1" applyAlignment="1">
      <alignment horizontal="right"/>
    </xf>
    <xf numFmtId="39" fontId="14" fillId="0" borderId="0" xfId="51" applyNumberFormat="1" applyFont="1" applyFill="1" applyBorder="1" applyAlignment="1">
      <alignment horizontal="right"/>
    </xf>
    <xf numFmtId="0" fontId="23" fillId="0" borderId="0" xfId="0" applyNumberFormat="1" applyFont="1" applyFill="1"/>
    <xf numFmtId="185" fontId="23" fillId="0" borderId="0" xfId="0" applyNumberFormat="1" applyFont="1" applyFill="1" applyBorder="1" applyAlignment="1">
      <alignment horizontal="right"/>
    </xf>
    <xf numFmtId="1" fontId="29" fillId="0" borderId="0" xfId="0" applyNumberFormat="1" applyFont="1" applyFill="1" applyBorder="1" applyAlignment="1">
      <alignment horizontal="right"/>
    </xf>
    <xf numFmtId="185" fontId="14" fillId="0" borderId="0" xfId="0" applyNumberFormat="1" applyFont="1" applyFill="1" applyBorder="1" applyAlignment="1">
      <alignment horizontal="right"/>
    </xf>
    <xf numFmtId="166" fontId="19" fillId="0" borderId="0" xfId="0" applyNumberFormat="1" applyFont="1" applyFill="1" applyBorder="1" applyAlignment="1">
      <alignment horizontal="right"/>
    </xf>
    <xf numFmtId="166" fontId="19" fillId="0" borderId="0" xfId="51" applyNumberFormat="1" applyFont="1" applyFill="1" applyBorder="1" applyAlignment="1">
      <alignment horizontal="right"/>
    </xf>
    <xf numFmtId="3" fontId="17" fillId="0" borderId="0" xfId="51" applyNumberFormat="1" applyFont="1" applyFill="1" applyBorder="1" applyAlignment="1">
      <alignment horizontal="right"/>
    </xf>
    <xf numFmtId="166" fontId="13" fillId="0" borderId="0" xfId="0" applyNumberFormat="1" applyFont="1" applyFill="1" applyBorder="1" applyAlignment="1">
      <alignment horizontal="right"/>
    </xf>
    <xf numFmtId="176" fontId="14" fillId="0" borderId="0" xfId="0" applyNumberFormat="1" applyFont="1" applyFill="1" applyAlignment="1">
      <alignment horizontal="right"/>
    </xf>
    <xf numFmtId="176" fontId="14" fillId="0" borderId="0" xfId="0" applyNumberFormat="1" applyFont="1" applyFill="1" applyBorder="1" applyAlignment="1">
      <alignment horizontal="right"/>
    </xf>
    <xf numFmtId="3" fontId="19" fillId="0" borderId="0" xfId="51" applyNumberFormat="1" applyFont="1" applyFill="1" applyAlignment="1">
      <alignment horizontal="right"/>
    </xf>
    <xf numFmtId="176" fontId="16" fillId="0" borderId="0" xfId="0" applyNumberFormat="1" applyFont="1" applyFill="1" applyBorder="1" applyAlignment="1">
      <alignment horizontal="right"/>
    </xf>
    <xf numFmtId="177" fontId="14" fillId="0" borderId="0" xfId="0" applyNumberFormat="1" applyFont="1" applyFill="1" applyBorder="1" applyAlignment="1">
      <alignment horizontal="right"/>
    </xf>
    <xf numFmtId="177" fontId="16" fillId="0" borderId="0" xfId="0" applyNumberFormat="1" applyFont="1" applyFill="1" applyBorder="1" applyAlignment="1">
      <alignment horizontal="right"/>
    </xf>
    <xf numFmtId="177" fontId="14" fillId="0" borderId="0" xfId="0" applyNumberFormat="1" applyFont="1" applyFill="1" applyAlignment="1">
      <alignment horizontal="right"/>
    </xf>
    <xf numFmtId="10" fontId="14" fillId="0" borderId="0" xfId="0" applyNumberFormat="1" applyFont="1" applyAlignment="1"/>
    <xf numFmtId="3" fontId="25" fillId="0" borderId="0" xfId="51" applyNumberFormat="1" applyFont="1" applyFill="1" applyAlignment="1">
      <alignment horizontal="right"/>
    </xf>
    <xf numFmtId="10" fontId="14" fillId="0" borderId="0" xfId="0" applyNumberFormat="1" applyFont="1" applyFill="1" applyAlignment="1"/>
    <xf numFmtId="167" fontId="14" fillId="0" borderId="0" xfId="0" applyNumberFormat="1" applyFont="1" applyFill="1" applyBorder="1"/>
    <xf numFmtId="0" fontId="17" fillId="0" borderId="0" xfId="0" applyFont="1" applyFill="1" applyBorder="1"/>
    <xf numFmtId="178" fontId="14" fillId="0" borderId="0" xfId="0" applyNumberFormat="1" applyFont="1" applyFill="1" applyBorder="1" applyAlignment="1">
      <alignment horizontal="right"/>
    </xf>
    <xf numFmtId="165" fontId="14" fillId="0" borderId="0" xfId="81" applyNumberFormat="1" applyFont="1" applyFill="1" applyBorder="1" applyAlignment="1">
      <alignment horizontal="right"/>
    </xf>
    <xf numFmtId="165" fontId="14" fillId="0" borderId="0" xfId="81" applyNumberFormat="1" applyFont="1" applyFill="1" applyAlignment="1">
      <alignment horizontal="right"/>
    </xf>
    <xf numFmtId="165" fontId="16" fillId="0" borderId="0" xfId="81" applyNumberFormat="1" applyFont="1" applyFill="1" applyBorder="1" applyAlignment="1">
      <alignment horizontal="right"/>
    </xf>
    <xf numFmtId="0" fontId="19" fillId="0" borderId="0" xfId="0" applyFont="1" applyFill="1" applyBorder="1" applyAlignment="1">
      <alignment horizontal="right"/>
    </xf>
    <xf numFmtId="43" fontId="16" fillId="18" borderId="0" xfId="51" applyNumberFormat="1" applyFont="1" applyFill="1" applyBorder="1" applyAlignment="1"/>
    <xf numFmtId="165" fontId="16" fillId="18" borderId="0" xfId="0" applyNumberFormat="1" applyFont="1" applyFill="1" applyBorder="1" applyAlignment="1"/>
    <xf numFmtId="170" fontId="14" fillId="18" borderId="0" xfId="0" applyNumberFormat="1" applyFont="1" applyFill="1" applyBorder="1" applyAlignment="1"/>
    <xf numFmtId="170" fontId="16" fillId="19" borderId="0" xfId="0" applyNumberFormat="1" applyFont="1" applyFill="1" applyBorder="1" applyAlignment="1"/>
    <xf numFmtId="170" fontId="16" fillId="19" borderId="11" xfId="0" applyNumberFormat="1" applyFont="1" applyFill="1" applyBorder="1" applyAlignment="1"/>
    <xf numFmtId="171" fontId="16" fillId="19" borderId="0" xfId="51" applyNumberFormat="1" applyFont="1" applyFill="1" applyBorder="1" applyAlignment="1"/>
    <xf numFmtId="166" fontId="16" fillId="19" borderId="0" xfId="0" applyNumberFormat="1" applyFont="1" applyFill="1" applyBorder="1" applyAlignment="1"/>
    <xf numFmtId="43" fontId="16" fillId="19" borderId="0" xfId="51" applyNumberFormat="1" applyFont="1" applyFill="1" applyBorder="1" applyAlignment="1"/>
    <xf numFmtId="43" fontId="16" fillId="19" borderId="11" xfId="51" applyNumberFormat="1" applyFont="1" applyFill="1" applyBorder="1" applyAlignment="1"/>
    <xf numFmtId="164" fontId="16" fillId="0" borderId="0" xfId="0" applyNumberFormat="1" applyFont="1" applyFill="1" applyBorder="1" applyAlignment="1">
      <alignment horizontal="right"/>
    </xf>
    <xf numFmtId="172" fontId="14" fillId="0" borderId="0" xfId="0" applyNumberFormat="1" applyFont="1"/>
    <xf numFmtId="0" fontId="14" fillId="19" borderId="0" xfId="0" applyNumberFormat="1" applyFont="1" applyFill="1"/>
    <xf numFmtId="166" fontId="14" fillId="0" borderId="0" xfId="0" applyNumberFormat="1" applyFont="1"/>
    <xf numFmtId="9" fontId="14" fillId="0" borderId="0" xfId="81" applyFont="1" applyFill="1" applyAlignment="1">
      <alignment horizontal="right"/>
    </xf>
    <xf numFmtId="172" fontId="14" fillId="0" borderId="0" xfId="0" applyNumberFormat="1" applyFont="1" applyFill="1"/>
    <xf numFmtId="43" fontId="16" fillId="0" borderId="0" xfId="0" applyNumberFormat="1" applyFont="1" applyFill="1" applyBorder="1"/>
    <xf numFmtId="43" fontId="14" fillId="0" borderId="0" xfId="0" applyNumberFormat="1" applyFont="1" applyBorder="1"/>
    <xf numFmtId="170" fontId="16" fillId="18" borderId="0" xfId="0" applyNumberFormat="1" applyFont="1" applyFill="1" applyBorder="1" applyAlignment="1"/>
    <xf numFmtId="171" fontId="16" fillId="18" borderId="0" xfId="51" applyNumberFormat="1" applyFont="1" applyFill="1" applyBorder="1" applyAlignment="1"/>
    <xf numFmtId="166" fontId="16" fillId="18" borderId="0" xfId="0" applyNumberFormat="1" applyFont="1" applyFill="1" applyBorder="1" applyAlignment="1"/>
    <xf numFmtId="169" fontId="19" fillId="0" borderId="0" xfId="0" applyNumberFormat="1" applyFont="1" applyFill="1" applyBorder="1" applyAlignment="1"/>
    <xf numFmtId="0" fontId="15" fillId="17" borderId="13" xfId="0" applyFont="1" applyFill="1" applyBorder="1" applyAlignment="1">
      <alignment horizontal="left"/>
    </xf>
    <xf numFmtId="167" fontId="20" fillId="17" borderId="13" xfId="0" applyNumberFormat="1" applyFont="1" applyFill="1" applyBorder="1" applyAlignment="1">
      <alignment horizontal="left"/>
    </xf>
    <xf numFmtId="167" fontId="21" fillId="17" borderId="13" xfId="0" applyNumberFormat="1" applyFont="1" applyFill="1" applyBorder="1" applyAlignment="1">
      <alignment horizontal="left"/>
    </xf>
    <xf numFmtId="167" fontId="20" fillId="17" borderId="13" xfId="0" applyNumberFormat="1" applyFont="1" applyFill="1" applyBorder="1" applyAlignment="1">
      <alignment horizontal="right"/>
    </xf>
    <xf numFmtId="1" fontId="21" fillId="17" borderId="13" xfId="0" applyNumberFormat="1" applyFont="1" applyFill="1" applyBorder="1" applyAlignment="1">
      <alignment horizontal="left"/>
    </xf>
    <xf numFmtId="10" fontId="19" fillId="0" borderId="0" xfId="0" applyNumberFormat="1" applyFont="1" applyFill="1" applyBorder="1" applyAlignment="1">
      <alignment horizontal="right"/>
    </xf>
    <xf numFmtId="0" fontId="22" fillId="0" borderId="0" xfId="0" applyFont="1" applyFill="1" applyBorder="1" applyAlignment="1">
      <alignment horizontal="left" indent="1"/>
    </xf>
    <xf numFmtId="9" fontId="14" fillId="0" borderId="0" xfId="81" applyFont="1" applyFill="1" applyBorder="1" applyAlignment="1">
      <alignment horizontal="right"/>
    </xf>
    <xf numFmtId="167" fontId="14" fillId="17" borderId="13" xfId="0" applyNumberFormat="1" applyFont="1" applyFill="1" applyBorder="1" applyAlignment="1">
      <alignment horizontal="right"/>
    </xf>
    <xf numFmtId="0" fontId="14" fillId="17" borderId="13" xfId="0" applyFont="1" applyFill="1" applyBorder="1"/>
    <xf numFmtId="3" fontId="19" fillId="0" borderId="0" xfId="0" applyNumberFormat="1" applyFont="1" applyFill="1" applyBorder="1" applyAlignment="1">
      <alignment horizontal="right"/>
    </xf>
    <xf numFmtId="0" fontId="19" fillId="0" borderId="0" xfId="0" applyFont="1"/>
    <xf numFmtId="171" fontId="19" fillId="0" borderId="0" xfId="51" applyNumberFormat="1" applyFont="1" applyFill="1" applyBorder="1"/>
    <xf numFmtId="41" fontId="19" fillId="0" borderId="0" xfId="0" applyNumberFormat="1" applyFont="1" applyFill="1" applyAlignment="1">
      <alignment horizontal="right"/>
    </xf>
    <xf numFmtId="172" fontId="19" fillId="0" borderId="0" xfId="0" applyNumberFormat="1" applyFont="1"/>
    <xf numFmtId="1" fontId="19" fillId="0" borderId="0" xfId="0" applyNumberFormat="1" applyFont="1"/>
    <xf numFmtId="172" fontId="19" fillId="0" borderId="0" xfId="51" applyNumberFormat="1" applyFont="1" applyFill="1" applyBorder="1"/>
    <xf numFmtId="43" fontId="19" fillId="0" borderId="0" xfId="0" applyNumberFormat="1" applyFont="1"/>
    <xf numFmtId="1" fontId="19" fillId="0" borderId="0" xfId="51" applyNumberFormat="1" applyFont="1" applyFill="1" applyBorder="1"/>
    <xf numFmtId="1" fontId="19" fillId="0" borderId="0" xfId="0" applyNumberFormat="1" applyFont="1" applyFill="1" applyBorder="1"/>
    <xf numFmtId="39" fontId="25" fillId="18" borderId="0" xfId="0" applyNumberFormat="1" applyFont="1" applyFill="1" applyBorder="1" applyAlignment="1"/>
    <xf numFmtId="178" fontId="19" fillId="0" borderId="0" xfId="0" applyNumberFormat="1" applyFont="1" applyFill="1" applyBorder="1" applyAlignment="1">
      <alignment horizontal="right"/>
    </xf>
    <xf numFmtId="0" fontId="19" fillId="0" borderId="0" xfId="0" applyFont="1" applyBorder="1" applyAlignment="1">
      <alignment horizontal="right"/>
    </xf>
    <xf numFmtId="39" fontId="30" fillId="0" borderId="0" xfId="0" applyNumberFormat="1" applyFont="1" applyFill="1" applyBorder="1" applyAlignment="1">
      <alignment horizontal="right"/>
    </xf>
    <xf numFmtId="1" fontId="14" fillId="0" borderId="0" xfId="72" applyNumberFormat="1" applyFont="1" applyFill="1" applyBorder="1" applyAlignment="1">
      <alignment horizontal="left"/>
    </xf>
    <xf numFmtId="192" fontId="14" fillId="0" borderId="0" xfId="0" applyNumberFormat="1" applyFont="1" applyFill="1" applyBorder="1" applyAlignment="1">
      <alignment horizontal="right"/>
    </xf>
    <xf numFmtId="165" fontId="16" fillId="0" borderId="0" xfId="0" applyNumberFormat="1" applyFont="1" applyFill="1" applyBorder="1"/>
    <xf numFmtId="0" fontId="13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3" fontId="16" fillId="0" borderId="0" xfId="0" applyNumberFormat="1" applyFont="1" applyFill="1" applyAlignment="1">
      <alignment horizontal="right"/>
    </xf>
    <xf numFmtId="9" fontId="16" fillId="0" borderId="0" xfId="0" applyNumberFormat="1" applyFont="1" applyAlignment="1">
      <alignment horizontal="right"/>
    </xf>
    <xf numFmtId="0" fontId="16" fillId="0" borderId="0" xfId="0" applyFont="1" applyFill="1" applyAlignment="1">
      <alignment horizontal="right"/>
    </xf>
    <xf numFmtId="167" fontId="20" fillId="17" borderId="0" xfId="0" applyNumberFormat="1" applyFont="1" applyFill="1" applyBorder="1" applyAlignment="1">
      <alignment horizontal="right"/>
    </xf>
    <xf numFmtId="171" fontId="14" fillId="0" borderId="0" xfId="0" applyNumberFormat="1" applyFont="1" applyFill="1" applyBorder="1"/>
    <xf numFmtId="0" fontId="14" fillId="0" borderId="0" xfId="0" applyFont="1" applyFill="1" applyBorder="1" applyAlignment="1">
      <alignment horizontal="left" indent="2"/>
    </xf>
    <xf numFmtId="0" fontId="19" fillId="0" borderId="0" xfId="0" applyFont="1" applyBorder="1"/>
    <xf numFmtId="0" fontId="14" fillId="20" borderId="0" xfId="0" applyFont="1" applyFill="1"/>
    <xf numFmtId="0" fontId="14" fillId="20" borderId="0" xfId="0" applyFont="1" applyFill="1" applyBorder="1" applyAlignment="1">
      <alignment horizontal="left" indent="1"/>
    </xf>
    <xf numFmtId="1" fontId="19" fillId="20" borderId="0" xfId="0" applyNumberFormat="1" applyFont="1" applyFill="1" applyAlignment="1">
      <alignment horizontal="right"/>
    </xf>
    <xf numFmtId="3" fontId="19" fillId="20" borderId="0" xfId="51" applyNumberFormat="1" applyFont="1" applyFill="1" applyAlignment="1">
      <alignment horizontal="right"/>
    </xf>
    <xf numFmtId="0" fontId="13" fillId="19" borderId="0" xfId="0" applyFont="1" applyFill="1"/>
    <xf numFmtId="0" fontId="17" fillId="0" borderId="0" xfId="0" applyFont="1"/>
    <xf numFmtId="172" fontId="13" fillId="0" borderId="0" xfId="0" applyNumberFormat="1" applyFont="1"/>
    <xf numFmtId="172" fontId="17" fillId="0" borderId="0" xfId="0" applyNumberFormat="1" applyFont="1"/>
    <xf numFmtId="171" fontId="14" fillId="0" borderId="0" xfId="51" applyNumberFormat="1" applyFont="1"/>
    <xf numFmtId="9" fontId="16" fillId="0" borderId="0" xfId="0" applyNumberFormat="1" applyFont="1" applyFill="1" applyAlignment="1">
      <alignment horizontal="right"/>
    </xf>
    <xf numFmtId="43" fontId="14" fillId="0" borderId="0" xfId="0" applyNumberFormat="1" applyFont="1" applyFill="1" applyBorder="1"/>
    <xf numFmtId="172" fontId="13" fillId="0" borderId="0" xfId="51" applyNumberFormat="1" applyFont="1" applyFill="1"/>
    <xf numFmtId="0" fontId="14" fillId="20" borderId="0" xfId="0" applyFont="1" applyFill="1" applyBorder="1"/>
    <xf numFmtId="0" fontId="20" fillId="21" borderId="0" xfId="0" applyFont="1" applyFill="1" applyBorder="1"/>
    <xf numFmtId="0" fontId="15" fillId="21" borderId="0" xfId="0" applyFont="1" applyFill="1" applyBorder="1" applyAlignment="1">
      <alignment horizontal="left"/>
    </xf>
    <xf numFmtId="167" fontId="20" fillId="21" borderId="0" xfId="0" applyNumberFormat="1" applyFont="1" applyFill="1" applyBorder="1" applyAlignment="1">
      <alignment horizontal="left"/>
    </xf>
    <xf numFmtId="167" fontId="20" fillId="21" borderId="0" xfId="0" applyNumberFormat="1" applyFont="1" applyFill="1" applyBorder="1" applyAlignment="1">
      <alignment horizontal="right"/>
    </xf>
    <xf numFmtId="1" fontId="21" fillId="21" borderId="0" xfId="0" applyNumberFormat="1" applyFont="1" applyFill="1" applyBorder="1" applyAlignment="1">
      <alignment horizontal="left"/>
    </xf>
    <xf numFmtId="167" fontId="21" fillId="21" borderId="0" xfId="0" applyNumberFormat="1" applyFont="1" applyFill="1" applyBorder="1" applyAlignment="1">
      <alignment horizontal="right"/>
    </xf>
    <xf numFmtId="0" fontId="14" fillId="22" borderId="0" xfId="0" applyFont="1" applyFill="1" applyAlignment="1">
      <alignment horizontal="right"/>
    </xf>
    <xf numFmtId="0" fontId="14" fillId="22" borderId="0" xfId="0" applyFont="1" applyFill="1" applyBorder="1"/>
    <xf numFmtId="0" fontId="14" fillId="22" borderId="0" xfId="0" applyFont="1" applyFill="1"/>
    <xf numFmtId="0" fontId="14" fillId="22" borderId="0" xfId="0" applyFont="1" applyFill="1" applyBorder="1" applyAlignment="1">
      <alignment horizontal="right"/>
    </xf>
    <xf numFmtId="0" fontId="14" fillId="22" borderId="0" xfId="0" applyFont="1" applyFill="1" applyAlignment="1"/>
    <xf numFmtId="166" fontId="14" fillId="22" borderId="0" xfId="0" applyNumberFormat="1" applyFont="1" applyFill="1" applyAlignment="1"/>
    <xf numFmtId="43" fontId="14" fillId="22" borderId="0" xfId="0" applyNumberFormat="1" applyFont="1" applyFill="1" applyAlignment="1"/>
    <xf numFmtId="39" fontId="14" fillId="22" borderId="0" xfId="0" applyNumberFormat="1" applyFont="1" applyFill="1" applyAlignment="1"/>
    <xf numFmtId="167" fontId="14" fillId="22" borderId="0" xfId="0" applyNumberFormat="1" applyFont="1" applyFill="1" applyBorder="1" applyAlignment="1">
      <alignment horizontal="right"/>
    </xf>
    <xf numFmtId="167" fontId="22" fillId="22" borderId="0" xfId="0" applyNumberFormat="1" applyFont="1" applyFill="1" applyBorder="1" applyAlignment="1">
      <alignment horizontal="right"/>
    </xf>
    <xf numFmtId="0" fontId="20" fillId="22" borderId="0" xfId="0" applyFont="1" applyFill="1" applyBorder="1" applyAlignment="1">
      <alignment horizontal="right"/>
    </xf>
    <xf numFmtId="174" fontId="14" fillId="22" borderId="0" xfId="0" applyNumberFormat="1" applyFont="1" applyFill="1" applyBorder="1" applyAlignment="1">
      <alignment horizontal="right"/>
    </xf>
    <xf numFmtId="172" fontId="14" fillId="22" borderId="0" xfId="0" applyNumberFormat="1" applyFont="1" applyFill="1" applyBorder="1" applyAlignment="1">
      <alignment horizontal="right"/>
    </xf>
    <xf numFmtId="172" fontId="13" fillId="22" borderId="0" xfId="0" applyNumberFormat="1" applyFont="1" applyFill="1" applyBorder="1" applyAlignment="1">
      <alignment horizontal="right"/>
    </xf>
    <xf numFmtId="167" fontId="13" fillId="22" borderId="0" xfId="0" applyNumberFormat="1" applyFont="1" applyFill="1" applyBorder="1" applyAlignment="1">
      <alignment horizontal="right"/>
    </xf>
    <xf numFmtId="171" fontId="14" fillId="22" borderId="0" xfId="0" applyNumberFormat="1" applyFont="1" applyFill="1" applyBorder="1" applyAlignment="1">
      <alignment horizontal="right"/>
    </xf>
    <xf numFmtId="164" fontId="14" fillId="22" borderId="0" xfId="0" applyNumberFormat="1" applyFont="1" applyFill="1" applyBorder="1" applyAlignment="1">
      <alignment horizontal="right"/>
    </xf>
    <xf numFmtId="179" fontId="14" fillId="22" borderId="0" xfId="0" applyNumberFormat="1" applyFont="1" applyFill="1" applyBorder="1" applyAlignment="1">
      <alignment horizontal="right"/>
    </xf>
    <xf numFmtId="167" fontId="23" fillId="22" borderId="0" xfId="0" applyNumberFormat="1" applyFont="1" applyFill="1" applyBorder="1" applyAlignment="1">
      <alignment horizontal="right"/>
    </xf>
    <xf numFmtId="170" fontId="14" fillId="22" borderId="0" xfId="0" applyNumberFormat="1" applyFont="1" applyFill="1" applyBorder="1" applyAlignment="1">
      <alignment horizontal="right"/>
    </xf>
    <xf numFmtId="180" fontId="13" fillId="22" borderId="0" xfId="0" applyNumberFormat="1" applyFont="1" applyFill="1" applyBorder="1" applyAlignment="1">
      <alignment horizontal="right"/>
    </xf>
    <xf numFmtId="167" fontId="19" fillId="22" borderId="0" xfId="0" applyNumberFormat="1" applyFont="1" applyFill="1" applyBorder="1" applyAlignment="1">
      <alignment horizontal="right"/>
    </xf>
    <xf numFmtId="171" fontId="13" fillId="22" borderId="0" xfId="0" applyNumberFormat="1" applyFont="1" applyFill="1" applyBorder="1" applyAlignment="1">
      <alignment horizontal="right"/>
    </xf>
    <xf numFmtId="174" fontId="13" fillId="22" borderId="0" xfId="0" applyNumberFormat="1" applyFont="1" applyFill="1" applyBorder="1" applyAlignment="1">
      <alignment horizontal="right"/>
    </xf>
    <xf numFmtId="185" fontId="23" fillId="22" borderId="0" xfId="0" applyNumberFormat="1" applyFont="1" applyFill="1" applyBorder="1" applyAlignment="1">
      <alignment horizontal="right"/>
    </xf>
    <xf numFmtId="166" fontId="14" fillId="22" borderId="0" xfId="0" applyNumberFormat="1" applyFont="1" applyFill="1" applyBorder="1" applyAlignment="1">
      <alignment horizontal="right"/>
    </xf>
    <xf numFmtId="176" fontId="14" fillId="22" borderId="0" xfId="0" applyNumberFormat="1" applyFont="1" applyFill="1" applyAlignment="1">
      <alignment horizontal="right"/>
    </xf>
    <xf numFmtId="177" fontId="14" fillId="22" borderId="0" xfId="0" applyNumberFormat="1" applyFont="1" applyFill="1" applyAlignment="1">
      <alignment horizontal="right"/>
    </xf>
    <xf numFmtId="172" fontId="14" fillId="22" borderId="0" xfId="0" applyNumberFormat="1" applyFont="1" applyFill="1"/>
    <xf numFmtId="43" fontId="14" fillId="22" borderId="0" xfId="0" applyNumberFormat="1" applyFont="1" applyFill="1"/>
    <xf numFmtId="0" fontId="22" fillId="0" borderId="0" xfId="0" applyFont="1" applyFill="1" applyBorder="1" applyAlignment="1"/>
    <xf numFmtId="43" fontId="22" fillId="0" borderId="0" xfId="51" applyNumberFormat="1" applyFont="1" applyFill="1" applyBorder="1"/>
    <xf numFmtId="3" fontId="24" fillId="0" borderId="0" xfId="51" applyNumberFormat="1" applyFont="1" applyFill="1" applyBorder="1" applyAlignment="1">
      <alignment horizontal="right"/>
    </xf>
    <xf numFmtId="165" fontId="22" fillId="0" borderId="0" xfId="0" applyNumberFormat="1" applyFont="1" applyFill="1" applyBorder="1" applyAlignment="1">
      <alignment horizontal="right"/>
    </xf>
    <xf numFmtId="174" fontId="22" fillId="0" borderId="0" xfId="0" applyNumberFormat="1" applyFont="1" applyFill="1" applyBorder="1" applyAlignment="1">
      <alignment horizontal="right"/>
    </xf>
    <xf numFmtId="0" fontId="22" fillId="0" borderId="0" xfId="0" applyNumberFormat="1" applyFont="1" applyFill="1"/>
    <xf numFmtId="172" fontId="22" fillId="0" borderId="0" xfId="51" applyNumberFormat="1" applyFont="1" applyFill="1" applyBorder="1" applyAlignment="1">
      <alignment horizontal="right"/>
    </xf>
    <xf numFmtId="43" fontId="30" fillId="0" borderId="0" xfId="0" applyNumberFormat="1" applyFont="1" applyFill="1" applyBorder="1"/>
    <xf numFmtId="0" fontId="31" fillId="0" borderId="0" xfId="0" applyFont="1" applyFill="1" applyBorder="1"/>
    <xf numFmtId="0" fontId="13" fillId="20" borderId="0" xfId="0" applyFont="1" applyFill="1" applyBorder="1"/>
    <xf numFmtId="165" fontId="22" fillId="0" borderId="0" xfId="51" applyNumberFormat="1" applyFont="1" applyFill="1" applyBorder="1"/>
    <xf numFmtId="0" fontId="29" fillId="0" borderId="0" xfId="0" applyFont="1"/>
    <xf numFmtId="0" fontId="29" fillId="0" borderId="0" xfId="0" applyFont="1" applyBorder="1"/>
    <xf numFmtId="0" fontId="29" fillId="22" borderId="0" xfId="0" applyFont="1" applyFill="1"/>
    <xf numFmtId="0" fontId="29" fillId="0" borderId="0" xfId="0" applyFont="1" applyFill="1"/>
    <xf numFmtId="0" fontId="14" fillId="0" borderId="11" xfId="0" applyFont="1" applyBorder="1"/>
    <xf numFmtId="0" fontId="13" fillId="0" borderId="11" xfId="0" applyFont="1" applyBorder="1" applyAlignment="1">
      <alignment horizontal="right"/>
    </xf>
    <xf numFmtId="0" fontId="13" fillId="20" borderId="0" xfId="0" applyNumberFormat="1" applyFont="1" applyFill="1" applyBorder="1"/>
    <xf numFmtId="166" fontId="13" fillId="20" borderId="0" xfId="0" applyNumberFormat="1" applyFont="1" applyFill="1" applyBorder="1" applyAlignment="1">
      <alignment horizontal="right"/>
    </xf>
    <xf numFmtId="167" fontId="14" fillId="20" borderId="0" xfId="0" applyNumberFormat="1" applyFont="1" applyFill="1" applyBorder="1" applyAlignment="1">
      <alignment horizontal="right"/>
    </xf>
    <xf numFmtId="3" fontId="19" fillId="20" borderId="0" xfId="51" applyNumberFormat="1" applyFont="1" applyFill="1" applyBorder="1" applyAlignment="1">
      <alignment horizontal="right"/>
    </xf>
    <xf numFmtId="3" fontId="17" fillId="20" borderId="0" xfId="51" applyNumberFormat="1" applyFont="1" applyFill="1" applyBorder="1" applyAlignment="1">
      <alignment horizontal="right"/>
    </xf>
    <xf numFmtId="0" fontId="13" fillId="0" borderId="0" xfId="0" applyFont="1" applyFill="1" applyAlignment="1">
      <alignment horizontal="right"/>
    </xf>
    <xf numFmtId="168" fontId="14" fillId="0" borderId="0" xfId="0" applyNumberFormat="1" applyFont="1"/>
    <xf numFmtId="172" fontId="16" fillId="0" borderId="0" xfId="51" applyNumberFormat="1" applyFont="1"/>
    <xf numFmtId="171" fontId="14" fillId="0" borderId="0" xfId="51" applyNumberFormat="1" applyFont="1" applyFill="1"/>
    <xf numFmtId="0" fontId="13" fillId="0" borderId="11" xfId="0" quotePrefix="1" applyFont="1" applyBorder="1" applyAlignment="1">
      <alignment horizontal="right"/>
    </xf>
    <xf numFmtId="9" fontId="14" fillId="0" borderId="0" xfId="81" applyFont="1"/>
    <xf numFmtId="0" fontId="16" fillId="0" borderId="0" xfId="0" quotePrefix="1" applyFont="1" applyAlignment="1">
      <alignment horizontal="right"/>
    </xf>
    <xf numFmtId="0" fontId="13" fillId="0" borderId="0" xfId="0" quotePrefix="1" applyFont="1" applyAlignment="1">
      <alignment horizontal="right"/>
    </xf>
    <xf numFmtId="192" fontId="16" fillId="0" borderId="0" xfId="0" applyNumberFormat="1" applyFont="1" applyFill="1" applyBorder="1" applyAlignment="1">
      <alignment horizontal="right"/>
    </xf>
    <xf numFmtId="1" fontId="19" fillId="0" borderId="11" xfId="0" applyNumberFormat="1" applyFont="1" applyFill="1" applyBorder="1" applyAlignment="1">
      <alignment horizontal="right"/>
    </xf>
    <xf numFmtId="169" fontId="19" fillId="0" borderId="11" xfId="0" applyNumberFormat="1" applyFont="1" applyFill="1" applyBorder="1" applyAlignment="1">
      <alignment horizontal="right"/>
    </xf>
    <xf numFmtId="0" fontId="14" fillId="20" borderId="0" xfId="0" applyFont="1" applyFill="1" applyAlignment="1"/>
    <xf numFmtId="0" fontId="13" fillId="20" borderId="0" xfId="0" applyFont="1" applyFill="1" applyBorder="1" applyAlignment="1"/>
    <xf numFmtId="167" fontId="14" fillId="20" borderId="0" xfId="0" applyNumberFormat="1" applyFont="1" applyFill="1" applyBorder="1" applyAlignment="1"/>
    <xf numFmtId="1" fontId="19" fillId="20" borderId="0" xfId="0" applyNumberFormat="1" applyFont="1" applyFill="1" applyBorder="1" applyAlignment="1"/>
    <xf numFmtId="169" fontId="19" fillId="20" borderId="0" xfId="0" applyNumberFormat="1" applyFont="1" applyFill="1" applyBorder="1" applyAlignment="1"/>
    <xf numFmtId="43" fontId="16" fillId="20" borderId="0" xfId="51" applyFont="1" applyFill="1" applyBorder="1" applyAlignment="1">
      <alignment horizontal="right"/>
    </xf>
    <xf numFmtId="1" fontId="19" fillId="20" borderId="0" xfId="0" applyNumberFormat="1" applyFont="1" applyFill="1" applyBorder="1" applyAlignment="1">
      <alignment horizontal="right"/>
    </xf>
    <xf numFmtId="171" fontId="16" fillId="20" borderId="0" xfId="51" applyNumberFormat="1" applyFont="1" applyFill="1" applyBorder="1" applyAlignment="1">
      <alignment horizontal="right"/>
    </xf>
    <xf numFmtId="175" fontId="14" fillId="20" borderId="0" xfId="81" applyNumberFormat="1" applyFont="1" applyFill="1" applyBorder="1" applyAlignment="1">
      <alignment horizontal="right"/>
    </xf>
    <xf numFmtId="171" fontId="14" fillId="20" borderId="0" xfId="51" applyNumberFormat="1" applyFont="1" applyFill="1" applyBorder="1" applyAlignment="1">
      <alignment horizontal="right"/>
    </xf>
    <xf numFmtId="0" fontId="19" fillId="20" borderId="0" xfId="0" applyFont="1" applyFill="1" applyBorder="1" applyAlignment="1">
      <alignment horizontal="right"/>
    </xf>
    <xf numFmtId="0" fontId="22" fillId="20" borderId="0" xfId="0" applyFont="1" applyFill="1" applyBorder="1"/>
    <xf numFmtId="167" fontId="22" fillId="20" borderId="0" xfId="0" applyNumberFormat="1" applyFont="1" applyFill="1" applyBorder="1" applyAlignment="1">
      <alignment horizontal="right"/>
    </xf>
    <xf numFmtId="175" fontId="22" fillId="20" borderId="0" xfId="81" applyNumberFormat="1" applyFont="1" applyFill="1" applyBorder="1" applyAlignment="1">
      <alignment horizontal="right"/>
    </xf>
    <xf numFmtId="1" fontId="24" fillId="20" borderId="0" xfId="0" applyNumberFormat="1" applyFont="1" applyFill="1" applyBorder="1" applyAlignment="1">
      <alignment horizontal="right"/>
    </xf>
    <xf numFmtId="171" fontId="22" fillId="20" borderId="0" xfId="51" applyNumberFormat="1" applyFont="1" applyFill="1" applyBorder="1" applyAlignment="1">
      <alignment horizontal="right"/>
    </xf>
    <xf numFmtId="0" fontId="24" fillId="20" borderId="0" xfId="0" applyFont="1" applyFill="1" applyBorder="1" applyAlignment="1">
      <alignment horizontal="right"/>
    </xf>
    <xf numFmtId="0" fontId="22" fillId="20" borderId="0" xfId="0" applyFont="1" applyFill="1"/>
    <xf numFmtId="41" fontId="18" fillId="20" borderId="0" xfId="0" applyNumberFormat="1" applyFont="1" applyFill="1" applyBorder="1"/>
    <xf numFmtId="41" fontId="26" fillId="20" borderId="0" xfId="0" applyNumberFormat="1" applyFont="1" applyFill="1" applyBorder="1"/>
    <xf numFmtId="43" fontId="13" fillId="20" borderId="0" xfId="0" applyNumberFormat="1" applyFont="1" applyFill="1" applyBorder="1"/>
    <xf numFmtId="166" fontId="13" fillId="20" borderId="0" xfId="0" applyNumberFormat="1" applyFont="1" applyFill="1" applyBorder="1"/>
    <xf numFmtId="0" fontId="13" fillId="22" borderId="0" xfId="0" applyFont="1" applyFill="1" applyBorder="1"/>
    <xf numFmtId="167" fontId="13" fillId="0" borderId="11" xfId="0" quotePrefix="1" applyNumberFormat="1" applyFont="1" applyFill="1" applyBorder="1" applyAlignment="1">
      <alignment horizontal="right"/>
    </xf>
    <xf numFmtId="167" fontId="13" fillId="0" borderId="11" xfId="0" applyNumberFormat="1" applyFont="1" applyFill="1" applyBorder="1" applyAlignment="1">
      <alignment horizontal="right"/>
    </xf>
    <xf numFmtId="37" fontId="14" fillId="20" borderId="0" xfId="0" applyNumberFormat="1" applyFont="1" applyFill="1" applyBorder="1"/>
    <xf numFmtId="37" fontId="19" fillId="20" borderId="0" xfId="0" applyNumberFormat="1" applyFont="1" applyFill="1" applyBorder="1" applyAlignment="1">
      <alignment horizontal="right"/>
    </xf>
    <xf numFmtId="37" fontId="14" fillId="22" borderId="0" xfId="0" applyNumberFormat="1" applyFont="1" applyFill="1" applyBorder="1"/>
    <xf numFmtId="37" fontId="13" fillId="20" borderId="0" xfId="0" applyNumberFormat="1" applyFont="1" applyFill="1" applyBorder="1"/>
    <xf numFmtId="165" fontId="23" fillId="20" borderId="0" xfId="0" applyNumberFormat="1" applyFont="1" applyFill="1" applyBorder="1"/>
    <xf numFmtId="165" fontId="29" fillId="20" borderId="0" xfId="0" applyNumberFormat="1" applyFont="1" applyFill="1" applyBorder="1" applyAlignment="1">
      <alignment horizontal="right"/>
    </xf>
    <xf numFmtId="165" fontId="23" fillId="22" borderId="0" xfId="0" applyNumberFormat="1" applyFont="1" applyFill="1" applyBorder="1"/>
    <xf numFmtId="172" fontId="16" fillId="0" borderId="11" xfId="0" applyNumberFormat="1" applyFont="1" applyBorder="1"/>
    <xf numFmtId="3" fontId="19" fillId="0" borderId="11" xfId="0" applyNumberFormat="1" applyFont="1" applyFill="1" applyBorder="1" applyAlignment="1">
      <alignment horizontal="right"/>
    </xf>
    <xf numFmtId="178" fontId="14" fillId="22" borderId="11" xfId="0" applyNumberFormat="1" applyFont="1" applyFill="1" applyBorder="1" applyAlignment="1">
      <alignment horizontal="right"/>
    </xf>
    <xf numFmtId="177" fontId="14" fillId="0" borderId="11" xfId="0" applyNumberFormat="1" applyFont="1" applyFill="1" applyBorder="1" applyAlignment="1">
      <alignment horizontal="right"/>
    </xf>
    <xf numFmtId="177" fontId="19" fillId="0" borderId="11" xfId="0" applyNumberFormat="1" applyFont="1" applyFill="1" applyBorder="1" applyAlignment="1">
      <alignment horizontal="right"/>
    </xf>
    <xf numFmtId="3" fontId="19" fillId="0" borderId="11" xfId="51" applyNumberFormat="1" applyFont="1" applyFill="1" applyBorder="1" applyAlignment="1">
      <alignment horizontal="right"/>
    </xf>
    <xf numFmtId="0" fontId="14" fillId="0" borderId="11" xfId="0" applyFont="1" applyFill="1" applyBorder="1"/>
    <xf numFmtId="0" fontId="65" fillId="0" borderId="0" xfId="0" applyFont="1"/>
    <xf numFmtId="0" fontId="65" fillId="0" borderId="0" xfId="0" applyFont="1" applyBorder="1"/>
    <xf numFmtId="0" fontId="67" fillId="21" borderId="0" xfId="0" applyFont="1" applyFill="1"/>
    <xf numFmtId="0" fontId="68" fillId="0" borderId="0" xfId="0" applyFont="1"/>
    <xf numFmtId="0" fontId="65" fillId="22" borderId="0" xfId="0" applyFont="1" applyFill="1"/>
    <xf numFmtId="0" fontId="64" fillId="0" borderId="12" xfId="0" applyNumberFormat="1" applyFont="1" applyBorder="1"/>
    <xf numFmtId="0" fontId="65" fillId="0" borderId="0" xfId="0" applyFont="1" applyFill="1" applyBorder="1" applyAlignment="1"/>
    <xf numFmtId="0" fontId="69" fillId="0" borderId="0" xfId="0" applyFont="1"/>
    <xf numFmtId="0" fontId="65" fillId="0" borderId="0" xfId="0" applyFont="1" applyAlignment="1">
      <alignment horizontal="right"/>
    </xf>
    <xf numFmtId="1" fontId="69" fillId="0" borderId="0" xfId="0" applyNumberFormat="1" applyFont="1" applyAlignment="1">
      <alignment horizontal="right"/>
    </xf>
    <xf numFmtId="0" fontId="71" fillId="0" borderId="0" xfId="0" applyNumberFormat="1" applyFont="1" applyBorder="1"/>
    <xf numFmtId="0" fontId="65" fillId="0" borderId="0" xfId="0" applyFont="1" applyBorder="1" applyAlignment="1">
      <alignment horizontal="right"/>
    </xf>
    <xf numFmtId="1" fontId="69" fillId="0" borderId="0" xfId="0" applyNumberFormat="1" applyFont="1" applyBorder="1" applyAlignment="1">
      <alignment horizontal="right"/>
    </xf>
    <xf numFmtId="167" fontId="65" fillId="0" borderId="0" xfId="0" applyNumberFormat="1" applyFont="1" applyBorder="1" applyAlignment="1">
      <alignment horizontal="right"/>
    </xf>
    <xf numFmtId="0" fontId="65" fillId="0" borderId="0" xfId="0" applyNumberFormat="1" applyFont="1" applyBorder="1"/>
    <xf numFmtId="0" fontId="65" fillId="0" borderId="0" xfId="0" applyNumberFormat="1" applyFont="1" applyBorder="1" applyAlignment="1">
      <alignment horizontal="right"/>
    </xf>
    <xf numFmtId="0" fontId="65" fillId="0" borderId="11" xfId="0" applyNumberFormat="1" applyFont="1" applyBorder="1"/>
    <xf numFmtId="167" fontId="65" fillId="0" borderId="11" xfId="0" applyNumberFormat="1" applyFont="1" applyBorder="1" applyAlignment="1">
      <alignment horizontal="right"/>
    </xf>
    <xf numFmtId="1" fontId="69" fillId="0" borderId="11" xfId="0" applyNumberFormat="1" applyFont="1" applyBorder="1" applyAlignment="1">
      <alignment horizontal="right"/>
    </xf>
    <xf numFmtId="0" fontId="65" fillId="0" borderId="11" xfId="0" applyNumberFormat="1" applyFont="1" applyBorder="1" applyAlignment="1">
      <alignment horizontal="right"/>
    </xf>
    <xf numFmtId="1" fontId="65" fillId="0" borderId="11" xfId="0" applyNumberFormat="1" applyFont="1" applyBorder="1" applyAlignment="1">
      <alignment horizontal="right"/>
    </xf>
    <xf numFmtId="0" fontId="66" fillId="0" borderId="0" xfId="0" applyNumberFormat="1" applyFont="1" applyFill="1" applyBorder="1"/>
    <xf numFmtId="167" fontId="65" fillId="0" borderId="0" xfId="0" applyNumberFormat="1" applyFont="1" applyFill="1" applyBorder="1" applyAlignment="1">
      <alignment horizontal="right"/>
    </xf>
    <xf numFmtId="1" fontId="69" fillId="0" borderId="0" xfId="0" applyNumberFormat="1" applyFont="1" applyFill="1" applyBorder="1" applyAlignment="1">
      <alignment horizontal="right"/>
    </xf>
    <xf numFmtId="3" fontId="65" fillId="0" borderId="0" xfId="0" applyNumberFormat="1" applyFont="1" applyBorder="1" applyAlignment="1">
      <alignment horizontal="right"/>
    </xf>
    <xf numFmtId="3" fontId="65" fillId="0" borderId="0" xfId="0" applyNumberFormat="1" applyFont="1" applyFill="1" applyBorder="1" applyAlignment="1">
      <alignment horizontal="right"/>
    </xf>
    <xf numFmtId="3" fontId="69" fillId="0" borderId="0" xfId="0" applyNumberFormat="1" applyFont="1" applyFill="1" applyBorder="1" applyAlignment="1">
      <alignment horizontal="right"/>
    </xf>
    <xf numFmtId="0" fontId="65" fillId="0" borderId="0" xfId="0" applyNumberFormat="1" applyFont="1" applyFill="1" applyBorder="1"/>
    <xf numFmtId="4" fontId="65" fillId="0" borderId="0" xfId="0" applyNumberFormat="1" applyFont="1" applyFill="1" applyBorder="1" applyAlignment="1">
      <alignment horizontal="right"/>
    </xf>
    <xf numFmtId="165" fontId="65" fillId="0" borderId="0" xfId="0" applyNumberFormat="1" applyFont="1" applyBorder="1" applyAlignment="1">
      <alignment horizontal="right"/>
    </xf>
    <xf numFmtId="165" fontId="65" fillId="0" borderId="0" xfId="51" applyNumberFormat="1" applyFont="1" applyFill="1" applyBorder="1" applyAlignment="1">
      <alignment horizontal="right"/>
    </xf>
    <xf numFmtId="174" fontId="65" fillId="0" borderId="0" xfId="0" applyNumberFormat="1" applyFont="1" applyFill="1" applyBorder="1" applyAlignment="1">
      <alignment horizontal="right"/>
    </xf>
    <xf numFmtId="0" fontId="68" fillId="0" borderId="0" xfId="0" applyNumberFormat="1" applyFont="1" applyFill="1" applyBorder="1"/>
    <xf numFmtId="4" fontId="68" fillId="0" borderId="0" xfId="0" applyNumberFormat="1" applyFont="1" applyBorder="1" applyAlignment="1">
      <alignment horizontal="right"/>
    </xf>
    <xf numFmtId="3" fontId="68" fillId="0" borderId="0" xfId="0" applyNumberFormat="1" applyFont="1" applyBorder="1" applyAlignment="1">
      <alignment horizontal="right"/>
    </xf>
    <xf numFmtId="174" fontId="68" fillId="0" borderId="0" xfId="0" applyNumberFormat="1" applyFont="1" applyBorder="1" applyAlignment="1">
      <alignment horizontal="right"/>
    </xf>
    <xf numFmtId="3" fontId="68" fillId="0" borderId="0" xfId="51" applyNumberFormat="1" applyFont="1" applyFill="1" applyBorder="1" applyAlignment="1">
      <alignment horizontal="right"/>
    </xf>
    <xf numFmtId="4" fontId="72" fillId="21" borderId="0" xfId="0" applyNumberFormat="1" applyFont="1" applyFill="1" applyBorder="1" applyAlignment="1">
      <alignment horizontal="right"/>
    </xf>
    <xf numFmtId="3" fontId="73" fillId="21" borderId="0" xfId="0" applyNumberFormat="1" applyFont="1" applyFill="1" applyBorder="1" applyAlignment="1">
      <alignment horizontal="right"/>
    </xf>
    <xf numFmtId="1" fontId="73" fillId="21" borderId="0" xfId="0" applyNumberFormat="1" applyFont="1" applyFill="1" applyBorder="1" applyAlignment="1">
      <alignment horizontal="right"/>
    </xf>
    <xf numFmtId="1" fontId="68" fillId="0" borderId="0" xfId="0" applyNumberFormat="1" applyFont="1" applyBorder="1" applyAlignment="1">
      <alignment horizontal="right"/>
    </xf>
    <xf numFmtId="3" fontId="68" fillId="0" borderId="0" xfId="0" applyNumberFormat="1" applyFont="1" applyFill="1" applyBorder="1" applyAlignment="1">
      <alignment horizontal="right"/>
    </xf>
    <xf numFmtId="4" fontId="66" fillId="22" borderId="0" xfId="0" applyNumberFormat="1" applyFont="1" applyFill="1" applyBorder="1" applyAlignment="1">
      <alignment horizontal="right"/>
    </xf>
    <xf numFmtId="3" fontId="69" fillId="22" borderId="0" xfId="0" applyNumberFormat="1" applyFont="1" applyFill="1" applyBorder="1" applyAlignment="1">
      <alignment horizontal="right"/>
    </xf>
    <xf numFmtId="1" fontId="69" fillId="22" borderId="0" xfId="0" applyNumberFormat="1" applyFont="1" applyFill="1" applyBorder="1" applyAlignment="1">
      <alignment horizontal="right"/>
    </xf>
    <xf numFmtId="43" fontId="66" fillId="22" borderId="0" xfId="51" applyFont="1" applyFill="1" applyBorder="1" applyAlignment="1">
      <alignment horizontal="right"/>
    </xf>
    <xf numFmtId="43" fontId="66" fillId="22" borderId="0" xfId="51" applyFont="1" applyFill="1" applyBorder="1"/>
    <xf numFmtId="0" fontId="65" fillId="0" borderId="0" xfId="0" applyFont="1" applyBorder="1" applyAlignment="1"/>
    <xf numFmtId="0" fontId="66" fillId="0" borderId="0" xfId="0" applyFont="1" applyBorder="1" applyAlignment="1"/>
    <xf numFmtId="167" fontId="69" fillId="0" borderId="0" xfId="0" applyNumberFormat="1" applyFont="1" applyFill="1" applyBorder="1" applyAlignment="1">
      <alignment horizontal="right"/>
    </xf>
    <xf numFmtId="174" fontId="65" fillId="0" borderId="0" xfId="0" applyNumberFormat="1" applyFont="1" applyAlignment="1">
      <alignment horizontal="right"/>
    </xf>
    <xf numFmtId="3" fontId="69" fillId="0" borderId="0" xfId="0" applyNumberFormat="1" applyFont="1" applyAlignment="1">
      <alignment horizontal="right"/>
    </xf>
    <xf numFmtId="3" fontId="65" fillId="0" borderId="0" xfId="0" applyNumberFormat="1" applyFont="1" applyAlignment="1">
      <alignment horizontal="right"/>
    </xf>
    <xf numFmtId="0" fontId="65" fillId="0" borderId="0" xfId="0" applyNumberFormat="1" applyFont="1"/>
    <xf numFmtId="167" fontId="65" fillId="0" borderId="12" xfId="0" applyNumberFormat="1" applyFont="1" applyBorder="1" applyAlignment="1">
      <alignment horizontal="right"/>
    </xf>
    <xf numFmtId="1" fontId="69" fillId="0" borderId="12" xfId="0" applyNumberFormat="1" applyFont="1" applyBorder="1" applyAlignment="1">
      <alignment horizontal="right"/>
    </xf>
    <xf numFmtId="165" fontId="65" fillId="0" borderId="0" xfId="0" applyNumberFormat="1" applyFont="1" applyAlignment="1">
      <alignment horizontal="right"/>
    </xf>
    <xf numFmtId="3" fontId="66" fillId="0" borderId="0" xfId="0" applyNumberFormat="1" applyFont="1" applyAlignment="1">
      <alignment horizontal="right"/>
    </xf>
    <xf numFmtId="165" fontId="66" fillId="0" borderId="0" xfId="51" applyNumberFormat="1" applyFont="1" applyFill="1" applyBorder="1" applyAlignment="1">
      <alignment horizontal="right"/>
    </xf>
    <xf numFmtId="165" fontId="69" fillId="0" borderId="0" xfId="0" applyNumberFormat="1" applyFont="1" applyAlignment="1">
      <alignment horizontal="right"/>
    </xf>
    <xf numFmtId="3" fontId="65" fillId="0" borderId="0" xfId="51" applyNumberFormat="1" applyFont="1" applyBorder="1" applyAlignment="1">
      <alignment horizontal="right"/>
    </xf>
    <xf numFmtId="3" fontId="69" fillId="0" borderId="0" xfId="51" applyNumberFormat="1" applyFont="1" applyBorder="1" applyAlignment="1">
      <alignment horizontal="right"/>
    </xf>
    <xf numFmtId="1" fontId="69" fillId="0" borderId="0" xfId="51" applyNumberFormat="1" applyFont="1" applyBorder="1" applyAlignment="1">
      <alignment horizontal="right"/>
    </xf>
    <xf numFmtId="37" fontId="65" fillId="0" borderId="0" xfId="0" applyNumberFormat="1" applyFont="1" applyAlignment="1">
      <alignment horizontal="right"/>
    </xf>
    <xf numFmtId="0" fontId="72" fillId="17" borderId="0" xfId="0" applyFont="1" applyFill="1" applyBorder="1" applyAlignment="1"/>
    <xf numFmtId="3" fontId="72" fillId="17" borderId="0" xfId="0" applyNumberFormat="1" applyFont="1" applyFill="1" applyAlignment="1">
      <alignment horizontal="right"/>
    </xf>
    <xf numFmtId="3" fontId="73" fillId="17" borderId="0" xfId="0" applyNumberFormat="1" applyFont="1" applyFill="1" applyAlignment="1">
      <alignment horizontal="right"/>
    </xf>
    <xf numFmtId="1" fontId="73" fillId="17" borderId="0" xfId="0" applyNumberFormat="1" applyFont="1" applyFill="1" applyAlignment="1">
      <alignment horizontal="right"/>
    </xf>
    <xf numFmtId="4" fontId="68" fillId="0" borderId="0" xfId="0" applyNumberFormat="1" applyFont="1" applyAlignment="1">
      <alignment horizontal="right"/>
    </xf>
    <xf numFmtId="3" fontId="68" fillId="0" borderId="0" xfId="0" applyNumberFormat="1" applyFont="1" applyAlignment="1">
      <alignment horizontal="right"/>
    </xf>
    <xf numFmtId="39" fontId="65" fillId="0" borderId="0" xfId="0" applyNumberFormat="1" applyFont="1" applyAlignment="1">
      <alignment horizontal="right"/>
    </xf>
    <xf numFmtId="37" fontId="66" fillId="0" borderId="0" xfId="0" applyNumberFormat="1" applyFont="1" applyAlignment="1">
      <alignment horizontal="right"/>
    </xf>
    <xf numFmtId="39" fontId="65" fillId="0" borderId="0" xfId="51" applyNumberFormat="1" applyFont="1" applyFill="1" applyBorder="1" applyAlignment="1">
      <alignment horizontal="right"/>
    </xf>
    <xf numFmtId="3" fontId="73" fillId="17" borderId="0" xfId="0" applyNumberFormat="1" applyFont="1" applyFill="1" applyBorder="1" applyAlignment="1">
      <alignment horizontal="right"/>
    </xf>
    <xf numFmtId="168" fontId="72" fillId="17" borderId="0" xfId="0" applyNumberFormat="1" applyFont="1" applyFill="1" applyBorder="1" applyAlignment="1"/>
    <xf numFmtId="1" fontId="73" fillId="17" borderId="0" xfId="0" applyNumberFormat="1" applyFont="1" applyFill="1" applyBorder="1" applyAlignment="1">
      <alignment horizontal="right"/>
    </xf>
    <xf numFmtId="1" fontId="72" fillId="17" borderId="0" xfId="0" applyNumberFormat="1" applyFont="1" applyFill="1" applyBorder="1" applyAlignment="1"/>
    <xf numFmtId="1" fontId="73" fillId="17" borderId="0" xfId="0" applyNumberFormat="1" applyFont="1" applyFill="1" applyBorder="1" applyAlignment="1"/>
    <xf numFmtId="168" fontId="65" fillId="0" borderId="0" xfId="0" applyNumberFormat="1" applyFont="1" applyAlignment="1">
      <alignment horizontal="right"/>
    </xf>
    <xf numFmtId="4" fontId="65" fillId="0" borderId="0" xfId="0" applyNumberFormat="1" applyFont="1" applyAlignment="1">
      <alignment horizontal="right"/>
    </xf>
    <xf numFmtId="0" fontId="65" fillId="0" borderId="0" xfId="0" applyFont="1" applyFill="1" applyBorder="1"/>
    <xf numFmtId="0" fontId="66" fillId="0" borderId="0" xfId="0" applyNumberFormat="1" applyFont="1" applyFill="1" applyBorder="1" applyAlignment="1">
      <alignment vertical="center"/>
    </xf>
    <xf numFmtId="3" fontId="66" fillId="0" borderId="0" xfId="0" applyNumberFormat="1" applyFont="1" applyFill="1" applyBorder="1" applyAlignment="1">
      <alignment horizontal="right" vertical="center"/>
    </xf>
    <xf numFmtId="3" fontId="72" fillId="17" borderId="0" xfId="0" applyNumberFormat="1" applyFont="1" applyFill="1" applyBorder="1" applyAlignment="1">
      <alignment horizontal="right"/>
    </xf>
    <xf numFmtId="168" fontId="65" fillId="0" borderId="0" xfId="0" applyNumberFormat="1" applyFont="1" applyFill="1" applyBorder="1"/>
    <xf numFmtId="1" fontId="69" fillId="0" borderId="0" xfId="0" applyNumberFormat="1" applyFont="1" applyFill="1" applyBorder="1"/>
    <xf numFmtId="3" fontId="65" fillId="0" borderId="0" xfId="0" applyNumberFormat="1" applyFont="1" applyFill="1" applyBorder="1"/>
    <xf numFmtId="1" fontId="69" fillId="0" borderId="0" xfId="51" applyNumberFormat="1" applyFont="1" applyFill="1" applyBorder="1"/>
    <xf numFmtId="2" fontId="65" fillId="0" borderId="0" xfId="0" applyNumberFormat="1" applyFont="1" applyFill="1" applyBorder="1"/>
    <xf numFmtId="171" fontId="66" fillId="0" borderId="0" xfId="0" applyNumberFormat="1" applyFont="1" applyFill="1" applyBorder="1" applyAlignment="1">
      <alignment vertical="center"/>
    </xf>
    <xf numFmtId="171" fontId="69" fillId="0" borderId="0" xfId="0" applyNumberFormat="1" applyFont="1" applyFill="1" applyBorder="1" applyAlignment="1">
      <alignment vertical="center"/>
    </xf>
    <xf numFmtId="1" fontId="69" fillId="0" borderId="0" xfId="0" applyNumberFormat="1" applyFont="1" applyFill="1" applyBorder="1" applyAlignment="1">
      <alignment vertical="center"/>
    </xf>
    <xf numFmtId="172" fontId="65" fillId="0" borderId="0" xfId="0" applyNumberFormat="1" applyFont="1" applyBorder="1" applyAlignment="1">
      <alignment horizontal="right"/>
    </xf>
    <xf numFmtId="172" fontId="66" fillId="0" borderId="0" xfId="0" applyNumberFormat="1" applyFont="1" applyFill="1" applyBorder="1" applyAlignment="1">
      <alignment horizontal="right" vertical="center"/>
    </xf>
    <xf numFmtId="172" fontId="72" fillId="17" borderId="0" xfId="0" applyNumberFormat="1" applyFont="1" applyFill="1" applyBorder="1" applyAlignment="1">
      <alignment horizontal="right"/>
    </xf>
    <xf numFmtId="172" fontId="72" fillId="17" borderId="0" xfId="51" applyNumberFormat="1" applyFont="1" applyFill="1" applyAlignment="1">
      <alignment horizontal="right"/>
    </xf>
    <xf numFmtId="167" fontId="72" fillId="17" borderId="0" xfId="0" applyNumberFormat="1" applyFont="1" applyFill="1" applyBorder="1" applyAlignment="1">
      <alignment horizontal="right"/>
    </xf>
    <xf numFmtId="170" fontId="65" fillId="0" borderId="0" xfId="0" applyNumberFormat="1" applyFont="1" applyFill="1" applyBorder="1" applyAlignment="1">
      <alignment horizontal="right"/>
    </xf>
    <xf numFmtId="0" fontId="75" fillId="0" borderId="0" xfId="0" applyNumberFormat="1" applyFont="1"/>
    <xf numFmtId="0" fontId="75" fillId="24" borderId="0" xfId="0" applyNumberFormat="1" applyFont="1" applyFill="1"/>
    <xf numFmtId="0" fontId="65" fillId="24" borderId="0" xfId="0" applyFont="1" applyFill="1" applyAlignment="1">
      <alignment horizontal="right"/>
    </xf>
    <xf numFmtId="1" fontId="69" fillId="24" borderId="0" xfId="0" applyNumberFormat="1" applyFont="1" applyFill="1" applyAlignment="1">
      <alignment horizontal="right"/>
    </xf>
    <xf numFmtId="0" fontId="65" fillId="24" borderId="0" xfId="0" applyFont="1" applyFill="1"/>
    <xf numFmtId="0" fontId="71" fillId="24" borderId="0" xfId="0" applyNumberFormat="1" applyFont="1" applyFill="1" applyBorder="1"/>
    <xf numFmtId="0" fontId="65" fillId="24" borderId="0" xfId="0" applyFont="1" applyFill="1" applyBorder="1" applyAlignment="1">
      <alignment horizontal="right"/>
    </xf>
    <xf numFmtId="1" fontId="69" fillId="24" borderId="0" xfId="0" applyNumberFormat="1" applyFont="1" applyFill="1" applyBorder="1" applyAlignment="1">
      <alignment horizontal="right"/>
    </xf>
    <xf numFmtId="167" fontId="65" fillId="24" borderId="0" xfId="0" applyNumberFormat="1" applyFont="1" applyFill="1" applyBorder="1" applyAlignment="1">
      <alignment horizontal="right"/>
    </xf>
    <xf numFmtId="0" fontId="65" fillId="24" borderId="0" xfId="0" applyFont="1" applyFill="1" applyBorder="1"/>
    <xf numFmtId="0" fontId="65" fillId="24" borderId="0" xfId="0" applyNumberFormat="1" applyFont="1" applyFill="1" applyBorder="1"/>
    <xf numFmtId="0" fontId="65" fillId="24" borderId="0" xfId="0" applyNumberFormat="1" applyFont="1" applyFill="1" applyBorder="1" applyAlignment="1">
      <alignment horizontal="right"/>
    </xf>
    <xf numFmtId="0" fontId="65" fillId="24" borderId="11" xfId="0" applyNumberFormat="1" applyFont="1" applyFill="1" applyBorder="1"/>
    <xf numFmtId="167" fontId="65" fillId="24" borderId="11" xfId="0" applyNumberFormat="1" applyFont="1" applyFill="1" applyBorder="1" applyAlignment="1">
      <alignment horizontal="right"/>
    </xf>
    <xf numFmtId="1" fontId="69" fillId="24" borderId="11" xfId="0" applyNumberFormat="1" applyFont="1" applyFill="1" applyBorder="1" applyAlignment="1">
      <alignment horizontal="right"/>
    </xf>
    <xf numFmtId="0" fontId="65" fillId="24" borderId="11" xfId="0" applyNumberFormat="1" applyFont="1" applyFill="1" applyBorder="1" applyAlignment="1">
      <alignment horizontal="right"/>
    </xf>
    <xf numFmtId="1" fontId="65" fillId="24" borderId="11" xfId="0" applyNumberFormat="1" applyFont="1" applyFill="1" applyBorder="1" applyAlignment="1">
      <alignment horizontal="right"/>
    </xf>
    <xf numFmtId="1" fontId="65" fillId="24" borderId="0" xfId="0" applyNumberFormat="1" applyFont="1" applyFill="1" applyBorder="1" applyAlignment="1">
      <alignment horizontal="right"/>
    </xf>
    <xf numFmtId="0" fontId="66" fillId="24" borderId="0" xfId="0" applyNumberFormat="1" applyFont="1" applyFill="1" applyBorder="1"/>
    <xf numFmtId="3" fontId="65" fillId="24" borderId="0" xfId="0" applyNumberFormat="1" applyFont="1" applyFill="1" applyBorder="1" applyAlignment="1">
      <alignment horizontal="right"/>
    </xf>
    <xf numFmtId="3" fontId="69" fillId="24" borderId="0" xfId="0" applyNumberFormat="1" applyFont="1" applyFill="1" applyBorder="1" applyAlignment="1">
      <alignment horizontal="right"/>
    </xf>
    <xf numFmtId="3" fontId="65" fillId="24" borderId="0" xfId="51" applyNumberFormat="1" applyFont="1" applyFill="1" applyBorder="1" applyAlignment="1">
      <alignment horizontal="right"/>
    </xf>
    <xf numFmtId="0" fontId="65" fillId="24" borderId="0" xfId="0" applyNumberFormat="1" applyFont="1" applyFill="1" applyBorder="1" applyAlignment="1">
      <alignment horizontal="left" indent="1"/>
    </xf>
    <xf numFmtId="0" fontId="65" fillId="24" borderId="0" xfId="0" applyNumberFormat="1" applyFont="1" applyFill="1" applyBorder="1" applyAlignment="1"/>
    <xf numFmtId="4" fontId="65" fillId="24" borderId="0" xfId="0" applyNumberFormat="1" applyFont="1" applyFill="1" applyBorder="1" applyAlignment="1">
      <alignment horizontal="right"/>
    </xf>
    <xf numFmtId="165" fontId="65" fillId="24" borderId="0" xfId="0" applyNumberFormat="1" applyFont="1" applyFill="1" applyBorder="1" applyAlignment="1">
      <alignment horizontal="right"/>
    </xf>
    <xf numFmtId="37" fontId="65" fillId="24" borderId="0" xfId="0" applyNumberFormat="1" applyFont="1" applyFill="1" applyBorder="1" applyAlignment="1">
      <alignment horizontal="right"/>
    </xf>
    <xf numFmtId="165" fontId="65" fillId="24" borderId="0" xfId="51" applyNumberFormat="1" applyFont="1" applyFill="1" applyBorder="1" applyAlignment="1">
      <alignment horizontal="right"/>
    </xf>
    <xf numFmtId="3" fontId="66" fillId="24" borderId="0" xfId="0" applyNumberFormat="1" applyFont="1" applyFill="1" applyBorder="1" applyAlignment="1">
      <alignment horizontal="right"/>
    </xf>
    <xf numFmtId="37" fontId="66" fillId="24" borderId="0" xfId="0" applyNumberFormat="1" applyFont="1" applyFill="1" applyBorder="1" applyAlignment="1">
      <alignment horizontal="right"/>
    </xf>
    <xf numFmtId="0" fontId="66" fillId="24" borderId="0" xfId="0" applyFont="1" applyFill="1"/>
    <xf numFmtId="174" fontId="65" fillId="24" borderId="0" xfId="0" applyNumberFormat="1" applyFont="1" applyFill="1" applyBorder="1" applyAlignment="1">
      <alignment horizontal="right"/>
    </xf>
    <xf numFmtId="174" fontId="65" fillId="24" borderId="0" xfId="51" applyNumberFormat="1" applyFont="1" applyFill="1" applyBorder="1" applyAlignment="1">
      <alignment horizontal="right"/>
    </xf>
    <xf numFmtId="174" fontId="69" fillId="24" borderId="0" xfId="0" applyNumberFormat="1" applyFont="1" applyFill="1" applyBorder="1" applyAlignment="1">
      <alignment horizontal="right"/>
    </xf>
    <xf numFmtId="0" fontId="68" fillId="24" borderId="0" xfId="0" applyNumberFormat="1" applyFont="1" applyFill="1" applyBorder="1"/>
    <xf numFmtId="4" fontId="68" fillId="24" borderId="0" xfId="0" applyNumberFormat="1" applyFont="1" applyFill="1" applyBorder="1" applyAlignment="1">
      <alignment horizontal="right"/>
    </xf>
    <xf numFmtId="3" fontId="68" fillId="24" borderId="0" xfId="0" applyNumberFormat="1" applyFont="1" applyFill="1" applyBorder="1" applyAlignment="1">
      <alignment horizontal="right"/>
    </xf>
    <xf numFmtId="174" fontId="68" fillId="24" borderId="0" xfId="0" applyNumberFormat="1" applyFont="1" applyFill="1" applyBorder="1" applyAlignment="1">
      <alignment horizontal="right"/>
    </xf>
    <xf numFmtId="3" fontId="68" fillId="24" borderId="0" xfId="51" applyNumberFormat="1" applyFont="1" applyFill="1" applyBorder="1" applyAlignment="1">
      <alignment horizontal="right"/>
    </xf>
    <xf numFmtId="4" fontId="70" fillId="24" borderId="0" xfId="0" applyNumberFormat="1" applyFont="1" applyFill="1" applyBorder="1" applyAlignment="1">
      <alignment horizontal="right"/>
    </xf>
    <xf numFmtId="3" fontId="74" fillId="24" borderId="0" xfId="0" applyNumberFormat="1" applyFont="1" applyFill="1" applyBorder="1" applyAlignment="1">
      <alignment horizontal="right"/>
    </xf>
    <xf numFmtId="1" fontId="74" fillId="24" borderId="0" xfId="0" applyNumberFormat="1" applyFont="1" applyFill="1" applyBorder="1" applyAlignment="1">
      <alignment horizontal="right"/>
    </xf>
    <xf numFmtId="3" fontId="70" fillId="24" borderId="0" xfId="0" applyNumberFormat="1" applyFont="1" applyFill="1" applyBorder="1" applyAlignment="1">
      <alignment horizontal="right"/>
    </xf>
    <xf numFmtId="43" fontId="65" fillId="24" borderId="0" xfId="51" applyFont="1" applyFill="1" applyBorder="1" applyAlignment="1">
      <alignment horizontal="right"/>
    </xf>
    <xf numFmtId="4" fontId="66" fillId="24" borderId="0" xfId="0" applyNumberFormat="1" applyFont="1" applyFill="1" applyBorder="1" applyAlignment="1">
      <alignment horizontal="right"/>
    </xf>
    <xf numFmtId="3" fontId="66" fillId="24" borderId="0" xfId="0" applyNumberFormat="1" applyFont="1" applyFill="1" applyBorder="1"/>
    <xf numFmtId="0" fontId="65" fillId="24" borderId="0" xfId="0" applyFont="1" applyFill="1" applyBorder="1" applyAlignment="1"/>
    <xf numFmtId="181" fontId="65" fillId="24" borderId="0" xfId="0" applyNumberFormat="1" applyFont="1" applyFill="1" applyBorder="1" applyAlignment="1">
      <alignment horizontal="right"/>
    </xf>
    <xf numFmtId="0" fontId="66" fillId="24" borderId="0" xfId="0" applyFont="1" applyFill="1" applyBorder="1" applyAlignment="1"/>
    <xf numFmtId="167" fontId="69" fillId="24" borderId="0" xfId="0" applyNumberFormat="1" applyFont="1" applyFill="1" applyBorder="1" applyAlignment="1">
      <alignment horizontal="right"/>
    </xf>
    <xf numFmtId="174" fontId="65" fillId="24" borderId="0" xfId="0" applyNumberFormat="1" applyFont="1" applyFill="1" applyAlignment="1">
      <alignment horizontal="right"/>
    </xf>
    <xf numFmtId="3" fontId="69" fillId="24" borderId="0" xfId="0" applyNumberFormat="1" applyFont="1" applyFill="1" applyAlignment="1">
      <alignment horizontal="right"/>
    </xf>
    <xf numFmtId="0" fontId="69" fillId="24" borderId="0" xfId="0" applyNumberFormat="1" applyFont="1" applyFill="1" applyBorder="1" applyAlignment="1">
      <alignment vertical="center"/>
    </xf>
    <xf numFmtId="3" fontId="65" fillId="24" borderId="0" xfId="0" applyNumberFormat="1" applyFont="1" applyFill="1" applyAlignment="1">
      <alignment horizontal="right"/>
    </xf>
    <xf numFmtId="1" fontId="68" fillId="24" borderId="0" xfId="0" applyNumberFormat="1" applyFont="1" applyFill="1" applyBorder="1" applyAlignment="1">
      <alignment horizontal="right"/>
    </xf>
    <xf numFmtId="0" fontId="68" fillId="24" borderId="0" xfId="0" applyFont="1" applyFill="1"/>
    <xf numFmtId="0" fontId="64" fillId="24" borderId="12" xfId="0" applyNumberFormat="1" applyFont="1" applyFill="1" applyBorder="1"/>
    <xf numFmtId="167" fontId="65" fillId="24" borderId="12" xfId="0" applyNumberFormat="1" applyFont="1" applyFill="1" applyBorder="1" applyAlignment="1">
      <alignment horizontal="right"/>
    </xf>
    <xf numFmtId="1" fontId="69" fillId="24" borderId="12" xfId="0" applyNumberFormat="1" applyFont="1" applyFill="1" applyBorder="1" applyAlignment="1">
      <alignment horizontal="right"/>
    </xf>
    <xf numFmtId="165" fontId="65" fillId="24" borderId="0" xfId="0" applyNumberFormat="1" applyFont="1" applyFill="1" applyAlignment="1">
      <alignment horizontal="right"/>
    </xf>
    <xf numFmtId="3" fontId="66" fillId="24" borderId="0" xfId="0" applyNumberFormat="1" applyFont="1" applyFill="1" applyAlignment="1">
      <alignment horizontal="right"/>
    </xf>
    <xf numFmtId="165" fontId="66" fillId="24" borderId="0" xfId="51" applyNumberFormat="1" applyFont="1" applyFill="1" applyBorder="1" applyAlignment="1">
      <alignment horizontal="right"/>
    </xf>
    <xf numFmtId="165" fontId="69" fillId="24" borderId="0" xfId="0" applyNumberFormat="1" applyFont="1" applyFill="1" applyAlignment="1">
      <alignment horizontal="right"/>
    </xf>
    <xf numFmtId="3" fontId="69" fillId="24" borderId="0" xfId="51" applyNumberFormat="1" applyFont="1" applyFill="1" applyBorder="1" applyAlignment="1">
      <alignment horizontal="right"/>
    </xf>
    <xf numFmtId="1" fontId="69" fillId="24" borderId="0" xfId="51" applyNumberFormat="1" applyFont="1" applyFill="1" applyBorder="1" applyAlignment="1">
      <alignment horizontal="right"/>
    </xf>
    <xf numFmtId="37" fontId="65" fillId="24" borderId="0" xfId="0" applyNumberFormat="1" applyFont="1" applyFill="1" applyAlignment="1">
      <alignment horizontal="right"/>
    </xf>
    <xf numFmtId="39" fontId="65" fillId="24" borderId="0" xfId="0" applyNumberFormat="1" applyFont="1" applyFill="1" applyBorder="1" applyAlignment="1">
      <alignment horizontal="right"/>
    </xf>
    <xf numFmtId="39" fontId="65" fillId="24" borderId="0" xfId="0" applyNumberFormat="1" applyFont="1" applyFill="1" applyAlignment="1">
      <alignment horizontal="right"/>
    </xf>
    <xf numFmtId="0" fontId="66" fillId="22" borderId="0" xfId="0" applyFont="1" applyFill="1" applyBorder="1" applyAlignment="1"/>
    <xf numFmtId="4" fontId="66" fillId="22" borderId="0" xfId="0" applyNumberFormat="1" applyFont="1" applyFill="1" applyAlignment="1">
      <alignment horizontal="right"/>
    </xf>
    <xf numFmtId="3" fontId="76" fillId="22" borderId="0" xfId="0" applyNumberFormat="1" applyFont="1" applyFill="1" applyAlignment="1">
      <alignment horizontal="right"/>
    </xf>
    <xf numFmtId="39" fontId="66" fillId="22" borderId="0" xfId="0" applyNumberFormat="1" applyFont="1" applyFill="1" applyAlignment="1">
      <alignment horizontal="right"/>
    </xf>
    <xf numFmtId="43" fontId="66" fillId="22" borderId="0" xfId="51" applyFont="1" applyFill="1" applyAlignment="1">
      <alignment horizontal="right"/>
    </xf>
    <xf numFmtId="0" fontId="66" fillId="22" borderId="0" xfId="0" applyFont="1" applyFill="1"/>
    <xf numFmtId="0" fontId="75" fillId="24" borderId="0" xfId="0" applyNumberFormat="1" applyFont="1" applyFill="1" applyBorder="1"/>
    <xf numFmtId="167" fontId="69" fillId="24" borderId="12" xfId="0" applyNumberFormat="1" applyFont="1" applyFill="1" applyBorder="1" applyAlignment="1">
      <alignment horizontal="right"/>
    </xf>
    <xf numFmtId="0" fontId="69" fillId="24" borderId="11" xfId="0" applyNumberFormat="1" applyFont="1" applyFill="1" applyBorder="1" applyAlignment="1">
      <alignment horizontal="right"/>
    </xf>
    <xf numFmtId="37" fontId="66" fillId="24" borderId="0" xfId="0" applyNumberFormat="1" applyFont="1" applyFill="1" applyAlignment="1">
      <alignment horizontal="right"/>
    </xf>
    <xf numFmtId="4" fontId="68" fillId="24" borderId="0" xfId="0" applyNumberFormat="1" applyFont="1" applyFill="1" applyAlignment="1">
      <alignment horizontal="right"/>
    </xf>
    <xf numFmtId="3" fontId="68" fillId="24" borderId="0" xfId="0" applyNumberFormat="1" applyFont="1" applyFill="1" applyAlignment="1">
      <alignment horizontal="right"/>
    </xf>
    <xf numFmtId="174" fontId="68" fillId="24" borderId="0" xfId="0" applyNumberFormat="1" applyFont="1" applyFill="1" applyAlignment="1">
      <alignment horizontal="right"/>
    </xf>
    <xf numFmtId="4" fontId="65" fillId="24" borderId="0" xfId="0" applyNumberFormat="1" applyFont="1" applyFill="1" applyAlignment="1">
      <alignment horizontal="right"/>
    </xf>
    <xf numFmtId="4" fontId="70" fillId="24" borderId="0" xfId="0" applyNumberFormat="1" applyFont="1" applyFill="1" applyAlignment="1">
      <alignment horizontal="right"/>
    </xf>
    <xf numFmtId="3" fontId="74" fillId="24" borderId="0" xfId="0" applyNumberFormat="1" applyFont="1" applyFill="1" applyAlignment="1">
      <alignment horizontal="right"/>
    </xf>
    <xf numFmtId="181" fontId="65" fillId="24" borderId="0" xfId="0" applyNumberFormat="1" applyFont="1" applyFill="1" applyAlignment="1">
      <alignment horizontal="right"/>
    </xf>
    <xf numFmtId="3" fontId="69" fillId="24" borderId="0" xfId="51" applyNumberFormat="1" applyFont="1" applyFill="1" applyAlignment="1">
      <alignment horizontal="right"/>
    </xf>
    <xf numFmtId="0" fontId="77" fillId="25" borderId="0" xfId="0" applyFont="1" applyFill="1" applyBorder="1" applyAlignment="1"/>
    <xf numFmtId="4" fontId="77" fillId="25" borderId="0" xfId="0" applyNumberFormat="1" applyFont="1" applyFill="1" applyAlignment="1">
      <alignment horizontal="right"/>
    </xf>
    <xf numFmtId="3" fontId="78" fillId="25" borderId="0" xfId="0" applyNumberFormat="1" applyFont="1" applyFill="1" applyAlignment="1">
      <alignment horizontal="right"/>
    </xf>
    <xf numFmtId="39" fontId="77" fillId="25" borderId="0" xfId="0" applyNumberFormat="1" applyFont="1" applyFill="1" applyAlignment="1">
      <alignment horizontal="right"/>
    </xf>
    <xf numFmtId="43" fontId="77" fillId="25" borderId="0" xfId="51" applyFont="1" applyFill="1" applyAlignment="1">
      <alignment horizontal="right"/>
    </xf>
    <xf numFmtId="43" fontId="77" fillId="25" borderId="0" xfId="51" applyFont="1" applyFill="1" applyBorder="1" applyAlignment="1">
      <alignment horizontal="right"/>
    </xf>
    <xf numFmtId="0" fontId="77" fillId="25" borderId="0" xfId="0" applyFont="1" applyFill="1"/>
    <xf numFmtId="171" fontId="63" fillId="0" borderId="0" xfId="51" applyNumberFormat="1" applyFont="1" applyFill="1" applyBorder="1" applyAlignment="1">
      <alignment horizontal="right"/>
    </xf>
    <xf numFmtId="1" fontId="19" fillId="23" borderId="0" xfId="0" applyNumberFormat="1" applyFont="1" applyFill="1" applyAlignment="1">
      <alignment horizontal="right"/>
    </xf>
    <xf numFmtId="43" fontId="16" fillId="0" borderId="0" xfId="0" applyNumberFormat="1" applyFont="1" applyFill="1" applyAlignment="1">
      <alignment horizontal="right"/>
    </xf>
    <xf numFmtId="0" fontId="14" fillId="24" borderId="11" xfId="0" applyFont="1" applyFill="1" applyBorder="1"/>
    <xf numFmtId="0" fontId="13" fillId="24" borderId="11" xfId="0" applyFont="1" applyFill="1" applyBorder="1" applyAlignment="1">
      <alignment horizontal="right"/>
    </xf>
    <xf numFmtId="0" fontId="14" fillId="24" borderId="0" xfId="0" applyFont="1" applyFill="1"/>
    <xf numFmtId="0" fontId="13" fillId="24" borderId="0" xfId="0" applyFont="1" applyFill="1"/>
    <xf numFmtId="0" fontId="62" fillId="23" borderId="0" xfId="0" applyFont="1" applyFill="1"/>
    <xf numFmtId="0" fontId="14" fillId="23" borderId="0" xfId="0" applyFont="1" applyFill="1"/>
    <xf numFmtId="0" fontId="13" fillId="27" borderId="0" xfId="0" applyFont="1" applyFill="1"/>
    <xf numFmtId="0" fontId="14" fillId="27" borderId="0" xfId="0" applyFont="1" applyFill="1"/>
    <xf numFmtId="0" fontId="81" fillId="0" borderId="0" xfId="0" applyFont="1"/>
    <xf numFmtId="172" fontId="81" fillId="0" borderId="0" xfId="51" applyNumberFormat="1" applyFont="1"/>
    <xf numFmtId="8" fontId="13" fillId="0" borderId="0" xfId="0" applyNumberFormat="1" applyFont="1" applyFill="1"/>
    <xf numFmtId="166" fontId="14" fillId="0" borderId="0" xfId="0" applyNumberFormat="1" applyFont="1" applyBorder="1"/>
    <xf numFmtId="3" fontId="19" fillId="20" borderId="0" xfId="0" applyNumberFormat="1" applyFont="1" applyFill="1" applyBorder="1" applyAlignment="1">
      <alignment horizontal="right"/>
    </xf>
    <xf numFmtId="172" fontId="14" fillId="20" borderId="0" xfId="51" applyNumberFormat="1" applyFont="1" applyFill="1"/>
    <xf numFmtId="0" fontId="81" fillId="0" borderId="0" xfId="0" applyFont="1" applyFill="1" applyAlignment="1">
      <alignment horizontal="right"/>
    </xf>
    <xf numFmtId="0" fontId="81" fillId="0" borderId="0" xfId="0" quotePrefix="1" applyFont="1" applyFill="1" applyAlignment="1">
      <alignment horizontal="right"/>
    </xf>
    <xf numFmtId="9" fontId="81" fillId="0" borderId="0" xfId="81" applyFont="1" applyFill="1" applyBorder="1" applyAlignment="1">
      <alignment horizontal="right"/>
    </xf>
    <xf numFmtId="0" fontId="81" fillId="0" borderId="0" xfId="0" applyFont="1" applyAlignment="1">
      <alignment horizontal="right"/>
    </xf>
    <xf numFmtId="9" fontId="81" fillId="0" borderId="0" xfId="0" applyNumberFormat="1" applyFont="1" applyAlignment="1">
      <alignment horizontal="right"/>
    </xf>
    <xf numFmtId="9" fontId="81" fillId="0" borderId="0" xfId="0" applyNumberFormat="1" applyFont="1" applyFill="1" applyAlignment="1">
      <alignment horizontal="right"/>
    </xf>
    <xf numFmtId="170" fontId="81" fillId="0" borderId="0" xfId="0" applyNumberFormat="1" applyFont="1" applyFill="1" applyBorder="1" applyAlignment="1">
      <alignment horizontal="right"/>
    </xf>
    <xf numFmtId="0" fontId="14" fillId="24" borderId="0" xfId="0" applyFont="1" applyFill="1" applyAlignment="1">
      <alignment horizontal="left" indent="1"/>
    </xf>
    <xf numFmtId="3" fontId="14" fillId="24" borderId="0" xfId="0" applyNumberFormat="1" applyFont="1" applyFill="1"/>
    <xf numFmtId="174" fontId="14" fillId="0" borderId="0" xfId="0" applyNumberFormat="1" applyFont="1"/>
    <xf numFmtId="3" fontId="14" fillId="0" borderId="0" xfId="0" applyNumberFormat="1" applyFont="1"/>
    <xf numFmtId="174" fontId="14" fillId="24" borderId="0" xfId="0" applyNumberFormat="1" applyFont="1" applyFill="1"/>
    <xf numFmtId="4" fontId="14" fillId="0" borderId="0" xfId="0" applyNumberFormat="1" applyFont="1"/>
    <xf numFmtId="3" fontId="13" fillId="24" borderId="0" xfId="0" applyNumberFormat="1" applyFont="1" applyFill="1"/>
    <xf numFmtId="174" fontId="13" fillId="24" borderId="0" xfId="0" applyNumberFormat="1" applyFont="1" applyFill="1"/>
    <xf numFmtId="3" fontId="81" fillId="24" borderId="0" xfId="0" applyNumberFormat="1" applyFont="1" applyFill="1"/>
    <xf numFmtId="174" fontId="81" fillId="0" borderId="0" xfId="0" applyNumberFormat="1" applyFont="1" applyFill="1"/>
    <xf numFmtId="0" fontId="83" fillId="28" borderId="0" xfId="0" applyFont="1" applyFill="1"/>
    <xf numFmtId="8" fontId="83" fillId="28" borderId="0" xfId="0" applyNumberFormat="1" applyFont="1" applyFill="1"/>
    <xf numFmtId="174" fontId="83" fillId="28" borderId="0" xfId="0" applyNumberFormat="1" applyFont="1" applyFill="1"/>
    <xf numFmtId="3" fontId="83" fillId="28" borderId="0" xfId="0" applyNumberFormat="1" applyFont="1" applyFill="1"/>
    <xf numFmtId="4" fontId="13" fillId="24" borderId="0" xfId="0" applyNumberFormat="1" applyFont="1" applyFill="1"/>
    <xf numFmtId="3" fontId="13" fillId="0" borderId="0" xfId="0" quotePrefix="1" applyNumberFormat="1" applyFont="1" applyFill="1" applyAlignment="1">
      <alignment horizontal="right"/>
    </xf>
    <xf numFmtId="3" fontId="13" fillId="0" borderId="11" xfId="0" applyNumberFormat="1" applyFont="1" applyBorder="1" applyAlignment="1">
      <alignment horizontal="right"/>
    </xf>
    <xf numFmtId="3" fontId="13" fillId="0" borderId="11" xfId="0" applyNumberFormat="1" applyFont="1" applyFill="1" applyBorder="1" applyAlignment="1">
      <alignment horizontal="right"/>
    </xf>
    <xf numFmtId="174" fontId="13" fillId="0" borderId="0" xfId="0" applyNumberFormat="1" applyFont="1"/>
    <xf numFmtId="4" fontId="13" fillId="0" borderId="0" xfId="0" applyNumberFormat="1" applyFont="1"/>
    <xf numFmtId="3" fontId="13" fillId="27" borderId="0" xfId="0" applyNumberFormat="1" applyFont="1" applyFill="1"/>
    <xf numFmtId="0" fontId="13" fillId="0" borderId="0" xfId="0" applyFont="1" applyBorder="1" applyAlignment="1">
      <alignment horizontal="right"/>
    </xf>
    <xf numFmtId="174" fontId="14" fillId="0" borderId="0" xfId="0" applyNumberFormat="1" applyFont="1" applyBorder="1"/>
    <xf numFmtId="3" fontId="14" fillId="0" borderId="0" xfId="0" applyNumberFormat="1" applyFont="1" applyBorder="1"/>
    <xf numFmtId="4" fontId="13" fillId="27" borderId="0" xfId="0" applyNumberFormat="1" applyFont="1" applyFill="1"/>
    <xf numFmtId="1" fontId="17" fillId="0" borderId="0" xfId="0" applyNumberFormat="1" applyFont="1" applyFill="1" applyAlignment="1">
      <alignment horizontal="right"/>
    </xf>
    <xf numFmtId="171" fontId="81" fillId="0" borderId="0" xfId="51" applyNumberFormat="1" applyFont="1" applyFill="1" applyBorder="1" applyAlignment="1">
      <alignment horizontal="right"/>
    </xf>
    <xf numFmtId="172" fontId="81" fillId="0" borderId="0" xfId="51" applyNumberFormat="1" applyFont="1" applyFill="1" applyBorder="1"/>
    <xf numFmtId="0" fontId="20" fillId="0" borderId="0" xfId="0" applyFont="1" applyFill="1" applyBorder="1"/>
    <xf numFmtId="0" fontId="15" fillId="0" borderId="0" xfId="0" applyFont="1" applyFill="1" applyBorder="1" applyAlignment="1">
      <alignment horizontal="left"/>
    </xf>
    <xf numFmtId="167" fontId="20" fillId="0" borderId="0" xfId="0" applyNumberFormat="1" applyFont="1" applyFill="1" applyBorder="1" applyAlignment="1">
      <alignment horizontal="left"/>
    </xf>
    <xf numFmtId="167" fontId="20" fillId="0" borderId="0" xfId="0" applyNumberFormat="1" applyFont="1" applyFill="1" applyBorder="1" applyAlignment="1">
      <alignment horizontal="right"/>
    </xf>
    <xf numFmtId="1" fontId="21" fillId="0" borderId="0" xfId="0" applyNumberFormat="1" applyFont="1" applyFill="1" applyBorder="1" applyAlignment="1">
      <alignment horizontal="left"/>
    </xf>
    <xf numFmtId="167" fontId="21" fillId="0" borderId="0" xfId="0" applyNumberFormat="1" applyFont="1" applyFill="1" applyBorder="1" applyAlignment="1">
      <alignment horizontal="right"/>
    </xf>
    <xf numFmtId="37" fontId="13" fillId="0" borderId="0" xfId="0" applyNumberFormat="1" applyFont="1" applyFill="1" applyBorder="1" applyAlignment="1"/>
    <xf numFmtId="1" fontId="19" fillId="0" borderId="0" xfId="0" applyNumberFormat="1" applyFont="1" applyFill="1" applyBorder="1" applyAlignment="1">
      <alignment horizontal="left"/>
    </xf>
    <xf numFmtId="1" fontId="19" fillId="21" borderId="0" xfId="0" applyNumberFormat="1" applyFont="1" applyFill="1" applyBorder="1" applyAlignment="1">
      <alignment horizontal="left"/>
    </xf>
    <xf numFmtId="167" fontId="19" fillId="21" borderId="0" xfId="0" applyNumberFormat="1" applyFont="1" applyFill="1" applyBorder="1" applyAlignment="1">
      <alignment horizontal="right"/>
    </xf>
    <xf numFmtId="37" fontId="19" fillId="0" borderId="0" xfId="0" applyNumberFormat="1" applyFont="1" applyFill="1" applyBorder="1" applyAlignment="1">
      <alignment horizontal="left"/>
    </xf>
    <xf numFmtId="37" fontId="14" fillId="21" borderId="0" xfId="0" applyNumberFormat="1" applyFont="1" applyFill="1" applyBorder="1" applyAlignment="1">
      <alignment horizontal="right"/>
    </xf>
    <xf numFmtId="37" fontId="19" fillId="21" borderId="0" xfId="0" applyNumberFormat="1" applyFont="1" applyFill="1" applyBorder="1" applyAlignment="1">
      <alignment horizontal="left"/>
    </xf>
    <xf numFmtId="0" fontId="84" fillId="0" borderId="0" xfId="0" applyFont="1" applyFill="1" applyBorder="1"/>
    <xf numFmtId="0" fontId="84" fillId="0" borderId="0" xfId="0" applyFont="1" applyFill="1" applyBorder="1" applyAlignment="1">
      <alignment horizontal="left" indent="1"/>
    </xf>
    <xf numFmtId="167" fontId="84" fillId="0" borderId="0" xfId="0" applyNumberFormat="1" applyFont="1" applyFill="1" applyBorder="1" applyAlignment="1">
      <alignment horizontal="left"/>
    </xf>
    <xf numFmtId="167" fontId="84" fillId="0" borderId="0" xfId="0" applyNumberFormat="1" applyFont="1" applyFill="1" applyBorder="1" applyAlignment="1">
      <alignment horizontal="right"/>
    </xf>
    <xf numFmtId="1" fontId="85" fillId="0" borderId="0" xfId="0" applyNumberFormat="1" applyFont="1" applyFill="1" applyBorder="1" applyAlignment="1">
      <alignment horizontal="left"/>
    </xf>
    <xf numFmtId="172" fontId="84" fillId="0" borderId="0" xfId="51" applyNumberFormat="1" applyFont="1" applyFill="1" applyBorder="1"/>
    <xf numFmtId="1" fontId="85" fillId="0" borderId="0" xfId="0" applyNumberFormat="1" applyFont="1" applyFill="1" applyAlignment="1">
      <alignment horizontal="right"/>
    </xf>
    <xf numFmtId="0" fontId="86" fillId="22" borderId="0" xfId="0" applyFont="1" applyFill="1" applyBorder="1"/>
    <xf numFmtId="167" fontId="85" fillId="0" borderId="0" xfId="0" applyNumberFormat="1" applyFont="1" applyFill="1" applyBorder="1" applyAlignment="1">
      <alignment horizontal="right"/>
    </xf>
    <xf numFmtId="37" fontId="17" fillId="0" borderId="0" xfId="0" applyNumberFormat="1" applyFont="1" applyFill="1" applyBorder="1" applyAlignment="1">
      <alignment horizontal="left"/>
    </xf>
    <xf numFmtId="0" fontId="15" fillId="0" borderId="0" xfId="0" applyFont="1" applyFill="1" applyBorder="1"/>
    <xf numFmtId="167" fontId="15" fillId="0" borderId="0" xfId="0" applyNumberFormat="1" applyFont="1" applyFill="1" applyBorder="1" applyAlignment="1">
      <alignment horizontal="left"/>
    </xf>
    <xf numFmtId="1" fontId="87" fillId="0" borderId="0" xfId="0" applyNumberFormat="1" applyFont="1" applyFill="1" applyBorder="1" applyAlignment="1">
      <alignment horizontal="left"/>
    </xf>
    <xf numFmtId="167" fontId="87" fillId="0" borderId="0" xfId="0" applyNumberFormat="1" applyFont="1" applyFill="1" applyBorder="1" applyAlignment="1">
      <alignment horizontal="right"/>
    </xf>
    <xf numFmtId="180" fontId="14" fillId="0" borderId="0" xfId="0" applyNumberFormat="1" applyFont="1" applyFill="1" applyBorder="1" applyAlignment="1">
      <alignment horizontal="right"/>
    </xf>
    <xf numFmtId="180" fontId="14" fillId="0" borderId="0" xfId="51" applyNumberFormat="1" applyFont="1" applyFill="1" applyBorder="1"/>
    <xf numFmtId="180" fontId="90" fillId="0" borderId="0" xfId="51" applyNumberFormat="1" applyFont="1" applyFill="1" applyBorder="1"/>
    <xf numFmtId="37" fontId="13" fillId="0" borderId="0" xfId="0" applyNumberFormat="1" applyFont="1" applyFill="1" applyBorder="1"/>
    <xf numFmtId="37" fontId="14" fillId="0" borderId="0" xfId="51" applyNumberFormat="1" applyFont="1" applyFill="1" applyBorder="1" applyAlignment="1"/>
    <xf numFmtId="172" fontId="13" fillId="0" borderId="0" xfId="0" applyNumberFormat="1" applyFont="1" applyFill="1" applyBorder="1"/>
    <xf numFmtId="179" fontId="13" fillId="0" borderId="0" xfId="0" applyNumberFormat="1" applyFont="1" applyFill="1" applyBorder="1" applyAlignment="1"/>
    <xf numFmtId="172" fontId="14" fillId="0" borderId="0" xfId="51" applyNumberFormat="1" applyFont="1" applyFill="1" applyBorder="1" applyAlignment="1">
      <alignment horizontal="right"/>
    </xf>
    <xf numFmtId="171" fontId="14" fillId="0" borderId="0" xfId="51" applyNumberFormat="1" applyFont="1" applyFill="1" applyBorder="1" applyAlignment="1">
      <alignment horizontal="right"/>
    </xf>
    <xf numFmtId="165" fontId="16" fillId="0" borderId="0" xfId="51" applyNumberFormat="1" applyFont="1" applyFill="1" applyBorder="1" applyAlignment="1">
      <alignment horizontal="right"/>
    </xf>
    <xf numFmtId="172" fontId="16" fillId="0" borderId="0" xfId="51" applyNumberFormat="1" applyFont="1" applyFill="1" applyBorder="1"/>
    <xf numFmtId="167" fontId="13" fillId="0" borderId="14" xfId="0" quotePrefix="1" applyNumberFormat="1" applyFont="1" applyFill="1" applyBorder="1" applyAlignment="1">
      <alignment horizontal="right"/>
    </xf>
    <xf numFmtId="167" fontId="14" fillId="17" borderId="15" xfId="0" applyNumberFormat="1" applyFont="1" applyFill="1" applyBorder="1" applyAlignment="1">
      <alignment horizontal="right"/>
    </xf>
    <xf numFmtId="1" fontId="13" fillId="0" borderId="0" xfId="51" applyNumberFormat="1" applyFont="1" applyFill="1" applyBorder="1"/>
    <xf numFmtId="167" fontId="14" fillId="21" borderId="0" xfId="0" applyNumberFormat="1" applyFont="1" applyFill="1" applyBorder="1" applyAlignment="1">
      <alignment horizontal="right"/>
    </xf>
    <xf numFmtId="41" fontId="18" fillId="20" borderId="0" xfId="0" applyNumberFormat="1" applyFont="1" applyFill="1" applyBorder="1" applyAlignment="1">
      <alignment horizontal="left" indent="1"/>
    </xf>
    <xf numFmtId="37" fontId="21" fillId="0" borderId="0" xfId="0" applyNumberFormat="1" applyFont="1" applyFill="1" applyBorder="1" applyAlignment="1"/>
    <xf numFmtId="37" fontId="20" fillId="0" borderId="0" xfId="0" applyNumberFormat="1" applyFont="1" applyFill="1" applyBorder="1" applyAlignment="1"/>
    <xf numFmtId="37" fontId="13" fillId="22" borderId="0" xfId="0" applyNumberFormat="1" applyFont="1" applyFill="1" applyBorder="1" applyAlignment="1"/>
    <xf numFmtId="37" fontId="19" fillId="0" borderId="0" xfId="0" applyNumberFormat="1" applyFont="1" applyFill="1" applyBorder="1" applyAlignment="1"/>
    <xf numFmtId="37" fontId="13" fillId="0" borderId="0" xfId="51" applyNumberFormat="1" applyFont="1" applyFill="1" applyBorder="1" applyAlignment="1"/>
    <xf numFmtId="37" fontId="14" fillId="22" borderId="0" xfId="0" applyNumberFormat="1" applyFont="1" applyFill="1" applyBorder="1" applyAlignment="1"/>
    <xf numFmtId="37" fontId="90" fillId="0" borderId="0" xfId="0" applyNumberFormat="1" applyFont="1" applyFill="1" applyBorder="1" applyAlignment="1">
      <alignment horizontal="right"/>
    </xf>
    <xf numFmtId="0" fontId="85" fillId="19" borderId="0" xfId="0" applyFont="1" applyFill="1"/>
    <xf numFmtId="172" fontId="84" fillId="0" borderId="0" xfId="51" applyNumberFormat="1" applyFont="1"/>
    <xf numFmtId="1" fontId="13" fillId="0" borderId="0" xfId="72" applyNumberFormat="1" applyFont="1" applyFill="1" applyBorder="1" applyAlignment="1">
      <alignment horizontal="left"/>
    </xf>
    <xf numFmtId="165" fontId="90" fillId="0" borderId="0" xfId="0" applyNumberFormat="1" applyFont="1" applyFill="1" applyBorder="1"/>
    <xf numFmtId="37" fontId="90" fillId="0" borderId="0" xfId="0" applyNumberFormat="1" applyFont="1" applyFill="1" applyBorder="1"/>
    <xf numFmtId="0" fontId="14" fillId="0" borderId="0" xfId="0" applyFont="1" applyBorder="1" applyAlignment="1">
      <alignment horizontal="left" indent="1"/>
    </xf>
    <xf numFmtId="37" fontId="90" fillId="0" borderId="0" xfId="0" applyNumberFormat="1" applyFont="1" applyFill="1" applyBorder="1" applyAlignment="1"/>
    <xf numFmtId="37" fontId="30" fillId="0" borderId="0" xfId="51" applyNumberFormat="1" applyFont="1" applyFill="1" applyBorder="1"/>
    <xf numFmtId="172" fontId="14" fillId="0" borderId="0" xfId="0" applyNumberFormat="1" applyFont="1" applyFill="1" applyBorder="1"/>
    <xf numFmtId="39" fontId="19" fillId="0" borderId="0" xfId="0" applyNumberFormat="1" applyFont="1" applyFill="1" applyAlignment="1">
      <alignment horizontal="right"/>
    </xf>
    <xf numFmtId="39" fontId="14" fillId="22" borderId="0" xfId="0" applyNumberFormat="1" applyFont="1" applyFill="1"/>
    <xf numFmtId="39" fontId="14" fillId="0" borderId="0" xfId="0" applyNumberFormat="1" applyFont="1" applyBorder="1"/>
    <xf numFmtId="39" fontId="14" fillId="0" borderId="0" xfId="0" applyNumberFormat="1" applyFont="1"/>
    <xf numFmtId="39" fontId="19" fillId="0" borderId="0" xfId="0" applyNumberFormat="1" applyFont="1"/>
    <xf numFmtId="39" fontId="14" fillId="0" borderId="0" xfId="0" applyNumberFormat="1" applyFont="1" applyFill="1"/>
    <xf numFmtId="3" fontId="19" fillId="23" borderId="0" xfId="0" applyNumberFormat="1" applyFont="1" applyFill="1" applyBorder="1" applyAlignment="1">
      <alignment horizontal="right"/>
    </xf>
    <xf numFmtId="3" fontId="19" fillId="29" borderId="0" xfId="0" applyNumberFormat="1" applyFont="1" applyFill="1" applyBorder="1" applyAlignment="1">
      <alignment horizontal="right"/>
    </xf>
    <xf numFmtId="1" fontId="19" fillId="29" borderId="0" xfId="0" applyNumberFormat="1" applyFont="1" applyFill="1" applyAlignment="1">
      <alignment horizontal="right"/>
    </xf>
    <xf numFmtId="3" fontId="19" fillId="20" borderId="0" xfId="0" applyNumberFormat="1" applyFont="1" applyFill="1" applyBorder="1"/>
    <xf numFmtId="172" fontId="84" fillId="0" borderId="0" xfId="51" applyNumberFormat="1" applyFont="1" applyFill="1"/>
    <xf numFmtId="180" fontId="90" fillId="0" borderId="0" xfId="0" applyNumberFormat="1" applyFont="1" applyFill="1" applyBorder="1" applyAlignment="1">
      <alignment horizontal="right"/>
    </xf>
    <xf numFmtId="37" fontId="90" fillId="0" borderId="0" xfId="51" applyNumberFormat="1" applyFont="1" applyFill="1" applyBorder="1" applyAlignment="1"/>
    <xf numFmtId="43" fontId="90" fillId="0" borderId="0" xfId="51" applyNumberFormat="1" applyFont="1" applyFill="1" applyBorder="1"/>
    <xf numFmtId="43" fontId="90" fillId="19" borderId="0" xfId="51" applyNumberFormat="1" applyFont="1" applyFill="1" applyBorder="1"/>
    <xf numFmtId="43" fontId="90" fillId="0" borderId="0" xfId="0" applyNumberFormat="1" applyFont="1" applyFill="1"/>
    <xf numFmtId="172" fontId="14" fillId="0" borderId="0" xfId="51" applyNumberFormat="1" applyFont="1" applyFill="1" applyBorder="1"/>
    <xf numFmtId="172" fontId="18" fillId="0" borderId="0" xfId="51" applyNumberFormat="1" applyFont="1" applyFill="1" applyBorder="1"/>
    <xf numFmtId="37" fontId="14" fillId="0" borderId="0" xfId="51" applyNumberFormat="1" applyFont="1" applyFill="1" applyBorder="1"/>
    <xf numFmtId="171" fontId="14" fillId="0" borderId="0" xfId="51" applyNumberFormat="1" applyFont="1" applyFill="1" applyBorder="1"/>
    <xf numFmtId="172" fontId="13" fillId="0" borderId="0" xfId="51" applyNumberFormat="1" applyFont="1" applyFill="1" applyBorder="1"/>
    <xf numFmtId="171" fontId="13" fillId="0" borderId="0" xfId="51" applyNumberFormat="1" applyFont="1" applyFill="1" applyBorder="1"/>
    <xf numFmtId="43" fontId="14" fillId="0" borderId="0" xfId="51" applyNumberFormat="1" applyFont="1" applyFill="1" applyBorder="1"/>
    <xf numFmtId="43" fontId="16" fillId="0" borderId="0" xfId="51" applyNumberFormat="1" applyFont="1" applyFill="1" applyBorder="1"/>
    <xf numFmtId="43" fontId="14" fillId="19" borderId="0" xfId="51" applyNumberFormat="1" applyFont="1" applyFill="1" applyBorder="1"/>
    <xf numFmtId="43" fontId="16" fillId="19" borderId="0" xfId="51" applyNumberFormat="1" applyFont="1" applyFill="1" applyBorder="1"/>
    <xf numFmtId="165" fontId="14" fillId="0" borderId="0" xfId="51" applyNumberFormat="1" applyFont="1" applyFill="1" applyBorder="1"/>
    <xf numFmtId="172" fontId="16" fillId="0" borderId="0" xfId="51" applyNumberFormat="1" applyFont="1" applyFill="1" applyBorder="1" applyAlignment="1">
      <alignment horizontal="right"/>
    </xf>
    <xf numFmtId="43" fontId="14" fillId="0" borderId="0" xfId="51" applyNumberFormat="1" applyFont="1" applyFill="1" applyBorder="1" applyAlignment="1">
      <alignment horizontal="right"/>
    </xf>
    <xf numFmtId="37" fontId="13" fillId="0" borderId="0" xfId="51" applyNumberFormat="1" applyFont="1" applyFill="1" applyBorder="1"/>
    <xf numFmtId="172" fontId="19" fillId="0" borderId="0" xfId="51" applyNumberFormat="1" applyFont="1" applyFill="1" applyBorder="1" applyAlignment="1">
      <alignment horizontal="right"/>
    </xf>
    <xf numFmtId="1" fontId="19" fillId="0" borderId="0" xfId="51" applyNumberFormat="1" applyFont="1" applyFill="1" applyBorder="1" applyAlignment="1">
      <alignment horizontal="right"/>
    </xf>
    <xf numFmtId="171" fontId="13" fillId="19" borderId="0" xfId="51" applyNumberFormat="1" applyFont="1" applyFill="1" applyBorder="1"/>
    <xf numFmtId="172" fontId="13" fillId="0" borderId="0" xfId="51" applyNumberFormat="1" applyFont="1" applyFill="1" applyBorder="1" applyAlignment="1">
      <alignment horizontal="right"/>
    </xf>
    <xf numFmtId="171" fontId="19" fillId="0" borderId="0" xfId="51" applyNumberFormat="1" applyFont="1" applyFill="1" applyBorder="1" applyAlignment="1">
      <alignment horizontal="right"/>
    </xf>
    <xf numFmtId="172" fontId="14" fillId="0" borderId="0" xfId="51" applyNumberFormat="1" applyFont="1"/>
    <xf numFmtId="43" fontId="72" fillId="21" borderId="0" xfId="51" applyFont="1" applyFill="1" applyBorder="1" applyAlignment="1">
      <alignment horizontal="right"/>
    </xf>
    <xf numFmtId="168" fontId="14" fillId="0" borderId="0" xfId="51" applyNumberFormat="1" applyFont="1" applyFill="1" applyBorder="1"/>
    <xf numFmtId="172" fontId="13" fillId="0" borderId="0" xfId="51" applyNumberFormat="1" applyFont="1"/>
    <xf numFmtId="179" fontId="90" fillId="0" borderId="0" xfId="51" applyNumberFormat="1" applyFont="1" applyFill="1" applyBorder="1"/>
    <xf numFmtId="175" fontId="14" fillId="0" borderId="0" xfId="81" applyNumberFormat="1" applyFont="1"/>
    <xf numFmtId="175" fontId="14" fillId="20" borderId="0" xfId="81" applyNumberFormat="1" applyFont="1" applyFill="1" applyBorder="1"/>
    <xf numFmtId="174" fontId="13" fillId="30" borderId="0" xfId="0" applyNumberFormat="1" applyFont="1" applyFill="1"/>
    <xf numFmtId="3" fontId="13" fillId="30" borderId="0" xfId="0" applyNumberFormat="1" applyFont="1" applyFill="1"/>
    <xf numFmtId="0" fontId="13" fillId="30" borderId="0" xfId="0" applyFont="1" applyFill="1"/>
    <xf numFmtId="179" fontId="91" fillId="0" borderId="0" xfId="51" applyNumberFormat="1" applyFont="1" applyFill="1" applyBorder="1"/>
    <xf numFmtId="179" fontId="14" fillId="0" borderId="0" xfId="51" applyNumberFormat="1" applyFont="1" applyFill="1" applyBorder="1"/>
    <xf numFmtId="3" fontId="19" fillId="0" borderId="0" xfId="51" applyNumberFormat="1" applyFont="1" applyFill="1" applyBorder="1" applyAlignment="1">
      <alignment horizontal="right"/>
    </xf>
    <xf numFmtId="179" fontId="13" fillId="0" borderId="0" xfId="51" applyNumberFormat="1" applyFont="1" applyFill="1" applyBorder="1"/>
    <xf numFmtId="171" fontId="13" fillId="0" borderId="0" xfId="51" applyNumberFormat="1" applyFont="1" applyFill="1" applyBorder="1" applyAlignment="1">
      <alignment horizontal="right"/>
    </xf>
    <xf numFmtId="37" fontId="14" fillId="0" borderId="0" xfId="51" applyNumberFormat="1" applyFont="1" applyFill="1" applyBorder="1" applyAlignment="1">
      <alignment horizontal="right"/>
    </xf>
    <xf numFmtId="165" fontId="14" fillId="0" borderId="0" xfId="51" applyNumberFormat="1" applyFont="1" applyFill="1" applyBorder="1" applyAlignment="1">
      <alignment horizontal="right"/>
    </xf>
    <xf numFmtId="43" fontId="13" fillId="0" borderId="0" xfId="51" applyNumberFormat="1" applyFont="1" applyFill="1" applyBorder="1" applyAlignment="1">
      <alignment horizontal="right"/>
    </xf>
    <xf numFmtId="37" fontId="13" fillId="0" borderId="0" xfId="51" applyNumberFormat="1" applyFont="1" applyFill="1" applyBorder="1" applyAlignment="1">
      <alignment horizontal="right"/>
    </xf>
    <xf numFmtId="1" fontId="17" fillId="0" borderId="0" xfId="0" applyNumberFormat="1" applyFont="1" applyFill="1" applyBorder="1" applyAlignment="1">
      <alignment horizontal="right"/>
    </xf>
    <xf numFmtId="1" fontId="17" fillId="0" borderId="0" xfId="72" applyNumberFormat="1" applyFont="1" applyFill="1" applyBorder="1" applyAlignment="1">
      <alignment horizontal="left"/>
    </xf>
    <xf numFmtId="37" fontId="14" fillId="24" borderId="0" xfId="0" applyNumberFormat="1" applyFont="1" applyFill="1" applyBorder="1"/>
    <xf numFmtId="37" fontId="90" fillId="24" borderId="0" xfId="0" applyNumberFormat="1" applyFont="1" applyFill="1" applyBorder="1"/>
    <xf numFmtId="37" fontId="14" fillId="24" borderId="0" xfId="0" applyNumberFormat="1" applyFont="1" applyFill="1"/>
    <xf numFmtId="165" fontId="16" fillId="24" borderId="0" xfId="0" applyNumberFormat="1" applyFont="1" applyFill="1" applyBorder="1"/>
    <xf numFmtId="165" fontId="14" fillId="24" borderId="0" xfId="0" applyNumberFormat="1" applyFont="1" applyFill="1" applyBorder="1" applyAlignment="1">
      <alignment horizontal="right"/>
    </xf>
    <xf numFmtId="176" fontId="16" fillId="24" borderId="0" xfId="0" applyNumberFormat="1" applyFont="1" applyFill="1" applyBorder="1" applyAlignment="1">
      <alignment horizontal="right"/>
    </xf>
    <xf numFmtId="176" fontId="14" fillId="24" borderId="0" xfId="0" applyNumberFormat="1" applyFont="1" applyFill="1" applyBorder="1" applyAlignment="1">
      <alignment horizontal="right"/>
    </xf>
    <xf numFmtId="165" fontId="16" fillId="24" borderId="0" xfId="0" applyNumberFormat="1" applyFont="1" applyFill="1" applyBorder="1" applyAlignment="1">
      <alignment horizontal="right"/>
    </xf>
    <xf numFmtId="177" fontId="14" fillId="24" borderId="0" xfId="0" applyNumberFormat="1" applyFont="1" applyFill="1" applyBorder="1" applyAlignment="1">
      <alignment horizontal="right"/>
    </xf>
    <xf numFmtId="0" fontId="65" fillId="24" borderId="0" xfId="0" applyNumberFormat="1" applyFont="1" applyFill="1" applyBorder="1" applyAlignment="1">
      <alignment horizontal="left"/>
    </xf>
    <xf numFmtId="3" fontId="76" fillId="24" borderId="0" xfId="0" applyNumberFormat="1" applyFont="1" applyFill="1" applyBorder="1" applyAlignment="1">
      <alignment horizontal="right"/>
    </xf>
    <xf numFmtId="1" fontId="76" fillId="24" borderId="0" xfId="0" applyNumberFormat="1" applyFont="1" applyFill="1" applyBorder="1" applyAlignment="1">
      <alignment horizontal="right"/>
    </xf>
    <xf numFmtId="37" fontId="19" fillId="0" borderId="0" xfId="51" applyNumberFormat="1" applyFont="1" applyFill="1" applyBorder="1" applyAlignment="1">
      <alignment horizontal="right"/>
    </xf>
    <xf numFmtId="165" fontId="19" fillId="0" borderId="0" xfId="51" applyNumberFormat="1" applyFont="1" applyFill="1" applyBorder="1" applyAlignment="1">
      <alignment horizontal="right"/>
    </xf>
    <xf numFmtId="179" fontId="19" fillId="0" borderId="0" xfId="51" applyNumberFormat="1" applyFont="1" applyFill="1" applyBorder="1" applyAlignment="1">
      <alignment horizontal="right"/>
    </xf>
    <xf numFmtId="174" fontId="66" fillId="24" borderId="0" xfId="0" applyNumberFormat="1" applyFont="1" applyFill="1" applyBorder="1" applyAlignment="1">
      <alignment horizontal="right"/>
    </xf>
    <xf numFmtId="2" fontId="14" fillId="0" borderId="0" xfId="51" applyNumberFormat="1" applyFont="1" applyFill="1" applyBorder="1" applyAlignment="1">
      <alignment horizontal="right"/>
    </xf>
    <xf numFmtId="168" fontId="65" fillId="24" borderId="0" xfId="0" applyNumberFormat="1" applyFont="1" applyFill="1"/>
    <xf numFmtId="168" fontId="14" fillId="0" borderId="0" xfId="51" applyNumberFormat="1" applyFont="1" applyFill="1" applyBorder="1" applyAlignment="1">
      <alignment horizontal="right"/>
    </xf>
    <xf numFmtId="168" fontId="68" fillId="24" borderId="0" xfId="0" applyNumberFormat="1" applyFont="1" applyFill="1" applyBorder="1" applyAlignment="1">
      <alignment horizontal="right"/>
    </xf>
    <xf numFmtId="168" fontId="68" fillId="24" borderId="0" xfId="51" applyNumberFormat="1" applyFont="1" applyFill="1" applyBorder="1" applyAlignment="1">
      <alignment horizontal="right"/>
    </xf>
    <xf numFmtId="168" fontId="69" fillId="24" borderId="0" xfId="0" applyNumberFormat="1" applyFont="1" applyFill="1" applyBorder="1" applyAlignment="1">
      <alignment horizontal="right"/>
    </xf>
    <xf numFmtId="37" fontId="19" fillId="0" borderId="0" xfId="0" applyNumberFormat="1" applyFont="1" applyFill="1" applyBorder="1" applyAlignment="1">
      <alignment horizontal="right"/>
    </xf>
    <xf numFmtId="165" fontId="19" fillId="0" borderId="0" xfId="0" applyNumberFormat="1" applyFont="1" applyFill="1" applyBorder="1" applyAlignment="1">
      <alignment horizontal="right"/>
    </xf>
    <xf numFmtId="3" fontId="76" fillId="24" borderId="0" xfId="0" applyNumberFormat="1" applyFont="1" applyFill="1" applyAlignment="1">
      <alignment horizontal="right"/>
    </xf>
    <xf numFmtId="1" fontId="76" fillId="24" borderId="0" xfId="0" applyNumberFormat="1" applyFont="1" applyFill="1" applyAlignment="1">
      <alignment horizontal="right"/>
    </xf>
    <xf numFmtId="165" fontId="66" fillId="24" borderId="0" xfId="0" applyNumberFormat="1" applyFont="1" applyFill="1" applyBorder="1" applyAlignment="1">
      <alignment horizontal="right"/>
    </xf>
    <xf numFmtId="165" fontId="76" fillId="24" borderId="0" xfId="0" applyNumberFormat="1" applyFont="1" applyFill="1" applyAlignment="1">
      <alignment horizontal="right"/>
    </xf>
    <xf numFmtId="3" fontId="69" fillId="0" borderId="0" xfId="0" applyNumberFormat="1" applyFont="1" applyFill="1" applyAlignment="1">
      <alignment horizontal="right"/>
    </xf>
    <xf numFmtId="1" fontId="69" fillId="0" borderId="0" xfId="0" applyNumberFormat="1" applyFont="1" applyFill="1" applyAlignment="1">
      <alignment horizontal="right"/>
    </xf>
    <xf numFmtId="0" fontId="65" fillId="0" borderId="0" xfId="0" applyFont="1" applyFill="1"/>
    <xf numFmtId="3" fontId="66" fillId="24" borderId="0" xfId="51" applyNumberFormat="1" applyFont="1" applyFill="1" applyBorder="1" applyAlignment="1">
      <alignment horizontal="right"/>
    </xf>
    <xf numFmtId="3" fontId="76" fillId="0" borderId="0" xfId="0" applyNumberFormat="1" applyFont="1" applyAlignment="1">
      <alignment horizontal="right"/>
    </xf>
    <xf numFmtId="1" fontId="76" fillId="0" borderId="0" xfId="0" applyNumberFormat="1" applyFont="1" applyAlignment="1">
      <alignment horizontal="right"/>
    </xf>
    <xf numFmtId="165" fontId="66" fillId="0" borderId="0" xfId="0" applyNumberFormat="1" applyFont="1" applyBorder="1" applyAlignment="1">
      <alignment horizontal="right"/>
    </xf>
    <xf numFmtId="165" fontId="76" fillId="0" borderId="0" xfId="0" applyNumberFormat="1" applyFont="1" applyAlignment="1">
      <alignment horizontal="right"/>
    </xf>
    <xf numFmtId="0" fontId="66" fillId="0" borderId="0" xfId="0" applyFont="1"/>
    <xf numFmtId="0" fontId="65" fillId="0" borderId="0" xfId="0" applyNumberFormat="1" applyFont="1" applyFill="1" applyBorder="1" applyAlignment="1">
      <alignment horizontal="left" indent="1"/>
    </xf>
    <xf numFmtId="172" fontId="28" fillId="0" borderId="0" xfId="51" applyNumberFormat="1" applyFont="1" applyFill="1" applyBorder="1" applyAlignment="1">
      <alignment horizontal="right"/>
    </xf>
    <xf numFmtId="170" fontId="19" fillId="0" borderId="0" xfId="51" applyNumberFormat="1" applyFont="1" applyFill="1" applyBorder="1" applyAlignment="1">
      <alignment horizontal="right"/>
    </xf>
    <xf numFmtId="180" fontId="19" fillId="0" borderId="0" xfId="51" applyNumberFormat="1" applyFont="1" applyFill="1" applyBorder="1" applyAlignment="1">
      <alignment horizontal="right"/>
    </xf>
    <xf numFmtId="165" fontId="19" fillId="0" borderId="0" xfId="51" applyNumberFormat="1" applyFont="1" applyFill="1" applyBorder="1"/>
    <xf numFmtId="179" fontId="28" fillId="0" borderId="0" xfId="51" applyNumberFormat="1" applyFont="1" applyFill="1" applyBorder="1" applyAlignment="1">
      <alignment horizontal="right"/>
    </xf>
    <xf numFmtId="168" fontId="19" fillId="0" borderId="0" xfId="0" applyNumberFormat="1" applyFont="1" applyFill="1" applyBorder="1" applyAlignment="1">
      <alignment horizontal="right"/>
    </xf>
    <xf numFmtId="16" fontId="81" fillId="0" borderId="0" xfId="0" applyNumberFormat="1" applyFont="1" applyFill="1" applyAlignment="1">
      <alignment horizontal="right"/>
    </xf>
    <xf numFmtId="167" fontId="19" fillId="0" borderId="0" xfId="51" applyNumberFormat="1" applyFont="1" applyFill="1" applyBorder="1" applyAlignment="1">
      <alignment horizontal="right"/>
    </xf>
    <xf numFmtId="43" fontId="19" fillId="0" borderId="0" xfId="51" applyNumberFormat="1" applyFont="1" applyFill="1" applyBorder="1" applyAlignment="1">
      <alignment horizontal="right"/>
    </xf>
    <xf numFmtId="166" fontId="14" fillId="20" borderId="0" xfId="0" applyNumberFormat="1" applyFont="1" applyFill="1" applyBorder="1" applyAlignment="1">
      <alignment horizontal="right"/>
    </xf>
    <xf numFmtId="37" fontId="69" fillId="24" borderId="0" xfId="0" applyNumberFormat="1" applyFont="1" applyFill="1" applyBorder="1" applyAlignment="1">
      <alignment horizontal="right"/>
    </xf>
    <xf numFmtId="37" fontId="76" fillId="24" borderId="0" xfId="0" applyNumberFormat="1" applyFont="1" applyFill="1" applyBorder="1" applyAlignment="1">
      <alignment horizontal="right"/>
    </xf>
    <xf numFmtId="43" fontId="73" fillId="21" borderId="0" xfId="51" applyFont="1" applyFill="1" applyBorder="1" applyAlignment="1">
      <alignment horizontal="right"/>
    </xf>
    <xf numFmtId="172" fontId="73" fillId="21" borderId="0" xfId="51" applyNumberFormat="1" applyFont="1" applyFill="1" applyBorder="1" applyAlignment="1">
      <alignment horizontal="right"/>
    </xf>
    <xf numFmtId="3" fontId="19" fillId="31" borderId="0" xfId="0" applyNumberFormat="1" applyFont="1" applyFill="1" applyAlignment="1">
      <alignment horizontal="right"/>
    </xf>
    <xf numFmtId="167" fontId="20" fillId="31" borderId="13" xfId="0" applyNumberFormat="1" applyFont="1" applyFill="1" applyBorder="1" applyAlignment="1">
      <alignment horizontal="right"/>
    </xf>
    <xf numFmtId="174" fontId="19" fillId="20" borderId="0" xfId="0" applyNumberFormat="1" applyFont="1" applyFill="1" applyBorder="1" applyAlignment="1">
      <alignment horizontal="right"/>
    </xf>
    <xf numFmtId="0" fontId="66" fillId="24" borderId="0" xfId="0" applyNumberFormat="1" applyFont="1" applyFill="1" applyBorder="1" applyAlignment="1"/>
    <xf numFmtId="174" fontId="92" fillId="24" borderId="0" xfId="0" applyNumberFormat="1" applyFont="1" applyFill="1" applyAlignment="1">
      <alignment horizontal="right"/>
    </xf>
    <xf numFmtId="3" fontId="92" fillId="24" borderId="0" xfId="0" applyNumberFormat="1" applyFont="1" applyFill="1" applyAlignment="1">
      <alignment horizontal="right"/>
    </xf>
    <xf numFmtId="4" fontId="92" fillId="24" borderId="0" xfId="0" applyNumberFormat="1" applyFont="1" applyFill="1" applyAlignment="1">
      <alignment horizontal="right"/>
    </xf>
    <xf numFmtId="174" fontId="66" fillId="24" borderId="0" xfId="0" applyNumberFormat="1" applyFont="1" applyFill="1" applyAlignment="1">
      <alignment horizontal="right"/>
    </xf>
    <xf numFmtId="3" fontId="76" fillId="24" borderId="0" xfId="51" applyNumberFormat="1" applyFont="1" applyFill="1" applyAlignment="1">
      <alignment horizontal="right"/>
    </xf>
    <xf numFmtId="174" fontId="68" fillId="26" borderId="0" xfId="0" applyNumberFormat="1" applyFont="1" applyFill="1" applyAlignment="1">
      <alignment horizontal="right"/>
    </xf>
    <xf numFmtId="174" fontId="19" fillId="20" borderId="0" xfId="0" applyNumberFormat="1" applyFont="1" applyFill="1" applyBorder="1"/>
    <xf numFmtId="170" fontId="14" fillId="19" borderId="16" xfId="0" applyNumberFormat="1" applyFont="1" applyFill="1" applyBorder="1" applyAlignment="1"/>
    <xf numFmtId="166" fontId="14" fillId="19" borderId="16" xfId="0" applyNumberFormat="1" applyFont="1" applyFill="1" applyBorder="1" applyAlignment="1"/>
    <xf numFmtId="166" fontId="16" fillId="19" borderId="16" xfId="0" applyNumberFormat="1" applyFont="1" applyFill="1" applyBorder="1" applyAlignment="1"/>
    <xf numFmtId="165" fontId="19" fillId="20" borderId="0" xfId="0" applyNumberFormat="1" applyFont="1" applyFill="1" applyBorder="1" applyAlignment="1">
      <alignment horizontal="right"/>
    </xf>
    <xf numFmtId="37" fontId="19" fillId="0" borderId="0" xfId="0" applyNumberFormat="1" applyFont="1" applyFill="1" applyBorder="1"/>
    <xf numFmtId="9" fontId="81" fillId="0" borderId="0" xfId="81" applyFont="1" applyFill="1" applyAlignment="1">
      <alignment horizontal="right"/>
    </xf>
    <xf numFmtId="180" fontId="14" fillId="0" borderId="0" xfId="0" applyNumberFormat="1" applyFont="1" applyFill="1" applyBorder="1"/>
    <xf numFmtId="194" fontId="14" fillId="0" borderId="0" xfId="0" applyNumberFormat="1" applyFont="1" applyFill="1" applyBorder="1" applyAlignment="1">
      <alignment horizontal="right"/>
    </xf>
    <xf numFmtId="0" fontId="14" fillId="24" borderId="0" xfId="0" applyFont="1" applyFill="1" applyBorder="1" applyAlignment="1">
      <alignment horizontal="left" indent="1"/>
    </xf>
    <xf numFmtId="37" fontId="14" fillId="24" borderId="0" xfId="51" applyNumberFormat="1" applyFont="1" applyFill="1" applyBorder="1" applyAlignment="1">
      <alignment horizontal="right"/>
    </xf>
    <xf numFmtId="37" fontId="13" fillId="24" borderId="0" xfId="51" applyNumberFormat="1" applyFont="1" applyFill="1" applyBorder="1" applyAlignment="1">
      <alignment horizontal="right"/>
    </xf>
    <xf numFmtId="37" fontId="19" fillId="24" borderId="0" xfId="51" applyNumberFormat="1" applyFont="1" applyFill="1" applyBorder="1" applyAlignment="1">
      <alignment horizontal="right"/>
    </xf>
    <xf numFmtId="168" fontId="14" fillId="24" borderId="0" xfId="51" applyNumberFormat="1" applyFont="1" applyFill="1" applyBorder="1" applyAlignment="1">
      <alignment horizontal="right"/>
    </xf>
    <xf numFmtId="168" fontId="19" fillId="24" borderId="0" xfId="51" applyNumberFormat="1" applyFont="1" applyFill="1" applyBorder="1" applyAlignment="1">
      <alignment horizontal="right"/>
    </xf>
    <xf numFmtId="192" fontId="93" fillId="0" borderId="0" xfId="0" applyNumberFormat="1" applyFont="1" applyFill="1" applyBorder="1" applyAlignment="1">
      <alignment horizontal="right"/>
    </xf>
    <xf numFmtId="3" fontId="94" fillId="32" borderId="0" xfId="0" applyNumberFormat="1" applyFont="1" applyFill="1" applyBorder="1" applyAlignment="1">
      <alignment horizontal="right"/>
    </xf>
    <xf numFmtId="174" fontId="13" fillId="26" borderId="0" xfId="0" applyNumberFormat="1" applyFont="1" applyFill="1"/>
    <xf numFmtId="0" fontId="13" fillId="27" borderId="0" xfId="0" applyFont="1" applyFill="1" applyAlignment="1">
      <alignment horizontal="right"/>
    </xf>
    <xf numFmtId="0" fontId="81" fillId="27" borderId="0" xfId="0" quotePrefix="1" applyFont="1" applyFill="1" applyAlignment="1">
      <alignment horizontal="right"/>
    </xf>
    <xf numFmtId="0" fontId="81" fillId="27" borderId="0" xfId="0" applyFont="1" applyFill="1" applyAlignment="1">
      <alignment horizontal="right"/>
    </xf>
    <xf numFmtId="9" fontId="81" fillId="27" borderId="0" xfId="81" applyFont="1" applyFill="1" applyBorder="1" applyAlignment="1">
      <alignment horizontal="right"/>
    </xf>
    <xf numFmtId="0" fontId="81" fillId="27" borderId="0" xfId="0" applyFont="1" applyFill="1"/>
    <xf numFmtId="0" fontId="16" fillId="27" borderId="0" xfId="0" quotePrefix="1" applyFont="1" applyFill="1" applyAlignment="1">
      <alignment horizontal="right"/>
    </xf>
    <xf numFmtId="0" fontId="16" fillId="27" borderId="0" xfId="0" applyFont="1" applyFill="1" applyAlignment="1">
      <alignment horizontal="right"/>
    </xf>
    <xf numFmtId="9" fontId="81" fillId="27" borderId="0" xfId="0" applyNumberFormat="1" applyFont="1" applyFill="1" applyAlignment="1">
      <alignment horizontal="right"/>
    </xf>
    <xf numFmtId="0" fontId="85" fillId="0" borderId="0" xfId="0" applyFont="1" applyFill="1" applyBorder="1"/>
    <xf numFmtId="172" fontId="85" fillId="0" borderId="0" xfId="51" applyNumberFormat="1" applyFont="1" applyFill="1" applyBorder="1"/>
    <xf numFmtId="0" fontId="95" fillId="0" borderId="0" xfId="0" applyFont="1" applyFill="1" applyBorder="1" applyAlignment="1">
      <alignment horizontal="right"/>
    </xf>
    <xf numFmtId="3" fontId="96" fillId="0" borderId="0" xfId="0" applyNumberFormat="1" applyFont="1" applyFill="1" applyBorder="1" applyAlignment="1">
      <alignment horizontal="right"/>
    </xf>
    <xf numFmtId="1" fontId="96" fillId="0" borderId="0" xfId="0" applyNumberFormat="1" applyFont="1" applyFill="1" applyBorder="1" applyAlignment="1">
      <alignment horizontal="right"/>
    </xf>
    <xf numFmtId="39" fontId="83" fillId="0" borderId="0" xfId="0" applyNumberFormat="1" applyFont="1" applyFill="1" applyBorder="1" applyAlignment="1">
      <alignment horizontal="right"/>
    </xf>
    <xf numFmtId="9" fontId="83" fillId="0" borderId="0" xfId="81" applyFont="1" applyFill="1" applyBorder="1" applyAlignment="1">
      <alignment horizontal="right"/>
    </xf>
    <xf numFmtId="43" fontId="83" fillId="0" borderId="0" xfId="0" applyNumberFormat="1" applyFont="1" applyFill="1" applyBorder="1"/>
    <xf numFmtId="0" fontId="96" fillId="0" borderId="0" xfId="0" applyFont="1" applyFill="1" applyBorder="1"/>
    <xf numFmtId="0" fontId="95" fillId="0" borderId="0" xfId="0" applyFont="1" applyFill="1" applyBorder="1"/>
    <xf numFmtId="10" fontId="96" fillId="0" borderId="0" xfId="0" applyNumberFormat="1" applyFont="1" applyFill="1" applyBorder="1" applyAlignment="1">
      <alignment horizontal="right"/>
    </xf>
    <xf numFmtId="2" fontId="97" fillId="0" borderId="0" xfId="0" applyNumberFormat="1" applyFont="1" applyFill="1" applyBorder="1" applyAlignment="1">
      <alignment horizontal="right"/>
    </xf>
    <xf numFmtId="167" fontId="96" fillId="0" borderId="0" xfId="0" applyNumberFormat="1" applyFont="1" applyFill="1" applyBorder="1" applyAlignment="1">
      <alignment horizontal="right"/>
    </xf>
    <xf numFmtId="0" fontId="86" fillId="0" borderId="0" xfId="0" applyFont="1" applyFill="1" applyBorder="1"/>
    <xf numFmtId="43" fontId="86" fillId="0" borderId="0" xfId="0" applyNumberFormat="1" applyFont="1" applyFill="1" applyBorder="1"/>
    <xf numFmtId="2" fontId="98" fillId="0" borderId="0" xfId="0" applyNumberFormat="1" applyFont="1" applyFill="1" applyBorder="1" applyAlignment="1">
      <alignment horizontal="right"/>
    </xf>
    <xf numFmtId="167" fontId="99" fillId="0" borderId="0" xfId="0" applyNumberFormat="1" applyFont="1" applyFill="1" applyBorder="1" applyAlignment="1">
      <alignment horizontal="right"/>
    </xf>
    <xf numFmtId="10" fontId="99" fillId="0" borderId="0" xfId="0" applyNumberFormat="1" applyFont="1" applyFill="1" applyBorder="1" applyAlignment="1">
      <alignment horizontal="right"/>
    </xf>
    <xf numFmtId="1" fontId="99" fillId="0" borderId="0" xfId="0" applyNumberFormat="1" applyFont="1" applyFill="1" applyBorder="1" applyAlignment="1">
      <alignment horizontal="right"/>
    </xf>
    <xf numFmtId="0" fontId="100" fillId="22" borderId="0" xfId="0" applyFont="1" applyFill="1" applyBorder="1" applyAlignment="1">
      <alignment horizontal="right"/>
    </xf>
    <xf numFmtId="0" fontId="100" fillId="0" borderId="0" xfId="0" applyFont="1" applyFill="1" applyBorder="1" applyAlignment="1">
      <alignment horizontal="right"/>
    </xf>
    <xf numFmtId="39" fontId="101" fillId="0" borderId="0" xfId="0" applyNumberFormat="1" applyFont="1" applyFill="1" applyBorder="1" applyAlignment="1">
      <alignment horizontal="right"/>
    </xf>
    <xf numFmtId="172" fontId="14" fillId="0" borderId="17" xfId="0" applyNumberFormat="1" applyFont="1" applyFill="1" applyBorder="1"/>
    <xf numFmtId="43" fontId="14" fillId="0" borderId="17" xfId="0" applyNumberFormat="1" applyFont="1" applyBorder="1"/>
    <xf numFmtId="37" fontId="13" fillId="20" borderId="17" xfId="0" applyNumberFormat="1" applyFont="1" applyFill="1" applyBorder="1"/>
    <xf numFmtId="37" fontId="14" fillId="20" borderId="17" xfId="0" applyNumberFormat="1" applyFont="1" applyFill="1" applyBorder="1"/>
    <xf numFmtId="172" fontId="84" fillId="26" borderId="0" xfId="51" applyNumberFormat="1" applyFont="1" applyFill="1" applyBorder="1"/>
    <xf numFmtId="37" fontId="14" fillId="0" borderId="0" xfId="0" applyNumberFormat="1" applyFont="1" applyBorder="1"/>
    <xf numFmtId="167" fontId="14" fillId="17" borderId="0" xfId="0" applyNumberFormat="1" applyFont="1" applyFill="1" applyBorder="1" applyAlignment="1">
      <alignment horizontal="right"/>
    </xf>
    <xf numFmtId="172" fontId="14" fillId="20" borderId="0" xfId="51" applyNumberFormat="1" applyFont="1" applyFill="1" applyBorder="1"/>
    <xf numFmtId="170" fontId="14" fillId="0" borderId="17" xfId="0" applyNumberFormat="1" applyFont="1" applyFill="1" applyBorder="1" applyAlignment="1">
      <alignment horizontal="right"/>
    </xf>
    <xf numFmtId="0" fontId="14" fillId="24" borderId="21" xfId="0" applyFont="1" applyFill="1" applyBorder="1"/>
    <xf numFmtId="172" fontId="81" fillId="0" borderId="0" xfId="51" quotePrefix="1" applyNumberFormat="1" applyFont="1"/>
    <xf numFmtId="9" fontId="14" fillId="0" borderId="0" xfId="81" applyFont="1" applyFill="1"/>
    <xf numFmtId="0" fontId="89" fillId="0" borderId="17" xfId="105" applyFont="1" applyFill="1" applyBorder="1" applyAlignment="1">
      <alignment horizontal="right"/>
    </xf>
    <xf numFmtId="0" fontId="14" fillId="0" borderId="17" xfId="0" applyFont="1" applyBorder="1" applyAlignment="1">
      <alignment horizontal="right"/>
    </xf>
    <xf numFmtId="39" fontId="101" fillId="0" borderId="17" xfId="0" applyNumberFormat="1" applyFont="1" applyFill="1" applyBorder="1" applyAlignment="1">
      <alignment horizontal="right"/>
    </xf>
    <xf numFmtId="43" fontId="86" fillId="24" borderId="0" xfId="0" applyNumberFormat="1" applyFont="1" applyFill="1" applyBorder="1"/>
    <xf numFmtId="0" fontId="19" fillId="24" borderId="0" xfId="0" applyFont="1" applyFill="1" applyBorder="1"/>
    <xf numFmtId="2" fontId="104" fillId="0" borderId="0" xfId="0" applyNumberFormat="1" applyFont="1" applyFill="1" applyBorder="1" applyAlignment="1">
      <alignment horizontal="right"/>
    </xf>
    <xf numFmtId="0" fontId="1" fillId="0" borderId="0" xfId="114"/>
    <xf numFmtId="2" fontId="14" fillId="0" borderId="0" xfId="81" applyNumberFormat="1" applyFont="1" applyFill="1" applyBorder="1" applyAlignment="1">
      <alignment horizontal="right"/>
    </xf>
    <xf numFmtId="0" fontId="64" fillId="24" borderId="18" xfId="0" applyNumberFormat="1" applyFont="1" applyFill="1" applyBorder="1"/>
    <xf numFmtId="167" fontId="65" fillId="24" borderId="19" xfId="0" applyNumberFormat="1" applyFont="1" applyFill="1" applyBorder="1" applyAlignment="1">
      <alignment horizontal="right"/>
    </xf>
    <xf numFmtId="1" fontId="69" fillId="24" borderId="19" xfId="0" applyNumberFormat="1" applyFont="1" applyFill="1" applyBorder="1" applyAlignment="1">
      <alignment horizontal="right"/>
    </xf>
    <xf numFmtId="1" fontId="69" fillId="24" borderId="20" xfId="0" applyNumberFormat="1" applyFont="1" applyFill="1" applyBorder="1" applyAlignment="1">
      <alignment horizontal="right"/>
    </xf>
    <xf numFmtId="0" fontId="65" fillId="24" borderId="21" xfId="0" applyNumberFormat="1" applyFont="1" applyFill="1" applyBorder="1"/>
    <xf numFmtId="1" fontId="69" fillId="24" borderId="22" xfId="0" applyNumberFormat="1" applyFont="1" applyFill="1" applyBorder="1" applyAlignment="1">
      <alignment horizontal="right"/>
    </xf>
    <xf numFmtId="0" fontId="65" fillId="24" borderId="26" xfId="0" applyNumberFormat="1" applyFont="1" applyFill="1" applyBorder="1"/>
    <xf numFmtId="1" fontId="69" fillId="24" borderId="27" xfId="0" applyNumberFormat="1" applyFont="1" applyFill="1" applyBorder="1" applyAlignment="1">
      <alignment horizontal="right"/>
    </xf>
    <xf numFmtId="0" fontId="66" fillId="24" borderId="21" xfId="0" applyNumberFormat="1" applyFont="1" applyFill="1" applyBorder="1"/>
    <xf numFmtId="0" fontId="14" fillId="24" borderId="21" xfId="0" applyFont="1" applyFill="1" applyBorder="1" applyAlignment="1">
      <alignment horizontal="left" indent="1"/>
    </xf>
    <xf numFmtId="3" fontId="69" fillId="24" borderId="22" xfId="0" applyNumberFormat="1" applyFont="1" applyFill="1" applyBorder="1" applyAlignment="1">
      <alignment horizontal="right"/>
    </xf>
    <xf numFmtId="0" fontId="65" fillId="24" borderId="21" xfId="0" applyNumberFormat="1" applyFont="1" applyFill="1" applyBorder="1" applyAlignment="1">
      <alignment horizontal="left"/>
    </xf>
    <xf numFmtId="0" fontId="65" fillId="24" borderId="21" xfId="0" applyNumberFormat="1" applyFont="1" applyFill="1" applyBorder="1" applyAlignment="1">
      <alignment horizontal="left" indent="1"/>
    </xf>
    <xf numFmtId="0" fontId="68" fillId="24" borderId="21" xfId="0" applyNumberFormat="1" applyFont="1" applyFill="1" applyBorder="1"/>
    <xf numFmtId="3" fontId="68" fillId="24" borderId="22" xfId="0" applyNumberFormat="1" applyFont="1" applyFill="1" applyBorder="1" applyAlignment="1">
      <alignment horizontal="right"/>
    </xf>
    <xf numFmtId="37" fontId="19" fillId="24" borderId="22" xfId="51" applyNumberFormat="1" applyFont="1" applyFill="1" applyBorder="1" applyAlignment="1">
      <alignment horizontal="right"/>
    </xf>
    <xf numFmtId="168" fontId="65" fillId="24" borderId="21" xfId="0" applyNumberFormat="1" applyFont="1" applyFill="1" applyBorder="1"/>
    <xf numFmtId="168" fontId="19" fillId="24" borderId="22" xfId="51" applyNumberFormat="1" applyFont="1" applyFill="1" applyBorder="1" applyAlignment="1">
      <alignment horizontal="right"/>
    </xf>
    <xf numFmtId="2" fontId="66" fillId="24" borderId="21" xfId="0" applyNumberFormat="1" applyFont="1" applyFill="1" applyBorder="1"/>
    <xf numFmtId="0" fontId="72" fillId="21" borderId="21" xfId="0" applyNumberFormat="1" applyFont="1" applyFill="1" applyBorder="1"/>
    <xf numFmtId="3" fontId="73" fillId="21" borderId="22" xfId="0" applyNumberFormat="1" applyFont="1" applyFill="1" applyBorder="1" applyAlignment="1">
      <alignment horizontal="right"/>
    </xf>
    <xf numFmtId="0" fontId="68" fillId="0" borderId="21" xfId="0" applyNumberFormat="1" applyFont="1" applyFill="1" applyBorder="1"/>
    <xf numFmtId="3" fontId="68" fillId="0" borderId="22" xfId="0" applyNumberFormat="1" applyFont="1" applyBorder="1" applyAlignment="1">
      <alignment horizontal="right"/>
    </xf>
    <xf numFmtId="3" fontId="74" fillId="24" borderId="22" xfId="0" applyNumberFormat="1" applyFont="1" applyFill="1" applyBorder="1" applyAlignment="1">
      <alignment horizontal="right"/>
    </xf>
    <xf numFmtId="0" fontId="66" fillId="22" borderId="21" xfId="0" applyNumberFormat="1" applyFont="1" applyFill="1" applyBorder="1"/>
    <xf numFmtId="3" fontId="69" fillId="22" borderId="22" xfId="0" applyNumberFormat="1" applyFont="1" applyFill="1" applyBorder="1" applyAlignment="1">
      <alignment horizontal="right"/>
    </xf>
    <xf numFmtId="0" fontId="65" fillId="24" borderId="21" xfId="0" applyFont="1" applyFill="1" applyBorder="1" applyAlignment="1"/>
    <xf numFmtId="0" fontId="66" fillId="24" borderId="21" xfId="0" applyFont="1" applyFill="1" applyBorder="1" applyAlignment="1"/>
    <xf numFmtId="167" fontId="69" fillId="24" borderId="22" xfId="0" applyNumberFormat="1" applyFont="1" applyFill="1" applyBorder="1" applyAlignment="1">
      <alignment horizontal="right"/>
    </xf>
    <xf numFmtId="0" fontId="65" fillId="24" borderId="23" xfId="0" applyNumberFormat="1" applyFont="1" applyFill="1" applyBorder="1"/>
    <xf numFmtId="174" fontId="65" fillId="24" borderId="24" xfId="0" applyNumberFormat="1" applyFont="1" applyFill="1" applyBorder="1" applyAlignment="1">
      <alignment horizontal="right"/>
    </xf>
    <xf numFmtId="3" fontId="69" fillId="24" borderId="24" xfId="0" applyNumberFormat="1" applyFont="1" applyFill="1" applyBorder="1" applyAlignment="1">
      <alignment horizontal="right"/>
    </xf>
    <xf numFmtId="1" fontId="69" fillId="24" borderId="24" xfId="0" applyNumberFormat="1" applyFont="1" applyFill="1" applyBorder="1" applyAlignment="1">
      <alignment horizontal="right"/>
    </xf>
    <xf numFmtId="167" fontId="65" fillId="24" borderId="24" xfId="0" applyNumberFormat="1" applyFont="1" applyFill="1" applyBorder="1" applyAlignment="1">
      <alignment horizontal="right"/>
    </xf>
    <xf numFmtId="3" fontId="69" fillId="24" borderId="25" xfId="0" applyNumberFormat="1" applyFont="1" applyFill="1" applyBorder="1" applyAlignment="1">
      <alignment horizontal="right"/>
    </xf>
    <xf numFmtId="3" fontId="76" fillId="24" borderId="22" xfId="0" applyNumberFormat="1" applyFont="1" applyFill="1" applyBorder="1" applyAlignment="1">
      <alignment horizontal="right"/>
    </xf>
    <xf numFmtId="4" fontId="65" fillId="24" borderId="24" xfId="0" applyNumberFormat="1" applyFont="1" applyFill="1" applyBorder="1" applyAlignment="1">
      <alignment horizontal="right"/>
    </xf>
    <xf numFmtId="3" fontId="65" fillId="24" borderId="24" xfId="0" applyNumberFormat="1" applyFont="1" applyFill="1" applyBorder="1" applyAlignment="1">
      <alignment horizontal="right"/>
    </xf>
    <xf numFmtId="37" fontId="14" fillId="20" borderId="16" xfId="0" applyNumberFormat="1" applyFont="1" applyFill="1" applyBorder="1"/>
    <xf numFmtId="165" fontId="23" fillId="20" borderId="17" xfId="0" applyNumberFormat="1" applyFont="1" applyFill="1" applyBorder="1"/>
    <xf numFmtId="43" fontId="13" fillId="20" borderId="17" xfId="0" applyNumberFormat="1" applyFont="1" applyFill="1" applyBorder="1"/>
    <xf numFmtId="166" fontId="13" fillId="20" borderId="17" xfId="0" applyNumberFormat="1" applyFont="1" applyFill="1" applyBorder="1"/>
    <xf numFmtId="167" fontId="14" fillId="20" borderId="17" xfId="0" applyNumberFormat="1" applyFont="1" applyFill="1" applyBorder="1" applyAlignment="1"/>
    <xf numFmtId="171" fontId="14" fillId="20" borderId="17" xfId="51" applyNumberFormat="1" applyFont="1" applyFill="1" applyBorder="1" applyAlignment="1">
      <alignment horizontal="right"/>
    </xf>
    <xf numFmtId="175" fontId="22" fillId="20" borderId="17" xfId="81" applyNumberFormat="1" applyFont="1" applyFill="1" applyBorder="1" applyAlignment="1">
      <alignment horizontal="right"/>
    </xf>
    <xf numFmtId="175" fontId="14" fillId="20" borderId="17" xfId="81" applyNumberFormat="1" applyFont="1" applyFill="1" applyBorder="1" applyAlignment="1">
      <alignment horizontal="right"/>
    </xf>
    <xf numFmtId="167" fontId="20" fillId="21" borderId="17" xfId="0" applyNumberFormat="1" applyFont="1" applyFill="1" applyBorder="1" applyAlignment="1">
      <alignment horizontal="right"/>
    </xf>
    <xf numFmtId="37" fontId="14" fillId="0" borderId="17" xfId="0" applyNumberFormat="1" applyFont="1" applyFill="1" applyBorder="1" applyAlignment="1">
      <alignment horizontal="right"/>
    </xf>
    <xf numFmtId="172" fontId="84" fillId="0" borderId="17" xfId="51" applyNumberFormat="1" applyFont="1" applyFill="1" applyBorder="1"/>
    <xf numFmtId="0" fontId="20" fillId="0" borderId="17" xfId="0" applyFont="1" applyFill="1" applyBorder="1"/>
    <xf numFmtId="165" fontId="14" fillId="0" borderId="17" xfId="0" applyNumberFormat="1" applyFont="1" applyFill="1" applyBorder="1" applyAlignment="1">
      <alignment horizontal="right"/>
    </xf>
    <xf numFmtId="172" fontId="13" fillId="0" borderId="17" xfId="51" applyNumberFormat="1" applyFont="1" applyFill="1" applyBorder="1"/>
    <xf numFmtId="37" fontId="13" fillId="0" borderId="17" xfId="0" applyNumberFormat="1" applyFont="1" applyFill="1" applyBorder="1" applyAlignment="1">
      <alignment horizontal="right"/>
    </xf>
    <xf numFmtId="39" fontId="14" fillId="0" borderId="17" xfId="0" applyNumberFormat="1" applyFont="1" applyFill="1" applyBorder="1" applyAlignment="1">
      <alignment horizontal="right"/>
    </xf>
    <xf numFmtId="43" fontId="14" fillId="0" borderId="17" xfId="51" applyNumberFormat="1" applyFont="1" applyFill="1" applyBorder="1"/>
    <xf numFmtId="171" fontId="14" fillId="0" borderId="17" xfId="51" applyNumberFormat="1" applyFont="1" applyFill="1" applyBorder="1"/>
    <xf numFmtId="37" fontId="14" fillId="21" borderId="17" xfId="0" applyNumberFormat="1" applyFont="1" applyFill="1" applyBorder="1" applyAlignment="1">
      <alignment horizontal="right"/>
    </xf>
    <xf numFmtId="172" fontId="22" fillId="0" borderId="17" xfId="51" applyNumberFormat="1" applyFont="1" applyFill="1" applyBorder="1"/>
    <xf numFmtId="43" fontId="22" fillId="0" borderId="17" xfId="51" applyNumberFormat="1" applyFont="1" applyFill="1" applyBorder="1"/>
    <xf numFmtId="37" fontId="14" fillId="0" borderId="17" xfId="0" applyNumberFormat="1" applyFont="1" applyFill="1" applyBorder="1" applyAlignment="1"/>
    <xf numFmtId="37" fontId="13" fillId="0" borderId="17" xfId="0" applyNumberFormat="1" applyFont="1" applyFill="1" applyBorder="1" applyAlignment="1"/>
    <xf numFmtId="180" fontId="14" fillId="0" borderId="17" xfId="0" applyNumberFormat="1" applyFont="1" applyFill="1" applyBorder="1" applyAlignment="1">
      <alignment horizontal="right"/>
    </xf>
    <xf numFmtId="171" fontId="13" fillId="0" borderId="17" xfId="51" applyNumberFormat="1" applyFont="1" applyFill="1" applyBorder="1"/>
    <xf numFmtId="167" fontId="14" fillId="0" borderId="17" xfId="0" applyNumberFormat="1" applyFont="1" applyFill="1" applyBorder="1" applyAlignment="1">
      <alignment horizontal="right"/>
    </xf>
    <xf numFmtId="37" fontId="14" fillId="0" borderId="17" xfId="0" applyNumberFormat="1" applyFont="1" applyFill="1" applyBorder="1"/>
    <xf numFmtId="184" fontId="14" fillId="0" borderId="17" xfId="0" applyNumberFormat="1" applyFont="1" applyFill="1" applyBorder="1" applyAlignment="1">
      <alignment horizontal="right"/>
    </xf>
    <xf numFmtId="0" fontId="14" fillId="0" borderId="17" xfId="0" applyFont="1" applyBorder="1"/>
    <xf numFmtId="164" fontId="14" fillId="0" borderId="17" xfId="0" applyNumberFormat="1" applyFont="1" applyFill="1" applyBorder="1" applyAlignment="1">
      <alignment horizontal="right"/>
    </xf>
    <xf numFmtId="172" fontId="13" fillId="0" borderId="17" xfId="0" applyNumberFormat="1" applyFont="1" applyFill="1" applyBorder="1"/>
    <xf numFmtId="172" fontId="14" fillId="0" borderId="17" xfId="51" applyNumberFormat="1" applyFont="1" applyFill="1" applyBorder="1"/>
    <xf numFmtId="43" fontId="14" fillId="0" borderId="17" xfId="0" applyNumberFormat="1" applyFont="1" applyFill="1" applyBorder="1"/>
    <xf numFmtId="168" fontId="14" fillId="0" borderId="17" xfId="51" applyNumberFormat="1" applyFont="1" applyFill="1" applyBorder="1"/>
    <xf numFmtId="172" fontId="14" fillId="0" borderId="17" xfId="0" applyNumberFormat="1" applyFont="1" applyFill="1" applyBorder="1" applyAlignment="1">
      <alignment horizontal="right"/>
    </xf>
    <xf numFmtId="175" fontId="14" fillId="0" borderId="17" xfId="81" applyNumberFormat="1" applyFont="1" applyFill="1" applyBorder="1" applyAlignment="1">
      <alignment horizontal="right"/>
    </xf>
    <xf numFmtId="165" fontId="22" fillId="0" borderId="17" xfId="0" applyNumberFormat="1" applyFont="1" applyFill="1" applyBorder="1" applyAlignment="1">
      <alignment horizontal="right"/>
    </xf>
    <xf numFmtId="171" fontId="27" fillId="0" borderId="17" xfId="51" applyNumberFormat="1" applyFont="1" applyFill="1" applyBorder="1"/>
    <xf numFmtId="171" fontId="14" fillId="0" borderId="17" xfId="51" applyNumberFormat="1" applyFont="1" applyFill="1" applyBorder="1" applyAlignment="1">
      <alignment horizontal="right"/>
    </xf>
    <xf numFmtId="172" fontId="14" fillId="0" borderId="17" xfId="51" applyNumberFormat="1" applyFont="1" applyFill="1" applyBorder="1" applyAlignment="1">
      <alignment horizontal="right"/>
    </xf>
    <xf numFmtId="172" fontId="14" fillId="0" borderId="17" xfId="81" applyNumberFormat="1" applyFont="1" applyFill="1" applyBorder="1" applyAlignment="1">
      <alignment horizontal="right"/>
    </xf>
    <xf numFmtId="172" fontId="13" fillId="0" borderId="17" xfId="0" applyNumberFormat="1" applyFont="1" applyFill="1" applyBorder="1" applyAlignment="1">
      <alignment horizontal="right"/>
    </xf>
    <xf numFmtId="165" fontId="14" fillId="0" borderId="17" xfId="51" applyNumberFormat="1" applyFont="1" applyFill="1" applyBorder="1"/>
    <xf numFmtId="165" fontId="22" fillId="0" borderId="17" xfId="51" applyNumberFormat="1" applyFont="1" applyFill="1" applyBorder="1"/>
    <xf numFmtId="166" fontId="14" fillId="0" borderId="17" xfId="0" applyNumberFormat="1" applyFont="1" applyFill="1" applyBorder="1" applyAlignment="1">
      <alignment horizontal="right"/>
    </xf>
    <xf numFmtId="172" fontId="13" fillId="0" borderId="17" xfId="51" applyNumberFormat="1" applyFont="1" applyFill="1" applyBorder="1" applyAlignment="1">
      <alignment horizontal="right"/>
    </xf>
    <xf numFmtId="171" fontId="14" fillId="0" borderId="17" xfId="0" applyNumberFormat="1" applyFont="1" applyFill="1" applyBorder="1" applyAlignment="1">
      <alignment horizontal="right"/>
    </xf>
    <xf numFmtId="171" fontId="14" fillId="0" borderId="17" xfId="0" applyNumberFormat="1" applyFont="1" applyFill="1" applyBorder="1"/>
    <xf numFmtId="171" fontId="16" fillId="0" borderId="17" xfId="51" applyNumberFormat="1" applyFont="1" applyFill="1" applyBorder="1"/>
    <xf numFmtId="37" fontId="14" fillId="0" borderId="17" xfId="51" applyNumberFormat="1" applyFont="1" applyFill="1" applyBorder="1"/>
    <xf numFmtId="172" fontId="13" fillId="0" borderId="17" xfId="51" applyNumberFormat="1" applyFont="1" applyBorder="1"/>
    <xf numFmtId="167" fontId="18" fillId="0" borderId="17" xfId="0" applyNumberFormat="1" applyFont="1" applyFill="1" applyBorder="1" applyAlignment="1">
      <alignment horizontal="right"/>
    </xf>
    <xf numFmtId="37" fontId="13" fillId="0" borderId="17" xfId="0" applyNumberFormat="1" applyFont="1" applyFill="1" applyBorder="1"/>
    <xf numFmtId="172" fontId="18" fillId="0" borderId="17" xfId="0" applyNumberFormat="1" applyFont="1" applyFill="1" applyBorder="1" applyAlignment="1">
      <alignment horizontal="right"/>
    </xf>
    <xf numFmtId="171" fontId="18" fillId="0" borderId="17" xfId="0" applyNumberFormat="1" applyFont="1" applyFill="1" applyBorder="1" applyAlignment="1">
      <alignment horizontal="right"/>
    </xf>
    <xf numFmtId="172" fontId="26" fillId="0" borderId="17" xfId="0" applyNumberFormat="1" applyFont="1" applyFill="1" applyBorder="1" applyAlignment="1">
      <alignment horizontal="right"/>
    </xf>
    <xf numFmtId="37" fontId="13" fillId="0" borderId="17" xfId="51" applyNumberFormat="1" applyFont="1" applyFill="1" applyBorder="1"/>
    <xf numFmtId="172" fontId="18" fillId="0" borderId="17" xfId="51" applyNumberFormat="1" applyFont="1" applyFill="1" applyBorder="1"/>
    <xf numFmtId="179" fontId="18" fillId="0" borderId="17" xfId="51" applyNumberFormat="1" applyFont="1" applyFill="1" applyBorder="1" applyAlignment="1">
      <alignment horizontal="right"/>
    </xf>
    <xf numFmtId="172" fontId="18" fillId="0" borderId="17" xfId="51" applyNumberFormat="1" applyFont="1" applyFill="1" applyBorder="1" applyAlignment="1">
      <alignment horizontal="right"/>
    </xf>
    <xf numFmtId="167" fontId="13" fillId="0" borderId="17" xfId="0" applyNumberFormat="1" applyFont="1" applyFill="1" applyBorder="1" applyAlignment="1">
      <alignment horizontal="right"/>
    </xf>
    <xf numFmtId="167" fontId="19" fillId="0" borderId="17" xfId="0" applyNumberFormat="1" applyFont="1" applyFill="1" applyBorder="1" applyAlignment="1">
      <alignment horizontal="right"/>
    </xf>
    <xf numFmtId="37" fontId="14" fillId="0" borderId="17" xfId="51" applyNumberFormat="1" applyFont="1" applyFill="1" applyBorder="1" applyAlignment="1">
      <alignment horizontal="right"/>
    </xf>
    <xf numFmtId="172" fontId="19" fillId="0" borderId="17" xfId="51" applyNumberFormat="1" applyFont="1" applyFill="1" applyBorder="1" applyAlignment="1">
      <alignment horizontal="right"/>
    </xf>
    <xf numFmtId="165" fontId="14" fillId="0" borderId="17" xfId="51" applyNumberFormat="1" applyFont="1" applyFill="1" applyBorder="1" applyAlignment="1">
      <alignment horizontal="right"/>
    </xf>
    <xf numFmtId="43" fontId="14" fillId="0" borderId="17" xfId="51" applyNumberFormat="1" applyFont="1" applyFill="1" applyBorder="1" applyAlignment="1">
      <alignment horizontal="right"/>
    </xf>
    <xf numFmtId="171" fontId="13" fillId="0" borderId="17" xfId="51" applyNumberFormat="1" applyFont="1" applyFill="1" applyBorder="1" applyAlignment="1">
      <alignment horizontal="right"/>
    </xf>
    <xf numFmtId="37" fontId="13" fillId="0" borderId="17" xfId="51" applyNumberFormat="1" applyFont="1" applyFill="1" applyBorder="1" applyAlignment="1">
      <alignment horizontal="right"/>
    </xf>
    <xf numFmtId="171" fontId="19" fillId="0" borderId="17" xfId="51" applyNumberFormat="1" applyFont="1" applyFill="1" applyBorder="1" applyAlignment="1">
      <alignment horizontal="right"/>
    </xf>
    <xf numFmtId="168" fontId="14" fillId="0" borderId="17" xfId="0" applyNumberFormat="1" applyFont="1" applyFill="1" applyBorder="1"/>
    <xf numFmtId="39" fontId="14" fillId="0" borderId="17" xfId="51" applyNumberFormat="1" applyFont="1" applyFill="1" applyBorder="1" applyAlignment="1">
      <alignment horizontal="right"/>
    </xf>
    <xf numFmtId="172" fontId="16" fillId="0" borderId="17" xfId="51" applyNumberFormat="1" applyFont="1" applyFill="1" applyBorder="1" applyAlignment="1">
      <alignment horizontal="right"/>
    </xf>
    <xf numFmtId="171" fontId="22" fillId="0" borderId="17" xfId="51" applyNumberFormat="1" applyFont="1" applyFill="1" applyBorder="1" applyAlignment="1">
      <alignment horizontal="right"/>
    </xf>
    <xf numFmtId="185" fontId="14" fillId="0" borderId="17" xfId="0" applyNumberFormat="1" applyFont="1" applyFill="1" applyBorder="1" applyAlignment="1">
      <alignment horizontal="right"/>
    </xf>
    <xf numFmtId="43" fontId="13" fillId="0" borderId="17" xfId="51" applyNumberFormat="1" applyFont="1" applyFill="1" applyBorder="1" applyAlignment="1">
      <alignment horizontal="right"/>
    </xf>
    <xf numFmtId="166" fontId="13" fillId="0" borderId="17" xfId="0" applyNumberFormat="1" applyFont="1" applyFill="1" applyBorder="1" applyAlignment="1">
      <alignment horizontal="right"/>
    </xf>
    <xf numFmtId="166" fontId="13" fillId="20" borderId="17" xfId="0" applyNumberFormat="1" applyFont="1" applyFill="1" applyBorder="1" applyAlignment="1">
      <alignment horizontal="right"/>
    </xf>
    <xf numFmtId="176" fontId="14" fillId="0" borderId="17" xfId="0" applyNumberFormat="1" applyFont="1" applyFill="1" applyBorder="1" applyAlignment="1">
      <alignment horizontal="right"/>
    </xf>
    <xf numFmtId="177" fontId="14" fillId="0" borderId="17" xfId="0" applyNumberFormat="1" applyFont="1" applyFill="1" applyBorder="1" applyAlignment="1">
      <alignment horizontal="right"/>
    </xf>
    <xf numFmtId="167" fontId="14" fillId="0" borderId="17" xfId="0" applyNumberFormat="1" applyFont="1" applyFill="1" applyBorder="1"/>
    <xf numFmtId="178" fontId="14" fillId="0" borderId="17" xfId="0" applyNumberFormat="1" applyFont="1" applyFill="1" applyBorder="1" applyAlignment="1">
      <alignment horizontal="right"/>
    </xf>
    <xf numFmtId="165" fontId="14" fillId="0" borderId="17" xfId="81" applyNumberFormat="1" applyFont="1" applyFill="1" applyBorder="1" applyAlignment="1">
      <alignment horizontal="right"/>
    </xf>
    <xf numFmtId="41" fontId="14" fillId="0" borderId="17" xfId="0" applyNumberFormat="1" applyFont="1" applyFill="1" applyBorder="1" applyAlignment="1">
      <alignment horizontal="right"/>
    </xf>
    <xf numFmtId="9" fontId="14" fillId="0" borderId="17" xfId="81" applyFont="1" applyFill="1" applyBorder="1" applyAlignment="1">
      <alignment horizontal="right"/>
    </xf>
    <xf numFmtId="172" fontId="14" fillId="0" borderId="17" xfId="51" applyNumberFormat="1" applyFont="1" applyBorder="1"/>
    <xf numFmtId="172" fontId="14" fillId="20" borderId="17" xfId="51" applyNumberFormat="1" applyFont="1" applyFill="1" applyBorder="1"/>
    <xf numFmtId="172" fontId="14" fillId="0" borderId="17" xfId="0" applyNumberFormat="1" applyFont="1" applyBorder="1"/>
    <xf numFmtId="166" fontId="14" fillId="0" borderId="17" xfId="0" applyNumberFormat="1" applyFont="1" applyBorder="1"/>
    <xf numFmtId="0" fontId="29" fillId="0" borderId="17" xfId="0" applyFont="1" applyFill="1" applyBorder="1"/>
    <xf numFmtId="39" fontId="14" fillId="0" borderId="17" xfId="0" applyNumberFormat="1" applyFont="1" applyBorder="1"/>
    <xf numFmtId="0" fontId="14" fillId="0" borderId="17" xfId="0" applyFont="1" applyFill="1" applyBorder="1"/>
    <xf numFmtId="166" fontId="14" fillId="18" borderId="17" xfId="0" applyNumberFormat="1" applyFont="1" applyFill="1" applyBorder="1" applyAlignment="1"/>
    <xf numFmtId="39" fontId="16" fillId="18" borderId="17" xfId="0" applyNumberFormat="1" applyFont="1" applyFill="1" applyBorder="1" applyAlignment="1"/>
    <xf numFmtId="167" fontId="14" fillId="18" borderId="17" xfId="0" applyNumberFormat="1" applyFont="1" applyFill="1" applyBorder="1" applyAlignment="1"/>
    <xf numFmtId="0" fontId="14" fillId="18" borderId="17" xfId="0" applyFont="1" applyFill="1" applyBorder="1" applyAlignment="1"/>
    <xf numFmtId="43" fontId="14" fillId="18" borderId="17" xfId="0" applyNumberFormat="1" applyFont="1" applyFill="1" applyBorder="1" applyAlignment="1"/>
    <xf numFmtId="43" fontId="14" fillId="19" borderId="16" xfId="0" applyNumberFormat="1" applyFont="1" applyFill="1" applyBorder="1" applyAlignment="1"/>
    <xf numFmtId="43" fontId="16" fillId="18" borderId="17" xfId="51" applyNumberFormat="1" applyFont="1" applyFill="1" applyBorder="1" applyAlignment="1"/>
    <xf numFmtId="170" fontId="14" fillId="18" borderId="17" xfId="0" applyNumberFormat="1" applyFont="1" applyFill="1" applyBorder="1" applyAlignment="1"/>
    <xf numFmtId="165" fontId="16" fillId="18" borderId="17" xfId="0" applyNumberFormat="1" applyFont="1" applyFill="1" applyBorder="1" applyAlignment="1"/>
    <xf numFmtId="171" fontId="16" fillId="0" borderId="17" xfId="0" applyNumberFormat="1" applyFont="1" applyFill="1" applyBorder="1"/>
    <xf numFmtId="180" fontId="13" fillId="0" borderId="0" xfId="51" applyNumberFormat="1" applyFont="1" applyFill="1" applyBorder="1"/>
    <xf numFmtId="0" fontId="14" fillId="20" borderId="0" xfId="0" applyFont="1" applyFill="1" applyBorder="1" applyAlignment="1"/>
    <xf numFmtId="166" fontId="14" fillId="20" borderId="0" xfId="0" applyNumberFormat="1" applyFont="1" applyFill="1" applyBorder="1" applyAlignment="1"/>
    <xf numFmtId="43" fontId="16" fillId="20" borderId="0" xfId="51" applyNumberFormat="1" applyFont="1" applyFill="1" applyBorder="1" applyAlignment="1">
      <alignment horizontal="right"/>
    </xf>
    <xf numFmtId="43" fontId="19" fillId="20" borderId="0" xfId="0" applyNumberFormat="1" applyFont="1" applyFill="1" applyBorder="1" applyAlignment="1">
      <alignment horizontal="right"/>
    </xf>
    <xf numFmtId="43" fontId="19" fillId="20" borderId="0" xfId="0" applyNumberFormat="1" applyFont="1" applyFill="1" applyBorder="1" applyAlignment="1"/>
    <xf numFmtId="49" fontId="54" fillId="0" borderId="0" xfId="51" applyNumberFormat="1" applyFont="1" applyFill="1" applyBorder="1" applyAlignment="1">
      <alignment horizontal="left"/>
    </xf>
    <xf numFmtId="0" fontId="1" fillId="33" borderId="0" xfId="118" applyFont="1" applyFill="1" applyAlignment="1">
      <alignment vertical="top"/>
    </xf>
    <xf numFmtId="0" fontId="1" fillId="33" borderId="0" xfId="114" applyFill="1" applyAlignment="1">
      <alignment vertical="top"/>
    </xf>
    <xf numFmtId="0" fontId="1" fillId="33" borderId="0" xfId="114" applyFill="1"/>
    <xf numFmtId="0" fontId="7" fillId="33" borderId="0" xfId="118" applyFont="1" applyFill="1" applyAlignment="1">
      <alignment horizontal="left" vertical="top"/>
    </xf>
    <xf numFmtId="0" fontId="1" fillId="33" borderId="0" xfId="114" applyFont="1" applyFill="1" applyAlignment="1">
      <alignment vertical="top"/>
    </xf>
    <xf numFmtId="0" fontId="106" fillId="33" borderId="0" xfId="118" applyFont="1" applyFill="1" applyAlignment="1">
      <alignment vertical="top"/>
    </xf>
    <xf numFmtId="0" fontId="0" fillId="33" borderId="0" xfId="0" applyFill="1" applyAlignment="1">
      <alignment vertical="top"/>
    </xf>
    <xf numFmtId="0" fontId="107" fillId="33" borderId="0" xfId="0" applyFont="1" applyFill="1" applyAlignment="1">
      <alignment vertical="top"/>
    </xf>
    <xf numFmtId="0" fontId="108" fillId="33" borderId="0" xfId="0" applyFont="1" applyFill="1" applyAlignment="1">
      <alignment vertical="top"/>
    </xf>
    <xf numFmtId="0" fontId="108" fillId="33" borderId="0" xfId="0" applyFont="1" applyFill="1" applyAlignment="1">
      <alignment vertical="top"/>
    </xf>
    <xf numFmtId="0" fontId="107" fillId="33" borderId="0" xfId="0" applyFont="1" applyFill="1" applyAlignment="1">
      <alignment vertical="top"/>
    </xf>
    <xf numFmtId="0" fontId="0" fillId="33" borderId="0" xfId="0" applyFill="1" applyAlignment="1">
      <alignment vertical="top"/>
    </xf>
    <xf numFmtId="0" fontId="0" fillId="33" borderId="32" xfId="0" applyFill="1" applyBorder="1" applyAlignment="1">
      <alignment vertical="top"/>
    </xf>
    <xf numFmtId="0" fontId="107" fillId="33" borderId="28" xfId="0" applyFont="1" applyFill="1" applyBorder="1" applyAlignment="1">
      <alignment vertical="top"/>
    </xf>
    <xf numFmtId="0" fontId="107" fillId="33" borderId="29" xfId="0" applyFont="1" applyFill="1" applyBorder="1" applyAlignment="1">
      <alignment vertical="top"/>
    </xf>
    <xf numFmtId="0" fontId="107" fillId="33" borderId="30" xfId="0" applyFont="1" applyFill="1" applyBorder="1" applyAlignment="1">
      <alignment vertical="top"/>
    </xf>
    <xf numFmtId="0" fontId="107" fillId="33" borderId="31" xfId="0" applyFont="1" applyFill="1" applyBorder="1" applyAlignment="1">
      <alignment vertical="top"/>
    </xf>
    <xf numFmtId="9" fontId="107" fillId="33" borderId="28" xfId="0" applyNumberFormat="1" applyFont="1" applyFill="1" applyBorder="1" applyAlignment="1">
      <alignment vertical="top"/>
    </xf>
    <xf numFmtId="3" fontId="107" fillId="33" borderId="28" xfId="0" applyNumberFormat="1" applyFont="1" applyFill="1" applyBorder="1" applyAlignment="1">
      <alignment vertical="top"/>
    </xf>
    <xf numFmtId="0" fontId="0" fillId="33" borderId="33" xfId="0" applyFill="1" applyBorder="1" applyAlignment="1">
      <alignment vertical="top"/>
    </xf>
    <xf numFmtId="2" fontId="1" fillId="0" borderId="0" xfId="114" applyNumberFormat="1" applyAlignment="1">
      <alignment horizontal="left"/>
    </xf>
    <xf numFmtId="0" fontId="1" fillId="0" borderId="0" xfId="114" applyNumberFormat="1" applyAlignment="1">
      <alignment horizontal="left"/>
    </xf>
    <xf numFmtId="1" fontId="1" fillId="0" borderId="0" xfId="114" applyNumberFormat="1" applyAlignment="1">
      <alignment horizontal="left"/>
    </xf>
    <xf numFmtId="0" fontId="1" fillId="0" borderId="0" xfId="114" applyFont="1"/>
    <xf numFmtId="201" fontId="1" fillId="0" borderId="0" xfId="114" applyNumberFormat="1" applyAlignment="1">
      <alignment horizontal="left"/>
    </xf>
    <xf numFmtId="49" fontId="1" fillId="0" borderId="0" xfId="114" applyNumberFormat="1"/>
  </cellXfs>
  <cellStyles count="119">
    <cellStyle name="$ 0 decimal" xfId="1"/>
    <cellStyle name="$ 1 decimal" xfId="2"/>
    <cellStyle name="$ 2 decimals" xfId="3"/>
    <cellStyle name="%" xfId="4"/>
    <cellStyle name="?? [0.00]_HELPDESK_jp1.xls Chart 1" xfId="5"/>
    <cellStyle name="_INPUT" xfId="6"/>
    <cellStyle name="_RRS1" xfId="7"/>
    <cellStyle name="_RRS1 2" xfId="110"/>
    <cellStyle name="_RRS1 3" xfId="117"/>
    <cellStyle name="_RRS1_1" xfId="8"/>
    <cellStyle name="_RRS1_INPUT" xfId="9"/>
    <cellStyle name="_RRS3" xfId="111"/>
    <cellStyle name="_RRS5" xfId="10"/>
    <cellStyle name="_RRS6" xfId="11"/>
    <cellStyle name="_SUMMARY " xfId="12"/>
    <cellStyle name="’Ê‰Ý [0.00]_GE 3 MINIMUM" xfId="13"/>
    <cellStyle name="’Ê‰Ý_GE 3 MINIMUM" xfId="14"/>
    <cellStyle name="¥ 0 decimal" xfId="16"/>
    <cellStyle name="=C:\WINNT35\SYSTEM32\COMMAND.COM" xfId="15"/>
    <cellStyle name="•W€_GE 3 MINIMUM" xfId="18"/>
    <cellStyle name="•W_GE 3 MINIMUM" xfId="17"/>
    <cellStyle name="0_Capex &amp; Depreciation " xfId="19"/>
    <cellStyle name="0_Valuing BP " xfId="20"/>
    <cellStyle name="20% - Accent1" xfId="21" builtinId="30" customBuiltin="1"/>
    <cellStyle name="20% - Accent2" xfId="22" builtinId="34" customBuiltin="1"/>
    <cellStyle name="20% - Accent3" xfId="23" builtinId="38" customBuiltin="1"/>
    <cellStyle name="20% - Accent4" xfId="24" builtinId="42" customBuiltin="1"/>
    <cellStyle name="20% - Accent5" xfId="25" builtinId="46" customBuiltin="1"/>
    <cellStyle name="20% - Accent6" xfId="26" builtinId="50" customBuiltin="1"/>
    <cellStyle name="40% - Accent1" xfId="27" builtinId="31" customBuiltin="1"/>
    <cellStyle name="40% - Accent2" xfId="28" builtinId="35" customBuiltin="1"/>
    <cellStyle name="40% - Accent3" xfId="29" builtinId="39" customBuiltin="1"/>
    <cellStyle name="40% - Accent4" xfId="30" builtinId="43" customBuiltin="1"/>
    <cellStyle name="40% - Accent5" xfId="31" builtinId="47" customBuiltin="1"/>
    <cellStyle name="40% - Accent6" xfId="32" builtinId="51" customBuiltin="1"/>
    <cellStyle name="60% - Accent1" xfId="33" builtinId="32" customBuiltin="1"/>
    <cellStyle name="60% - Accent2" xfId="34" builtinId="36" customBuiltin="1"/>
    <cellStyle name="60% - Accent3" xfId="35" builtinId="40" customBuiltin="1"/>
    <cellStyle name="60% - Accent4" xfId="36" builtinId="44" customBuiltin="1"/>
    <cellStyle name="60% - Accent5" xfId="37" builtinId="48" customBuiltin="1"/>
    <cellStyle name="60% - Accent6" xfId="38" builtinId="52" customBuiltin="1"/>
    <cellStyle name="Accent1" xfId="39" builtinId="29" customBuiltin="1"/>
    <cellStyle name="Accent2" xfId="40" builtinId="33" customBuiltin="1"/>
    <cellStyle name="Accent3" xfId="41" builtinId="37" customBuiltin="1"/>
    <cellStyle name="Accent4" xfId="42" builtinId="41" customBuiltin="1"/>
    <cellStyle name="Accent5" xfId="43" builtinId="45" customBuiltin="1"/>
    <cellStyle name="Accent6" xfId="44" builtinId="49" customBuiltin="1"/>
    <cellStyle name="Bad" xfId="45" builtinId="27" customBuiltin="1"/>
    <cellStyle name="Blue" xfId="46"/>
    <cellStyle name="c_HardInc " xfId="47"/>
    <cellStyle name="Calculation" xfId="48" builtinId="22" customBuiltin="1"/>
    <cellStyle name="Changeable" xfId="49"/>
    <cellStyle name="Check Cell" xfId="50" builtinId="23" customBuiltin="1"/>
    <cellStyle name="Comma" xfId="51" builtinId="3"/>
    <cellStyle name="Comma 2" xfId="109"/>
    <cellStyle name="Currency 2" xfId="104"/>
    <cellStyle name="Currency 2 2" xfId="115"/>
    <cellStyle name="Currency 3" xfId="107"/>
    <cellStyle name="date" xfId="52"/>
    <cellStyle name="decimal 0" xfId="53"/>
    <cellStyle name="decimal 1" xfId="54"/>
    <cellStyle name="decimal 2" xfId="55"/>
    <cellStyle name="Explanatory Text" xfId="56" builtinId="53" customBuiltin="1"/>
    <cellStyle name="Fail" xfId="57"/>
    <cellStyle name="FiscalPeriod" xfId="58"/>
    <cellStyle name="Good" xfId="59" builtinId="26" customBuiltin="1"/>
    <cellStyle name="Heading 1" xfId="60" builtinId="16" customBuiltin="1"/>
    <cellStyle name="Heading 2" xfId="61" builtinId="17" customBuiltin="1"/>
    <cellStyle name="Heading 3" xfId="62" builtinId="18" customBuiltin="1"/>
    <cellStyle name="Heading 4" xfId="63" builtinId="19" customBuiltin="1"/>
    <cellStyle name="Hidden" xfId="64"/>
    <cellStyle name="Hyperlink 2" xfId="112"/>
    <cellStyle name="Input" xfId="65" builtinId="20" customBuiltin="1"/>
    <cellStyle name="Linked Cell" xfId="66" builtinId="24" customBuiltin="1"/>
    <cellStyle name="MetricLabel" xfId="67"/>
    <cellStyle name="MetricLabelBlue" xfId="68"/>
    <cellStyle name="MetricValue" xfId="69"/>
    <cellStyle name="Neutral" xfId="70" builtinId="28" customBuiltin="1"/>
    <cellStyle name="Normal" xfId="0" builtinId="0"/>
    <cellStyle name="Normal 2" xfId="103"/>
    <cellStyle name="Normal 2 2" xfId="114"/>
    <cellStyle name="Normal 3" xfId="71"/>
    <cellStyle name="Normal 3 2" xfId="116"/>
    <cellStyle name="Normal 4" xfId="105"/>
    <cellStyle name="Normal 5" xfId="108"/>
    <cellStyle name="Normal_DisclaimerSheet Samples" xfId="118"/>
    <cellStyle name="Normal_HIG" xfId="72"/>
    <cellStyle name="Normalny_Ferrum . Valuation . CA IB . 8" xfId="73"/>
    <cellStyle name="Note" xfId="74" builtinId="10" customBuiltin="1"/>
    <cellStyle name="Œ…‹æØ‚è [0.00]_GE 3 MINIMUM" xfId="75"/>
    <cellStyle name="Œ…‹æØ‚è_GE 3 MINIMUM" xfId="76"/>
    <cellStyle name="onedecimal" xfId="77"/>
    <cellStyle name="Output" xfId="78" builtinId="21" customBuiltin="1"/>
    <cellStyle name="p " xfId="79"/>
    <cellStyle name="Pass" xfId="80"/>
    <cellStyle name="Percent" xfId="81" builtinId="5"/>
    <cellStyle name="percent 1 decimal" xfId="82"/>
    <cellStyle name="percent 2 decimal" xfId="83"/>
    <cellStyle name="percent no decimal" xfId="84"/>
    <cellStyle name="RRSInstruction" xfId="85"/>
    <cellStyle name="RRSInstruction 2" xfId="106"/>
    <cellStyle name="s_HardInc " xfId="86"/>
    <cellStyle name="s_Valuation " xfId="87"/>
    <cellStyle name="ssp " xfId="88"/>
    <cellStyle name="Style 1" xfId="89"/>
    <cellStyle name="Style 2" xfId="90"/>
    <cellStyle name="Style 2 2" xfId="113"/>
    <cellStyle name="Style 3" xfId="91"/>
    <cellStyle name="Style 4" xfId="92"/>
    <cellStyle name="Style 5" xfId="93"/>
    <cellStyle name="Title" xfId="94" builtinId="15" customBuiltin="1"/>
    <cellStyle name="Total" xfId="95" builtinId="25" customBuiltin="1"/>
    <cellStyle name="underline" xfId="96"/>
    <cellStyle name="underline 1 decimal" xfId="97"/>
    <cellStyle name="underline 2 decimals" xfId="98"/>
    <cellStyle name="underline flush left" xfId="99"/>
    <cellStyle name="underline no decimals" xfId="100"/>
    <cellStyle name="underline_UNM new charts" xfId="101"/>
    <cellStyle name="Warning Text" xfId="102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12607F"/>
      <rgbColor rgb="009DC9DC"/>
      <rgbColor rgb="00DDDDDD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FFFF00"/>
      <rgbColor rgb="008E466A"/>
      <rgbColor rgb="001B4694"/>
      <rgbColor rgb="00333333"/>
    </indexedColors>
    <mruColors>
      <color rgb="FFDCE6F1"/>
      <color rgb="FF006699"/>
      <color rgb="FF7F7F7F"/>
      <color rgb="FFB4C8D8"/>
      <color rgb="FFDDDDDD"/>
      <color rgb="FF2270AB"/>
      <color rgb="FFBFBFB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>
        <v>107.56999969482422</v>
        <stp/>
        <stp>TROW</stp>
        <stp>TF.RT.PriceLast()</stp>
        <tr r="B27" s="180"/>
      </tp>
      <tp>
        <v>49.819999694824219</v>
        <stp/>
        <stp>VOYA</stp>
        <stp>TF.RT.PriceLast()</stp>
        <tr r="B28" s="180"/>
      </tp>
      <tp>
        <v>1018</v>
        <stp/>
        <stp>HABITAT-SN</stp>
        <stp>TF.RT.PriceLast()</stp>
        <tr r="B34" s="180"/>
      </tp>
      <tp>
        <v>61.039997100830078</v>
        <stp/>
        <stp>PFG</stp>
        <stp>TF.RT.PriceLast()</stp>
        <tr r="B41" s="180"/>
      </tp>
      <tp>
        <v>47.680000305175781</v>
        <stp/>
        <stp>UNM</stp>
        <stp>TF.RT.PriceLast()</stp>
        <tr r="B39" s="180"/>
      </tp>
      <tp>
        <v>34.369998931884766</v>
        <stp/>
        <stp>BEN</stp>
        <stp>TF.RT.PriceLast()</stp>
        <tr r="B32" s="180"/>
      </tp>
      <tp>
        <v>536.30999755859375</v>
        <stp/>
        <stp>BLK</stp>
        <stp>TF.RT.PriceLast()</stp>
        <tr r="B33" s="180"/>
      </tp>
      <tp>
        <v>23.629999160766602</v>
        <stp/>
        <stp>MFC-T</stp>
        <stp>TF.RT.PriceLast()</stp>
        <tr r="B26" s="180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theme/theme1.xml" Type="http://schemas.openxmlformats.org/officeDocument/2006/relationships/theme"/>
<Relationship Id="rId12" Target="styles.xml" Type="http://schemas.openxmlformats.org/officeDocument/2006/relationships/styles"/>
<Relationship Id="rId13" Target="sharedStrings.xml" Type="http://schemas.openxmlformats.org/officeDocument/2006/relationships/sharedStrings"/>
<Relationship Id="rId14" Target="calcChain.xml" Type="http://schemas.openxmlformats.org/officeDocument/2006/relationships/calcChain"/>
<Relationship Id="rId15" Target="../customXml/item1.xml" Type="http://schemas.openxmlformats.org/officeDocument/2006/relationships/customXml"/>
<Relationship Id="rId16" Target="../customXml/item2.xml" Type="http://schemas.openxmlformats.org/officeDocument/2006/relationships/customXml"/>
<Relationship Id="rId17" Target="volatileDependencies.xml" Type="http://schemas.openxmlformats.org/officeDocument/2006/relationships/volatileDependencies"/>
<Relationship Id="rId18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184</xdr:row>
      <xdr:rowOff>0</xdr:rowOff>
    </xdr:from>
    <xdr:to>
      <xdr:col>7</xdr:col>
      <xdr:colOff>390525</xdr:colOff>
      <xdr:row>207</xdr:row>
      <xdr:rowOff>104775</xdr:rowOff>
    </xdr:to>
    <xdr:pic>
      <xdr:nvPicPr>
        <xdr:cNvPr id="633857" name="Picture 1" descr="C:\Users\huangb\AppData\Local\Temp\MercuryPriceRatingHistoryChart\PFG.O_2018_04_05_00_10_4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4226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"/>
  <sheetViews>
    <sheetView workbookViewId="0"/>
  </sheetViews>
  <sheetFormatPr defaultRowHeight="12.75" x14ac:dyDescent="0.2"/>
  <sheetData>
    <row r="1" spans="1:20" x14ac:dyDescent="0.2">
      <c r="A1" t="s">
        <v>718</v>
      </c>
    </row>
    <row r="2" spans="1:20" x14ac:dyDescent="0.2">
      <c r="A2" s="1" t="s">
        <v>715</v>
      </c>
      <c r="B2" s="1" t="s">
        <v>25</v>
      </c>
      <c r="C2" s="1" t="s">
        <v>26</v>
      </c>
      <c r="D2" s="1" t="s">
        <v>489</v>
      </c>
      <c r="E2" s="1" t="s">
        <v>273</v>
      </c>
      <c r="F2" s="1" t="s">
        <v>489</v>
      </c>
      <c r="G2" s="1" t="s">
        <v>24</v>
      </c>
      <c r="H2" s="1" t="s">
        <v>489</v>
      </c>
      <c r="I2" s="1" t="s">
        <v>275</v>
      </c>
      <c r="J2" s="1" t="s">
        <v>489</v>
      </c>
      <c r="K2" s="1" t="s">
        <v>276</v>
      </c>
      <c r="L2" s="1" t="s">
        <v>40</v>
      </c>
      <c r="M2" s="1" t="s">
        <v>716</v>
      </c>
      <c r="N2" s="1" t="s">
        <v>394</v>
      </c>
      <c r="O2" s="1" t="s">
        <v>27</v>
      </c>
      <c r="P2" s="1" t="s">
        <v>489</v>
      </c>
      <c r="Q2" s="1" t="s">
        <v>717</v>
      </c>
      <c r="R2" s="1" t="s">
        <v>720</v>
      </c>
      <c r="S2" s="1" t="s">
        <v>274</v>
      </c>
      <c r="T2" s="1" t="s">
        <v>489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01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1009" customWidth="1"/>
    <col min="2" max="5" width="9.140625" style="1009"/>
    <col min="6" max="6" width="18.7109375" style="1009" customWidth="1"/>
    <col min="7" max="256" width="9.140625" style="1009"/>
    <col min="257" max="257" width="100.7109375" style="1009" customWidth="1"/>
    <col min="258" max="512" width="9.140625" style="1009"/>
    <col min="513" max="513" width="100.7109375" style="1009" customWidth="1"/>
    <col min="514" max="768" width="9.140625" style="1009"/>
    <col min="769" max="769" width="100.7109375" style="1009" customWidth="1"/>
    <col min="770" max="1024" width="9.140625" style="1009"/>
    <col min="1025" max="1025" width="100.7109375" style="1009" customWidth="1"/>
    <col min="1026" max="1280" width="9.140625" style="1009"/>
    <col min="1281" max="1281" width="100.7109375" style="1009" customWidth="1"/>
    <col min="1282" max="1536" width="9.140625" style="1009"/>
    <col min="1537" max="1537" width="100.7109375" style="1009" customWidth="1"/>
    <col min="1538" max="1792" width="9.140625" style="1009"/>
    <col min="1793" max="1793" width="100.7109375" style="1009" customWidth="1"/>
    <col min="1794" max="2048" width="9.140625" style="1009"/>
    <col min="2049" max="2049" width="100.7109375" style="1009" customWidth="1"/>
    <col min="2050" max="2304" width="9.140625" style="1009"/>
    <col min="2305" max="2305" width="100.7109375" style="1009" customWidth="1"/>
    <col min="2306" max="2560" width="9.140625" style="1009"/>
    <col min="2561" max="2561" width="100.7109375" style="1009" customWidth="1"/>
    <col min="2562" max="2816" width="9.140625" style="1009"/>
    <col min="2817" max="2817" width="100.7109375" style="1009" customWidth="1"/>
    <col min="2818" max="3072" width="9.140625" style="1009"/>
    <col min="3073" max="3073" width="100.7109375" style="1009" customWidth="1"/>
    <col min="3074" max="3328" width="9.140625" style="1009"/>
    <col min="3329" max="3329" width="100.7109375" style="1009" customWidth="1"/>
    <col min="3330" max="3584" width="9.140625" style="1009"/>
    <col min="3585" max="3585" width="100.7109375" style="1009" customWidth="1"/>
    <col min="3586" max="3840" width="9.140625" style="1009"/>
    <col min="3841" max="3841" width="100.7109375" style="1009" customWidth="1"/>
    <col min="3842" max="4096" width="9.140625" style="1009"/>
    <col min="4097" max="4097" width="100.7109375" style="1009" customWidth="1"/>
    <col min="4098" max="4352" width="9.140625" style="1009"/>
    <col min="4353" max="4353" width="100.7109375" style="1009" customWidth="1"/>
    <col min="4354" max="4608" width="9.140625" style="1009"/>
    <col min="4609" max="4609" width="100.7109375" style="1009" customWidth="1"/>
    <col min="4610" max="4864" width="9.140625" style="1009"/>
    <col min="4865" max="4865" width="100.7109375" style="1009" customWidth="1"/>
    <col min="4866" max="5120" width="9.140625" style="1009"/>
    <col min="5121" max="5121" width="100.7109375" style="1009" customWidth="1"/>
    <col min="5122" max="5376" width="9.140625" style="1009"/>
    <col min="5377" max="5377" width="100.7109375" style="1009" customWidth="1"/>
    <col min="5378" max="5632" width="9.140625" style="1009"/>
    <col min="5633" max="5633" width="100.7109375" style="1009" customWidth="1"/>
    <col min="5634" max="5888" width="9.140625" style="1009"/>
    <col min="5889" max="5889" width="100.7109375" style="1009" customWidth="1"/>
    <col min="5890" max="6144" width="9.140625" style="1009"/>
    <col min="6145" max="6145" width="100.7109375" style="1009" customWidth="1"/>
    <col min="6146" max="6400" width="9.140625" style="1009"/>
    <col min="6401" max="6401" width="100.7109375" style="1009" customWidth="1"/>
    <col min="6402" max="6656" width="9.140625" style="1009"/>
    <col min="6657" max="6657" width="100.7109375" style="1009" customWidth="1"/>
    <col min="6658" max="6912" width="9.140625" style="1009"/>
    <col min="6913" max="6913" width="100.7109375" style="1009" customWidth="1"/>
    <col min="6914" max="7168" width="9.140625" style="1009"/>
    <col min="7169" max="7169" width="100.7109375" style="1009" customWidth="1"/>
    <col min="7170" max="7424" width="9.140625" style="1009"/>
    <col min="7425" max="7425" width="100.7109375" style="1009" customWidth="1"/>
    <col min="7426" max="7680" width="9.140625" style="1009"/>
    <col min="7681" max="7681" width="100.7109375" style="1009" customWidth="1"/>
    <col min="7682" max="7936" width="9.140625" style="1009"/>
    <col min="7937" max="7937" width="100.7109375" style="1009" customWidth="1"/>
    <col min="7938" max="8192" width="9.140625" style="1009"/>
    <col min="8193" max="8193" width="100.7109375" style="1009" customWidth="1"/>
    <col min="8194" max="8448" width="9.140625" style="1009"/>
    <col min="8449" max="8449" width="100.7109375" style="1009" customWidth="1"/>
    <col min="8450" max="8704" width="9.140625" style="1009"/>
    <col min="8705" max="8705" width="100.7109375" style="1009" customWidth="1"/>
    <col min="8706" max="8960" width="9.140625" style="1009"/>
    <col min="8961" max="8961" width="100.7109375" style="1009" customWidth="1"/>
    <col min="8962" max="9216" width="9.140625" style="1009"/>
    <col min="9217" max="9217" width="100.7109375" style="1009" customWidth="1"/>
    <col min="9218" max="9472" width="9.140625" style="1009"/>
    <col min="9473" max="9473" width="100.7109375" style="1009" customWidth="1"/>
    <col min="9474" max="9728" width="9.140625" style="1009"/>
    <col min="9729" max="9729" width="100.7109375" style="1009" customWidth="1"/>
    <col min="9730" max="9984" width="9.140625" style="1009"/>
    <col min="9985" max="9985" width="100.7109375" style="1009" customWidth="1"/>
    <col min="9986" max="10240" width="9.140625" style="1009"/>
    <col min="10241" max="10241" width="100.7109375" style="1009" customWidth="1"/>
    <col min="10242" max="10496" width="9.140625" style="1009"/>
    <col min="10497" max="10497" width="100.7109375" style="1009" customWidth="1"/>
    <col min="10498" max="10752" width="9.140625" style="1009"/>
    <col min="10753" max="10753" width="100.7109375" style="1009" customWidth="1"/>
    <col min="10754" max="11008" width="9.140625" style="1009"/>
    <col min="11009" max="11009" width="100.7109375" style="1009" customWidth="1"/>
    <col min="11010" max="11264" width="9.140625" style="1009"/>
    <col min="11265" max="11265" width="100.7109375" style="1009" customWidth="1"/>
    <col min="11266" max="11520" width="9.140625" style="1009"/>
    <col min="11521" max="11521" width="100.7109375" style="1009" customWidth="1"/>
    <col min="11522" max="11776" width="9.140625" style="1009"/>
    <col min="11777" max="11777" width="100.7109375" style="1009" customWidth="1"/>
    <col min="11778" max="12032" width="9.140625" style="1009"/>
    <col min="12033" max="12033" width="100.7109375" style="1009" customWidth="1"/>
    <col min="12034" max="12288" width="9.140625" style="1009"/>
    <col min="12289" max="12289" width="100.7109375" style="1009" customWidth="1"/>
    <col min="12290" max="12544" width="9.140625" style="1009"/>
    <col min="12545" max="12545" width="100.7109375" style="1009" customWidth="1"/>
    <col min="12546" max="12800" width="9.140625" style="1009"/>
    <col min="12801" max="12801" width="100.7109375" style="1009" customWidth="1"/>
    <col min="12802" max="13056" width="9.140625" style="1009"/>
    <col min="13057" max="13057" width="100.7109375" style="1009" customWidth="1"/>
    <col min="13058" max="13312" width="9.140625" style="1009"/>
    <col min="13313" max="13313" width="100.7109375" style="1009" customWidth="1"/>
    <col min="13314" max="13568" width="9.140625" style="1009"/>
    <col min="13569" max="13569" width="100.7109375" style="1009" customWidth="1"/>
    <col min="13570" max="13824" width="9.140625" style="1009"/>
    <col min="13825" max="13825" width="100.7109375" style="1009" customWidth="1"/>
    <col min="13826" max="14080" width="9.140625" style="1009"/>
    <col min="14081" max="14081" width="100.7109375" style="1009" customWidth="1"/>
    <col min="14082" max="14336" width="9.140625" style="1009"/>
    <col min="14337" max="14337" width="100.7109375" style="1009" customWidth="1"/>
    <col min="14338" max="14592" width="9.140625" style="1009"/>
    <col min="14593" max="14593" width="100.7109375" style="1009" customWidth="1"/>
    <col min="14594" max="14848" width="9.140625" style="1009"/>
    <col min="14849" max="14849" width="100.7109375" style="1009" customWidth="1"/>
    <col min="14850" max="15104" width="9.140625" style="1009"/>
    <col min="15105" max="15105" width="100.7109375" style="1009" customWidth="1"/>
    <col min="15106" max="15360" width="9.140625" style="1009"/>
    <col min="15361" max="15361" width="100.7109375" style="1009" customWidth="1"/>
    <col min="15362" max="15616" width="9.140625" style="1009"/>
    <col min="15617" max="15617" width="100.7109375" style="1009" customWidth="1"/>
    <col min="15618" max="15872" width="9.140625" style="1009"/>
    <col min="15873" max="15873" width="100.7109375" style="1009" customWidth="1"/>
    <col min="15874" max="16128" width="9.140625" style="1009"/>
    <col min="16129" max="16129" width="100.7109375" style="1009" customWidth="1"/>
    <col min="16130" max="16384" width="9.140625" style="1009"/>
  </cols>
  <sheetData>
    <row r="1" spans="1:8" ht="30" customHeight="1" x14ac:dyDescent="0.2">
      <c r="A1" s="1007"/>
      <c r="B1" s="1008"/>
      <c r="C1" s="1008"/>
      <c r="D1" s="1008"/>
      <c r="E1" s="1008"/>
      <c r="F1" s="1008"/>
      <c r="G1" s="1008"/>
      <c r="H1" s="1008"/>
    </row>
    <row r="2" spans="1:8" ht="14.25" x14ac:dyDescent="0.2">
      <c r="A2" s="1010" t="s">
        <v>729</v>
      </c>
      <c r="B2" s="1008"/>
      <c r="C2" s="1008"/>
      <c r="D2" s="1008"/>
      <c r="E2" s="1008"/>
      <c r="F2" s="1008"/>
      <c r="G2" s="1008"/>
      <c r="H2" s="1008"/>
    </row>
    <row r="3" spans="1:8" ht="14.25" x14ac:dyDescent="0.2">
      <c r="A3" s="1010" t="s">
        <v>730</v>
      </c>
      <c r="B3" s="1008"/>
      <c r="C3" s="1008"/>
      <c r="D3" s="1008"/>
      <c r="E3" s="1008"/>
      <c r="F3" s="1008"/>
      <c r="G3" s="1008"/>
      <c r="H3" s="1008"/>
    </row>
    <row r="4" spans="1:8" ht="14.25" x14ac:dyDescent="0.2">
      <c r="A4" s="1010" t="s">
        <v>731</v>
      </c>
      <c r="B4" s="1008"/>
      <c r="C4" s="1008"/>
      <c r="D4" s="1008"/>
      <c r="E4" s="1008"/>
      <c r="F4" s="1008"/>
      <c r="G4" s="1008"/>
      <c r="H4" s="1008"/>
    </row>
    <row r="5" spans="1:8" ht="14.25" x14ac:dyDescent="0.2">
      <c r="A5" s="1010" t="s">
        <v>732</v>
      </c>
      <c r="B5" s="1008"/>
      <c r="C5" s="1008"/>
      <c r="D5" s="1008"/>
      <c r="E5" s="1008"/>
      <c r="F5" s="1008"/>
      <c r="G5" s="1008"/>
      <c r="H5" s="1008"/>
    </row>
    <row r="6" spans="1:8" ht="14.25" x14ac:dyDescent="0.2">
      <c r="A6" s="1010"/>
      <c r="B6" s="1008"/>
      <c r="C6" s="1008"/>
      <c r="D6" s="1008"/>
      <c r="E6" s="1008"/>
      <c r="F6" s="1008"/>
      <c r="G6" s="1008"/>
      <c r="H6" s="1008"/>
    </row>
    <row r="7" spans="1:8" x14ac:dyDescent="0.2">
      <c r="A7" s="1007" t="s">
        <v>733</v>
      </c>
      <c r="B7" s="1008"/>
      <c r="C7" s="1008"/>
      <c r="D7" s="1008"/>
      <c r="E7" s="1008"/>
      <c r="F7" s="1008"/>
      <c r="G7" s="1008"/>
      <c r="H7" s="1008"/>
    </row>
    <row r="8" spans="1:8" x14ac:dyDescent="0.2">
      <c r="A8" s="1007" t="s">
        <v>734</v>
      </c>
      <c r="B8" s="1008"/>
      <c r="C8" s="1008"/>
      <c r="D8" s="1008"/>
      <c r="E8" s="1008"/>
      <c r="F8" s="1008"/>
      <c r="G8" s="1008"/>
      <c r="H8" s="1008"/>
    </row>
    <row r="9" spans="1:8" x14ac:dyDescent="0.2">
      <c r="A9" s="1007"/>
      <c r="B9" s="1008"/>
      <c r="C9" s="1008"/>
      <c r="D9" s="1008"/>
      <c r="E9" s="1008"/>
      <c r="F9" s="1008"/>
      <c r="G9" s="1008"/>
      <c r="H9" s="1008"/>
    </row>
    <row r="10" spans="1:8" x14ac:dyDescent="0.2">
      <c r="A10" s="1011" t="s">
        <v>735</v>
      </c>
      <c r="B10" s="1008"/>
      <c r="C10" s="1008"/>
      <c r="D10" s="1008"/>
      <c r="E10" s="1008"/>
      <c r="F10" s="1008"/>
      <c r="G10" s="1008"/>
      <c r="H10" s="1008"/>
    </row>
    <row r="11" spans="1:8" x14ac:dyDescent="0.2">
      <c r="A11" s="1011" t="s">
        <v>736</v>
      </c>
      <c r="B11" s="1008"/>
      <c r="C11" s="1008"/>
      <c r="D11" s="1008"/>
      <c r="E11" s="1008"/>
      <c r="F11" s="1008"/>
      <c r="G11" s="1008"/>
      <c r="H11" s="1008"/>
    </row>
    <row r="12" spans="1:8" x14ac:dyDescent="0.2">
      <c r="A12" s="1011" t="s">
        <v>737</v>
      </c>
      <c r="B12" s="1008"/>
      <c r="C12" s="1008"/>
      <c r="D12" s="1008"/>
      <c r="E12" s="1008"/>
      <c r="F12" s="1008"/>
      <c r="G12" s="1008"/>
      <c r="H12" s="1008"/>
    </row>
    <row r="13" spans="1:8" x14ac:dyDescent="0.2">
      <c r="A13" s="1011" t="s">
        <v>738</v>
      </c>
      <c r="B13" s="1008"/>
      <c r="C13" s="1008"/>
      <c r="D13" s="1008"/>
      <c r="E13" s="1008"/>
      <c r="F13" s="1008"/>
      <c r="G13" s="1008"/>
      <c r="H13" s="1008"/>
    </row>
    <row r="14" spans="1:8" x14ac:dyDescent="0.2">
      <c r="A14" s="1011" t="s">
        <v>739</v>
      </c>
      <c r="B14" s="1008"/>
      <c r="C14" s="1008"/>
      <c r="D14" s="1008"/>
      <c r="E14" s="1008"/>
      <c r="F14" s="1008"/>
      <c r="G14" s="1008"/>
      <c r="H14" s="1008"/>
    </row>
    <row r="15" spans="1:8" x14ac:dyDescent="0.2">
      <c r="A15" s="1011" t="s">
        <v>740</v>
      </c>
      <c r="B15" s="1008"/>
      <c r="C15" s="1008"/>
      <c r="D15" s="1008"/>
      <c r="E15" s="1008"/>
      <c r="F15" s="1008"/>
      <c r="G15" s="1008"/>
      <c r="H15" s="1008"/>
    </row>
    <row r="16" spans="1:8" x14ac:dyDescent="0.2">
      <c r="A16" s="1011"/>
      <c r="B16" s="1008"/>
      <c r="C16" s="1008"/>
      <c r="D16" s="1008"/>
      <c r="E16" s="1008"/>
      <c r="F16" s="1008"/>
      <c r="G16" s="1008"/>
      <c r="H16" s="1008"/>
    </row>
    <row r="17" spans="1:8" x14ac:dyDescent="0.2">
      <c r="A17" s="1011" t="s">
        <v>726</v>
      </c>
      <c r="B17" s="1008"/>
      <c r="C17" s="1008"/>
      <c r="D17" s="1008"/>
      <c r="E17" s="1008"/>
      <c r="F17" s="1008"/>
      <c r="G17" s="1008"/>
      <c r="H17" s="1008"/>
    </row>
    <row r="18" spans="1:8" x14ac:dyDescent="0.2">
      <c r="A18" s="1011"/>
      <c r="B18" s="1008"/>
      <c r="C18" s="1008"/>
      <c r="D18" s="1008"/>
      <c r="E18" s="1008"/>
      <c r="F18" s="1008"/>
      <c r="G18" s="1008"/>
      <c r="H18" s="1008"/>
    </row>
    <row r="19" spans="1:8" x14ac:dyDescent="0.2">
      <c r="A19" s="1011" t="s">
        <v>727</v>
      </c>
      <c r="B19" s="1008"/>
      <c r="C19" s="1008"/>
      <c r="D19" s="1008"/>
      <c r="E19" s="1008"/>
      <c r="F19" s="1008"/>
      <c r="G19" s="1008"/>
      <c r="H19" s="1008"/>
    </row>
    <row r="20" spans="1:8" x14ac:dyDescent="0.2">
      <c r="A20" s="1007"/>
      <c r="B20" s="1008"/>
      <c r="C20" s="1008"/>
      <c r="D20" s="1008"/>
      <c r="E20" s="1008"/>
      <c r="F20" s="1008"/>
      <c r="G20" s="1008"/>
      <c r="H20" s="1008"/>
    </row>
    <row r="21" spans="1:8" x14ac:dyDescent="0.2">
      <c r="A21" s="1012" t="s">
        <v>728</v>
      </c>
      <c r="B21" s="1008"/>
      <c r="C21" s="1008"/>
      <c r="D21" s="1008"/>
      <c r="E21" s="1008"/>
      <c r="F21" s="1008"/>
      <c r="G21" s="1008"/>
      <c r="H21" s="1008"/>
    </row>
    <row r="22" spans="1:8" x14ac:dyDescent="0.2">
      <c r="A22" s="1013"/>
      <c r="B22" s="1013"/>
      <c r="C22" s="1013"/>
      <c r="D22" s="1013"/>
      <c r="E22" s="1013"/>
      <c r="F22" s="1013"/>
      <c r="G22" s="1013"/>
      <c r="H22" s="1013"/>
    </row>
    <row r="23" spans="1:8" x14ac:dyDescent="0.2">
      <c r="A23" s="1014" t="s">
        <v>1026</v>
      </c>
      <c r="B23" s="1013"/>
      <c r="C23" s="1013"/>
      <c r="D23" s="1013"/>
      <c r="E23" s="1013"/>
      <c r="F23" s="1013"/>
      <c r="G23" s="1013"/>
      <c r="H23" s="1013"/>
    </row>
    <row r="24" spans="1:8" x14ac:dyDescent="0.2">
      <c r="A24" s="1014" t="s">
        <v>1027</v>
      </c>
      <c r="B24" s="1013"/>
      <c r="C24" s="1013"/>
      <c r="D24" s="1013"/>
      <c r="E24" s="1013"/>
      <c r="F24" s="1013"/>
      <c r="G24" s="1013"/>
      <c r="H24" s="1013"/>
    </row>
    <row r="25" spans="1:8" x14ac:dyDescent="0.2">
      <c r="A25" s="1014" t="s">
        <v>1028</v>
      </c>
      <c r="B25" s="1013"/>
      <c r="C25" s="1013"/>
      <c r="D25" s="1013"/>
      <c r="E25" s="1013"/>
      <c r="F25" s="1013"/>
      <c r="G25" s="1013"/>
      <c r="H25" s="1013"/>
    </row>
    <row r="26" spans="1:8" x14ac:dyDescent="0.2">
      <c r="A26" s="1014" t="s">
        <v>1029</v>
      </c>
      <c r="B26" s="1013"/>
      <c r="C26" s="1013"/>
      <c r="D26" s="1013"/>
      <c r="E26" s="1013"/>
      <c r="F26" s="1013"/>
      <c r="G26" s="1013"/>
      <c r="H26" s="1013"/>
    </row>
    <row r="27" spans="1:8" x14ac:dyDescent="0.2">
      <c r="A27" s="1013"/>
      <c r="B27" s="1013"/>
      <c r="C27" s="1013"/>
      <c r="D27" s="1013"/>
      <c r="E27" s="1013"/>
      <c r="F27" s="1013"/>
      <c r="G27" s="1013"/>
      <c r="H27" s="1013"/>
    </row>
    <row r="28" spans="1:8" x14ac:dyDescent="0.2">
      <c r="A28" s="1013"/>
      <c r="B28" s="1013"/>
      <c r="C28" s="1013"/>
      <c r="D28" s="1013"/>
      <c r="E28" s="1013"/>
      <c r="F28" s="1013"/>
      <c r="G28" s="1013"/>
      <c r="H28" s="1013"/>
    </row>
    <row r="29" spans="1:8" x14ac:dyDescent="0.2">
      <c r="A29" s="1014" t="s">
        <v>1021</v>
      </c>
      <c r="B29" s="1013"/>
      <c r="C29" s="1013"/>
      <c r="D29" s="1013"/>
      <c r="E29" s="1013"/>
      <c r="F29" s="1013"/>
      <c r="G29" s="1013"/>
      <c r="H29" s="1013"/>
    </row>
    <row r="30" spans="1:8" x14ac:dyDescent="0.2">
      <c r="A30" s="1014" t="s">
        <v>1022</v>
      </c>
      <c r="B30" s="1013"/>
      <c r="C30" s="1013"/>
      <c r="D30" s="1013"/>
      <c r="E30" s="1013"/>
      <c r="F30" s="1013"/>
      <c r="G30" s="1013"/>
      <c r="H30" s="1013"/>
    </row>
    <row r="31" spans="1:8" x14ac:dyDescent="0.2">
      <c r="A31" s="1014" t="s">
        <v>1023</v>
      </c>
      <c r="B31" s="1013"/>
      <c r="C31" s="1013"/>
      <c r="D31" s="1013"/>
      <c r="E31" s="1013"/>
      <c r="F31" s="1013"/>
      <c r="G31" s="1013"/>
      <c r="H31" s="1013"/>
    </row>
    <row r="32" spans="1:8" x14ac:dyDescent="0.2">
      <c r="A32" s="1014" t="s">
        <v>1024</v>
      </c>
      <c r="B32" s="1013"/>
      <c r="C32" s="1013"/>
      <c r="D32" s="1013"/>
      <c r="E32" s="1013"/>
      <c r="F32" s="1013"/>
      <c r="G32" s="1013"/>
      <c r="H32" s="1013"/>
    </row>
    <row r="33" spans="1:8" x14ac:dyDescent="0.2">
      <c r="A33" s="1014" t="s">
        <v>1025</v>
      </c>
      <c r="B33" s="1013"/>
      <c r="C33" s="1013"/>
      <c r="D33" s="1013"/>
      <c r="E33" s="1013"/>
      <c r="F33" s="1013"/>
      <c r="G33" s="1013"/>
      <c r="H33" s="1013"/>
    </row>
    <row r="34" spans="1:8" x14ac:dyDescent="0.2">
      <c r="A34" s="1013"/>
      <c r="B34" s="1013"/>
      <c r="C34" s="1013"/>
      <c r="D34" s="1013"/>
      <c r="E34" s="1013"/>
      <c r="F34" s="1013"/>
      <c r="G34" s="1013"/>
      <c r="H34" s="1013"/>
    </row>
    <row r="35" spans="1:8" x14ac:dyDescent="0.2">
      <c r="A35" s="1014" t="s">
        <v>1017</v>
      </c>
      <c r="B35" s="1013"/>
      <c r="C35" s="1013"/>
      <c r="D35" s="1013"/>
      <c r="E35" s="1013"/>
      <c r="F35" s="1013"/>
      <c r="G35" s="1013"/>
      <c r="H35" s="1013"/>
    </row>
    <row r="36" spans="1:8" x14ac:dyDescent="0.2">
      <c r="A36" s="1014" t="s">
        <v>1018</v>
      </c>
      <c r="B36" s="1013"/>
      <c r="C36" s="1013"/>
      <c r="D36" s="1013"/>
      <c r="E36" s="1013"/>
      <c r="F36" s="1013"/>
      <c r="G36" s="1013"/>
      <c r="H36" s="1013"/>
    </row>
    <row r="37" spans="1:8" x14ac:dyDescent="0.2">
      <c r="A37" s="1014" t="s">
        <v>1019</v>
      </c>
      <c r="B37" s="1013"/>
      <c r="C37" s="1013"/>
      <c r="D37" s="1013"/>
      <c r="E37" s="1013"/>
      <c r="F37" s="1013"/>
      <c r="G37" s="1013"/>
      <c r="H37" s="1013"/>
    </row>
    <row r="38" spans="1:8" x14ac:dyDescent="0.2">
      <c r="A38" s="1014" t="s">
        <v>1020</v>
      </c>
      <c r="B38" s="1013"/>
      <c r="C38" s="1013"/>
      <c r="D38" s="1013"/>
      <c r="E38" s="1013"/>
      <c r="F38" s="1013"/>
      <c r="G38" s="1013"/>
      <c r="H38" s="1013"/>
    </row>
    <row r="39" spans="1:8" x14ac:dyDescent="0.2">
      <c r="A39" s="1013"/>
      <c r="B39" s="1013"/>
      <c r="C39" s="1013"/>
      <c r="D39" s="1013"/>
      <c r="E39" s="1013"/>
      <c r="F39" s="1013"/>
      <c r="G39" s="1013"/>
      <c r="H39" s="1013"/>
    </row>
    <row r="40" spans="1:8" x14ac:dyDescent="0.2">
      <c r="A40" s="1014" t="s">
        <v>1011</v>
      </c>
      <c r="B40" s="1013"/>
      <c r="C40" s="1013"/>
      <c r="D40" s="1013"/>
      <c r="E40" s="1013"/>
      <c r="F40" s="1013"/>
      <c r="G40" s="1013"/>
      <c r="H40" s="1013"/>
    </row>
    <row r="41" spans="1:8" x14ac:dyDescent="0.2">
      <c r="A41" s="1014" t="s">
        <v>1012</v>
      </c>
      <c r="B41" s="1013"/>
      <c r="C41" s="1013"/>
      <c r="D41" s="1013"/>
      <c r="E41" s="1013"/>
      <c r="F41" s="1013"/>
      <c r="G41" s="1013"/>
      <c r="H41" s="1013"/>
    </row>
    <row r="42" spans="1:8" x14ac:dyDescent="0.2">
      <c r="A42" s="1014" t="s">
        <v>1013</v>
      </c>
      <c r="B42" s="1013"/>
      <c r="C42" s="1013"/>
      <c r="D42" s="1013"/>
      <c r="E42" s="1013"/>
      <c r="F42" s="1013"/>
      <c r="G42" s="1013"/>
      <c r="H42" s="1013"/>
    </row>
    <row r="43" spans="1:8" x14ac:dyDescent="0.2">
      <c r="A43" s="1014" t="s">
        <v>1014</v>
      </c>
      <c r="B43" s="1013"/>
      <c r="C43" s="1013"/>
      <c r="D43" s="1013"/>
      <c r="E43" s="1013"/>
      <c r="F43" s="1013"/>
      <c r="G43" s="1013"/>
      <c r="H43" s="1013"/>
    </row>
    <row r="44" spans="1:8" x14ac:dyDescent="0.2">
      <c r="A44" s="1014" t="s">
        <v>1015</v>
      </c>
      <c r="B44" s="1013"/>
      <c r="C44" s="1013"/>
      <c r="D44" s="1013"/>
      <c r="E44" s="1013"/>
      <c r="F44" s="1013"/>
      <c r="G44" s="1013"/>
      <c r="H44" s="1013"/>
    </row>
    <row r="45" spans="1:8" x14ac:dyDescent="0.2">
      <c r="A45" s="1014" t="s">
        <v>1016</v>
      </c>
      <c r="B45" s="1013"/>
      <c r="C45" s="1013"/>
      <c r="D45" s="1013"/>
      <c r="E45" s="1013"/>
      <c r="F45" s="1013"/>
      <c r="G45" s="1013"/>
      <c r="H45" s="1013"/>
    </row>
    <row r="46" spans="1:8" x14ac:dyDescent="0.2">
      <c r="A46" s="1013"/>
      <c r="B46" s="1013"/>
      <c r="C46" s="1013"/>
      <c r="D46" s="1013"/>
      <c r="E46" s="1013"/>
      <c r="F46" s="1013"/>
      <c r="G46" s="1013"/>
      <c r="H46" s="1013"/>
    </row>
    <row r="47" spans="1:8" ht="15.75" x14ac:dyDescent="0.2">
      <c r="A47" s="1015" t="s">
        <v>741</v>
      </c>
      <c r="B47" s="1013"/>
      <c r="C47" s="1013"/>
      <c r="D47" s="1013"/>
      <c r="E47" s="1013"/>
      <c r="F47" s="1013"/>
      <c r="G47" s="1013"/>
      <c r="H47" s="1013"/>
    </row>
    <row r="48" spans="1:8" x14ac:dyDescent="0.2">
      <c r="A48" s="1013"/>
      <c r="B48" s="1013"/>
      <c r="C48" s="1013"/>
      <c r="D48" s="1013"/>
      <c r="E48" s="1013"/>
      <c r="F48" s="1013"/>
      <c r="G48" s="1013"/>
      <c r="H48" s="1013"/>
    </row>
    <row r="49" spans="1:8" x14ac:dyDescent="0.2">
      <c r="A49" s="1014" t="s">
        <v>1007</v>
      </c>
      <c r="B49" s="1013"/>
      <c r="C49" s="1013"/>
      <c r="D49" s="1013"/>
      <c r="E49" s="1013"/>
      <c r="F49" s="1013"/>
      <c r="G49" s="1013"/>
      <c r="H49" s="1013"/>
    </row>
    <row r="50" spans="1:8" x14ac:dyDescent="0.2">
      <c r="A50" s="1014" t="s">
        <v>1008</v>
      </c>
      <c r="B50" s="1013"/>
      <c r="C50" s="1013"/>
      <c r="D50" s="1013"/>
      <c r="E50" s="1013"/>
      <c r="F50" s="1013"/>
      <c r="G50" s="1013"/>
      <c r="H50" s="1013"/>
    </row>
    <row r="51" spans="1:8" x14ac:dyDescent="0.2">
      <c r="A51" s="1014" t="s">
        <v>1009</v>
      </c>
      <c r="B51" s="1013"/>
      <c r="C51" s="1013"/>
      <c r="D51" s="1013"/>
      <c r="E51" s="1013"/>
      <c r="F51" s="1013"/>
      <c r="G51" s="1013"/>
      <c r="H51" s="1013"/>
    </row>
    <row r="52" spans="1:8" x14ac:dyDescent="0.2">
      <c r="A52" s="1014" t="s">
        <v>1010</v>
      </c>
      <c r="B52" s="1013"/>
      <c r="C52" s="1013"/>
      <c r="D52" s="1013"/>
      <c r="E52" s="1013"/>
      <c r="F52" s="1013"/>
      <c r="G52" s="1013"/>
      <c r="H52" s="1013"/>
    </row>
    <row r="53" spans="1:8" x14ac:dyDescent="0.2">
      <c r="A53" s="1013"/>
      <c r="B53" s="1013"/>
      <c r="C53" s="1013"/>
      <c r="D53" s="1013"/>
      <c r="E53" s="1013"/>
      <c r="F53" s="1013"/>
      <c r="G53" s="1013"/>
      <c r="H53" s="1013"/>
    </row>
    <row r="54" spans="1:8" x14ac:dyDescent="0.2">
      <c r="A54" s="1014" t="s">
        <v>742</v>
      </c>
      <c r="B54" s="1013"/>
      <c r="C54" s="1013"/>
      <c r="D54" s="1013"/>
      <c r="E54" s="1013"/>
      <c r="F54" s="1013"/>
      <c r="G54" s="1013"/>
      <c r="H54" s="1013"/>
    </row>
    <row r="55" spans="1:8" x14ac:dyDescent="0.2">
      <c r="A55" s="1013"/>
      <c r="B55" s="1013"/>
      <c r="C55" s="1013"/>
      <c r="D55" s="1013"/>
      <c r="E55" s="1013"/>
      <c r="F55" s="1013"/>
      <c r="G55" s="1013"/>
      <c r="H55" s="1013"/>
    </row>
    <row r="56" spans="1:8" ht="15.75" x14ac:dyDescent="0.2">
      <c r="A56" s="1015" t="s">
        <v>743</v>
      </c>
      <c r="B56" s="1013"/>
      <c r="C56" s="1013"/>
      <c r="D56" s="1013"/>
      <c r="E56" s="1013"/>
      <c r="F56" s="1013"/>
      <c r="G56" s="1013"/>
      <c r="H56" s="1013"/>
    </row>
    <row r="57" spans="1:8" x14ac:dyDescent="0.2">
      <c r="A57" s="1013"/>
      <c r="B57" s="1013"/>
      <c r="C57" s="1013"/>
      <c r="D57" s="1013"/>
      <c r="E57" s="1013"/>
      <c r="F57" s="1013"/>
      <c r="G57" s="1013"/>
      <c r="H57" s="1013"/>
    </row>
    <row r="58" spans="1:8" x14ac:dyDescent="0.2">
      <c r="A58" s="1014" t="s">
        <v>1005</v>
      </c>
      <c r="B58" s="1013"/>
      <c r="C58" s="1013"/>
      <c r="D58" s="1013"/>
      <c r="E58" s="1013"/>
      <c r="F58" s="1013"/>
      <c r="G58" s="1013"/>
      <c r="H58" s="1013"/>
    </row>
    <row r="59" spans="1:8" x14ac:dyDescent="0.2">
      <c r="A59" s="1014" t="s">
        <v>1006</v>
      </c>
      <c r="B59" s="1013"/>
      <c r="C59" s="1013"/>
      <c r="D59" s="1013"/>
      <c r="E59" s="1013"/>
      <c r="F59" s="1013"/>
      <c r="G59" s="1013"/>
      <c r="H59" s="1013"/>
    </row>
    <row r="60" spans="1:8" x14ac:dyDescent="0.2">
      <c r="A60" s="1013"/>
      <c r="B60" s="1013"/>
      <c r="C60" s="1013"/>
      <c r="D60" s="1013"/>
      <c r="E60" s="1013"/>
      <c r="F60" s="1013"/>
      <c r="G60" s="1013"/>
      <c r="H60" s="1013"/>
    </row>
    <row r="61" spans="1:8" ht="15.75" x14ac:dyDescent="0.2">
      <c r="A61" s="1015" t="s">
        <v>744</v>
      </c>
      <c r="B61" s="1013"/>
      <c r="C61" s="1013"/>
      <c r="D61" s="1013"/>
      <c r="E61" s="1013"/>
      <c r="F61" s="1013"/>
      <c r="G61" s="1013"/>
      <c r="H61" s="1013"/>
    </row>
    <row r="62" spans="1:8" x14ac:dyDescent="0.2">
      <c r="A62" s="1013"/>
      <c r="B62" s="1013"/>
      <c r="C62" s="1013"/>
      <c r="D62" s="1013"/>
      <c r="E62" s="1013"/>
      <c r="F62" s="1013"/>
      <c r="G62" s="1013"/>
      <c r="H62" s="1013"/>
    </row>
    <row r="63" spans="1:8" x14ac:dyDescent="0.2">
      <c r="A63" s="1014" t="s">
        <v>1003</v>
      </c>
      <c r="B63" s="1013"/>
      <c r="C63" s="1013"/>
      <c r="D63" s="1013"/>
      <c r="E63" s="1013"/>
      <c r="F63" s="1013"/>
      <c r="G63" s="1013"/>
      <c r="H63" s="1013"/>
    </row>
    <row r="64" spans="1:8" x14ac:dyDescent="0.2">
      <c r="A64" s="1014" t="s">
        <v>1004</v>
      </c>
      <c r="B64" s="1013"/>
      <c r="C64" s="1013"/>
      <c r="D64" s="1013"/>
      <c r="E64" s="1013"/>
      <c r="F64" s="1013"/>
      <c r="G64" s="1013"/>
      <c r="H64" s="1013"/>
    </row>
    <row r="65" spans="1:8" x14ac:dyDescent="0.2">
      <c r="A65" s="1013"/>
      <c r="B65" s="1013"/>
      <c r="C65" s="1013"/>
      <c r="D65" s="1013"/>
      <c r="E65" s="1013"/>
      <c r="F65" s="1013"/>
      <c r="G65" s="1013"/>
      <c r="H65" s="1013"/>
    </row>
    <row r="66" spans="1:8" x14ac:dyDescent="0.2">
      <c r="A66" s="1014" t="s">
        <v>1001</v>
      </c>
      <c r="B66" s="1013"/>
      <c r="C66" s="1013"/>
      <c r="D66" s="1013"/>
      <c r="E66" s="1013"/>
      <c r="F66" s="1013"/>
      <c r="G66" s="1013"/>
      <c r="H66" s="1013"/>
    </row>
    <row r="67" spans="1:8" x14ac:dyDescent="0.2">
      <c r="A67" s="1014" t="s">
        <v>1002</v>
      </c>
      <c r="B67" s="1013"/>
      <c r="C67" s="1013"/>
      <c r="D67" s="1013"/>
      <c r="E67" s="1013"/>
      <c r="F67" s="1013"/>
      <c r="G67" s="1013"/>
      <c r="H67" s="1013"/>
    </row>
    <row r="68" spans="1:8" x14ac:dyDescent="0.2">
      <c r="A68" s="1013"/>
      <c r="B68" s="1013"/>
      <c r="C68" s="1013"/>
      <c r="D68" s="1013"/>
      <c r="E68" s="1013"/>
      <c r="F68" s="1013"/>
      <c r="G68" s="1013"/>
      <c r="H68" s="1013"/>
    </row>
    <row r="69" spans="1:8" x14ac:dyDescent="0.2">
      <c r="A69" s="1014" t="s">
        <v>999</v>
      </c>
      <c r="B69" s="1013"/>
      <c r="C69" s="1013"/>
      <c r="D69" s="1013"/>
      <c r="E69" s="1013"/>
      <c r="F69" s="1013"/>
      <c r="G69" s="1013"/>
      <c r="H69" s="1013"/>
    </row>
    <row r="70" spans="1:8" x14ac:dyDescent="0.2">
      <c r="A70" s="1014" t="s">
        <v>1000</v>
      </c>
      <c r="B70" s="1013"/>
      <c r="C70" s="1013"/>
      <c r="D70" s="1013"/>
      <c r="E70" s="1013"/>
      <c r="F70" s="1013"/>
      <c r="G70" s="1013"/>
      <c r="H70" s="1013"/>
    </row>
    <row r="71" spans="1:8" x14ac:dyDescent="0.2">
      <c r="A71" s="1013"/>
      <c r="B71" s="1013"/>
      <c r="C71" s="1013"/>
      <c r="D71" s="1013"/>
      <c r="E71" s="1013"/>
      <c r="F71" s="1013"/>
      <c r="G71" s="1013"/>
      <c r="H71" s="1013"/>
    </row>
    <row r="72" spans="1:8" x14ac:dyDescent="0.2">
      <c r="A72" s="1014" t="s">
        <v>997</v>
      </c>
      <c r="B72" s="1013"/>
      <c r="C72" s="1013"/>
      <c r="D72" s="1013"/>
      <c r="E72" s="1013"/>
      <c r="F72" s="1013"/>
      <c r="G72" s="1013"/>
      <c r="H72" s="1013"/>
    </row>
    <row r="73" spans="1:8" x14ac:dyDescent="0.2">
      <c r="A73" s="1014" t="s">
        <v>998</v>
      </c>
      <c r="B73" s="1013"/>
      <c r="C73" s="1013"/>
      <c r="D73" s="1013"/>
      <c r="E73" s="1013"/>
      <c r="F73" s="1013"/>
      <c r="G73" s="1013"/>
      <c r="H73" s="1013"/>
    </row>
    <row r="74" spans="1:8" x14ac:dyDescent="0.2">
      <c r="A74" s="1013"/>
      <c r="B74" s="1013"/>
      <c r="C74" s="1013"/>
      <c r="D74" s="1013"/>
      <c r="E74" s="1013"/>
      <c r="F74" s="1013"/>
      <c r="G74" s="1013"/>
      <c r="H74" s="1013"/>
    </row>
    <row r="75" spans="1:8" x14ac:dyDescent="0.2">
      <c r="A75" s="1014" t="s">
        <v>995</v>
      </c>
      <c r="B75" s="1013"/>
      <c r="C75" s="1013"/>
      <c r="D75" s="1013"/>
      <c r="E75" s="1013"/>
      <c r="F75" s="1013"/>
      <c r="G75" s="1013"/>
      <c r="H75" s="1013"/>
    </row>
    <row r="76" spans="1:8" x14ac:dyDescent="0.2">
      <c r="A76" s="1014" t="s">
        <v>996</v>
      </c>
      <c r="B76" s="1013"/>
      <c r="C76" s="1013"/>
      <c r="D76" s="1013"/>
      <c r="E76" s="1013"/>
      <c r="F76" s="1013"/>
      <c r="G76" s="1013"/>
      <c r="H76" s="1013"/>
    </row>
    <row r="77" spans="1:8" x14ac:dyDescent="0.2">
      <c r="A77" s="1013"/>
      <c r="B77" s="1013"/>
      <c r="C77" s="1013"/>
      <c r="D77" s="1013"/>
      <c r="E77" s="1013"/>
      <c r="F77" s="1013"/>
      <c r="G77" s="1013"/>
      <c r="H77" s="1013"/>
    </row>
    <row r="78" spans="1:8" x14ac:dyDescent="0.2">
      <c r="A78" s="1014" t="s">
        <v>992</v>
      </c>
      <c r="B78" s="1013"/>
      <c r="C78" s="1013"/>
      <c r="D78" s="1013"/>
      <c r="E78" s="1013"/>
      <c r="F78" s="1013"/>
      <c r="G78" s="1013"/>
      <c r="H78" s="1013"/>
    </row>
    <row r="79" spans="1:8" x14ac:dyDescent="0.2">
      <c r="A79" s="1014" t="s">
        <v>993</v>
      </c>
      <c r="B79" s="1013"/>
      <c r="C79" s="1013"/>
      <c r="D79" s="1013"/>
      <c r="E79" s="1013"/>
      <c r="F79" s="1013"/>
      <c r="G79" s="1013"/>
      <c r="H79" s="1013"/>
    </row>
    <row r="80" spans="1:8" x14ac:dyDescent="0.2">
      <c r="A80" s="1014" t="s">
        <v>994</v>
      </c>
      <c r="B80" s="1013"/>
      <c r="C80" s="1013"/>
      <c r="D80" s="1013"/>
      <c r="E80" s="1013"/>
      <c r="F80" s="1013"/>
      <c r="G80" s="1013"/>
      <c r="H80" s="1013"/>
    </row>
    <row r="81" spans="1:8" x14ac:dyDescent="0.2">
      <c r="A81" s="1013"/>
      <c r="B81" s="1013"/>
      <c r="C81" s="1013"/>
      <c r="D81" s="1013"/>
      <c r="E81" s="1013"/>
      <c r="F81" s="1013"/>
      <c r="G81" s="1013"/>
      <c r="H81" s="1013"/>
    </row>
    <row r="82" spans="1:8" x14ac:dyDescent="0.2">
      <c r="A82" s="1014" t="s">
        <v>989</v>
      </c>
      <c r="B82" s="1013"/>
      <c r="C82" s="1013"/>
      <c r="D82" s="1013"/>
      <c r="E82" s="1013"/>
      <c r="F82" s="1013"/>
      <c r="G82" s="1013"/>
      <c r="H82" s="1013"/>
    </row>
    <row r="83" spans="1:8" x14ac:dyDescent="0.2">
      <c r="A83" s="1014" t="s">
        <v>990</v>
      </c>
      <c r="B83" s="1013"/>
      <c r="C83" s="1013"/>
      <c r="D83" s="1013"/>
      <c r="E83" s="1013"/>
      <c r="F83" s="1013"/>
      <c r="G83" s="1013"/>
      <c r="H83" s="1013"/>
    </row>
    <row r="84" spans="1:8" x14ac:dyDescent="0.2">
      <c r="A84" s="1014" t="s">
        <v>991</v>
      </c>
      <c r="B84" s="1013"/>
      <c r="C84" s="1013"/>
      <c r="D84" s="1013"/>
      <c r="E84" s="1013"/>
      <c r="F84" s="1013"/>
      <c r="G84" s="1013"/>
      <c r="H84" s="1013"/>
    </row>
    <row r="85" spans="1:8" x14ac:dyDescent="0.2">
      <c r="A85" s="1013"/>
      <c r="B85" s="1013"/>
      <c r="C85" s="1013"/>
      <c r="D85" s="1013"/>
      <c r="E85" s="1013"/>
      <c r="F85" s="1013"/>
      <c r="G85" s="1013"/>
      <c r="H85" s="1013"/>
    </row>
    <row r="86" spans="1:8" x14ac:dyDescent="0.2">
      <c r="A86" s="1014" t="s">
        <v>745</v>
      </c>
      <c r="B86" s="1013"/>
      <c r="C86" s="1013"/>
      <c r="D86" s="1013"/>
      <c r="E86" s="1013"/>
      <c r="F86" s="1013"/>
      <c r="G86" s="1013"/>
      <c r="H86" s="1013"/>
    </row>
    <row r="87" spans="1:8" x14ac:dyDescent="0.2">
      <c r="A87" s="1013"/>
      <c r="B87" s="1013"/>
      <c r="C87" s="1013"/>
      <c r="D87" s="1013"/>
      <c r="E87" s="1013"/>
      <c r="F87" s="1013"/>
      <c r="G87" s="1013"/>
      <c r="H87" s="1013"/>
    </row>
    <row r="88" spans="1:8" x14ac:dyDescent="0.2">
      <c r="A88" s="1014" t="s">
        <v>984</v>
      </c>
      <c r="B88" s="1013"/>
      <c r="C88" s="1013"/>
      <c r="D88" s="1013"/>
      <c r="E88" s="1013"/>
      <c r="F88" s="1013"/>
      <c r="G88" s="1013"/>
      <c r="H88" s="1013"/>
    </row>
    <row r="89" spans="1:8" x14ac:dyDescent="0.2">
      <c r="A89" s="1014" t="s">
        <v>985</v>
      </c>
      <c r="B89" s="1013"/>
      <c r="C89" s="1013"/>
      <c r="D89" s="1013"/>
      <c r="E89" s="1013"/>
      <c r="F89" s="1013"/>
      <c r="G89" s="1013"/>
      <c r="H89" s="1013"/>
    </row>
    <row r="90" spans="1:8" x14ac:dyDescent="0.2">
      <c r="A90" s="1014" t="s">
        <v>986</v>
      </c>
      <c r="B90" s="1013"/>
      <c r="C90" s="1013"/>
      <c r="D90" s="1013"/>
      <c r="E90" s="1013"/>
      <c r="F90" s="1013"/>
      <c r="G90" s="1013"/>
      <c r="H90" s="1013"/>
    </row>
    <row r="91" spans="1:8" x14ac:dyDescent="0.2">
      <c r="A91" s="1014" t="s">
        <v>987</v>
      </c>
      <c r="B91" s="1013"/>
      <c r="C91" s="1013"/>
      <c r="D91" s="1013"/>
      <c r="E91" s="1013"/>
      <c r="F91" s="1013"/>
      <c r="G91" s="1013"/>
      <c r="H91" s="1013"/>
    </row>
    <row r="92" spans="1:8" x14ac:dyDescent="0.2">
      <c r="A92" s="1014" t="s">
        <v>988</v>
      </c>
      <c r="B92" s="1013"/>
      <c r="C92" s="1013"/>
      <c r="D92" s="1013"/>
      <c r="E92" s="1013"/>
      <c r="F92" s="1013"/>
      <c r="G92" s="1013"/>
      <c r="H92" s="1013"/>
    </row>
    <row r="93" spans="1:8" x14ac:dyDescent="0.2">
      <c r="A93" s="1014" t="s">
        <v>871</v>
      </c>
      <c r="B93" s="1013"/>
      <c r="C93" s="1013"/>
      <c r="D93" s="1013"/>
      <c r="E93" s="1013"/>
      <c r="F93" s="1013"/>
      <c r="G93" s="1013"/>
      <c r="H93" s="1013"/>
    </row>
    <row r="94" spans="1:8" x14ac:dyDescent="0.2">
      <c r="A94" s="1013"/>
      <c r="B94" s="1013"/>
      <c r="C94" s="1013"/>
      <c r="D94" s="1013"/>
      <c r="E94" s="1013"/>
      <c r="F94" s="1013"/>
      <c r="G94" s="1013"/>
      <c r="H94" s="1013"/>
    </row>
    <row r="95" spans="1:8" x14ac:dyDescent="0.2">
      <c r="A95" s="1014" t="s">
        <v>977</v>
      </c>
      <c r="B95" s="1013"/>
      <c r="C95" s="1013"/>
      <c r="D95" s="1013"/>
      <c r="E95" s="1013"/>
      <c r="F95" s="1013"/>
      <c r="G95" s="1013"/>
      <c r="H95" s="1013"/>
    </row>
    <row r="96" spans="1:8" x14ac:dyDescent="0.2">
      <c r="A96" s="1014" t="s">
        <v>978</v>
      </c>
      <c r="B96" s="1013"/>
      <c r="C96" s="1013"/>
      <c r="D96" s="1013"/>
      <c r="E96" s="1013"/>
      <c r="F96" s="1013"/>
      <c r="G96" s="1013"/>
      <c r="H96" s="1013"/>
    </row>
    <row r="97" spans="1:8" x14ac:dyDescent="0.2">
      <c r="A97" s="1014" t="s">
        <v>979</v>
      </c>
      <c r="B97" s="1013"/>
      <c r="C97" s="1013"/>
      <c r="D97" s="1013"/>
      <c r="E97" s="1013"/>
      <c r="F97" s="1013"/>
      <c r="G97" s="1013"/>
      <c r="H97" s="1013"/>
    </row>
    <row r="98" spans="1:8" x14ac:dyDescent="0.2">
      <c r="A98" s="1014" t="s">
        <v>980</v>
      </c>
      <c r="B98" s="1013"/>
      <c r="C98" s="1013"/>
      <c r="D98" s="1013"/>
      <c r="E98" s="1013"/>
      <c r="F98" s="1013"/>
      <c r="G98" s="1013"/>
      <c r="H98" s="1013"/>
    </row>
    <row r="99" spans="1:8" x14ac:dyDescent="0.2">
      <c r="A99" s="1014" t="s">
        <v>981</v>
      </c>
      <c r="B99" s="1013"/>
      <c r="C99" s="1013"/>
      <c r="D99" s="1013"/>
      <c r="E99" s="1013"/>
      <c r="F99" s="1013"/>
      <c r="G99" s="1013"/>
      <c r="H99" s="1013"/>
    </row>
    <row r="100" spans="1:8" x14ac:dyDescent="0.2">
      <c r="A100" s="1014" t="s">
        <v>982</v>
      </c>
      <c r="B100" s="1013"/>
      <c r="C100" s="1013"/>
      <c r="D100" s="1013"/>
      <c r="E100" s="1013"/>
      <c r="F100" s="1013"/>
      <c r="G100" s="1013"/>
      <c r="H100" s="1013"/>
    </row>
    <row r="101" spans="1:8" x14ac:dyDescent="0.2">
      <c r="A101" s="1014" t="s">
        <v>983</v>
      </c>
      <c r="B101" s="1013"/>
      <c r="C101" s="1013"/>
      <c r="D101" s="1013"/>
      <c r="E101" s="1013"/>
      <c r="F101" s="1013"/>
      <c r="G101" s="1013"/>
      <c r="H101" s="1013"/>
    </row>
    <row r="102" spans="1:8" x14ac:dyDescent="0.2">
      <c r="A102" s="1013"/>
      <c r="B102" s="1013"/>
      <c r="C102" s="1013"/>
      <c r="D102" s="1013"/>
      <c r="E102" s="1013"/>
      <c r="F102" s="1013"/>
      <c r="G102" s="1013"/>
      <c r="H102" s="1013"/>
    </row>
    <row r="103" spans="1:8" x14ac:dyDescent="0.2">
      <c r="A103" s="1014" t="s">
        <v>975</v>
      </c>
      <c r="B103" s="1013"/>
      <c r="C103" s="1013"/>
      <c r="D103" s="1013"/>
      <c r="E103" s="1013"/>
      <c r="F103" s="1013"/>
      <c r="G103" s="1013"/>
      <c r="H103" s="1013"/>
    </row>
    <row r="104" spans="1:8" x14ac:dyDescent="0.2">
      <c r="A104" s="1014" t="s">
        <v>976</v>
      </c>
      <c r="B104" s="1013"/>
      <c r="C104" s="1013"/>
      <c r="D104" s="1013"/>
      <c r="E104" s="1013"/>
      <c r="F104" s="1013"/>
      <c r="G104" s="1013"/>
      <c r="H104" s="1013"/>
    </row>
    <row r="105" spans="1:8" x14ac:dyDescent="0.2">
      <c r="A105" s="1013"/>
      <c r="B105" s="1013"/>
      <c r="C105" s="1013"/>
      <c r="D105" s="1013"/>
      <c r="E105" s="1013"/>
      <c r="F105" s="1013"/>
      <c r="G105" s="1013"/>
      <c r="H105" s="1013"/>
    </row>
    <row r="106" spans="1:8" ht="15.75" x14ac:dyDescent="0.2">
      <c r="A106" s="1015" t="s">
        <v>746</v>
      </c>
      <c r="B106" s="1013"/>
      <c r="C106" s="1013"/>
      <c r="D106" s="1013"/>
      <c r="E106" s="1013"/>
      <c r="F106" s="1013"/>
      <c r="G106" s="1013"/>
      <c r="H106" s="1013"/>
    </row>
    <row r="107" spans="1:8" x14ac:dyDescent="0.2">
      <c r="A107" s="1013"/>
      <c r="B107" s="1013"/>
      <c r="C107" s="1013"/>
      <c r="D107" s="1013"/>
      <c r="E107" s="1013"/>
      <c r="F107" s="1013"/>
      <c r="G107" s="1013"/>
      <c r="H107" s="1013"/>
    </row>
    <row r="108" spans="1:8" x14ac:dyDescent="0.2">
      <c r="A108" s="1014" t="s">
        <v>966</v>
      </c>
      <c r="B108" s="1013"/>
      <c r="C108" s="1013"/>
      <c r="D108" s="1013"/>
      <c r="E108" s="1013"/>
      <c r="F108" s="1013"/>
      <c r="G108" s="1013"/>
      <c r="H108" s="1013"/>
    </row>
    <row r="109" spans="1:8" x14ac:dyDescent="0.2">
      <c r="A109" s="1014" t="s">
        <v>967</v>
      </c>
      <c r="B109" s="1013"/>
      <c r="C109" s="1013"/>
      <c r="D109" s="1013"/>
      <c r="E109" s="1013"/>
      <c r="F109" s="1013"/>
      <c r="G109" s="1013"/>
      <c r="H109" s="1013"/>
    </row>
    <row r="110" spans="1:8" x14ac:dyDescent="0.2">
      <c r="A110" s="1014" t="s">
        <v>968</v>
      </c>
      <c r="B110" s="1013"/>
      <c r="C110" s="1013"/>
      <c r="D110" s="1013"/>
      <c r="E110" s="1013"/>
      <c r="F110" s="1013"/>
      <c r="G110" s="1013"/>
      <c r="H110" s="1013"/>
    </row>
    <row r="111" spans="1:8" x14ac:dyDescent="0.2">
      <c r="A111" s="1014" t="s">
        <v>969</v>
      </c>
      <c r="B111" s="1013"/>
      <c r="C111" s="1013"/>
      <c r="D111" s="1013"/>
      <c r="E111" s="1013"/>
      <c r="F111" s="1013"/>
      <c r="G111" s="1013"/>
      <c r="H111" s="1013"/>
    </row>
    <row r="112" spans="1:8" x14ac:dyDescent="0.2">
      <c r="A112" s="1014" t="s">
        <v>970</v>
      </c>
      <c r="B112" s="1013"/>
      <c r="C112" s="1013"/>
      <c r="D112" s="1013"/>
      <c r="E112" s="1013"/>
      <c r="F112" s="1013"/>
      <c r="G112" s="1013"/>
      <c r="H112" s="1013"/>
    </row>
    <row r="113" spans="1:8" x14ac:dyDescent="0.2">
      <c r="A113" s="1014" t="s">
        <v>971</v>
      </c>
      <c r="B113" s="1013"/>
      <c r="C113" s="1013"/>
      <c r="D113" s="1013"/>
      <c r="E113" s="1013"/>
      <c r="F113" s="1013"/>
      <c r="G113" s="1013"/>
      <c r="H113" s="1013"/>
    </row>
    <row r="114" spans="1:8" x14ac:dyDescent="0.2">
      <c r="A114" s="1014" t="s">
        <v>972</v>
      </c>
      <c r="B114" s="1013"/>
      <c r="C114" s="1013"/>
      <c r="D114" s="1013"/>
      <c r="E114" s="1013"/>
      <c r="F114" s="1013"/>
      <c r="G114" s="1013"/>
      <c r="H114" s="1013"/>
    </row>
    <row r="115" spans="1:8" x14ac:dyDescent="0.2">
      <c r="A115" s="1014" t="s">
        <v>973</v>
      </c>
      <c r="B115" s="1013"/>
      <c r="C115" s="1013"/>
      <c r="D115" s="1013"/>
      <c r="E115" s="1013"/>
      <c r="F115" s="1013"/>
      <c r="G115" s="1013"/>
      <c r="H115" s="1013"/>
    </row>
    <row r="116" spans="1:8" x14ac:dyDescent="0.2">
      <c r="A116" s="1014" t="s">
        <v>974</v>
      </c>
      <c r="B116" s="1013"/>
      <c r="C116" s="1013"/>
      <c r="D116" s="1013"/>
      <c r="E116" s="1013"/>
      <c r="F116" s="1013"/>
      <c r="G116" s="1013"/>
      <c r="H116" s="1013"/>
    </row>
    <row r="117" spans="1:8" x14ac:dyDescent="0.2">
      <c r="A117" s="1013"/>
      <c r="B117" s="1013"/>
      <c r="C117" s="1013"/>
      <c r="D117" s="1013"/>
      <c r="E117" s="1013"/>
      <c r="F117" s="1013"/>
      <c r="G117" s="1013"/>
      <c r="H117" s="1013"/>
    </row>
    <row r="118" spans="1:8" ht="15.75" x14ac:dyDescent="0.2">
      <c r="A118" s="1016" t="s">
        <v>747</v>
      </c>
      <c r="B118" s="1016"/>
      <c r="C118" s="1016"/>
      <c r="D118" s="1016"/>
      <c r="E118" s="1016"/>
      <c r="F118" s="1016"/>
      <c r="G118" s="1016"/>
      <c r="H118" s="1016"/>
    </row>
    <row r="119" spans="1:8" x14ac:dyDescent="0.2">
      <c r="A119" s="1017" t="s">
        <v>748</v>
      </c>
      <c r="B119" s="1017"/>
      <c r="C119" s="1017"/>
      <c r="D119" s="1017"/>
      <c r="E119" s="1017"/>
      <c r="F119" s="1017"/>
      <c r="G119" s="1017"/>
      <c r="H119" s="1017"/>
    </row>
    <row r="120" spans="1:8" x14ac:dyDescent="0.2">
      <c r="A120" s="1018"/>
      <c r="B120" s="1018"/>
      <c r="C120" s="1018"/>
      <c r="D120" s="1018"/>
      <c r="E120" s="1018"/>
      <c r="F120" s="1018"/>
      <c r="G120" s="1018"/>
      <c r="H120" s="1018"/>
    </row>
    <row r="121" spans="1:8" x14ac:dyDescent="0.2">
      <c r="A121" s="1017" t="s">
        <v>964</v>
      </c>
      <c r="B121" s="1017"/>
      <c r="C121" s="1017"/>
      <c r="D121" s="1017"/>
      <c r="E121" s="1017"/>
      <c r="F121" s="1017"/>
      <c r="G121" s="1017"/>
      <c r="H121" s="1017"/>
    </row>
    <row r="122" spans="1:8" x14ac:dyDescent="0.2">
      <c r="A122" s="1014" t="s">
        <v>965</v>
      </c>
      <c r="B122" s="1014"/>
      <c r="C122" s="1014"/>
      <c r="D122" s="1014"/>
      <c r="E122" s="1014"/>
      <c r="F122" s="1014"/>
      <c r="G122" s="1014"/>
      <c r="H122" s="1014"/>
    </row>
    <row r="123" spans="1:8" x14ac:dyDescent="0.2">
      <c r="A123" s="1018"/>
      <c r="B123" s="1018"/>
      <c r="C123" s="1018"/>
      <c r="D123" s="1018"/>
      <c r="E123" s="1018"/>
      <c r="F123" s="1018"/>
      <c r="G123" s="1018"/>
      <c r="H123" s="1018"/>
    </row>
    <row r="124" spans="1:8" x14ac:dyDescent="0.2">
      <c r="A124" s="1017" t="s">
        <v>957</v>
      </c>
      <c r="B124" s="1017"/>
      <c r="C124" s="1017"/>
      <c r="D124" s="1017"/>
      <c r="E124" s="1017"/>
      <c r="F124" s="1017"/>
      <c r="G124" s="1017"/>
      <c r="H124" s="1017"/>
    </row>
    <row r="125" spans="1:8" x14ac:dyDescent="0.2">
      <c r="A125" s="1014" t="s">
        <v>958</v>
      </c>
      <c r="B125" s="1014"/>
      <c r="C125" s="1014"/>
      <c r="D125" s="1014"/>
      <c r="E125" s="1014"/>
      <c r="F125" s="1014"/>
      <c r="G125" s="1014"/>
      <c r="H125" s="1014"/>
    </row>
    <row r="126" spans="1:8" x14ac:dyDescent="0.2">
      <c r="A126" s="1014" t="s">
        <v>959</v>
      </c>
      <c r="B126" s="1014"/>
      <c r="C126" s="1014"/>
      <c r="D126" s="1014"/>
      <c r="E126" s="1014"/>
      <c r="F126" s="1014"/>
      <c r="G126" s="1014"/>
      <c r="H126" s="1014"/>
    </row>
    <row r="127" spans="1:8" x14ac:dyDescent="0.2">
      <c r="A127" s="1014" t="s">
        <v>960</v>
      </c>
      <c r="B127" s="1014"/>
      <c r="C127" s="1014"/>
      <c r="D127" s="1014"/>
      <c r="E127" s="1014"/>
      <c r="F127" s="1014"/>
      <c r="G127" s="1014"/>
      <c r="H127" s="1014"/>
    </row>
    <row r="128" spans="1:8" x14ac:dyDescent="0.2">
      <c r="A128" s="1014" t="s">
        <v>961</v>
      </c>
      <c r="B128" s="1014"/>
      <c r="C128" s="1014"/>
      <c r="D128" s="1014"/>
      <c r="E128" s="1014"/>
      <c r="F128" s="1014"/>
      <c r="G128" s="1014"/>
      <c r="H128" s="1014"/>
    </row>
    <row r="129" spans="1:8" x14ac:dyDescent="0.2">
      <c r="A129" s="1014" t="s">
        <v>962</v>
      </c>
      <c r="B129" s="1014"/>
      <c r="C129" s="1014"/>
      <c r="D129" s="1014"/>
      <c r="E129" s="1014"/>
      <c r="F129" s="1014"/>
      <c r="G129" s="1014"/>
      <c r="H129" s="1014"/>
    </row>
    <row r="130" spans="1:8" x14ac:dyDescent="0.2">
      <c r="A130" s="1014" t="s">
        <v>963</v>
      </c>
      <c r="B130" s="1014"/>
      <c r="C130" s="1014"/>
      <c r="D130" s="1014"/>
      <c r="E130" s="1014"/>
      <c r="F130" s="1014"/>
      <c r="G130" s="1014"/>
      <c r="H130" s="1014"/>
    </row>
    <row r="131" spans="1:8" x14ac:dyDescent="0.2">
      <c r="A131" s="1019"/>
      <c r="B131" s="1019"/>
      <c r="C131" s="1019"/>
      <c r="D131" s="1019"/>
      <c r="E131" s="1019"/>
      <c r="F131" s="1019"/>
      <c r="G131" s="1019"/>
      <c r="H131" s="1019"/>
    </row>
    <row r="132" spans="1:8" x14ac:dyDescent="0.2">
      <c r="A132" s="1020"/>
      <c r="B132" s="1021" t="s">
        <v>749</v>
      </c>
      <c r="C132" s="1022"/>
      <c r="D132" s="1021" t="s">
        <v>750</v>
      </c>
      <c r="E132" s="1023"/>
      <c r="F132" s="1022"/>
      <c r="G132" s="1021" t="s">
        <v>751</v>
      </c>
      <c r="H132" s="1022"/>
    </row>
    <row r="133" spans="1:8" x14ac:dyDescent="0.2">
      <c r="A133" s="1020" t="s">
        <v>752</v>
      </c>
      <c r="B133" s="1020" t="s">
        <v>22</v>
      </c>
      <c r="C133" s="1020" t="s">
        <v>753</v>
      </c>
      <c r="D133" s="1020" t="s">
        <v>22</v>
      </c>
      <c r="E133" s="1020" t="s">
        <v>754</v>
      </c>
      <c r="F133" s="1020" t="s">
        <v>755</v>
      </c>
      <c r="G133" s="1020" t="s">
        <v>22</v>
      </c>
      <c r="H133" s="1020" t="s">
        <v>756</v>
      </c>
    </row>
    <row r="134" spans="1:8" x14ac:dyDescent="0.2">
      <c r="A134" s="1020" t="s">
        <v>757</v>
      </c>
      <c r="B134" s="1020">
        <v>1189</v>
      </c>
      <c r="C134" s="1024">
        <v>0.38</v>
      </c>
      <c r="D134" s="1020">
        <v>315</v>
      </c>
      <c r="E134" s="1024">
        <v>0.41</v>
      </c>
      <c r="F134" s="1024">
        <v>0.26</v>
      </c>
      <c r="G134" s="1020">
        <v>555</v>
      </c>
      <c r="H134" s="1024">
        <v>0.39</v>
      </c>
    </row>
    <row r="135" spans="1:8" x14ac:dyDescent="0.2">
      <c r="A135" s="1020" t="s">
        <v>758</v>
      </c>
      <c r="B135" s="1020">
        <v>1355</v>
      </c>
      <c r="C135" s="1024">
        <v>0.43</v>
      </c>
      <c r="D135" s="1020">
        <v>364</v>
      </c>
      <c r="E135" s="1024">
        <v>0.47</v>
      </c>
      <c r="F135" s="1024">
        <v>0.27</v>
      </c>
      <c r="G135" s="1020">
        <v>644</v>
      </c>
      <c r="H135" s="1024">
        <v>0.45</v>
      </c>
    </row>
    <row r="136" spans="1:8" x14ac:dyDescent="0.2">
      <c r="A136" s="1020" t="s">
        <v>759</v>
      </c>
      <c r="B136" s="1020">
        <v>53</v>
      </c>
      <c r="C136" s="1024">
        <v>0.02</v>
      </c>
      <c r="D136" s="1020">
        <v>4</v>
      </c>
      <c r="E136" s="1024">
        <v>0.01</v>
      </c>
      <c r="F136" s="1024">
        <v>0.08</v>
      </c>
      <c r="G136" s="1020">
        <v>7</v>
      </c>
      <c r="H136" s="1024">
        <v>0</v>
      </c>
    </row>
    <row r="137" spans="1:8" x14ac:dyDescent="0.2">
      <c r="A137" s="1020" t="s">
        <v>760</v>
      </c>
      <c r="B137" s="1020">
        <v>545</v>
      </c>
      <c r="C137" s="1024">
        <v>0.17</v>
      </c>
      <c r="D137" s="1020">
        <v>84</v>
      </c>
      <c r="E137" s="1024">
        <v>0.11</v>
      </c>
      <c r="F137" s="1024">
        <v>0.15</v>
      </c>
      <c r="G137" s="1020">
        <v>214</v>
      </c>
      <c r="H137" s="1024">
        <v>0.15</v>
      </c>
    </row>
    <row r="138" spans="1:8" x14ac:dyDescent="0.2">
      <c r="A138" s="1020" t="s">
        <v>296</v>
      </c>
      <c r="B138" s="1025">
        <v>3142</v>
      </c>
      <c r="C138" s="1020"/>
      <c r="D138" s="1020">
        <v>767</v>
      </c>
      <c r="E138" s="1020"/>
      <c r="F138" s="1020"/>
      <c r="G138" s="1020">
        <v>1420</v>
      </c>
      <c r="H138" s="1020"/>
    </row>
    <row r="139" spans="1:8" x14ac:dyDescent="0.2">
      <c r="A139" s="1026"/>
      <c r="B139" s="1026"/>
      <c r="C139" s="1026"/>
      <c r="D139" s="1026"/>
      <c r="E139" s="1026"/>
      <c r="F139" s="1026"/>
      <c r="G139" s="1026"/>
      <c r="H139" s="1026"/>
    </row>
    <row r="140" spans="1:8" x14ac:dyDescent="0.2">
      <c r="A140" s="1017" t="s">
        <v>953</v>
      </c>
      <c r="B140" s="1017"/>
      <c r="C140" s="1017"/>
      <c r="D140" s="1017"/>
      <c r="E140" s="1017"/>
      <c r="F140" s="1017"/>
      <c r="G140" s="1017"/>
      <c r="H140" s="1017"/>
    </row>
    <row r="141" spans="1:8" x14ac:dyDescent="0.2">
      <c r="A141" s="1014" t="s">
        <v>954</v>
      </c>
      <c r="B141" s="1014"/>
      <c r="C141" s="1014"/>
      <c r="D141" s="1014"/>
      <c r="E141" s="1014"/>
      <c r="F141" s="1014"/>
      <c r="G141" s="1014"/>
      <c r="H141" s="1014"/>
    </row>
    <row r="142" spans="1:8" x14ac:dyDescent="0.2">
      <c r="A142" s="1014" t="s">
        <v>955</v>
      </c>
      <c r="B142" s="1014"/>
      <c r="C142" s="1014"/>
      <c r="D142" s="1014"/>
      <c r="E142" s="1014"/>
      <c r="F142" s="1014"/>
      <c r="G142" s="1014"/>
      <c r="H142" s="1014"/>
    </row>
    <row r="143" spans="1:8" x14ac:dyDescent="0.2">
      <c r="A143" s="1014" t="s">
        <v>956</v>
      </c>
      <c r="B143" s="1014"/>
      <c r="C143" s="1014"/>
      <c r="D143" s="1014"/>
      <c r="E143" s="1014"/>
      <c r="F143" s="1014"/>
      <c r="G143" s="1014"/>
      <c r="H143" s="1014"/>
    </row>
    <row r="144" spans="1:8" x14ac:dyDescent="0.2">
      <c r="A144" s="1013"/>
      <c r="B144" s="1013"/>
      <c r="C144" s="1013"/>
      <c r="D144" s="1013"/>
      <c r="E144" s="1013"/>
      <c r="F144" s="1013"/>
      <c r="G144" s="1013"/>
      <c r="H144" s="1013"/>
    </row>
    <row r="145" spans="1:8" ht="15.75" x14ac:dyDescent="0.2">
      <c r="A145" s="1015" t="s">
        <v>761</v>
      </c>
      <c r="B145" s="1013"/>
      <c r="C145" s="1013"/>
      <c r="D145" s="1013"/>
      <c r="E145" s="1013"/>
      <c r="F145" s="1013"/>
      <c r="G145" s="1013"/>
      <c r="H145" s="1013"/>
    </row>
    <row r="146" spans="1:8" x14ac:dyDescent="0.2">
      <c r="A146" s="1013"/>
      <c r="B146" s="1013"/>
      <c r="C146" s="1013"/>
      <c r="D146" s="1013"/>
      <c r="E146" s="1013"/>
      <c r="F146" s="1013"/>
      <c r="G146" s="1013"/>
      <c r="H146" s="1013"/>
    </row>
    <row r="147" spans="1:8" x14ac:dyDescent="0.2">
      <c r="A147" s="1014" t="s">
        <v>951</v>
      </c>
      <c r="B147" s="1013"/>
      <c r="C147" s="1013"/>
      <c r="D147" s="1013"/>
      <c r="E147" s="1013"/>
      <c r="F147" s="1013"/>
      <c r="G147" s="1013"/>
      <c r="H147" s="1013"/>
    </row>
    <row r="148" spans="1:8" x14ac:dyDescent="0.2">
      <c r="A148" s="1014" t="s">
        <v>952</v>
      </c>
      <c r="B148" s="1013"/>
      <c r="C148" s="1013"/>
      <c r="D148" s="1013"/>
      <c r="E148" s="1013"/>
      <c r="F148" s="1013"/>
      <c r="G148" s="1013"/>
      <c r="H148" s="1013"/>
    </row>
    <row r="149" spans="1:8" x14ac:dyDescent="0.2">
      <c r="A149" s="1013"/>
      <c r="B149" s="1013"/>
      <c r="C149" s="1013"/>
      <c r="D149" s="1013"/>
      <c r="E149" s="1013"/>
      <c r="F149" s="1013"/>
      <c r="G149" s="1013"/>
      <c r="H149" s="1013"/>
    </row>
    <row r="150" spans="1:8" x14ac:dyDescent="0.2">
      <c r="A150" s="1014" t="s">
        <v>948</v>
      </c>
      <c r="B150" s="1013"/>
      <c r="C150" s="1013"/>
      <c r="D150" s="1013"/>
      <c r="E150" s="1013"/>
      <c r="F150" s="1013"/>
      <c r="G150" s="1013"/>
      <c r="H150" s="1013"/>
    </row>
    <row r="151" spans="1:8" x14ac:dyDescent="0.2">
      <c r="A151" s="1014" t="s">
        <v>949</v>
      </c>
      <c r="B151" s="1013"/>
      <c r="C151" s="1013"/>
      <c r="D151" s="1013"/>
      <c r="E151" s="1013"/>
      <c r="F151" s="1013"/>
      <c r="G151" s="1013"/>
      <c r="H151" s="1013"/>
    </row>
    <row r="152" spans="1:8" x14ac:dyDescent="0.2">
      <c r="A152" s="1014" t="s">
        <v>950</v>
      </c>
      <c r="B152" s="1013"/>
      <c r="C152" s="1013"/>
      <c r="D152" s="1013"/>
      <c r="E152" s="1013"/>
      <c r="F152" s="1013"/>
      <c r="G152" s="1013"/>
      <c r="H152" s="1013"/>
    </row>
    <row r="153" spans="1:8" x14ac:dyDescent="0.2">
      <c r="A153" s="1013"/>
      <c r="B153" s="1013"/>
      <c r="C153" s="1013"/>
      <c r="D153" s="1013"/>
      <c r="E153" s="1013"/>
      <c r="F153" s="1013"/>
      <c r="G153" s="1013"/>
      <c r="H153" s="1013"/>
    </row>
    <row r="154" spans="1:8" x14ac:dyDescent="0.2">
      <c r="A154" s="1014" t="s">
        <v>945</v>
      </c>
      <c r="B154" s="1013"/>
      <c r="C154" s="1013"/>
      <c r="D154" s="1013"/>
      <c r="E154" s="1013"/>
      <c r="F154" s="1013"/>
      <c r="G154" s="1013"/>
      <c r="H154" s="1013"/>
    </row>
    <row r="155" spans="1:8" x14ac:dyDescent="0.2">
      <c r="A155" s="1014" t="s">
        <v>946</v>
      </c>
      <c r="B155" s="1013"/>
      <c r="C155" s="1013"/>
      <c r="D155" s="1013"/>
      <c r="E155" s="1013"/>
      <c r="F155" s="1013"/>
      <c r="G155" s="1013"/>
      <c r="H155" s="1013"/>
    </row>
    <row r="156" spans="1:8" x14ac:dyDescent="0.2">
      <c r="A156" s="1014" t="s">
        <v>947</v>
      </c>
      <c r="B156" s="1013"/>
      <c r="C156" s="1013"/>
      <c r="D156" s="1013"/>
      <c r="E156" s="1013"/>
      <c r="F156" s="1013"/>
      <c r="G156" s="1013"/>
      <c r="H156" s="1013"/>
    </row>
    <row r="157" spans="1:8" x14ac:dyDescent="0.2">
      <c r="A157" s="1013"/>
      <c r="B157" s="1013"/>
      <c r="C157" s="1013"/>
      <c r="D157" s="1013"/>
      <c r="E157" s="1013"/>
      <c r="F157" s="1013"/>
      <c r="G157" s="1013"/>
      <c r="H157" s="1013"/>
    </row>
    <row r="158" spans="1:8" x14ac:dyDescent="0.2">
      <c r="A158" s="1014" t="s">
        <v>942</v>
      </c>
      <c r="B158" s="1013"/>
      <c r="C158" s="1013"/>
      <c r="D158" s="1013"/>
      <c r="E158" s="1013"/>
      <c r="F158" s="1013"/>
      <c r="G158" s="1013"/>
      <c r="H158" s="1013"/>
    </row>
    <row r="159" spans="1:8" x14ac:dyDescent="0.2">
      <c r="A159" s="1014" t="s">
        <v>943</v>
      </c>
      <c r="B159" s="1013"/>
      <c r="C159" s="1013"/>
      <c r="D159" s="1013"/>
      <c r="E159" s="1013"/>
      <c r="F159" s="1013"/>
      <c r="G159" s="1013"/>
      <c r="H159" s="1013"/>
    </row>
    <row r="160" spans="1:8" x14ac:dyDescent="0.2">
      <c r="A160" s="1014" t="s">
        <v>944</v>
      </c>
      <c r="B160" s="1013"/>
      <c r="C160" s="1013"/>
      <c r="D160" s="1013"/>
      <c r="E160" s="1013"/>
      <c r="F160" s="1013"/>
      <c r="G160" s="1013"/>
      <c r="H160" s="1013"/>
    </row>
    <row r="161" spans="1:8" x14ac:dyDescent="0.2">
      <c r="A161" s="1013"/>
      <c r="B161" s="1013"/>
      <c r="C161" s="1013"/>
      <c r="D161" s="1013"/>
      <c r="E161" s="1013"/>
      <c r="F161" s="1013"/>
      <c r="G161" s="1013"/>
      <c r="H161" s="1013"/>
    </row>
    <row r="162" spans="1:8" x14ac:dyDescent="0.2">
      <c r="A162" s="1014" t="s">
        <v>940</v>
      </c>
      <c r="B162" s="1013"/>
      <c r="C162" s="1013"/>
      <c r="D162" s="1013"/>
      <c r="E162" s="1013"/>
      <c r="F162" s="1013"/>
      <c r="G162" s="1013"/>
      <c r="H162" s="1013"/>
    </row>
    <row r="163" spans="1:8" x14ac:dyDescent="0.2">
      <c r="A163" s="1014" t="s">
        <v>941</v>
      </c>
      <c r="B163" s="1013"/>
      <c r="C163" s="1013"/>
      <c r="D163" s="1013"/>
      <c r="E163" s="1013"/>
      <c r="F163" s="1013"/>
      <c r="G163" s="1013"/>
      <c r="H163" s="1013"/>
    </row>
    <row r="164" spans="1:8" x14ac:dyDescent="0.2">
      <c r="A164" s="1013"/>
      <c r="B164" s="1013"/>
      <c r="C164" s="1013"/>
      <c r="D164" s="1013"/>
      <c r="E164" s="1013"/>
      <c r="F164" s="1013"/>
      <c r="G164" s="1013"/>
      <c r="H164" s="1013"/>
    </row>
    <row r="165" spans="1:8" ht="15.75" x14ac:dyDescent="0.2">
      <c r="A165" s="1015" t="s">
        <v>762</v>
      </c>
      <c r="B165" s="1013"/>
      <c r="C165" s="1013"/>
      <c r="D165" s="1013"/>
      <c r="E165" s="1013"/>
      <c r="F165" s="1013"/>
      <c r="G165" s="1013"/>
      <c r="H165" s="1013"/>
    </row>
    <row r="166" spans="1:8" x14ac:dyDescent="0.2">
      <c r="A166" s="1013"/>
      <c r="B166" s="1013"/>
      <c r="C166" s="1013"/>
      <c r="D166" s="1013"/>
      <c r="E166" s="1013"/>
      <c r="F166" s="1013"/>
      <c r="G166" s="1013"/>
      <c r="H166" s="1013"/>
    </row>
    <row r="167" spans="1:8" x14ac:dyDescent="0.2">
      <c r="A167" s="1014" t="s">
        <v>938</v>
      </c>
      <c r="B167" s="1013"/>
      <c r="C167" s="1013"/>
      <c r="D167" s="1013"/>
      <c r="E167" s="1013"/>
      <c r="F167" s="1013"/>
      <c r="G167" s="1013"/>
      <c r="H167" s="1013"/>
    </row>
    <row r="168" spans="1:8" x14ac:dyDescent="0.2">
      <c r="A168" s="1014" t="s">
        <v>939</v>
      </c>
      <c r="B168" s="1013"/>
      <c r="C168" s="1013"/>
      <c r="D168" s="1013"/>
      <c r="E168" s="1013"/>
      <c r="F168" s="1013"/>
      <c r="G168" s="1013"/>
      <c r="H168" s="1013"/>
    </row>
    <row r="169" spans="1:8" x14ac:dyDescent="0.2">
      <c r="A169" s="1013"/>
      <c r="B169" s="1013"/>
      <c r="C169" s="1013"/>
      <c r="D169" s="1013"/>
      <c r="E169" s="1013"/>
      <c r="F169" s="1013"/>
      <c r="G169" s="1013"/>
      <c r="H169" s="1013"/>
    </row>
    <row r="170" spans="1:8" x14ac:dyDescent="0.2">
      <c r="A170" s="1014" t="s">
        <v>936</v>
      </c>
      <c r="B170" s="1013"/>
      <c r="C170" s="1013"/>
      <c r="D170" s="1013"/>
      <c r="E170" s="1013"/>
      <c r="F170" s="1013"/>
      <c r="G170" s="1013"/>
      <c r="H170" s="1013"/>
    </row>
    <row r="171" spans="1:8" x14ac:dyDescent="0.2">
      <c r="A171" s="1014" t="s">
        <v>937</v>
      </c>
      <c r="B171" s="1013"/>
      <c r="C171" s="1013"/>
      <c r="D171" s="1013"/>
      <c r="E171" s="1013"/>
      <c r="F171" s="1013"/>
      <c r="G171" s="1013"/>
      <c r="H171" s="1013"/>
    </row>
    <row r="172" spans="1:8" x14ac:dyDescent="0.2">
      <c r="A172" s="1013"/>
      <c r="B172" s="1013"/>
      <c r="C172" s="1013"/>
      <c r="D172" s="1013"/>
      <c r="E172" s="1013"/>
      <c r="F172" s="1013"/>
      <c r="G172" s="1013"/>
      <c r="H172" s="1013"/>
    </row>
    <row r="173" spans="1:8" x14ac:dyDescent="0.2">
      <c r="A173" s="1014" t="s">
        <v>934</v>
      </c>
      <c r="B173" s="1013"/>
      <c r="C173" s="1013"/>
      <c r="D173" s="1013"/>
      <c r="E173" s="1013"/>
      <c r="F173" s="1013"/>
      <c r="G173" s="1013"/>
      <c r="H173" s="1013"/>
    </row>
    <row r="174" spans="1:8" x14ac:dyDescent="0.2">
      <c r="A174" s="1014" t="s">
        <v>935</v>
      </c>
      <c r="B174" s="1013"/>
      <c r="C174" s="1013"/>
      <c r="D174" s="1013"/>
      <c r="E174" s="1013"/>
      <c r="F174" s="1013"/>
      <c r="G174" s="1013"/>
      <c r="H174" s="1013"/>
    </row>
    <row r="175" spans="1:8" x14ac:dyDescent="0.2">
      <c r="A175" s="1013"/>
      <c r="B175" s="1013"/>
      <c r="C175" s="1013"/>
      <c r="D175" s="1013"/>
      <c r="E175" s="1013"/>
      <c r="F175" s="1013"/>
      <c r="G175" s="1013"/>
      <c r="H175" s="1013"/>
    </row>
    <row r="176" spans="1:8" x14ac:dyDescent="0.2">
      <c r="A176" s="1014" t="s">
        <v>931</v>
      </c>
      <c r="B176" s="1013"/>
      <c r="C176" s="1013"/>
      <c r="D176" s="1013"/>
      <c r="E176" s="1013"/>
      <c r="F176" s="1013"/>
      <c r="G176" s="1013"/>
      <c r="H176" s="1013"/>
    </row>
    <row r="177" spans="1:8" x14ac:dyDescent="0.2">
      <c r="A177" s="1014" t="s">
        <v>932</v>
      </c>
      <c r="B177" s="1013"/>
      <c r="C177" s="1013"/>
      <c r="D177" s="1013"/>
      <c r="E177" s="1013"/>
      <c r="F177" s="1013"/>
      <c r="G177" s="1013"/>
      <c r="H177" s="1013"/>
    </row>
    <row r="178" spans="1:8" x14ac:dyDescent="0.2">
      <c r="A178" s="1014" t="s">
        <v>933</v>
      </c>
      <c r="B178" s="1013"/>
      <c r="C178" s="1013"/>
      <c r="D178" s="1013"/>
      <c r="E178" s="1013"/>
      <c r="F178" s="1013"/>
      <c r="G178" s="1013"/>
      <c r="H178" s="1013"/>
    </row>
    <row r="179" spans="1:8" x14ac:dyDescent="0.2">
      <c r="A179" s="1013"/>
      <c r="B179" s="1013"/>
      <c r="C179" s="1013"/>
      <c r="D179" s="1013"/>
      <c r="E179" s="1013"/>
      <c r="F179" s="1013"/>
      <c r="G179" s="1013"/>
      <c r="H179" s="1013"/>
    </row>
    <row r="180" spans="1:8" x14ac:dyDescent="0.2">
      <c r="A180" s="1013"/>
      <c r="B180" s="1013"/>
      <c r="C180" s="1013"/>
      <c r="D180" s="1013"/>
      <c r="E180" s="1013"/>
      <c r="F180" s="1013"/>
      <c r="G180" s="1013"/>
      <c r="H180" s="1013"/>
    </row>
    <row r="181" spans="1:8" x14ac:dyDescent="0.2">
      <c r="A181" s="1014" t="s">
        <v>763</v>
      </c>
      <c r="B181" s="1013"/>
      <c r="C181" s="1013"/>
      <c r="D181" s="1013"/>
      <c r="E181" s="1013"/>
      <c r="F181" s="1013"/>
      <c r="G181" s="1013"/>
      <c r="H181" s="1013"/>
    </row>
    <row r="182" spans="1:8" x14ac:dyDescent="0.2">
      <c r="A182" s="1013"/>
      <c r="B182" s="1013"/>
      <c r="C182" s="1013"/>
      <c r="D182" s="1013"/>
      <c r="E182" s="1013"/>
      <c r="F182" s="1013"/>
      <c r="G182" s="1013"/>
      <c r="H182" s="1013"/>
    </row>
    <row r="183" spans="1:8" ht="15.75" x14ac:dyDescent="0.2">
      <c r="A183" s="1015" t="s">
        <v>764</v>
      </c>
      <c r="B183" s="1013"/>
      <c r="C183" s="1013"/>
      <c r="D183" s="1013"/>
      <c r="E183" s="1013"/>
      <c r="F183" s="1013"/>
      <c r="G183" s="1013"/>
      <c r="H183" s="1013"/>
    </row>
    <row r="184" spans="1:8" x14ac:dyDescent="0.2">
      <c r="A184" s="1013"/>
      <c r="B184" s="1013"/>
      <c r="C184" s="1013"/>
      <c r="D184" s="1013"/>
      <c r="E184" s="1013"/>
      <c r="F184" s="1013"/>
      <c r="G184" s="1013"/>
      <c r="H184" s="1013"/>
    </row>
    <row r="185" spans="1:8" x14ac:dyDescent="0.2">
      <c r="A185" s="1013"/>
      <c r="B185" s="1013"/>
      <c r="C185" s="1013"/>
      <c r="D185" s="1013"/>
      <c r="E185" s="1013"/>
      <c r="F185" s="1013"/>
      <c r="G185" s="1013"/>
      <c r="H185" s="1013"/>
    </row>
    <row r="186" spans="1:8" x14ac:dyDescent="0.2">
      <c r="A186" s="1013"/>
      <c r="B186" s="1013"/>
      <c r="C186" s="1013"/>
      <c r="D186" s="1013"/>
      <c r="E186" s="1013"/>
      <c r="F186" s="1013"/>
      <c r="G186" s="1013"/>
      <c r="H186" s="1013"/>
    </row>
    <row r="187" spans="1:8" x14ac:dyDescent="0.2">
      <c r="A187" s="1013"/>
      <c r="B187" s="1013"/>
      <c r="C187" s="1013"/>
      <c r="D187" s="1013"/>
      <c r="E187" s="1013"/>
      <c r="F187" s="1013"/>
      <c r="G187" s="1013"/>
      <c r="H187" s="1013"/>
    </row>
    <row r="188" spans="1:8" x14ac:dyDescent="0.2">
      <c r="A188" s="1013"/>
      <c r="B188" s="1013"/>
      <c r="C188" s="1013"/>
      <c r="D188" s="1013"/>
      <c r="E188" s="1013"/>
      <c r="F188" s="1013"/>
      <c r="G188" s="1013"/>
      <c r="H188" s="1013"/>
    </row>
    <row r="189" spans="1:8" x14ac:dyDescent="0.2">
      <c r="A189" s="1013"/>
      <c r="B189" s="1013"/>
      <c r="C189" s="1013"/>
      <c r="D189" s="1013"/>
      <c r="E189" s="1013"/>
      <c r="F189" s="1013"/>
      <c r="G189" s="1013"/>
      <c r="H189" s="1013"/>
    </row>
    <row r="190" spans="1:8" x14ac:dyDescent="0.2">
      <c r="A190" s="1013"/>
      <c r="B190" s="1013"/>
      <c r="C190" s="1013"/>
      <c r="D190" s="1013"/>
      <c r="E190" s="1013"/>
      <c r="F190" s="1013"/>
      <c r="G190" s="1013"/>
      <c r="H190" s="1013"/>
    </row>
    <row r="191" spans="1:8" x14ac:dyDescent="0.2">
      <c r="A191" s="1013"/>
      <c r="B191" s="1013"/>
      <c r="C191" s="1013"/>
      <c r="D191" s="1013"/>
      <c r="E191" s="1013"/>
      <c r="F191" s="1013"/>
      <c r="G191" s="1013"/>
      <c r="H191" s="1013"/>
    </row>
    <row r="192" spans="1:8" x14ac:dyDescent="0.2">
      <c r="A192" s="1013"/>
      <c r="B192" s="1013"/>
      <c r="C192" s="1013"/>
      <c r="D192" s="1013"/>
      <c r="E192" s="1013"/>
      <c r="F192" s="1013"/>
      <c r="G192" s="1013"/>
      <c r="H192" s="1013"/>
    </row>
    <row r="193" spans="1:8" x14ac:dyDescent="0.2">
      <c r="A193" s="1013"/>
      <c r="B193" s="1013"/>
      <c r="C193" s="1013"/>
      <c r="D193" s="1013"/>
      <c r="E193" s="1013"/>
      <c r="F193" s="1013"/>
      <c r="G193" s="1013"/>
      <c r="H193" s="1013"/>
    </row>
    <row r="194" spans="1:8" x14ac:dyDescent="0.2">
      <c r="A194" s="1013"/>
      <c r="B194" s="1013"/>
      <c r="C194" s="1013"/>
      <c r="D194" s="1013"/>
      <c r="E194" s="1013"/>
      <c r="F194" s="1013"/>
      <c r="G194" s="1013"/>
      <c r="H194" s="1013"/>
    </row>
    <row r="195" spans="1:8" x14ac:dyDescent="0.2">
      <c r="A195" s="1013"/>
      <c r="B195" s="1013"/>
      <c r="C195" s="1013"/>
      <c r="D195" s="1013"/>
      <c r="E195" s="1013"/>
      <c r="F195" s="1013"/>
      <c r="G195" s="1013"/>
      <c r="H195" s="1013"/>
    </row>
    <row r="196" spans="1:8" x14ac:dyDescent="0.2">
      <c r="A196" s="1013"/>
      <c r="B196" s="1013"/>
      <c r="C196" s="1013"/>
      <c r="D196" s="1013"/>
      <c r="E196" s="1013"/>
      <c r="F196" s="1013"/>
      <c r="G196" s="1013"/>
      <c r="H196" s="1013"/>
    </row>
    <row r="197" spans="1:8" x14ac:dyDescent="0.2">
      <c r="A197" s="1013"/>
      <c r="B197" s="1013"/>
      <c r="C197" s="1013"/>
      <c r="D197" s="1013"/>
      <c r="E197" s="1013"/>
      <c r="F197" s="1013"/>
      <c r="G197" s="1013"/>
      <c r="H197" s="1013"/>
    </row>
    <row r="198" spans="1:8" x14ac:dyDescent="0.2">
      <c r="A198" s="1013"/>
      <c r="B198" s="1013"/>
      <c r="C198" s="1013"/>
      <c r="D198" s="1013"/>
      <c r="E198" s="1013"/>
      <c r="F198" s="1013"/>
      <c r="G198" s="1013"/>
      <c r="H198" s="1013"/>
    </row>
    <row r="199" spans="1:8" x14ac:dyDescent="0.2">
      <c r="A199" s="1013"/>
      <c r="B199" s="1013"/>
      <c r="C199" s="1013"/>
      <c r="D199" s="1013"/>
      <c r="E199" s="1013"/>
      <c r="F199" s="1013"/>
      <c r="G199" s="1013"/>
      <c r="H199" s="1013"/>
    </row>
    <row r="200" spans="1:8" x14ac:dyDescent="0.2">
      <c r="A200" s="1013"/>
      <c r="B200" s="1013"/>
      <c r="C200" s="1013"/>
      <c r="D200" s="1013"/>
      <c r="E200" s="1013"/>
      <c r="F200" s="1013"/>
      <c r="G200" s="1013"/>
      <c r="H200" s="1013"/>
    </row>
    <row r="201" spans="1:8" x14ac:dyDescent="0.2">
      <c r="A201" s="1013"/>
      <c r="B201" s="1013"/>
      <c r="C201" s="1013"/>
      <c r="D201" s="1013"/>
      <c r="E201" s="1013"/>
      <c r="F201" s="1013"/>
      <c r="G201" s="1013"/>
      <c r="H201" s="1013"/>
    </row>
    <row r="202" spans="1:8" x14ac:dyDescent="0.2">
      <c r="A202" s="1013"/>
      <c r="B202" s="1013"/>
      <c r="C202" s="1013"/>
      <c r="D202" s="1013"/>
      <c r="E202" s="1013"/>
      <c r="F202" s="1013"/>
      <c r="G202" s="1013"/>
      <c r="H202" s="1013"/>
    </row>
    <row r="203" spans="1:8" x14ac:dyDescent="0.2">
      <c r="A203" s="1013"/>
      <c r="B203" s="1013"/>
      <c r="C203" s="1013"/>
      <c r="D203" s="1013"/>
      <c r="E203" s="1013"/>
      <c r="F203" s="1013"/>
      <c r="G203" s="1013"/>
      <c r="H203" s="1013"/>
    </row>
    <row r="204" spans="1:8" x14ac:dyDescent="0.2">
      <c r="A204" s="1013"/>
      <c r="B204" s="1013"/>
      <c r="C204" s="1013"/>
      <c r="D204" s="1013"/>
      <c r="E204" s="1013"/>
      <c r="F204" s="1013"/>
      <c r="G204" s="1013"/>
      <c r="H204" s="1013"/>
    </row>
    <row r="205" spans="1:8" x14ac:dyDescent="0.2">
      <c r="A205" s="1013"/>
      <c r="B205" s="1013"/>
      <c r="C205" s="1013"/>
      <c r="D205" s="1013"/>
      <c r="E205" s="1013"/>
      <c r="F205" s="1013"/>
      <c r="G205" s="1013"/>
      <c r="H205" s="1013"/>
    </row>
    <row r="206" spans="1:8" x14ac:dyDescent="0.2">
      <c r="A206" s="1013"/>
      <c r="B206" s="1013"/>
      <c r="C206" s="1013"/>
      <c r="D206" s="1013"/>
      <c r="E206" s="1013"/>
      <c r="F206" s="1013"/>
      <c r="G206" s="1013"/>
      <c r="H206" s="1013"/>
    </row>
    <row r="207" spans="1:8" x14ac:dyDescent="0.2">
      <c r="A207" s="1013"/>
      <c r="B207" s="1013"/>
      <c r="C207" s="1013"/>
      <c r="D207" s="1013"/>
      <c r="E207" s="1013"/>
      <c r="F207" s="1013"/>
      <c r="G207" s="1013"/>
      <c r="H207" s="1013"/>
    </row>
    <row r="208" spans="1:8" x14ac:dyDescent="0.2">
      <c r="A208" s="1013"/>
      <c r="B208" s="1013"/>
      <c r="C208" s="1013"/>
      <c r="D208" s="1013"/>
      <c r="E208" s="1013"/>
      <c r="F208" s="1013"/>
      <c r="G208" s="1013"/>
      <c r="H208" s="1013"/>
    </row>
    <row r="209" spans="1:8" x14ac:dyDescent="0.2">
      <c r="A209" s="1013"/>
      <c r="B209" s="1013"/>
      <c r="C209" s="1013"/>
      <c r="D209" s="1013"/>
      <c r="E209" s="1013"/>
      <c r="F209" s="1013"/>
      <c r="G209" s="1013"/>
      <c r="H209" s="1013"/>
    </row>
    <row r="210" spans="1:8" ht="15.75" x14ac:dyDescent="0.2">
      <c r="A210" s="1015" t="s">
        <v>765</v>
      </c>
      <c r="B210" s="1013"/>
      <c r="C210" s="1013"/>
      <c r="D210" s="1013"/>
      <c r="E210" s="1013"/>
      <c r="F210" s="1013"/>
      <c r="G210" s="1013"/>
      <c r="H210" s="1013"/>
    </row>
    <row r="211" spans="1:8" x14ac:dyDescent="0.2">
      <c r="A211" s="1013"/>
      <c r="B211" s="1013"/>
      <c r="C211" s="1013"/>
      <c r="D211" s="1013"/>
      <c r="E211" s="1013"/>
      <c r="F211" s="1013"/>
      <c r="G211" s="1013"/>
      <c r="H211" s="1013"/>
    </row>
    <row r="212" spans="1:8" x14ac:dyDescent="0.2">
      <c r="A212" s="1014" t="s">
        <v>926</v>
      </c>
      <c r="B212" s="1013"/>
      <c r="C212" s="1013"/>
      <c r="D212" s="1013"/>
      <c r="E212" s="1013"/>
      <c r="F212" s="1013"/>
      <c r="G212" s="1013"/>
      <c r="H212" s="1013"/>
    </row>
    <row r="213" spans="1:8" x14ac:dyDescent="0.2">
      <c r="A213" s="1014" t="s">
        <v>927</v>
      </c>
      <c r="B213" s="1013"/>
      <c r="C213" s="1013"/>
      <c r="D213" s="1013"/>
      <c r="E213" s="1013"/>
      <c r="F213" s="1013"/>
      <c r="G213" s="1013"/>
      <c r="H213" s="1013"/>
    </row>
    <row r="214" spans="1:8" x14ac:dyDescent="0.2">
      <c r="A214" s="1014" t="s">
        <v>928</v>
      </c>
      <c r="B214" s="1013"/>
      <c r="C214" s="1013"/>
      <c r="D214" s="1013"/>
      <c r="E214" s="1013"/>
      <c r="F214" s="1013"/>
      <c r="G214" s="1013"/>
      <c r="H214" s="1013"/>
    </row>
    <row r="215" spans="1:8" x14ac:dyDescent="0.2">
      <c r="A215" s="1014" t="s">
        <v>929</v>
      </c>
      <c r="B215" s="1013"/>
      <c r="C215" s="1013"/>
      <c r="D215" s="1013"/>
      <c r="E215" s="1013"/>
      <c r="F215" s="1013"/>
      <c r="G215" s="1013"/>
      <c r="H215" s="1013"/>
    </row>
    <row r="216" spans="1:8" x14ac:dyDescent="0.2">
      <c r="A216" s="1014" t="s">
        <v>930</v>
      </c>
      <c r="B216" s="1013"/>
      <c r="C216" s="1013"/>
      <c r="D216" s="1013"/>
      <c r="E216" s="1013"/>
      <c r="F216" s="1013"/>
      <c r="G216" s="1013"/>
      <c r="H216" s="1013"/>
    </row>
    <row r="217" spans="1:8" x14ac:dyDescent="0.2">
      <c r="A217" s="1013"/>
      <c r="B217" s="1013"/>
      <c r="C217" s="1013"/>
      <c r="D217" s="1013"/>
      <c r="E217" s="1013"/>
      <c r="F217" s="1013"/>
      <c r="G217" s="1013"/>
      <c r="H217" s="1013"/>
    </row>
    <row r="218" spans="1:8" x14ac:dyDescent="0.2">
      <c r="A218" s="1014" t="s">
        <v>923</v>
      </c>
      <c r="B218" s="1013"/>
      <c r="C218" s="1013"/>
      <c r="D218" s="1013"/>
      <c r="E218" s="1013"/>
      <c r="F218" s="1013"/>
      <c r="G218" s="1013"/>
      <c r="H218" s="1013"/>
    </row>
    <row r="219" spans="1:8" x14ac:dyDescent="0.2">
      <c r="A219" s="1014" t="s">
        <v>924</v>
      </c>
      <c r="B219" s="1013"/>
      <c r="C219" s="1013"/>
      <c r="D219" s="1013"/>
      <c r="E219" s="1013"/>
      <c r="F219" s="1013"/>
      <c r="G219" s="1013"/>
      <c r="H219" s="1013"/>
    </row>
    <row r="220" spans="1:8" x14ac:dyDescent="0.2">
      <c r="A220" s="1014" t="s">
        <v>925</v>
      </c>
      <c r="B220" s="1013"/>
      <c r="C220" s="1013"/>
      <c r="D220" s="1013"/>
      <c r="E220" s="1013"/>
      <c r="F220" s="1013"/>
      <c r="G220" s="1013"/>
      <c r="H220" s="1013"/>
    </row>
    <row r="221" spans="1:8" ht="15.75" x14ac:dyDescent="0.2">
      <c r="A221" s="1015" t="s">
        <v>766</v>
      </c>
      <c r="B221" s="1013"/>
      <c r="C221" s="1013"/>
      <c r="D221" s="1013"/>
      <c r="E221" s="1013"/>
      <c r="F221" s="1013"/>
      <c r="G221" s="1013"/>
      <c r="H221" s="1013"/>
    </row>
    <row r="222" spans="1:8" x14ac:dyDescent="0.2">
      <c r="A222" s="1013"/>
      <c r="B222" s="1013"/>
      <c r="C222" s="1013"/>
      <c r="D222" s="1013"/>
      <c r="E222" s="1013"/>
      <c r="F222" s="1013"/>
      <c r="G222" s="1013"/>
      <c r="H222" s="1013"/>
    </row>
    <row r="223" spans="1:8" x14ac:dyDescent="0.2">
      <c r="A223" s="1014" t="s">
        <v>921</v>
      </c>
      <c r="B223" s="1013"/>
      <c r="C223" s="1013"/>
      <c r="D223" s="1013"/>
      <c r="E223" s="1013"/>
      <c r="F223" s="1013"/>
      <c r="G223" s="1013"/>
      <c r="H223" s="1013"/>
    </row>
    <row r="224" spans="1:8" x14ac:dyDescent="0.2">
      <c r="A224" s="1014" t="s">
        <v>922</v>
      </c>
      <c r="B224" s="1013"/>
      <c r="C224" s="1013"/>
      <c r="D224" s="1013"/>
      <c r="E224" s="1013"/>
      <c r="F224" s="1013"/>
      <c r="G224" s="1013"/>
      <c r="H224" s="1013"/>
    </row>
    <row r="225" spans="1:8" x14ac:dyDescent="0.2">
      <c r="A225" s="1013"/>
      <c r="B225" s="1013"/>
      <c r="C225" s="1013"/>
      <c r="D225" s="1013"/>
      <c r="E225" s="1013"/>
      <c r="F225" s="1013"/>
      <c r="G225" s="1013"/>
      <c r="H225" s="1013"/>
    </row>
    <row r="226" spans="1:8" x14ac:dyDescent="0.2">
      <c r="A226" s="1014" t="s">
        <v>914</v>
      </c>
      <c r="B226" s="1013"/>
      <c r="C226" s="1013"/>
      <c r="D226" s="1013"/>
      <c r="E226" s="1013"/>
      <c r="F226" s="1013"/>
      <c r="G226" s="1013"/>
      <c r="H226" s="1013"/>
    </row>
    <row r="227" spans="1:8" x14ac:dyDescent="0.2">
      <c r="A227" s="1014" t="s">
        <v>915</v>
      </c>
      <c r="B227" s="1013"/>
      <c r="C227" s="1013"/>
      <c r="D227" s="1013"/>
      <c r="E227" s="1013"/>
      <c r="F227" s="1013"/>
      <c r="G227" s="1013"/>
      <c r="H227" s="1013"/>
    </row>
    <row r="228" spans="1:8" x14ac:dyDescent="0.2">
      <c r="A228" s="1014" t="s">
        <v>916</v>
      </c>
      <c r="B228" s="1013"/>
      <c r="C228" s="1013"/>
      <c r="D228" s="1013"/>
      <c r="E228" s="1013"/>
      <c r="F228" s="1013"/>
      <c r="G228" s="1013"/>
      <c r="H228" s="1013"/>
    </row>
    <row r="229" spans="1:8" x14ac:dyDescent="0.2">
      <c r="A229" s="1014" t="s">
        <v>917</v>
      </c>
      <c r="B229" s="1013"/>
      <c r="C229" s="1013"/>
      <c r="D229" s="1013"/>
      <c r="E229" s="1013"/>
      <c r="F229" s="1013"/>
      <c r="G229" s="1013"/>
      <c r="H229" s="1013"/>
    </row>
    <row r="230" spans="1:8" x14ac:dyDescent="0.2">
      <c r="A230" s="1014" t="s">
        <v>918</v>
      </c>
      <c r="B230" s="1013"/>
      <c r="C230" s="1013"/>
      <c r="D230" s="1013"/>
      <c r="E230" s="1013"/>
      <c r="F230" s="1013"/>
      <c r="G230" s="1013"/>
      <c r="H230" s="1013"/>
    </row>
    <row r="231" spans="1:8" x14ac:dyDescent="0.2">
      <c r="A231" s="1014" t="s">
        <v>919</v>
      </c>
      <c r="B231" s="1013"/>
      <c r="C231" s="1013"/>
      <c r="D231" s="1013"/>
      <c r="E231" s="1013"/>
      <c r="F231" s="1013"/>
      <c r="G231" s="1013"/>
      <c r="H231" s="1013"/>
    </row>
    <row r="232" spans="1:8" x14ac:dyDescent="0.2">
      <c r="A232" s="1014" t="s">
        <v>920</v>
      </c>
      <c r="B232" s="1013"/>
      <c r="C232" s="1013"/>
      <c r="D232" s="1013"/>
      <c r="E232" s="1013"/>
      <c r="F232" s="1013"/>
      <c r="G232" s="1013"/>
      <c r="H232" s="1013"/>
    </row>
    <row r="233" spans="1:8" x14ac:dyDescent="0.2">
      <c r="A233" s="1013"/>
      <c r="B233" s="1013"/>
      <c r="C233" s="1013"/>
      <c r="D233" s="1013"/>
      <c r="E233" s="1013"/>
      <c r="F233" s="1013"/>
      <c r="G233" s="1013"/>
      <c r="H233" s="1013"/>
    </row>
    <row r="234" spans="1:8" x14ac:dyDescent="0.2">
      <c r="A234" s="1014" t="s">
        <v>911</v>
      </c>
      <c r="B234" s="1013"/>
      <c r="C234" s="1013"/>
      <c r="D234" s="1013"/>
      <c r="E234" s="1013"/>
      <c r="F234" s="1013"/>
      <c r="G234" s="1013"/>
      <c r="H234" s="1013"/>
    </row>
    <row r="235" spans="1:8" x14ac:dyDescent="0.2">
      <c r="A235" s="1014" t="s">
        <v>912</v>
      </c>
      <c r="B235" s="1013"/>
      <c r="C235" s="1013"/>
      <c r="D235" s="1013"/>
      <c r="E235" s="1013"/>
      <c r="F235" s="1013"/>
      <c r="G235" s="1013"/>
      <c r="H235" s="1013"/>
    </row>
    <row r="236" spans="1:8" x14ac:dyDescent="0.2">
      <c r="A236" s="1014" t="s">
        <v>913</v>
      </c>
      <c r="B236" s="1013"/>
      <c r="C236" s="1013"/>
      <c r="D236" s="1013"/>
      <c r="E236" s="1013"/>
      <c r="F236" s="1013"/>
      <c r="G236" s="1013"/>
      <c r="H236" s="1013"/>
    </row>
    <row r="237" spans="1:8" x14ac:dyDescent="0.2">
      <c r="A237" s="1013"/>
      <c r="B237" s="1013"/>
      <c r="C237" s="1013"/>
      <c r="D237" s="1013"/>
      <c r="E237" s="1013"/>
      <c r="F237" s="1013"/>
      <c r="G237" s="1013"/>
      <c r="H237" s="1013"/>
    </row>
    <row r="238" spans="1:8" x14ac:dyDescent="0.2">
      <c r="A238" s="1014" t="s">
        <v>906</v>
      </c>
      <c r="B238" s="1013"/>
      <c r="C238" s="1013"/>
      <c r="D238" s="1013"/>
      <c r="E238" s="1013"/>
      <c r="F238" s="1013"/>
      <c r="G238" s="1013"/>
      <c r="H238" s="1013"/>
    </row>
    <row r="239" spans="1:8" x14ac:dyDescent="0.2">
      <c r="A239" s="1014" t="s">
        <v>907</v>
      </c>
      <c r="B239" s="1013"/>
      <c r="C239" s="1013"/>
      <c r="D239" s="1013"/>
      <c r="E239" s="1013"/>
      <c r="F239" s="1013"/>
      <c r="G239" s="1013"/>
      <c r="H239" s="1013"/>
    </row>
    <row r="240" spans="1:8" x14ac:dyDescent="0.2">
      <c r="A240" s="1014" t="s">
        <v>908</v>
      </c>
      <c r="B240" s="1013"/>
      <c r="C240" s="1013"/>
      <c r="D240" s="1013"/>
      <c r="E240" s="1013"/>
      <c r="F240" s="1013"/>
      <c r="G240" s="1013"/>
      <c r="H240" s="1013"/>
    </row>
    <row r="241" spans="1:8" x14ac:dyDescent="0.2">
      <c r="A241" s="1014" t="s">
        <v>909</v>
      </c>
      <c r="B241" s="1013"/>
      <c r="C241" s="1013"/>
      <c r="D241" s="1013"/>
      <c r="E241" s="1013"/>
      <c r="F241" s="1013"/>
      <c r="G241" s="1013"/>
      <c r="H241" s="1013"/>
    </row>
    <row r="242" spans="1:8" x14ac:dyDescent="0.2">
      <c r="A242" s="1014" t="s">
        <v>910</v>
      </c>
      <c r="B242" s="1013"/>
      <c r="C242" s="1013"/>
      <c r="D242" s="1013"/>
      <c r="E242" s="1013"/>
      <c r="F242" s="1013"/>
      <c r="G242" s="1013"/>
      <c r="H242" s="1013"/>
    </row>
    <row r="243" spans="1:8" x14ac:dyDescent="0.2">
      <c r="A243" s="1013"/>
      <c r="B243" s="1013"/>
      <c r="C243" s="1013"/>
      <c r="D243" s="1013"/>
      <c r="E243" s="1013"/>
      <c r="F243" s="1013"/>
      <c r="G243" s="1013"/>
      <c r="H243" s="1013"/>
    </row>
    <row r="244" spans="1:8" x14ac:dyDescent="0.2">
      <c r="A244" s="1014" t="s">
        <v>900</v>
      </c>
      <c r="B244" s="1013"/>
      <c r="C244" s="1013"/>
      <c r="D244" s="1013"/>
      <c r="E244" s="1013"/>
      <c r="F244" s="1013"/>
      <c r="G244" s="1013"/>
      <c r="H244" s="1013"/>
    </row>
    <row r="245" spans="1:8" x14ac:dyDescent="0.2">
      <c r="A245" s="1014" t="s">
        <v>901</v>
      </c>
      <c r="B245" s="1013"/>
      <c r="C245" s="1013"/>
      <c r="D245" s="1013"/>
      <c r="E245" s="1013"/>
      <c r="F245" s="1013"/>
      <c r="G245" s="1013"/>
      <c r="H245" s="1013"/>
    </row>
    <row r="246" spans="1:8" x14ac:dyDescent="0.2">
      <c r="A246" s="1014" t="s">
        <v>902</v>
      </c>
      <c r="B246" s="1013"/>
      <c r="C246" s="1013"/>
      <c r="D246" s="1013"/>
      <c r="E246" s="1013"/>
      <c r="F246" s="1013"/>
      <c r="G246" s="1013"/>
      <c r="H246" s="1013"/>
    </row>
    <row r="247" spans="1:8" x14ac:dyDescent="0.2">
      <c r="A247" s="1014" t="s">
        <v>903</v>
      </c>
      <c r="B247" s="1013"/>
      <c r="C247" s="1013"/>
      <c r="D247" s="1013"/>
      <c r="E247" s="1013"/>
      <c r="F247" s="1013"/>
      <c r="G247" s="1013"/>
      <c r="H247" s="1013"/>
    </row>
    <row r="248" spans="1:8" x14ac:dyDescent="0.2">
      <c r="A248" s="1014" t="s">
        <v>904</v>
      </c>
      <c r="B248" s="1013"/>
      <c r="C248" s="1013"/>
      <c r="D248" s="1013"/>
      <c r="E248" s="1013"/>
      <c r="F248" s="1013"/>
      <c r="G248" s="1013"/>
      <c r="H248" s="1013"/>
    </row>
    <row r="249" spans="1:8" x14ac:dyDescent="0.2">
      <c r="A249" s="1014" t="s">
        <v>905</v>
      </c>
      <c r="B249" s="1013"/>
      <c r="C249" s="1013"/>
      <c r="D249" s="1013"/>
      <c r="E249" s="1013"/>
      <c r="F249" s="1013"/>
      <c r="G249" s="1013"/>
      <c r="H249" s="1013"/>
    </row>
    <row r="250" spans="1:8" x14ac:dyDescent="0.2">
      <c r="A250" s="1013"/>
      <c r="B250" s="1013"/>
      <c r="C250" s="1013"/>
      <c r="D250" s="1013"/>
      <c r="E250" s="1013"/>
      <c r="F250" s="1013"/>
      <c r="G250" s="1013"/>
      <c r="H250" s="1013"/>
    </row>
    <row r="251" spans="1:8" x14ac:dyDescent="0.2">
      <c r="A251" s="1014" t="s">
        <v>890</v>
      </c>
      <c r="B251" s="1013"/>
      <c r="C251" s="1013"/>
      <c r="D251" s="1013"/>
      <c r="E251" s="1013"/>
      <c r="F251" s="1013"/>
      <c r="G251" s="1013"/>
      <c r="H251" s="1013"/>
    </row>
    <row r="252" spans="1:8" x14ac:dyDescent="0.2">
      <c r="A252" s="1014" t="s">
        <v>891</v>
      </c>
      <c r="B252" s="1013"/>
      <c r="C252" s="1013"/>
      <c r="D252" s="1013"/>
      <c r="E252" s="1013"/>
      <c r="F252" s="1013"/>
      <c r="G252" s="1013"/>
      <c r="H252" s="1013"/>
    </row>
    <row r="253" spans="1:8" x14ac:dyDescent="0.2">
      <c r="A253" s="1014" t="s">
        <v>892</v>
      </c>
      <c r="B253" s="1013"/>
      <c r="C253" s="1013"/>
      <c r="D253" s="1013"/>
      <c r="E253" s="1013"/>
      <c r="F253" s="1013"/>
      <c r="G253" s="1013"/>
      <c r="H253" s="1013"/>
    </row>
    <row r="254" spans="1:8" x14ac:dyDescent="0.2">
      <c r="A254" s="1014" t="s">
        <v>893</v>
      </c>
      <c r="B254" s="1013"/>
      <c r="C254" s="1013"/>
      <c r="D254" s="1013"/>
      <c r="E254" s="1013"/>
      <c r="F254" s="1013"/>
      <c r="G254" s="1013"/>
      <c r="H254" s="1013"/>
    </row>
    <row r="255" spans="1:8" x14ac:dyDescent="0.2">
      <c r="A255" s="1014" t="s">
        <v>894</v>
      </c>
      <c r="B255" s="1013"/>
      <c r="C255" s="1013"/>
      <c r="D255" s="1013"/>
      <c r="E255" s="1013"/>
      <c r="F255" s="1013"/>
      <c r="G255" s="1013"/>
      <c r="H255" s="1013"/>
    </row>
    <row r="256" spans="1:8" x14ac:dyDescent="0.2">
      <c r="A256" s="1014" t="s">
        <v>895</v>
      </c>
      <c r="B256" s="1013"/>
      <c r="C256" s="1013"/>
      <c r="D256" s="1013"/>
      <c r="E256" s="1013"/>
      <c r="F256" s="1013"/>
      <c r="G256" s="1013"/>
      <c r="H256" s="1013"/>
    </row>
    <row r="257" spans="1:8" x14ac:dyDescent="0.2">
      <c r="A257" s="1014" t="s">
        <v>896</v>
      </c>
      <c r="B257" s="1013"/>
      <c r="C257" s="1013"/>
      <c r="D257" s="1013"/>
      <c r="E257" s="1013"/>
      <c r="F257" s="1013"/>
      <c r="G257" s="1013"/>
      <c r="H257" s="1013"/>
    </row>
    <row r="258" spans="1:8" x14ac:dyDescent="0.2">
      <c r="A258" s="1014" t="s">
        <v>897</v>
      </c>
      <c r="B258" s="1013"/>
      <c r="C258" s="1013"/>
      <c r="D258" s="1013"/>
      <c r="E258" s="1013"/>
      <c r="F258" s="1013"/>
      <c r="G258" s="1013"/>
      <c r="H258" s="1013"/>
    </row>
    <row r="259" spans="1:8" x14ac:dyDescent="0.2">
      <c r="A259" s="1014" t="s">
        <v>898</v>
      </c>
      <c r="B259" s="1013"/>
      <c r="C259" s="1013"/>
      <c r="D259" s="1013"/>
      <c r="E259" s="1013"/>
      <c r="F259" s="1013"/>
      <c r="G259" s="1013"/>
      <c r="H259" s="1013"/>
    </row>
    <row r="260" spans="1:8" x14ac:dyDescent="0.2">
      <c r="A260" s="1014" t="s">
        <v>899</v>
      </c>
      <c r="B260" s="1013"/>
      <c r="C260" s="1013"/>
      <c r="D260" s="1013"/>
      <c r="E260" s="1013"/>
      <c r="F260" s="1013"/>
      <c r="G260" s="1013"/>
      <c r="H260" s="1013"/>
    </row>
    <row r="261" spans="1:8" x14ac:dyDescent="0.2">
      <c r="A261" s="1013"/>
      <c r="B261" s="1013"/>
      <c r="C261" s="1013"/>
      <c r="D261" s="1013"/>
      <c r="E261" s="1013"/>
      <c r="F261" s="1013"/>
      <c r="G261" s="1013"/>
      <c r="H261" s="1013"/>
    </row>
    <row r="262" spans="1:8" x14ac:dyDescent="0.2">
      <c r="A262" s="1014" t="s">
        <v>888</v>
      </c>
      <c r="B262" s="1013"/>
      <c r="C262" s="1013"/>
      <c r="D262" s="1013"/>
      <c r="E262" s="1013"/>
      <c r="F262" s="1013"/>
      <c r="G262" s="1013"/>
      <c r="H262" s="1013"/>
    </row>
    <row r="263" spans="1:8" x14ac:dyDescent="0.2">
      <c r="A263" s="1014" t="s">
        <v>889</v>
      </c>
      <c r="B263" s="1013"/>
      <c r="C263" s="1013"/>
      <c r="D263" s="1013"/>
      <c r="E263" s="1013"/>
      <c r="F263" s="1013"/>
      <c r="G263" s="1013"/>
      <c r="H263" s="1013"/>
    </row>
    <row r="264" spans="1:8" x14ac:dyDescent="0.2">
      <c r="A264" s="1013"/>
      <c r="B264" s="1013"/>
      <c r="C264" s="1013"/>
      <c r="D264" s="1013"/>
      <c r="E264" s="1013"/>
      <c r="F264" s="1013"/>
      <c r="G264" s="1013"/>
      <c r="H264" s="1013"/>
    </row>
    <row r="265" spans="1:8" x14ac:dyDescent="0.2">
      <c r="A265" s="1014" t="s">
        <v>872</v>
      </c>
      <c r="B265" s="1013"/>
      <c r="C265" s="1013"/>
      <c r="D265" s="1013"/>
      <c r="E265" s="1013"/>
      <c r="F265" s="1013"/>
      <c r="G265" s="1013"/>
      <c r="H265" s="1013"/>
    </row>
    <row r="266" spans="1:8" x14ac:dyDescent="0.2">
      <c r="A266" s="1014" t="s">
        <v>873</v>
      </c>
      <c r="B266" s="1013"/>
      <c r="C266" s="1013"/>
      <c r="D266" s="1013"/>
      <c r="E266" s="1013"/>
      <c r="F266" s="1013"/>
      <c r="G266" s="1013"/>
      <c r="H266" s="1013"/>
    </row>
    <row r="267" spans="1:8" x14ac:dyDescent="0.2">
      <c r="A267" s="1014" t="s">
        <v>874</v>
      </c>
      <c r="B267" s="1013"/>
      <c r="C267" s="1013"/>
      <c r="D267" s="1013"/>
      <c r="E267" s="1013"/>
      <c r="F267" s="1013"/>
      <c r="G267" s="1013"/>
      <c r="H267" s="1013"/>
    </row>
    <row r="268" spans="1:8" x14ac:dyDescent="0.2">
      <c r="A268" s="1014" t="s">
        <v>875</v>
      </c>
      <c r="B268" s="1013"/>
      <c r="C268" s="1013"/>
      <c r="D268" s="1013"/>
      <c r="E268" s="1013"/>
      <c r="F268" s="1013"/>
      <c r="G268" s="1013"/>
      <c r="H268" s="1013"/>
    </row>
    <row r="269" spans="1:8" x14ac:dyDescent="0.2">
      <c r="A269" s="1014" t="s">
        <v>876</v>
      </c>
      <c r="B269" s="1013"/>
      <c r="C269" s="1013"/>
      <c r="D269" s="1013"/>
      <c r="E269" s="1013"/>
      <c r="F269" s="1013"/>
      <c r="G269" s="1013"/>
      <c r="H269" s="1013"/>
    </row>
    <row r="270" spans="1:8" x14ac:dyDescent="0.2">
      <c r="A270" s="1014" t="s">
        <v>877</v>
      </c>
      <c r="B270" s="1013"/>
      <c r="C270" s="1013"/>
      <c r="D270" s="1013"/>
      <c r="E270" s="1013"/>
      <c r="F270" s="1013"/>
      <c r="G270" s="1013"/>
      <c r="H270" s="1013"/>
    </row>
    <row r="271" spans="1:8" x14ac:dyDescent="0.2">
      <c r="A271" s="1014" t="s">
        <v>878</v>
      </c>
      <c r="B271" s="1013"/>
      <c r="C271" s="1013"/>
      <c r="D271" s="1013"/>
      <c r="E271" s="1013"/>
      <c r="F271" s="1013"/>
      <c r="G271" s="1013"/>
      <c r="H271" s="1013"/>
    </row>
    <row r="272" spans="1:8" x14ac:dyDescent="0.2">
      <c r="A272" s="1014" t="s">
        <v>879</v>
      </c>
      <c r="B272" s="1013"/>
      <c r="C272" s="1013"/>
      <c r="D272" s="1013"/>
      <c r="E272" s="1013"/>
      <c r="F272" s="1013"/>
      <c r="G272" s="1013"/>
      <c r="H272" s="1013"/>
    </row>
    <row r="273" spans="1:8" x14ac:dyDescent="0.2">
      <c r="A273" s="1014" t="s">
        <v>880</v>
      </c>
      <c r="B273" s="1013"/>
      <c r="C273" s="1013"/>
      <c r="D273" s="1013"/>
      <c r="E273" s="1013"/>
      <c r="F273" s="1013"/>
      <c r="G273" s="1013"/>
      <c r="H273" s="1013"/>
    </row>
    <row r="274" spans="1:8" x14ac:dyDescent="0.2">
      <c r="A274" s="1014" t="s">
        <v>881</v>
      </c>
      <c r="B274" s="1013"/>
      <c r="C274" s="1013"/>
      <c r="D274" s="1013"/>
      <c r="E274" s="1013"/>
      <c r="F274" s="1013"/>
      <c r="G274" s="1013"/>
      <c r="H274" s="1013"/>
    </row>
    <row r="275" spans="1:8" x14ac:dyDescent="0.2">
      <c r="A275" s="1014" t="s">
        <v>882</v>
      </c>
      <c r="B275" s="1013"/>
      <c r="C275" s="1013"/>
      <c r="D275" s="1013"/>
      <c r="E275" s="1013"/>
      <c r="F275" s="1013"/>
      <c r="G275" s="1013"/>
      <c r="H275" s="1013"/>
    </row>
    <row r="276" spans="1:8" x14ac:dyDescent="0.2">
      <c r="A276" s="1014" t="s">
        <v>883</v>
      </c>
      <c r="B276" s="1013"/>
      <c r="C276" s="1013"/>
      <c r="D276" s="1013"/>
      <c r="E276" s="1013"/>
      <c r="F276" s="1013"/>
      <c r="G276" s="1013"/>
      <c r="H276" s="1013"/>
    </row>
    <row r="277" spans="1:8" x14ac:dyDescent="0.2">
      <c r="A277" s="1014" t="s">
        <v>884</v>
      </c>
      <c r="B277" s="1013"/>
      <c r="C277" s="1013"/>
      <c r="D277" s="1013"/>
      <c r="E277" s="1013"/>
      <c r="F277" s="1013"/>
      <c r="G277" s="1013"/>
      <c r="H277" s="1013"/>
    </row>
    <row r="278" spans="1:8" x14ac:dyDescent="0.2">
      <c r="A278" s="1014" t="s">
        <v>885</v>
      </c>
      <c r="B278" s="1013"/>
      <c r="C278" s="1013"/>
      <c r="D278" s="1013"/>
      <c r="E278" s="1013"/>
      <c r="F278" s="1013"/>
      <c r="G278" s="1013"/>
      <c r="H278" s="1013"/>
    </row>
    <row r="279" spans="1:8" x14ac:dyDescent="0.2">
      <c r="A279" s="1014" t="s">
        <v>886</v>
      </c>
      <c r="B279" s="1013"/>
      <c r="C279" s="1013"/>
      <c r="D279" s="1013"/>
      <c r="E279" s="1013"/>
      <c r="F279" s="1013"/>
      <c r="G279" s="1013"/>
      <c r="H279" s="1013"/>
    </row>
    <row r="280" spans="1:8" x14ac:dyDescent="0.2">
      <c r="A280" s="1014" t="s">
        <v>887</v>
      </c>
      <c r="B280" s="1013"/>
      <c r="C280" s="1013"/>
      <c r="D280" s="1013"/>
      <c r="E280" s="1013"/>
      <c r="F280" s="1013"/>
      <c r="G280" s="1013"/>
      <c r="H280" s="1013"/>
    </row>
    <row r="281" spans="1:8" x14ac:dyDescent="0.2">
      <c r="A281" s="1013"/>
      <c r="B281" s="1013"/>
      <c r="C281" s="1013"/>
      <c r="D281" s="1013"/>
      <c r="E281" s="1013"/>
      <c r="F281" s="1013"/>
      <c r="G281" s="1013"/>
      <c r="H281" s="1013"/>
    </row>
    <row r="282" spans="1:8" x14ac:dyDescent="0.2">
      <c r="A282" s="1014" t="s">
        <v>865</v>
      </c>
      <c r="B282" s="1013"/>
      <c r="C282" s="1013"/>
      <c r="D282" s="1013"/>
      <c r="E282" s="1013"/>
      <c r="F282" s="1013"/>
      <c r="G282" s="1013"/>
      <c r="H282" s="1013"/>
    </row>
    <row r="283" spans="1:8" x14ac:dyDescent="0.2">
      <c r="A283" s="1014" t="s">
        <v>866</v>
      </c>
      <c r="B283" s="1013"/>
      <c r="C283" s="1013"/>
      <c r="D283" s="1013"/>
      <c r="E283" s="1013"/>
      <c r="F283" s="1013"/>
      <c r="G283" s="1013"/>
      <c r="H283" s="1013"/>
    </row>
    <row r="284" spans="1:8" x14ac:dyDescent="0.2">
      <c r="A284" s="1014" t="s">
        <v>867</v>
      </c>
      <c r="B284" s="1013"/>
      <c r="C284" s="1013"/>
      <c r="D284" s="1013"/>
      <c r="E284" s="1013"/>
      <c r="F284" s="1013"/>
      <c r="G284" s="1013"/>
      <c r="H284" s="1013"/>
    </row>
    <row r="285" spans="1:8" x14ac:dyDescent="0.2">
      <c r="A285" s="1014" t="s">
        <v>868</v>
      </c>
      <c r="B285" s="1013"/>
      <c r="C285" s="1013"/>
      <c r="D285" s="1013"/>
      <c r="E285" s="1013"/>
      <c r="F285" s="1013"/>
      <c r="G285" s="1013"/>
      <c r="H285" s="1013"/>
    </row>
    <row r="286" spans="1:8" x14ac:dyDescent="0.2">
      <c r="A286" s="1014" t="s">
        <v>869</v>
      </c>
      <c r="B286" s="1013"/>
      <c r="C286" s="1013"/>
      <c r="D286" s="1013"/>
      <c r="E286" s="1013"/>
      <c r="F286" s="1013"/>
      <c r="G286" s="1013"/>
      <c r="H286" s="1013"/>
    </row>
    <row r="287" spans="1:8" x14ac:dyDescent="0.2">
      <c r="A287" s="1014" t="s">
        <v>870</v>
      </c>
      <c r="B287" s="1013"/>
      <c r="C287" s="1013"/>
      <c r="D287" s="1013"/>
      <c r="E287" s="1013"/>
      <c r="F287" s="1013"/>
      <c r="G287" s="1013"/>
      <c r="H287" s="1013"/>
    </row>
    <row r="288" spans="1:8" x14ac:dyDescent="0.2">
      <c r="A288" s="1014" t="s">
        <v>871</v>
      </c>
      <c r="B288" s="1013"/>
      <c r="C288" s="1013"/>
      <c r="D288" s="1013"/>
      <c r="E288" s="1013"/>
      <c r="F288" s="1013"/>
      <c r="G288" s="1013"/>
      <c r="H288" s="1013"/>
    </row>
    <row r="289" spans="1:8" x14ac:dyDescent="0.2">
      <c r="A289" s="1013"/>
      <c r="B289" s="1013"/>
      <c r="C289" s="1013"/>
      <c r="D289" s="1013"/>
      <c r="E289" s="1013"/>
      <c r="F289" s="1013"/>
      <c r="G289" s="1013"/>
      <c r="H289" s="1013"/>
    </row>
    <row r="290" spans="1:8" x14ac:dyDescent="0.2">
      <c r="A290" s="1014" t="s">
        <v>856</v>
      </c>
      <c r="B290" s="1013"/>
      <c r="C290" s="1013"/>
      <c r="D290" s="1013"/>
      <c r="E290" s="1013"/>
      <c r="F290" s="1013"/>
      <c r="G290" s="1013"/>
      <c r="H290" s="1013"/>
    </row>
    <row r="291" spans="1:8" x14ac:dyDescent="0.2">
      <c r="A291" s="1014" t="s">
        <v>857</v>
      </c>
      <c r="B291" s="1013"/>
      <c r="C291" s="1013"/>
      <c r="D291" s="1013"/>
      <c r="E291" s="1013"/>
      <c r="F291" s="1013"/>
      <c r="G291" s="1013"/>
      <c r="H291" s="1013"/>
    </row>
    <row r="292" spans="1:8" x14ac:dyDescent="0.2">
      <c r="A292" s="1014" t="s">
        <v>858</v>
      </c>
      <c r="B292" s="1013"/>
      <c r="C292" s="1013"/>
      <c r="D292" s="1013"/>
      <c r="E292" s="1013"/>
      <c r="F292" s="1013"/>
      <c r="G292" s="1013"/>
      <c r="H292" s="1013"/>
    </row>
    <row r="293" spans="1:8" x14ac:dyDescent="0.2">
      <c r="A293" s="1014" t="s">
        <v>859</v>
      </c>
      <c r="B293" s="1013"/>
      <c r="C293" s="1013"/>
      <c r="D293" s="1013"/>
      <c r="E293" s="1013"/>
      <c r="F293" s="1013"/>
      <c r="G293" s="1013"/>
      <c r="H293" s="1013"/>
    </row>
    <row r="294" spans="1:8" x14ac:dyDescent="0.2">
      <c r="A294" s="1014" t="s">
        <v>860</v>
      </c>
      <c r="B294" s="1013"/>
      <c r="C294" s="1013"/>
      <c r="D294" s="1013"/>
      <c r="E294" s="1013"/>
      <c r="F294" s="1013"/>
      <c r="G294" s="1013"/>
      <c r="H294" s="1013"/>
    </row>
    <row r="295" spans="1:8" x14ac:dyDescent="0.2">
      <c r="A295" s="1014" t="s">
        <v>861</v>
      </c>
      <c r="B295" s="1013"/>
      <c r="C295" s="1013"/>
      <c r="D295" s="1013"/>
      <c r="E295" s="1013"/>
      <c r="F295" s="1013"/>
      <c r="G295" s="1013"/>
      <c r="H295" s="1013"/>
    </row>
    <row r="296" spans="1:8" x14ac:dyDescent="0.2">
      <c r="A296" s="1014" t="s">
        <v>862</v>
      </c>
      <c r="B296" s="1013"/>
      <c r="C296" s="1013"/>
      <c r="D296" s="1013"/>
      <c r="E296" s="1013"/>
      <c r="F296" s="1013"/>
      <c r="G296" s="1013"/>
      <c r="H296" s="1013"/>
    </row>
    <row r="297" spans="1:8" x14ac:dyDescent="0.2">
      <c r="A297" s="1014" t="s">
        <v>863</v>
      </c>
      <c r="B297" s="1013"/>
      <c r="C297" s="1013"/>
      <c r="D297" s="1013"/>
      <c r="E297" s="1013"/>
      <c r="F297" s="1013"/>
      <c r="G297" s="1013"/>
      <c r="H297" s="1013"/>
    </row>
    <row r="298" spans="1:8" x14ac:dyDescent="0.2">
      <c r="A298" s="1014" t="s">
        <v>864</v>
      </c>
      <c r="B298" s="1013"/>
      <c r="C298" s="1013"/>
      <c r="D298" s="1013"/>
      <c r="E298" s="1013"/>
      <c r="F298" s="1013"/>
      <c r="G298" s="1013"/>
      <c r="H298" s="1013"/>
    </row>
    <row r="299" spans="1:8" x14ac:dyDescent="0.2">
      <c r="A299" s="1013"/>
      <c r="B299" s="1013"/>
      <c r="C299" s="1013"/>
      <c r="D299" s="1013"/>
      <c r="E299" s="1013"/>
      <c r="F299" s="1013"/>
      <c r="G299" s="1013"/>
      <c r="H299" s="1013"/>
    </row>
    <row r="300" spans="1:8" x14ac:dyDescent="0.2">
      <c r="A300" s="1014" t="s">
        <v>849</v>
      </c>
      <c r="B300" s="1013"/>
      <c r="C300" s="1013"/>
      <c r="D300" s="1013"/>
      <c r="E300" s="1013"/>
      <c r="F300" s="1013"/>
      <c r="G300" s="1013"/>
      <c r="H300" s="1013"/>
    </row>
    <row r="301" spans="1:8" x14ac:dyDescent="0.2">
      <c r="A301" s="1014" t="s">
        <v>850</v>
      </c>
      <c r="B301" s="1013"/>
      <c r="C301" s="1013"/>
      <c r="D301" s="1013"/>
      <c r="E301" s="1013"/>
      <c r="F301" s="1013"/>
      <c r="G301" s="1013"/>
      <c r="H301" s="1013"/>
    </row>
    <row r="302" spans="1:8" x14ac:dyDescent="0.2">
      <c r="A302" s="1014" t="s">
        <v>851</v>
      </c>
      <c r="B302" s="1013"/>
      <c r="C302" s="1013"/>
      <c r="D302" s="1013"/>
      <c r="E302" s="1013"/>
      <c r="F302" s="1013"/>
      <c r="G302" s="1013"/>
      <c r="H302" s="1013"/>
    </row>
    <row r="303" spans="1:8" x14ac:dyDescent="0.2">
      <c r="A303" s="1014" t="s">
        <v>852</v>
      </c>
      <c r="B303" s="1013"/>
      <c r="C303" s="1013"/>
      <c r="D303" s="1013"/>
      <c r="E303" s="1013"/>
      <c r="F303" s="1013"/>
      <c r="G303" s="1013"/>
      <c r="H303" s="1013"/>
    </row>
    <row r="304" spans="1:8" x14ac:dyDescent="0.2">
      <c r="A304" s="1014" t="s">
        <v>853</v>
      </c>
      <c r="B304" s="1013"/>
      <c r="C304" s="1013"/>
      <c r="D304" s="1013"/>
      <c r="E304" s="1013"/>
      <c r="F304" s="1013"/>
      <c r="G304" s="1013"/>
      <c r="H304" s="1013"/>
    </row>
    <row r="305" spans="1:8" x14ac:dyDescent="0.2">
      <c r="A305" s="1014" t="s">
        <v>854</v>
      </c>
      <c r="B305" s="1013"/>
      <c r="C305" s="1013"/>
      <c r="D305" s="1013"/>
      <c r="E305" s="1013"/>
      <c r="F305" s="1013"/>
      <c r="G305" s="1013"/>
      <c r="H305" s="1013"/>
    </row>
    <row r="306" spans="1:8" x14ac:dyDescent="0.2">
      <c r="A306" s="1014" t="s">
        <v>855</v>
      </c>
      <c r="B306" s="1013"/>
      <c r="C306" s="1013"/>
      <c r="D306" s="1013"/>
      <c r="E306" s="1013"/>
      <c r="F306" s="1013"/>
      <c r="G306" s="1013"/>
      <c r="H306" s="1013"/>
    </row>
    <row r="307" spans="1:8" x14ac:dyDescent="0.2">
      <c r="A307" s="1013"/>
      <c r="B307" s="1013"/>
      <c r="C307" s="1013"/>
      <c r="D307" s="1013"/>
      <c r="E307" s="1013"/>
      <c r="F307" s="1013"/>
      <c r="G307" s="1013"/>
      <c r="H307" s="1013"/>
    </row>
    <row r="308" spans="1:8" x14ac:dyDescent="0.2">
      <c r="A308" s="1014" t="s">
        <v>846</v>
      </c>
      <c r="B308" s="1013"/>
      <c r="C308" s="1013"/>
      <c r="D308" s="1013"/>
      <c r="E308" s="1013"/>
      <c r="F308" s="1013"/>
      <c r="G308" s="1013"/>
      <c r="H308" s="1013"/>
    </row>
    <row r="309" spans="1:8" x14ac:dyDescent="0.2">
      <c r="A309" s="1014" t="s">
        <v>847</v>
      </c>
      <c r="B309" s="1013"/>
      <c r="C309" s="1013"/>
      <c r="D309" s="1013"/>
      <c r="E309" s="1013"/>
      <c r="F309" s="1013"/>
      <c r="G309" s="1013"/>
      <c r="H309" s="1013"/>
    </row>
    <row r="310" spans="1:8" x14ac:dyDescent="0.2">
      <c r="A310" s="1014" t="s">
        <v>848</v>
      </c>
      <c r="B310" s="1013"/>
      <c r="C310" s="1013"/>
      <c r="D310" s="1013"/>
      <c r="E310" s="1013"/>
      <c r="F310" s="1013"/>
      <c r="G310" s="1013"/>
      <c r="H310" s="1013"/>
    </row>
    <row r="311" spans="1:8" x14ac:dyDescent="0.2">
      <c r="A311" s="1013"/>
      <c r="B311" s="1013"/>
      <c r="C311" s="1013"/>
      <c r="D311" s="1013"/>
      <c r="E311" s="1013"/>
      <c r="F311" s="1013"/>
      <c r="G311" s="1013"/>
      <c r="H311" s="1013"/>
    </row>
    <row r="312" spans="1:8" x14ac:dyDescent="0.2">
      <c r="A312" s="1014" t="s">
        <v>844</v>
      </c>
      <c r="B312" s="1013"/>
      <c r="C312" s="1013"/>
      <c r="D312" s="1013"/>
      <c r="E312" s="1013"/>
      <c r="F312" s="1013"/>
      <c r="G312" s="1013"/>
      <c r="H312" s="1013"/>
    </row>
    <row r="313" spans="1:8" x14ac:dyDescent="0.2">
      <c r="A313" s="1014" t="s">
        <v>845</v>
      </c>
      <c r="B313" s="1013"/>
      <c r="C313" s="1013"/>
      <c r="D313" s="1013"/>
      <c r="E313" s="1013"/>
      <c r="F313" s="1013"/>
      <c r="G313" s="1013"/>
      <c r="H313" s="1013"/>
    </row>
    <row r="314" spans="1:8" x14ac:dyDescent="0.2">
      <c r="A314" s="1013"/>
      <c r="B314" s="1013"/>
      <c r="C314" s="1013"/>
      <c r="D314" s="1013"/>
      <c r="E314" s="1013"/>
      <c r="F314" s="1013"/>
      <c r="G314" s="1013"/>
      <c r="H314" s="1013"/>
    </row>
    <row r="315" spans="1:8" x14ac:dyDescent="0.2">
      <c r="A315" s="1014" t="s">
        <v>831</v>
      </c>
      <c r="B315" s="1013"/>
      <c r="C315" s="1013"/>
      <c r="D315" s="1013"/>
      <c r="E315" s="1013"/>
      <c r="F315" s="1013"/>
      <c r="G315" s="1013"/>
      <c r="H315" s="1013"/>
    </row>
    <row r="316" spans="1:8" x14ac:dyDescent="0.2">
      <c r="A316" s="1014" t="s">
        <v>832</v>
      </c>
      <c r="B316" s="1013"/>
      <c r="C316" s="1013"/>
      <c r="D316" s="1013"/>
      <c r="E316" s="1013"/>
      <c r="F316" s="1013"/>
      <c r="G316" s="1013"/>
      <c r="H316" s="1013"/>
    </row>
    <row r="317" spans="1:8" x14ac:dyDescent="0.2">
      <c r="A317" s="1014" t="s">
        <v>833</v>
      </c>
      <c r="B317" s="1013"/>
      <c r="C317" s="1013"/>
      <c r="D317" s="1013"/>
      <c r="E317" s="1013"/>
      <c r="F317" s="1013"/>
      <c r="G317" s="1013"/>
      <c r="H317" s="1013"/>
    </row>
    <row r="318" spans="1:8" x14ac:dyDescent="0.2">
      <c r="A318" s="1014" t="s">
        <v>834</v>
      </c>
      <c r="B318" s="1013"/>
      <c r="C318" s="1013"/>
      <c r="D318" s="1013"/>
      <c r="E318" s="1013"/>
      <c r="F318" s="1013"/>
      <c r="G318" s="1013"/>
      <c r="H318" s="1013"/>
    </row>
    <row r="319" spans="1:8" x14ac:dyDescent="0.2">
      <c r="A319" s="1014" t="s">
        <v>835</v>
      </c>
      <c r="B319" s="1013"/>
      <c r="C319" s="1013"/>
      <c r="D319" s="1013"/>
      <c r="E319" s="1013"/>
      <c r="F319" s="1013"/>
      <c r="G319" s="1013"/>
      <c r="H319" s="1013"/>
    </row>
    <row r="320" spans="1:8" x14ac:dyDescent="0.2">
      <c r="A320" s="1014" t="s">
        <v>836</v>
      </c>
      <c r="B320" s="1013"/>
      <c r="C320" s="1013"/>
      <c r="D320" s="1013"/>
      <c r="E320" s="1013"/>
      <c r="F320" s="1013"/>
      <c r="G320" s="1013"/>
      <c r="H320" s="1013"/>
    </row>
    <row r="321" spans="1:8" x14ac:dyDescent="0.2">
      <c r="A321" s="1014" t="s">
        <v>837</v>
      </c>
      <c r="B321" s="1013"/>
      <c r="C321" s="1013"/>
      <c r="D321" s="1013"/>
      <c r="E321" s="1013"/>
      <c r="F321" s="1013"/>
      <c r="G321" s="1013"/>
      <c r="H321" s="1013"/>
    </row>
    <row r="322" spans="1:8" x14ac:dyDescent="0.2">
      <c r="A322" s="1014" t="s">
        <v>838</v>
      </c>
      <c r="B322" s="1013"/>
      <c r="C322" s="1013"/>
      <c r="D322" s="1013"/>
      <c r="E322" s="1013"/>
      <c r="F322" s="1013"/>
      <c r="G322" s="1013"/>
      <c r="H322" s="1013"/>
    </row>
    <row r="323" spans="1:8" x14ac:dyDescent="0.2">
      <c r="A323" s="1014" t="s">
        <v>839</v>
      </c>
      <c r="B323" s="1013"/>
      <c r="C323" s="1013"/>
      <c r="D323" s="1013"/>
      <c r="E323" s="1013"/>
      <c r="F323" s="1013"/>
      <c r="G323" s="1013"/>
      <c r="H323" s="1013"/>
    </row>
    <row r="324" spans="1:8" x14ac:dyDescent="0.2">
      <c r="A324" s="1014" t="s">
        <v>840</v>
      </c>
      <c r="B324" s="1013"/>
      <c r="C324" s="1013"/>
      <c r="D324" s="1013"/>
      <c r="E324" s="1013"/>
      <c r="F324" s="1013"/>
      <c r="G324" s="1013"/>
      <c r="H324" s="1013"/>
    </row>
    <row r="325" spans="1:8" x14ac:dyDescent="0.2">
      <c r="A325" s="1014" t="s">
        <v>841</v>
      </c>
      <c r="B325" s="1013"/>
      <c r="C325" s="1013"/>
      <c r="D325" s="1013"/>
      <c r="E325" s="1013"/>
      <c r="F325" s="1013"/>
      <c r="G325" s="1013"/>
      <c r="H325" s="1013"/>
    </row>
    <row r="326" spans="1:8" x14ac:dyDescent="0.2">
      <c r="A326" s="1014" t="s">
        <v>842</v>
      </c>
      <c r="B326" s="1013"/>
      <c r="C326" s="1013"/>
      <c r="D326" s="1013"/>
      <c r="E326" s="1013"/>
      <c r="F326" s="1013"/>
      <c r="G326" s="1013"/>
      <c r="H326" s="1013"/>
    </row>
    <row r="327" spans="1:8" x14ac:dyDescent="0.2">
      <c r="A327" s="1014" t="s">
        <v>843</v>
      </c>
      <c r="B327" s="1013"/>
      <c r="C327" s="1013"/>
      <c r="D327" s="1013"/>
      <c r="E327" s="1013"/>
      <c r="F327" s="1013"/>
      <c r="G327" s="1013"/>
      <c r="H327" s="1013"/>
    </row>
    <row r="328" spans="1:8" x14ac:dyDescent="0.2">
      <c r="A328" s="1013"/>
      <c r="B328" s="1013"/>
      <c r="C328" s="1013"/>
      <c r="D328" s="1013"/>
      <c r="E328" s="1013"/>
      <c r="F328" s="1013"/>
      <c r="G328" s="1013"/>
      <c r="H328" s="1013"/>
    </row>
    <row r="329" spans="1:8" x14ac:dyDescent="0.2">
      <c r="A329" s="1014" t="s">
        <v>823</v>
      </c>
      <c r="B329" s="1013"/>
      <c r="C329" s="1013"/>
      <c r="D329" s="1013"/>
      <c r="E329" s="1013"/>
      <c r="F329" s="1013"/>
      <c r="G329" s="1013"/>
      <c r="H329" s="1013"/>
    </row>
    <row r="330" spans="1:8" x14ac:dyDescent="0.2">
      <c r="A330" s="1014" t="s">
        <v>824</v>
      </c>
      <c r="B330" s="1013"/>
      <c r="C330" s="1013"/>
      <c r="D330" s="1013"/>
      <c r="E330" s="1013"/>
      <c r="F330" s="1013"/>
      <c r="G330" s="1013"/>
      <c r="H330" s="1013"/>
    </row>
    <row r="331" spans="1:8" x14ac:dyDescent="0.2">
      <c r="A331" s="1014" t="s">
        <v>825</v>
      </c>
      <c r="B331" s="1013"/>
      <c r="C331" s="1013"/>
      <c r="D331" s="1013"/>
      <c r="E331" s="1013"/>
      <c r="F331" s="1013"/>
      <c r="G331" s="1013"/>
      <c r="H331" s="1013"/>
    </row>
    <row r="332" spans="1:8" x14ac:dyDescent="0.2">
      <c r="A332" s="1014" t="s">
        <v>826</v>
      </c>
      <c r="B332" s="1013"/>
      <c r="C332" s="1013"/>
      <c r="D332" s="1013"/>
      <c r="E332" s="1013"/>
      <c r="F332" s="1013"/>
      <c r="G332" s="1013"/>
      <c r="H332" s="1013"/>
    </row>
    <row r="333" spans="1:8" x14ac:dyDescent="0.2">
      <c r="A333" s="1014" t="s">
        <v>827</v>
      </c>
      <c r="B333" s="1013"/>
      <c r="C333" s="1013"/>
      <c r="D333" s="1013"/>
      <c r="E333" s="1013"/>
      <c r="F333" s="1013"/>
      <c r="G333" s="1013"/>
      <c r="H333" s="1013"/>
    </row>
    <row r="334" spans="1:8" x14ac:dyDescent="0.2">
      <c r="A334" s="1014" t="s">
        <v>828</v>
      </c>
      <c r="B334" s="1013"/>
      <c r="C334" s="1013"/>
      <c r="D334" s="1013"/>
      <c r="E334" s="1013"/>
      <c r="F334" s="1013"/>
      <c r="G334" s="1013"/>
      <c r="H334" s="1013"/>
    </row>
    <row r="335" spans="1:8" x14ac:dyDescent="0.2">
      <c r="A335" s="1014" t="s">
        <v>829</v>
      </c>
      <c r="B335" s="1013"/>
      <c r="C335" s="1013"/>
      <c r="D335" s="1013"/>
      <c r="E335" s="1013"/>
      <c r="F335" s="1013"/>
      <c r="G335" s="1013"/>
      <c r="H335" s="1013"/>
    </row>
    <row r="336" spans="1:8" x14ac:dyDescent="0.2">
      <c r="A336" s="1014" t="s">
        <v>830</v>
      </c>
      <c r="B336" s="1013"/>
      <c r="C336" s="1013"/>
      <c r="D336" s="1013"/>
      <c r="E336" s="1013"/>
      <c r="F336" s="1013"/>
      <c r="G336" s="1013"/>
      <c r="H336" s="1013"/>
    </row>
    <row r="337" spans="1:8" x14ac:dyDescent="0.2">
      <c r="A337" s="1013"/>
      <c r="B337" s="1013"/>
      <c r="C337" s="1013"/>
      <c r="D337" s="1013"/>
      <c r="E337" s="1013"/>
      <c r="F337" s="1013"/>
      <c r="G337" s="1013"/>
      <c r="H337" s="1013"/>
    </row>
    <row r="338" spans="1:8" x14ac:dyDescent="0.2">
      <c r="A338" s="1014" t="s">
        <v>788</v>
      </c>
      <c r="B338" s="1013"/>
      <c r="C338" s="1013"/>
      <c r="D338" s="1013"/>
      <c r="E338" s="1013"/>
      <c r="F338" s="1013"/>
      <c r="G338" s="1013"/>
      <c r="H338" s="1013"/>
    </row>
    <row r="339" spans="1:8" x14ac:dyDescent="0.2">
      <c r="A339" s="1014" t="s">
        <v>789</v>
      </c>
      <c r="B339" s="1013"/>
      <c r="C339" s="1013"/>
      <c r="D339" s="1013"/>
      <c r="E339" s="1013"/>
      <c r="F339" s="1013"/>
      <c r="G339" s="1013"/>
      <c r="H339" s="1013"/>
    </row>
    <row r="340" spans="1:8" x14ac:dyDescent="0.2">
      <c r="A340" s="1014" t="s">
        <v>790</v>
      </c>
      <c r="B340" s="1013"/>
      <c r="C340" s="1013"/>
      <c r="D340" s="1013"/>
      <c r="E340" s="1013"/>
      <c r="F340" s="1013"/>
      <c r="G340" s="1013"/>
      <c r="H340" s="1013"/>
    </row>
    <row r="341" spans="1:8" x14ac:dyDescent="0.2">
      <c r="A341" s="1014" t="s">
        <v>791</v>
      </c>
      <c r="B341" s="1013"/>
      <c r="C341" s="1013"/>
      <c r="D341" s="1013"/>
      <c r="E341" s="1013"/>
      <c r="F341" s="1013"/>
      <c r="G341" s="1013"/>
      <c r="H341" s="1013"/>
    </row>
    <row r="342" spans="1:8" x14ac:dyDescent="0.2">
      <c r="A342" s="1014" t="s">
        <v>792</v>
      </c>
      <c r="B342" s="1013"/>
      <c r="C342" s="1013"/>
      <c r="D342" s="1013"/>
      <c r="E342" s="1013"/>
      <c r="F342" s="1013"/>
      <c r="G342" s="1013"/>
      <c r="H342" s="1013"/>
    </row>
    <row r="343" spans="1:8" x14ac:dyDescent="0.2">
      <c r="A343" s="1014" t="s">
        <v>793</v>
      </c>
      <c r="B343" s="1013"/>
      <c r="C343" s="1013"/>
      <c r="D343" s="1013"/>
      <c r="E343" s="1013"/>
      <c r="F343" s="1013"/>
      <c r="G343" s="1013"/>
      <c r="H343" s="1013"/>
    </row>
    <row r="344" spans="1:8" x14ac:dyDescent="0.2">
      <c r="A344" s="1014" t="s">
        <v>794</v>
      </c>
      <c r="B344" s="1013"/>
      <c r="C344" s="1013"/>
      <c r="D344" s="1013"/>
      <c r="E344" s="1013"/>
      <c r="F344" s="1013"/>
      <c r="G344" s="1013"/>
      <c r="H344" s="1013"/>
    </row>
    <row r="345" spans="1:8" x14ac:dyDescent="0.2">
      <c r="A345" s="1014" t="s">
        <v>795</v>
      </c>
      <c r="B345" s="1013"/>
      <c r="C345" s="1013"/>
      <c r="D345" s="1013"/>
      <c r="E345" s="1013"/>
      <c r="F345" s="1013"/>
      <c r="G345" s="1013"/>
      <c r="H345" s="1013"/>
    </row>
    <row r="346" spans="1:8" x14ac:dyDescent="0.2">
      <c r="A346" s="1014" t="s">
        <v>796</v>
      </c>
      <c r="B346" s="1013"/>
      <c r="C346" s="1013"/>
      <c r="D346" s="1013"/>
      <c r="E346" s="1013"/>
      <c r="F346" s="1013"/>
      <c r="G346" s="1013"/>
      <c r="H346" s="1013"/>
    </row>
    <row r="347" spans="1:8" x14ac:dyDescent="0.2">
      <c r="A347" s="1014" t="s">
        <v>797</v>
      </c>
      <c r="B347" s="1013"/>
      <c r="C347" s="1013"/>
      <c r="D347" s="1013"/>
      <c r="E347" s="1013"/>
      <c r="F347" s="1013"/>
      <c r="G347" s="1013"/>
      <c r="H347" s="1013"/>
    </row>
    <row r="348" spans="1:8" x14ac:dyDescent="0.2">
      <c r="A348" s="1014" t="s">
        <v>798</v>
      </c>
      <c r="B348" s="1013"/>
      <c r="C348" s="1013"/>
      <c r="D348" s="1013"/>
      <c r="E348" s="1013"/>
      <c r="F348" s="1013"/>
      <c r="G348" s="1013"/>
      <c r="H348" s="1013"/>
    </row>
    <row r="349" spans="1:8" x14ac:dyDescent="0.2">
      <c r="A349" s="1014" t="s">
        <v>799</v>
      </c>
      <c r="B349" s="1013"/>
      <c r="C349" s="1013"/>
      <c r="D349" s="1013"/>
      <c r="E349" s="1013"/>
      <c r="F349" s="1013"/>
      <c r="G349" s="1013"/>
      <c r="H349" s="1013"/>
    </row>
    <row r="350" spans="1:8" x14ac:dyDescent="0.2">
      <c r="A350" s="1014" t="s">
        <v>800</v>
      </c>
      <c r="B350" s="1013"/>
      <c r="C350" s="1013"/>
      <c r="D350" s="1013"/>
      <c r="E350" s="1013"/>
      <c r="F350" s="1013"/>
      <c r="G350" s="1013"/>
      <c r="H350" s="1013"/>
    </row>
    <row r="351" spans="1:8" x14ac:dyDescent="0.2">
      <c r="A351" s="1014" t="s">
        <v>801</v>
      </c>
      <c r="B351" s="1013"/>
      <c r="C351" s="1013"/>
      <c r="D351" s="1013"/>
      <c r="E351" s="1013"/>
      <c r="F351" s="1013"/>
      <c r="G351" s="1013"/>
      <c r="H351" s="1013"/>
    </row>
    <row r="352" spans="1:8" x14ac:dyDescent="0.2">
      <c r="A352" s="1014" t="s">
        <v>802</v>
      </c>
      <c r="B352" s="1013"/>
      <c r="C352" s="1013"/>
      <c r="D352" s="1013"/>
      <c r="E352" s="1013"/>
      <c r="F352" s="1013"/>
      <c r="G352" s="1013"/>
      <c r="H352" s="1013"/>
    </row>
    <row r="353" spans="1:8" x14ac:dyDescent="0.2">
      <c r="A353" s="1014" t="s">
        <v>803</v>
      </c>
      <c r="B353" s="1013"/>
      <c r="C353" s="1013"/>
      <c r="D353" s="1013"/>
      <c r="E353" s="1013"/>
      <c r="F353" s="1013"/>
      <c r="G353" s="1013"/>
      <c r="H353" s="1013"/>
    </row>
    <row r="354" spans="1:8" x14ac:dyDescent="0.2">
      <c r="A354" s="1014" t="s">
        <v>804</v>
      </c>
      <c r="B354" s="1013"/>
      <c r="C354" s="1013"/>
      <c r="D354" s="1013"/>
      <c r="E354" s="1013"/>
      <c r="F354" s="1013"/>
      <c r="G354" s="1013"/>
      <c r="H354" s="1013"/>
    </row>
    <row r="355" spans="1:8" x14ac:dyDescent="0.2">
      <c r="A355" s="1014" t="s">
        <v>805</v>
      </c>
      <c r="B355" s="1013"/>
      <c r="C355" s="1013"/>
      <c r="D355" s="1013"/>
      <c r="E355" s="1013"/>
      <c r="F355" s="1013"/>
      <c r="G355" s="1013"/>
      <c r="H355" s="1013"/>
    </row>
    <row r="356" spans="1:8" x14ac:dyDescent="0.2">
      <c r="A356" s="1014" t="s">
        <v>806</v>
      </c>
      <c r="B356" s="1013"/>
      <c r="C356" s="1013"/>
      <c r="D356" s="1013"/>
      <c r="E356" s="1013"/>
      <c r="F356" s="1013"/>
      <c r="G356" s="1013"/>
      <c r="H356" s="1013"/>
    </row>
    <row r="357" spans="1:8" x14ac:dyDescent="0.2">
      <c r="A357" s="1014" t="s">
        <v>807</v>
      </c>
      <c r="B357" s="1013"/>
      <c r="C357" s="1013"/>
      <c r="D357" s="1013"/>
      <c r="E357" s="1013"/>
      <c r="F357" s="1013"/>
      <c r="G357" s="1013"/>
      <c r="H357" s="1013"/>
    </row>
    <row r="358" spans="1:8" x14ac:dyDescent="0.2">
      <c r="A358" s="1014" t="s">
        <v>808</v>
      </c>
      <c r="B358" s="1013"/>
      <c r="C358" s="1013"/>
      <c r="D358" s="1013"/>
      <c r="E358" s="1013"/>
      <c r="F358" s="1013"/>
      <c r="G358" s="1013"/>
      <c r="H358" s="1013"/>
    </row>
    <row r="359" spans="1:8" x14ac:dyDescent="0.2">
      <c r="A359" s="1014" t="s">
        <v>809</v>
      </c>
      <c r="B359" s="1013"/>
      <c r="C359" s="1013"/>
      <c r="D359" s="1013"/>
      <c r="E359" s="1013"/>
      <c r="F359" s="1013"/>
      <c r="G359" s="1013"/>
      <c r="H359" s="1013"/>
    </row>
    <row r="360" spans="1:8" x14ac:dyDescent="0.2">
      <c r="A360" s="1014" t="s">
        <v>810</v>
      </c>
      <c r="B360" s="1013"/>
      <c r="C360" s="1013"/>
      <c r="D360" s="1013"/>
      <c r="E360" s="1013"/>
      <c r="F360" s="1013"/>
      <c r="G360" s="1013"/>
      <c r="H360" s="1013"/>
    </row>
    <row r="361" spans="1:8" x14ac:dyDescent="0.2">
      <c r="A361" s="1014" t="s">
        <v>811</v>
      </c>
      <c r="B361" s="1013"/>
      <c r="C361" s="1013"/>
      <c r="D361" s="1013"/>
      <c r="E361" s="1013"/>
      <c r="F361" s="1013"/>
      <c r="G361" s="1013"/>
      <c r="H361" s="1013"/>
    </row>
    <row r="362" spans="1:8" x14ac:dyDescent="0.2">
      <c r="A362" s="1014" t="s">
        <v>812</v>
      </c>
      <c r="B362" s="1013"/>
      <c r="C362" s="1013"/>
      <c r="D362" s="1013"/>
      <c r="E362" s="1013"/>
      <c r="F362" s="1013"/>
      <c r="G362" s="1013"/>
      <c r="H362" s="1013"/>
    </row>
    <row r="363" spans="1:8" x14ac:dyDescent="0.2">
      <c r="A363" s="1014" t="s">
        <v>813</v>
      </c>
      <c r="B363" s="1013"/>
      <c r="C363" s="1013"/>
      <c r="D363" s="1013"/>
      <c r="E363" s="1013"/>
      <c r="F363" s="1013"/>
      <c r="G363" s="1013"/>
      <c r="H363" s="1013"/>
    </row>
    <row r="364" spans="1:8" x14ac:dyDescent="0.2">
      <c r="A364" s="1014" t="s">
        <v>814</v>
      </c>
      <c r="B364" s="1013"/>
      <c r="C364" s="1013"/>
      <c r="D364" s="1013"/>
      <c r="E364" s="1013"/>
      <c r="F364" s="1013"/>
      <c r="G364" s="1013"/>
      <c r="H364" s="1013"/>
    </row>
    <row r="365" spans="1:8" x14ac:dyDescent="0.2">
      <c r="A365" s="1014" t="s">
        <v>815</v>
      </c>
      <c r="B365" s="1013"/>
      <c r="C365" s="1013"/>
      <c r="D365" s="1013"/>
      <c r="E365" s="1013"/>
      <c r="F365" s="1013"/>
      <c r="G365" s="1013"/>
      <c r="H365" s="1013"/>
    </row>
    <row r="366" spans="1:8" x14ac:dyDescent="0.2">
      <c r="A366" s="1014" t="s">
        <v>816</v>
      </c>
      <c r="B366" s="1013"/>
      <c r="C366" s="1013"/>
      <c r="D366" s="1013"/>
      <c r="E366" s="1013"/>
      <c r="F366" s="1013"/>
      <c r="G366" s="1013"/>
      <c r="H366" s="1013"/>
    </row>
    <row r="367" spans="1:8" x14ac:dyDescent="0.2">
      <c r="A367" s="1014" t="s">
        <v>817</v>
      </c>
      <c r="B367" s="1013"/>
      <c r="C367" s="1013"/>
      <c r="D367" s="1013"/>
      <c r="E367" s="1013"/>
      <c r="F367" s="1013"/>
      <c r="G367" s="1013"/>
      <c r="H367" s="1013"/>
    </row>
    <row r="368" spans="1:8" x14ac:dyDescent="0.2">
      <c r="A368" s="1014" t="s">
        <v>818</v>
      </c>
      <c r="B368" s="1013"/>
      <c r="C368" s="1013"/>
      <c r="D368" s="1013"/>
      <c r="E368" s="1013"/>
      <c r="F368" s="1013"/>
      <c r="G368" s="1013"/>
      <c r="H368" s="1013"/>
    </row>
    <row r="369" spans="1:8" x14ac:dyDescent="0.2">
      <c r="A369" s="1014" t="s">
        <v>819</v>
      </c>
      <c r="B369" s="1013"/>
      <c r="C369" s="1013"/>
      <c r="D369" s="1013"/>
      <c r="E369" s="1013"/>
      <c r="F369" s="1013"/>
      <c r="G369" s="1013"/>
      <c r="H369" s="1013"/>
    </row>
    <row r="370" spans="1:8" x14ac:dyDescent="0.2">
      <c r="A370" s="1014" t="s">
        <v>820</v>
      </c>
      <c r="B370" s="1013"/>
      <c r="C370" s="1013"/>
      <c r="D370" s="1013"/>
      <c r="E370" s="1013"/>
      <c r="F370" s="1013"/>
      <c r="G370" s="1013"/>
      <c r="H370" s="1013"/>
    </row>
    <row r="371" spans="1:8" x14ac:dyDescent="0.2">
      <c r="A371" s="1014" t="s">
        <v>821</v>
      </c>
      <c r="B371" s="1013"/>
      <c r="C371" s="1013"/>
      <c r="D371" s="1013"/>
      <c r="E371" s="1013"/>
      <c r="F371" s="1013"/>
      <c r="G371" s="1013"/>
      <c r="H371" s="1013"/>
    </row>
    <row r="372" spans="1:8" x14ac:dyDescent="0.2">
      <c r="A372" s="1014" t="s">
        <v>822</v>
      </c>
      <c r="B372" s="1013"/>
      <c r="C372" s="1013"/>
      <c r="D372" s="1013"/>
      <c r="E372" s="1013"/>
      <c r="F372" s="1013"/>
      <c r="G372" s="1013"/>
      <c r="H372" s="1013"/>
    </row>
    <row r="373" spans="1:8" x14ac:dyDescent="0.2">
      <c r="A373" s="1013"/>
      <c r="B373" s="1013"/>
      <c r="C373" s="1013"/>
      <c r="D373" s="1013"/>
      <c r="E373" s="1013"/>
      <c r="F373" s="1013"/>
      <c r="G373" s="1013"/>
      <c r="H373" s="1013"/>
    </row>
    <row r="374" spans="1:8" x14ac:dyDescent="0.2">
      <c r="A374" s="1014" t="s">
        <v>780</v>
      </c>
      <c r="B374" s="1013"/>
      <c r="C374" s="1013"/>
      <c r="D374" s="1013"/>
      <c r="E374" s="1013"/>
      <c r="F374" s="1013"/>
      <c r="G374" s="1013"/>
      <c r="H374" s="1013"/>
    </row>
    <row r="375" spans="1:8" x14ac:dyDescent="0.2">
      <c r="A375" s="1014" t="s">
        <v>784</v>
      </c>
      <c r="B375" s="1013"/>
      <c r="C375" s="1013"/>
      <c r="D375" s="1013"/>
      <c r="E375" s="1013"/>
      <c r="F375" s="1013"/>
      <c r="G375" s="1013"/>
      <c r="H375" s="1013"/>
    </row>
    <row r="376" spans="1:8" x14ac:dyDescent="0.2">
      <c r="A376" s="1014" t="s">
        <v>785</v>
      </c>
      <c r="B376" s="1013"/>
      <c r="C376" s="1013"/>
      <c r="D376" s="1013"/>
      <c r="E376" s="1013"/>
      <c r="F376" s="1013"/>
      <c r="G376" s="1013"/>
      <c r="H376" s="1013"/>
    </row>
    <row r="377" spans="1:8" x14ac:dyDescent="0.2">
      <c r="A377" s="1014" t="s">
        <v>786</v>
      </c>
      <c r="B377" s="1013"/>
      <c r="C377" s="1013"/>
      <c r="D377" s="1013"/>
      <c r="E377" s="1013"/>
      <c r="F377" s="1013"/>
      <c r="G377" s="1013"/>
      <c r="H377" s="1013"/>
    </row>
    <row r="378" spans="1:8" x14ac:dyDescent="0.2">
      <c r="A378" s="1014" t="s">
        <v>787</v>
      </c>
      <c r="B378" s="1013"/>
      <c r="C378" s="1013"/>
      <c r="D378" s="1013"/>
      <c r="E378" s="1013"/>
      <c r="F378" s="1013"/>
      <c r="G378" s="1013"/>
      <c r="H378" s="1013"/>
    </row>
    <row r="379" spans="1:8" x14ac:dyDescent="0.2">
      <c r="A379" s="1013"/>
      <c r="B379" s="1013"/>
      <c r="C379" s="1013"/>
      <c r="D379" s="1013"/>
      <c r="E379" s="1013"/>
      <c r="F379" s="1013"/>
      <c r="G379" s="1013"/>
      <c r="H379" s="1013"/>
    </row>
    <row r="380" spans="1:8" x14ac:dyDescent="0.2">
      <c r="A380" s="1014" t="s">
        <v>780</v>
      </c>
      <c r="B380" s="1013"/>
      <c r="C380" s="1013"/>
      <c r="D380" s="1013"/>
      <c r="E380" s="1013"/>
      <c r="F380" s="1013"/>
      <c r="G380" s="1013"/>
      <c r="H380" s="1013"/>
    </row>
    <row r="381" spans="1:8" x14ac:dyDescent="0.2">
      <c r="A381" s="1014" t="s">
        <v>781</v>
      </c>
      <c r="B381" s="1013"/>
      <c r="C381" s="1013"/>
      <c r="D381" s="1013"/>
      <c r="E381" s="1013"/>
      <c r="F381" s="1013"/>
      <c r="G381" s="1013"/>
      <c r="H381" s="1013"/>
    </row>
    <row r="382" spans="1:8" x14ac:dyDescent="0.2">
      <c r="A382" s="1014" t="s">
        <v>782</v>
      </c>
      <c r="B382" s="1013"/>
      <c r="C382" s="1013"/>
      <c r="D382" s="1013"/>
      <c r="E382" s="1013"/>
      <c r="F382" s="1013"/>
      <c r="G382" s="1013"/>
      <c r="H382" s="1013"/>
    </row>
    <row r="383" spans="1:8" x14ac:dyDescent="0.2">
      <c r="A383" s="1014" t="s">
        <v>783</v>
      </c>
      <c r="B383" s="1013"/>
      <c r="C383" s="1013"/>
      <c r="D383" s="1013"/>
      <c r="E383" s="1013"/>
      <c r="F383" s="1013"/>
      <c r="G383" s="1013"/>
      <c r="H383" s="1013"/>
    </row>
    <row r="384" spans="1:8" x14ac:dyDescent="0.2">
      <c r="A384" s="1013"/>
      <c r="B384" s="1013"/>
      <c r="C384" s="1013"/>
      <c r="D384" s="1013"/>
      <c r="E384" s="1013"/>
      <c r="F384" s="1013"/>
      <c r="G384" s="1013"/>
      <c r="H384" s="1013"/>
    </row>
    <row r="385" spans="1:8" x14ac:dyDescent="0.2">
      <c r="A385" s="1014" t="s">
        <v>774</v>
      </c>
      <c r="B385" s="1013"/>
      <c r="C385" s="1013"/>
      <c r="D385" s="1013"/>
      <c r="E385" s="1013"/>
      <c r="F385" s="1013"/>
      <c r="G385" s="1013"/>
      <c r="H385" s="1013"/>
    </row>
    <row r="386" spans="1:8" x14ac:dyDescent="0.2">
      <c r="A386" s="1014" t="s">
        <v>775</v>
      </c>
      <c r="B386" s="1013"/>
      <c r="C386" s="1013"/>
      <c r="D386" s="1013"/>
      <c r="E386" s="1013"/>
      <c r="F386" s="1013"/>
      <c r="G386" s="1013"/>
      <c r="H386" s="1013"/>
    </row>
    <row r="387" spans="1:8" x14ac:dyDescent="0.2">
      <c r="A387" s="1014" t="s">
        <v>776</v>
      </c>
      <c r="B387" s="1013"/>
      <c r="C387" s="1013"/>
      <c r="D387" s="1013"/>
      <c r="E387" s="1013"/>
      <c r="F387" s="1013"/>
      <c r="G387" s="1013"/>
      <c r="H387" s="1013"/>
    </row>
    <row r="388" spans="1:8" x14ac:dyDescent="0.2">
      <c r="A388" s="1014" t="s">
        <v>777</v>
      </c>
      <c r="B388" s="1013"/>
      <c r="C388" s="1013"/>
      <c r="D388" s="1013"/>
      <c r="E388" s="1013"/>
      <c r="F388" s="1013"/>
      <c r="G388" s="1013"/>
      <c r="H388" s="1013"/>
    </row>
    <row r="389" spans="1:8" x14ac:dyDescent="0.2">
      <c r="A389" s="1014" t="s">
        <v>778</v>
      </c>
      <c r="B389" s="1013"/>
      <c r="C389" s="1013"/>
      <c r="D389" s="1013"/>
      <c r="E389" s="1013"/>
      <c r="F389" s="1013"/>
      <c r="G389" s="1013"/>
      <c r="H389" s="1013"/>
    </row>
    <row r="390" spans="1:8" x14ac:dyDescent="0.2">
      <c r="A390" s="1014" t="s">
        <v>779</v>
      </c>
      <c r="B390" s="1013"/>
      <c r="C390" s="1013"/>
      <c r="D390" s="1013"/>
      <c r="E390" s="1013"/>
      <c r="F390" s="1013"/>
      <c r="G390" s="1013"/>
      <c r="H390" s="1013"/>
    </row>
    <row r="391" spans="1:8" x14ac:dyDescent="0.2">
      <c r="A391" s="1013"/>
      <c r="B391" s="1013"/>
      <c r="C391" s="1013"/>
      <c r="D391" s="1013"/>
      <c r="E391" s="1013"/>
      <c r="F391" s="1013"/>
      <c r="G391" s="1013"/>
      <c r="H391" s="1013"/>
    </row>
    <row r="392" spans="1:8" x14ac:dyDescent="0.2">
      <c r="A392" s="1014" t="s">
        <v>769</v>
      </c>
      <c r="B392" s="1013"/>
      <c r="C392" s="1013"/>
      <c r="D392" s="1013"/>
      <c r="E392" s="1013"/>
      <c r="F392" s="1013"/>
      <c r="G392" s="1013"/>
      <c r="H392" s="1013"/>
    </row>
    <row r="393" spans="1:8" x14ac:dyDescent="0.2">
      <c r="A393" s="1014" t="s">
        <v>770</v>
      </c>
      <c r="B393" s="1013"/>
      <c r="C393" s="1013"/>
      <c r="D393" s="1013"/>
      <c r="E393" s="1013"/>
      <c r="F393" s="1013"/>
      <c r="G393" s="1013"/>
      <c r="H393" s="1013"/>
    </row>
    <row r="394" spans="1:8" x14ac:dyDescent="0.2">
      <c r="A394" s="1014" t="s">
        <v>771</v>
      </c>
      <c r="B394" s="1013"/>
      <c r="C394" s="1013"/>
      <c r="D394" s="1013"/>
      <c r="E394" s="1013"/>
      <c r="F394" s="1013"/>
      <c r="G394" s="1013"/>
      <c r="H394" s="1013"/>
    </row>
    <row r="395" spans="1:8" x14ac:dyDescent="0.2">
      <c r="A395" s="1014" t="s">
        <v>772</v>
      </c>
      <c r="B395" s="1013"/>
      <c r="C395" s="1013"/>
      <c r="D395" s="1013"/>
      <c r="E395" s="1013"/>
      <c r="F395" s="1013"/>
      <c r="G395" s="1013"/>
      <c r="H395" s="1013"/>
    </row>
    <row r="396" spans="1:8" x14ac:dyDescent="0.2">
      <c r="A396" s="1014" t="s">
        <v>773</v>
      </c>
      <c r="B396" s="1013"/>
      <c r="C396" s="1013"/>
      <c r="D396" s="1013"/>
      <c r="E396" s="1013"/>
      <c r="F396" s="1013"/>
      <c r="G396" s="1013"/>
      <c r="H396" s="1013"/>
    </row>
    <row r="397" spans="1:8" x14ac:dyDescent="0.2">
      <c r="A397" s="1013"/>
      <c r="B397" s="1013"/>
      <c r="C397" s="1013"/>
      <c r="D397" s="1013"/>
      <c r="E397" s="1013"/>
      <c r="F397" s="1013"/>
      <c r="G397" s="1013"/>
      <c r="H397" s="1013"/>
    </row>
    <row r="398" spans="1:8" x14ac:dyDescent="0.2">
      <c r="A398" s="1014" t="s">
        <v>767</v>
      </c>
      <c r="B398" s="1013"/>
      <c r="C398" s="1013"/>
      <c r="D398" s="1013"/>
      <c r="E398" s="1013"/>
      <c r="F398" s="1013"/>
      <c r="G398" s="1013"/>
      <c r="H398" s="1013"/>
    </row>
    <row r="399" spans="1:8" x14ac:dyDescent="0.2">
      <c r="A399" s="1014" t="s">
        <v>768</v>
      </c>
      <c r="B399" s="1013"/>
      <c r="C399" s="1013"/>
      <c r="D399" s="1013"/>
      <c r="E399" s="1013"/>
      <c r="F399" s="1013"/>
      <c r="G399" s="1013"/>
      <c r="H399" s="1013"/>
    </row>
    <row r="401" spans="1:1" x14ac:dyDescent="0.2">
      <c r="A401" s="1009" t="s">
        <v>1030</v>
      </c>
    </row>
  </sheetData>
  <mergeCells count="12">
    <mergeCell ref="A139:H139"/>
    <mergeCell ref="A140:H140"/>
    <mergeCell ref="B132:C132"/>
    <mergeCell ref="D132:F132"/>
    <mergeCell ref="G132:H132"/>
    <mergeCell ref="A118:H118"/>
    <mergeCell ref="A119:H119"/>
    <mergeCell ref="A120:H120"/>
    <mergeCell ref="A121:H121"/>
    <mergeCell ref="A123:H123"/>
    <mergeCell ref="A124:H124"/>
    <mergeCell ref="A131:H131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1:WYE1045"/>
  <sheetViews>
    <sheetView showGridLines="0" zoomScaleNormal="100" workbookViewId="0">
      <pane xSplit="2" ySplit="31" topLeftCell="S32" activePane="bottomRight" state="frozen"/>
      <selection activeCell="B1" sqref="B1"/>
      <selection pane="topRight" activeCell="C1" sqref="C1"/>
      <selection pane="bottomLeft" activeCell="B27" sqref="B27"/>
      <selection pane="bottomRight" activeCell="AG38" sqref="AG38"/>
    </sheetView>
  </sheetViews>
  <sheetFormatPr defaultRowHeight="12.75" customHeight="1" outlineLevelRow="2" outlineLevelCol="1" x14ac:dyDescent="0.2"/>
  <cols>
    <col min="1" max="1" width="20.7109375" style="42" hidden="1" customWidth="1"/>
    <col min="2" max="2" width="41.5703125" style="42" customWidth="1"/>
    <col min="3" max="3" width="10" style="42" hidden="1" customWidth="1" outlineLevel="1"/>
    <col min="4" max="4" width="9.140625" style="90" hidden="1" customWidth="1" outlineLevel="1"/>
    <col min="5" max="5" width="9.140625" style="42" hidden="1" customWidth="1" outlineLevel="1"/>
    <col min="6" max="6" width="9.140625" style="90" hidden="1" customWidth="1" outlineLevel="1"/>
    <col min="7" max="7" width="9.140625" style="42" hidden="1" customWidth="1" outlineLevel="1"/>
    <col min="8" max="8" width="9.140625" style="90" hidden="1" customWidth="1" outlineLevel="1"/>
    <col min="9" max="9" width="9.140625" style="42" hidden="1" customWidth="1" outlineLevel="1"/>
    <col min="10" max="10" width="9.140625" style="90" hidden="1" customWidth="1" outlineLevel="1"/>
    <col min="11" max="11" width="9.140625" style="42" hidden="1" customWidth="1" outlineLevel="1" collapsed="1"/>
    <col min="12" max="12" width="9.140625" style="90" hidden="1" customWidth="1" outlineLevel="1"/>
    <col min="13" max="13" width="9.140625" style="42" hidden="1" customWidth="1" outlineLevel="1" collapsed="1"/>
    <col min="14" max="14" width="9.140625" style="90" hidden="1" customWidth="1" outlineLevel="1"/>
    <col min="15" max="15" width="9.140625" style="42" hidden="1" customWidth="1" outlineLevel="1" collapsed="1"/>
    <col min="16" max="16" width="9.140625" style="90" hidden="1" customWidth="1" outlineLevel="1"/>
    <col min="17" max="17" width="9.140625" style="42" hidden="1" customWidth="1" outlineLevel="1" collapsed="1"/>
    <col min="18" max="18" width="9.140625" style="90" hidden="1" customWidth="1" outlineLevel="1"/>
    <col min="19" max="19" width="9.140625" style="42" customWidth="1" collapsed="1"/>
    <col min="20" max="20" width="9.140625" style="90" hidden="1" customWidth="1" outlineLevel="1"/>
    <col min="21" max="21" width="9.140625" style="42" customWidth="1" collapsed="1"/>
    <col min="22" max="22" width="9.140625" style="90" hidden="1" customWidth="1" outlineLevel="1"/>
    <col min="23" max="23" width="9.140625" style="42" customWidth="1" collapsed="1"/>
    <col min="24" max="24" width="9.140625" style="90" hidden="1" customWidth="1" outlineLevel="1"/>
    <col min="25" max="25" width="9.140625" style="42" customWidth="1" collapsed="1"/>
    <col min="26" max="26" width="9.140625" style="90" hidden="1" customWidth="1" outlineLevel="1"/>
    <col min="27" max="27" width="9.140625" style="42" customWidth="1" collapsed="1"/>
    <col min="28" max="28" width="9.140625" style="90" hidden="1" customWidth="1" outlineLevel="1"/>
    <col min="29" max="29" width="9.140625" style="42" customWidth="1" collapsed="1"/>
    <col min="30" max="30" width="9.140625" style="90" hidden="1" customWidth="1" outlineLevel="1"/>
    <col min="31" max="31" width="9.140625" style="42" customWidth="1" collapsed="1"/>
    <col min="32" max="32" width="9.140625" style="90" hidden="1" customWidth="1" outlineLevel="1"/>
    <col min="33" max="33" width="9.140625" style="42" customWidth="1" collapsed="1"/>
    <col min="34" max="34" width="9.140625" style="90" hidden="1" customWidth="1" outlineLevel="1"/>
    <col min="35" max="35" width="9.140625" style="42" customWidth="1" collapsed="1"/>
    <col min="36" max="36" width="9.140625" style="90" hidden="1" customWidth="1" outlineLevel="1"/>
    <col min="37" max="37" width="9.140625" style="42" customWidth="1" collapsed="1"/>
    <col min="38" max="38" width="9.140625" style="90" hidden="1" customWidth="1" outlineLevel="1"/>
    <col min="39" max="39" width="9.140625" style="42" customWidth="1" collapsed="1"/>
    <col min="40" max="40" width="9.140625" style="90" hidden="1" customWidth="1" outlineLevel="1"/>
    <col min="41" max="41" width="9.140625" style="42" customWidth="1" collapsed="1"/>
    <col min="42" max="42" width="9.140625" style="90" hidden="1" customWidth="1" outlineLevel="1"/>
    <col min="43" max="43" width="9.140625" style="42" customWidth="1" collapsed="1"/>
    <col min="44" max="44" width="9.140625" style="90" hidden="1" customWidth="1" outlineLevel="1"/>
    <col min="45" max="45" width="9.140625" style="42" customWidth="1" collapsed="1"/>
    <col min="46" max="46" width="9.140625" style="90" hidden="1" customWidth="1" outlineLevel="1"/>
    <col min="47" max="47" width="9.140625" style="42" customWidth="1" collapsed="1"/>
    <col min="48" max="48" width="9.140625" style="90" hidden="1" customWidth="1" outlineLevel="1"/>
    <col min="49" max="49" width="9.140625" style="42" customWidth="1" collapsed="1"/>
    <col min="50" max="50" width="9.140625" style="90" hidden="1" customWidth="1" outlineLevel="1"/>
    <col min="51" max="51" width="0.85546875" style="272" customWidth="1" collapsed="1"/>
    <col min="52" max="52" width="1" style="42" customWidth="1"/>
    <col min="53" max="53" width="9.140625" style="90" hidden="1" customWidth="1" outlineLevel="1"/>
    <col min="54" max="54" width="9.140625" style="42" hidden="1" customWidth="1" outlineLevel="1" collapsed="1"/>
    <col min="55" max="55" width="9.140625" style="90" hidden="1" customWidth="1" outlineLevel="1"/>
    <col min="56" max="56" width="9.42578125" style="989" hidden="1" customWidth="1" outlineLevel="1"/>
    <col min="57" max="57" width="9.140625" style="90" hidden="1" customWidth="1" outlineLevel="1"/>
    <col min="58" max="58" width="9.140625" style="42" customWidth="1" collapsed="1"/>
    <col min="59" max="59" width="9.140625" style="90" hidden="1" customWidth="1" outlineLevel="1"/>
    <col min="60" max="60" width="9.140625" style="42" customWidth="1" collapsed="1"/>
    <col min="61" max="61" width="9.140625" style="90" hidden="1" customWidth="1" outlineLevel="1"/>
    <col min="62" max="62" width="9.140625" style="42" customWidth="1" collapsed="1"/>
    <col min="63" max="63" width="9.140625" style="90" hidden="1" customWidth="1" outlineLevel="1"/>
    <col min="64" max="64" width="9.140625" style="42" customWidth="1" collapsed="1"/>
    <col min="65" max="65" width="9.140625" style="90" hidden="1" customWidth="1" outlineLevel="1"/>
    <col min="66" max="66" width="10" style="42" bestFit="1" customWidth="1" collapsed="1"/>
    <col min="67" max="67" width="9.140625" style="90" hidden="1" customWidth="1" outlineLevel="1"/>
    <col min="68" max="68" width="9.140625" style="42" collapsed="1"/>
    <col min="69" max="69" width="9.140625" style="90" hidden="1" customWidth="1" outlineLevel="1"/>
    <col min="70" max="70" width="9.140625" style="42" collapsed="1"/>
    <col min="71" max="71" width="9.140625" style="90" hidden="1" customWidth="1" outlineLevel="1"/>
    <col min="72" max="72" width="9.140625" style="42" collapsed="1"/>
    <col min="73" max="73" width="9.140625" style="90" hidden="1" customWidth="1" outlineLevel="1"/>
    <col min="74" max="74" width="9.140625" style="90" collapsed="1"/>
    <col min="75" max="75" width="9.140625" style="90"/>
    <col min="76" max="76" width="9.140625" style="42"/>
    <col min="77" max="82" width="9.140625" hidden="1" customWidth="1" outlineLevel="1"/>
    <col min="83" max="83" width="9.140625" style="42" collapsed="1"/>
    <col min="84" max="16384" width="9.140625" style="42"/>
  </cols>
  <sheetData>
    <row r="1" spans="1:166" ht="12.75" customHeight="1" x14ac:dyDescent="0.2">
      <c r="B1" s="832"/>
      <c r="C1" s="262" t="s">
        <v>550</v>
      </c>
      <c r="E1" s="308"/>
      <c r="G1" s="308"/>
      <c r="I1" s="308"/>
      <c r="K1" s="826"/>
      <c r="L1" s="827"/>
      <c r="M1" s="826"/>
      <c r="N1" s="827"/>
      <c r="O1" s="828"/>
      <c r="P1" s="827"/>
      <c r="Q1" s="826"/>
      <c r="R1" s="827"/>
      <c r="S1" s="826"/>
      <c r="T1" s="827"/>
      <c r="U1" s="826"/>
      <c r="V1" s="827"/>
      <c r="W1" s="826"/>
      <c r="X1" s="827"/>
      <c r="Y1" s="826"/>
      <c r="Z1" s="826">
        <v>-0.75339532934185627</v>
      </c>
      <c r="AA1" s="826"/>
      <c r="AB1" s="826">
        <v>-3.2939559306741444</v>
      </c>
      <c r="AC1" s="826"/>
      <c r="AD1" s="826">
        <v>-1.5147450481888143</v>
      </c>
      <c r="AE1" s="826"/>
      <c r="AF1" s="833">
        <v>2.6184895315942924</v>
      </c>
      <c r="AG1" s="826"/>
      <c r="AI1" s="826"/>
      <c r="AK1" s="826"/>
      <c r="AM1" s="833"/>
      <c r="AO1" s="833"/>
      <c r="AQ1" s="856"/>
      <c r="AR1" s="857">
        <v>11.940424111112208</v>
      </c>
      <c r="AS1" s="856"/>
      <c r="AT1" s="857">
        <v>7.0176528726826604</v>
      </c>
      <c r="AU1" s="856"/>
      <c r="AV1" s="857">
        <v>1.565637569514422</v>
      </c>
      <c r="AW1" s="856"/>
      <c r="BB1" s="308"/>
      <c r="BC1" s="309"/>
      <c r="BD1" s="853" t="s">
        <v>705</v>
      </c>
      <c r="BE1" s="309"/>
      <c r="BF1" s="308"/>
      <c r="BG1" s="309"/>
      <c r="BH1" s="833"/>
      <c r="BI1" s="833"/>
      <c r="BJ1" s="833"/>
      <c r="BK1" s="833"/>
      <c r="BL1" s="833"/>
      <c r="BM1" s="833">
        <v>10.946783915594978</v>
      </c>
      <c r="BN1" s="833"/>
      <c r="BO1" s="833">
        <v>6.1323469557750201</v>
      </c>
      <c r="BP1" s="833"/>
      <c r="BQ1" s="309">
        <v>5.838180338628348</v>
      </c>
      <c r="BR1" s="833"/>
      <c r="BS1" s="309">
        <v>5.4370897376023493</v>
      </c>
      <c r="BT1" s="833"/>
      <c r="BU1" s="309"/>
    </row>
    <row r="2" spans="1:166" customFormat="1" ht="12.75" hidden="1" customHeight="1" outlineLevel="1" x14ac:dyDescent="0.2"/>
    <row r="3" spans="1:166" s="2" customFormat="1" ht="12.75" hidden="1" customHeight="1" outlineLevel="1" x14ac:dyDescent="0.2">
      <c r="A3" s="7" t="s">
        <v>38</v>
      </c>
      <c r="C3" s="13" t="s">
        <v>98</v>
      </c>
      <c r="D3" s="226"/>
      <c r="E3" s="13" t="s">
        <v>99</v>
      </c>
      <c r="F3" s="226"/>
      <c r="G3" s="13" t="s">
        <v>100</v>
      </c>
      <c r="H3" s="226"/>
      <c r="I3" s="13" t="s">
        <v>101</v>
      </c>
      <c r="J3" s="226"/>
      <c r="K3" s="13" t="s">
        <v>366</v>
      </c>
      <c r="L3" s="226"/>
      <c r="M3" s="13" t="s">
        <v>367</v>
      </c>
      <c r="N3" s="226"/>
      <c r="O3" s="13" t="s">
        <v>368</v>
      </c>
      <c r="P3" s="226"/>
      <c r="Q3" s="13" t="s">
        <v>369</v>
      </c>
      <c r="R3" s="226"/>
      <c r="S3" s="13" t="s">
        <v>511</v>
      </c>
      <c r="T3" s="226"/>
      <c r="U3" s="13" t="s">
        <v>512</v>
      </c>
      <c r="V3" s="226"/>
      <c r="W3" s="13" t="s">
        <v>513</v>
      </c>
      <c r="X3" s="226"/>
      <c r="Y3" s="13" t="s">
        <v>514</v>
      </c>
      <c r="Z3" s="226"/>
      <c r="AA3" s="13" t="s">
        <v>538</v>
      </c>
      <c r="AB3" s="226"/>
      <c r="AC3" s="13" t="s">
        <v>539</v>
      </c>
      <c r="AD3" s="226"/>
      <c r="AE3" s="13" t="s">
        <v>540</v>
      </c>
      <c r="AF3" s="822"/>
      <c r="AG3" s="13" t="s">
        <v>541</v>
      </c>
      <c r="AH3" s="226"/>
      <c r="AI3" s="13" t="s">
        <v>652</v>
      </c>
      <c r="AJ3" s="226"/>
      <c r="AK3" s="13" t="s">
        <v>653</v>
      </c>
      <c r="AL3" s="226"/>
      <c r="AM3" s="821" t="s">
        <v>654</v>
      </c>
      <c r="AN3" s="226"/>
      <c r="AO3" s="821" t="s">
        <v>654</v>
      </c>
      <c r="AP3" s="226"/>
      <c r="AQ3" s="821" t="s">
        <v>695</v>
      </c>
      <c r="AR3" s="226"/>
      <c r="AS3" s="821" t="s">
        <v>696</v>
      </c>
      <c r="AT3" s="226"/>
      <c r="AU3" s="821" t="s">
        <v>697</v>
      </c>
      <c r="AV3" s="226"/>
      <c r="AW3" s="821" t="s">
        <v>698</v>
      </c>
      <c r="AX3" s="226"/>
      <c r="AY3" s="272"/>
      <c r="AZ3" s="12"/>
      <c r="BA3" s="40"/>
      <c r="BB3" s="12" t="s">
        <v>21</v>
      </c>
      <c r="BC3" s="40"/>
      <c r="BD3" s="854" t="s">
        <v>393</v>
      </c>
      <c r="BE3" s="40"/>
      <c r="BF3" s="12" t="s">
        <v>165</v>
      </c>
      <c r="BG3" s="40"/>
      <c r="BH3" s="821" t="s">
        <v>166</v>
      </c>
      <c r="BI3" s="823"/>
      <c r="BJ3" s="821" t="s">
        <v>102</v>
      </c>
      <c r="BK3" s="823"/>
      <c r="BL3" s="821" t="s">
        <v>370</v>
      </c>
      <c r="BM3" s="823"/>
      <c r="BN3" s="821" t="s">
        <v>515</v>
      </c>
      <c r="BO3" s="823"/>
      <c r="BP3" s="821" t="s">
        <v>542</v>
      </c>
      <c r="BQ3" s="40"/>
      <c r="BR3" s="821" t="s">
        <v>650</v>
      </c>
      <c r="BS3" s="40"/>
      <c r="BT3" s="821" t="s">
        <v>703</v>
      </c>
      <c r="BU3" s="40"/>
      <c r="BV3" s="238"/>
      <c r="BW3" s="238"/>
      <c r="BX3" s="13"/>
      <c r="BY3"/>
      <c r="BZ3"/>
      <c r="CA3"/>
      <c r="CB3"/>
      <c r="CC3"/>
      <c r="CD3"/>
    </row>
    <row r="4" spans="1:166" s="41" customFormat="1" ht="12.75" customHeight="1" collapsed="1" x14ac:dyDescent="0.2">
      <c r="B4" s="1006" t="s">
        <v>188</v>
      </c>
      <c r="C4" s="239"/>
      <c r="D4" s="221" t="str">
        <f>C6&amp;"/"</f>
        <v>1Q13/</v>
      </c>
      <c r="E4" s="239"/>
      <c r="F4" s="221" t="str">
        <f>E6&amp;"/"</f>
        <v>2Q13/</v>
      </c>
      <c r="G4" s="239"/>
      <c r="H4" s="221" t="str">
        <f>G6&amp;"/"</f>
        <v>3Q13/</v>
      </c>
      <c r="I4" s="239"/>
      <c r="J4" s="221" t="str">
        <f>I6&amp;"/"</f>
        <v>4Q13/</v>
      </c>
      <c r="K4" s="239"/>
      <c r="L4" s="221" t="str">
        <f>K6&amp;"/"</f>
        <v>1Q14/</v>
      </c>
      <c r="M4" s="239"/>
      <c r="N4" s="221" t="str">
        <f>M6&amp;"/"</f>
        <v>2Q14/</v>
      </c>
      <c r="O4" s="239"/>
      <c r="P4" s="221" t="str">
        <f>O6&amp;"/"</f>
        <v>3Q14/</v>
      </c>
      <c r="Q4" s="239"/>
      <c r="R4" s="221" t="str">
        <f>Q6&amp;"/"</f>
        <v>4Q14/</v>
      </c>
      <c r="S4" s="239"/>
      <c r="T4" s="221" t="str">
        <f>S6&amp;"/"</f>
        <v>1Q15/</v>
      </c>
      <c r="U4" s="824"/>
      <c r="V4" s="829" t="str">
        <f>U6&amp;"/"</f>
        <v>2Q15/</v>
      </c>
      <c r="W4" s="830"/>
      <c r="X4" s="829" t="str">
        <f>W6&amp;"/"</f>
        <v>3Q15/</v>
      </c>
      <c r="Y4" s="830"/>
      <c r="Z4" s="831" t="str">
        <f>Y6&amp;"/"</f>
        <v>4Q15/</v>
      </c>
      <c r="AA4" s="830"/>
      <c r="AB4" s="831" t="str">
        <f>AA6&amp;"/"</f>
        <v>1Q16/</v>
      </c>
      <c r="AC4" s="830"/>
      <c r="AD4" s="831" t="str">
        <f>AC6&amp;"/"</f>
        <v>2Q16/</v>
      </c>
      <c r="AE4" s="858"/>
      <c r="AF4" s="835" t="str">
        <f>AE6&amp;"/"</f>
        <v>3Q16/</v>
      </c>
      <c r="AG4" s="830"/>
      <c r="AH4" s="836" t="str">
        <f>AG6&amp;"/"</f>
        <v>4Q16/</v>
      </c>
      <c r="AI4" s="830"/>
      <c r="AJ4" s="836" t="str">
        <f t="shared" ref="AJ4" si="0">AI6&amp;"/"</f>
        <v>1Q17/</v>
      </c>
      <c r="AK4" s="830"/>
      <c r="AL4" s="836" t="str">
        <f t="shared" ref="AL4" si="1">AK6&amp;"/"</f>
        <v>2Q17/</v>
      </c>
      <c r="AM4" s="834"/>
      <c r="AN4" s="836" t="str">
        <f t="shared" ref="AN4" si="2">AM6&amp;"/"</f>
        <v>3Q17/</v>
      </c>
      <c r="AO4" s="834"/>
      <c r="AP4" s="836" t="str">
        <f t="shared" ref="AP4" si="3">AO6&amp;"/"</f>
        <v>4Q17/</v>
      </c>
      <c r="AQ4" s="834"/>
      <c r="AR4" s="836" t="str">
        <f t="shared" ref="AR4:AX4" si="4">AQ6&amp;"/"</f>
        <v>1Q18E/</v>
      </c>
      <c r="AS4" s="834"/>
      <c r="AT4" s="836" t="str">
        <f t="shared" si="4"/>
        <v>2Q18E/</v>
      </c>
      <c r="AU4" s="834"/>
      <c r="AV4" s="836" t="str">
        <f t="shared" si="4"/>
        <v>3Q18E/</v>
      </c>
      <c r="AW4" s="834"/>
      <c r="AX4" s="836" t="str">
        <f t="shared" si="4"/>
        <v>4Q18E/</v>
      </c>
      <c r="AY4" s="838"/>
      <c r="AZ4" s="839"/>
      <c r="BA4" s="837" t="e">
        <f>#REF!&amp;"/"</f>
        <v>#REF!</v>
      </c>
      <c r="BB4" s="840"/>
      <c r="BC4" s="837" t="str">
        <f>BB6&amp;"/"</f>
        <v>2013/</v>
      </c>
      <c r="BD4" s="855"/>
      <c r="BE4" s="837" t="str">
        <f>BD6&amp;"/"</f>
        <v>2014/</v>
      </c>
      <c r="BF4" s="834"/>
      <c r="BG4" s="836" t="str">
        <f>BF6&amp;"/"</f>
        <v>2015/</v>
      </c>
      <c r="BH4" s="834"/>
      <c r="BI4" s="836" t="str">
        <f>BH6&amp;"/"</f>
        <v>2016/</v>
      </c>
      <c r="BJ4" s="834"/>
      <c r="BK4" s="836" t="str">
        <f>BJ6&amp;"/"</f>
        <v>2017/</v>
      </c>
      <c r="BL4" s="834"/>
      <c r="BM4" s="836" t="str">
        <f>BL6&amp;"/"</f>
        <v>2018E/</v>
      </c>
      <c r="BN4" s="825"/>
      <c r="BO4" s="836" t="str">
        <f>BN6&amp;"/"</f>
        <v>2019E/</v>
      </c>
      <c r="BP4" s="824"/>
      <c r="BQ4" s="40" t="str">
        <f>BP6&amp;"/"</f>
        <v>2020E/</v>
      </c>
      <c r="BR4" s="824"/>
      <c r="BS4" s="40" t="str">
        <f>BR6&amp;"/"</f>
        <v>2021E/</v>
      </c>
      <c r="BT4" s="824"/>
      <c r="BU4" s="40" t="str">
        <f>BT6&amp;"/"</f>
        <v>2022E/</v>
      </c>
      <c r="BV4" s="16" t="s">
        <v>189</v>
      </c>
      <c r="BW4" s="16"/>
      <c r="BX4" s="16"/>
      <c r="BY4"/>
      <c r="BZ4"/>
      <c r="CA4"/>
      <c r="CB4"/>
      <c r="CC4"/>
      <c r="CD4"/>
    </row>
    <row r="5" spans="1:166" s="41" customFormat="1" ht="12.75" customHeight="1" x14ac:dyDescent="0.2">
      <c r="B5" s="1006"/>
      <c r="C5" s="262"/>
      <c r="D5" s="40"/>
      <c r="E5" s="262"/>
      <c r="F5" s="40"/>
      <c r="G5" s="262"/>
      <c r="H5" s="40"/>
      <c r="I5" s="262"/>
      <c r="J5" s="40"/>
      <c r="K5" s="210"/>
      <c r="L5" s="40" t="str">
        <f>C6</f>
        <v>1Q13</v>
      </c>
      <c r="M5" s="210"/>
      <c r="N5" s="40" t="str">
        <f>E6</f>
        <v>2Q13</v>
      </c>
      <c r="O5" s="210"/>
      <c r="P5" s="40" t="str">
        <f>G6</f>
        <v>3Q13</v>
      </c>
      <c r="Q5" s="210"/>
      <c r="R5" s="40" t="str">
        <f>I6</f>
        <v>4Q13</v>
      </c>
      <c r="S5" s="210"/>
      <c r="T5" s="40" t="str">
        <f>K6</f>
        <v>1Q14</v>
      </c>
      <c r="U5" s="210"/>
      <c r="V5" s="40" t="str">
        <f>M6</f>
        <v>2Q14</v>
      </c>
      <c r="W5" s="210"/>
      <c r="X5" s="40" t="str">
        <f>O6</f>
        <v>3Q14</v>
      </c>
      <c r="Y5" s="210"/>
      <c r="Z5" s="40" t="str">
        <f>Q6</f>
        <v>4Q14</v>
      </c>
      <c r="AA5" s="210"/>
      <c r="AB5" s="40" t="str">
        <f>S6</f>
        <v>1Q15</v>
      </c>
      <c r="AC5" s="210"/>
      <c r="AD5" s="40" t="str">
        <f>U6</f>
        <v>2Q15</v>
      </c>
      <c r="AE5" s="210"/>
      <c r="AF5" s="40" t="str">
        <f>W6</f>
        <v>3Q15</v>
      </c>
      <c r="AG5" s="210"/>
      <c r="AH5" s="40" t="str">
        <f>Y6</f>
        <v>4Q15</v>
      </c>
      <c r="AI5" s="210"/>
      <c r="AJ5" s="40" t="str">
        <f t="shared" ref="AJ5" si="5">AA6</f>
        <v>1Q16</v>
      </c>
      <c r="AK5" s="210"/>
      <c r="AL5" s="40" t="str">
        <f t="shared" ref="AL5" si="6">AC6</f>
        <v>2Q16</v>
      </c>
      <c r="AM5" s="210"/>
      <c r="AN5" s="40" t="str">
        <f t="shared" ref="AN5" si="7">AE6</f>
        <v>3Q16</v>
      </c>
      <c r="AO5" s="210"/>
      <c r="AP5" s="40" t="str">
        <f t="shared" ref="AP5" si="8">AG6</f>
        <v>4Q16</v>
      </c>
      <c r="AQ5" s="210"/>
      <c r="AR5" s="40" t="str">
        <f t="shared" ref="AR5:AX5" si="9">AI6</f>
        <v>1Q17</v>
      </c>
      <c r="AS5" s="210"/>
      <c r="AT5" s="40" t="str">
        <f t="shared" si="9"/>
        <v>2Q17</v>
      </c>
      <c r="AU5" s="210"/>
      <c r="AV5" s="40" t="str">
        <f t="shared" si="9"/>
        <v>3Q17</v>
      </c>
      <c r="AW5" s="210"/>
      <c r="AX5" s="40" t="str">
        <f t="shared" si="9"/>
        <v>4Q17</v>
      </c>
      <c r="AY5" s="274"/>
      <c r="AZ5" s="13"/>
      <c r="BA5" s="40" t="e">
        <f>+#REF!</f>
        <v>#REF!</v>
      </c>
      <c r="BB5" s="262"/>
      <c r="BC5" s="40"/>
      <c r="BD5" s="999"/>
      <c r="BE5" s="40" t="str">
        <f>+BB6</f>
        <v>2013</v>
      </c>
      <c r="BF5" s="210"/>
      <c r="BG5" s="40" t="str">
        <f>+BD6</f>
        <v>2014</v>
      </c>
      <c r="BH5" s="210"/>
      <c r="BI5" s="40" t="str">
        <f>+BF6</f>
        <v>2015</v>
      </c>
      <c r="BJ5" s="210"/>
      <c r="BK5" s="40" t="str">
        <f>+BH6</f>
        <v>2016</v>
      </c>
      <c r="BL5" s="210"/>
      <c r="BM5" s="40" t="str">
        <f>+BJ6</f>
        <v>2017</v>
      </c>
      <c r="BN5" s="210"/>
      <c r="BO5" s="40" t="str">
        <f>+BL6</f>
        <v>2018E</v>
      </c>
      <c r="BP5" s="210"/>
      <c r="BQ5" s="40" t="str">
        <f>+BN6</f>
        <v>2019E</v>
      </c>
      <c r="BR5" s="210"/>
      <c r="BS5" s="40" t="str">
        <f>+BP6</f>
        <v>2020E</v>
      </c>
      <c r="BT5" s="210"/>
      <c r="BU5" s="40" t="str">
        <f>+BR6</f>
        <v>2021E</v>
      </c>
      <c r="BV5" s="16" t="s">
        <v>388</v>
      </c>
      <c r="BW5" s="16"/>
      <c r="BX5" s="16"/>
      <c r="BY5"/>
      <c r="BZ5"/>
      <c r="CA5"/>
      <c r="CB5"/>
      <c r="CC5"/>
      <c r="CD5"/>
    </row>
    <row r="6" spans="1:166" s="316" customFormat="1" ht="12.75" customHeight="1" x14ac:dyDescent="0.2">
      <c r="B6" s="366">
        <v>1</v>
      </c>
      <c r="C6" s="358" t="s">
        <v>98</v>
      </c>
      <c r="D6" s="332" t="s">
        <v>33</v>
      </c>
      <c r="E6" s="358" t="s">
        <v>99</v>
      </c>
      <c r="F6" s="332" t="s">
        <v>33</v>
      </c>
      <c r="G6" s="358" t="s">
        <v>100</v>
      </c>
      <c r="H6" s="332" t="s">
        <v>33</v>
      </c>
      <c r="I6" s="358" t="s">
        <v>101</v>
      </c>
      <c r="J6" s="332" t="s">
        <v>33</v>
      </c>
      <c r="K6" s="358" t="s">
        <v>366</v>
      </c>
      <c r="L6" s="332" t="s">
        <v>33</v>
      </c>
      <c r="M6" s="358" t="s">
        <v>367</v>
      </c>
      <c r="N6" s="332" t="s">
        <v>33</v>
      </c>
      <c r="O6" s="358" t="s">
        <v>368</v>
      </c>
      <c r="P6" s="332" t="s">
        <v>33</v>
      </c>
      <c r="Q6" s="358" t="s">
        <v>369</v>
      </c>
      <c r="R6" s="332" t="s">
        <v>33</v>
      </c>
      <c r="S6" s="358" t="s">
        <v>511</v>
      </c>
      <c r="T6" s="332" t="s">
        <v>33</v>
      </c>
      <c r="U6" s="358" t="s">
        <v>512</v>
      </c>
      <c r="V6" s="332" t="s">
        <v>33</v>
      </c>
      <c r="W6" s="358" t="s">
        <v>513</v>
      </c>
      <c r="X6" s="332" t="s">
        <v>33</v>
      </c>
      <c r="Y6" s="358" t="s">
        <v>514</v>
      </c>
      <c r="Z6" s="332" t="s">
        <v>33</v>
      </c>
      <c r="AA6" s="358" t="s">
        <v>538</v>
      </c>
      <c r="AB6" s="332" t="s">
        <v>33</v>
      </c>
      <c r="AC6" s="358" t="s">
        <v>539</v>
      </c>
      <c r="AD6" s="332" t="s">
        <v>33</v>
      </c>
      <c r="AE6" s="358" t="s">
        <v>540</v>
      </c>
      <c r="AF6" s="332" t="s">
        <v>33</v>
      </c>
      <c r="AG6" s="358" t="s">
        <v>541</v>
      </c>
      <c r="AH6" s="332" t="s">
        <v>33</v>
      </c>
      <c r="AI6" s="358" t="s">
        <v>652</v>
      </c>
      <c r="AJ6" s="332" t="s">
        <v>33</v>
      </c>
      <c r="AK6" s="358" t="s">
        <v>653</v>
      </c>
      <c r="AL6" s="332" t="s">
        <v>33</v>
      </c>
      <c r="AM6" s="358" t="s">
        <v>654</v>
      </c>
      <c r="AN6" s="332" t="s">
        <v>33</v>
      </c>
      <c r="AO6" s="358" t="s">
        <v>655</v>
      </c>
      <c r="AP6" s="332" t="s">
        <v>33</v>
      </c>
      <c r="AQ6" s="358" t="s">
        <v>699</v>
      </c>
      <c r="AR6" s="332" t="s">
        <v>33</v>
      </c>
      <c r="AS6" s="358" t="s">
        <v>700</v>
      </c>
      <c r="AT6" s="332" t="s">
        <v>33</v>
      </c>
      <c r="AU6" s="358" t="s">
        <v>701</v>
      </c>
      <c r="AV6" s="332" t="s">
        <v>33</v>
      </c>
      <c r="AW6" s="358" t="s">
        <v>702</v>
      </c>
      <c r="AX6" s="332" t="s">
        <v>33</v>
      </c>
      <c r="AY6" s="368"/>
      <c r="AZ6" s="367"/>
      <c r="BA6" s="332" t="s">
        <v>33</v>
      </c>
      <c r="BB6" s="357" t="s">
        <v>435</v>
      </c>
      <c r="BC6" s="332" t="s">
        <v>33</v>
      </c>
      <c r="BD6" s="654" t="s">
        <v>535</v>
      </c>
      <c r="BE6" s="332" t="s">
        <v>33</v>
      </c>
      <c r="BF6" s="357" t="s">
        <v>644</v>
      </c>
      <c r="BG6" s="332" t="s">
        <v>33</v>
      </c>
      <c r="BH6" s="357" t="s">
        <v>692</v>
      </c>
      <c r="BI6" s="332" t="s">
        <v>33</v>
      </c>
      <c r="BJ6" s="357" t="s">
        <v>719</v>
      </c>
      <c r="BK6" s="332" t="s">
        <v>33</v>
      </c>
      <c r="BL6" s="357" t="s">
        <v>371</v>
      </c>
      <c r="BM6" s="332" t="s">
        <v>33</v>
      </c>
      <c r="BN6" s="357" t="s">
        <v>516</v>
      </c>
      <c r="BO6" s="332" t="s">
        <v>33</v>
      </c>
      <c r="BP6" s="357" t="s">
        <v>543</v>
      </c>
      <c r="BQ6" s="332" t="s">
        <v>33</v>
      </c>
      <c r="BR6" s="357" t="s">
        <v>651</v>
      </c>
      <c r="BS6" s="332" t="s">
        <v>33</v>
      </c>
      <c r="BT6" s="357" t="s">
        <v>704</v>
      </c>
      <c r="BU6" s="332" t="s">
        <v>33</v>
      </c>
      <c r="BV6" s="333" t="s">
        <v>403</v>
      </c>
      <c r="BW6" s="333"/>
      <c r="BX6" s="182"/>
      <c r="BY6"/>
      <c r="BZ6"/>
      <c r="CA6"/>
      <c r="CB6"/>
      <c r="CC6"/>
      <c r="CD6"/>
      <c r="CE6" s="40"/>
      <c r="CF6" s="369"/>
      <c r="CG6" s="332"/>
      <c r="CH6" s="369"/>
      <c r="CI6" s="332"/>
      <c r="CJ6" s="369"/>
      <c r="CK6" s="332"/>
      <c r="CL6" s="369"/>
      <c r="CM6" s="332"/>
      <c r="CN6" s="369"/>
      <c r="CO6" s="332"/>
      <c r="CP6" s="369"/>
      <c r="CQ6" s="332"/>
      <c r="CR6" s="369"/>
      <c r="CS6" s="332"/>
      <c r="CT6" s="369"/>
      <c r="CU6" s="332"/>
      <c r="CV6" s="369"/>
      <c r="CW6" s="332"/>
      <c r="CX6" s="369"/>
      <c r="CY6" s="332"/>
      <c r="CZ6" s="369"/>
      <c r="DA6" s="332"/>
      <c r="DB6" s="369"/>
      <c r="DC6" s="332"/>
      <c r="DD6" s="369"/>
      <c r="DE6" s="332"/>
      <c r="DF6" s="369"/>
      <c r="DG6" s="332"/>
      <c r="DH6" s="369"/>
      <c r="DI6" s="332"/>
      <c r="DJ6" s="370"/>
      <c r="DK6" s="369"/>
      <c r="DL6" s="369"/>
      <c r="DM6" s="369"/>
      <c r="DN6" s="370"/>
      <c r="DO6" s="369"/>
      <c r="DP6" s="370"/>
      <c r="DQ6" s="369"/>
      <c r="DR6" s="370"/>
      <c r="DS6" s="369"/>
      <c r="DT6" s="370"/>
      <c r="DU6" s="369"/>
      <c r="DV6" s="370"/>
      <c r="DW6" s="369"/>
      <c r="DX6" s="370"/>
      <c r="DY6" s="369"/>
      <c r="DZ6" s="332"/>
      <c r="EA6" s="369"/>
      <c r="EB6" s="332"/>
      <c r="EC6" s="369"/>
      <c r="ED6" s="332"/>
      <c r="EE6" s="369"/>
      <c r="EF6" s="332"/>
      <c r="EG6" s="369"/>
      <c r="EH6" s="332"/>
      <c r="EI6" s="369"/>
      <c r="EJ6" s="332"/>
      <c r="EK6" s="369"/>
      <c r="EL6" s="332"/>
      <c r="EM6" s="369"/>
      <c r="EN6" s="332"/>
      <c r="EO6" s="369"/>
      <c r="EP6" s="332"/>
      <c r="EQ6" s="369"/>
      <c r="ER6" s="332"/>
      <c r="ES6" s="369"/>
      <c r="ET6" s="332"/>
      <c r="EU6" s="369"/>
      <c r="EV6" s="332"/>
      <c r="EW6" s="369"/>
      <c r="EX6" s="332"/>
      <c r="EY6" s="371"/>
      <c r="EZ6" s="371"/>
      <c r="FA6" s="371"/>
      <c r="FB6" s="372"/>
      <c r="FC6" s="372"/>
      <c r="FD6" s="372"/>
      <c r="FE6" s="372"/>
      <c r="FF6" s="372"/>
      <c r="FG6" s="372"/>
      <c r="FH6" s="372"/>
      <c r="FI6" s="372"/>
      <c r="FJ6" s="372"/>
    </row>
    <row r="7" spans="1:166" s="359" customFormat="1" ht="12.75" hidden="1" customHeight="1" outlineLevel="1" x14ac:dyDescent="0.2">
      <c r="B7" s="658" t="s">
        <v>585</v>
      </c>
      <c r="C7" s="359">
        <f>C62</f>
        <v>105.30000000000001</v>
      </c>
      <c r="D7" s="579" t="str">
        <f>IF(ISERROR(C7/#REF!),"NA",IF(OR(C7/#REF!&gt;2,C7/#REF!&lt;0.5),"NM",C7/#REF!*100-100))</f>
        <v>NA</v>
      </c>
      <c r="E7" s="359">
        <f t="shared" ref="E7:W7" si="10">E62</f>
        <v>119.79999999999995</v>
      </c>
      <c r="F7" s="579" t="str">
        <f>IF(ISERROR(E7/#REF!),"NA",IF(OR(E7/#REF!&gt;2,E7/#REF!&lt;0.5),"NM",E7/#REF!*100-100))</f>
        <v>NA</v>
      </c>
      <c r="G7" s="359">
        <f t="shared" si="10"/>
        <v>102.90000000000003</v>
      </c>
      <c r="H7" s="579" t="str">
        <f>IF(ISERROR(G7/#REF!),"NA",IF(OR(G7/#REF!&gt;2,G7/#REF!&lt;0.5),"NM",G7/#REF!*100-100))</f>
        <v>NA</v>
      </c>
      <c r="I7" s="359">
        <f t="shared" si="10"/>
        <v>123</v>
      </c>
      <c r="J7" s="579" t="str">
        <f>IF(ISERROR(I7/#REF!),"NA",IF(OR(I7/#REF!&gt;2,I7/#REF!&lt;0.5),"NM",I7/#REF!*100-100))</f>
        <v>NA</v>
      </c>
      <c r="K7" s="359">
        <f t="shared" si="10"/>
        <v>140.99999999999994</v>
      </c>
      <c r="L7" s="579">
        <f t="shared" ref="L7:L8" si="11">IF(ISERROR(K7/C7),"NA",IF(OR(K7/C7&gt;2,K7/C7&lt;0.5),"NM",K7/C7*100-100))</f>
        <v>33.903133903133835</v>
      </c>
      <c r="M7" s="359">
        <f t="shared" si="10"/>
        <v>153.30000000000001</v>
      </c>
      <c r="N7" s="684">
        <f t="shared" ref="N7:N8" si="12">IF(ISERROR(M7/E7),"NA",IF(OR(M7/E7&gt;2,M7/E7&lt;0.5),"NM",M7/E7*100-100))</f>
        <v>27.963272120200401</v>
      </c>
      <c r="O7" s="359">
        <f t="shared" si="10"/>
        <v>145.5</v>
      </c>
      <c r="P7" s="684">
        <f t="shared" ref="P7:P8" si="13">IF(ISERROR(O7/G7),"NA",IF(OR(O7/G7&gt;2,O7/G7&lt;0.5),"NM",O7/G7*100-100))</f>
        <v>41.399416909620953</v>
      </c>
      <c r="Q7" s="359">
        <f t="shared" si="10"/>
        <v>138.69999999999999</v>
      </c>
      <c r="R7" s="684">
        <f t="shared" ref="R7:R8" si="14">IF(ISERROR(Q7/I7),"NA",IF(OR(Q7/I7&gt;2,Q7/I7&lt;0.5),"NM",Q7/I7*100-100))</f>
        <v>12.76422764227641</v>
      </c>
      <c r="S7" s="359">
        <f t="shared" si="10"/>
        <v>141.80000000000001</v>
      </c>
      <c r="T7" s="684">
        <f t="shared" ref="T7:T8" si="15">IF(ISERROR(S7/K7),"NA",IF(OR(S7/K7&gt;2,S7/K7&lt;0.5),"NM",S7/K7*100-100))</f>
        <v>0.56737588652487148</v>
      </c>
      <c r="U7" s="359">
        <f t="shared" si="10"/>
        <v>143.39999999999998</v>
      </c>
      <c r="V7" s="684">
        <f t="shared" ref="V7:V20" si="16">IF(ISERROR(U7/M7),"NA",IF(OR(U7/M7&gt;2,U7/M7&lt;0.5),"NM",U7/M7*100-100))</f>
        <v>-6.4579256360078432</v>
      </c>
      <c r="W7" s="359">
        <f t="shared" si="10"/>
        <v>83.599999999999966</v>
      </c>
      <c r="X7" s="684">
        <f t="shared" ref="X7:X24" si="17">IF(ISERROR(W7/O7),"NA",IF(OR(W7/O7&gt;2,W7/O7&lt;0.5),"NM",W7/O7*100-100))</f>
        <v>-42.542955326460508</v>
      </c>
      <c r="Y7" s="359">
        <f t="shared" ref="Y7:AA7" si="18">Y62</f>
        <v>124.69999999999999</v>
      </c>
      <c r="Z7" s="684">
        <f t="shared" ref="Z7:Z24" si="19">IF(ISERROR(Y7/Q7),"NA",IF(OR(Y7/Q7&gt;2,Y7/Q7&lt;0.5),"NM",Y7/Q7*100-100))</f>
        <v>-10.093727469358328</v>
      </c>
      <c r="AA7" s="359">
        <f t="shared" si="18"/>
        <v>114</v>
      </c>
      <c r="AB7" s="684">
        <f t="shared" ref="AB7:AB24" si="20">IF(ISERROR(AA7/S7),"NA",IF(OR(AA7/S7&gt;2,AA7/S7&lt;0.5),"NM",AA7/S7*100-100))</f>
        <v>-19.605077574047954</v>
      </c>
      <c r="AC7" s="359">
        <f t="shared" ref="AC7:AE7" si="21">AC62</f>
        <v>124.5</v>
      </c>
      <c r="AD7" s="684">
        <f t="shared" ref="AD7:AD24" si="22">IF(ISERROR(AC7/U7),"NA",IF(OR(AC7/U7&gt;2,AC7/U7&lt;0.5),"NM",AC7/U7*100-100))</f>
        <v>-13.179916317991612</v>
      </c>
      <c r="AE7" s="359">
        <f t="shared" si="21"/>
        <v>130.89999999999998</v>
      </c>
      <c r="AF7" s="684">
        <f t="shared" ref="AF7:AF24" si="23">IF(ISERROR(AE7/W7),"NA",IF(OR(AE7/W7&gt;2,AE7/W7&lt;0.5),"NM",AE7/W7*100-100))</f>
        <v>56.578947368421098</v>
      </c>
      <c r="AG7" s="359">
        <f t="shared" ref="AG7:AI7" si="24">AG62</f>
        <v>124.00000000000006</v>
      </c>
      <c r="AH7" s="360">
        <f t="shared" ref="AH7:AH20" si="25">IF(ISERROR(AG7/Y7),"NA",IF(OR(AG7/Y7&gt;2,AG7/Y7&lt;0.5),"NM",AG7/Y7*100-100))</f>
        <v>-0.56134723336001002</v>
      </c>
      <c r="AI7" s="359">
        <f t="shared" si="24"/>
        <v>144.69999999999999</v>
      </c>
      <c r="AJ7" s="360">
        <f t="shared" ref="AJ7:AJ20" si="26">IF(ISERROR(AI7/AA7),"NA",IF(OR(AI7/AA7&gt;2,AI7/AA7&lt;0.5),"NM",AI7/AA7*100-100))</f>
        <v>26.929824561403493</v>
      </c>
      <c r="AK7" s="359">
        <f t="shared" ref="AK7" si="27">AK62</f>
        <v>147.5</v>
      </c>
      <c r="AL7" s="360">
        <f t="shared" ref="AL7:AL20" si="28">IF(ISERROR(AK7/AC7),"NA",IF(OR(AK7/AC7&gt;2,AK7/AC7&lt;0.5),"NM",AK7/AC7*100-100))</f>
        <v>18.47389558232932</v>
      </c>
      <c r="AM7" s="359">
        <f t="shared" ref="AM7:AO7" si="29">AM62</f>
        <v>108</v>
      </c>
      <c r="AN7" s="360">
        <f t="shared" ref="AN7:AN20" si="30">IF(ISERROR(AM7/AE7),"NA",IF(OR(AM7/AE7&gt;2,AM7/AE7&lt;0.5),"NM",AM7/AE7*100-100))</f>
        <v>-17.494270435446893</v>
      </c>
      <c r="AO7" s="359">
        <f t="shared" si="29"/>
        <v>126.60000000000002</v>
      </c>
      <c r="AP7" s="360">
        <f t="shared" ref="AP7:AP20" si="31">IF(ISERROR(AO7/AG7),"NA",IF(OR(AO7/AG7&gt;2,AO7/AG7&lt;0.5),"NM",AO7/AG7*100-100))</f>
        <v>2.0967741935483701</v>
      </c>
      <c r="AQ7" s="359">
        <f t="shared" ref="AQ7:AW7" si="32">AQ62</f>
        <v>142.05612240496151</v>
      </c>
      <c r="AR7" s="360">
        <f t="shared" ref="AR7:AR20" si="33">IF(ISERROR(AQ7/AI7),"NA",IF(OR(AQ7/AI7&gt;2,AQ7/AI7&lt;0.5),"NM",AQ7/AI7*100-100))</f>
        <v>-1.8271441569028752</v>
      </c>
      <c r="AS7" s="359">
        <f t="shared" si="32"/>
        <v>142.19182518538878</v>
      </c>
      <c r="AT7" s="360">
        <f t="shared" ref="AT7:AT20" si="34">IF(ISERROR(AS7/AK7),"NA",IF(OR(AS7/AK7&gt;2,AS7/AK7&lt;0.5),"NM",AS7/AK7*100-100))</f>
        <v>-3.5987625861771022</v>
      </c>
      <c r="AU7" s="359">
        <f t="shared" si="32"/>
        <v>143.63086237263838</v>
      </c>
      <c r="AV7" s="360">
        <f t="shared" ref="AV7:AV20" si="35">IF(ISERROR(AU7/AM7),"NA",IF(OR(AU7/AM7&gt;2,AU7/AM7&lt;0.5),"NM",AU7/AM7*100-100))</f>
        <v>32.991539233924414</v>
      </c>
      <c r="AW7" s="359">
        <f t="shared" si="32"/>
        <v>153.34038105962878</v>
      </c>
      <c r="AX7" s="360">
        <f t="shared" ref="AX7:AX20" si="36">IF(ISERROR(AW7/AO7),"NA",IF(OR(AW7/AO7&gt;2,AW7/AO7&lt;0.5),"NM",AW7/AO7*100-100))</f>
        <v>21.121943964951612</v>
      </c>
      <c r="AY7" s="361"/>
      <c r="BA7" s="360"/>
      <c r="BB7" s="359">
        <f t="shared" ref="BB7:BD7" si="37">BB62</f>
        <v>451</v>
      </c>
      <c r="BC7" s="360" t="str">
        <f>IF(ISERROR(BB7/#REF!),"NA",IF(OR(BB7/#REF!&gt;2,BB7/#REF!&lt;0.5),"NM",BB7/#REF!*100-100))</f>
        <v>NA</v>
      </c>
      <c r="BD7" s="844">
        <f t="shared" si="37"/>
        <v>578.5</v>
      </c>
      <c r="BE7" s="360"/>
      <c r="BF7" s="359">
        <f t="shared" ref="BF7:BP7" si="38">BF62</f>
        <v>493.5</v>
      </c>
      <c r="BG7" s="684">
        <f t="shared" ref="BG7:BS24" si="39">IF(ISERROR(BF7/BD7),"NA",IF(OR(BF7/BD7&gt;2,BF7/BD7&lt;0.5),"NM",BF7/BD7*100-100))</f>
        <v>-14.693171996542787</v>
      </c>
      <c r="BH7" s="359">
        <f t="shared" si="38"/>
        <v>493.39999999999986</v>
      </c>
      <c r="BI7" s="684">
        <f t="shared" si="39"/>
        <v>-2.0263424518773832E-2</v>
      </c>
      <c r="BJ7" s="359">
        <f t="shared" ref="BJ7" si="40">BJ62</f>
        <v>526.79999999999995</v>
      </c>
      <c r="BK7" s="684">
        <f t="shared" si="39"/>
        <v>6.7693554925010346</v>
      </c>
      <c r="BL7" s="359">
        <f t="shared" ref="BL7" si="41">BL62</f>
        <v>581.21919102261722</v>
      </c>
      <c r="BM7" s="684">
        <f t="shared" si="39"/>
        <v>10.330142563139205</v>
      </c>
      <c r="BN7" s="359">
        <f t="shared" si="38"/>
        <v>602.06469029652203</v>
      </c>
      <c r="BO7" s="684">
        <f t="shared" si="39"/>
        <v>3.586512557719999</v>
      </c>
      <c r="BP7" s="359">
        <f t="shared" si="38"/>
        <v>623.87014885527947</v>
      </c>
      <c r="BQ7" s="684">
        <f t="shared" si="39"/>
        <v>3.6217800030787544</v>
      </c>
      <c r="BR7" s="359">
        <f t="shared" ref="BR7:BT7" si="42">BR62</f>
        <v>648.12151853782029</v>
      </c>
      <c r="BS7" s="684">
        <f t="shared" si="39"/>
        <v>3.887246364814672</v>
      </c>
      <c r="BT7" s="359">
        <f t="shared" si="42"/>
        <v>672.55931623420452</v>
      </c>
      <c r="BU7" s="684">
        <f t="shared" ref="BU7:BU8" si="43">IF(ISERROR(BT7/BR7),"NA",IF(OR(BT7/BR7&gt;2,BT7/BR7&lt;0.5),"NM",BT7/BR7*100-100))</f>
        <v>3.770557989112362</v>
      </c>
      <c r="BV7" s="360">
        <f t="shared" ref="BV7:BV20" si="44">IF(ISERROR(((BT7/BJ7)^0.2-1)*100),"NA",IF((((BT7/BJ7)^0.2-1)*100)&gt;100,"NM",IF((((BT7/BJ7)^0.2-1)*100)&lt;-50,"NM",((BT7/BJ7)^0.2-1)*100)))</f>
        <v>5.006689121484742</v>
      </c>
      <c r="BW7" s="360"/>
      <c r="BY7"/>
      <c r="BZ7"/>
      <c r="CA7"/>
      <c r="CB7"/>
      <c r="CC7"/>
      <c r="CD7"/>
    </row>
    <row r="8" spans="1:166" s="359" customFormat="1" ht="12.75" hidden="1" customHeight="1" outlineLevel="1" x14ac:dyDescent="0.2">
      <c r="B8" s="658" t="s">
        <v>586</v>
      </c>
      <c r="C8" s="359">
        <f>C111</f>
        <v>76.700000000000045</v>
      </c>
      <c r="D8" s="579" t="str">
        <f>IF(ISERROR(C8/#REF!),"NA",IF(OR(C8/#REF!&gt;2,C8/#REF!&lt;0.5),"NM",C8/#REF!*100-100))</f>
        <v>NA</v>
      </c>
      <c r="E8" s="359">
        <f t="shared" ref="E8:W8" si="45">E111</f>
        <v>76.700000000000045</v>
      </c>
      <c r="F8" s="579" t="str">
        <f>IF(ISERROR(E8/#REF!),"NA",IF(OR(E8/#REF!&gt;2,E8/#REF!&lt;0.5),"NM",E8/#REF!*100-100))</f>
        <v>NA</v>
      </c>
      <c r="G8" s="359">
        <f t="shared" si="45"/>
        <v>80.200000000000045</v>
      </c>
      <c r="H8" s="579" t="str">
        <f>IF(ISERROR(G8/#REF!),"NA",IF(OR(G8/#REF!&gt;2,G8/#REF!&lt;0.5),"NM",G8/#REF!*100-100))</f>
        <v>NA</v>
      </c>
      <c r="I8" s="359">
        <f t="shared" si="45"/>
        <v>67.899999999999977</v>
      </c>
      <c r="J8" s="579" t="str">
        <f>IF(ISERROR(I8/#REF!),"NA",IF(OR(I8/#REF!&gt;2,I8/#REF!&lt;0.5),"NM",I8/#REF!*100-100))</f>
        <v>NA</v>
      </c>
      <c r="K8" s="359">
        <f t="shared" si="45"/>
        <v>76.900000000000091</v>
      </c>
      <c r="L8" s="579">
        <f t="shared" si="11"/>
        <v>0.26075619295964714</v>
      </c>
      <c r="M8" s="359">
        <f t="shared" si="45"/>
        <v>74</v>
      </c>
      <c r="N8" s="684">
        <f t="shared" si="12"/>
        <v>-3.5202086049544192</v>
      </c>
      <c r="O8" s="359">
        <f t="shared" si="45"/>
        <v>62.100000000000136</v>
      </c>
      <c r="P8" s="684">
        <f t="shared" si="13"/>
        <v>-22.568578553615836</v>
      </c>
      <c r="Q8" s="359">
        <f t="shared" si="45"/>
        <v>59.700000000000159</v>
      </c>
      <c r="R8" s="684">
        <f t="shared" si="14"/>
        <v>-12.076583210603559</v>
      </c>
      <c r="S8" s="359">
        <f t="shared" si="45"/>
        <v>61.099999999999909</v>
      </c>
      <c r="T8" s="684">
        <f t="shared" si="15"/>
        <v>-20.546163849154965</v>
      </c>
      <c r="U8" s="359">
        <f t="shared" si="45"/>
        <v>73.5</v>
      </c>
      <c r="V8" s="684">
        <f t="shared" si="16"/>
        <v>-0.67567567567567721</v>
      </c>
      <c r="W8" s="359">
        <f t="shared" si="45"/>
        <v>49.900000000000091</v>
      </c>
      <c r="X8" s="684">
        <f t="shared" si="17"/>
        <v>-19.645732689210988</v>
      </c>
      <c r="Y8" s="359">
        <f t="shared" ref="Y8:AA8" si="46">Y111</f>
        <v>62.100000000000023</v>
      </c>
      <c r="Z8" s="684">
        <f t="shared" si="19"/>
        <v>4.0201005025123209</v>
      </c>
      <c r="AA8" s="359">
        <f t="shared" si="46"/>
        <v>67.399999999999977</v>
      </c>
      <c r="AB8" s="684">
        <f t="shared" si="20"/>
        <v>10.310965630114694</v>
      </c>
      <c r="AC8" s="359">
        <f t="shared" ref="AC8:AE8" si="47">AC111</f>
        <v>70.199999999999932</v>
      </c>
      <c r="AD8" s="684">
        <f t="shared" si="22"/>
        <v>-4.4897959183674487</v>
      </c>
      <c r="AE8" s="359">
        <f t="shared" si="47"/>
        <v>76</v>
      </c>
      <c r="AF8" s="684">
        <f t="shared" si="23"/>
        <v>52.30460921843661</v>
      </c>
      <c r="AG8" s="359">
        <f t="shared" ref="AG8:AI8" si="48">AG111</f>
        <v>87.499999999999773</v>
      </c>
      <c r="AH8" s="360">
        <f t="shared" si="25"/>
        <v>40.901771336553537</v>
      </c>
      <c r="AI8" s="359">
        <f t="shared" si="48"/>
        <v>99.500000000000114</v>
      </c>
      <c r="AJ8" s="360">
        <f t="shared" si="26"/>
        <v>47.626112759644144</v>
      </c>
      <c r="AK8" s="359">
        <f t="shared" ref="AK8" si="49">AK111</f>
        <v>96.300000000000182</v>
      </c>
      <c r="AL8" s="360">
        <f t="shared" si="28"/>
        <v>37.17948717948758</v>
      </c>
      <c r="AM8" s="359">
        <f t="shared" ref="AM8:AO8" si="50">AM111</f>
        <v>102.10000000000014</v>
      </c>
      <c r="AN8" s="360">
        <f t="shared" si="30"/>
        <v>34.342105263158089</v>
      </c>
      <c r="AO8" s="359">
        <f t="shared" si="50"/>
        <v>75.099999999999682</v>
      </c>
      <c r="AP8" s="360">
        <f t="shared" si="31"/>
        <v>-14.171428571428706</v>
      </c>
      <c r="AQ8" s="359">
        <f t="shared" ref="AQ8:AW8" si="51">AQ111</f>
        <v>89.527146472392815</v>
      </c>
      <c r="AR8" s="360">
        <f t="shared" si="33"/>
        <v>-10.02296836945456</v>
      </c>
      <c r="AS8" s="359">
        <f t="shared" si="51"/>
        <v>85.40283843558268</v>
      </c>
      <c r="AT8" s="360">
        <f t="shared" si="34"/>
        <v>-11.315847938128215</v>
      </c>
      <c r="AU8" s="359">
        <f t="shared" si="51"/>
        <v>86.414754059509278</v>
      </c>
      <c r="AV8" s="360">
        <f t="shared" si="35"/>
        <v>-15.362630695877414</v>
      </c>
      <c r="AW8" s="359">
        <f t="shared" si="51"/>
        <v>85.269450972957202</v>
      </c>
      <c r="AX8" s="360">
        <f t="shared" si="36"/>
        <v>13.541213013259082</v>
      </c>
      <c r="AY8" s="361"/>
      <c r="BA8" s="360"/>
      <c r="BB8" s="359">
        <f t="shared" ref="BB8:BD8" si="52">BB111</f>
        <v>301.49999999999955</v>
      </c>
      <c r="BC8" s="360" t="str">
        <f>IF(ISERROR(BB8/#REF!),"NA",IF(OR(BB8/#REF!&gt;2,BB8/#REF!&lt;0.5),"NM",BB8/#REF!*100-100))</f>
        <v>NA</v>
      </c>
      <c r="BD8" s="844">
        <f t="shared" si="52"/>
        <v>272.69999999999982</v>
      </c>
      <c r="BE8" s="360"/>
      <c r="BF8" s="359">
        <f t="shared" ref="BF8:BP8" si="53">BF111</f>
        <v>246.59999999999945</v>
      </c>
      <c r="BG8" s="684">
        <f t="shared" si="39"/>
        <v>-9.5709570957097156</v>
      </c>
      <c r="BH8" s="359">
        <f t="shared" si="53"/>
        <v>301.10000000000036</v>
      </c>
      <c r="BI8" s="684">
        <f t="shared" si="39"/>
        <v>22.100567721006101</v>
      </c>
      <c r="BJ8" s="359">
        <f t="shared" ref="BJ8" si="54">BJ111</f>
        <v>373</v>
      </c>
      <c r="BK8" s="684">
        <f t="shared" si="39"/>
        <v>23.879109930255566</v>
      </c>
      <c r="BL8" s="359">
        <f t="shared" ref="BL8" si="55">BL111</f>
        <v>346.61418994044107</v>
      </c>
      <c r="BM8" s="684">
        <f t="shared" si="39"/>
        <v>-7.0739437156994427</v>
      </c>
      <c r="BN8" s="359">
        <f t="shared" si="53"/>
        <v>358.31452402740069</v>
      </c>
      <c r="BO8" s="684">
        <f t="shared" si="39"/>
        <v>3.3756073543815575</v>
      </c>
      <c r="BP8" s="359">
        <f t="shared" si="53"/>
        <v>378.78907885412536</v>
      </c>
      <c r="BQ8" s="684">
        <f t="shared" si="39"/>
        <v>5.7141291948185113</v>
      </c>
      <c r="BR8" s="359">
        <f t="shared" ref="BR8:BT8" si="56">BR111</f>
        <v>399.70905001593383</v>
      </c>
      <c r="BS8" s="684">
        <f t="shared" si="39"/>
        <v>5.5228548893472578</v>
      </c>
      <c r="BT8" s="359">
        <f t="shared" si="56"/>
        <v>421.11411200071416</v>
      </c>
      <c r="BU8" s="684">
        <f t="shared" si="43"/>
        <v>5.3551607060002766</v>
      </c>
      <c r="BV8" s="360">
        <f t="shared" si="44"/>
        <v>2.4561878330790599</v>
      </c>
      <c r="BW8" s="360"/>
      <c r="BY8"/>
      <c r="BZ8"/>
      <c r="CA8"/>
      <c r="CB8"/>
      <c r="CC8"/>
      <c r="CD8"/>
    </row>
    <row r="9" spans="1:166" s="359" customFormat="1" ht="12.75" customHeight="1" collapsed="1" x14ac:dyDescent="0.2">
      <c r="B9" s="352" t="s">
        <v>640</v>
      </c>
      <c r="C9" s="359">
        <f>C8+C7</f>
        <v>182.00000000000006</v>
      </c>
      <c r="D9" s="579" t="str">
        <f>IF(ISERROR(C9/#REF!),"NA",IF(OR(C9/#REF!&gt;2,C9/#REF!&lt;0.5),"NM",C9/#REF!*100-100))</f>
        <v>NA</v>
      </c>
      <c r="E9" s="359">
        <f>E8+E7</f>
        <v>196.5</v>
      </c>
      <c r="F9" s="579" t="str">
        <f>IF(ISERROR(E9/#REF!),"NA",IF(OR(E9/#REF!&gt;2,E9/#REF!&lt;0.5),"NM",E9/#REF!*100-100))</f>
        <v>NA</v>
      </c>
      <c r="G9" s="359">
        <f>G8+G7</f>
        <v>183.10000000000008</v>
      </c>
      <c r="H9" s="579" t="str">
        <f>IF(ISERROR(G9/#REF!),"NA",IF(OR(G9/#REF!&gt;2,G9/#REF!&lt;0.5),"NM",G9/#REF!*100-100))</f>
        <v>NA</v>
      </c>
      <c r="I9" s="359">
        <f>I8+I7</f>
        <v>190.89999999999998</v>
      </c>
      <c r="J9" s="579" t="str">
        <f>IF(ISERROR(I9/#REF!),"NA",IF(OR(I9/#REF!&gt;2,I9/#REF!&lt;0.5),"NM",I9/#REF!*100-100))</f>
        <v>NA</v>
      </c>
      <c r="K9" s="359">
        <f>K8+K7</f>
        <v>217.90000000000003</v>
      </c>
      <c r="L9" s="579">
        <f>IF(ISERROR(K9/C9),"NA",IF(OR(K9/C9&gt;2,K9/C9&lt;0.5),"NM",K9/C9*100-100))</f>
        <v>19.725274725274701</v>
      </c>
      <c r="M9" s="359">
        <f>M8+M7</f>
        <v>227.3</v>
      </c>
      <c r="N9" s="684">
        <f>IF(ISERROR(M9/E9),"NA",IF(OR(M9/E9&gt;2,M9/E9&lt;0.5),"NM",M9/E9*100-100))</f>
        <v>15.67430025445293</v>
      </c>
      <c r="O9" s="359">
        <f>O8+O7</f>
        <v>207.60000000000014</v>
      </c>
      <c r="P9" s="684">
        <f>IF(ISERROR(O9/G9),"NA",IF(OR(O9/G9&gt;2,O9/G9&lt;0.5),"NM",O9/G9*100-100))</f>
        <v>13.380666302566937</v>
      </c>
      <c r="Q9" s="359">
        <f>Q8+Q7</f>
        <v>198.40000000000015</v>
      </c>
      <c r="R9" s="684">
        <f>IF(ISERROR(Q9/I9),"NA",IF(OR(Q9/I9&gt;2,Q9/I9&lt;0.5),"NM",Q9/I9*100-100))</f>
        <v>3.9287585123102104</v>
      </c>
      <c r="S9" s="359">
        <f>S8+S7</f>
        <v>202.89999999999992</v>
      </c>
      <c r="T9" s="684">
        <f>IF(ISERROR(S9/K9),"NA",IF(OR(S9/K9&gt;2,S9/K9&lt;0.5),"NM",S9/K9*100-100))</f>
        <v>-6.8838916934374055</v>
      </c>
      <c r="U9" s="359">
        <f>U8+U7</f>
        <v>216.89999999999998</v>
      </c>
      <c r="V9" s="684">
        <f>IF(ISERROR(U9/M9),"NA",IF(OR(U9/M9&gt;2,U9/M9&lt;0.5),"NM",U9/M9*100-100))</f>
        <v>-4.5754509458865016</v>
      </c>
      <c r="W9" s="359">
        <f>W8+W7</f>
        <v>133.50000000000006</v>
      </c>
      <c r="X9" s="684">
        <f>IF(ISERROR(W9/O9),"NA",IF(OR(W9/O9&gt;2,W9/O9&lt;0.5),"NM",W9/O9*100-100))</f>
        <v>-35.693641618497125</v>
      </c>
      <c r="Y9" s="359">
        <f>Y8+Y7</f>
        <v>186.8</v>
      </c>
      <c r="Z9" s="684">
        <f>IF(ISERROR(Y9/Q9),"NA",IF(OR(Y9/Q9&gt;2,Y9/Q9&lt;0.5),"NM",Y9/Q9*100-100))</f>
        <v>-5.8467741935484554</v>
      </c>
      <c r="AA9" s="359">
        <f>AA8+AA7</f>
        <v>181.39999999999998</v>
      </c>
      <c r="AB9" s="684">
        <f>IF(ISERROR(AA9/S9),"NA",IF(OR(AA9/S9&gt;2,AA9/S9&lt;0.5),"NM",AA9/S9*100-100))</f>
        <v>-10.596352883193674</v>
      </c>
      <c r="AC9" s="359">
        <f>AC8+AC7</f>
        <v>194.69999999999993</v>
      </c>
      <c r="AD9" s="684">
        <f>IF(ISERROR(AC9/U9),"NA",IF(OR(AC9/U9&gt;2,AC9/U9&lt;0.5),"NM",AC9/U9*100-100))</f>
        <v>-10.235131396957144</v>
      </c>
      <c r="AE9" s="359">
        <f>AE8+AE7</f>
        <v>206.89999999999998</v>
      </c>
      <c r="AF9" s="684">
        <f>IF(ISERROR(AE9/W9),"NA",IF(OR(AE9/W9&gt;2,AE9/W9&lt;0.5),"NM",AE9/W9*100-100))</f>
        <v>54.981273408239616</v>
      </c>
      <c r="AG9" s="359">
        <f>AG8+AG7</f>
        <v>211.49999999999983</v>
      </c>
      <c r="AH9" s="360">
        <f t="shared" si="25"/>
        <v>13.222698072805045</v>
      </c>
      <c r="AI9" s="359">
        <f>AI8+AI7</f>
        <v>244.2000000000001</v>
      </c>
      <c r="AJ9" s="360">
        <f t="shared" si="26"/>
        <v>34.619625137817053</v>
      </c>
      <c r="AK9" s="359">
        <f>AK8+AK7</f>
        <v>243.80000000000018</v>
      </c>
      <c r="AL9" s="360">
        <f t="shared" si="28"/>
        <v>25.218284540318578</v>
      </c>
      <c r="AM9" s="359">
        <f t="shared" ref="AM9:AO9" si="57">AM8+AM7</f>
        <v>210.10000000000014</v>
      </c>
      <c r="AN9" s="360">
        <f t="shared" si="30"/>
        <v>1.5466408893185957</v>
      </c>
      <c r="AO9" s="359">
        <f t="shared" si="57"/>
        <v>201.6999999999997</v>
      </c>
      <c r="AP9" s="360">
        <f t="shared" si="31"/>
        <v>-4.633569739952776</v>
      </c>
      <c r="AQ9" s="359">
        <f t="shared" ref="AQ9:AW9" si="58">AQ8+AQ7</f>
        <v>231.58326887735433</v>
      </c>
      <c r="AR9" s="360">
        <f t="shared" si="33"/>
        <v>-5.1665565612800037</v>
      </c>
      <c r="AS9" s="359">
        <f t="shared" si="58"/>
        <v>227.59466362097146</v>
      </c>
      <c r="AT9" s="360">
        <f t="shared" si="34"/>
        <v>-6.6469796468534526</v>
      </c>
      <c r="AU9" s="359">
        <f t="shared" si="58"/>
        <v>230.04561643214765</v>
      </c>
      <c r="AV9" s="360">
        <f t="shared" si="35"/>
        <v>9.4933919239159792</v>
      </c>
      <c r="AW9" s="359">
        <f t="shared" si="58"/>
        <v>238.60983203258598</v>
      </c>
      <c r="AX9" s="360">
        <f t="shared" si="36"/>
        <v>18.299371359735403</v>
      </c>
      <c r="AY9" s="361"/>
      <c r="BA9" s="360"/>
      <c r="BB9" s="359">
        <f>BB8+BB7</f>
        <v>752.49999999999955</v>
      </c>
      <c r="BC9" s="360" t="str">
        <f>IF(ISERROR(BB9/#REF!),"NA",IF(OR(BB9/#REF!&gt;2,BB9/#REF!&lt;0.5),"NM",BB9/#REF!*100-100))</f>
        <v>NA</v>
      </c>
      <c r="BD9" s="844">
        <f>BD8+BD7</f>
        <v>851.19999999999982</v>
      </c>
      <c r="BE9" s="360">
        <f t="shared" ref="BE9:BE23" si="59">IF(ISERROR(BD9/BB9),"NA",IF(OR(BD9/BB9&gt;2,BD9/BB9&lt;0.5),"NM",BD9/BB9*100-100))</f>
        <v>13.116279069767486</v>
      </c>
      <c r="BF9" s="359">
        <f>BF8+BF7</f>
        <v>740.09999999999945</v>
      </c>
      <c r="BG9" s="684">
        <f>IF(ISERROR(BF9/BD9),"NA",IF(OR(BF9/BD9&gt;2,BF9/BD9&lt;0.5),"NM",BF9/BD9*100-100))</f>
        <v>-13.052161654135389</v>
      </c>
      <c r="BH9" s="359">
        <f>BH8+BH7</f>
        <v>794.50000000000023</v>
      </c>
      <c r="BI9" s="684">
        <f>IF(ISERROR(BH9/BF9),"NA",IF(OR(BH9/BF9&gt;2,BH9/BF9&lt;0.5),"NM",BH9/BF9*100-100))</f>
        <v>7.3503580597217706</v>
      </c>
      <c r="BJ9" s="359">
        <f>BJ8+BJ7</f>
        <v>899.8</v>
      </c>
      <c r="BK9" s="684">
        <f>IF(ISERROR(BJ9/BH9),"NA",IF(OR(BJ9/BH9&gt;2,BJ9/BH9&lt;0.5),"NM",BJ9/BH9*100-100))</f>
        <v>13.253618628067926</v>
      </c>
      <c r="BL9" s="359">
        <f>BL8+BL7</f>
        <v>927.83338096305829</v>
      </c>
      <c r="BM9" s="684">
        <f>IF(ISERROR(BL9/BJ9),"NA",IF(OR(BL9/BJ9&gt;2,BL9/BJ9&lt;0.5),"NM",BL9/BJ9*100-100))</f>
        <v>3.1155124431049472</v>
      </c>
      <c r="BN9" s="359">
        <f>BN8+BN7</f>
        <v>960.37921432392272</v>
      </c>
      <c r="BO9" s="684">
        <f>IF(ISERROR(BN9/BL9),"NA",IF(OR(BN9/BL9&gt;2,BN9/BL9&lt;0.5),"NM",BN9/BL9*100-100))</f>
        <v>3.5077239112784468</v>
      </c>
      <c r="BP9" s="359">
        <f>BP8+BP7</f>
        <v>1002.6592277094048</v>
      </c>
      <c r="BQ9" s="684">
        <f>IF(ISERROR(BP9/BN9),"NA",IF(OR(BP9/BN9&gt;2,BP9/BN9&lt;0.5),"NM",BP9/BN9*100-100))</f>
        <v>4.4024290358310054</v>
      </c>
      <c r="BR9" s="359">
        <f>BR8+BR7</f>
        <v>1047.8305685537541</v>
      </c>
      <c r="BS9" s="684">
        <f>IF(ISERROR(BR9/BP9),"NA",IF(OR(BR9/BP9&gt;2,BR9/BP9&lt;0.5),"NM",BR9/BP9*100-100))</f>
        <v>4.5051538544699952</v>
      </c>
      <c r="BT9" s="359">
        <f>BT8+BT7</f>
        <v>1093.6734282349187</v>
      </c>
      <c r="BU9" s="684">
        <f>IF(ISERROR(BT9/BR9),"NA",IF(OR(BT9/BR9&gt;2,BT9/BR9&lt;0.5),"NM",BT9/BR9*100-100))</f>
        <v>4.3750259876878914</v>
      </c>
      <c r="BV9" s="360">
        <f t="shared" si="44"/>
        <v>3.9796459592197353</v>
      </c>
      <c r="BW9" s="360"/>
      <c r="BX9" s="899"/>
      <c r="BY9"/>
      <c r="BZ9"/>
      <c r="CA9"/>
      <c r="CB9"/>
      <c r="CC9"/>
      <c r="CD9"/>
      <c r="CE9" s="899"/>
    </row>
    <row r="10" spans="1:166" s="359" customFormat="1" ht="12.75" customHeight="1" x14ac:dyDescent="0.2">
      <c r="B10" s="352" t="s">
        <v>190</v>
      </c>
      <c r="C10" s="359">
        <f>C184</f>
        <v>61.600000000000016</v>
      </c>
      <c r="D10" s="579" t="str">
        <f>IF(ISERROR(C10/#REF!),"NA",IF(OR(C10/#REF!&gt;2,C10/#REF!&lt;0.5),"NM",C10/#REF!*100-100))</f>
        <v>NA</v>
      </c>
      <c r="E10" s="359">
        <f t="shared" ref="E10:W10" si="60">E184</f>
        <v>73.400000000000006</v>
      </c>
      <c r="F10" s="579" t="str">
        <f>IF(ISERROR(E10/#REF!),"NA",IF(OR(E10/#REF!&gt;2,E10/#REF!&lt;0.5),"NM",E10/#REF!*100-100))</f>
        <v>NA</v>
      </c>
      <c r="G10" s="359">
        <f t="shared" si="60"/>
        <v>72.199999999999989</v>
      </c>
      <c r="H10" s="579" t="str">
        <f>IF(ISERROR(G10/#REF!),"NA",IF(OR(G10/#REF!&gt;2,G10/#REF!&lt;0.5),"NM",G10/#REF!*100-100))</f>
        <v>NA</v>
      </c>
      <c r="I10" s="359">
        <f t="shared" si="60"/>
        <v>82.400000000000034</v>
      </c>
      <c r="J10" s="579" t="str">
        <f>IF(ISERROR(I10/#REF!),"NA",IF(OR(I10/#REF!&gt;2,I10/#REF!&lt;0.5),"NM",I10/#REF!*100-100))</f>
        <v>NA</v>
      </c>
      <c r="K10" s="359">
        <f t="shared" si="60"/>
        <v>80.599999999999994</v>
      </c>
      <c r="L10" s="579">
        <f t="shared" ref="L10:L24" si="61">IF(ISERROR(K10/C10),"NA",IF(OR(K10/C10&gt;2,K10/C10&lt;0.5),"NM",K10/C10*100-100))</f>
        <v>30.844155844155807</v>
      </c>
      <c r="M10" s="359">
        <f t="shared" si="60"/>
        <v>83.699999999999974</v>
      </c>
      <c r="N10" s="684">
        <f t="shared" ref="N10:N19" si="62">IF(ISERROR(M10/E10),"NA",IF(OR(M10/E10&gt;2,M10/E10&lt;0.5),"NM",M10/E10*100-100))</f>
        <v>14.032697547683881</v>
      </c>
      <c r="O10" s="359">
        <f t="shared" si="60"/>
        <v>85.7</v>
      </c>
      <c r="P10" s="684">
        <f t="shared" ref="P10:P20" si="63">IF(ISERROR(O10/G10),"NA",IF(OR(O10/G10&gt;2,O10/G10&lt;0.5),"NM",O10/G10*100-100))</f>
        <v>18.698060941828288</v>
      </c>
      <c r="Q10" s="359">
        <f t="shared" si="60"/>
        <v>100.10000000000001</v>
      </c>
      <c r="R10" s="684">
        <f t="shared" ref="R10:R24" si="64">IF(ISERROR(Q10/I10),"NA",IF(OR(Q10/I10&gt;2,Q10/I10&lt;0.5),"NM",Q10/I10*100-100))</f>
        <v>21.48058252427181</v>
      </c>
      <c r="S10" s="359">
        <f t="shared" si="60"/>
        <v>92.59999999999998</v>
      </c>
      <c r="T10" s="684">
        <f t="shared" ref="T10:T24" si="65">IF(ISERROR(S10/K10),"NA",IF(OR(S10/K10&gt;2,S10/K10&lt;0.5),"NM",S10/K10*100-100))</f>
        <v>14.888337468982613</v>
      </c>
      <c r="U10" s="359">
        <f t="shared" si="60"/>
        <v>98.500000000000028</v>
      </c>
      <c r="V10" s="684">
        <f t="shared" si="16"/>
        <v>17.682198327359686</v>
      </c>
      <c r="W10" s="359">
        <f t="shared" si="60"/>
        <v>95.4</v>
      </c>
      <c r="X10" s="684">
        <f t="shared" si="17"/>
        <v>11.318553092182043</v>
      </c>
      <c r="Y10" s="359">
        <f t="shared" ref="Y10:AA10" si="66">Y184</f>
        <v>102.00000000000003</v>
      </c>
      <c r="Z10" s="684">
        <f t="shared" si="19"/>
        <v>1.8981018981019133</v>
      </c>
      <c r="AA10" s="359">
        <f t="shared" si="66"/>
        <v>79.700000000000017</v>
      </c>
      <c r="AB10" s="684">
        <f t="shared" si="20"/>
        <v>-13.930885529157635</v>
      </c>
      <c r="AC10" s="359">
        <f t="shared" ref="AC10:AE10" si="67">AC184</f>
        <v>117.49999999999996</v>
      </c>
      <c r="AD10" s="684">
        <f t="shared" si="22"/>
        <v>19.289340101522768</v>
      </c>
      <c r="AE10" s="359">
        <f t="shared" si="67"/>
        <v>112.9</v>
      </c>
      <c r="AF10" s="684">
        <f t="shared" si="23"/>
        <v>18.343815513626822</v>
      </c>
      <c r="AG10" s="359">
        <f t="shared" ref="AG10:AI10" si="68">AG184</f>
        <v>133.70000000000002</v>
      </c>
      <c r="AH10" s="360">
        <f t="shared" si="25"/>
        <v>31.078431372549005</v>
      </c>
      <c r="AI10" s="359">
        <f t="shared" si="68"/>
        <v>100</v>
      </c>
      <c r="AJ10" s="360">
        <f t="shared" si="26"/>
        <v>25.47051442910913</v>
      </c>
      <c r="AK10" s="359">
        <f t="shared" ref="AK10" si="69">AK184</f>
        <v>115.40000000000002</v>
      </c>
      <c r="AL10" s="360">
        <f t="shared" si="28"/>
        <v>-1.7872340425531377</v>
      </c>
      <c r="AM10" s="359">
        <f t="shared" ref="AM10:AO10" si="70">AM184</f>
        <v>130.20000000000002</v>
      </c>
      <c r="AN10" s="360">
        <f t="shared" si="30"/>
        <v>15.323294951284325</v>
      </c>
      <c r="AO10" s="359">
        <f t="shared" si="70"/>
        <v>124.10000000000001</v>
      </c>
      <c r="AP10" s="360">
        <f t="shared" si="31"/>
        <v>-7.1802543006731554</v>
      </c>
      <c r="AQ10" s="359">
        <f t="shared" ref="AQ10:AW10" si="71">AQ184</f>
        <v>128.93566912992608</v>
      </c>
      <c r="AR10" s="360">
        <f t="shared" si="33"/>
        <v>28.935669129926083</v>
      </c>
      <c r="AS10" s="359">
        <f t="shared" si="71"/>
        <v>129.57417779295389</v>
      </c>
      <c r="AT10" s="360">
        <f t="shared" si="34"/>
        <v>12.282649733928835</v>
      </c>
      <c r="AU10" s="359">
        <f t="shared" si="71"/>
        <v>131.61129112913176</v>
      </c>
      <c r="AV10" s="360">
        <f t="shared" si="35"/>
        <v>1.0839409593945675</v>
      </c>
      <c r="AW10" s="359">
        <f t="shared" si="71"/>
        <v>134.67239232122225</v>
      </c>
      <c r="AX10" s="360">
        <f t="shared" si="36"/>
        <v>8.5192524747963176</v>
      </c>
      <c r="AY10" s="361"/>
      <c r="BA10" s="360"/>
      <c r="BB10" s="359">
        <f t="shared" ref="BB10:BD10" si="72">BB184</f>
        <v>289.60000000000002</v>
      </c>
      <c r="BC10" s="360" t="str">
        <f>IF(ISERROR(BB10/#REF!),"NA",IF(OR(BB10/#REF!&gt;2,BB10/#REF!&lt;0.5),"NM",BB10/#REF!*100-100))</f>
        <v>NA</v>
      </c>
      <c r="BD10" s="844">
        <f t="shared" si="72"/>
        <v>350.1</v>
      </c>
      <c r="BE10" s="360">
        <f t="shared" si="59"/>
        <v>20.890883977900558</v>
      </c>
      <c r="BF10" s="359">
        <f t="shared" ref="BF10:BP10" si="73">BF184</f>
        <v>388.5</v>
      </c>
      <c r="BG10" s="684">
        <f t="shared" si="39"/>
        <v>10.968294772922007</v>
      </c>
      <c r="BH10" s="359">
        <f t="shared" si="73"/>
        <v>443.80000000000007</v>
      </c>
      <c r="BI10" s="684">
        <f t="shared" si="39"/>
        <v>14.23423423423425</v>
      </c>
      <c r="BJ10" s="359">
        <f t="shared" ref="BJ10" si="74">BJ184</f>
        <v>469.70000000000005</v>
      </c>
      <c r="BK10" s="684">
        <f t="shared" si="39"/>
        <v>5.8359621451104005</v>
      </c>
      <c r="BL10" s="359">
        <f t="shared" ref="BL10" si="75">BL184</f>
        <v>524.79353037323403</v>
      </c>
      <c r="BM10" s="684">
        <f t="shared" si="39"/>
        <v>11.729514663239087</v>
      </c>
      <c r="BN10" s="359">
        <f t="shared" si="73"/>
        <v>550.50015402645852</v>
      </c>
      <c r="BO10" s="684">
        <f t="shared" si="39"/>
        <v>4.8984261743741229</v>
      </c>
      <c r="BP10" s="359">
        <f t="shared" si="73"/>
        <v>563.85419045671711</v>
      </c>
      <c r="BQ10" s="684">
        <f t="shared" si="39"/>
        <v>2.42580067100522</v>
      </c>
      <c r="BR10" s="359">
        <f t="shared" ref="BR10:BT10" si="76">BR184</f>
        <v>598.21777251477977</v>
      </c>
      <c r="BS10" s="684">
        <f t="shared" si="39"/>
        <v>6.0944092709905249</v>
      </c>
      <c r="BT10" s="359">
        <f t="shared" si="76"/>
        <v>618.99998773386778</v>
      </c>
      <c r="BU10" s="684">
        <f t="shared" ref="BU10:BU20" si="77">IF(ISERROR(BT10/BR10),"NA",IF(OR(BT10/BR10&gt;2,BT10/BR10&lt;0.5),"NM",BT10/BR10*100-100))</f>
        <v>3.4740216981056875</v>
      </c>
      <c r="BV10" s="360">
        <f t="shared" si="44"/>
        <v>5.6754281433789799</v>
      </c>
      <c r="BW10" s="360"/>
      <c r="BY10"/>
      <c r="BZ10"/>
      <c r="CA10"/>
      <c r="CB10"/>
      <c r="CC10"/>
      <c r="CD10"/>
    </row>
    <row r="11" spans="1:166" s="359" customFormat="1" ht="12.75" customHeight="1" x14ac:dyDescent="0.2">
      <c r="B11" s="352" t="s">
        <v>191</v>
      </c>
      <c r="C11" s="359">
        <f t="shared" ref="C11:W11" si="78">C330</f>
        <v>63.700000000000031</v>
      </c>
      <c r="D11" s="579" t="str">
        <f>IF(ISERROR(C11/#REF!),"NA",IF(OR(C11/#REF!&gt;2,C11/#REF!&lt;0.5),"NM",C11/#REF!*100-100))</f>
        <v>NA</v>
      </c>
      <c r="E11" s="359">
        <f t="shared" si="78"/>
        <v>75.700000000000017</v>
      </c>
      <c r="F11" s="579" t="str">
        <f>IF(ISERROR(E11/#REF!),"NA",IF(OR(E11/#REF!&gt;2,E11/#REF!&lt;0.5),"NM",E11/#REF!*100-100))</f>
        <v>NA</v>
      </c>
      <c r="G11" s="359">
        <f t="shared" si="78"/>
        <v>66.099999999999994</v>
      </c>
      <c r="H11" s="579" t="str">
        <f>IF(ISERROR(G11/#REF!),"NA",IF(OR(G11/#REF!&gt;2,G11/#REF!&lt;0.5),"NM",G11/#REF!*100-100))</f>
        <v>NA</v>
      </c>
      <c r="I11" s="359">
        <f t="shared" si="78"/>
        <v>88.9</v>
      </c>
      <c r="J11" s="579" t="str">
        <f>IF(ISERROR(I11/#REF!),"NA",IF(OR(I11/#REF!&gt;2,I11/#REF!&lt;0.5),"NM",I11/#REF!*100-100))</f>
        <v>NA</v>
      </c>
      <c r="K11" s="359">
        <f t="shared" si="78"/>
        <v>82.199999999999946</v>
      </c>
      <c r="L11" s="579">
        <f t="shared" si="61"/>
        <v>29.042386185243174</v>
      </c>
      <c r="M11" s="359">
        <f t="shared" si="78"/>
        <v>90.6</v>
      </c>
      <c r="N11" s="684">
        <f t="shared" si="62"/>
        <v>19.682959048877109</v>
      </c>
      <c r="O11" s="359">
        <f t="shared" si="78"/>
        <v>102.4</v>
      </c>
      <c r="P11" s="684">
        <f t="shared" si="63"/>
        <v>54.916792738275376</v>
      </c>
      <c r="Q11" s="359">
        <f t="shared" si="78"/>
        <v>77.499999999999929</v>
      </c>
      <c r="R11" s="684">
        <f t="shared" si="64"/>
        <v>-12.823397075365662</v>
      </c>
      <c r="S11" s="359">
        <f t="shared" si="78"/>
        <v>80.799999999999955</v>
      </c>
      <c r="T11" s="684">
        <f t="shared" si="65"/>
        <v>-1.7031630170316134</v>
      </c>
      <c r="U11" s="359">
        <f t="shared" si="78"/>
        <v>72.199999999999946</v>
      </c>
      <c r="V11" s="684">
        <f t="shared" si="16"/>
        <v>-20.309050772626989</v>
      </c>
      <c r="W11" s="359">
        <f t="shared" si="78"/>
        <v>50.999999999999964</v>
      </c>
      <c r="X11" s="579" t="str">
        <f t="shared" si="17"/>
        <v>NM</v>
      </c>
      <c r="Y11" s="359">
        <f t="shared" ref="Y11:AA11" si="79">Y330</f>
        <v>67.299999999999983</v>
      </c>
      <c r="Z11" s="684">
        <f t="shared" si="19"/>
        <v>-13.161290322580584</v>
      </c>
      <c r="AA11" s="359">
        <f t="shared" si="79"/>
        <v>68.000000000000014</v>
      </c>
      <c r="AB11" s="684">
        <f t="shared" si="20"/>
        <v>-15.841584158415785</v>
      </c>
      <c r="AC11" s="359">
        <f t="shared" ref="AC11:AE11" si="80">AC330</f>
        <v>69.899999999999977</v>
      </c>
      <c r="AD11" s="684">
        <f t="shared" si="22"/>
        <v>-3.1855955678669972</v>
      </c>
      <c r="AE11" s="359">
        <f t="shared" si="80"/>
        <v>84.200000000000017</v>
      </c>
      <c r="AF11" s="684">
        <f t="shared" si="23"/>
        <v>65.098039215686413</v>
      </c>
      <c r="AG11" s="359">
        <f t="shared" ref="AG11:AI11" si="81">AG330</f>
        <v>66.000000000000043</v>
      </c>
      <c r="AH11" s="360">
        <f t="shared" si="25"/>
        <v>-1.9316493313520766</v>
      </c>
      <c r="AI11" s="359">
        <f t="shared" si="81"/>
        <v>100.89999999999995</v>
      </c>
      <c r="AJ11" s="360">
        <f t="shared" si="26"/>
        <v>48.382352941176379</v>
      </c>
      <c r="AK11" s="359">
        <f t="shared" ref="AK11" si="82">AK330</f>
        <v>78.399999999999949</v>
      </c>
      <c r="AL11" s="360">
        <f t="shared" si="28"/>
        <v>12.160228898426297</v>
      </c>
      <c r="AM11" s="359">
        <f t="shared" ref="AM11:AO11" si="83">AM330</f>
        <v>72.399999999999991</v>
      </c>
      <c r="AN11" s="360">
        <f t="shared" si="30"/>
        <v>-14.014251781472709</v>
      </c>
      <c r="AO11" s="359">
        <f t="shared" si="83"/>
        <v>78.30000000000004</v>
      </c>
      <c r="AP11" s="360">
        <f t="shared" si="31"/>
        <v>18.636363636363626</v>
      </c>
      <c r="AQ11" s="359">
        <f t="shared" ref="AQ11:AW11" si="84">AQ330</f>
        <v>89.418216769456805</v>
      </c>
      <c r="AR11" s="360">
        <f t="shared" si="33"/>
        <v>-11.379368910349996</v>
      </c>
      <c r="AS11" s="359">
        <f t="shared" si="84"/>
        <v>89.958952951178887</v>
      </c>
      <c r="AT11" s="360">
        <f t="shared" si="34"/>
        <v>14.743562437728258</v>
      </c>
      <c r="AU11" s="359">
        <f t="shared" si="84"/>
        <v>90.789771476380139</v>
      </c>
      <c r="AV11" s="360">
        <f t="shared" si="35"/>
        <v>25.400236845828928</v>
      </c>
      <c r="AW11" s="359">
        <f t="shared" si="84"/>
        <v>89.458368949220741</v>
      </c>
      <c r="AX11" s="360">
        <f t="shared" si="36"/>
        <v>14.250790484317605</v>
      </c>
      <c r="AY11" s="361"/>
      <c r="BA11" s="360"/>
      <c r="BB11" s="359">
        <f t="shared" ref="BB11:BD11" si="85">BB330</f>
        <v>294.40000000000003</v>
      </c>
      <c r="BC11" s="360" t="str">
        <f>IF(ISERROR(BB11/#REF!),"NA",IF(OR(BB11/#REF!&gt;2,BB11/#REF!&lt;0.5),"NM",BB11/#REF!*100-100))</f>
        <v>NA</v>
      </c>
      <c r="BD11" s="844">
        <f t="shared" si="85"/>
        <v>352.69999999999987</v>
      </c>
      <c r="BE11" s="360">
        <f t="shared" si="59"/>
        <v>19.802989130434725</v>
      </c>
      <c r="BF11" s="359">
        <f t="shared" ref="BF11:BP11" si="86">BF330</f>
        <v>271.2999999999999</v>
      </c>
      <c r="BG11" s="684">
        <f t="shared" si="39"/>
        <v>-23.079104054437209</v>
      </c>
      <c r="BH11" s="359">
        <f t="shared" si="86"/>
        <v>288.10000000000008</v>
      </c>
      <c r="BI11" s="684">
        <f t="shared" si="39"/>
        <v>6.192406929598306</v>
      </c>
      <c r="BJ11" s="359">
        <f t="shared" ref="BJ11" si="87">BJ330</f>
        <v>329.99999999999994</v>
      </c>
      <c r="BK11" s="684">
        <f t="shared" si="39"/>
        <v>14.54356126345013</v>
      </c>
      <c r="BL11" s="359">
        <f t="shared" ref="BL11" si="88">BL330</f>
        <v>359.62531014623659</v>
      </c>
      <c r="BM11" s="684">
        <f t="shared" si="39"/>
        <v>8.9773667109807889</v>
      </c>
      <c r="BN11" s="359">
        <f t="shared" si="86"/>
        <v>381.34775926632324</v>
      </c>
      <c r="BO11" s="684">
        <f t="shared" si="39"/>
        <v>6.0403004202494799</v>
      </c>
      <c r="BP11" s="359">
        <f t="shared" si="86"/>
        <v>431.87008766088064</v>
      </c>
      <c r="BQ11" s="684">
        <f t="shared" si="39"/>
        <v>13.248361152497012</v>
      </c>
      <c r="BR11" s="359">
        <f t="shared" ref="BR11:BT11" si="89">BR330</f>
        <v>450.13486372073396</v>
      </c>
      <c r="BS11" s="684">
        <f t="shared" si="39"/>
        <v>4.2292292477999638</v>
      </c>
      <c r="BT11" s="359">
        <f t="shared" si="89"/>
        <v>484.47991981506397</v>
      </c>
      <c r="BU11" s="684">
        <f t="shared" si="77"/>
        <v>7.6299480138996501</v>
      </c>
      <c r="BV11" s="360">
        <f t="shared" si="44"/>
        <v>7.9822489624227444</v>
      </c>
      <c r="BW11" s="360"/>
      <c r="BY11"/>
      <c r="BZ11"/>
      <c r="CA11"/>
      <c r="CB11"/>
      <c r="CC11"/>
      <c r="CD11"/>
    </row>
    <row r="12" spans="1:166" s="359" customFormat="1" ht="12.75" hidden="1" customHeight="1" outlineLevel="1" x14ac:dyDescent="0.2">
      <c r="B12" s="658" t="s">
        <v>690</v>
      </c>
      <c r="C12" s="359">
        <f>C494</f>
        <v>31.899999999999977</v>
      </c>
      <c r="D12" s="579" t="str">
        <f>IF(ISERROR(C12/#REF!),"NA",IF(OR(C12/#REF!&gt;2,C12/#REF!&lt;0.5),"NM",C12/#REF!*100-100))</f>
        <v>NA</v>
      </c>
      <c r="E12" s="359">
        <f>E494</f>
        <v>39.5</v>
      </c>
      <c r="F12" s="579" t="str">
        <f>IF(ISERROR(E12/#REF!),"NA",IF(OR(E12/#REF!&gt;2,E12/#REF!&lt;0.5),"NM",E12/#REF!*100-100))</f>
        <v>NA</v>
      </c>
      <c r="G12" s="359">
        <f>G494</f>
        <v>48.700000000000045</v>
      </c>
      <c r="H12" s="579" t="str">
        <f>IF(ISERROR(G12/#REF!),"NA",IF(OR(G12/#REF!&gt;2,G12/#REF!&lt;0.5),"NM",G12/#REF!*100-100))</f>
        <v>NA</v>
      </c>
      <c r="I12" s="359">
        <f>I494</f>
        <v>41.699999999999932</v>
      </c>
      <c r="J12" s="579" t="str">
        <f>IF(ISERROR(I12/#REF!),"NA",IF(OR(I12/#REF!&gt;2,I12/#REF!&lt;0.5),"NM",I12/#REF!*100-100))</f>
        <v>NA</v>
      </c>
      <c r="K12" s="359">
        <f>K494</f>
        <v>40.900000000000091</v>
      </c>
      <c r="L12" s="579">
        <f t="shared" si="61"/>
        <v>28.213166144200983</v>
      </c>
      <c r="M12" s="359">
        <f>M494</f>
        <v>45.600000000000023</v>
      </c>
      <c r="N12" s="684">
        <f t="shared" si="62"/>
        <v>15.443037974683605</v>
      </c>
      <c r="O12" s="359">
        <f>O494</f>
        <v>48.600000000000023</v>
      </c>
      <c r="P12" s="684">
        <f t="shared" si="63"/>
        <v>-0.20533880903495572</v>
      </c>
      <c r="Q12" s="359">
        <f>Q494</f>
        <v>44.099999999999966</v>
      </c>
      <c r="R12" s="684">
        <f t="shared" si="64"/>
        <v>5.7553956834533295</v>
      </c>
      <c r="S12" s="359">
        <f>S494</f>
        <v>46.800000000000068</v>
      </c>
      <c r="T12" s="684">
        <f t="shared" si="65"/>
        <v>14.425427872860539</v>
      </c>
      <c r="U12" s="359">
        <f>U494</f>
        <v>51.400000000000034</v>
      </c>
      <c r="V12" s="684">
        <f t="shared" si="16"/>
        <v>12.71929824561407</v>
      </c>
      <c r="W12" s="359">
        <f>W494</f>
        <v>65.399999999999977</v>
      </c>
      <c r="X12" s="684">
        <f t="shared" si="17"/>
        <v>34.567901234567785</v>
      </c>
      <c r="Y12" s="359">
        <f>Y494</f>
        <v>56.800000000000011</v>
      </c>
      <c r="Z12" s="684">
        <f t="shared" si="19"/>
        <v>28.798185941043215</v>
      </c>
      <c r="AA12" s="359">
        <f>AA494</f>
        <v>38.599999999999966</v>
      </c>
      <c r="AB12" s="684">
        <f t="shared" si="20"/>
        <v>-17.521367521367708</v>
      </c>
      <c r="AC12" s="359">
        <f>AC494</f>
        <v>66.500000000000114</v>
      </c>
      <c r="AD12" s="684">
        <f t="shared" si="22"/>
        <v>29.37743190661493</v>
      </c>
      <c r="AE12" s="359">
        <f>AE494</f>
        <v>73.900000000000091</v>
      </c>
      <c r="AF12" s="684">
        <f t="shared" si="23"/>
        <v>12.996941896024651</v>
      </c>
      <c r="AG12" s="359">
        <f>AG494</f>
        <v>71.899999999999977</v>
      </c>
      <c r="AH12" s="360">
        <f t="shared" si="25"/>
        <v>26.584507042253463</v>
      </c>
      <c r="AI12" s="359">
        <f>AI494</f>
        <v>45.5</v>
      </c>
      <c r="AJ12" s="360">
        <f t="shared" si="26"/>
        <v>17.875647668393896</v>
      </c>
      <c r="AK12" s="359">
        <f>AK494</f>
        <v>63.599999999999966</v>
      </c>
      <c r="AL12" s="360">
        <f t="shared" si="28"/>
        <v>-4.3609022556393029</v>
      </c>
      <c r="AM12" s="359">
        <f t="shared" ref="AM12:AO12" si="90">AM494</f>
        <v>83.800000000000011</v>
      </c>
      <c r="AN12" s="360">
        <f t="shared" si="30"/>
        <v>13.396481732070242</v>
      </c>
      <c r="AO12" s="359">
        <f t="shared" si="90"/>
        <v>62.599999999999909</v>
      </c>
      <c r="AP12" s="360">
        <f t="shared" si="31"/>
        <v>-12.934631432545302</v>
      </c>
      <c r="AQ12" s="359">
        <f t="shared" ref="AQ12:AW12" si="91">AQ494</f>
        <v>56.458019284956038</v>
      </c>
      <c r="AR12" s="360">
        <f t="shared" si="33"/>
        <v>24.08355886803524</v>
      </c>
      <c r="AS12" s="359">
        <f t="shared" si="91"/>
        <v>65.749889880234036</v>
      </c>
      <c r="AT12" s="360">
        <f t="shared" si="34"/>
        <v>3.3803300003680334</v>
      </c>
      <c r="AU12" s="359">
        <f t="shared" si="91"/>
        <v>75.248319734541496</v>
      </c>
      <c r="AV12" s="360">
        <f t="shared" si="35"/>
        <v>-10.204869051859802</v>
      </c>
      <c r="AW12" s="359">
        <f t="shared" si="91"/>
        <v>80.076433950049818</v>
      </c>
      <c r="AX12" s="360">
        <f t="shared" si="36"/>
        <v>27.917626118290627</v>
      </c>
      <c r="AY12" s="361"/>
      <c r="BA12" s="360"/>
      <c r="BB12" s="359">
        <f>BB494</f>
        <v>161.79999999999973</v>
      </c>
      <c r="BC12" s="360" t="str">
        <f>IF(ISERROR(BB12/#REF!),"NA",IF(OR(BB12/#REF!&gt;2,BB12/#REF!&lt;0.5),"NM",BB12/#REF!*100-100))</f>
        <v>NA</v>
      </c>
      <c r="BD12" s="359">
        <f>BD494</f>
        <v>179.19999999999982</v>
      </c>
      <c r="BE12" s="360"/>
      <c r="BF12" s="359">
        <f>BF494</f>
        <v>220.40000000000032</v>
      </c>
      <c r="BG12" s="684">
        <f t="shared" si="39"/>
        <v>22.991071428571729</v>
      </c>
      <c r="BH12" s="359">
        <f>BH494</f>
        <v>250.90000000000009</v>
      </c>
      <c r="BI12" s="684">
        <f t="shared" si="39"/>
        <v>13.838475499092425</v>
      </c>
      <c r="BJ12" s="359">
        <f>BJ494</f>
        <v>255.49999999999955</v>
      </c>
      <c r="BK12" s="684">
        <f t="shared" si="39"/>
        <v>1.8333997608606722</v>
      </c>
      <c r="BL12" s="359">
        <f>BL494</f>
        <v>277.53266284978167</v>
      </c>
      <c r="BM12" s="684">
        <f t="shared" si="39"/>
        <v>8.6233514089167045</v>
      </c>
      <c r="BN12" s="359">
        <f>BN494</f>
        <v>292.15154771861262</v>
      </c>
      <c r="BO12" s="684">
        <f t="shared" si="39"/>
        <v>5.2674466200555372</v>
      </c>
      <c r="BP12" s="359">
        <f>BP494</f>
        <v>302.56401683520153</v>
      </c>
      <c r="BQ12" s="684">
        <f t="shared" si="39"/>
        <v>3.564064335068224</v>
      </c>
      <c r="BR12" s="359">
        <f>BR494</f>
        <v>313.05489576432819</v>
      </c>
      <c r="BS12" s="684">
        <f t="shared" si="39"/>
        <v>3.467325374266423</v>
      </c>
      <c r="BT12" s="359">
        <f>BT494</f>
        <v>323.58675111707817</v>
      </c>
      <c r="BU12" s="684">
        <f t="shared" si="77"/>
        <v>3.3642199803444441</v>
      </c>
      <c r="BV12" s="360">
        <f t="shared" si="44"/>
        <v>4.8382988843020058</v>
      </c>
      <c r="BW12" s="360"/>
      <c r="BY12"/>
      <c r="BZ12"/>
      <c r="CA12"/>
      <c r="CB12"/>
      <c r="CC12"/>
      <c r="CD12"/>
    </row>
    <row r="13" spans="1:166" s="359" customFormat="1" ht="12.75" hidden="1" customHeight="1" outlineLevel="1" x14ac:dyDescent="0.2">
      <c r="B13" s="658" t="s">
        <v>667</v>
      </c>
      <c r="C13" s="359">
        <f>C407</f>
        <v>19.900000000000034</v>
      </c>
      <c r="D13" s="579" t="str">
        <f>IF(ISERROR(C13/#REF!),"NA",IF(OR(C13/#REF!&gt;2,C13/#REF!&lt;0.5),"NM",C13/#REF!*100-100))</f>
        <v>NA</v>
      </c>
      <c r="E13" s="359">
        <f>E407</f>
        <v>30.199999999999989</v>
      </c>
      <c r="F13" s="579" t="str">
        <f>IF(ISERROR(E13/#REF!),"NA",IF(OR(E13/#REF!&gt;2,E13/#REF!&lt;0.5),"NM",E13/#REF!*100-100))</f>
        <v>NA</v>
      </c>
      <c r="G13" s="359">
        <f>G407</f>
        <v>31.500000000000057</v>
      </c>
      <c r="H13" s="579" t="str">
        <f>IF(ISERROR(G13/#REF!),"NA",IF(OR(G13/#REF!&gt;2,G13/#REF!&lt;0.5),"NM",G13/#REF!*100-100))</f>
        <v>NA</v>
      </c>
      <c r="I13" s="359">
        <f>I407</f>
        <v>47.199999999999989</v>
      </c>
      <c r="J13" s="579" t="str">
        <f>IF(ISERROR(I13/#REF!),"NA",IF(OR(I13/#REF!&gt;2,I13/#REF!&lt;0.5),"NM",I13/#REF!*100-100))</f>
        <v>NA</v>
      </c>
      <c r="K13" s="359">
        <f>K407</f>
        <v>21.800000000000011</v>
      </c>
      <c r="L13" s="579">
        <f t="shared" si="61"/>
        <v>9.5477386934672097</v>
      </c>
      <c r="M13" s="359">
        <f>M407</f>
        <v>27.599999999999966</v>
      </c>
      <c r="N13" s="684">
        <f t="shared" si="62"/>
        <v>-8.6092715231788901</v>
      </c>
      <c r="O13" s="359">
        <f>O407</f>
        <v>76.499999999999943</v>
      </c>
      <c r="P13" s="684" t="str">
        <f t="shared" si="63"/>
        <v>NM</v>
      </c>
      <c r="Q13" s="359">
        <f>Q407</f>
        <v>39.000000000000057</v>
      </c>
      <c r="R13" s="684">
        <f t="shared" si="64"/>
        <v>-17.372881355932066</v>
      </c>
      <c r="S13" s="359">
        <f>S407</f>
        <v>35.100000000000023</v>
      </c>
      <c r="T13" s="684">
        <f t="shared" si="65"/>
        <v>61.009174311926643</v>
      </c>
      <c r="U13" s="359">
        <f>U407</f>
        <v>36.699999999999989</v>
      </c>
      <c r="V13" s="684">
        <f t="shared" si="16"/>
        <v>32.971014492753739</v>
      </c>
      <c r="W13" s="359">
        <f>W407</f>
        <v>107.5</v>
      </c>
      <c r="X13" s="684">
        <f t="shared" si="17"/>
        <v>40.522875816993576</v>
      </c>
      <c r="Y13" s="359">
        <f>Y407</f>
        <v>29.800000000000011</v>
      </c>
      <c r="Z13" s="684">
        <f t="shared" si="19"/>
        <v>-23.589743589743676</v>
      </c>
      <c r="AA13" s="359">
        <f>AA407</f>
        <v>41.899999999999977</v>
      </c>
      <c r="AB13" s="684">
        <f t="shared" si="20"/>
        <v>19.373219373219229</v>
      </c>
      <c r="AC13" s="359">
        <f>AC407</f>
        <v>37.099999999999966</v>
      </c>
      <c r="AD13" s="684">
        <f t="shared" si="22"/>
        <v>1.0899182561307157</v>
      </c>
      <c r="AE13" s="359">
        <f>AE407</f>
        <v>-3.6999999999999318</v>
      </c>
      <c r="AF13" s="684" t="str">
        <f t="shared" si="23"/>
        <v>NM</v>
      </c>
      <c r="AG13" s="359">
        <f>AG407</f>
        <v>35</v>
      </c>
      <c r="AH13" s="360">
        <f t="shared" si="25"/>
        <v>17.449664429530159</v>
      </c>
      <c r="AI13" s="359">
        <f>AI407</f>
        <v>40.699999999999989</v>
      </c>
      <c r="AJ13" s="360">
        <f t="shared" si="26"/>
        <v>-2.863961813842451</v>
      </c>
      <c r="AK13" s="359">
        <f>AK407</f>
        <v>40.800000000000011</v>
      </c>
      <c r="AL13" s="360">
        <f t="shared" si="28"/>
        <v>9.9730458221025629</v>
      </c>
      <c r="AM13" s="359">
        <f t="shared" ref="AM13:AO13" si="92">AM407</f>
        <v>-0.60000000000002274</v>
      </c>
      <c r="AN13" s="360" t="str">
        <f t="shared" si="30"/>
        <v>NM</v>
      </c>
      <c r="AO13" s="359">
        <f t="shared" si="92"/>
        <v>48.300000000000011</v>
      </c>
      <c r="AP13" s="360">
        <f t="shared" si="31"/>
        <v>38.000000000000028</v>
      </c>
      <c r="AQ13" s="359">
        <f t="shared" ref="AQ13:AW13" si="93">AQ407</f>
        <v>37.100329999999985</v>
      </c>
      <c r="AR13" s="360">
        <f t="shared" si="33"/>
        <v>-8.8443980343980542</v>
      </c>
      <c r="AS13" s="359">
        <f t="shared" si="93"/>
        <v>39.686480450000033</v>
      </c>
      <c r="AT13" s="360">
        <f t="shared" si="34"/>
        <v>-2.7292145833332881</v>
      </c>
      <c r="AU13" s="359">
        <f t="shared" si="93"/>
        <v>43.439293186750035</v>
      </c>
      <c r="AV13" s="360" t="str">
        <f t="shared" si="35"/>
        <v>NM</v>
      </c>
      <c r="AW13" s="359">
        <f t="shared" si="93"/>
        <v>46.13335772633252</v>
      </c>
      <c r="AX13" s="360">
        <f t="shared" si="36"/>
        <v>-4.4858018088353901</v>
      </c>
      <c r="AY13" s="361"/>
      <c r="BA13" s="360"/>
      <c r="BB13" s="359">
        <f>BB407</f>
        <v>128.80000000000018</v>
      </c>
      <c r="BC13" s="360" t="str">
        <f>IF(ISERROR(BB13/#REF!),"NA",IF(OR(BB13/#REF!&gt;2,BB13/#REF!&lt;0.5),"NM",BB13/#REF!*100-100))</f>
        <v>NA</v>
      </c>
      <c r="BD13" s="359">
        <f>BD407</f>
        <v>164.90000000000009</v>
      </c>
      <c r="BE13" s="360"/>
      <c r="BF13" s="359">
        <f>BF407</f>
        <v>209.09999999999968</v>
      </c>
      <c r="BG13" s="684">
        <f t="shared" si="39"/>
        <v>26.80412371133994</v>
      </c>
      <c r="BH13" s="359">
        <f>BH407</f>
        <v>110.29999999999973</v>
      </c>
      <c r="BI13" s="684">
        <f t="shared" si="39"/>
        <v>-47.250119560019179</v>
      </c>
      <c r="BJ13" s="359">
        <f>BJ407</f>
        <v>129.20000000000005</v>
      </c>
      <c r="BK13" s="684">
        <f t="shared" si="39"/>
        <v>17.135086128740127</v>
      </c>
      <c r="BL13" s="359">
        <f>BL407</f>
        <v>166.35946136308257</v>
      </c>
      <c r="BM13" s="684">
        <f t="shared" si="39"/>
        <v>28.761193005481829</v>
      </c>
      <c r="BN13" s="359">
        <f>BN407</f>
        <v>174.86614895248226</v>
      </c>
      <c r="BO13" s="684">
        <f t="shared" si="39"/>
        <v>5.1134378049191298</v>
      </c>
      <c r="BP13" s="359">
        <f>BP407</f>
        <v>176.08159040976625</v>
      </c>
      <c r="BQ13" s="684">
        <f t="shared" si="39"/>
        <v>0.69506960870640455</v>
      </c>
      <c r="BR13" s="359">
        <f>BR407</f>
        <v>179.1179389055917</v>
      </c>
      <c r="BS13" s="684">
        <f t="shared" si="39"/>
        <v>1.7243986090535941</v>
      </c>
      <c r="BT13" s="359">
        <f>BT407</f>
        <v>182.11546473642716</v>
      </c>
      <c r="BU13" s="684">
        <f t="shared" si="77"/>
        <v>1.6734928110217879</v>
      </c>
      <c r="BV13" s="360">
        <f t="shared" si="44"/>
        <v>7.1067551999950407</v>
      </c>
      <c r="BW13" s="360"/>
      <c r="BY13"/>
      <c r="BZ13"/>
      <c r="CA13"/>
      <c r="CB13"/>
      <c r="CC13"/>
      <c r="CD13"/>
    </row>
    <row r="14" spans="1:166" s="359" customFormat="1" ht="12.75" customHeight="1" collapsed="1" x14ac:dyDescent="0.2">
      <c r="B14" s="352" t="s">
        <v>641</v>
      </c>
      <c r="C14" s="359">
        <f>C13+C12</f>
        <v>51.800000000000011</v>
      </c>
      <c r="D14" s="579" t="str">
        <f>IF(ISERROR(C14/#REF!),"NA",IF(OR(C14/#REF!&gt;2,C14/#REF!&lt;0.5),"NM",C14/#REF!*100-100))</f>
        <v>NA</v>
      </c>
      <c r="E14" s="359">
        <f>E13+E12</f>
        <v>69.699999999999989</v>
      </c>
      <c r="F14" s="579" t="str">
        <f>IF(ISERROR(E14/#REF!),"NA",IF(OR(E14/#REF!&gt;2,E14/#REF!&lt;0.5),"NM",E14/#REF!*100-100))</f>
        <v>NA</v>
      </c>
      <c r="G14" s="359">
        <f>G13+G12</f>
        <v>80.200000000000102</v>
      </c>
      <c r="H14" s="579" t="str">
        <f>IF(ISERROR(G14/#REF!),"NA",IF(OR(G14/#REF!&gt;2,G14/#REF!&lt;0.5),"NM",G14/#REF!*100-100))</f>
        <v>NA</v>
      </c>
      <c r="I14" s="359">
        <f>I13+I12</f>
        <v>88.89999999999992</v>
      </c>
      <c r="J14" s="579" t="str">
        <f>IF(ISERROR(I14/#REF!),"NA",IF(OR(I14/#REF!&gt;2,I14/#REF!&lt;0.5),"NM",I14/#REF!*100-100))</f>
        <v>NA</v>
      </c>
      <c r="K14" s="359">
        <f>K13+K12</f>
        <v>62.700000000000102</v>
      </c>
      <c r="L14" s="579">
        <f t="shared" si="61"/>
        <v>21.042471042471206</v>
      </c>
      <c r="M14" s="359">
        <f>M13+M12</f>
        <v>73.199999999999989</v>
      </c>
      <c r="N14" s="684">
        <f t="shared" si="62"/>
        <v>5.0215208034433374</v>
      </c>
      <c r="O14" s="359">
        <f>O13+O12</f>
        <v>125.09999999999997</v>
      </c>
      <c r="P14" s="684">
        <f t="shared" si="63"/>
        <v>55.985037406483542</v>
      </c>
      <c r="Q14" s="359">
        <f>Q13+Q12</f>
        <v>83.100000000000023</v>
      </c>
      <c r="R14" s="684">
        <f t="shared" si="64"/>
        <v>-6.5241844769402775</v>
      </c>
      <c r="S14" s="359">
        <f>S13+S12</f>
        <v>81.900000000000091</v>
      </c>
      <c r="T14" s="684">
        <f t="shared" si="65"/>
        <v>30.622009569377923</v>
      </c>
      <c r="U14" s="359">
        <f>U13+U12</f>
        <v>88.100000000000023</v>
      </c>
      <c r="V14" s="684">
        <f t="shared" si="16"/>
        <v>20.355191256830651</v>
      </c>
      <c r="W14" s="359">
        <f>W13+W12</f>
        <v>172.89999999999998</v>
      </c>
      <c r="X14" s="684">
        <f t="shared" si="17"/>
        <v>38.209432454036772</v>
      </c>
      <c r="Y14" s="359">
        <f>Y13+Y12</f>
        <v>86.600000000000023</v>
      </c>
      <c r="Z14" s="684">
        <f t="shared" si="19"/>
        <v>4.2117930204572929</v>
      </c>
      <c r="AA14" s="359">
        <f>AA13+AA12</f>
        <v>80.499999999999943</v>
      </c>
      <c r="AB14" s="684">
        <f t="shared" si="20"/>
        <v>-1.7094017094018881</v>
      </c>
      <c r="AC14" s="359">
        <f>AC13+AC12</f>
        <v>103.60000000000008</v>
      </c>
      <c r="AD14" s="684">
        <f t="shared" si="22"/>
        <v>17.593643586833196</v>
      </c>
      <c r="AE14" s="359">
        <f>AE13+AE12</f>
        <v>70.200000000000159</v>
      </c>
      <c r="AF14" s="684" t="str">
        <f t="shared" si="23"/>
        <v>NM</v>
      </c>
      <c r="AG14" s="359">
        <f>AG13+AG12</f>
        <v>106.89999999999998</v>
      </c>
      <c r="AH14" s="360">
        <f t="shared" si="25"/>
        <v>23.441108545034581</v>
      </c>
      <c r="AI14" s="359">
        <f>AI13+AI12</f>
        <v>86.199999999999989</v>
      </c>
      <c r="AJ14" s="360">
        <f t="shared" si="26"/>
        <v>7.0807453416149571</v>
      </c>
      <c r="AK14" s="359">
        <f>AK13+AK12</f>
        <v>104.39999999999998</v>
      </c>
      <c r="AL14" s="360">
        <f t="shared" si="28"/>
        <v>0.77220077220067651</v>
      </c>
      <c r="AM14" s="359">
        <f t="shared" ref="AM14:AO14" si="94">AM13+AM12</f>
        <v>83.199999999999989</v>
      </c>
      <c r="AN14" s="360">
        <f t="shared" si="30"/>
        <v>18.518518518518221</v>
      </c>
      <c r="AO14" s="359">
        <f t="shared" si="94"/>
        <v>110.89999999999992</v>
      </c>
      <c r="AP14" s="360">
        <f t="shared" si="31"/>
        <v>3.7418147801683261</v>
      </c>
      <c r="AQ14" s="359">
        <f t="shared" ref="AQ14:AW14" si="95">AQ13+AQ12</f>
        <v>93.558349284956023</v>
      </c>
      <c r="AR14" s="360">
        <f t="shared" si="33"/>
        <v>8.5363680799953983</v>
      </c>
      <c r="AS14" s="359">
        <f t="shared" si="95"/>
        <v>105.43637033023407</v>
      </c>
      <c r="AT14" s="360">
        <f t="shared" si="34"/>
        <v>0.99269188719742374</v>
      </c>
      <c r="AU14" s="359">
        <f t="shared" si="95"/>
        <v>118.68761292129153</v>
      </c>
      <c r="AV14" s="360">
        <f t="shared" si="35"/>
        <v>42.653380915013884</v>
      </c>
      <c r="AW14" s="359">
        <f t="shared" si="95"/>
        <v>126.20979167638234</v>
      </c>
      <c r="AX14" s="360">
        <f t="shared" si="36"/>
        <v>13.805042088712739</v>
      </c>
      <c r="AY14" s="361"/>
      <c r="BA14" s="360"/>
      <c r="BB14" s="359">
        <f>BB13+BB12</f>
        <v>290.59999999999991</v>
      </c>
      <c r="BC14" s="360" t="str">
        <f>IF(ISERROR(BB14/#REF!),"NA",IF(OR(BB14/#REF!&gt;2,BB14/#REF!&lt;0.5),"NM",BB14/#REF!*100-100))</f>
        <v>NA</v>
      </c>
      <c r="BD14" s="844">
        <f>BD13+BD12</f>
        <v>344.09999999999991</v>
      </c>
      <c r="BE14" s="360">
        <f t="shared" si="59"/>
        <v>18.410185822436347</v>
      </c>
      <c r="BF14" s="359">
        <f>BF13+BF12</f>
        <v>429.5</v>
      </c>
      <c r="BG14" s="684">
        <f t="shared" si="39"/>
        <v>24.818366753850654</v>
      </c>
      <c r="BH14" s="359">
        <f>BH13+BH12</f>
        <v>361.19999999999982</v>
      </c>
      <c r="BI14" s="684">
        <f t="shared" si="39"/>
        <v>-15.902211874272453</v>
      </c>
      <c r="BJ14" s="359">
        <f>BJ13+BJ12</f>
        <v>384.69999999999959</v>
      </c>
      <c r="BK14" s="684">
        <f t="shared" si="39"/>
        <v>6.5060908084163316</v>
      </c>
      <c r="BL14" s="359">
        <f>BL13+BL12</f>
        <v>443.89212421286425</v>
      </c>
      <c r="BM14" s="684">
        <f t="shared" si="39"/>
        <v>15.386567250549703</v>
      </c>
      <c r="BN14" s="359">
        <f>BN13+BN12</f>
        <v>467.01769667109488</v>
      </c>
      <c r="BO14" s="684">
        <f t="shared" si="39"/>
        <v>5.2097280390451317</v>
      </c>
      <c r="BP14" s="359">
        <f>BP13+BP12</f>
        <v>478.64560724496778</v>
      </c>
      <c r="BQ14" s="684">
        <f t="shared" si="39"/>
        <v>2.4898222608600804</v>
      </c>
      <c r="BR14" s="359">
        <f>BR13+BR12</f>
        <v>492.17283466991989</v>
      </c>
      <c r="BS14" s="684">
        <f t="shared" si="39"/>
        <v>2.8261467817104489</v>
      </c>
      <c r="BT14" s="359">
        <f>BT13+BT12</f>
        <v>505.70221585350532</v>
      </c>
      <c r="BU14" s="684">
        <f t="shared" si="77"/>
        <v>2.7489085602741596</v>
      </c>
      <c r="BV14" s="360">
        <f t="shared" si="44"/>
        <v>5.6220358159605688</v>
      </c>
      <c r="BW14" s="360"/>
      <c r="BY14"/>
      <c r="BZ14"/>
      <c r="CA14"/>
      <c r="CB14"/>
      <c r="CC14"/>
      <c r="CD14"/>
    </row>
    <row r="15" spans="1:166" s="359" customFormat="1" ht="12.75" customHeight="1" x14ac:dyDescent="0.2">
      <c r="B15" s="352" t="s">
        <v>308</v>
      </c>
      <c r="C15" s="359">
        <f t="shared" ref="C15:W15" si="96">C559</f>
        <v>-44.100000000000009</v>
      </c>
      <c r="D15" s="579" t="str">
        <f>IF(ISERROR(C15/#REF!),"NA",IF(OR(C15/#REF!&gt;2,C15/#REF!&lt;0.5),"NM",C15/#REF!*100-100))</f>
        <v>NA</v>
      </c>
      <c r="E15" s="359">
        <f t="shared" si="96"/>
        <v>-49.000000000000007</v>
      </c>
      <c r="F15" s="579" t="str">
        <f>IF(ISERROR(E15/#REF!),"NA",IF(OR(E15/#REF!&gt;2,E15/#REF!&lt;0.5),"NM",E15/#REF!*100-100))</f>
        <v>NA</v>
      </c>
      <c r="G15" s="359">
        <f t="shared" si="96"/>
        <v>-41.499999999999993</v>
      </c>
      <c r="H15" s="579" t="str">
        <f>IF(ISERROR(G15/#REF!),"NA",IF(OR(G15/#REF!&gt;2,G15/#REF!&lt;0.5),"NM",G15/#REF!*100-100))</f>
        <v>NA</v>
      </c>
      <c r="I15" s="359">
        <f t="shared" si="96"/>
        <v>-58.5</v>
      </c>
      <c r="J15" s="579" t="str">
        <f>IF(ISERROR(I15/#REF!),"NA",IF(OR(I15/#REF!&gt;2,I15/#REF!&lt;0.5),"NM",I15/#REF!*100-100))</f>
        <v>NA</v>
      </c>
      <c r="K15" s="359">
        <f t="shared" si="96"/>
        <v>-42.7</v>
      </c>
      <c r="L15" s="579">
        <f t="shared" si="61"/>
        <v>-3.1746031746031917</v>
      </c>
      <c r="M15" s="359">
        <f t="shared" si="96"/>
        <v>-39.800000000000004</v>
      </c>
      <c r="N15" s="684">
        <f t="shared" si="62"/>
        <v>-18.775510204081641</v>
      </c>
      <c r="O15" s="359">
        <f t="shared" si="96"/>
        <v>-43.2</v>
      </c>
      <c r="P15" s="684">
        <f t="shared" si="63"/>
        <v>4.0963855421686901</v>
      </c>
      <c r="Q15" s="359">
        <f t="shared" si="96"/>
        <v>-49.1</v>
      </c>
      <c r="R15" s="684">
        <f t="shared" si="64"/>
        <v>-16.068376068376068</v>
      </c>
      <c r="S15" s="359">
        <f t="shared" si="96"/>
        <v>-37.300000000000004</v>
      </c>
      <c r="T15" s="684">
        <f t="shared" si="65"/>
        <v>-12.646370023419195</v>
      </c>
      <c r="U15" s="359">
        <f t="shared" si="96"/>
        <v>-46.2</v>
      </c>
      <c r="V15" s="684">
        <f t="shared" si="16"/>
        <v>16.08040201005025</v>
      </c>
      <c r="W15" s="359">
        <f t="shared" si="96"/>
        <v>-54</v>
      </c>
      <c r="X15" s="684">
        <f t="shared" si="17"/>
        <v>25</v>
      </c>
      <c r="Y15" s="359">
        <f t="shared" ref="Y15:AA15" si="97">Y559</f>
        <v>-54.8</v>
      </c>
      <c r="Z15" s="684">
        <f t="shared" si="19"/>
        <v>11.608961303462323</v>
      </c>
      <c r="AA15" s="359">
        <f t="shared" si="97"/>
        <v>-53.29999999999999</v>
      </c>
      <c r="AB15" s="684">
        <f t="shared" si="20"/>
        <v>42.895442359249301</v>
      </c>
      <c r="AC15" s="359">
        <f t="shared" ref="AC15:AE15" si="98">AC559</f>
        <v>-54.499999999999993</v>
      </c>
      <c r="AD15" s="684">
        <f t="shared" si="22"/>
        <v>17.965367965367946</v>
      </c>
      <c r="AE15" s="359">
        <f t="shared" si="98"/>
        <v>-57.8</v>
      </c>
      <c r="AF15" s="684">
        <f t="shared" si="23"/>
        <v>7.0370370370370381</v>
      </c>
      <c r="AG15" s="359">
        <f t="shared" ref="AG15:AI15" si="99">AG559</f>
        <v>-53.3</v>
      </c>
      <c r="AH15" s="360">
        <f t="shared" si="25"/>
        <v>-2.7372262773722582</v>
      </c>
      <c r="AI15" s="359">
        <f t="shared" si="99"/>
        <v>-58.5</v>
      </c>
      <c r="AJ15" s="360">
        <f t="shared" si="26"/>
        <v>9.7560975609756468</v>
      </c>
      <c r="AK15" s="359">
        <f t="shared" ref="AK15" si="100">AK559</f>
        <v>-47.5</v>
      </c>
      <c r="AL15" s="360">
        <f t="shared" si="28"/>
        <v>-12.844036697247702</v>
      </c>
      <c r="AM15" s="359">
        <f t="shared" ref="AM15:AO15" si="101">AM559</f>
        <v>-42.999999999999993</v>
      </c>
      <c r="AN15" s="360">
        <f t="shared" si="30"/>
        <v>-25.605536332179938</v>
      </c>
      <c r="AO15" s="359">
        <f t="shared" si="101"/>
        <v>-61.499999999999993</v>
      </c>
      <c r="AP15" s="360">
        <f t="shared" si="31"/>
        <v>15.384615384615373</v>
      </c>
      <c r="AQ15" s="359">
        <f t="shared" ref="AQ15:AW15" si="102">AQ559</f>
        <v>-51.500259740259729</v>
      </c>
      <c r="AR15" s="360">
        <f t="shared" si="33"/>
        <v>-11.965367965367989</v>
      </c>
      <c r="AS15" s="359">
        <f t="shared" si="102"/>
        <v>-51.500259740259729</v>
      </c>
      <c r="AT15" s="360">
        <f t="shared" si="34"/>
        <v>8.4215994531783736</v>
      </c>
      <c r="AU15" s="359">
        <f t="shared" si="102"/>
        <v>-51.500259740259729</v>
      </c>
      <c r="AV15" s="360">
        <f t="shared" si="35"/>
        <v>19.768045907580785</v>
      </c>
      <c r="AW15" s="359">
        <f t="shared" si="102"/>
        <v>-51.500259740259729</v>
      </c>
      <c r="AX15" s="360">
        <f t="shared" si="36"/>
        <v>-16.259740259740269</v>
      </c>
      <c r="AY15" s="361"/>
      <c r="BA15" s="360"/>
      <c r="BB15" s="359">
        <f t="shared" ref="BB15:BD15" si="103">BB559</f>
        <v>-193.1</v>
      </c>
      <c r="BC15" s="360" t="str">
        <f>IF(ISERROR(BB15/#REF!),"NA",IF(OR(BB15/#REF!&gt;2,BB15/#REF!&lt;0.5),"NM",BB15/#REF!*100-100))</f>
        <v>NA</v>
      </c>
      <c r="BD15" s="844">
        <f t="shared" si="103"/>
        <v>-174.8</v>
      </c>
      <c r="BE15" s="360">
        <f t="shared" si="59"/>
        <v>-9.4769549456240156</v>
      </c>
      <c r="BF15" s="359">
        <f t="shared" ref="BF15:BP15" si="104">BF559</f>
        <v>-192.29999999999998</v>
      </c>
      <c r="BG15" s="684">
        <f t="shared" si="39"/>
        <v>10.011441647597238</v>
      </c>
      <c r="BH15" s="359">
        <f t="shared" si="104"/>
        <v>-218.89999999999998</v>
      </c>
      <c r="BI15" s="684">
        <f t="shared" si="39"/>
        <v>13.832553302132084</v>
      </c>
      <c r="BJ15" s="359">
        <f t="shared" ref="BJ15" si="105">BJ559</f>
        <v>-210.5</v>
      </c>
      <c r="BK15" s="684">
        <f t="shared" si="39"/>
        <v>-3.8373686614892648</v>
      </c>
      <c r="BL15" s="359">
        <f t="shared" ref="BL15" si="106">BL559</f>
        <v>-206.00103896103892</v>
      </c>
      <c r="BM15" s="684">
        <f t="shared" si="39"/>
        <v>-2.1372736527131053</v>
      </c>
      <c r="BN15" s="359">
        <f t="shared" si="104"/>
        <v>-206.70183896103896</v>
      </c>
      <c r="BO15" s="684">
        <f t="shared" si="39"/>
        <v>0.3401924589965688</v>
      </c>
      <c r="BP15" s="359">
        <f t="shared" si="104"/>
        <v>-214.90795896103896</v>
      </c>
      <c r="BQ15" s="684">
        <f t="shared" si="39"/>
        <v>3.9700275726848986</v>
      </c>
      <c r="BR15" s="359">
        <f t="shared" ref="BR15:BT15" si="107">BR559</f>
        <v>-223.47907056103895</v>
      </c>
      <c r="BS15" s="684">
        <f t="shared" si="39"/>
        <v>3.9882709051058782</v>
      </c>
      <c r="BT15" s="359">
        <f t="shared" si="107"/>
        <v>-232.43251705303899</v>
      </c>
      <c r="BU15" s="684">
        <f t="shared" si="77"/>
        <v>4.0063915021315495</v>
      </c>
      <c r="BV15" s="360">
        <f t="shared" si="44"/>
        <v>2.0020633596808057</v>
      </c>
      <c r="BW15" s="360"/>
      <c r="BY15"/>
      <c r="BZ15"/>
      <c r="CA15"/>
      <c r="CB15"/>
      <c r="CC15"/>
      <c r="CD15"/>
    </row>
    <row r="16" spans="1:166" s="359" customFormat="1" ht="12.75" customHeight="1" x14ac:dyDescent="0.2">
      <c r="B16" s="353" t="s">
        <v>581</v>
      </c>
      <c r="C16" s="362">
        <f>C9+C10+C11+C14+C15</f>
        <v>315.00000000000011</v>
      </c>
      <c r="D16" s="579" t="str">
        <f>IF(ISERROR(C16/#REF!),"NA",IF(OR(C16/#REF!&gt;2,C16/#REF!&lt;0.5),"NM",C16/#REF!*100-100))</f>
        <v>NA</v>
      </c>
      <c r="E16" s="362">
        <f>E9+E10+E11+E14+E15</f>
        <v>366.3</v>
      </c>
      <c r="F16" s="579" t="str">
        <f>IF(ISERROR(E16/#REF!),"NA",IF(OR(E16/#REF!&gt;2,E16/#REF!&lt;0.5),"NM",E16/#REF!*100-100))</f>
        <v>NA</v>
      </c>
      <c r="G16" s="362">
        <f>G9+G10+G11+G14+G15</f>
        <v>360.10000000000019</v>
      </c>
      <c r="H16" s="579" t="str">
        <f>IF(ISERROR(G16/#REF!),"NA",IF(OR(G16/#REF!&gt;2,G16/#REF!&lt;0.5),"NM",G16/#REF!*100-100))</f>
        <v>NA</v>
      </c>
      <c r="I16" s="362">
        <f>I9+I10+I11+I14+I15</f>
        <v>392.59999999999997</v>
      </c>
      <c r="J16" s="579" t="str">
        <f>IF(ISERROR(I16/#REF!),"NA",IF(OR(I16/#REF!&gt;2,I16/#REF!&lt;0.5),"NM",I16/#REF!*100-100))</f>
        <v>NA</v>
      </c>
      <c r="K16" s="362">
        <f>K9+K10+K11+K14+K15</f>
        <v>400.70000000000005</v>
      </c>
      <c r="L16" s="579">
        <f t="shared" si="61"/>
        <v>27.206349206349174</v>
      </c>
      <c r="M16" s="362">
        <f>M9+M10+M11+M14+M15</f>
        <v>435</v>
      </c>
      <c r="N16" s="684">
        <f t="shared" si="62"/>
        <v>18.755118755118744</v>
      </c>
      <c r="O16" s="362">
        <f>O9+O10+O11+O14+O15</f>
        <v>477.60000000000019</v>
      </c>
      <c r="P16" s="684">
        <f t="shared" si="63"/>
        <v>32.629825048597581</v>
      </c>
      <c r="Q16" s="362">
        <f>Q9+Q10+Q11+Q14+Q15</f>
        <v>410.00000000000011</v>
      </c>
      <c r="R16" s="684">
        <f t="shared" si="64"/>
        <v>4.4319918492104335</v>
      </c>
      <c r="S16" s="362">
        <f>S9+S10+S11+S14+S15</f>
        <v>420.89999999999992</v>
      </c>
      <c r="T16" s="684">
        <f t="shared" si="65"/>
        <v>5.0411779386074045</v>
      </c>
      <c r="U16" s="362">
        <f>U9+U10+U11+U14+U15</f>
        <v>429.49999999999994</v>
      </c>
      <c r="V16" s="684">
        <f t="shared" si="16"/>
        <v>-1.2643678160919762</v>
      </c>
      <c r="W16" s="362">
        <f>W9+W10+W11+W14+W15</f>
        <v>398.8</v>
      </c>
      <c r="X16" s="684">
        <f t="shared" si="17"/>
        <v>-16.499162479062008</v>
      </c>
      <c r="Y16" s="362">
        <f>Y9+Y10+Y11+Y14+Y15</f>
        <v>387.90000000000003</v>
      </c>
      <c r="Z16" s="684">
        <f t="shared" si="19"/>
        <v>-5.3902439024390389</v>
      </c>
      <c r="AA16" s="362">
        <f>AA9+AA10+AA11+AA14+AA15</f>
        <v>356.29999999999995</v>
      </c>
      <c r="AB16" s="684">
        <f t="shared" si="20"/>
        <v>-15.348063673081498</v>
      </c>
      <c r="AC16" s="362">
        <f>AC9+AC10+AC11+AC14+AC15</f>
        <v>431.19999999999993</v>
      </c>
      <c r="AD16" s="684">
        <f t="shared" si="22"/>
        <v>0.39580908032594664</v>
      </c>
      <c r="AE16" s="362">
        <f>AE9+AE10+AE11+AE14+AE15</f>
        <v>416.40000000000015</v>
      </c>
      <c r="AF16" s="684">
        <f t="shared" si="23"/>
        <v>4.4132397191575023</v>
      </c>
      <c r="AG16" s="362">
        <f>AG9+AG10+AG11+AG14+AG15</f>
        <v>464.7999999999999</v>
      </c>
      <c r="AH16" s="360">
        <f t="shared" si="25"/>
        <v>19.824697086878018</v>
      </c>
      <c r="AI16" s="362">
        <f>AI9+AI10+AI11+AI14+AI15</f>
        <v>472.79999999999995</v>
      </c>
      <c r="AJ16" s="360">
        <f t="shared" si="26"/>
        <v>32.697165310131908</v>
      </c>
      <c r="AK16" s="362">
        <f>AK9+AK10+AK11+AK14+AK15</f>
        <v>494.50000000000011</v>
      </c>
      <c r="AL16" s="360">
        <f t="shared" si="28"/>
        <v>14.679962894248646</v>
      </c>
      <c r="AM16" s="362">
        <f t="shared" ref="AM16:AO16" si="108">AM9+AM10+AM11+AM14+AM15</f>
        <v>452.90000000000015</v>
      </c>
      <c r="AN16" s="360">
        <f t="shared" si="30"/>
        <v>8.7656099903938411</v>
      </c>
      <c r="AO16" s="362">
        <f t="shared" si="108"/>
        <v>453.49999999999977</v>
      </c>
      <c r="AP16" s="360">
        <f t="shared" si="31"/>
        <v>-2.4311531841652538</v>
      </c>
      <c r="AQ16" s="362">
        <f t="shared" ref="AQ16:AW16" si="109">AQ9+AQ10+AQ11+AQ14+AQ15</f>
        <v>491.99524432143357</v>
      </c>
      <c r="AR16" s="360">
        <f t="shared" si="33"/>
        <v>4.0599078514030396</v>
      </c>
      <c r="AS16" s="362">
        <f t="shared" si="109"/>
        <v>501.06390495507867</v>
      </c>
      <c r="AT16" s="360">
        <f t="shared" si="34"/>
        <v>1.3273821951625138</v>
      </c>
      <c r="AU16" s="362">
        <f t="shared" si="109"/>
        <v>519.63403221869135</v>
      </c>
      <c r="AV16" s="360">
        <f t="shared" si="35"/>
        <v>14.734827162440098</v>
      </c>
      <c r="AW16" s="362">
        <f t="shared" si="109"/>
        <v>537.4501252391517</v>
      </c>
      <c r="AX16" s="360">
        <f t="shared" si="36"/>
        <v>18.511604242370879</v>
      </c>
      <c r="AY16" s="361"/>
      <c r="BA16" s="360"/>
      <c r="BB16" s="362">
        <f>BB9+BB10+BB11+BB14+BB15</f>
        <v>1433.9999999999995</v>
      </c>
      <c r="BC16" s="360" t="str">
        <f>IF(ISERROR(BB16/#REF!),"NA",IF(OR(BB16/#REF!&gt;2,BB16/#REF!&lt;0.5),"NM",BB16/#REF!*100-100))</f>
        <v>NA</v>
      </c>
      <c r="BD16" s="843">
        <f>BD9+BD10+BD11+BD14+BD15</f>
        <v>1723.2999999999995</v>
      </c>
      <c r="BE16" s="360"/>
      <c r="BF16" s="362">
        <f>BF9+BF10+BF11+BF14+BF15</f>
        <v>1637.0999999999995</v>
      </c>
      <c r="BG16" s="684">
        <f t="shared" si="39"/>
        <v>-5.0020309870597117</v>
      </c>
      <c r="BH16" s="362">
        <f>BH9+BH10+BH11+BH14+BH15</f>
        <v>1668.7000000000003</v>
      </c>
      <c r="BI16" s="684">
        <f t="shared" si="39"/>
        <v>1.930242501985262</v>
      </c>
      <c r="BJ16" s="362">
        <f>BJ9+BJ10+BJ11+BJ14+BJ15</f>
        <v>1873.6999999999998</v>
      </c>
      <c r="BK16" s="684">
        <f t="shared" si="39"/>
        <v>12.285012285012272</v>
      </c>
      <c r="BL16" s="362">
        <f>BL9+BL10+BL11+BL14+BL15</f>
        <v>2050.1433067343542</v>
      </c>
      <c r="BM16" s="684">
        <f t="shared" si="39"/>
        <v>9.4168387006646981</v>
      </c>
      <c r="BN16" s="362">
        <f>BN9+BN10+BN11+BN14+BN15</f>
        <v>2152.5429853267606</v>
      </c>
      <c r="BO16" s="684">
        <f t="shared" si="39"/>
        <v>4.9947571106879138</v>
      </c>
      <c r="BP16" s="362">
        <f>BP9+BP10+BP11+BP14+BP15</f>
        <v>2262.1211541109315</v>
      </c>
      <c r="BQ16" s="684">
        <f t="shared" si="39"/>
        <v>5.090637888819515</v>
      </c>
      <c r="BR16" s="362">
        <f>BR9+BR10+BR11+BR14+BR15</f>
        <v>2364.8769688981488</v>
      </c>
      <c r="BS16" s="684">
        <f t="shared" si="39"/>
        <v>4.5424540856478899</v>
      </c>
      <c r="BT16" s="362">
        <f>BT9+BT10+BT11+BT14+BT15</f>
        <v>2470.4230345843162</v>
      </c>
      <c r="BU16" s="684">
        <f t="shared" si="77"/>
        <v>4.4630679343688655</v>
      </c>
      <c r="BV16" s="360">
        <f t="shared" si="44"/>
        <v>5.6852196278541767</v>
      </c>
      <c r="BW16" s="360"/>
      <c r="BY16"/>
      <c r="BZ16"/>
      <c r="CA16"/>
      <c r="CB16"/>
      <c r="CC16"/>
      <c r="CD16"/>
    </row>
    <row r="17" spans="1:83" s="359" customFormat="1" ht="12.75" customHeight="1" x14ac:dyDescent="0.2">
      <c r="B17" s="352" t="s">
        <v>123</v>
      </c>
      <c r="C17" s="359">
        <f t="shared" ref="C17:W17" si="110">C704</f>
        <v>81.699999999999989</v>
      </c>
      <c r="D17" s="579" t="str">
        <f>IF(ISERROR(C17/#REF!),"NA",IF(OR(C17/#REF!&gt;2,C17/#REF!&lt;0.5),"NM",C17/#REF!*100-100))</f>
        <v>NA</v>
      </c>
      <c r="E17" s="359">
        <f t="shared" si="110"/>
        <v>94.900000000000034</v>
      </c>
      <c r="F17" s="579" t="str">
        <f>IF(ISERROR(E17/#REF!),"NA",IF(OR(E17/#REF!&gt;2,E17/#REF!&lt;0.5),"NM",E17/#REF!*100-100))</f>
        <v>NA</v>
      </c>
      <c r="G17" s="359">
        <f t="shared" si="110"/>
        <v>90.900000000000205</v>
      </c>
      <c r="H17" s="579" t="str">
        <f>IF(ISERROR(G17/#REF!),"NA",IF(OR(G17/#REF!&gt;2,G17/#REF!&lt;0.5),"NM",G17/#REF!*100-100))</f>
        <v>NA</v>
      </c>
      <c r="I17" s="359">
        <f t="shared" si="110"/>
        <v>106.59999999999997</v>
      </c>
      <c r="J17" s="579" t="str">
        <f>IF(ISERROR(I17/#REF!),"NA",IF(OR(I17/#REF!&gt;2,I17/#REF!&lt;0.5),"NM",I17/#REF!*100-100))</f>
        <v>NA</v>
      </c>
      <c r="K17" s="359">
        <f t="shared" si="110"/>
        <v>83.700000000000102</v>
      </c>
      <c r="L17" s="579">
        <f t="shared" si="61"/>
        <v>2.4479804161568097</v>
      </c>
      <c r="M17" s="359">
        <f t="shared" si="110"/>
        <v>111.99999999999994</v>
      </c>
      <c r="N17" s="684">
        <f t="shared" si="62"/>
        <v>18.018967334035722</v>
      </c>
      <c r="O17" s="359">
        <f t="shared" si="110"/>
        <v>88.023076923077042</v>
      </c>
      <c r="P17" s="684">
        <f t="shared" si="63"/>
        <v>-3.1649318778032551</v>
      </c>
      <c r="Q17" s="359">
        <f t="shared" si="110"/>
        <v>74.469230769230904</v>
      </c>
      <c r="R17" s="684">
        <f t="shared" si="64"/>
        <v>-30.141434550440025</v>
      </c>
      <c r="S17" s="359">
        <f t="shared" si="110"/>
        <v>79.838461538461473</v>
      </c>
      <c r="T17" s="684">
        <f t="shared" si="65"/>
        <v>-4.613546549030616</v>
      </c>
      <c r="U17" s="359">
        <f t="shared" si="110"/>
        <v>90.715384615384608</v>
      </c>
      <c r="V17" s="684">
        <f t="shared" si="16"/>
        <v>-19.004120879120848</v>
      </c>
      <c r="W17" s="359">
        <f t="shared" si="110"/>
        <v>79</v>
      </c>
      <c r="X17" s="684">
        <f t="shared" si="17"/>
        <v>-10.25080835445263</v>
      </c>
      <c r="Y17" s="359">
        <f t="shared" ref="Y17:AA17" si="111">Y704</f>
        <v>84.700000000000045</v>
      </c>
      <c r="Z17" s="684">
        <f t="shared" si="19"/>
        <v>13.738250180766315</v>
      </c>
      <c r="AA17" s="359">
        <f t="shared" si="111"/>
        <v>69.999999999999972</v>
      </c>
      <c r="AB17" s="684">
        <f t="shared" si="20"/>
        <v>-12.322959822718914</v>
      </c>
      <c r="AC17" s="359">
        <f t="shared" ref="AC17:AE17" si="112">AC704</f>
        <v>94.099999999999937</v>
      </c>
      <c r="AD17" s="684">
        <f t="shared" si="22"/>
        <v>3.7310268803527009</v>
      </c>
      <c r="AE17" s="359">
        <f t="shared" si="112"/>
        <v>80.700000000000131</v>
      </c>
      <c r="AF17" s="684">
        <f t="shared" si="23"/>
        <v>2.1518987341773794</v>
      </c>
      <c r="AG17" s="359">
        <f t="shared" ref="AG17:AI17" si="113">AG704</f>
        <v>92.799999999999841</v>
      </c>
      <c r="AH17" s="360">
        <f t="shared" si="25"/>
        <v>9.5631641086184231</v>
      </c>
      <c r="AI17" s="359">
        <f t="shared" si="113"/>
        <v>102.30000000000003</v>
      </c>
      <c r="AJ17" s="360">
        <f t="shared" si="26"/>
        <v>46.142857142857252</v>
      </c>
      <c r="AK17" s="359">
        <f t="shared" ref="AK17" si="114">AK704</f>
        <v>110.90000000000009</v>
      </c>
      <c r="AL17" s="360">
        <f t="shared" si="28"/>
        <v>17.853347502656931</v>
      </c>
      <c r="AM17" s="359">
        <f t="shared" ref="AM17:AO17" si="115">AM704</f>
        <v>79.200000000000159</v>
      </c>
      <c r="AN17" s="360">
        <f t="shared" si="30"/>
        <v>-1.8587360594795115</v>
      </c>
      <c r="AO17" s="359">
        <f t="shared" si="115"/>
        <v>102.69999999999973</v>
      </c>
      <c r="AP17" s="360">
        <f t="shared" si="31"/>
        <v>10.668103448275758</v>
      </c>
      <c r="AQ17" s="359">
        <f t="shared" ref="AQ17:AW17" si="116">AQ704</f>
        <v>93.47909642107237</v>
      </c>
      <c r="AR17" s="360">
        <f t="shared" si="33"/>
        <v>-8.6225841436242945</v>
      </c>
      <c r="AS17" s="359">
        <f t="shared" si="116"/>
        <v>95.20214194146493</v>
      </c>
      <c r="AT17" s="360">
        <f t="shared" si="34"/>
        <v>-14.154966689391486</v>
      </c>
      <c r="AU17" s="359">
        <f t="shared" si="116"/>
        <v>98.730466121551359</v>
      </c>
      <c r="AV17" s="360">
        <f t="shared" si="35"/>
        <v>24.659679446402976</v>
      </c>
      <c r="AW17" s="359">
        <f t="shared" si="116"/>
        <v>102.1155237954388</v>
      </c>
      <c r="AX17" s="360">
        <f t="shared" si="36"/>
        <v>-0.56911022839429393</v>
      </c>
      <c r="AY17" s="361"/>
      <c r="BA17" s="360"/>
      <c r="BB17" s="359">
        <f t="shared" ref="BB17:BD17" si="117">BB704</f>
        <v>374.10000000000019</v>
      </c>
      <c r="BC17" s="360" t="str">
        <f>IF(ISERROR(BB17/#REF!),"NA",IF(OR(BB17/#REF!&gt;2,BB17/#REF!&lt;0.5),"NM",BB17/#REF!*100-100))</f>
        <v>NA</v>
      </c>
      <c r="BD17" s="844">
        <f t="shared" si="117"/>
        <v>358.19230769230796</v>
      </c>
      <c r="BE17" s="360"/>
      <c r="BF17" s="359">
        <f>BF704</f>
        <v>334.2538461538461</v>
      </c>
      <c r="BG17" s="684">
        <f t="shared" si="39"/>
        <v>-6.6831311070547343</v>
      </c>
      <c r="BH17" s="359">
        <f t="shared" ref="BH17:BP17" si="118">BH704</f>
        <v>337.59999999999991</v>
      </c>
      <c r="BI17" s="684">
        <f t="shared" si="39"/>
        <v>1.001081628426121</v>
      </c>
      <c r="BJ17" s="359">
        <f t="shared" ref="BJ17" si="119">BJ704</f>
        <v>395.1</v>
      </c>
      <c r="BK17" s="684">
        <f t="shared" si="39"/>
        <v>17.031990521327046</v>
      </c>
      <c r="BL17" s="359">
        <f t="shared" ref="BL17" si="120">BL704</f>
        <v>389.52722827952744</v>
      </c>
      <c r="BM17" s="684">
        <f t="shared" si="39"/>
        <v>-1.4104712023468977</v>
      </c>
      <c r="BN17" s="359">
        <f t="shared" si="118"/>
        <v>408.9831672120846</v>
      </c>
      <c r="BO17" s="684">
        <f t="shared" si="39"/>
        <v>4.9947571106878854</v>
      </c>
      <c r="BP17" s="359">
        <f t="shared" si="118"/>
        <v>429.80301928107713</v>
      </c>
      <c r="BQ17" s="684">
        <f t="shared" si="39"/>
        <v>5.0906378888195434</v>
      </c>
      <c r="BR17" s="359">
        <f t="shared" ref="BR17:BT17" si="121">BR704</f>
        <v>449.32662409064835</v>
      </c>
      <c r="BS17" s="684">
        <f t="shared" si="39"/>
        <v>4.5424540856478899</v>
      </c>
      <c r="BT17" s="359">
        <f t="shared" si="121"/>
        <v>469.38037657102035</v>
      </c>
      <c r="BU17" s="684">
        <f t="shared" si="77"/>
        <v>4.4630679343689081</v>
      </c>
      <c r="BV17" s="360">
        <f t="shared" si="44"/>
        <v>3.5055362842796756</v>
      </c>
      <c r="BW17" s="360"/>
      <c r="BY17"/>
      <c r="BZ17"/>
      <c r="CA17"/>
      <c r="CB17"/>
      <c r="CC17"/>
      <c r="CD17"/>
    </row>
    <row r="18" spans="1:83" s="359" customFormat="1" ht="12.75" hidden="1" customHeight="1" outlineLevel="1" x14ac:dyDescent="0.2">
      <c r="B18" s="352" t="s">
        <v>534</v>
      </c>
      <c r="C18" s="716">
        <f>C17/C16</f>
        <v>0.25936507936507924</v>
      </c>
      <c r="D18" s="579" t="str">
        <f>IF(ISERROR(C18/#REF!),"NA",IF(OR(C18/#REF!&gt;2,C18/#REF!&lt;0.5),"NM",C18/#REF!*100-100))</f>
        <v>NA</v>
      </c>
      <c r="E18" s="716">
        <f>E17/E16</f>
        <v>0.25907725907725915</v>
      </c>
      <c r="F18" s="579" t="str">
        <f>IF(ISERROR(E18/#REF!),"NA",IF(OR(E18/#REF!&gt;2,E18/#REF!&lt;0.5),"NM",E18/#REF!*100-100))</f>
        <v>NA</v>
      </c>
      <c r="G18" s="716">
        <f>G17/G16</f>
        <v>0.25242988058872579</v>
      </c>
      <c r="H18" s="579" t="str">
        <f>IF(ISERROR(G18/#REF!),"NA",IF(OR(G18/#REF!&gt;2,G18/#REF!&lt;0.5),"NM",G18/#REF!*100-100))</f>
        <v>NA</v>
      </c>
      <c r="I18" s="716">
        <f>I17/I16</f>
        <v>0.27152317880794696</v>
      </c>
      <c r="J18" s="579" t="str">
        <f>IF(ISERROR(I18/#REF!),"NA",IF(OR(I18/#REF!&gt;2,I18/#REF!&lt;0.5),"NM",I18/#REF!*100-100))</f>
        <v>NA</v>
      </c>
      <c r="K18" s="716">
        <f>K17/K16</f>
        <v>0.20888445220863511</v>
      </c>
      <c r="L18" s="785">
        <f t="shared" si="61"/>
        <v>-19.463154901199403</v>
      </c>
      <c r="M18" s="716">
        <f>M17/M16</f>
        <v>0.25747126436781598</v>
      </c>
      <c r="N18" s="793">
        <f t="shared" si="62"/>
        <v>-0.6198902656154246</v>
      </c>
      <c r="O18" s="716">
        <f>O17/O16</f>
        <v>0.18430292488081451</v>
      </c>
      <c r="P18" s="793">
        <f t="shared" si="63"/>
        <v>-26.988467272187904</v>
      </c>
      <c r="Q18" s="716">
        <f>Q17/Q16</f>
        <v>0.1816322701688558</v>
      </c>
      <c r="R18" s="793">
        <f t="shared" si="64"/>
        <v>-33.106163913421383</v>
      </c>
      <c r="S18" s="716">
        <f>S17/S16</f>
        <v>0.18968510700513538</v>
      </c>
      <c r="T18" s="793">
        <f t="shared" si="65"/>
        <v>-9.1913711147459196</v>
      </c>
      <c r="U18" s="716">
        <f>U17/U16</f>
        <v>0.21121160562371274</v>
      </c>
      <c r="V18" s="793">
        <f t="shared" si="16"/>
        <v>-17.966921030075824</v>
      </c>
      <c r="W18" s="716">
        <f>W17/W16</f>
        <v>0.19809428284854563</v>
      </c>
      <c r="X18" s="793">
        <f t="shared" si="17"/>
        <v>7.4829837761119364</v>
      </c>
      <c r="Y18" s="716">
        <f>Y17/Y16</f>
        <v>0.21835524619747368</v>
      </c>
      <c r="Z18" s="793">
        <f t="shared" si="19"/>
        <v>20.218310322542393</v>
      </c>
      <c r="AA18" s="716">
        <f>AA17/AA16</f>
        <v>0.1964636542239685</v>
      </c>
      <c r="AB18" s="793">
        <f t="shared" si="20"/>
        <v>3.5735790362548556</v>
      </c>
      <c r="AC18" s="716">
        <f>AC17/AC16</f>
        <v>0.21822820037105739</v>
      </c>
      <c r="AD18" s="793">
        <f t="shared" si="22"/>
        <v>3.3220687502585378</v>
      </c>
      <c r="AE18" s="716">
        <f>AE17/AE16</f>
        <v>0.1938040345821328</v>
      </c>
      <c r="AF18" s="793">
        <f t="shared" si="23"/>
        <v>-2.1657607704372595</v>
      </c>
      <c r="AG18" s="716">
        <f>AG17/AG16</f>
        <v>0.19965576592082587</v>
      </c>
      <c r="AH18" s="797">
        <f t="shared" si="25"/>
        <v>-8.5637879566843935</v>
      </c>
      <c r="AI18" s="716">
        <f>AI17/AI16</f>
        <v>0.2163705583756346</v>
      </c>
      <c r="AJ18" s="797">
        <f t="shared" si="26"/>
        <v>10.132614213198039</v>
      </c>
      <c r="AK18" s="716">
        <f>AK17/AK16</f>
        <v>0.22426693629929234</v>
      </c>
      <c r="AL18" s="797">
        <f t="shared" si="28"/>
        <v>2.7671657090913016</v>
      </c>
      <c r="AM18" s="716">
        <f t="shared" ref="AM18:AO18" si="122">AM17/AM16</f>
        <v>0.174873040406271</v>
      </c>
      <c r="AN18" s="797">
        <f t="shared" si="30"/>
        <v>-9.7681114929725368</v>
      </c>
      <c r="AO18" s="716">
        <f t="shared" si="122"/>
        <v>0.22646085997794882</v>
      </c>
      <c r="AP18" s="797">
        <f t="shared" si="31"/>
        <v>13.425654868265894</v>
      </c>
      <c r="AQ18" s="716">
        <f t="shared" ref="AQ18:AW18" si="123">AQ17/AQ16</f>
        <v>0.18999999999999997</v>
      </c>
      <c r="AR18" s="797">
        <f t="shared" si="33"/>
        <v>-12.18768328445752</v>
      </c>
      <c r="AS18" s="716">
        <f t="shared" si="123"/>
        <v>0.18999999999999997</v>
      </c>
      <c r="AT18" s="797">
        <f t="shared" si="34"/>
        <v>-15.279531109107353</v>
      </c>
      <c r="AU18" s="716">
        <f t="shared" si="123"/>
        <v>0.19</v>
      </c>
      <c r="AV18" s="797">
        <f t="shared" si="35"/>
        <v>8.650252525252327</v>
      </c>
      <c r="AW18" s="716">
        <f t="shared" si="123"/>
        <v>0.18999999999999997</v>
      </c>
      <c r="AX18" s="797">
        <f t="shared" si="36"/>
        <v>-16.100292112950171</v>
      </c>
      <c r="AY18" s="361"/>
      <c r="BA18" s="360"/>
      <c r="BB18" s="716">
        <f>BB17/BB16</f>
        <v>0.26087866108786634</v>
      </c>
      <c r="BC18" s="360" t="str">
        <f>IF(ISERROR(BB18/#REF!),"NA",IF(OR(BB18/#REF!&gt;2,BB18/#REF!&lt;0.5),"NM",BB18/#REF!*100-100))</f>
        <v>NA</v>
      </c>
      <c r="BD18" s="716">
        <f>BD17/BD16</f>
        <v>0.20785255480317302</v>
      </c>
      <c r="BE18" s="360"/>
      <c r="BF18" s="716">
        <f>BF17/BF16</f>
        <v>0.20417436085385512</v>
      </c>
      <c r="BG18" s="684">
        <f t="shared" si="39"/>
        <v>-1.7696169059846198</v>
      </c>
      <c r="BH18" s="716">
        <f>BH17/BH16</f>
        <v>0.20231317792293393</v>
      </c>
      <c r="BI18" s="684">
        <f t="shared" si="39"/>
        <v>-0.91156544981345178</v>
      </c>
      <c r="BJ18" s="716">
        <f>BJ17/BJ16</f>
        <v>0.21086620056572561</v>
      </c>
      <c r="BK18" s="684">
        <f t="shared" si="39"/>
        <v>4.2276151907661301</v>
      </c>
      <c r="BL18" s="716">
        <f>BL17/BL16</f>
        <v>0.19000000000000006</v>
      </c>
      <c r="BM18" s="684">
        <f t="shared" si="39"/>
        <v>-9.8954695013920428</v>
      </c>
      <c r="BN18" s="716">
        <f>BN17/BN16</f>
        <v>0.19000000000000003</v>
      </c>
      <c r="BO18" s="684">
        <f t="shared" si="39"/>
        <v>-1.4210854715202004E-14</v>
      </c>
      <c r="BP18" s="716">
        <f>BP17/BP16</f>
        <v>0.19000000000000006</v>
      </c>
      <c r="BQ18" s="684">
        <f t="shared" si="39"/>
        <v>2.8421709430404007E-14</v>
      </c>
      <c r="BR18" s="716">
        <f>BR17/BR16</f>
        <v>0.19000000000000003</v>
      </c>
      <c r="BS18" s="684">
        <f t="shared" si="39"/>
        <v>-1.4210854715202004E-14</v>
      </c>
      <c r="BT18" s="716">
        <f>BT17/BT16</f>
        <v>0.19000000000000011</v>
      </c>
      <c r="BU18" s="684">
        <f t="shared" si="77"/>
        <v>4.2632564145606011E-14</v>
      </c>
      <c r="BV18" s="360">
        <f t="shared" si="44"/>
        <v>-2.0624296862416069</v>
      </c>
      <c r="BW18" s="360"/>
      <c r="BY18"/>
      <c r="BZ18"/>
      <c r="CA18"/>
      <c r="CB18"/>
      <c r="CC18"/>
      <c r="CD18"/>
    </row>
    <row r="19" spans="1:83" s="359" customFormat="1" ht="12.75" hidden="1" customHeight="1" outlineLevel="1" x14ac:dyDescent="0.2">
      <c r="B19" s="352" t="s">
        <v>233</v>
      </c>
      <c r="C19" s="359">
        <f>C706</f>
        <v>0</v>
      </c>
      <c r="D19" s="579" t="str">
        <f>IF(ISERROR(C19/#REF!),"NA",IF(OR(C19/#REF!&gt;2,C19/#REF!&lt;0.5),"NM",C19/#REF!*100-100))</f>
        <v>NA</v>
      </c>
      <c r="E19" s="359">
        <f>E706</f>
        <v>0</v>
      </c>
      <c r="F19" s="579" t="str">
        <f>IF(ISERROR(E19/#REF!),"NA",IF(OR(E19/#REF!&gt;2,E19/#REF!&lt;0.5),"NM",E19/#REF!*100-100))</f>
        <v>NA</v>
      </c>
      <c r="G19" s="359">
        <f>G706</f>
        <v>0</v>
      </c>
      <c r="H19" s="579" t="str">
        <f>IF(ISERROR(G19/#REF!),"NA",IF(OR(G19/#REF!&gt;2,G19/#REF!&lt;0.5),"NM",G19/#REF!*100-100))</f>
        <v>NA</v>
      </c>
      <c r="I19" s="359">
        <f>I706</f>
        <v>0</v>
      </c>
      <c r="J19" s="579" t="str">
        <f>IF(ISERROR(I19/#REF!),"NA",IF(OR(I19/#REF!&gt;2,I19/#REF!&lt;0.5),"NM",I19/#REF!*100-100))</f>
        <v>NA</v>
      </c>
      <c r="K19" s="359">
        <f>K706</f>
        <v>0</v>
      </c>
      <c r="L19" s="579" t="str">
        <f t="shared" si="61"/>
        <v>NA</v>
      </c>
      <c r="M19" s="359">
        <f>M706</f>
        <v>0</v>
      </c>
      <c r="N19" s="579" t="str">
        <f t="shared" si="62"/>
        <v>NA</v>
      </c>
      <c r="O19" s="359">
        <f>O706</f>
        <v>8.1999999999999993</v>
      </c>
      <c r="P19" s="579" t="str">
        <f t="shared" si="63"/>
        <v>NA</v>
      </c>
      <c r="Q19" s="359">
        <f>Q706</f>
        <v>8.3000000000000007</v>
      </c>
      <c r="R19" s="579" t="str">
        <f t="shared" si="64"/>
        <v>NA</v>
      </c>
      <c r="S19" s="359">
        <f>S706</f>
        <v>8.1999999999999993</v>
      </c>
      <c r="T19" s="579" t="str">
        <f t="shared" si="65"/>
        <v>NA</v>
      </c>
      <c r="U19" s="359">
        <f>U706</f>
        <v>16.5</v>
      </c>
      <c r="V19" s="579" t="str">
        <f t="shared" si="16"/>
        <v>NA</v>
      </c>
      <c r="W19" s="359">
        <f>W706</f>
        <v>0</v>
      </c>
      <c r="X19" s="579" t="str">
        <f t="shared" si="17"/>
        <v>NM</v>
      </c>
      <c r="Y19" s="359">
        <f>Y706</f>
        <v>0</v>
      </c>
      <c r="Z19" s="579" t="str">
        <f t="shared" si="19"/>
        <v>NM</v>
      </c>
      <c r="AA19" s="359">
        <f>AA706</f>
        <v>0</v>
      </c>
      <c r="AB19" s="579" t="str">
        <f t="shared" si="20"/>
        <v>NM</v>
      </c>
      <c r="AC19" s="359">
        <f>AC706</f>
        <v>0</v>
      </c>
      <c r="AD19" s="579" t="str">
        <f t="shared" si="22"/>
        <v>NM</v>
      </c>
      <c r="AE19" s="359">
        <f>AE706</f>
        <v>0</v>
      </c>
      <c r="AF19" s="579" t="str">
        <f t="shared" si="23"/>
        <v>NA</v>
      </c>
      <c r="AG19" s="359">
        <f>AG706</f>
        <v>0</v>
      </c>
      <c r="AH19" s="360" t="str">
        <f t="shared" si="25"/>
        <v>NA</v>
      </c>
      <c r="AI19" s="359">
        <f>AI706</f>
        <v>0</v>
      </c>
      <c r="AJ19" s="360" t="str">
        <f t="shared" si="26"/>
        <v>NA</v>
      </c>
      <c r="AK19" s="359">
        <f>AK706</f>
        <v>0</v>
      </c>
      <c r="AL19" s="360" t="str">
        <f t="shared" si="28"/>
        <v>NA</v>
      </c>
      <c r="AM19" s="359">
        <f t="shared" ref="AM19:AO19" si="124">AM706</f>
        <v>0</v>
      </c>
      <c r="AN19" s="360" t="str">
        <f t="shared" si="30"/>
        <v>NA</v>
      </c>
      <c r="AO19" s="359">
        <f t="shared" si="124"/>
        <v>0</v>
      </c>
      <c r="AP19" s="360" t="str">
        <f t="shared" si="31"/>
        <v>NA</v>
      </c>
      <c r="AQ19" s="359">
        <f t="shared" ref="AQ19:AW19" si="125">AQ706</f>
        <v>0</v>
      </c>
      <c r="AR19" s="360" t="str">
        <f t="shared" si="33"/>
        <v>NA</v>
      </c>
      <c r="AS19" s="359">
        <f t="shared" si="125"/>
        <v>0</v>
      </c>
      <c r="AT19" s="360" t="str">
        <f t="shared" si="34"/>
        <v>NA</v>
      </c>
      <c r="AU19" s="359">
        <f t="shared" si="125"/>
        <v>0</v>
      </c>
      <c r="AV19" s="360" t="str">
        <f t="shared" si="35"/>
        <v>NA</v>
      </c>
      <c r="AW19" s="359">
        <f t="shared" si="125"/>
        <v>0</v>
      </c>
      <c r="AX19" s="360" t="str">
        <f t="shared" si="36"/>
        <v>NA</v>
      </c>
      <c r="AY19" s="361"/>
      <c r="BA19" s="360"/>
      <c r="BB19" s="359">
        <f>BB706</f>
        <v>0</v>
      </c>
      <c r="BC19" s="360"/>
      <c r="BD19" s="359">
        <f>BD706</f>
        <v>16.5</v>
      </c>
      <c r="BE19" s="360"/>
      <c r="BF19" s="359">
        <f>BF706</f>
        <v>24.7</v>
      </c>
      <c r="BG19" s="684">
        <f t="shared" si="39"/>
        <v>49.696969696969688</v>
      </c>
      <c r="BH19" s="359">
        <f>BH706</f>
        <v>0</v>
      </c>
      <c r="BI19" s="579" t="str">
        <f t="shared" si="39"/>
        <v>NM</v>
      </c>
      <c r="BJ19" s="359">
        <f>BJ706</f>
        <v>0</v>
      </c>
      <c r="BK19" s="579" t="str">
        <f t="shared" si="39"/>
        <v>NA</v>
      </c>
      <c r="BL19" s="359">
        <f>BL706</f>
        <v>0</v>
      </c>
      <c r="BM19" s="579" t="str">
        <f t="shared" si="39"/>
        <v>NA</v>
      </c>
      <c r="BN19" s="359">
        <f>BN706</f>
        <v>0</v>
      </c>
      <c r="BO19" s="579" t="str">
        <f t="shared" si="39"/>
        <v>NA</v>
      </c>
      <c r="BP19" s="359">
        <f>BP706</f>
        <v>0</v>
      </c>
      <c r="BQ19" s="579" t="str">
        <f t="shared" si="39"/>
        <v>NA</v>
      </c>
      <c r="BR19" s="359">
        <f>BR706</f>
        <v>0</v>
      </c>
      <c r="BS19" s="579" t="str">
        <f t="shared" si="39"/>
        <v>NA</v>
      </c>
      <c r="BT19" s="359">
        <f>BT706</f>
        <v>0</v>
      </c>
      <c r="BU19" s="579" t="str">
        <f t="shared" si="77"/>
        <v>NA</v>
      </c>
      <c r="BV19" s="360" t="str">
        <f t="shared" si="44"/>
        <v>NA</v>
      </c>
      <c r="BW19" s="360"/>
      <c r="BY19"/>
      <c r="BZ19"/>
      <c r="CA19"/>
      <c r="CB19"/>
      <c r="CC19"/>
      <c r="CD19"/>
    </row>
    <row r="20" spans="1:83" s="359" customFormat="1" ht="12.75" customHeight="1" collapsed="1" x14ac:dyDescent="0.2">
      <c r="B20" s="353" t="s">
        <v>80</v>
      </c>
      <c r="C20" s="362">
        <f>C16-C17</f>
        <v>233.30000000000013</v>
      </c>
      <c r="D20" s="579" t="str">
        <f>IF(ISERROR(C20/#REF!),"NA",IF(OR(C20/#REF!&gt;2,C20/#REF!&lt;0.5),"NM",C20/#REF!*100-100))</f>
        <v>NA</v>
      </c>
      <c r="E20" s="362">
        <f>E16-E17</f>
        <v>271.39999999999998</v>
      </c>
      <c r="F20" s="579" t="str">
        <f>IF(ISERROR(E20/#REF!),"NA",IF(OR(E20/#REF!&gt;2,E20/#REF!&lt;0.5),"NM",E20/#REF!*100-100))</f>
        <v>NA</v>
      </c>
      <c r="G20" s="362">
        <f>G16-G17</f>
        <v>269.2</v>
      </c>
      <c r="H20" s="579" t="str">
        <f>IF(ISERROR(G20/#REF!),"NA",IF(OR(G20/#REF!&gt;2,G20/#REF!&lt;0.5),"NM",G20/#REF!*100-100))</f>
        <v>NA</v>
      </c>
      <c r="I20" s="362">
        <f>I16-I17-I19</f>
        <v>286</v>
      </c>
      <c r="J20" s="579" t="str">
        <f>IF(ISERROR(I20/#REF!),"NA",IF(OR(I20/#REF!&gt;2,I20/#REF!&lt;0.5),"NM",I20/#REF!*100-100))</f>
        <v>NA</v>
      </c>
      <c r="K20" s="362">
        <f>K16-K17-K19</f>
        <v>316.99999999999994</v>
      </c>
      <c r="L20" s="579">
        <f t="shared" si="61"/>
        <v>35.876553793398955</v>
      </c>
      <c r="M20" s="362">
        <f>M16-M17-M19</f>
        <v>323.00000000000006</v>
      </c>
      <c r="N20" s="684">
        <f>IF(ISERROR(M20/E20),"NA",IF(OR(M20/E20&gt;2,M20/E20&lt;0.5),"NM",M20/E20*100-100))</f>
        <v>19.012527634487867</v>
      </c>
      <c r="O20" s="362">
        <f>O16-O17-O19</f>
        <v>381.37692307692316</v>
      </c>
      <c r="P20" s="684">
        <f t="shared" si="63"/>
        <v>41.670476625900136</v>
      </c>
      <c r="Q20" s="362">
        <f>Q16-Q17-Q19</f>
        <v>327.23076923076923</v>
      </c>
      <c r="R20" s="684">
        <f t="shared" si="64"/>
        <v>14.416352877891342</v>
      </c>
      <c r="S20" s="362">
        <f>S16-S17-S19</f>
        <v>332.86153846153849</v>
      </c>
      <c r="T20" s="684">
        <f t="shared" si="65"/>
        <v>5.0036398932298312</v>
      </c>
      <c r="U20" s="362">
        <f>U16-U17-U19</f>
        <v>322.28461538461534</v>
      </c>
      <c r="V20" s="684">
        <f t="shared" si="16"/>
        <v>-0.22148130507267183</v>
      </c>
      <c r="W20" s="362">
        <f>W16-W17-W19</f>
        <v>319.8</v>
      </c>
      <c r="X20" s="684">
        <f t="shared" si="17"/>
        <v>-16.145948889650867</v>
      </c>
      <c r="Y20" s="362">
        <f>Y16-Y17-Y19</f>
        <v>303.2</v>
      </c>
      <c r="Z20" s="684">
        <f t="shared" si="19"/>
        <v>-7.343676539727312</v>
      </c>
      <c r="AA20" s="362">
        <f>AA16-AA17-AA19</f>
        <v>286.29999999999995</v>
      </c>
      <c r="AB20" s="684">
        <f t="shared" si="20"/>
        <v>-13.988260306895938</v>
      </c>
      <c r="AC20" s="362">
        <f>AC16-AC17-AC19</f>
        <v>337.1</v>
      </c>
      <c r="AD20" s="684">
        <f t="shared" si="22"/>
        <v>4.5969878511588007</v>
      </c>
      <c r="AE20" s="362">
        <f>AE16-AE17-AE19</f>
        <v>335.70000000000005</v>
      </c>
      <c r="AF20" s="684">
        <f t="shared" si="23"/>
        <v>4.9718574108818245</v>
      </c>
      <c r="AG20" s="362">
        <f>AG16-AG17-AG19</f>
        <v>372.00000000000006</v>
      </c>
      <c r="AH20" s="360">
        <f t="shared" si="25"/>
        <v>22.691292875989475</v>
      </c>
      <c r="AI20" s="362">
        <f>AI16-AI17-AI19</f>
        <v>370.49999999999994</v>
      </c>
      <c r="AJ20" s="360">
        <f t="shared" si="26"/>
        <v>29.409710094306661</v>
      </c>
      <c r="AK20" s="362">
        <f>AK16-AK17-AK19</f>
        <v>383.6</v>
      </c>
      <c r="AL20" s="360">
        <f t="shared" si="28"/>
        <v>13.794126371996441</v>
      </c>
      <c r="AM20" s="362">
        <f t="shared" ref="AM20:AO20" si="126">AM16-AM17-AM19</f>
        <v>373.7</v>
      </c>
      <c r="AN20" s="360">
        <f t="shared" si="30"/>
        <v>11.319630622579652</v>
      </c>
      <c r="AO20" s="362">
        <f t="shared" si="126"/>
        <v>350.80000000000007</v>
      </c>
      <c r="AP20" s="360">
        <f t="shared" si="31"/>
        <v>-5.6989247311827995</v>
      </c>
      <c r="AQ20" s="362">
        <f t="shared" ref="AQ20:AW20" si="127">AQ16-AQ17-AQ19</f>
        <v>398.5161479003612</v>
      </c>
      <c r="AR20" s="360">
        <f t="shared" si="33"/>
        <v>7.5617133334308306</v>
      </c>
      <c r="AS20" s="362">
        <f t="shared" si="127"/>
        <v>405.86176301361377</v>
      </c>
      <c r="AT20" s="360">
        <f t="shared" si="34"/>
        <v>5.8033793049045386</v>
      </c>
      <c r="AU20" s="362">
        <f t="shared" si="127"/>
        <v>420.90356609714001</v>
      </c>
      <c r="AV20" s="360">
        <f t="shared" si="35"/>
        <v>12.631406501776837</v>
      </c>
      <c r="AW20" s="362">
        <f t="shared" si="127"/>
        <v>435.33460144371293</v>
      </c>
      <c r="AX20" s="360">
        <f t="shared" si="36"/>
        <v>24.097662897295564</v>
      </c>
      <c r="AY20" s="361"/>
      <c r="BA20" s="360"/>
      <c r="BB20" s="362">
        <f>BB16-BB17-BB19</f>
        <v>1059.8999999999994</v>
      </c>
      <c r="BC20" s="360" t="str">
        <f>IF(ISERROR(BB20/#REF!),"NA",IF(OR(BB20/#REF!&gt;2,BB20/#REF!&lt;0.5),"NM",BB20/#REF!*100-100))</f>
        <v>NA</v>
      </c>
      <c r="BD20" s="843">
        <f>BD16-BD17-BD19</f>
        <v>1348.6076923076917</v>
      </c>
      <c r="BE20" s="360">
        <f t="shared" si="59"/>
        <v>27.239144476619728</v>
      </c>
      <c r="BF20" s="362">
        <f>BF16-BF17-BF19</f>
        <v>1278.1461538461533</v>
      </c>
      <c r="BG20" s="684">
        <f t="shared" si="39"/>
        <v>-5.2247617200645635</v>
      </c>
      <c r="BH20" s="362">
        <f>BH16-BH17-BH19</f>
        <v>1331.1000000000004</v>
      </c>
      <c r="BI20" s="684">
        <f t="shared" si="39"/>
        <v>4.1430196378168631</v>
      </c>
      <c r="BJ20" s="362">
        <f>BJ16-BJ17-BJ19</f>
        <v>1478.6</v>
      </c>
      <c r="BK20" s="684">
        <f t="shared" si="39"/>
        <v>11.08106077680111</v>
      </c>
      <c r="BL20" s="362">
        <f>BL16-BL17-BL19</f>
        <v>1660.6160784548267</v>
      </c>
      <c r="BM20" s="684">
        <f t="shared" si="39"/>
        <v>12.31002830074577</v>
      </c>
      <c r="BN20" s="362">
        <f>BN16-BN17-BN19</f>
        <v>1743.5598181146761</v>
      </c>
      <c r="BO20" s="684">
        <f t="shared" si="39"/>
        <v>4.994757110687928</v>
      </c>
      <c r="BP20" s="362">
        <f>BP16-BP17-BP19</f>
        <v>1832.3181348298544</v>
      </c>
      <c r="BQ20" s="684">
        <f t="shared" si="39"/>
        <v>5.090637888819515</v>
      </c>
      <c r="BR20" s="362">
        <f>BR16-BR17-BR19</f>
        <v>1915.5503448075006</v>
      </c>
      <c r="BS20" s="684">
        <f t="shared" si="39"/>
        <v>4.5424540856479041</v>
      </c>
      <c r="BT20" s="362">
        <f>BT16-BT17-BT19</f>
        <v>2001.0426580132957</v>
      </c>
      <c r="BU20" s="684">
        <f t="shared" si="77"/>
        <v>4.4630679343688371</v>
      </c>
      <c r="BV20" s="360">
        <f t="shared" si="44"/>
        <v>6.2383040168927373</v>
      </c>
      <c r="BW20" s="360"/>
      <c r="BY20"/>
      <c r="BZ20"/>
      <c r="CA20"/>
      <c r="CB20"/>
      <c r="CC20"/>
      <c r="CD20"/>
    </row>
    <row r="21" spans="1:83" s="363" customFormat="1" ht="12.75" hidden="1" customHeight="1" outlineLevel="1" x14ac:dyDescent="0.2">
      <c r="B21" s="363" t="s">
        <v>167</v>
      </c>
      <c r="C21" s="363">
        <f>C20-C707</f>
        <v>0</v>
      </c>
      <c r="D21" s="579"/>
      <c r="E21" s="363">
        <f>E20-E707</f>
        <v>0</v>
      </c>
      <c r="F21" s="579"/>
      <c r="G21" s="363">
        <f>G20-G707</f>
        <v>0</v>
      </c>
      <c r="H21" s="579"/>
      <c r="I21" s="363">
        <f>I20-I707</f>
        <v>0</v>
      </c>
      <c r="J21" s="579"/>
      <c r="K21" s="363">
        <f>K20-K707</f>
        <v>0</v>
      </c>
      <c r="L21" s="579"/>
      <c r="M21" s="363">
        <f>M20-M707</f>
        <v>0</v>
      </c>
      <c r="N21" s="579"/>
      <c r="O21" s="363">
        <f>O20-O707</f>
        <v>0</v>
      </c>
      <c r="P21" s="684"/>
      <c r="Q21" s="363">
        <f>Q20-Q707</f>
        <v>0</v>
      </c>
      <c r="R21" s="684"/>
      <c r="S21" s="363">
        <f>S20-S707</f>
        <v>0</v>
      </c>
      <c r="T21" s="684"/>
      <c r="U21" s="363">
        <f>U20-U707</f>
        <v>0</v>
      </c>
      <c r="V21" s="684"/>
      <c r="W21" s="363">
        <f>W20-W707</f>
        <v>0</v>
      </c>
      <c r="X21" s="684"/>
      <c r="Y21" s="363">
        <f>Y20-Y707</f>
        <v>0</v>
      </c>
      <c r="Z21" s="684"/>
      <c r="AA21" s="363">
        <f>AA20-AA707</f>
        <v>0</v>
      </c>
      <c r="AB21" s="684"/>
      <c r="AC21" s="363">
        <f>AC20-AC707</f>
        <v>0</v>
      </c>
      <c r="AD21" s="684"/>
      <c r="AE21" s="363">
        <f>AE20-AE707</f>
        <v>0</v>
      </c>
      <c r="AF21" s="684"/>
      <c r="AG21" s="363">
        <f>AG20-AG707</f>
        <v>0</v>
      </c>
      <c r="AH21" s="364"/>
      <c r="AI21" s="363">
        <f>AI20-AI707</f>
        <v>0</v>
      </c>
      <c r="AJ21" s="364"/>
      <c r="AK21" s="363">
        <f>AK20-AK707</f>
        <v>0</v>
      </c>
      <c r="AL21" s="364"/>
      <c r="AM21" s="363">
        <f>AM20-AM707</f>
        <v>0</v>
      </c>
      <c r="AN21" s="364"/>
      <c r="AO21" s="363">
        <f>AO20-AO707</f>
        <v>0</v>
      </c>
      <c r="AP21" s="364"/>
      <c r="AQ21" s="363">
        <f>AQ20-AQ707</f>
        <v>0</v>
      </c>
      <c r="AR21" s="364"/>
      <c r="AS21" s="363">
        <f>AS20-AS707</f>
        <v>0</v>
      </c>
      <c r="AT21" s="364"/>
      <c r="AU21" s="363">
        <f>AU20-AU707</f>
        <v>0</v>
      </c>
      <c r="AV21" s="364"/>
      <c r="AW21" s="363">
        <f>AW20-AW707</f>
        <v>0</v>
      </c>
      <c r="AX21" s="364"/>
      <c r="AY21" s="365"/>
      <c r="BA21" s="364"/>
      <c r="BB21" s="363">
        <f>BB20-BB707</f>
        <v>0</v>
      </c>
      <c r="BC21" s="364"/>
      <c r="BD21" s="900">
        <f>BD20-BD707</f>
        <v>0</v>
      </c>
      <c r="BE21" s="364"/>
      <c r="BF21" s="363">
        <f>BF20-BF707</f>
        <v>0</v>
      </c>
      <c r="BG21" s="684"/>
      <c r="BH21" s="363">
        <f>BH20-BH707</f>
        <v>0</v>
      </c>
      <c r="BI21" s="684"/>
      <c r="BJ21" s="363">
        <f>BJ20-BJ707</f>
        <v>0</v>
      </c>
      <c r="BK21" s="684"/>
      <c r="BL21" s="363">
        <f>BL20-BL707</f>
        <v>0</v>
      </c>
      <c r="BM21" s="684"/>
      <c r="BN21" s="363">
        <f>BN20-BN707</f>
        <v>0</v>
      </c>
      <c r="BO21" s="684"/>
      <c r="BP21" s="363">
        <f>BP20-BP707</f>
        <v>0</v>
      </c>
      <c r="BQ21" s="684"/>
      <c r="BR21" s="363">
        <f>BR20-BR707</f>
        <v>0</v>
      </c>
      <c r="BS21" s="684"/>
      <c r="BT21" s="363">
        <f>BT20-BT707</f>
        <v>0</v>
      </c>
      <c r="BU21" s="684"/>
      <c r="BV21" s="360" t="str">
        <f>IF(ISERROR(((#REF!/#REF!)^0.2-1)*100),"NA",IF((((#REF!/#REF!)^0.2-1)*100)&gt;100,"NM",IF((((#REF!/#REF!)^0.2-1)*100)&lt;-50,"NM",((#REF!/#REF!)^0.2-1)*100)))</f>
        <v>NA</v>
      </c>
      <c r="BW21" s="364"/>
      <c r="BY21"/>
      <c r="BZ21"/>
      <c r="CA21"/>
      <c r="CB21"/>
      <c r="CC21"/>
      <c r="CD21"/>
    </row>
    <row r="22" spans="1:83" s="310" customFormat="1" ht="12.75" customHeight="1" collapsed="1" x14ac:dyDescent="0.2">
      <c r="B22" s="353" t="s">
        <v>81</v>
      </c>
      <c r="C22" s="354">
        <f t="shared" ref="C22:W22" si="128">C845</f>
        <v>0.78525748906092263</v>
      </c>
      <c r="D22" s="579" t="str">
        <f>IF(ISERROR(C22/#REF!),"NA",IF(OR(C22/#REF!&gt;2,C22/#REF!&lt;0.5),"NM",C22/E22*100-100))</f>
        <v>NA</v>
      </c>
      <c r="E22" s="354">
        <f t="shared" si="128"/>
        <v>0.9131897711978465</v>
      </c>
      <c r="F22" s="579" t="str">
        <f>IF(ISERROR(E22/#REF!),"NA",IF(OR(E22/#REF!&gt;2,E22/#REF!&lt;0.5),"NM",E22/#REF!*100-100))</f>
        <v>NA</v>
      </c>
      <c r="G22" s="354">
        <f t="shared" si="128"/>
        <v>0.90154052243804406</v>
      </c>
      <c r="H22" s="579" t="str">
        <f>IF(ISERROR(G22/#REF!),"NA",IF(OR(G22/#REF!&gt;2,G22/#REF!&lt;0.5),"NM",G22/#REF!*100-100))</f>
        <v>NA</v>
      </c>
      <c r="I22" s="354">
        <f t="shared" si="128"/>
        <v>0.9555629802873371</v>
      </c>
      <c r="J22" s="579" t="str">
        <f>IF(ISERROR(I22/#REF!),"NA",IF(OR(I22/#REF!&gt;2,I22/#REF!&lt;0.5),"NM",I22/#REF!*100-100))</f>
        <v>NA</v>
      </c>
      <c r="K22" s="354">
        <f t="shared" si="128"/>
        <v>1.0584307178631052</v>
      </c>
      <c r="L22" s="579">
        <f t="shared" si="61"/>
        <v>34.787726651148034</v>
      </c>
      <c r="M22" s="354">
        <f t="shared" si="128"/>
        <v>1.0828025477707006</v>
      </c>
      <c r="N22" s="684">
        <f>IF(ISERROR(M22/E22),"NA",IF(OR(M22/E22&gt;2,M22/E22&lt;0.5),"NM",M22/E22*100-100))</f>
        <v>18.573661458162221</v>
      </c>
      <c r="O22" s="354">
        <f t="shared" si="128"/>
        <v>1.2789299901975959</v>
      </c>
      <c r="P22" s="684">
        <f t="shared" ref="P22:P24" si="129">IF(ISERROR(O22/G22),"NA",IF(OR(O22/G22&gt;2,O22/G22&lt;0.5),"NM",O22/G22*100-100))</f>
        <v>41.860510799777927</v>
      </c>
      <c r="Q22" s="354">
        <f t="shared" si="128"/>
        <v>1.0969854818329507</v>
      </c>
      <c r="R22" s="684">
        <f t="shared" si="64"/>
        <v>14.799914235175578</v>
      </c>
      <c r="S22" s="354">
        <f t="shared" si="128"/>
        <v>1.1151140316969463</v>
      </c>
      <c r="T22" s="684">
        <f t="shared" si="65"/>
        <v>5.3554108811468097</v>
      </c>
      <c r="U22" s="354">
        <f t="shared" si="128"/>
        <v>1.0800422767580944</v>
      </c>
      <c r="V22" s="684">
        <f t="shared" ref="V22:V24" si="130">IF(ISERROR(U22/M22),"NA",IF(OR(U22/M22&gt;2,U22/M22&lt;0.5),"NM",U22/M22*100-100))</f>
        <v>-0.25491914645834868</v>
      </c>
      <c r="W22" s="354">
        <f t="shared" si="128"/>
        <v>1.0713567839195983</v>
      </c>
      <c r="X22" s="684">
        <f t="shared" si="17"/>
        <v>-16.23022431790244</v>
      </c>
      <c r="Y22" s="354">
        <f t="shared" ref="Y22:AA22" si="131">Y845</f>
        <v>1.0236326806212019</v>
      </c>
      <c r="Z22" s="684">
        <f t="shared" si="19"/>
        <v>-6.6867613497658738</v>
      </c>
      <c r="AA22" s="354">
        <f t="shared" si="131"/>
        <v>0.97281685355079828</v>
      </c>
      <c r="AB22" s="684">
        <f t="shared" si="20"/>
        <v>-12.760773705771115</v>
      </c>
      <c r="AC22" s="354">
        <f t="shared" ref="AC22:AE22" si="132">AC845</f>
        <v>1.1520847573479152</v>
      </c>
      <c r="AD22" s="684">
        <f t="shared" si="22"/>
        <v>6.6703389432186668</v>
      </c>
      <c r="AE22" s="354">
        <f t="shared" si="132"/>
        <v>1.1520247083047359</v>
      </c>
      <c r="AF22" s="684">
        <f t="shared" si="23"/>
        <v>7.5295107657797189</v>
      </c>
      <c r="AG22" s="354">
        <f t="shared" ref="AG22:AI22" si="133">AG845</f>
        <v>1.2739726027397262</v>
      </c>
      <c r="AH22" s="340">
        <f>IF(ISERROR(AG22/Y22),"NA",IF(OR(AG22/Y22&gt;2,AG22/Y22&lt;0.5),"NM",AG22/Y22*100-100))</f>
        <v>24.456030650233146</v>
      </c>
      <c r="AI22" s="354">
        <f t="shared" si="133"/>
        <v>1.2670998632010946</v>
      </c>
      <c r="AJ22" s="340">
        <f t="shared" ref="AJ22:AJ24" si="134">IF(ISERROR(AI22/AA22),"NA",IF(OR(AI22/AA22&gt;2,AI22/AA22&lt;0.5),"NM",AI22/AA22*100-100))</f>
        <v>30.250607663318988</v>
      </c>
      <c r="AK22" s="354">
        <f t="shared" ref="AK22" si="135">AK845</f>
        <v>1.3105568841817561</v>
      </c>
      <c r="AL22" s="340">
        <f t="shared" ref="AL22:AL24" si="136">IF(ISERROR(AK22/AC22),"NA",IF(OR(AK22/AC22&gt;2,AK22/AC22&lt;0.5),"NM",AK22/AC22*100-100))</f>
        <v>13.755248980000559</v>
      </c>
      <c r="AM22" s="354">
        <f t="shared" ref="AM22:AO22" si="137">AM845</f>
        <v>1.2752090087015864</v>
      </c>
      <c r="AN22" s="340">
        <f t="shared" ref="AN22:AN24" si="138">IF(ISERROR(AM22/AE22),"NA",IF(OR(AM22/AE22&gt;2,AM22/AE22&lt;0.5),"NM",AM22/AE22*100-100))</f>
        <v>10.692852289437667</v>
      </c>
      <c r="AO22" s="354">
        <f t="shared" si="137"/>
        <v>1.1948228882833789</v>
      </c>
      <c r="AP22" s="340">
        <f t="shared" ref="AP22:AP24" si="139">IF(ISERROR(AO22/AG22),"NA",IF(OR(AO22/AG22&gt;2,AO22/AG22&lt;0.5),"NM",AO22/AG22*100-100))</f>
        <v>-6.2128270487240371</v>
      </c>
      <c r="AQ22" s="354">
        <f t="shared" ref="AQ22:AW22" si="140">AQ845</f>
        <v>1.3611633992033498</v>
      </c>
      <c r="AR22" s="340">
        <f t="shared" ref="AR22:AR24" si="141">IF(ISERROR(AQ22/AI22),"NA",IF(OR(AQ22/AI22&gt;2,AQ22/AI22&lt;0.5),"NM",AQ22/AI22*100-100))</f>
        <v>7.4235298048743488</v>
      </c>
      <c r="AS22" s="354">
        <f t="shared" si="140"/>
        <v>1.3906444916339205</v>
      </c>
      <c r="AT22" s="340">
        <f t="shared" ref="AT22:AT24" si="142">IF(ISERROR(AS22/AK22),"NA",IF(OR(AS22/AK22&gt;2,AS22/AK22&lt;0.5),"NM",AS22/AK22*100-100))</f>
        <v>6.1109600368218366</v>
      </c>
      <c r="AU22" s="354">
        <f t="shared" si="140"/>
        <v>1.4461102977607878</v>
      </c>
      <c r="AV22" s="340">
        <f t="shared" ref="AV22:AV24" si="143">IF(ISERROR(AU22/AM22),"NA",IF(OR(AU22/AM22&gt;2,AU22/AM22&lt;0.5),"NM",AU22/AM22*100-100))</f>
        <v>13.40182573154911</v>
      </c>
      <c r="AW22" s="354">
        <f t="shared" si="140"/>
        <v>1.4987367420827074</v>
      </c>
      <c r="AX22" s="340">
        <f t="shared" ref="AX22:AX24" si="144">IF(ISERROR(AW22/AO22),"NA",IF(OR(AW22/AO22&gt;2,AW22/AO22&lt;0.5),"NM",AW22/AO22*100-100))</f>
        <v>25.435891526648476</v>
      </c>
      <c r="AY22" s="356"/>
      <c r="BA22" s="340"/>
      <c r="BB22" s="354">
        <f>BB845</f>
        <v>3.5561147458480122</v>
      </c>
      <c r="BC22" s="360" t="str">
        <f>IF(ISERROR(BB22/#REF!),"NA",IF(OR(BB22/#REF!&gt;2,BB22/#REF!&lt;0.5),"NM",BB22/#REF!*100-100))</f>
        <v>NA</v>
      </c>
      <c r="BD22" s="901">
        <f>BD845</f>
        <v>4.5168138400994469</v>
      </c>
      <c r="BE22" s="360">
        <f t="shared" si="59"/>
        <v>27.015413250461378</v>
      </c>
      <c r="BF22" s="354">
        <f>BF845</f>
        <v>4.2905208252640294</v>
      </c>
      <c r="BG22" s="684">
        <f t="shared" si="39"/>
        <v>-5.0100142013033491</v>
      </c>
      <c r="BH22" s="354">
        <f t="shared" ref="BH22:BP22" si="145">BH845</f>
        <v>4.549602665983083</v>
      </c>
      <c r="BI22" s="684">
        <f t="shared" si="39"/>
        <v>6.0384706489126501</v>
      </c>
      <c r="BJ22" s="354">
        <f t="shared" ref="BJ22" si="146">BJ845</f>
        <v>5.0474930659270347</v>
      </c>
      <c r="BK22" s="684">
        <f t="shared" si="39"/>
        <v>10.943601815310757</v>
      </c>
      <c r="BL22" s="354">
        <f t="shared" ref="BL22" si="147">BL845</f>
        <v>5.696041499291117</v>
      </c>
      <c r="BM22" s="684">
        <f t="shared" si="39"/>
        <v>12.848921729919567</v>
      </c>
      <c r="BN22" s="354">
        <f t="shared" si="145"/>
        <v>6.0453425267725773</v>
      </c>
      <c r="BO22" s="684">
        <f t="shared" si="39"/>
        <v>6.1323469557750201</v>
      </c>
      <c r="BP22" s="354">
        <f t="shared" si="145"/>
        <v>6.3982805255733526</v>
      </c>
      <c r="BQ22" s="684">
        <f t="shared" si="39"/>
        <v>5.838180338628348</v>
      </c>
      <c r="BR22" s="354">
        <f t="shared" ref="BR22:BT22" si="148">BR845</f>
        <v>6.7461607794123113</v>
      </c>
      <c r="BS22" s="684">
        <f t="shared" si="39"/>
        <v>5.4370897376023493</v>
      </c>
      <c r="BT22" s="354">
        <f t="shared" si="148"/>
        <v>7.1006337608389298</v>
      </c>
      <c r="BU22" s="684">
        <f t="shared" ref="BU22:BU24" si="149">IF(ISERROR(BT22/BR22),"NA",IF(OR(BT22/BR22&gt;2,BT22/BR22&lt;0.5),"NM",BT22/BR22*100-100))</f>
        <v>5.254440162594193</v>
      </c>
      <c r="BV22" s="360">
        <f>IF(ISERROR(((BT22/BJ22)^0.2-1)*100),"NA",IF((((BT22/BJ22)^0.2-1)*100)&gt;100,"NM",IF((((BT22/BJ22)^0.2-1)*100)&lt;-50,"NM",((BT22/BJ22)^0.2-1)*100)))</f>
        <v>7.0642000424969709</v>
      </c>
      <c r="BW22" s="340"/>
      <c r="BY22"/>
      <c r="BZ22"/>
      <c r="CA22"/>
      <c r="CB22"/>
      <c r="CC22"/>
      <c r="CD22"/>
    </row>
    <row r="23" spans="1:83" s="310" customFormat="1" ht="12.75" customHeight="1" x14ac:dyDescent="0.2">
      <c r="B23" s="353" t="s">
        <v>392</v>
      </c>
      <c r="C23" s="355">
        <f t="shared" ref="C23:W23" si="150">C850</f>
        <v>0.75563783237967042</v>
      </c>
      <c r="D23" s="579" t="str">
        <f>IF(ISERROR(C23/#REF!),"NA",IF(OR(C23/#REF!&gt;2,C23/#REF!&lt;0.5),"NM",C23/E23*100-100))</f>
        <v>NA</v>
      </c>
      <c r="E23" s="355">
        <f t="shared" si="150"/>
        <v>0.92328398384925969</v>
      </c>
      <c r="F23" s="579" t="str">
        <f>IF(ISERROR(E23/#REF!),"NA",IF(OR(E23/#REF!&gt;2,E23/#REF!&lt;0.5),"NM",E23/#REF!*100-100))</f>
        <v>NA</v>
      </c>
      <c r="G23" s="355">
        <f t="shared" si="150"/>
        <v>0.93503014065639645</v>
      </c>
      <c r="H23" s="579" t="str">
        <f>IF(ISERROR(G23/#REF!),"NA",IF(OR(G23/#REF!&gt;2,G23/#REF!&lt;0.5),"NM",G23/#REF!*100-100))</f>
        <v>NA</v>
      </c>
      <c r="I23" s="355">
        <f t="shared" si="150"/>
        <v>0.95890410958904104</v>
      </c>
      <c r="J23" s="579" t="str">
        <f>IF(ISERROR(I23/#REF!),"NA",IF(OR(I23/#REF!&gt;2,I23/#REF!&lt;0.5),"NM",I23/#REF!*100-100))</f>
        <v>NA</v>
      </c>
      <c r="K23" s="355">
        <f t="shared" si="150"/>
        <v>0.97996661101836391</v>
      </c>
      <c r="L23" s="579">
        <f t="shared" si="61"/>
        <v>29.687340816728664</v>
      </c>
      <c r="M23" s="355">
        <f t="shared" si="150"/>
        <v>1.0341937646664432</v>
      </c>
      <c r="N23" s="684">
        <f>IF(ISERROR(M23/E23),"NA",IF(OR(M23/E23&gt;2,M23/E23&lt;0.5),"NM",M23/E23*100-100))</f>
        <v>12.012531654106027</v>
      </c>
      <c r="O23" s="355">
        <f t="shared" si="150"/>
        <v>1.1065624516328743</v>
      </c>
      <c r="P23" s="684">
        <f t="shared" si="129"/>
        <v>18.34511033580813</v>
      </c>
      <c r="Q23" s="355">
        <f t="shared" si="150"/>
        <v>1.0768715026173961</v>
      </c>
      <c r="R23" s="684">
        <f t="shared" si="64"/>
        <v>12.302313844385608</v>
      </c>
      <c r="S23" s="355">
        <f t="shared" si="150"/>
        <v>1.0749130266718208</v>
      </c>
      <c r="T23" s="684">
        <f t="shared" si="65"/>
        <v>9.6887398596968666</v>
      </c>
      <c r="U23" s="355">
        <f t="shared" si="150"/>
        <v>1.0900958960610434</v>
      </c>
      <c r="V23" s="684">
        <f t="shared" si="130"/>
        <v>5.4053827536496755</v>
      </c>
      <c r="W23" s="355">
        <f t="shared" si="150"/>
        <v>1.0539363484087105</v>
      </c>
      <c r="X23" s="684">
        <f t="shared" si="17"/>
        <v>-4.7558186297128771</v>
      </c>
      <c r="Y23" s="355">
        <f t="shared" ref="Y23:AA23" si="151">Y850</f>
        <v>1.0236326806212019</v>
      </c>
      <c r="Z23" s="684">
        <f t="shared" si="19"/>
        <v>-4.9438416623333552</v>
      </c>
      <c r="AA23" s="355">
        <f t="shared" si="151"/>
        <v>0.97281685355079828</v>
      </c>
      <c r="AB23" s="684">
        <f t="shared" si="20"/>
        <v>-9.4980868765853472</v>
      </c>
      <c r="AC23" s="355">
        <f t="shared" ref="AC23:AE23" si="152">AC850</f>
        <v>1.1520847573479152</v>
      </c>
      <c r="AD23" s="684">
        <f t="shared" si="22"/>
        <v>5.6865512025925824</v>
      </c>
      <c r="AE23" s="355">
        <f t="shared" si="152"/>
        <v>1.2211736444749488</v>
      </c>
      <c r="AF23" s="684">
        <f t="shared" si="23"/>
        <v>15.8678744042505</v>
      </c>
      <c r="AG23" s="355">
        <f t="shared" ref="AG23:AI23" si="153">AG850</f>
        <v>1.2606164383561647</v>
      </c>
      <c r="AH23" s="340">
        <f>IF(ISERROR(AG23/Y23),"NA",IF(OR(AG23/Y23&gt;2,AG23/Y23&lt;0.5),"NM",AG23/Y23*100-100))</f>
        <v>23.151249683738769</v>
      </c>
      <c r="AI23" s="355">
        <f t="shared" si="153"/>
        <v>1.2159712722298224</v>
      </c>
      <c r="AJ23" s="340">
        <f t="shared" si="134"/>
        <v>24.994881389185068</v>
      </c>
      <c r="AK23" s="355">
        <f t="shared" ref="AK23" si="154">AK850</f>
        <v>1.2994533652203624</v>
      </c>
      <c r="AL23" s="340">
        <f t="shared" si="136"/>
        <v>12.791472756890542</v>
      </c>
      <c r="AM23" s="355">
        <f t="shared" ref="AM23:AO23" si="155">AM850</f>
        <v>1.4238184610134788</v>
      </c>
      <c r="AN23" s="340">
        <f t="shared" si="138"/>
        <v>16.594267117978816</v>
      </c>
      <c r="AO23" s="355">
        <f t="shared" si="155"/>
        <v>1.1948228882833789</v>
      </c>
      <c r="AP23" s="340">
        <f t="shared" si="139"/>
        <v>-5.2191569196559158</v>
      </c>
      <c r="AQ23" s="355">
        <f t="shared" ref="AQ23:AW23" si="156">AQ850</f>
        <v>1.3611633992033498</v>
      </c>
      <c r="AR23" s="340">
        <f t="shared" si="141"/>
        <v>11.940424111112208</v>
      </c>
      <c r="AS23" s="355">
        <f t="shared" si="156"/>
        <v>1.3906444916339205</v>
      </c>
      <c r="AT23" s="340">
        <f t="shared" si="142"/>
        <v>7.0176528726826604</v>
      </c>
      <c r="AU23" s="355">
        <f t="shared" si="156"/>
        <v>1.4461102977607878</v>
      </c>
      <c r="AV23" s="340">
        <f t="shared" si="143"/>
        <v>1.565637569514422</v>
      </c>
      <c r="AW23" s="355">
        <f t="shared" si="156"/>
        <v>1.4987367420827074</v>
      </c>
      <c r="AX23" s="340">
        <f t="shared" si="144"/>
        <v>25.435891526648476</v>
      </c>
      <c r="AY23" s="356"/>
      <c r="BA23" s="340"/>
      <c r="BB23" s="355">
        <f>BB850</f>
        <v>3.5735614829726559</v>
      </c>
      <c r="BC23" s="360" t="str">
        <f>IF(ISERROR(BB23/#REF!),"NA",IF(OR(BB23/#REF!&gt;2,BB23/#REF!&lt;0.5),"NM",BB23/#REF!*100-100))</f>
        <v>NA</v>
      </c>
      <c r="BD23" s="902">
        <f>BD850</f>
        <v>4.197296130981135</v>
      </c>
      <c r="BE23" s="360">
        <f t="shared" si="59"/>
        <v>17.454146262222054</v>
      </c>
      <c r="BF23" s="355">
        <f>BF850</f>
        <v>4.2428538229142472</v>
      </c>
      <c r="BG23" s="684">
        <f t="shared" si="39"/>
        <v>1.0854057114731717</v>
      </c>
      <c r="BH23" s="355">
        <f t="shared" ref="BH23:BP23" si="157">BH850</f>
        <v>4.6051439801760248</v>
      </c>
      <c r="BI23" s="684">
        <f t="shared" si="39"/>
        <v>8.5388319367772851</v>
      </c>
      <c r="BJ23" s="355">
        <f t="shared" ref="BJ23" si="158">BJ850</f>
        <v>5.1340302965649691</v>
      </c>
      <c r="BK23" s="684">
        <f t="shared" si="39"/>
        <v>11.484685791924548</v>
      </c>
      <c r="BL23" s="355">
        <f t="shared" ref="BL23" si="159">BL850</f>
        <v>5.696041499291117</v>
      </c>
      <c r="BM23" s="684">
        <f t="shared" si="39"/>
        <v>10.946783915594978</v>
      </c>
      <c r="BN23" s="355">
        <f t="shared" si="157"/>
        <v>6.0453425267725773</v>
      </c>
      <c r="BO23" s="684">
        <f t="shared" si="39"/>
        <v>6.1323469557750201</v>
      </c>
      <c r="BP23" s="355">
        <f t="shared" si="157"/>
        <v>6.3982805255733526</v>
      </c>
      <c r="BQ23" s="684">
        <f t="shared" si="39"/>
        <v>5.838180338628348</v>
      </c>
      <c r="BR23" s="355">
        <f t="shared" ref="BR23:BT23" si="160">BR850</f>
        <v>6.7461607794123113</v>
      </c>
      <c r="BS23" s="684">
        <f t="shared" si="39"/>
        <v>5.4370897376023493</v>
      </c>
      <c r="BT23" s="355">
        <f t="shared" si="160"/>
        <v>7.1006337608389298</v>
      </c>
      <c r="BU23" s="684">
        <f t="shared" si="149"/>
        <v>5.254440162594193</v>
      </c>
      <c r="BV23" s="360">
        <f>IF(ISERROR(((BT23/BJ23)^0.2-1)*100),"NA",IF((((BT23/BJ23)^0.2-1)*100)&gt;100,"NM",IF((((BT23/BJ23)^0.2-1)*100)&lt;-50,"NM",((BT23/BJ23)^0.2-1)*100)))</f>
        <v>6.7008151262860638</v>
      </c>
      <c r="BW23" s="340"/>
      <c r="BY23"/>
      <c r="BZ23"/>
      <c r="CA23"/>
      <c r="CB23"/>
      <c r="CC23"/>
      <c r="CD23"/>
    </row>
    <row r="24" spans="1:83" s="310" customFormat="1" ht="12.75" customHeight="1" x14ac:dyDescent="0.2">
      <c r="B24" s="353" t="s">
        <v>16</v>
      </c>
      <c r="C24" s="355">
        <f t="shared" ref="C24:W24" si="161">C852</f>
        <v>0.78525748906092263</v>
      </c>
      <c r="D24" s="579" t="str">
        <f>IF(ISERROR(C24/#REF!),"NA",IF(OR(C24/#REF!&gt;2,C24/#REF!&lt;0.5),"NM",C24/E24*100-100))</f>
        <v>NA</v>
      </c>
      <c r="E24" s="355">
        <f t="shared" si="161"/>
        <v>0.9131897711978465</v>
      </c>
      <c r="F24" s="579" t="str">
        <f>IF(ISERROR(E24/#REF!),"NA",IF(OR(E24/#REF!&gt;2,E24/#REF!&lt;0.5),"NM",E24/#REF!*100-100))</f>
        <v>NA</v>
      </c>
      <c r="G24" s="355">
        <f t="shared" si="161"/>
        <v>0.90154052243804406</v>
      </c>
      <c r="H24" s="579" t="str">
        <f>IF(ISERROR(G24/#REF!),"NA",IF(OR(G24/#REF!&gt;2,G24/#REF!&lt;0.5),"NM",G24/#REF!*100-100))</f>
        <v>NA</v>
      </c>
      <c r="I24" s="355">
        <f t="shared" si="161"/>
        <v>0.9555629802873371</v>
      </c>
      <c r="J24" s="579" t="str">
        <f>IF(ISERROR(I24/#REF!),"NA",IF(OR(I24/#REF!&gt;2,I24/#REF!&lt;0.5),"NM",I24/#REF!*100-100))</f>
        <v>NA</v>
      </c>
      <c r="K24" s="355">
        <f t="shared" si="161"/>
        <v>1.0584307178631052</v>
      </c>
      <c r="L24" s="579">
        <f t="shared" si="61"/>
        <v>34.787726651148034</v>
      </c>
      <c r="M24" s="355">
        <f t="shared" si="161"/>
        <v>1.0828025477707006</v>
      </c>
      <c r="N24" s="684">
        <f>IF(ISERROR(M24/E24),"NA",IF(OR(M24/E24&gt;2,M24/E24&lt;0.5),"NM",M24/E24*100-100))</f>
        <v>18.573661458162221</v>
      </c>
      <c r="O24" s="355">
        <f t="shared" si="161"/>
        <v>1.2789299901975959</v>
      </c>
      <c r="P24" s="684">
        <f t="shared" si="129"/>
        <v>41.860510799777927</v>
      </c>
      <c r="Q24" s="355">
        <f t="shared" si="161"/>
        <v>1.0969854818329507</v>
      </c>
      <c r="R24" s="684">
        <f t="shared" si="64"/>
        <v>14.799914235175578</v>
      </c>
      <c r="S24" s="355">
        <f t="shared" si="161"/>
        <v>1.1151140316969463</v>
      </c>
      <c r="T24" s="684">
        <f t="shared" si="65"/>
        <v>5.3554108811468097</v>
      </c>
      <c r="U24" s="355">
        <f t="shared" si="161"/>
        <v>1.0800422767580944</v>
      </c>
      <c r="V24" s="684">
        <f t="shared" si="130"/>
        <v>-0.25491914645834868</v>
      </c>
      <c r="W24" s="355">
        <f t="shared" si="161"/>
        <v>1.0713567839195983</v>
      </c>
      <c r="X24" s="684">
        <f t="shared" si="17"/>
        <v>-16.23022431790244</v>
      </c>
      <c r="Y24" s="355">
        <f t="shared" ref="Y24:AA24" si="162">Y852</f>
        <v>1.0236326806212019</v>
      </c>
      <c r="Z24" s="684">
        <f t="shared" si="19"/>
        <v>-6.6867613497658738</v>
      </c>
      <c r="AA24" s="355">
        <f t="shared" si="162"/>
        <v>0.97281685355079828</v>
      </c>
      <c r="AB24" s="684">
        <f t="shared" si="20"/>
        <v>-12.760773705771115</v>
      </c>
      <c r="AC24" s="355">
        <f t="shared" ref="AC24:AE24" si="163">AC852</f>
        <v>1.1520847573479152</v>
      </c>
      <c r="AD24" s="684">
        <f t="shared" si="22"/>
        <v>6.6703389432186668</v>
      </c>
      <c r="AE24" s="355">
        <f t="shared" si="163"/>
        <v>1.1520247083047359</v>
      </c>
      <c r="AF24" s="684">
        <f t="shared" si="23"/>
        <v>7.5295107657797189</v>
      </c>
      <c r="AG24" s="355">
        <f t="shared" ref="AG24:AI24" si="164">AG852</f>
        <v>1.2739726027397262</v>
      </c>
      <c r="AH24" s="340">
        <f>IF(ISERROR(AG24/Y24),"NA",IF(OR(AG24/Y24&gt;2,AG24/Y24&lt;0.5),"NM",AG24/Y24*100-100))</f>
        <v>24.456030650233146</v>
      </c>
      <c r="AI24" s="355">
        <f t="shared" si="164"/>
        <v>1.2670998632010946</v>
      </c>
      <c r="AJ24" s="340">
        <f t="shared" si="134"/>
        <v>30.250607663318988</v>
      </c>
      <c r="AK24" s="355">
        <f t="shared" ref="AK24" si="165">AK852</f>
        <v>1.3105568841817561</v>
      </c>
      <c r="AL24" s="340">
        <f t="shared" si="136"/>
        <v>13.755248980000559</v>
      </c>
      <c r="AM24" s="355">
        <f t="shared" ref="AM24:AO24" si="166">AM852</f>
        <v>1.2752090087015864</v>
      </c>
      <c r="AN24" s="340">
        <f t="shared" si="138"/>
        <v>10.692852289437667</v>
      </c>
      <c r="AO24" s="355">
        <f t="shared" si="166"/>
        <v>1.1948228882833789</v>
      </c>
      <c r="AP24" s="340">
        <f t="shared" si="139"/>
        <v>-6.2128270487240371</v>
      </c>
      <c r="AQ24" s="355">
        <f t="shared" ref="AQ24:AW24" si="167">AQ852</f>
        <v>1.3611633992033498</v>
      </c>
      <c r="AR24" s="340">
        <f t="shared" si="141"/>
        <v>7.4235298048743488</v>
      </c>
      <c r="AS24" s="355">
        <f t="shared" si="167"/>
        <v>1.3906444916339205</v>
      </c>
      <c r="AT24" s="340">
        <f t="shared" si="142"/>
        <v>6.1109600368218366</v>
      </c>
      <c r="AU24" s="355">
        <f t="shared" si="167"/>
        <v>1.4461102977607878</v>
      </c>
      <c r="AV24" s="340">
        <f t="shared" si="143"/>
        <v>13.40182573154911</v>
      </c>
      <c r="AW24" s="355">
        <f t="shared" si="167"/>
        <v>1.4987367420827074</v>
      </c>
      <c r="AX24" s="340">
        <f t="shared" si="144"/>
        <v>25.435891526648476</v>
      </c>
      <c r="AY24" s="356"/>
      <c r="BA24" s="340"/>
      <c r="BB24" s="355">
        <f>BB852</f>
        <v>3.5561147458480122</v>
      </c>
      <c r="BC24" s="360" t="str">
        <f>IF(ISERROR(BB24/#REF!),"NA",IF(OR(BB24/#REF!&gt;2,BB24/#REF!&lt;0.5),"NM",BB24/#REF!*100-100))</f>
        <v>NA</v>
      </c>
      <c r="BD24" s="902">
        <f>BD852</f>
        <v>4.5168138400994469</v>
      </c>
      <c r="BE24" s="360">
        <f>IF(ISERROR(BD24/BB24),"NA",IF(OR(BD24/BB24&gt;2,BD24/BB24&lt;0.5),"NM",BD24/BB24*100-100))</f>
        <v>27.015413250461378</v>
      </c>
      <c r="BF24" s="355">
        <f>BF852</f>
        <v>4.2905208252640277</v>
      </c>
      <c r="BG24" s="684">
        <f t="shared" si="39"/>
        <v>-5.0100142013033917</v>
      </c>
      <c r="BH24" s="355">
        <f t="shared" ref="BH24:BP24" si="168">BH852</f>
        <v>4.5496026659830813</v>
      </c>
      <c r="BI24" s="684">
        <f t="shared" si="39"/>
        <v>6.0384706489126501</v>
      </c>
      <c r="BJ24" s="355">
        <f t="shared" ref="BJ24" si="169">BJ852</f>
        <v>5.0474930659270321</v>
      </c>
      <c r="BK24" s="684">
        <f t="shared" si="39"/>
        <v>10.943601815310757</v>
      </c>
      <c r="BL24" s="355">
        <f t="shared" ref="BL24" si="170">BL852</f>
        <v>5.6960414992911161</v>
      </c>
      <c r="BM24" s="684">
        <f t="shared" si="39"/>
        <v>12.84892172991961</v>
      </c>
      <c r="BN24" s="355">
        <f t="shared" si="168"/>
        <v>6.0453425267725773</v>
      </c>
      <c r="BO24" s="684">
        <f t="shared" si="39"/>
        <v>6.1323469557750201</v>
      </c>
      <c r="BP24" s="355">
        <f t="shared" si="168"/>
        <v>6.3982805255733526</v>
      </c>
      <c r="BQ24" s="684">
        <f t="shared" si="39"/>
        <v>5.838180338628348</v>
      </c>
      <c r="BR24" s="355">
        <f t="shared" ref="BR24:BT24" si="171">BR852</f>
        <v>6.7461607794123113</v>
      </c>
      <c r="BS24" s="684">
        <f t="shared" si="39"/>
        <v>5.4370897376023493</v>
      </c>
      <c r="BT24" s="355">
        <f t="shared" si="171"/>
        <v>7.1006337608389298</v>
      </c>
      <c r="BU24" s="684">
        <f t="shared" si="149"/>
        <v>5.254440162594193</v>
      </c>
      <c r="BV24" s="360">
        <f>IF(ISERROR(((BT24/BJ24)^0.2-1)*100),"NA",IF((((BT24/BJ24)^0.2-1)*100)&gt;100,"NM",IF((((BT24/BJ24)^0.2-1)*100)&lt;-50,"NM",((BT24/BJ24)^0.2-1)*100)))</f>
        <v>7.0642000424969931</v>
      </c>
      <c r="BW24" s="340"/>
      <c r="BY24"/>
      <c r="BZ24"/>
      <c r="CA24"/>
      <c r="CB24"/>
      <c r="CC24"/>
      <c r="CD24"/>
    </row>
    <row r="25" spans="1:83" s="334" customFormat="1" ht="12.75" hidden="1" customHeight="1" outlineLevel="2" x14ac:dyDescent="0.2">
      <c r="B25" s="335"/>
      <c r="C25" s="336"/>
      <c r="D25" s="337"/>
      <c r="E25" s="336"/>
      <c r="F25" s="337"/>
      <c r="G25" s="336"/>
      <c r="H25" s="337"/>
      <c r="I25" s="336"/>
      <c r="J25" s="337"/>
      <c r="K25" s="336"/>
      <c r="L25" s="337"/>
      <c r="M25" s="336"/>
      <c r="N25" s="337"/>
      <c r="O25" s="336"/>
      <c r="P25" s="337"/>
      <c r="Q25" s="336"/>
      <c r="R25" s="337"/>
      <c r="S25" s="336"/>
      <c r="T25" s="337"/>
      <c r="U25" s="336"/>
      <c r="V25" s="337"/>
      <c r="W25" s="336"/>
      <c r="X25" s="337"/>
      <c r="Y25" s="336"/>
      <c r="Z25" s="337"/>
      <c r="AA25" s="336"/>
      <c r="AB25" s="337"/>
      <c r="AC25" s="336"/>
      <c r="AD25" s="337"/>
      <c r="AE25" s="336"/>
      <c r="AF25" s="337"/>
      <c r="AG25" s="336"/>
      <c r="AH25" s="337"/>
      <c r="AI25" s="336"/>
      <c r="AJ25" s="337"/>
      <c r="AK25" s="336"/>
      <c r="AL25" s="337"/>
      <c r="AM25" s="336"/>
      <c r="AN25" s="337"/>
      <c r="AO25" s="336"/>
      <c r="AP25" s="337"/>
      <c r="AQ25" s="336"/>
      <c r="AR25" s="337"/>
      <c r="AS25" s="336"/>
      <c r="AT25" s="337"/>
      <c r="AU25" s="336"/>
      <c r="AV25" s="337"/>
      <c r="AW25" s="336"/>
      <c r="AX25" s="337"/>
      <c r="AY25" s="275"/>
      <c r="BA25" s="337"/>
      <c r="BB25" s="336"/>
      <c r="BC25" s="337"/>
      <c r="BD25" s="903"/>
      <c r="BE25" s="337"/>
      <c r="BF25" s="336"/>
      <c r="BG25" s="336"/>
      <c r="BH25" s="336"/>
      <c r="BI25" s="336"/>
      <c r="BJ25" s="336"/>
      <c r="BK25" s="336"/>
      <c r="BL25" s="336"/>
      <c r="BM25" s="336"/>
      <c r="BN25" s="336"/>
      <c r="BO25" s="336"/>
      <c r="BP25" s="336"/>
      <c r="BQ25" s="337"/>
      <c r="BR25" s="336"/>
      <c r="BS25" s="337"/>
      <c r="BT25" s="336"/>
      <c r="BU25" s="337"/>
      <c r="BV25" s="338"/>
      <c r="BW25" s="338"/>
      <c r="BX25" s="338"/>
      <c r="BY25"/>
      <c r="BZ25"/>
      <c r="CA25"/>
      <c r="CB25"/>
      <c r="CC25"/>
      <c r="CD25"/>
      <c r="CE25" s="252"/>
    </row>
    <row r="26" spans="1:83" s="334" customFormat="1" ht="12.75" hidden="1" customHeight="1" outlineLevel="2" x14ac:dyDescent="0.2">
      <c r="B26" s="335" t="s">
        <v>76</v>
      </c>
      <c r="C26" s="336"/>
      <c r="D26" s="337"/>
      <c r="E26" s="336"/>
      <c r="F26" s="337"/>
      <c r="G26" s="336"/>
      <c r="H26" s="337"/>
      <c r="I26" s="336"/>
      <c r="J26" s="337"/>
      <c r="K26" s="336"/>
      <c r="L26" s="337"/>
      <c r="M26" s="336"/>
      <c r="N26" s="337"/>
      <c r="O26" s="336"/>
      <c r="P26" s="337"/>
      <c r="Q26" s="336"/>
      <c r="R26" s="337"/>
      <c r="S26" s="336"/>
      <c r="T26" s="337"/>
      <c r="U26" s="336"/>
      <c r="V26" s="337"/>
      <c r="W26" s="336"/>
      <c r="X26" s="337"/>
      <c r="Y26" s="336"/>
      <c r="Z26" s="337"/>
      <c r="AA26" s="336"/>
      <c r="AB26" s="337"/>
      <c r="AC26" s="336"/>
      <c r="AD26" s="337"/>
      <c r="AE26" s="336"/>
      <c r="AF26" s="337"/>
      <c r="AG26" s="336"/>
      <c r="AH26" s="337"/>
      <c r="AI26" s="336"/>
      <c r="AJ26" s="337"/>
      <c r="AK26" s="336"/>
      <c r="AL26" s="337"/>
      <c r="AM26" s="336"/>
      <c r="AN26" s="337"/>
      <c r="AO26" s="336"/>
      <c r="AP26" s="337"/>
      <c r="AQ26" s="336"/>
      <c r="AR26" s="337"/>
      <c r="AS26" s="336"/>
      <c r="AT26" s="337"/>
      <c r="AU26" s="336"/>
      <c r="AV26" s="337"/>
      <c r="AW26" s="336"/>
      <c r="AX26" s="337"/>
      <c r="AY26" s="275"/>
      <c r="BA26" s="337"/>
      <c r="BB26" s="336"/>
      <c r="BC26" s="337"/>
      <c r="BD26" s="903"/>
      <c r="BE26" s="337"/>
      <c r="BF26" s="336"/>
      <c r="BG26" s="337"/>
      <c r="BH26" s="336"/>
      <c r="BI26" s="337"/>
      <c r="BJ26" s="336"/>
      <c r="BK26" s="337"/>
      <c r="BL26" s="336"/>
      <c r="BM26" s="337"/>
      <c r="BN26" s="336"/>
      <c r="BO26" s="337"/>
      <c r="BP26" s="336"/>
      <c r="BQ26" s="337"/>
      <c r="BR26" s="336"/>
      <c r="BS26" s="337"/>
      <c r="BT26" s="336"/>
      <c r="BU26" s="337"/>
      <c r="BV26" s="338"/>
      <c r="BW26" s="338"/>
      <c r="BX26" s="338"/>
      <c r="BY26"/>
      <c r="BZ26"/>
      <c r="CA26"/>
      <c r="CB26"/>
      <c r="CC26"/>
      <c r="CD26"/>
      <c r="CE26" s="252"/>
    </row>
    <row r="27" spans="1:83" s="334" customFormat="1" ht="12.75" hidden="1" customHeight="1" outlineLevel="2" x14ac:dyDescent="0.2">
      <c r="C27" s="336"/>
      <c r="D27" s="337"/>
      <c r="E27" s="336"/>
      <c r="F27" s="337"/>
      <c r="G27" s="336"/>
      <c r="H27" s="337"/>
      <c r="I27" s="336"/>
      <c r="J27" s="337"/>
      <c r="K27" s="336"/>
      <c r="L27" s="337"/>
      <c r="M27" s="336"/>
      <c r="N27" s="337"/>
      <c r="O27" s="336"/>
      <c r="P27" s="337"/>
      <c r="Q27" s="336"/>
      <c r="R27" s="337"/>
      <c r="S27" s="336"/>
      <c r="T27" s="337"/>
      <c r="U27" s="336"/>
      <c r="V27" s="337"/>
      <c r="W27" s="336"/>
      <c r="X27" s="337"/>
      <c r="Y27" s="336"/>
      <c r="Z27" s="337"/>
      <c r="AA27" s="336"/>
      <c r="AB27" s="337"/>
      <c r="AC27" s="336"/>
      <c r="AD27" s="337"/>
      <c r="AE27" s="336"/>
      <c r="AF27" s="337"/>
      <c r="AG27" s="336"/>
      <c r="AH27" s="337"/>
      <c r="AI27" s="336"/>
      <c r="AJ27" s="337"/>
      <c r="AK27" s="336"/>
      <c r="AL27" s="337"/>
      <c r="AM27" s="336"/>
      <c r="AN27" s="337"/>
      <c r="AO27" s="336"/>
      <c r="AP27" s="337"/>
      <c r="AQ27" s="336"/>
      <c r="AR27" s="337"/>
      <c r="AS27" s="336"/>
      <c r="AT27" s="337"/>
      <c r="AU27" s="336"/>
      <c r="AV27" s="337"/>
      <c r="AW27" s="336"/>
      <c r="AX27" s="337"/>
      <c r="AY27" s="275"/>
      <c r="BA27" s="337"/>
      <c r="BB27" s="336"/>
      <c r="BC27" s="337"/>
      <c r="BD27" s="903"/>
      <c r="BE27" s="337"/>
      <c r="BF27" s="336"/>
      <c r="BG27" s="337"/>
      <c r="BH27" s="336"/>
      <c r="BI27" s="337"/>
      <c r="BJ27" s="336"/>
      <c r="BK27" s="337"/>
      <c r="BL27" s="336"/>
      <c r="BM27" s="337"/>
      <c r="BN27" s="336"/>
      <c r="BO27" s="337"/>
      <c r="BP27" s="336"/>
      <c r="BQ27" s="337"/>
      <c r="BR27" s="336"/>
      <c r="BS27" s="337"/>
      <c r="BT27" s="336"/>
      <c r="BU27" s="337"/>
      <c r="BV27" s="338"/>
      <c r="BW27" s="338"/>
      <c r="BX27" s="338"/>
      <c r="BY27"/>
      <c r="BZ27"/>
      <c r="CA27"/>
      <c r="CB27"/>
      <c r="CC27"/>
      <c r="CD27"/>
      <c r="CE27" s="252"/>
    </row>
    <row r="28" spans="1:83" s="334" customFormat="1" ht="12.75" hidden="1" customHeight="1" outlineLevel="2" x14ac:dyDescent="0.2">
      <c r="B28" s="1001" t="s">
        <v>724</v>
      </c>
      <c r="C28" s="336"/>
      <c r="D28" s="337"/>
      <c r="E28" s="336"/>
      <c r="F28" s="337"/>
      <c r="G28" s="336"/>
      <c r="H28" s="337"/>
      <c r="I28" s="336"/>
      <c r="J28" s="337"/>
      <c r="K28" s="336"/>
      <c r="L28" s="337"/>
      <c r="M28" s="336"/>
      <c r="N28" s="337"/>
      <c r="O28" s="336"/>
      <c r="P28" s="337"/>
      <c r="Q28" s="336"/>
      <c r="R28" s="337"/>
      <c r="S28" s="1003">
        <v>1.61</v>
      </c>
      <c r="T28" s="1003"/>
      <c r="U28" s="1003">
        <v>-1.68</v>
      </c>
      <c r="V28" s="1003"/>
      <c r="W28" s="1003">
        <v>1.23</v>
      </c>
      <c r="X28" s="1003"/>
      <c r="Y28" s="1003">
        <v>-0.56999999999999995</v>
      </c>
      <c r="Z28" s="1003"/>
      <c r="AA28" s="1003">
        <v>3.03</v>
      </c>
      <c r="AB28" s="1003"/>
      <c r="AC28" s="1003">
        <v>2.21</v>
      </c>
      <c r="AD28" s="1003"/>
      <c r="AE28" s="1003">
        <v>0.46</v>
      </c>
      <c r="AF28" s="1003"/>
      <c r="AG28" s="1003">
        <v>-2.98</v>
      </c>
      <c r="AH28" s="337"/>
      <c r="AI28" s="1003">
        <v>0.8</v>
      </c>
      <c r="AJ28" s="1004"/>
      <c r="AK28" s="1003">
        <v>1.47</v>
      </c>
      <c r="AL28" s="1004"/>
      <c r="AM28" s="1003">
        <v>0.85</v>
      </c>
      <c r="AN28" s="1004"/>
      <c r="AO28" s="1003">
        <v>0.39</v>
      </c>
      <c r="AP28" s="337"/>
      <c r="AQ28" s="1003">
        <v>-1.5</v>
      </c>
      <c r="AR28" s="1005"/>
      <c r="AS28" s="1003">
        <v>0.5</v>
      </c>
      <c r="AT28" s="1005"/>
      <c r="AU28" s="1003">
        <v>0.5</v>
      </c>
      <c r="AV28" s="1005"/>
      <c r="AW28" s="1003">
        <v>0.5</v>
      </c>
      <c r="AX28" s="337"/>
      <c r="AY28" s="275"/>
      <c r="BA28" s="337"/>
      <c r="BB28" s="336"/>
      <c r="BC28" s="337"/>
      <c r="BD28" s="903"/>
      <c r="BE28" s="337"/>
      <c r="BF28" s="336"/>
      <c r="BG28" s="337"/>
      <c r="BH28" s="336"/>
      <c r="BI28" s="337"/>
      <c r="BJ28" s="1002"/>
      <c r="BK28" s="337"/>
      <c r="BL28" s="341">
        <v>2</v>
      </c>
      <c r="BM28" s="337"/>
      <c r="BN28" s="341">
        <v>2</v>
      </c>
      <c r="BO28" s="337"/>
      <c r="BP28" s="341">
        <v>2</v>
      </c>
      <c r="BQ28" s="337"/>
      <c r="BR28" s="341">
        <v>2</v>
      </c>
      <c r="BS28" s="337"/>
      <c r="BT28" s="341">
        <v>2</v>
      </c>
      <c r="BU28" s="337"/>
      <c r="BV28" s="338"/>
      <c r="BW28" s="338"/>
      <c r="BX28" s="338"/>
      <c r="BY28"/>
      <c r="BZ28"/>
      <c r="CA28"/>
      <c r="CB28"/>
      <c r="CC28"/>
      <c r="CD28"/>
      <c r="CE28" s="252"/>
    </row>
    <row r="29" spans="1:83" s="252" customFormat="1" ht="12.75" hidden="1" customHeight="1" outlineLevel="2" x14ac:dyDescent="0.2">
      <c r="A29" s="264"/>
      <c r="B29" s="252" t="s">
        <v>259</v>
      </c>
      <c r="C29" s="339"/>
      <c r="D29" s="340"/>
      <c r="E29" s="339"/>
      <c r="F29" s="340"/>
      <c r="G29" s="339"/>
      <c r="H29" s="340"/>
      <c r="I29" s="341"/>
      <c r="J29" s="340"/>
      <c r="K29" s="341"/>
      <c r="L29" s="340"/>
      <c r="M29" s="341"/>
      <c r="N29" s="340"/>
      <c r="O29" s="341"/>
      <c r="P29" s="340"/>
      <c r="Q29" s="341"/>
      <c r="R29" s="340"/>
      <c r="S29" s="341"/>
      <c r="T29" s="340"/>
      <c r="U29" s="341"/>
      <c r="V29" s="340"/>
      <c r="W29" s="341"/>
      <c r="X29" s="340"/>
      <c r="Y29" s="341"/>
      <c r="Z29" s="340"/>
      <c r="AA29" s="341"/>
      <c r="AB29" s="340"/>
      <c r="AC29" s="341"/>
      <c r="AD29" s="340"/>
      <c r="AE29" s="341"/>
      <c r="AF29" s="340"/>
      <c r="AG29" s="341"/>
      <c r="AH29" s="340"/>
      <c r="AI29" s="341"/>
      <c r="AJ29" s="340"/>
      <c r="AK29" s="341"/>
      <c r="AL29" s="340"/>
      <c r="AM29" s="341"/>
      <c r="AN29" s="340"/>
      <c r="AO29" s="341"/>
      <c r="AP29" s="340"/>
      <c r="AQ29" s="341">
        <v>-1.2</v>
      </c>
      <c r="AR29" s="340"/>
      <c r="AS29" s="341">
        <v>2</v>
      </c>
      <c r="AT29" s="340"/>
      <c r="AU29" s="341">
        <v>2</v>
      </c>
      <c r="AV29" s="340"/>
      <c r="AW29" s="341">
        <v>2</v>
      </c>
      <c r="AX29" s="340"/>
      <c r="AY29" s="279"/>
      <c r="AZ29" s="320"/>
      <c r="BA29" s="340"/>
      <c r="BB29" s="343"/>
      <c r="BC29" s="340"/>
      <c r="BD29" s="904"/>
      <c r="BE29" s="340"/>
      <c r="BF29" s="343"/>
      <c r="BG29" s="340"/>
      <c r="BH29" s="343"/>
      <c r="BI29" s="340"/>
      <c r="BJ29" s="343"/>
      <c r="BK29" s="340"/>
      <c r="BL29" s="341">
        <v>8</v>
      </c>
      <c r="BM29" s="340"/>
      <c r="BN29" s="341">
        <v>8</v>
      </c>
      <c r="BO29" s="340"/>
      <c r="BP29" s="341">
        <v>8</v>
      </c>
      <c r="BQ29" s="340"/>
      <c r="BR29" s="341">
        <v>8</v>
      </c>
      <c r="BS29" s="340"/>
      <c r="BT29" s="341">
        <v>8</v>
      </c>
      <c r="BU29" s="340"/>
      <c r="BV29" s="344"/>
      <c r="BW29" s="344"/>
      <c r="BX29" s="344"/>
      <c r="BY29"/>
      <c r="BZ29"/>
      <c r="CA29"/>
      <c r="CB29"/>
      <c r="CC29"/>
      <c r="CD29"/>
    </row>
    <row r="30" spans="1:83" s="351" customFormat="1" ht="12.75" hidden="1" customHeight="1" outlineLevel="2" x14ac:dyDescent="0.2">
      <c r="A30" s="345"/>
      <c r="B30" s="345" t="s">
        <v>257</v>
      </c>
      <c r="C30" s="349"/>
      <c r="D30" s="348"/>
      <c r="E30" s="349"/>
      <c r="F30" s="348"/>
      <c r="G30" s="349"/>
      <c r="H30" s="348"/>
      <c r="I30" s="349"/>
      <c r="J30" s="348"/>
      <c r="K30" s="349"/>
      <c r="L30" s="348"/>
      <c r="M30" s="349"/>
      <c r="N30" s="348"/>
      <c r="O30" s="349"/>
      <c r="P30" s="348"/>
      <c r="Q30" s="349"/>
      <c r="R30" s="348"/>
      <c r="S30" s="349"/>
      <c r="T30" s="348"/>
      <c r="U30" s="349"/>
      <c r="V30" s="348"/>
      <c r="W30" s="349"/>
      <c r="X30" s="348"/>
      <c r="Y30" s="349"/>
      <c r="Z30" s="348"/>
      <c r="AA30" s="349"/>
      <c r="AB30" s="348"/>
      <c r="AC30" s="349"/>
      <c r="AD30" s="348"/>
      <c r="AE30" s="349"/>
      <c r="AF30" s="348"/>
      <c r="AG30" s="349"/>
      <c r="AH30" s="348"/>
      <c r="AI30" s="349"/>
      <c r="AJ30" s="348"/>
      <c r="AK30" s="349"/>
      <c r="AL30" s="348"/>
      <c r="AM30" s="349"/>
      <c r="AN30" s="348"/>
      <c r="AO30" s="349"/>
      <c r="AP30" s="348"/>
      <c r="AQ30" s="349">
        <f>IF($B$6=1,AQ29,IF($B$6=2,AQ29+AQ1003,IF($B$6=3,AQ29+AQ1004)))</f>
        <v>-1.2</v>
      </c>
      <c r="AR30" s="348"/>
      <c r="AS30" s="349">
        <f>IF($B$6=1,AS29,IF($B$6=2,AS29+AS1003,IF($B$6=3,AS29+AS1004)))</f>
        <v>2</v>
      </c>
      <c r="AT30" s="348"/>
      <c r="AU30" s="349">
        <f>IF($B$6=1,AU29,IF($B$6=2,AU29+AU1003,IF($B$6=3,AU29+AU1004)))</f>
        <v>2</v>
      </c>
      <c r="AV30" s="348"/>
      <c r="AW30" s="349">
        <f>IF($B$6=1,AW29,IF($B$6=2,AW29+AW1003,IF($B$6=3,AW29+AW1004)))</f>
        <v>2</v>
      </c>
      <c r="AX30" s="348"/>
      <c r="AY30" s="280"/>
      <c r="AZ30" s="346"/>
      <c r="BA30" s="348"/>
      <c r="BB30" s="347"/>
      <c r="BC30" s="348"/>
      <c r="BD30" s="905"/>
      <c r="BE30" s="348"/>
      <c r="BF30" s="347"/>
      <c r="BG30" s="348"/>
      <c r="BH30" s="347"/>
      <c r="BI30" s="348"/>
      <c r="BJ30" s="347"/>
      <c r="BK30" s="348"/>
      <c r="BL30" s="349">
        <f>IF($B$6=1,BL29,IF($B$6=2,BL29+BL1003,IF($B$6=3,BL29+BL1004)))</f>
        <v>8</v>
      </c>
      <c r="BM30" s="348"/>
      <c r="BN30" s="349">
        <f>IF($B$6=1,BN29,IF($B$6=2,BN29+BN1003,IF($B$6=3,BN29+BN1004)))</f>
        <v>8</v>
      </c>
      <c r="BO30" s="348"/>
      <c r="BP30" s="349">
        <f>IF($B$6=1,BP29,IF($B$6=2,BP29+BP1003,IF($B$6=3,BP29+BP1004)))</f>
        <v>8</v>
      </c>
      <c r="BQ30" s="348"/>
      <c r="BR30" s="349">
        <f>IF($B$6=1,BR29,IF($B$6=2,BR29+BR1003,IF($B$6=3,BR29+BR1004)))</f>
        <v>8</v>
      </c>
      <c r="BS30" s="348"/>
      <c r="BT30" s="349">
        <f>IF($B$6=1,BT29,IF($B$6=2,BT29+BT1003,IF($B$6=3,BT29+BT1004)))</f>
        <v>8</v>
      </c>
      <c r="BU30" s="348"/>
      <c r="BV30" s="350"/>
      <c r="BW30" s="350"/>
      <c r="BX30" s="350"/>
      <c r="BY30"/>
      <c r="BZ30"/>
      <c r="CA30"/>
      <c r="CB30"/>
      <c r="CC30"/>
      <c r="CD30"/>
    </row>
    <row r="31" spans="1:83" s="252" customFormat="1" ht="12.75" customHeight="1" collapsed="1" x14ac:dyDescent="0.2">
      <c r="A31" s="264"/>
      <c r="B31" s="252" t="s">
        <v>258</v>
      </c>
      <c r="C31" s="341">
        <v>9.6999999999999993</v>
      </c>
      <c r="D31" s="340"/>
      <c r="E31" s="341">
        <v>2.4</v>
      </c>
      <c r="F31" s="340"/>
      <c r="G31" s="341">
        <v>4.7</v>
      </c>
      <c r="H31" s="340"/>
      <c r="I31" s="341">
        <v>9.86</v>
      </c>
      <c r="J31" s="340"/>
      <c r="K31" s="341">
        <v>1.3</v>
      </c>
      <c r="L31" s="340"/>
      <c r="M31" s="341">
        <v>4.7</v>
      </c>
      <c r="N31" s="340"/>
      <c r="O31" s="341">
        <v>0.6</v>
      </c>
      <c r="P31" s="340"/>
      <c r="Q31" s="341">
        <v>4.4000000000000004</v>
      </c>
      <c r="R31" s="340"/>
      <c r="S31" s="341">
        <v>0.4</v>
      </c>
      <c r="T31" s="340"/>
      <c r="U31" s="341">
        <v>0.4</v>
      </c>
      <c r="V31" s="340"/>
      <c r="W31" s="341">
        <v>-7.5762339825360296</v>
      </c>
      <c r="X31" s="340"/>
      <c r="Y31" s="341">
        <v>6.2438329076438093</v>
      </c>
      <c r="Z31" s="340"/>
      <c r="AA31" s="341">
        <v>0.7730168204546084</v>
      </c>
      <c r="AB31" s="340"/>
      <c r="AC31" s="341">
        <v>1.2582185526894829</v>
      </c>
      <c r="AD31" s="340"/>
      <c r="AE31" s="341">
        <v>3.1061033310349817</v>
      </c>
      <c r="AF31" s="340"/>
      <c r="AG31" s="341">
        <v>3.2542121833731175</v>
      </c>
      <c r="AH31" s="340"/>
      <c r="AI31" s="341">
        <v>5.5336986521396625</v>
      </c>
      <c r="AJ31" s="340"/>
      <c r="AK31" s="341">
        <v>2.6</v>
      </c>
      <c r="AL31" s="340"/>
      <c r="AM31" s="341">
        <v>3.6</v>
      </c>
      <c r="AN31" s="340"/>
      <c r="AO31" s="341">
        <v>6.4</v>
      </c>
      <c r="AP31" s="340"/>
      <c r="AQ31" s="343">
        <f t="shared" ref="AQ31:AW31" si="172">AQ30</f>
        <v>-1.2</v>
      </c>
      <c r="AR31" s="340"/>
      <c r="AS31" s="343">
        <f t="shared" si="172"/>
        <v>2</v>
      </c>
      <c r="AT31" s="340"/>
      <c r="AU31" s="343">
        <f t="shared" si="172"/>
        <v>2</v>
      </c>
      <c r="AV31" s="340"/>
      <c r="AW31" s="343">
        <f t="shared" si="172"/>
        <v>2</v>
      </c>
      <c r="AX31" s="340"/>
      <c r="AY31" s="279"/>
      <c r="AZ31" s="320"/>
      <c r="BA31" s="340"/>
      <c r="BB31" s="342"/>
      <c r="BC31" s="340"/>
      <c r="BD31" s="906"/>
      <c r="BE31" s="340"/>
      <c r="BF31" s="342"/>
      <c r="BG31" s="340"/>
      <c r="BH31" s="342"/>
      <c r="BI31" s="340"/>
      <c r="BJ31" s="342"/>
      <c r="BK31" s="340"/>
      <c r="BL31" s="343">
        <f>BL30</f>
        <v>8</v>
      </c>
      <c r="BM31" s="340"/>
      <c r="BN31" s="343">
        <f>BN30</f>
        <v>8</v>
      </c>
      <c r="BO31" s="340"/>
      <c r="BP31" s="343">
        <f>BP30</f>
        <v>8</v>
      </c>
      <c r="BQ31" s="340"/>
      <c r="BR31" s="343">
        <f>BR30</f>
        <v>8</v>
      </c>
      <c r="BS31" s="340"/>
      <c r="BT31" s="343">
        <f>BT30</f>
        <v>8</v>
      </c>
      <c r="BU31" s="340"/>
      <c r="BV31" s="344"/>
      <c r="BW31" s="344"/>
      <c r="BX31" s="344"/>
      <c r="BY31"/>
      <c r="BZ31"/>
      <c r="CA31"/>
      <c r="CB31"/>
      <c r="CC31"/>
      <c r="CD31"/>
    </row>
    <row r="32" spans="1:83" s="265" customFormat="1" ht="12.75" customHeight="1" x14ac:dyDescent="0.2">
      <c r="B32" s="266" t="s">
        <v>548</v>
      </c>
      <c r="C32" s="268"/>
      <c r="D32" s="269"/>
      <c r="E32" s="268"/>
      <c r="F32" s="269"/>
      <c r="G32" s="268"/>
      <c r="H32" s="269"/>
      <c r="I32" s="268"/>
      <c r="J32" s="269"/>
      <c r="K32" s="268"/>
      <c r="L32" s="269"/>
      <c r="M32" s="268"/>
      <c r="N32" s="269"/>
      <c r="O32" s="268"/>
      <c r="P32" s="269"/>
      <c r="Q32" s="268"/>
      <c r="R32" s="269"/>
      <c r="S32" s="268"/>
      <c r="T32" s="269"/>
      <c r="U32" s="268"/>
      <c r="V32" s="269"/>
      <c r="W32" s="268"/>
      <c r="X32" s="269"/>
      <c r="Y32" s="268"/>
      <c r="Z32" s="269"/>
      <c r="AA32" s="268"/>
      <c r="AB32" s="269"/>
      <c r="AC32" s="268"/>
      <c r="AD32" s="269"/>
      <c r="AE32" s="268"/>
      <c r="AF32" s="269"/>
      <c r="AG32" s="268"/>
      <c r="AH32" s="269"/>
      <c r="AI32" s="268"/>
      <c r="AJ32" s="269"/>
      <c r="AK32" s="268"/>
      <c r="AL32" s="269"/>
      <c r="AM32" s="268"/>
      <c r="AN32" s="269"/>
      <c r="AO32" s="268"/>
      <c r="AP32" s="269"/>
      <c r="AQ32" s="268"/>
      <c r="AR32" s="269"/>
      <c r="AS32" s="268"/>
      <c r="AT32" s="269"/>
      <c r="AU32" s="268"/>
      <c r="AV32" s="269"/>
      <c r="AW32" s="268"/>
      <c r="AX32" s="269"/>
      <c r="AY32" s="268"/>
      <c r="AZ32" s="267"/>
      <c r="BA32" s="269"/>
      <c r="BB32" s="268"/>
      <c r="BC32" s="269"/>
      <c r="BD32" s="907"/>
      <c r="BE32" s="269"/>
      <c r="BF32" s="268"/>
      <c r="BG32" s="269"/>
      <c r="BH32" s="268"/>
      <c r="BI32" s="269"/>
      <c r="BJ32" s="268"/>
      <c r="BK32" s="269"/>
      <c r="BL32" s="268"/>
      <c r="BM32" s="269"/>
      <c r="BN32" s="268"/>
      <c r="BO32" s="269"/>
      <c r="BP32" s="268"/>
      <c r="BQ32" s="269"/>
      <c r="BR32" s="268"/>
      <c r="BS32" s="269"/>
      <c r="BT32" s="268"/>
      <c r="BU32" s="269"/>
      <c r="BV32" s="270"/>
      <c r="BW32" s="270"/>
      <c r="BX32" s="270"/>
      <c r="BY32"/>
      <c r="BZ32"/>
      <c r="CA32"/>
      <c r="CB32"/>
      <c r="CC32"/>
      <c r="CD32"/>
    </row>
    <row r="33" spans="2:82" s="616" customFormat="1" ht="12.75" customHeight="1" x14ac:dyDescent="0.2">
      <c r="B33" s="617" t="s">
        <v>549</v>
      </c>
      <c r="C33" s="619"/>
      <c r="D33" s="620"/>
      <c r="E33" s="619"/>
      <c r="F33" s="620"/>
      <c r="G33" s="619"/>
      <c r="H33" s="620"/>
      <c r="I33" s="619"/>
      <c r="J33" s="620"/>
      <c r="K33" s="619"/>
      <c r="L33" s="620"/>
      <c r="M33" s="619"/>
      <c r="N33" s="620"/>
      <c r="O33" s="619"/>
      <c r="P33" s="620"/>
      <c r="Q33" s="619"/>
      <c r="R33" s="620"/>
      <c r="S33" s="619"/>
      <c r="T33" s="620"/>
      <c r="U33" s="619"/>
      <c r="V33" s="620"/>
      <c r="W33" s="619"/>
      <c r="X33" s="620"/>
      <c r="Y33" s="619"/>
      <c r="Z33" s="620"/>
      <c r="AA33" s="619"/>
      <c r="AB33" s="620"/>
      <c r="AC33" s="619"/>
      <c r="AD33" s="620"/>
      <c r="AE33" s="619"/>
      <c r="AF33" s="620"/>
      <c r="AG33" s="619"/>
      <c r="AH33" s="620"/>
      <c r="AI33" s="619"/>
      <c r="AJ33" s="620"/>
      <c r="AK33" s="619"/>
      <c r="AL33" s="620"/>
      <c r="AM33" s="619"/>
      <c r="AN33" s="620"/>
      <c r="AO33" s="619"/>
      <c r="AP33" s="620"/>
      <c r="AQ33" s="619"/>
      <c r="AR33" s="620"/>
      <c r="AS33" s="619"/>
      <c r="AT33" s="620"/>
      <c r="AU33" s="619"/>
      <c r="AV33" s="620"/>
      <c r="AW33" s="619"/>
      <c r="AX33" s="620"/>
      <c r="AY33" s="356"/>
      <c r="AZ33" s="618"/>
      <c r="BA33" s="620"/>
      <c r="BB33" s="55"/>
      <c r="BC33" s="626"/>
      <c r="BD33" s="908"/>
      <c r="BE33" s="626"/>
      <c r="BF33" s="55"/>
      <c r="BG33" s="626"/>
      <c r="BH33" s="57"/>
      <c r="BI33" s="626"/>
      <c r="BJ33" s="57"/>
      <c r="BK33" s="626"/>
      <c r="BL33" s="57"/>
      <c r="BM33" s="626"/>
      <c r="BN33" s="57"/>
      <c r="BO33" s="626"/>
      <c r="BP33" s="57"/>
      <c r="BQ33" s="623"/>
      <c r="BR33" s="55"/>
      <c r="BS33" s="623"/>
      <c r="BT33" s="55"/>
      <c r="BU33" s="623"/>
      <c r="BV33" s="39"/>
      <c r="BW33" s="621"/>
      <c r="BX33" s="621"/>
      <c r="BY33"/>
      <c r="BZ33"/>
      <c r="CA33"/>
      <c r="CB33"/>
      <c r="CC33"/>
      <c r="CD33"/>
    </row>
    <row r="34" spans="2:82" s="616" customFormat="1" ht="12.75" customHeight="1" x14ac:dyDescent="0.2">
      <c r="B34" s="42" t="s">
        <v>463</v>
      </c>
      <c r="C34" s="619"/>
      <c r="D34" s="620"/>
      <c r="E34" s="619"/>
      <c r="F34" s="620"/>
      <c r="G34" s="619"/>
      <c r="H34" s="620"/>
      <c r="I34" s="619"/>
      <c r="J34" s="620"/>
      <c r="K34" s="619"/>
      <c r="L34" s="620"/>
      <c r="M34" s="619"/>
      <c r="N34" s="620"/>
      <c r="O34" s="653">
        <v>175300</v>
      </c>
      <c r="P34" s="9" t="str">
        <f t="shared" ref="P34:P80" si="173">IF(ISERROR(O34/G34),"NA",IF(OR(O34/G34&gt;2,O34/G34&lt;0.5),"NM",O34/G34*100-100))</f>
        <v>NA</v>
      </c>
      <c r="Q34" s="691">
        <f>O40</f>
        <v>172900</v>
      </c>
      <c r="R34" s="226" t="str">
        <f t="shared" ref="R34:R42" si="174">IF(ISERROR(Q34/I34),"NA",IF(OR(Q34/I34&gt;2,Q34/I34&lt;0.5),"NM",Q34/I34*100-100))</f>
        <v>NA</v>
      </c>
      <c r="S34" s="691">
        <f>Q40</f>
        <v>176700</v>
      </c>
      <c r="T34" s="226" t="str">
        <f t="shared" ref="T34:T42" si="175">IF(ISERROR(S34/K34),"NA",IF(OR(S34/K34&gt;2,S34/K34&lt;0.5),"NM",S34/K34*100-100))</f>
        <v>NA</v>
      </c>
      <c r="U34" s="691">
        <f>S40</f>
        <v>182200</v>
      </c>
      <c r="V34" s="226" t="str">
        <f t="shared" ref="V34:V42" si="176">IF(ISERROR(U34/M34),"NA",IF(OR(U34/M34&gt;2,U34/M34&lt;0.5),"NM",U34/M34*100-100))</f>
        <v>NA</v>
      </c>
      <c r="W34" s="691">
        <f t="shared" ref="W34:AO34" si="177">U40</f>
        <v>182900</v>
      </c>
      <c r="X34" s="9">
        <f t="shared" ref="X34:X75" si="178">IF(ISERROR(W34/O34),"NA",IF(OR(W34/O34&gt;2,W34/O34&lt;0.5),"NM",W34/O34*100-100))</f>
        <v>4.3354249857387401</v>
      </c>
      <c r="Y34" s="691">
        <f t="shared" si="177"/>
        <v>173300</v>
      </c>
      <c r="Z34" s="9">
        <f t="shared" ref="Z34:Z42" si="179">IF(ISERROR(Y34/Q34),"NA",IF(OR(Y34/Q34&gt;2,Y34/Q34&lt;0.5),"NM",Y34/Q34*100-100))</f>
        <v>0.23134759976866803</v>
      </c>
      <c r="AA34" s="691">
        <f t="shared" si="177"/>
        <v>176700</v>
      </c>
      <c r="AB34" s="226">
        <f t="shared" ref="AB34:AB42" si="180">IF(ISERROR(AA34/S34),"NA",IF(OR(AA34/S34&gt;2,AA34/S34&lt;0.5),"NM",AA34/S34*100-100))</f>
        <v>0</v>
      </c>
      <c r="AC34" s="691">
        <f t="shared" si="177"/>
        <v>181100</v>
      </c>
      <c r="AD34" s="226">
        <f t="shared" ref="AD34:AD42" si="181">IF(ISERROR(AC34/U34),"NA",IF(OR(AC34/U34&gt;2,AC34/U34&lt;0.5),"NM",AC34/U34*100-100))</f>
        <v>-0.60373216245884009</v>
      </c>
      <c r="AE34" s="691">
        <f t="shared" si="177"/>
        <v>184500</v>
      </c>
      <c r="AF34" s="226">
        <f>IF(ISERROR(AE34/W34),"NA",IF(OR(AE34/W34&gt;2,AE34/W34&lt;0.5),"NM",AE34/W34*100-100))</f>
        <v>0.87479496992892791</v>
      </c>
      <c r="AG34" s="691">
        <f t="shared" si="177"/>
        <v>192200</v>
      </c>
      <c r="AH34" s="226">
        <f t="shared" ref="AH34:AH80" si="182">IF(ISERROR(AG34/Y34),"NA",IF(OR(AG34/Y34&gt;2,AG34/Y34&lt;0.5),"NM",AG34/Y34*100-100))</f>
        <v>10.905943450663585</v>
      </c>
      <c r="AI34" s="691">
        <f t="shared" si="177"/>
        <v>193800</v>
      </c>
      <c r="AJ34" s="226">
        <f t="shared" ref="AJ34:AJ40" si="183">IF(ISERROR(AI34/AA34),"NA",IF(OR(AI34/AA34&gt;2,AI34/AA34&lt;0.5),"NM",AI34/AA34*100-100))</f>
        <v>9.6774193548387046</v>
      </c>
      <c r="AK34" s="691">
        <f t="shared" si="177"/>
        <v>203800</v>
      </c>
      <c r="AL34" s="226">
        <f t="shared" ref="AL34:AL40" si="184">IF(ISERROR(AK34/AC34),"NA",IF(OR(AK34/AC34&gt;2,AK34/AC34&lt;0.5),"NM",AK34/AC34*100-100))</f>
        <v>12.534511319712863</v>
      </c>
      <c r="AM34" s="691">
        <f t="shared" si="177"/>
        <v>210100</v>
      </c>
      <c r="AN34" s="226">
        <f t="shared" ref="AN34:AN40" si="185">IF(ISERROR(AM34/AE34),"NA",IF(OR(AM34/AE34&gt;2,AM34/AE34&lt;0.5),"NM",AM34/AE34*100-100))</f>
        <v>13.875338753387538</v>
      </c>
      <c r="AO34" s="691">
        <f t="shared" si="177"/>
        <v>217400</v>
      </c>
      <c r="AP34" s="226">
        <f t="shared" ref="AP34:AP40" si="186">IF(ISERROR(AO34/AG34),"NA",IF(OR(AO34/AG34&gt;2,AO34/AG34&lt;0.5),"NM",AO34/AG34*100-100))</f>
        <v>13.111342351716957</v>
      </c>
      <c r="AQ34" s="691">
        <f t="shared" ref="AQ34" si="187">+AO40</f>
        <v>224000</v>
      </c>
      <c r="AR34" s="226">
        <f t="shared" ref="AR34:AR40" si="188">IF(ISERROR(AQ34/AI34),"NA",IF(OR(AQ34/AI34&gt;2,AQ34/AI34&lt;0.5),"NM",AQ34/AI34*100-100))</f>
        <v>15.583075335397311</v>
      </c>
      <c r="AS34" s="691">
        <f t="shared" ref="AS34" si="189">+AQ40</f>
        <v>222011.8</v>
      </c>
      <c r="AT34" s="226">
        <f t="shared" ref="AT34:AT40" si="190">IF(ISERROR(AS34/AK34),"NA",IF(OR(AS34/AK34&gt;2,AS34/AK34&lt;0.5),"NM",AS34/AK34*100-100))</f>
        <v>8.9361138370951778</v>
      </c>
      <c r="AU34" s="691">
        <f t="shared" ref="AU34" si="191">+AS40</f>
        <v>224426.0642930324</v>
      </c>
      <c r="AV34" s="226">
        <f t="shared" ref="AV34:AV40" si="192">IF(ISERROR(AU34/AM34),"NA",IF(OR(AU34/AM34&gt;2,AU34/AM34&lt;0.5),"NM",AU34/AM34*100-100))</f>
        <v>6.8186883831663039</v>
      </c>
      <c r="AW34" s="691">
        <f t="shared" ref="AW34" si="193">+AU40</f>
        <v>226529.92674657167</v>
      </c>
      <c r="AX34" s="226">
        <f t="shared" ref="AX34:AX40" si="194">IF(ISERROR(AW34/AO34),"NA",IF(OR(AW34/AO34&gt;2,AW34/AO34&lt;0.5),"NM",AW34/AO34*100-100))</f>
        <v>4.1995983194901925</v>
      </c>
      <c r="AY34" s="356"/>
      <c r="AZ34" s="618"/>
      <c r="BA34" s="620"/>
      <c r="BB34" s="55"/>
      <c r="BC34" s="226" t="str">
        <f>IF(ISERROR(BB34/#REF!),"NA",IF(OR(BB34/#REF!&gt;2,BB34/#REF!&lt;0.5),"NM",BB34/#REF!*100-100))</f>
        <v>NA</v>
      </c>
      <c r="BD34" s="908"/>
      <c r="BE34" s="226" t="str">
        <f t="shared" ref="BE34:BS44" si="195">IF(ISERROR(BD34/BB34),"NA",IF(OR(BD34/BB34&gt;2,BD34/BB34&lt;0.5),"NM",BD34/BB34*100-100))</f>
        <v>NA</v>
      </c>
      <c r="BF34" s="55">
        <f>Q40</f>
        <v>176700</v>
      </c>
      <c r="BG34" s="226" t="str">
        <f t="shared" si="195"/>
        <v>NA</v>
      </c>
      <c r="BH34" s="55">
        <f>BF40</f>
        <v>176700</v>
      </c>
      <c r="BI34" s="226">
        <f t="shared" si="195"/>
        <v>0</v>
      </c>
      <c r="BJ34" s="55">
        <f>BH40</f>
        <v>193800</v>
      </c>
      <c r="BK34" s="226">
        <f t="shared" si="195"/>
        <v>9.6774193548387046</v>
      </c>
      <c r="BL34" s="55">
        <f>BJ40</f>
        <v>224000</v>
      </c>
      <c r="BM34" s="226">
        <f t="shared" si="195"/>
        <v>15.583075335397311</v>
      </c>
      <c r="BN34" s="55">
        <f>BL40</f>
        <v>228144.61872441421</v>
      </c>
      <c r="BO34" s="226">
        <f t="shared" si="195"/>
        <v>1.8502762162563471</v>
      </c>
      <c r="BP34" s="55">
        <f t="shared" ref="BP34" si="196">BN40</f>
        <v>237497.52452641641</v>
      </c>
      <c r="BQ34" s="226">
        <f t="shared" si="195"/>
        <v>4.0995513522499465</v>
      </c>
      <c r="BR34" s="55">
        <f t="shared" ref="BR34" si="197">BP40</f>
        <v>246882.27079051477</v>
      </c>
      <c r="BS34" s="226">
        <f t="shared" si="195"/>
        <v>3.9515132980068302</v>
      </c>
      <c r="BT34" s="55">
        <f t="shared" ref="BT34" si="198">BR40</f>
        <v>256326.56051177048</v>
      </c>
      <c r="BU34" s="226">
        <f t="shared" ref="BU34:BU40" si="199">IF(ISERROR(BT34/BR34),"NA",IF(OR(BT34/BR34&gt;2,BT34/BR34&lt;0.5),"NM",BT34/BR34*100-100))</f>
        <v>3.8254224132884076</v>
      </c>
      <c r="BV34" s="43">
        <f t="shared" ref="BV34:BV40" si="200">IF(ISERROR(((BT34/BJ34)^0.2-1)*100),"NA",IF((((BT34/BJ34)^0.2-1)*100)&gt;100,"NM",IF((((BT34/BJ34)^0.2-1)*100)&lt;-50,"NM",((BT34/BJ34)^0.2-1)*100)))</f>
        <v>5.7518485136699216</v>
      </c>
      <c r="BW34" s="621"/>
      <c r="BX34" s="621"/>
      <c r="BY34"/>
      <c r="BZ34"/>
      <c r="CA34"/>
      <c r="CB34"/>
      <c r="CC34"/>
      <c r="CD34"/>
    </row>
    <row r="35" spans="2:82" s="616" customFormat="1" ht="12.75" customHeight="1" x14ac:dyDescent="0.2">
      <c r="B35" s="5" t="s">
        <v>135</v>
      </c>
      <c r="C35" s="619"/>
      <c r="D35" s="620"/>
      <c r="E35" s="619"/>
      <c r="F35" s="620"/>
      <c r="G35" s="619"/>
      <c r="H35" s="620"/>
      <c r="I35" s="619"/>
      <c r="J35" s="620"/>
      <c r="K35" s="619"/>
      <c r="L35" s="620"/>
      <c r="M35" s="619"/>
      <c r="N35" s="620"/>
      <c r="O35" s="653">
        <v>6000</v>
      </c>
      <c r="P35" s="9" t="str">
        <f t="shared" si="173"/>
        <v>NA</v>
      </c>
      <c r="Q35" s="653">
        <v>6300</v>
      </c>
      <c r="R35" s="226" t="str">
        <f t="shared" si="174"/>
        <v>NA</v>
      </c>
      <c r="S35" s="653">
        <v>8400</v>
      </c>
      <c r="T35" s="226" t="str">
        <f t="shared" si="175"/>
        <v>NA</v>
      </c>
      <c r="U35" s="653">
        <v>6500</v>
      </c>
      <c r="V35" s="226" t="str">
        <f t="shared" si="176"/>
        <v>NA</v>
      </c>
      <c r="W35" s="653">
        <v>6200</v>
      </c>
      <c r="X35" s="9">
        <f t="shared" si="178"/>
        <v>3.3333333333333428</v>
      </c>
      <c r="Y35" s="653">
        <v>6700</v>
      </c>
      <c r="Z35" s="9">
        <f t="shared" si="179"/>
        <v>6.3492063492063551</v>
      </c>
      <c r="AA35" s="653">
        <v>9200</v>
      </c>
      <c r="AB35" s="226">
        <f t="shared" si="180"/>
        <v>9.5238095238095326</v>
      </c>
      <c r="AC35" s="653">
        <v>7200</v>
      </c>
      <c r="AD35" s="226">
        <f t="shared" si="181"/>
        <v>10.769230769230774</v>
      </c>
      <c r="AE35" s="653">
        <v>7200</v>
      </c>
      <c r="AF35" s="226">
        <f t="shared" ref="AF35:AF80" si="201">IF(ISERROR(AE35/W35),"NA",IF(OR(AE35/W35&gt;2,AE35/W35&lt;0.5),"NM",AE35/W35*100-100))</f>
        <v>16.129032258064527</v>
      </c>
      <c r="AG35" s="653">
        <v>7800</v>
      </c>
      <c r="AH35" s="226">
        <f t="shared" si="182"/>
        <v>16.417910447761201</v>
      </c>
      <c r="AI35" s="653">
        <v>9300</v>
      </c>
      <c r="AJ35" s="226">
        <f t="shared" si="183"/>
        <v>1.0869565217391397</v>
      </c>
      <c r="AK35" s="653">
        <v>8100</v>
      </c>
      <c r="AL35" s="226">
        <f t="shared" si="184"/>
        <v>12.5</v>
      </c>
      <c r="AM35" s="653">
        <v>7500</v>
      </c>
      <c r="AN35" s="226">
        <f t="shared" si="185"/>
        <v>4.1666666666666714</v>
      </c>
      <c r="AO35" s="653">
        <v>7700</v>
      </c>
      <c r="AP35" s="226">
        <f t="shared" si="186"/>
        <v>-1.2820512820512704</v>
      </c>
      <c r="AQ35" s="653">
        <f>AI35*1.03</f>
        <v>9579</v>
      </c>
      <c r="AR35" s="226">
        <f t="shared" si="188"/>
        <v>3</v>
      </c>
      <c r="AS35" s="653">
        <f>AK35*1.03</f>
        <v>8343</v>
      </c>
      <c r="AT35" s="226">
        <f t="shared" si="190"/>
        <v>3</v>
      </c>
      <c r="AU35" s="653">
        <f>AM35*1.03</f>
        <v>7725</v>
      </c>
      <c r="AV35" s="226">
        <f t="shared" si="192"/>
        <v>3</v>
      </c>
      <c r="AW35" s="653">
        <f>AO35*1.03</f>
        <v>7931</v>
      </c>
      <c r="AX35" s="226">
        <f t="shared" si="194"/>
        <v>3</v>
      </c>
      <c r="AY35" s="356"/>
      <c r="AZ35" s="618"/>
      <c r="BA35" s="620"/>
      <c r="BB35" s="55"/>
      <c r="BC35" s="226" t="str">
        <f>IF(ISERROR(BB35/#REF!),"NA",IF(OR(BB35/#REF!&gt;2,BB35/#REF!&lt;0.5),"NM",BB35/#REF!*100-100))</f>
        <v>NA</v>
      </c>
      <c r="BD35" s="908"/>
      <c r="BE35" s="226" t="str">
        <f t="shared" si="195"/>
        <v>NA</v>
      </c>
      <c r="BF35" s="55">
        <f>SUM(S35+U35+W35+Y35)</f>
        <v>27800</v>
      </c>
      <c r="BG35" s="226" t="str">
        <f t="shared" si="195"/>
        <v>NA</v>
      </c>
      <c r="BH35" s="55">
        <f>AA35+AC35+AE35+AG35</f>
        <v>31400</v>
      </c>
      <c r="BI35" s="226">
        <f t="shared" si="195"/>
        <v>12.949640287769796</v>
      </c>
      <c r="BJ35" s="55">
        <f>AI35+AK35+AM35+AO35</f>
        <v>32600</v>
      </c>
      <c r="BK35" s="226">
        <f t="shared" si="195"/>
        <v>3.8216560509554114</v>
      </c>
      <c r="BL35" s="55">
        <f>AQ35+AS35+AU35+AW35</f>
        <v>33578</v>
      </c>
      <c r="BM35" s="226">
        <f t="shared" si="195"/>
        <v>3</v>
      </c>
      <c r="BN35" s="653">
        <f>BL35*1.03</f>
        <v>34585.340000000004</v>
      </c>
      <c r="BO35" s="226">
        <f t="shared" si="195"/>
        <v>3</v>
      </c>
      <c r="BP35" s="653">
        <f>BN35*1.03</f>
        <v>35622.900200000004</v>
      </c>
      <c r="BQ35" s="226">
        <f t="shared" si="195"/>
        <v>3</v>
      </c>
      <c r="BR35" s="653">
        <f>BP35*1.03</f>
        <v>36691.587206000004</v>
      </c>
      <c r="BS35" s="226">
        <f t="shared" si="195"/>
        <v>3</v>
      </c>
      <c r="BT35" s="653">
        <f>BR35*1.03</f>
        <v>37792.334822180004</v>
      </c>
      <c r="BU35" s="226">
        <f t="shared" si="199"/>
        <v>3</v>
      </c>
      <c r="BV35" s="43">
        <f t="shared" si="200"/>
        <v>3.0000000000000027</v>
      </c>
      <c r="BW35" s="621"/>
      <c r="BX35" s="621"/>
      <c r="BY35"/>
      <c r="BZ35"/>
      <c r="CA35"/>
      <c r="CB35"/>
      <c r="CC35"/>
      <c r="CD35"/>
    </row>
    <row r="36" spans="2:82" s="629" customFormat="1" ht="12.75" hidden="1" customHeight="1" outlineLevel="1" x14ac:dyDescent="0.2">
      <c r="B36" s="630" t="s">
        <v>199</v>
      </c>
      <c r="C36" s="632"/>
      <c r="D36" s="633"/>
      <c r="E36" s="632"/>
      <c r="F36" s="633"/>
      <c r="G36" s="632"/>
      <c r="H36" s="633"/>
      <c r="I36" s="632"/>
      <c r="J36" s="633"/>
      <c r="K36" s="632"/>
      <c r="L36" s="633"/>
      <c r="M36" s="632"/>
      <c r="N36" s="633"/>
      <c r="O36" s="634">
        <f>O35</f>
        <v>6000</v>
      </c>
      <c r="P36" s="9" t="str">
        <f t="shared" si="173"/>
        <v>NA</v>
      </c>
      <c r="Q36" s="634">
        <f>Q35</f>
        <v>6300</v>
      </c>
      <c r="R36" s="226" t="str">
        <f t="shared" si="174"/>
        <v>NA</v>
      </c>
      <c r="S36" s="634">
        <f>S35</f>
        <v>8400</v>
      </c>
      <c r="T36" s="226" t="str">
        <f t="shared" si="175"/>
        <v>NA</v>
      </c>
      <c r="U36" s="634">
        <f>U35</f>
        <v>6500</v>
      </c>
      <c r="V36" s="226" t="str">
        <f t="shared" si="176"/>
        <v>NA</v>
      </c>
      <c r="W36" s="634">
        <f t="shared" ref="W36:Y36" si="202">W35</f>
        <v>6200</v>
      </c>
      <c r="X36" s="9">
        <f t="shared" si="178"/>
        <v>3.3333333333333428</v>
      </c>
      <c r="Y36" s="634">
        <f t="shared" si="202"/>
        <v>6700</v>
      </c>
      <c r="Z36" s="635">
        <f t="shared" si="179"/>
        <v>6.3492063492063551</v>
      </c>
      <c r="AA36" s="634">
        <f t="shared" ref="AA36:AC36" si="203">AA35</f>
        <v>9200</v>
      </c>
      <c r="AB36" s="226">
        <f t="shared" si="180"/>
        <v>9.5238095238095326</v>
      </c>
      <c r="AC36" s="634">
        <f t="shared" si="203"/>
        <v>7200</v>
      </c>
      <c r="AD36" s="226">
        <f t="shared" si="181"/>
        <v>10.769230769230774</v>
      </c>
      <c r="AE36" s="634">
        <f t="shared" ref="AE36:AG36" si="204">AE35</f>
        <v>7200</v>
      </c>
      <c r="AF36" s="226">
        <f t="shared" si="201"/>
        <v>16.129032258064527</v>
      </c>
      <c r="AG36" s="634">
        <f t="shared" si="204"/>
        <v>7800</v>
      </c>
      <c r="AH36" s="226">
        <f t="shared" si="182"/>
        <v>16.417910447761201</v>
      </c>
      <c r="AI36" s="634">
        <f t="shared" ref="AI36:AM36" si="205">AI35</f>
        <v>9300</v>
      </c>
      <c r="AJ36" s="226">
        <f t="shared" si="183"/>
        <v>1.0869565217391397</v>
      </c>
      <c r="AK36" s="634">
        <f t="shared" si="205"/>
        <v>8100</v>
      </c>
      <c r="AL36" s="226">
        <f t="shared" si="184"/>
        <v>12.5</v>
      </c>
      <c r="AM36" s="634">
        <f t="shared" si="205"/>
        <v>7500</v>
      </c>
      <c r="AN36" s="226">
        <f t="shared" si="185"/>
        <v>4.1666666666666714</v>
      </c>
      <c r="AO36" s="634">
        <f t="shared" ref="AO36" si="206">AO35</f>
        <v>7700</v>
      </c>
      <c r="AP36" s="226">
        <f t="shared" si="186"/>
        <v>-1.2820512820512704</v>
      </c>
      <c r="AQ36" s="634">
        <f>IF($B$6=1,AQ35,IF($B$6=2,(AQ46+#REF!)*(AQ34/400),IF($B$6=3,(AQ46+#REF!)*(AQ34/400))))</f>
        <v>9579</v>
      </c>
      <c r="AR36" s="226">
        <f t="shared" si="188"/>
        <v>3</v>
      </c>
      <c r="AS36" s="634">
        <f>IF($B$6=1,AS35,IF($B$6=2,(AS46+#REF!)*(AS34/400),IF($B$6=3,(AS46+#REF!)*(AS34/400))))</f>
        <v>8343</v>
      </c>
      <c r="AT36" s="226">
        <f t="shared" si="190"/>
        <v>3</v>
      </c>
      <c r="AU36" s="634">
        <f>IF($B$6=1,AU35,IF($B$6=2,(AU46+#REF!)*(AU34/400),IF($B$6=3,(AU46+#REF!)*(AU34/400))))</f>
        <v>7725</v>
      </c>
      <c r="AV36" s="226">
        <f t="shared" si="192"/>
        <v>3</v>
      </c>
      <c r="AW36" s="634">
        <f>IF($B$6=1,AW35,IF($B$6=2,(AW46+#REF!)*(AW34/400),IF($B$6=3,(AW46+#REF!)*(AW34/400))))</f>
        <v>7931</v>
      </c>
      <c r="AX36" s="226">
        <f t="shared" si="194"/>
        <v>3</v>
      </c>
      <c r="AY36" s="636"/>
      <c r="AZ36" s="631"/>
      <c r="BA36" s="633"/>
      <c r="BB36" s="634"/>
      <c r="BC36" s="226" t="str">
        <f>IF(ISERROR(BB36/#REF!),"NA",IF(OR(BB36/#REF!&gt;2,BB36/#REF!&lt;0.5),"NM",BB36/#REF!*100-100))</f>
        <v>NA</v>
      </c>
      <c r="BD36" s="909"/>
      <c r="BE36" s="226" t="str">
        <f t="shared" si="195"/>
        <v>NA</v>
      </c>
      <c r="BF36" s="634">
        <f>IF($B$6=1,BF35,IF($B$6=2,(BF46+#REF!)*(BF34/400),IF($B$6=3,(BF46+#REF!)*(BF34/400))))</f>
        <v>27800</v>
      </c>
      <c r="BG36" s="226" t="str">
        <f t="shared" si="195"/>
        <v>NA</v>
      </c>
      <c r="BH36" s="634">
        <f>IF($B$6=1,BH35,IF($B$6=2,(BH46+#REF!)*(BH34/400),IF($B$6=3,(BH46+#REF!)*(BH34/400))))</f>
        <v>31400</v>
      </c>
      <c r="BI36" s="226">
        <f t="shared" si="195"/>
        <v>12.949640287769796</v>
      </c>
      <c r="BJ36" s="845">
        <f>IF($B$6=1,BJ35,IF($B$6=2,(BJ46+#REF!)*(BJ34/400),IF($B$6=3,(BJ46+#REF!)*(BJ34/400))))</f>
        <v>32600</v>
      </c>
      <c r="BK36" s="226">
        <f t="shared" si="195"/>
        <v>3.8216560509554114</v>
      </c>
      <c r="BL36" s="845">
        <f>IF($B$6=1,BL35,IF($B$6=2,(BL46+#REF!)*(BL34/400),IF($B$6=3,(BL46+#REF!)*(BL34/400))))</f>
        <v>33578</v>
      </c>
      <c r="BM36" s="226">
        <f t="shared" si="195"/>
        <v>3</v>
      </c>
      <c r="BN36" s="634">
        <f>IF($B$6=1,BN35,IF($B$6=2,(BN46+#REF!)*(BN34/400),IF($B$6=3,(BN46+#REF!)*(BN34/400))))</f>
        <v>34585.340000000004</v>
      </c>
      <c r="BO36" s="226">
        <f t="shared" si="195"/>
        <v>3</v>
      </c>
      <c r="BP36" s="634">
        <f>IF($B$6=1,BP35,IF($B$6=2,(BP46+#REF!)*(BP34/400),IF($B$6=3,(BP46+#REF!)*(BP34/400))))</f>
        <v>35622.900200000004</v>
      </c>
      <c r="BQ36" s="226">
        <f t="shared" si="195"/>
        <v>3</v>
      </c>
      <c r="BR36" s="634">
        <f>IF($B$6=1,BR35,IF($B$6=2,(BR46+#REF!)*(BR34/400),IF($B$6=3,(BR46+#REF!)*(BR34/400))))</f>
        <v>36691.587206000004</v>
      </c>
      <c r="BS36" s="226">
        <f t="shared" si="195"/>
        <v>3</v>
      </c>
      <c r="BT36" s="634">
        <f>IF($B$6=1,BT35,IF($B$6=2,(BT46+#REF!)*(BT34/400),IF($B$6=3,(BT46+#REF!)*(BT34/400))))</f>
        <v>37792.334822180004</v>
      </c>
      <c r="BU36" s="226">
        <f t="shared" si="199"/>
        <v>3</v>
      </c>
      <c r="BV36" s="43">
        <f t="shared" si="200"/>
        <v>3.0000000000000027</v>
      </c>
      <c r="BW36" s="637"/>
      <c r="BX36" s="637"/>
      <c r="BY36"/>
      <c r="BZ36"/>
      <c r="CA36"/>
      <c r="CB36"/>
      <c r="CC36"/>
      <c r="CD36"/>
    </row>
    <row r="37" spans="2:82" s="616" customFormat="1" ht="12.75" customHeight="1" collapsed="1" x14ac:dyDescent="0.2">
      <c r="B37" s="5" t="s">
        <v>136</v>
      </c>
      <c r="C37" s="619"/>
      <c r="D37" s="620"/>
      <c r="E37" s="619"/>
      <c r="F37" s="620"/>
      <c r="G37" s="619"/>
      <c r="H37" s="620"/>
      <c r="I37" s="619"/>
      <c r="J37" s="620"/>
      <c r="K37" s="619"/>
      <c r="L37" s="620"/>
      <c r="M37" s="619"/>
      <c r="N37" s="620"/>
      <c r="O37" s="653">
        <v>-6100</v>
      </c>
      <c r="P37" s="9" t="str">
        <f t="shared" si="173"/>
        <v>NA</v>
      </c>
      <c r="Q37" s="653">
        <v>-7000</v>
      </c>
      <c r="R37" s="226" t="str">
        <f t="shared" si="174"/>
        <v>NA</v>
      </c>
      <c r="S37" s="653">
        <v>-6600</v>
      </c>
      <c r="T37" s="226" t="str">
        <f t="shared" si="175"/>
        <v>NA</v>
      </c>
      <c r="U37" s="653">
        <v>-6000</v>
      </c>
      <c r="V37" s="226" t="str">
        <f t="shared" si="176"/>
        <v>NA</v>
      </c>
      <c r="W37" s="653">
        <v>-6400</v>
      </c>
      <c r="X37" s="9">
        <f t="shared" si="178"/>
        <v>4.9180327868852487</v>
      </c>
      <c r="Y37" s="653">
        <v>-8300</v>
      </c>
      <c r="Z37" s="9">
        <f t="shared" si="179"/>
        <v>18.571428571428569</v>
      </c>
      <c r="AA37" s="653">
        <v>-6200</v>
      </c>
      <c r="AB37" s="226">
        <f t="shared" si="180"/>
        <v>-6.0606060606060623</v>
      </c>
      <c r="AC37" s="653">
        <v>-7200</v>
      </c>
      <c r="AD37" s="226">
        <f t="shared" si="181"/>
        <v>20</v>
      </c>
      <c r="AE37" s="653">
        <v>-5800</v>
      </c>
      <c r="AF37" s="226">
        <f t="shared" si="201"/>
        <v>-9.375</v>
      </c>
      <c r="AG37" s="653">
        <v>-8000</v>
      </c>
      <c r="AH37" s="226">
        <f t="shared" si="182"/>
        <v>-3.6144578313252964</v>
      </c>
      <c r="AI37" s="653">
        <v>-7100</v>
      </c>
      <c r="AJ37" s="226">
        <f t="shared" si="183"/>
        <v>14.516129032258078</v>
      </c>
      <c r="AK37" s="653">
        <v>-8000</v>
      </c>
      <c r="AL37" s="226">
        <f t="shared" si="184"/>
        <v>11.111111111111114</v>
      </c>
      <c r="AM37" s="653">
        <v>-7900</v>
      </c>
      <c r="AN37" s="226">
        <f t="shared" si="185"/>
        <v>36.206896551724128</v>
      </c>
      <c r="AO37" s="653">
        <v>-9000</v>
      </c>
      <c r="AP37" s="226">
        <f t="shared" si="186"/>
        <v>12.5</v>
      </c>
      <c r="AQ37" s="691">
        <f t="shared" ref="AQ37:AW37" si="207">+(AQ47/100/4)*AQ34</f>
        <v>-9520</v>
      </c>
      <c r="AR37" s="226">
        <f t="shared" si="188"/>
        <v>34.084507042253506</v>
      </c>
      <c r="AS37" s="691">
        <f t="shared" si="207"/>
        <v>-8714.8891069676156</v>
      </c>
      <c r="AT37" s="226">
        <f t="shared" si="190"/>
        <v>8.9361138370952062</v>
      </c>
      <c r="AU37" s="691">
        <f t="shared" si="207"/>
        <v>-8438.6763822701378</v>
      </c>
      <c r="AV37" s="226">
        <f t="shared" si="192"/>
        <v>6.8186883831663039</v>
      </c>
      <c r="AW37" s="691">
        <f t="shared" si="207"/>
        <v>-9061.1970698628666</v>
      </c>
      <c r="AX37" s="226">
        <f t="shared" si="194"/>
        <v>0.67996744292074141</v>
      </c>
      <c r="AY37" s="356"/>
      <c r="AZ37" s="618"/>
      <c r="BA37" s="620"/>
      <c r="BB37" s="55"/>
      <c r="BC37" s="226" t="str">
        <f>IF(ISERROR(BB37/#REF!),"NA",IF(OR(BB37/#REF!&gt;2,BB37/#REF!&lt;0.5),"NM",BB37/#REF!*100-100))</f>
        <v>NA</v>
      </c>
      <c r="BD37" s="908"/>
      <c r="BE37" s="226" t="str">
        <f t="shared" si="195"/>
        <v>NA</v>
      </c>
      <c r="BF37" s="55">
        <f>SUM(S37+U37+W37+Y37)</f>
        <v>-27300</v>
      </c>
      <c r="BG37" s="226" t="str">
        <f t="shared" si="195"/>
        <v>NA</v>
      </c>
      <c r="BH37" s="55">
        <f>AA37+AC37+AE37+AG37</f>
        <v>-27200</v>
      </c>
      <c r="BI37" s="226">
        <f t="shared" si="195"/>
        <v>-0.366300366300365</v>
      </c>
      <c r="BJ37" s="55">
        <f>AI37+AK37+AM37+AO37</f>
        <v>-32000</v>
      </c>
      <c r="BK37" s="226">
        <f t="shared" si="195"/>
        <v>17.64705882352942</v>
      </c>
      <c r="BL37" s="55">
        <f>AQ37+AS37+AU37+AW37</f>
        <v>-35734.762559100622</v>
      </c>
      <c r="BM37" s="226">
        <f t="shared" si="195"/>
        <v>11.671132997189446</v>
      </c>
      <c r="BN37" s="55">
        <f t="shared" ref="BN37:BP37" si="208">(BN47/100)*BN34</f>
        <v>-36395.954371667336</v>
      </c>
      <c r="BO37" s="226">
        <f t="shared" si="195"/>
        <v>1.8502762162563329</v>
      </c>
      <c r="BP37" s="55">
        <f t="shared" si="208"/>
        <v>-37888.025211275301</v>
      </c>
      <c r="BQ37" s="226">
        <f t="shared" si="195"/>
        <v>4.0995513522499465</v>
      </c>
      <c r="BR37" s="55">
        <f t="shared" ref="BR37:BT37" si="209">(BR47/100)*BR34</f>
        <v>-39385.175565851023</v>
      </c>
      <c r="BS37" s="226">
        <f t="shared" si="195"/>
        <v>3.9515132980068302</v>
      </c>
      <c r="BT37" s="55">
        <f t="shared" si="209"/>
        <v>-40891.824899460073</v>
      </c>
      <c r="BU37" s="226">
        <f t="shared" si="199"/>
        <v>3.8254224132884076</v>
      </c>
      <c r="BV37" s="43">
        <f t="shared" si="200"/>
        <v>5.0261154706669586</v>
      </c>
      <c r="BW37" s="621"/>
      <c r="BX37" s="621"/>
      <c r="BY37"/>
      <c r="BZ37"/>
      <c r="CA37"/>
      <c r="CB37"/>
      <c r="CC37"/>
      <c r="CD37"/>
    </row>
    <row r="38" spans="2:82" s="616" customFormat="1" ht="12.75" customHeight="1" x14ac:dyDescent="0.2">
      <c r="B38" s="5" t="s">
        <v>68</v>
      </c>
      <c r="C38" s="619"/>
      <c r="D38" s="620"/>
      <c r="E38" s="619"/>
      <c r="F38" s="620"/>
      <c r="G38" s="619"/>
      <c r="H38" s="620"/>
      <c r="I38" s="619"/>
      <c r="J38" s="620"/>
      <c r="K38" s="619"/>
      <c r="L38" s="620"/>
      <c r="M38" s="619"/>
      <c r="N38" s="620"/>
      <c r="O38" s="331">
        <v>-2100</v>
      </c>
      <c r="P38" s="9" t="str">
        <f t="shared" si="173"/>
        <v>NA</v>
      </c>
      <c r="Q38" s="331">
        <v>4500</v>
      </c>
      <c r="R38" s="226" t="str">
        <f t="shared" si="174"/>
        <v>NA</v>
      </c>
      <c r="S38" s="331">
        <v>4000</v>
      </c>
      <c r="T38" s="226" t="str">
        <f t="shared" si="175"/>
        <v>NA</v>
      </c>
      <c r="U38" s="331">
        <v>200</v>
      </c>
      <c r="V38" s="226" t="str">
        <f t="shared" si="176"/>
        <v>NA</v>
      </c>
      <c r="W38" s="331">
        <v>-9200</v>
      </c>
      <c r="X38" s="9" t="str">
        <f t="shared" si="178"/>
        <v>NM</v>
      </c>
      <c r="Y38" s="331">
        <v>5200</v>
      </c>
      <c r="Z38" s="9">
        <f t="shared" si="179"/>
        <v>15.555555555555543</v>
      </c>
      <c r="AA38" s="331">
        <v>1500</v>
      </c>
      <c r="AB38" s="226" t="str">
        <f t="shared" si="180"/>
        <v>NM</v>
      </c>
      <c r="AC38" s="331">
        <v>3600</v>
      </c>
      <c r="AD38" s="226" t="str">
        <f t="shared" si="181"/>
        <v>NM</v>
      </c>
      <c r="AE38" s="331">
        <v>6500</v>
      </c>
      <c r="AF38" s="226" t="str">
        <f t="shared" si="201"/>
        <v>NM</v>
      </c>
      <c r="AG38" s="331">
        <v>2000</v>
      </c>
      <c r="AH38" s="226" t="str">
        <f t="shared" si="182"/>
        <v>NM</v>
      </c>
      <c r="AI38" s="331">
        <v>8100</v>
      </c>
      <c r="AJ38" s="226" t="str">
        <f t="shared" si="183"/>
        <v>NM</v>
      </c>
      <c r="AK38" s="331">
        <v>6300</v>
      </c>
      <c r="AL38" s="226">
        <f t="shared" si="184"/>
        <v>75</v>
      </c>
      <c r="AM38" s="331">
        <v>7800</v>
      </c>
      <c r="AN38" s="226">
        <f t="shared" si="185"/>
        <v>20</v>
      </c>
      <c r="AO38" s="331">
        <v>8100</v>
      </c>
      <c r="AP38" s="226" t="str">
        <f t="shared" si="186"/>
        <v>NM</v>
      </c>
      <c r="AQ38" s="241">
        <f t="shared" ref="AQ38:AW38" si="210">AQ34*(AQ50/100*AQ$31/100)</f>
        <v>-1747.2</v>
      </c>
      <c r="AR38" s="226" t="str">
        <f t="shared" si="188"/>
        <v>NM</v>
      </c>
      <c r="AS38" s="241">
        <f t="shared" si="210"/>
        <v>2886.1534000000001</v>
      </c>
      <c r="AT38" s="226" t="str">
        <f t="shared" si="190"/>
        <v>NM</v>
      </c>
      <c r="AU38" s="241">
        <f t="shared" si="210"/>
        <v>2917.5388358094215</v>
      </c>
      <c r="AV38" s="226" t="str">
        <f t="shared" si="192"/>
        <v>NM</v>
      </c>
      <c r="AW38" s="241">
        <f t="shared" si="210"/>
        <v>2944.8890477054319</v>
      </c>
      <c r="AX38" s="226" t="str">
        <f t="shared" si="194"/>
        <v>NM</v>
      </c>
      <c r="AY38" s="356"/>
      <c r="AZ38" s="618"/>
      <c r="BA38" s="620"/>
      <c r="BB38" s="55"/>
      <c r="BC38" s="226" t="str">
        <f>IF(ISERROR(BB38/#REF!),"NA",IF(OR(BB38/#REF!&gt;2,BB38/#REF!&lt;0.5),"NM",BB38/#REF!*100-100))</f>
        <v>NA</v>
      </c>
      <c r="BD38" s="908"/>
      <c r="BE38" s="226" t="str">
        <f t="shared" si="195"/>
        <v>NA</v>
      </c>
      <c r="BF38" s="55">
        <f>SUM(S38+U38+W38+Y38)</f>
        <v>200</v>
      </c>
      <c r="BG38" s="226" t="str">
        <f t="shared" si="195"/>
        <v>NA</v>
      </c>
      <c r="BH38" s="55">
        <f>AA38+AC38+AE38+AG38</f>
        <v>13600</v>
      </c>
      <c r="BI38" s="226" t="str">
        <f t="shared" si="195"/>
        <v>NM</v>
      </c>
      <c r="BJ38" s="55">
        <f>AI38+AK38+AM38+AO38</f>
        <v>30300</v>
      </c>
      <c r="BK38" s="226" t="str">
        <f t="shared" si="195"/>
        <v>NM</v>
      </c>
      <c r="BL38" s="55">
        <f>AQ38+AS38+AU38+AW38</f>
        <v>7001.3812835148537</v>
      </c>
      <c r="BM38" s="226" t="str">
        <f t="shared" si="195"/>
        <v>NM</v>
      </c>
      <c r="BN38" s="241">
        <f>BN34*(BN30/100)*BN50/100</f>
        <v>11863.520173669538</v>
      </c>
      <c r="BO38" s="226">
        <f t="shared" si="195"/>
        <v>69.445423599524048</v>
      </c>
      <c r="BP38" s="241">
        <f>BP34*(BP30/100)*BP50/100</f>
        <v>12349.871275373653</v>
      </c>
      <c r="BQ38" s="226">
        <f t="shared" si="195"/>
        <v>4.0995513522499465</v>
      </c>
      <c r="BR38" s="241">
        <f>BR34*(BR30/100)*BR50/100</f>
        <v>12837.878081106766</v>
      </c>
      <c r="BS38" s="226">
        <f t="shared" si="195"/>
        <v>3.9515132980068017</v>
      </c>
      <c r="BT38" s="241">
        <f>BT34*(BT30/100)*BT50/100</f>
        <v>13328.981146612066</v>
      </c>
      <c r="BU38" s="226">
        <f t="shared" si="199"/>
        <v>3.8254224132884218</v>
      </c>
      <c r="BV38" s="43">
        <f t="shared" si="200"/>
        <v>-15.146284215278538</v>
      </c>
      <c r="BW38" s="621"/>
      <c r="BX38" s="621"/>
      <c r="BY38"/>
      <c r="BZ38"/>
      <c r="CA38"/>
      <c r="CB38"/>
      <c r="CC38"/>
      <c r="CD38"/>
    </row>
    <row r="39" spans="2:82" s="616" customFormat="1" ht="12.75" customHeight="1" x14ac:dyDescent="0.2">
      <c r="B39" s="5" t="s">
        <v>69</v>
      </c>
      <c r="C39" s="619"/>
      <c r="D39" s="620"/>
      <c r="E39" s="619"/>
      <c r="F39" s="620"/>
      <c r="G39" s="619"/>
      <c r="H39" s="620"/>
      <c r="I39" s="619"/>
      <c r="J39" s="620"/>
      <c r="K39" s="619"/>
      <c r="L39" s="620"/>
      <c r="M39" s="619"/>
      <c r="N39" s="620"/>
      <c r="O39" s="50">
        <v>-200</v>
      </c>
      <c r="P39" s="9" t="str">
        <f t="shared" si="173"/>
        <v>NA</v>
      </c>
      <c r="Q39" s="50">
        <v>0</v>
      </c>
      <c r="R39" s="226" t="str">
        <f t="shared" si="174"/>
        <v>NA</v>
      </c>
      <c r="S39" s="50">
        <v>-300</v>
      </c>
      <c r="T39" s="226" t="str">
        <f t="shared" si="175"/>
        <v>NA</v>
      </c>
      <c r="U39" s="50">
        <v>0</v>
      </c>
      <c r="V39" s="226" t="str">
        <f t="shared" si="176"/>
        <v>NA</v>
      </c>
      <c r="W39" s="50">
        <v>-200</v>
      </c>
      <c r="X39" s="9">
        <f t="shared" si="178"/>
        <v>0</v>
      </c>
      <c r="Y39" s="50">
        <v>-200</v>
      </c>
      <c r="Z39" s="9" t="str">
        <f t="shared" si="179"/>
        <v>NA</v>
      </c>
      <c r="AA39" s="50">
        <v>-100</v>
      </c>
      <c r="AB39" s="226" t="str">
        <f t="shared" si="180"/>
        <v>NM</v>
      </c>
      <c r="AC39" s="50">
        <v>-200</v>
      </c>
      <c r="AD39" s="226" t="str">
        <f t="shared" si="181"/>
        <v>NA</v>
      </c>
      <c r="AE39" s="50">
        <v>-200</v>
      </c>
      <c r="AF39" s="226">
        <f t="shared" si="201"/>
        <v>0</v>
      </c>
      <c r="AG39" s="50">
        <v>-200</v>
      </c>
      <c r="AH39" s="226">
        <f t="shared" si="182"/>
        <v>0</v>
      </c>
      <c r="AI39" s="50">
        <v>-300</v>
      </c>
      <c r="AJ39" s="226" t="str">
        <f t="shared" si="183"/>
        <v>NM</v>
      </c>
      <c r="AK39" s="50">
        <v>-100</v>
      </c>
      <c r="AL39" s="226">
        <f t="shared" si="184"/>
        <v>-50</v>
      </c>
      <c r="AM39" s="50">
        <v>-100</v>
      </c>
      <c r="AN39" s="226">
        <f t="shared" si="185"/>
        <v>-50</v>
      </c>
      <c r="AO39" s="50">
        <v>-200</v>
      </c>
      <c r="AP39" s="226">
        <f t="shared" si="186"/>
        <v>0</v>
      </c>
      <c r="AQ39" s="50">
        <f t="shared" ref="AQ39" si="211">AI39</f>
        <v>-300</v>
      </c>
      <c r="AR39" s="226">
        <f t="shared" si="188"/>
        <v>0</v>
      </c>
      <c r="AS39" s="50">
        <f t="shared" ref="AS39" si="212">AK39</f>
        <v>-100</v>
      </c>
      <c r="AT39" s="226">
        <f t="shared" si="190"/>
        <v>0</v>
      </c>
      <c r="AU39" s="50">
        <f t="shared" ref="AU39" si="213">AM39</f>
        <v>-100</v>
      </c>
      <c r="AV39" s="226">
        <f t="shared" si="192"/>
        <v>0</v>
      </c>
      <c r="AW39" s="50">
        <f t="shared" ref="AW39" si="214">AO39</f>
        <v>-200</v>
      </c>
      <c r="AX39" s="226">
        <f t="shared" si="194"/>
        <v>0</v>
      </c>
      <c r="AY39" s="356"/>
      <c r="AZ39" s="618"/>
      <c r="BA39" s="620"/>
      <c r="BB39" s="55"/>
      <c r="BC39" s="226" t="str">
        <f>IF(ISERROR(BB39/#REF!),"NA",IF(OR(BB39/#REF!&gt;2,BB39/#REF!&lt;0.5),"NM",BB39/#REF!*100-100))</f>
        <v>NA</v>
      </c>
      <c r="BD39" s="908"/>
      <c r="BE39" s="226" t="str">
        <f t="shared" si="195"/>
        <v>NA</v>
      </c>
      <c r="BF39" s="55">
        <f>SUM(S39+U39+W39+Y39)</f>
        <v>-700</v>
      </c>
      <c r="BG39" s="226" t="str">
        <f t="shared" si="195"/>
        <v>NA</v>
      </c>
      <c r="BH39" s="55">
        <f>AA39+AC39+AE39+AG39</f>
        <v>-700</v>
      </c>
      <c r="BI39" s="226">
        <f t="shared" si="195"/>
        <v>0</v>
      </c>
      <c r="BJ39" s="55">
        <f>AI39+AK39+AM39+AO39</f>
        <v>-700</v>
      </c>
      <c r="BK39" s="226">
        <f t="shared" si="195"/>
        <v>0</v>
      </c>
      <c r="BL39" s="55">
        <f>AQ39+AS39+AU39+AW39</f>
        <v>-700</v>
      </c>
      <c r="BM39" s="226">
        <f t="shared" si="195"/>
        <v>0</v>
      </c>
      <c r="BN39" s="55">
        <f>BL39</f>
        <v>-700</v>
      </c>
      <c r="BO39" s="226">
        <f t="shared" si="195"/>
        <v>0</v>
      </c>
      <c r="BP39" s="55">
        <f>BN39</f>
        <v>-700</v>
      </c>
      <c r="BQ39" s="226">
        <f t="shared" si="195"/>
        <v>0</v>
      </c>
      <c r="BR39" s="55">
        <f>BP39</f>
        <v>-700</v>
      </c>
      <c r="BS39" s="226">
        <f t="shared" si="195"/>
        <v>0</v>
      </c>
      <c r="BT39" s="55">
        <f>BR39</f>
        <v>-700</v>
      </c>
      <c r="BU39" s="226">
        <f t="shared" si="199"/>
        <v>0</v>
      </c>
      <c r="BV39" s="43">
        <f t="shared" si="200"/>
        <v>0</v>
      </c>
      <c r="BW39" s="621"/>
      <c r="BX39" s="621"/>
      <c r="BY39"/>
      <c r="BZ39"/>
      <c r="CA39"/>
      <c r="CB39"/>
      <c r="CC39"/>
      <c r="CD39"/>
    </row>
    <row r="40" spans="2:82" s="616" customFormat="1" ht="12.75" customHeight="1" x14ac:dyDescent="0.2">
      <c r="B40" s="42" t="s">
        <v>70</v>
      </c>
      <c r="C40" s="619"/>
      <c r="D40" s="620"/>
      <c r="E40" s="619"/>
      <c r="F40" s="620"/>
      <c r="G40" s="619"/>
      <c r="H40" s="620"/>
      <c r="I40" s="619"/>
      <c r="J40" s="620"/>
      <c r="K40" s="619"/>
      <c r="L40" s="620"/>
      <c r="M40" s="619"/>
      <c r="N40" s="620"/>
      <c r="O40" s="691">
        <f>+O34+O35+O37+O38+O39</f>
        <v>172900</v>
      </c>
      <c r="P40" s="9" t="str">
        <f t="shared" si="173"/>
        <v>NA</v>
      </c>
      <c r="Q40" s="691">
        <f>+Q34+Q35+Q37+Q38+Q39</f>
        <v>176700</v>
      </c>
      <c r="R40" s="226" t="str">
        <f t="shared" si="174"/>
        <v>NA</v>
      </c>
      <c r="S40" s="691">
        <f>+S34+S35+S37+S38+S39</f>
        <v>182200</v>
      </c>
      <c r="T40" s="226" t="str">
        <f t="shared" si="175"/>
        <v>NA</v>
      </c>
      <c r="U40" s="691">
        <f>+U34+U35+U37+U38+U39</f>
        <v>182900</v>
      </c>
      <c r="V40" s="226" t="str">
        <f t="shared" si="176"/>
        <v>NA</v>
      </c>
      <c r="W40" s="691">
        <f t="shared" ref="W40:Y40" si="215">+W34+W35+W37+W38+W39</f>
        <v>173300</v>
      </c>
      <c r="X40" s="9">
        <f t="shared" si="178"/>
        <v>0.23134759976866803</v>
      </c>
      <c r="Y40" s="691">
        <f t="shared" si="215"/>
        <v>176700</v>
      </c>
      <c r="Z40" s="9">
        <f t="shared" si="179"/>
        <v>0</v>
      </c>
      <c r="AA40" s="691">
        <f t="shared" ref="AA40:AC40" si="216">+AA34+AA35+AA37+AA38+AA39</f>
        <v>181100</v>
      </c>
      <c r="AB40" s="226">
        <f t="shared" si="180"/>
        <v>-0.60373216245884009</v>
      </c>
      <c r="AC40" s="691">
        <f t="shared" si="216"/>
        <v>184500</v>
      </c>
      <c r="AD40" s="226">
        <f t="shared" si="181"/>
        <v>0.87479496992892791</v>
      </c>
      <c r="AE40" s="691">
        <f t="shared" ref="AE40:AG40" si="217">+AE34+AE35+AE37+AE38+AE39</f>
        <v>192200</v>
      </c>
      <c r="AF40" s="226">
        <f t="shared" si="201"/>
        <v>10.905943450663585</v>
      </c>
      <c r="AG40" s="691">
        <f t="shared" si="217"/>
        <v>193800</v>
      </c>
      <c r="AH40" s="226">
        <f t="shared" si="182"/>
        <v>9.6774193548387046</v>
      </c>
      <c r="AI40" s="691">
        <f t="shared" ref="AI40:AK40" si="218">+AI34+AI35+AI37+AI38+AI39</f>
        <v>203800</v>
      </c>
      <c r="AJ40" s="226">
        <f t="shared" si="183"/>
        <v>12.534511319712863</v>
      </c>
      <c r="AK40" s="691">
        <f t="shared" si="218"/>
        <v>210100</v>
      </c>
      <c r="AL40" s="226">
        <f t="shared" si="184"/>
        <v>13.875338753387538</v>
      </c>
      <c r="AM40" s="691">
        <f t="shared" ref="AM40:AO40" si="219">+AM34+AM35+AM37+AM38+AM39</f>
        <v>217400</v>
      </c>
      <c r="AN40" s="226">
        <f t="shared" si="185"/>
        <v>13.111342351716957</v>
      </c>
      <c r="AO40" s="691">
        <f t="shared" si="219"/>
        <v>224000</v>
      </c>
      <c r="AP40" s="226">
        <f t="shared" si="186"/>
        <v>15.583075335397311</v>
      </c>
      <c r="AQ40" s="691">
        <f t="shared" ref="AQ40:AW40" si="220">+AQ34+AQ35+AQ37+AQ38+AQ39</f>
        <v>222011.8</v>
      </c>
      <c r="AR40" s="226">
        <f t="shared" si="188"/>
        <v>8.9361138370951778</v>
      </c>
      <c r="AS40" s="691">
        <f t="shared" si="220"/>
        <v>224426.0642930324</v>
      </c>
      <c r="AT40" s="226">
        <f t="shared" si="190"/>
        <v>6.8186883831663039</v>
      </c>
      <c r="AU40" s="691">
        <f t="shared" si="220"/>
        <v>226529.92674657167</v>
      </c>
      <c r="AV40" s="226">
        <f t="shared" si="192"/>
        <v>4.1995983194901925</v>
      </c>
      <c r="AW40" s="691">
        <f t="shared" si="220"/>
        <v>228144.61872441423</v>
      </c>
      <c r="AX40" s="226">
        <f t="shared" si="194"/>
        <v>1.8502762162563471</v>
      </c>
      <c r="AY40" s="356"/>
      <c r="AZ40" s="618"/>
      <c r="BA40" s="620"/>
      <c r="BB40" s="55"/>
      <c r="BC40" s="226" t="str">
        <f>IF(ISERROR(BB40/#REF!),"NA",IF(OR(BB40/#REF!&gt;2,BB40/#REF!&lt;0.5),"NM",BB40/#REF!*100-100))</f>
        <v>NA</v>
      </c>
      <c r="BD40" s="908">
        <f>Q40</f>
        <v>176700</v>
      </c>
      <c r="BE40" s="226" t="str">
        <f t="shared" si="195"/>
        <v>NA</v>
      </c>
      <c r="BF40" s="55">
        <f>BF34+BF35+BF37+BF38+BF39</f>
        <v>176700</v>
      </c>
      <c r="BG40" s="226">
        <f t="shared" si="195"/>
        <v>0</v>
      </c>
      <c r="BH40" s="55">
        <f t="shared" ref="BH40" si="221">BH34+BH35+BH37+BH38+BH39</f>
        <v>193800</v>
      </c>
      <c r="BI40" s="226">
        <f t="shared" si="195"/>
        <v>9.6774193548387046</v>
      </c>
      <c r="BJ40" s="55">
        <f t="shared" ref="BJ40" si="222">BJ34+BJ35+BJ37+BJ38+BJ39</f>
        <v>224000</v>
      </c>
      <c r="BK40" s="226">
        <f t="shared" si="195"/>
        <v>15.583075335397311</v>
      </c>
      <c r="BL40" s="55">
        <f t="shared" ref="BL40" si="223">BL34+BL35+BL37+BL38+BL39</f>
        <v>228144.61872441421</v>
      </c>
      <c r="BM40" s="226">
        <f t="shared" si="195"/>
        <v>1.8502762162563471</v>
      </c>
      <c r="BN40" s="55">
        <f t="shared" ref="BN40" si="224">BN34+BN35+BN37+BN38+BN39</f>
        <v>237497.52452641641</v>
      </c>
      <c r="BO40" s="226">
        <f t="shared" si="195"/>
        <v>4.0995513522499465</v>
      </c>
      <c r="BP40" s="55">
        <f t="shared" ref="BP40:BR40" si="225">BP34+BP35+BP37+BP38+BP39</f>
        <v>246882.27079051477</v>
      </c>
      <c r="BQ40" s="226">
        <f t="shared" si="195"/>
        <v>3.9515132980068302</v>
      </c>
      <c r="BR40" s="55">
        <f t="shared" si="225"/>
        <v>256326.56051177048</v>
      </c>
      <c r="BS40" s="226">
        <f t="shared" si="195"/>
        <v>3.8254224132884076</v>
      </c>
      <c r="BT40" s="55">
        <f t="shared" ref="BT40" si="226">BT34+BT35+BT37+BT38+BT39</f>
        <v>265856.05158110248</v>
      </c>
      <c r="BU40" s="226">
        <f t="shared" si="199"/>
        <v>3.7177150312889324</v>
      </c>
      <c r="BV40" s="43">
        <f t="shared" si="200"/>
        <v>3.4855486289831372</v>
      </c>
      <c r="BW40" s="621"/>
      <c r="BX40" s="621"/>
      <c r="BY40"/>
      <c r="BZ40"/>
      <c r="CA40"/>
      <c r="CB40"/>
      <c r="CC40"/>
      <c r="CD40"/>
    </row>
    <row r="41" spans="2:82" s="616" customFormat="1" ht="12.75" hidden="1" customHeight="1" outlineLevel="1" x14ac:dyDescent="0.2">
      <c r="B41" s="819" t="s">
        <v>648</v>
      </c>
      <c r="C41" s="15"/>
      <c r="D41" s="623"/>
      <c r="E41" s="15"/>
      <c r="F41" s="623"/>
      <c r="G41" s="15"/>
      <c r="H41" s="623"/>
      <c r="I41" s="15"/>
      <c r="J41" s="623"/>
      <c r="K41" s="15"/>
      <c r="L41" s="623"/>
      <c r="M41" s="15"/>
      <c r="N41" s="620"/>
      <c r="O41" s="691"/>
      <c r="P41" s="9"/>
      <c r="Q41" s="691"/>
      <c r="R41" s="9"/>
      <c r="S41" s="691"/>
      <c r="T41" s="9"/>
      <c r="U41" s="691"/>
      <c r="V41" s="9"/>
      <c r="W41" s="691"/>
      <c r="X41" s="9"/>
      <c r="Y41" s="820">
        <f>Y40-Y34-Y35-Y37-Y38-Y39</f>
        <v>0</v>
      </c>
      <c r="Z41" s="9"/>
      <c r="AA41" s="820">
        <f>AA40-AA34-AA35-AA37-AA38-AA39</f>
        <v>0</v>
      </c>
      <c r="AB41" s="9"/>
      <c r="AC41" s="820">
        <f>AC40-AC34-AC35-AC37-AC38-AC39</f>
        <v>0</v>
      </c>
      <c r="AD41" s="9"/>
      <c r="AE41" s="820">
        <f>AE40-AE34-AE35-AE37-AE38-AE39</f>
        <v>0</v>
      </c>
      <c r="AF41" s="9"/>
      <c r="AG41" s="820">
        <f>AG40-AG34-AG35-AG37-AG38-AG39</f>
        <v>0</v>
      </c>
      <c r="AH41" s="9"/>
      <c r="AI41" s="820">
        <f>AI40-AI34-AI35-AI37-AI38-AI39</f>
        <v>0</v>
      </c>
      <c r="AJ41" s="9"/>
      <c r="AK41" s="820">
        <f>AK40-AK34-AK35-AK37-AK38-AK39</f>
        <v>0</v>
      </c>
      <c r="AL41" s="9"/>
      <c r="AM41" s="820">
        <f>AM40-AM34-AM35-AM37-AM38-AM39</f>
        <v>0</v>
      </c>
      <c r="AN41" s="9"/>
      <c r="AO41" s="820">
        <f>AO40-AO34-AO35-AO37-AO38-AO39</f>
        <v>0</v>
      </c>
      <c r="AP41" s="9"/>
      <c r="AQ41" s="820">
        <f t="shared" ref="AQ41:AW41" si="227">AQ40-AQ34-AQ35-AQ37-AQ38-AQ39</f>
        <v>-1.1596057447604835E-11</v>
      </c>
      <c r="AR41" s="9"/>
      <c r="AS41" s="820">
        <f t="shared" si="227"/>
        <v>2.2737367544323206E-11</v>
      </c>
      <c r="AT41" s="9"/>
      <c r="AU41" s="820">
        <f t="shared" si="227"/>
        <v>-1.0004441719502211E-11</v>
      </c>
      <c r="AV41" s="9"/>
      <c r="AW41" s="820">
        <f t="shared" si="227"/>
        <v>0</v>
      </c>
      <c r="AX41" s="9"/>
      <c r="AY41" s="356"/>
      <c r="AZ41" s="618"/>
      <c r="BA41" s="620"/>
      <c r="BB41" s="55"/>
      <c r="BC41" s="226"/>
      <c r="BD41" s="820">
        <f>AUM_EOP_RISFee _4Q14-BD40</f>
        <v>0</v>
      </c>
      <c r="BE41" s="226"/>
      <c r="BF41" s="820">
        <f>AUM_EOP_RISFee _4Q15-BF40</f>
        <v>0</v>
      </c>
      <c r="BG41" s="226"/>
      <c r="BH41" s="820">
        <f>AUM_EOP_RISFee _4Q16-BH40</f>
        <v>0</v>
      </c>
      <c r="BI41" s="226"/>
      <c r="BJ41" s="820">
        <f>AUM_EOP_RISFee _4Q17-BJ40</f>
        <v>0</v>
      </c>
      <c r="BK41" s="226"/>
      <c r="BL41" s="820">
        <f>AUM_EOP_RISFee _4Q18-BL40</f>
        <v>0</v>
      </c>
      <c r="BM41" s="226"/>
      <c r="BN41" s="55"/>
      <c r="BO41" s="226"/>
      <c r="BP41" s="55"/>
      <c r="BQ41" s="226"/>
      <c r="BR41" s="55"/>
      <c r="BS41" s="226"/>
      <c r="BT41" s="55"/>
      <c r="BU41" s="226"/>
      <c r="BV41" s="43"/>
      <c r="BW41" s="621"/>
      <c r="BX41" s="621"/>
      <c r="BY41"/>
      <c r="BZ41"/>
      <c r="CA41"/>
      <c r="CB41"/>
      <c r="CC41"/>
      <c r="CD41"/>
    </row>
    <row r="42" spans="2:82" s="616" customFormat="1" ht="12.75" customHeight="1" collapsed="1" x14ac:dyDescent="0.2">
      <c r="B42" s="42" t="s">
        <v>71</v>
      </c>
      <c r="C42" s="619"/>
      <c r="D42" s="620"/>
      <c r="E42" s="619"/>
      <c r="F42" s="620"/>
      <c r="G42" s="619"/>
      <c r="H42" s="620"/>
      <c r="I42" s="619"/>
      <c r="J42" s="620"/>
      <c r="K42" s="619"/>
      <c r="L42" s="620"/>
      <c r="M42" s="619"/>
      <c r="N42" s="620"/>
      <c r="O42" s="691">
        <f>AVERAGE(O40,O34)</f>
        <v>174100</v>
      </c>
      <c r="P42" s="9" t="str">
        <f t="shared" si="173"/>
        <v>NA</v>
      </c>
      <c r="Q42" s="691">
        <f>AVERAGE(Q40,Q34)</f>
        <v>174800</v>
      </c>
      <c r="R42" s="226" t="str">
        <f t="shared" si="174"/>
        <v>NA</v>
      </c>
      <c r="S42" s="691">
        <f>AVERAGE(S40,S34)</f>
        <v>179450</v>
      </c>
      <c r="T42" s="226" t="str">
        <f t="shared" si="175"/>
        <v>NA</v>
      </c>
      <c r="U42" s="691">
        <f>AVERAGE(U40,U34)</f>
        <v>182550</v>
      </c>
      <c r="V42" s="226" t="str">
        <f t="shared" si="176"/>
        <v>NA</v>
      </c>
      <c r="W42" s="691">
        <f t="shared" ref="W42:AG42" si="228">AVERAGE(W40,W34)</f>
        <v>178100</v>
      </c>
      <c r="X42" s="9">
        <f t="shared" si="178"/>
        <v>2.2975301550832938</v>
      </c>
      <c r="Y42" s="691">
        <f t="shared" si="228"/>
        <v>175000</v>
      </c>
      <c r="Z42" s="9">
        <f t="shared" si="179"/>
        <v>0.114416475972547</v>
      </c>
      <c r="AA42" s="691">
        <f t="shared" si="228"/>
        <v>178900</v>
      </c>
      <c r="AB42" s="226">
        <f t="shared" si="180"/>
        <v>-0.30649205906937027</v>
      </c>
      <c r="AC42" s="691">
        <f t="shared" si="228"/>
        <v>182800</v>
      </c>
      <c r="AD42" s="226">
        <f t="shared" si="181"/>
        <v>0.1369487811558372</v>
      </c>
      <c r="AE42" s="691">
        <f t="shared" si="228"/>
        <v>188350</v>
      </c>
      <c r="AF42" s="226">
        <f t="shared" si="201"/>
        <v>5.7551937113980927</v>
      </c>
      <c r="AG42" s="691">
        <f t="shared" si="228"/>
        <v>193000</v>
      </c>
      <c r="AH42" s="226">
        <f t="shared" si="182"/>
        <v>10.285714285714278</v>
      </c>
      <c r="AI42" s="691">
        <f t="shared" ref="AI42:AK42" si="229">AVERAGE(AI40,AI34)</f>
        <v>198800</v>
      </c>
      <c r="AJ42" s="226">
        <f t="shared" ref="AJ42" si="230">IF(ISERROR(AI42/AA42),"NA",IF(OR(AI42/AA42&gt;2,AI42/AA42&lt;0.5),"NM",AI42/AA42*100-100))</f>
        <v>11.12353269983231</v>
      </c>
      <c r="AK42" s="691">
        <f t="shared" si="229"/>
        <v>206950</v>
      </c>
      <c r="AL42" s="226">
        <f t="shared" ref="AL42" si="231">IF(ISERROR(AK42/AC42),"NA",IF(OR(AK42/AC42&gt;2,AK42/AC42&lt;0.5),"NM",AK42/AC42*100-100))</f>
        <v>13.21115973741793</v>
      </c>
      <c r="AM42" s="691">
        <f t="shared" ref="AM42:AO42" si="232">AVERAGE(AM40,AM34)</f>
        <v>213750</v>
      </c>
      <c r="AN42" s="226">
        <f t="shared" ref="AN42" si="233">IF(ISERROR(AM42/AE42),"NA",IF(OR(AM42/AE42&gt;2,AM42/AE42&lt;0.5),"NM",AM42/AE42*100-100))</f>
        <v>13.485532253782864</v>
      </c>
      <c r="AO42" s="691">
        <f t="shared" si="232"/>
        <v>220700</v>
      </c>
      <c r="AP42" s="226">
        <f t="shared" ref="AP42" si="234">IF(ISERROR(AO42/AG42),"NA",IF(OR(AO42/AG42&gt;2,AO42/AG42&lt;0.5),"NM",AO42/AG42*100-100))</f>
        <v>14.352331606217632</v>
      </c>
      <c r="AQ42" s="691">
        <f t="shared" ref="AQ42" si="235">AVERAGE(AQ40,AQ34)</f>
        <v>223005.9</v>
      </c>
      <c r="AR42" s="226">
        <f t="shared" ref="AR42" si="236">IF(ISERROR(AQ42/AI42),"NA",IF(OR(AQ42/AI42&gt;2,AQ42/AI42&lt;0.5),"NM",AQ42/AI42*100-100))</f>
        <v>12.176006036217288</v>
      </c>
      <c r="AS42" s="691">
        <f t="shared" ref="AS42" si="237">AVERAGE(AS40,AS34)</f>
        <v>223218.93214651619</v>
      </c>
      <c r="AT42" s="226">
        <f t="shared" ref="AT42" si="238">IF(ISERROR(AS42/AK42),"NA",IF(OR(AS42/AK42&gt;2,AS42/AK42&lt;0.5),"NM",AS42/AK42*100-100))</f>
        <v>7.8612863718367691</v>
      </c>
      <c r="AU42" s="691">
        <f t="shared" ref="AU42" si="239">AVERAGE(AU40,AU34)</f>
        <v>225477.99551980203</v>
      </c>
      <c r="AV42" s="226">
        <f t="shared" ref="AV42" si="240">IF(ISERROR(AU42/AM42),"NA",IF(OR(AU42/AM42&gt;2,AU42/AM42&lt;0.5),"NM",AU42/AM42*100-100))</f>
        <v>5.4867815297319424</v>
      </c>
      <c r="AW42" s="691">
        <f t="shared" ref="AW42" si="241">AVERAGE(AW40,AW34)</f>
        <v>227337.27273549297</v>
      </c>
      <c r="AX42" s="226">
        <f t="shared" ref="AX42" si="242">IF(ISERROR(AW42/AO42),"NA",IF(OR(AW42/AO42&gt;2,AW42/AO42&lt;0.5),"NM",AW42/AO42*100-100))</f>
        <v>3.0073732376497446</v>
      </c>
      <c r="AY42" s="356"/>
      <c r="AZ42" s="618"/>
      <c r="BA42" s="620"/>
      <c r="BB42" s="55"/>
      <c r="BC42" s="226" t="str">
        <f>IF(ISERROR(BB42/#REF!),"NA",IF(OR(BB42/#REF!&gt;2,BB42/#REF!&lt;0.5),"NM",BB42/#REF!*100-100))</f>
        <v>NA</v>
      </c>
      <c r="BD42" s="908"/>
      <c r="BE42" s="226" t="str">
        <f t="shared" si="195"/>
        <v>NA</v>
      </c>
      <c r="BF42" s="55">
        <f>AVERAGE(S42,U42,W42,Y42)</f>
        <v>178775</v>
      </c>
      <c r="BG42" s="226" t="str">
        <f t="shared" si="195"/>
        <v>NA</v>
      </c>
      <c r="BH42" s="55">
        <f>AVERAGE(AA42,AC42,AE42,AG42)</f>
        <v>185762.5</v>
      </c>
      <c r="BI42" s="226">
        <f t="shared" si="195"/>
        <v>3.9085442595441293</v>
      </c>
      <c r="BJ42" s="55">
        <f>AVERAGE(AI42,AK42,AM42,AO42)</f>
        <v>210050</v>
      </c>
      <c r="BK42" s="226">
        <f t="shared" si="195"/>
        <v>13.074490276562827</v>
      </c>
      <c r="BL42" s="55">
        <f>AVERAGE(AQ42,AS42,AU42,AW42)</f>
        <v>224760.02510045283</v>
      </c>
      <c r="BM42" s="226">
        <f t="shared" si="195"/>
        <v>7.0031064510606171</v>
      </c>
      <c r="BN42" s="55">
        <f t="shared" ref="BN42" si="243">AVERAGE(BN34,BN40)</f>
        <v>232821.07162541529</v>
      </c>
      <c r="BO42" s="226">
        <f t="shared" si="195"/>
        <v>3.5865125577200416</v>
      </c>
      <c r="BP42" s="55">
        <f t="shared" ref="BP42:BR42" si="244">AVERAGE(BP34,BP40)</f>
        <v>242189.8976584656</v>
      </c>
      <c r="BQ42" s="226">
        <f t="shared" si="195"/>
        <v>4.0240455761340002</v>
      </c>
      <c r="BR42" s="55">
        <f t="shared" si="244"/>
        <v>251604.41565114263</v>
      </c>
      <c r="BS42" s="226">
        <f t="shared" si="195"/>
        <v>3.8872463648146578</v>
      </c>
      <c r="BT42" s="55">
        <f t="shared" ref="BT42" si="245">AVERAGE(BT34,BT40)</f>
        <v>261091.30604643648</v>
      </c>
      <c r="BU42" s="226">
        <f t="shared" ref="BU42" si="246">IF(ISERROR(BT42/BR42),"NA",IF(OR(BT42/BR42&gt;2,BT42/BR42&lt;0.5),"NM",BT42/BR42*100-100))</f>
        <v>3.7705579891124614</v>
      </c>
      <c r="BV42" s="43">
        <f>IF(ISERROR(((BT42/BJ42)^0.2-1)*100),"NA",IF((((BT42/BJ42)^0.2-1)*100)&gt;100,"NM",IF((((BT42/BJ42)^0.2-1)*100)&lt;-50,"NM",((BT42/BJ42)^0.2-1)*100)))</f>
        <v>4.4465128916307606</v>
      </c>
      <c r="BW42" s="621"/>
      <c r="BX42" s="621"/>
      <c r="BY42"/>
      <c r="BZ42"/>
      <c r="CA42"/>
      <c r="CB42"/>
      <c r="CC42"/>
      <c r="CD42"/>
    </row>
    <row r="43" spans="2:82" s="616" customFormat="1" ht="12.75" customHeight="1" x14ac:dyDescent="0.2">
      <c r="B43" s="42"/>
      <c r="C43" s="619"/>
      <c r="D43" s="620"/>
      <c r="E43" s="619"/>
      <c r="F43" s="620"/>
      <c r="G43" s="619"/>
      <c r="H43" s="620"/>
      <c r="I43" s="619"/>
      <c r="J43" s="620"/>
      <c r="K43" s="619"/>
      <c r="L43" s="620"/>
      <c r="M43" s="619"/>
      <c r="N43" s="620"/>
      <c r="O43" s="52"/>
      <c r="P43" s="9"/>
      <c r="Q43" s="52"/>
      <c r="R43" s="226"/>
      <c r="S43" s="52"/>
      <c r="T43" s="226"/>
      <c r="U43" s="52"/>
      <c r="V43" s="226"/>
      <c r="W43" s="52"/>
      <c r="X43" s="226"/>
      <c r="Y43" s="52"/>
      <c r="Z43" s="40"/>
      <c r="AA43" s="52"/>
      <c r="AB43" s="226"/>
      <c r="AC43" s="52"/>
      <c r="AD43" s="226"/>
      <c r="AE43" s="52"/>
      <c r="AF43" s="226"/>
      <c r="AG43" s="52"/>
      <c r="AH43" s="620"/>
      <c r="AI43" s="52"/>
      <c r="AJ43" s="620"/>
      <c r="AK43" s="52"/>
      <c r="AL43" s="620"/>
      <c r="AM43" s="52"/>
      <c r="AN43" s="620"/>
      <c r="AO43" s="52"/>
      <c r="AP43" s="620"/>
      <c r="AQ43" s="52"/>
      <c r="AR43" s="620"/>
      <c r="AS43" s="52"/>
      <c r="AT43" s="620"/>
      <c r="AU43" s="52"/>
      <c r="AV43" s="620"/>
      <c r="AW43" s="52"/>
      <c r="AX43" s="620"/>
      <c r="AY43" s="356"/>
      <c r="AZ43" s="618"/>
      <c r="BA43" s="620"/>
      <c r="BD43" s="910"/>
      <c r="BG43" s="626"/>
      <c r="BH43" s="55"/>
      <c r="BI43" s="626"/>
      <c r="BJ43" s="55"/>
      <c r="BK43" s="626"/>
      <c r="BL43" s="55"/>
      <c r="BM43" s="626"/>
      <c r="BN43" s="55"/>
      <c r="BO43" s="626"/>
      <c r="BP43" s="55"/>
      <c r="BQ43" s="226"/>
      <c r="BR43" s="55"/>
      <c r="BS43" s="226"/>
      <c r="BT43" s="55"/>
      <c r="BU43" s="226"/>
      <c r="BV43" s="43"/>
      <c r="BW43" s="621"/>
      <c r="BX43" s="621"/>
      <c r="BY43"/>
      <c r="BZ43"/>
      <c r="CA43"/>
      <c r="CB43"/>
      <c r="CC43"/>
      <c r="CD43"/>
    </row>
    <row r="44" spans="2:82" s="616" customFormat="1" ht="12.75" customHeight="1" x14ac:dyDescent="0.2">
      <c r="B44" s="42" t="s">
        <v>72</v>
      </c>
      <c r="C44" s="619"/>
      <c r="D44" s="620"/>
      <c r="E44" s="619"/>
      <c r="F44" s="620"/>
      <c r="G44" s="619"/>
      <c r="H44" s="620"/>
      <c r="I44" s="619"/>
      <c r="J44" s="620"/>
      <c r="K44" s="619"/>
      <c r="L44" s="620"/>
      <c r="M44" s="619"/>
      <c r="N44" s="620"/>
      <c r="O44" s="55">
        <f>+O35+O37</f>
        <v>-100</v>
      </c>
      <c r="P44" s="9" t="str">
        <f t="shared" si="173"/>
        <v>NA</v>
      </c>
      <c r="Q44" s="55">
        <f>+Q35+Q37</f>
        <v>-700</v>
      </c>
      <c r="R44" s="226" t="str">
        <f t="shared" ref="R44" si="247">IF(ISERROR(Q44/I44),"NA",IF(OR(Q44/I44&gt;2,Q44/I44&lt;0.5),"NM",Q44/I44*100-100))</f>
        <v>NA</v>
      </c>
      <c r="S44" s="55">
        <f>+S35+S37</f>
        <v>1800</v>
      </c>
      <c r="T44" s="226" t="str">
        <f t="shared" ref="T44" si="248">IF(ISERROR(S44/K44),"NA",IF(OR(S44/K44&gt;2,S44/K44&lt;0.5),"NM",S44/K44*100-100))</f>
        <v>NA</v>
      </c>
      <c r="U44" s="55">
        <f>+U35+U37</f>
        <v>500</v>
      </c>
      <c r="V44" s="226" t="str">
        <f t="shared" ref="V44" si="249">IF(ISERROR(U44/M44),"NA",IF(OR(U44/M44&gt;2,U44/M44&lt;0.5),"NM",U44/M44*100-100))</f>
        <v>NA</v>
      </c>
      <c r="W44" s="55">
        <f>+W36+W37</f>
        <v>-200</v>
      </c>
      <c r="X44" s="226">
        <f t="shared" si="178"/>
        <v>100</v>
      </c>
      <c r="Y44" s="55">
        <f>+Y36+Y37</f>
        <v>-1600</v>
      </c>
      <c r="Z44" s="9" t="str">
        <f>IF(ISERROR(Y44/Q44),"NA",IF(OR(Y44/Q44&gt;2,Y44/Q44&lt;0.5),"NM",Y44/Q44*100-100))</f>
        <v>NM</v>
      </c>
      <c r="AA44" s="55">
        <f>+AA36+AA37</f>
        <v>3000</v>
      </c>
      <c r="AB44" s="226">
        <f t="shared" ref="AB44" si="250">IF(ISERROR(AA44/S44),"NA",IF(OR(AA44/S44&gt;2,AA44/S44&lt;0.5),"NM",AA44/S44*100-100))</f>
        <v>66.666666666666686</v>
      </c>
      <c r="AC44" s="55">
        <f>+AC36+AC37</f>
        <v>0</v>
      </c>
      <c r="AD44" s="226" t="str">
        <f t="shared" ref="AD44:AD80" si="251">IF(ISERROR(AC44/U44),"NA",IF(OR(AC44/U44&gt;2,AC44/U44&lt;0.5),"NM",AC44/U44*100-100))</f>
        <v>NM</v>
      </c>
      <c r="AE44" s="55">
        <f>+AE36+AE37</f>
        <v>1400</v>
      </c>
      <c r="AF44" s="226" t="str">
        <f t="shared" si="201"/>
        <v>NM</v>
      </c>
      <c r="AG44" s="55">
        <f>+AG36+AG37</f>
        <v>-200</v>
      </c>
      <c r="AH44" s="226" t="str">
        <f t="shared" si="182"/>
        <v>NM</v>
      </c>
      <c r="AI44" s="55">
        <f>+AI36+AI37</f>
        <v>2200</v>
      </c>
      <c r="AJ44" s="226">
        <f t="shared" ref="AJ44" si="252">IF(ISERROR(AI44/AA44),"NA",IF(OR(AI44/AA44&gt;2,AI44/AA44&lt;0.5),"NM",AI44/AA44*100-100))</f>
        <v>-26.666666666666671</v>
      </c>
      <c r="AK44" s="55">
        <f>+AK36+AK37</f>
        <v>100</v>
      </c>
      <c r="AL44" s="226" t="str">
        <f t="shared" ref="AL44" si="253">IF(ISERROR(AK44/AC44),"NA",IF(OR(AK44/AC44&gt;2,AK44/AC44&lt;0.5),"NM",AK44/AC44*100-100))</f>
        <v>NA</v>
      </c>
      <c r="AM44" s="55">
        <f>+AM36+AM37</f>
        <v>-400</v>
      </c>
      <c r="AN44" s="226" t="str">
        <f t="shared" ref="AN44" si="254">IF(ISERROR(AM44/AE44),"NA",IF(OR(AM44/AE44&gt;2,AM44/AE44&lt;0.5),"NM",AM44/AE44*100-100))</f>
        <v>NM</v>
      </c>
      <c r="AO44" s="55">
        <f>+AO36+AO37</f>
        <v>-1300</v>
      </c>
      <c r="AP44" s="226" t="str">
        <f t="shared" ref="AP44" si="255">IF(ISERROR(AO44/AG44),"NA",IF(OR(AO44/AG44&gt;2,AO44/AG44&lt;0.5),"NM",AO44/AG44*100-100))</f>
        <v>NM</v>
      </c>
      <c r="AQ44" s="55">
        <f t="shared" ref="AQ44:AW44" si="256">+AQ36+AQ37</f>
        <v>59</v>
      </c>
      <c r="AR44" s="226" t="str">
        <f t="shared" ref="AR44" si="257">IF(ISERROR(AQ44/AI44),"NA",IF(OR(AQ44/AI44&gt;2,AQ44/AI44&lt;0.5),"NM",AQ44/AI44*100-100))</f>
        <v>NM</v>
      </c>
      <c r="AS44" s="55">
        <f t="shared" si="256"/>
        <v>-371.88910696761559</v>
      </c>
      <c r="AT44" s="226" t="str">
        <f t="shared" ref="AT44" si="258">IF(ISERROR(AS44/AK44),"NA",IF(OR(AS44/AK44&gt;2,AS44/AK44&lt;0.5),"NM",AS44/AK44*100-100))</f>
        <v>NM</v>
      </c>
      <c r="AU44" s="55">
        <f t="shared" si="256"/>
        <v>-713.67638227013776</v>
      </c>
      <c r="AV44" s="226">
        <f t="shared" ref="AV44" si="259">IF(ISERROR(AU44/AM44),"NA",IF(OR(AU44/AM44&gt;2,AU44/AM44&lt;0.5),"NM",AU44/AM44*100-100))</f>
        <v>78.419095567534441</v>
      </c>
      <c r="AW44" s="55">
        <f t="shared" si="256"/>
        <v>-1130.1970698628666</v>
      </c>
      <c r="AX44" s="226">
        <f t="shared" ref="AX44" si="260">IF(ISERROR(AW44/AO44),"NA",IF(OR(AW44/AO44&gt;2,AW44/AO44&lt;0.5),"NM",AW44/AO44*100-100))</f>
        <v>-13.061763856702569</v>
      </c>
      <c r="AY44" s="356"/>
      <c r="AZ44" s="618"/>
      <c r="BA44" s="620"/>
      <c r="BB44" s="55"/>
      <c r="BC44" s="226" t="str">
        <f>IF(ISERROR(BB44/#REF!),"NA",IF(OR(BB44/#REF!&gt;2,BB44/#REF!&lt;0.5),"NM",BB44/#REF!*100-100))</f>
        <v>NA</v>
      </c>
      <c r="BD44" s="908"/>
      <c r="BE44" s="226" t="str">
        <f t="shared" si="195"/>
        <v>NA</v>
      </c>
      <c r="BF44" s="55">
        <f>BF36+BF37</f>
        <v>500</v>
      </c>
      <c r="BG44" s="226" t="str">
        <f t="shared" si="195"/>
        <v>NA</v>
      </c>
      <c r="BH44" s="55">
        <f t="shared" ref="BH44:BP44" si="261">BH36+BH37</f>
        <v>4200</v>
      </c>
      <c r="BI44" s="226" t="str">
        <f t="shared" si="195"/>
        <v>NM</v>
      </c>
      <c r="BJ44" s="55">
        <f t="shared" ref="BJ44" si="262">BJ36+BJ37</f>
        <v>600</v>
      </c>
      <c r="BK44" s="226" t="str">
        <f t="shared" si="195"/>
        <v>NM</v>
      </c>
      <c r="BL44" s="55">
        <f t="shared" ref="BL44" si="263">BL36+BL37</f>
        <v>-2156.7625591006217</v>
      </c>
      <c r="BM44" s="226" t="str">
        <f t="shared" si="195"/>
        <v>NM</v>
      </c>
      <c r="BN44" s="55">
        <f t="shared" si="261"/>
        <v>-1810.6143716673323</v>
      </c>
      <c r="BO44" s="226">
        <f t="shared" si="195"/>
        <v>-16.049434184244859</v>
      </c>
      <c r="BP44" s="55">
        <f t="shared" si="261"/>
        <v>-2265.1250112752969</v>
      </c>
      <c r="BQ44" s="226">
        <f t="shared" si="195"/>
        <v>25.102564451060957</v>
      </c>
      <c r="BR44" s="55">
        <f t="shared" ref="BR44:BT44" si="264">BR36+BR37</f>
        <v>-2693.588359851019</v>
      </c>
      <c r="BS44" s="226">
        <f t="shared" si="195"/>
        <v>18.915660126612238</v>
      </c>
      <c r="BT44" s="55">
        <f t="shared" si="264"/>
        <v>-3099.4900772800684</v>
      </c>
      <c r="BU44" s="226">
        <f t="shared" ref="BU44" si="265">IF(ISERROR(BT44/BR44),"NA",IF(OR(BT44/BR44&gt;2,BT44/BR44&lt;0.5),"NM",BT44/BR44*100-100))</f>
        <v>15.069181448775623</v>
      </c>
      <c r="BV44" s="43" t="str">
        <f>IF(ISERROR(((BT44/BJ44)^0.2-1)*100),"NA",IF((((BT44/BJ44)^0.2-1)*100)&gt;100,"NM",IF((((BT44/BJ44)^0.2-1)*100)&lt;-50,"NM",((BT44/BJ44)^0.2-1)*100)))</f>
        <v>NM</v>
      </c>
      <c r="BW44" s="621"/>
      <c r="BX44" s="621"/>
      <c r="BY44"/>
      <c r="BZ44"/>
      <c r="CA44"/>
      <c r="CB44"/>
      <c r="CC44"/>
      <c r="CD44"/>
    </row>
    <row r="45" spans="2:82" s="616" customFormat="1" ht="12.75" customHeight="1" x14ac:dyDescent="0.2">
      <c r="B45" s="42"/>
      <c r="C45" s="619"/>
      <c r="D45" s="620"/>
      <c r="E45" s="619"/>
      <c r="F45" s="620"/>
      <c r="G45" s="619"/>
      <c r="H45" s="620"/>
      <c r="I45" s="619"/>
      <c r="J45" s="620"/>
      <c r="K45" s="619"/>
      <c r="L45" s="620"/>
      <c r="M45" s="619"/>
      <c r="N45" s="620"/>
      <c r="O45" s="55"/>
      <c r="P45" s="9"/>
      <c r="Q45" s="55"/>
      <c r="R45" s="226"/>
      <c r="S45" s="55"/>
      <c r="T45" s="226"/>
      <c r="U45" s="55"/>
      <c r="V45" s="226"/>
      <c r="W45" s="55"/>
      <c r="X45" s="226"/>
      <c r="Y45" s="55"/>
      <c r="Z45" s="9"/>
      <c r="AA45" s="55"/>
      <c r="AB45" s="226"/>
      <c r="AC45" s="55"/>
      <c r="AD45" s="226"/>
      <c r="AE45" s="55"/>
      <c r="AF45" s="226"/>
      <c r="AG45" s="55"/>
      <c r="AH45" s="620"/>
      <c r="AI45" s="55"/>
      <c r="AJ45" s="620"/>
      <c r="AK45" s="55"/>
      <c r="AL45" s="620"/>
      <c r="AM45" s="55"/>
      <c r="AN45" s="620"/>
      <c r="AO45" s="55"/>
      <c r="AP45" s="620"/>
      <c r="AQ45" s="55"/>
      <c r="AR45" s="620"/>
      <c r="AS45" s="55"/>
      <c r="AT45" s="620"/>
      <c r="AU45" s="55"/>
      <c r="AV45" s="620"/>
      <c r="AW45" s="55"/>
      <c r="AX45" s="620"/>
      <c r="AY45" s="356"/>
      <c r="AZ45" s="618"/>
      <c r="BA45" s="620"/>
      <c r="BB45" s="55"/>
      <c r="BC45" s="55"/>
      <c r="BD45" s="908"/>
      <c r="BE45" s="55"/>
      <c r="BF45" s="55"/>
      <c r="BG45" s="626"/>
      <c r="BH45" s="55"/>
      <c r="BI45" s="626"/>
      <c r="BJ45" s="55"/>
      <c r="BK45" s="626"/>
      <c r="BL45" s="55"/>
      <c r="BM45" s="626"/>
      <c r="BN45" s="55"/>
      <c r="BO45" s="626"/>
      <c r="BP45" s="55"/>
      <c r="BQ45" s="623"/>
      <c r="BR45" s="55"/>
      <c r="BS45" s="623"/>
      <c r="BT45" s="55"/>
      <c r="BU45" s="623"/>
      <c r="BV45" s="43"/>
      <c r="BW45" s="621"/>
      <c r="BX45" s="621"/>
      <c r="BY45"/>
      <c r="BZ45"/>
      <c r="CA45"/>
      <c r="CB45"/>
      <c r="CC45"/>
      <c r="CD45"/>
    </row>
    <row r="46" spans="2:82" s="616" customFormat="1" ht="12.75" customHeight="1" x14ac:dyDescent="0.2">
      <c r="B46" s="42" t="s">
        <v>73</v>
      </c>
      <c r="C46" s="619"/>
      <c r="D46" s="620"/>
      <c r="E46" s="619"/>
      <c r="F46" s="620"/>
      <c r="G46" s="619"/>
      <c r="H46" s="620"/>
      <c r="I46" s="619"/>
      <c r="J46" s="620"/>
      <c r="K46" s="619"/>
      <c r="L46" s="620"/>
      <c r="M46" s="619"/>
      <c r="N46" s="620"/>
      <c r="O46" s="57">
        <f>+O35/O34*400</f>
        <v>13.690815744438106</v>
      </c>
      <c r="P46" s="9" t="str">
        <f t="shared" si="173"/>
        <v>NA</v>
      </c>
      <c r="Q46" s="57">
        <f>+Q35/Q34*400</f>
        <v>14.5748987854251</v>
      </c>
      <c r="R46" s="226" t="str">
        <f t="shared" ref="R46:R50" si="266">IF(ISERROR(Q46/I46),"NA",IF(OR(Q46/I46&gt;2,Q46/I46&lt;0.5),"NM",Q46/I46*100-100))</f>
        <v>NA</v>
      </c>
      <c r="S46" s="57">
        <f>+S35/S34*400</f>
        <v>19.015280135823428</v>
      </c>
      <c r="T46" s="226" t="str">
        <f t="shared" ref="T46:T50" si="267">IF(ISERROR(S46/K46),"NA",IF(OR(S46/K46&gt;2,S46/K46&lt;0.5),"NM",S46/K46*100-100))</f>
        <v>NA</v>
      </c>
      <c r="U46" s="57">
        <f>+U35/U34*400</f>
        <v>14.270032930845225</v>
      </c>
      <c r="V46" s="226" t="str">
        <f t="shared" ref="V46:V50" si="268">IF(ISERROR(U46/M46),"NA",IF(OR(U46/M46&gt;2,U46/M46&lt;0.5),"NM",U46/M46*100-100))</f>
        <v>NA</v>
      </c>
      <c r="W46" s="57">
        <f>+W35/W34*100*4</f>
        <v>13.559322033898304</v>
      </c>
      <c r="X46" s="226">
        <f t="shared" si="178"/>
        <v>-0.96045197740113508</v>
      </c>
      <c r="Y46" s="57">
        <f>+Y35/Y34*100*4</f>
        <v>15.464512406231968</v>
      </c>
      <c r="Z46" s="9">
        <f>IF(ISERROR(Y46/Q46),"NA",IF(OR(Y46/Q46&gt;2,Y46/Q46&lt;0.5),"NM",Y46/Q46*100-100))</f>
        <v>6.1037378983137955</v>
      </c>
      <c r="AA46" s="57">
        <f>+AA35/AA34*100*4</f>
        <v>20.826259196378043</v>
      </c>
      <c r="AB46" s="226">
        <f t="shared" ref="AB46:AB50" si="269">IF(ISERROR(AA46/S46),"NA",IF(OR(AA46/S46&gt;2,AA46/S46&lt;0.5),"NM",AA46/S46*100-100))</f>
        <v>9.5238095238095326</v>
      </c>
      <c r="AC46" s="57">
        <f>+AC35/AC34*100*4</f>
        <v>15.90281612368857</v>
      </c>
      <c r="AD46" s="226">
        <f t="shared" si="251"/>
        <v>11.442042220617594</v>
      </c>
      <c r="AE46" s="57">
        <f>+AE35/AE34*100*4</f>
        <v>15.609756097560975</v>
      </c>
      <c r="AF46" s="226">
        <f t="shared" si="201"/>
        <v>15.121951219512212</v>
      </c>
      <c r="AG46" s="57">
        <f>+AG35/AG34*100*4</f>
        <v>16.23309053069719</v>
      </c>
      <c r="AH46" s="226">
        <f t="shared" si="182"/>
        <v>4.96994734962027</v>
      </c>
      <c r="AI46" s="57">
        <f>+AI35/AI34*100*4</f>
        <v>19.195046439628484</v>
      </c>
      <c r="AJ46" s="226">
        <f t="shared" ref="AJ46:AJ50" si="270">IF(ISERROR(AI46/AA46),"NA",IF(OR(AI46/AA46&gt;2,AI46/AA46&lt;0.5),"NM",AI46/AA46*100-100))</f>
        <v>-7.8324808184143251</v>
      </c>
      <c r="AK46" s="57">
        <f>+AK35/AK34*100*4</f>
        <v>15.89793915603533</v>
      </c>
      <c r="AL46" s="226">
        <f t="shared" ref="AL46:AL50" si="271">IF(ISERROR(AK46/AC46),"NA",IF(OR(AK46/AC46&gt;2,AK46/AC46&lt;0.5),"NM",AK46/AC46*100-100))</f>
        <v>-3.0667320902850292E-2</v>
      </c>
      <c r="AM46" s="57">
        <f>+AM35/AM34*100*4</f>
        <v>14.278914802475013</v>
      </c>
      <c r="AN46" s="226">
        <f t="shared" ref="AN46:AN50" si="272">IF(ISERROR(AM46/AE46),"NA",IF(OR(AM46/AE46&gt;2,AM46/AE46&lt;0.5),"NM",AM46/AE46*100-100))</f>
        <v>-8.5257020466444402</v>
      </c>
      <c r="AO46" s="57">
        <f>+AO35/AO34*100*4</f>
        <v>14.167433302667892</v>
      </c>
      <c r="AP46" s="226">
        <f t="shared" ref="AP46:AP50" si="273">IF(ISERROR(AO46/AG46),"NA",IF(OR(AO46/AG46&gt;2,AO46/AG46&lt;0.5),"NM",AO46/AG46*100-100))</f>
        <v>-12.724978180359969</v>
      </c>
      <c r="AQ46" s="57">
        <f t="shared" ref="AQ46:AW46" si="274">+AQ35/AQ34*100*4</f>
        <v>17.105357142857141</v>
      </c>
      <c r="AR46" s="226">
        <f t="shared" ref="AR46:AR50" si="275">IF(ISERROR(AQ46/AI46),"NA",IF(OR(AQ46/AI46&gt;2,AQ46/AI46&lt;0.5),"NM",AQ46/AI46*100-100))</f>
        <v>-10.886607142857159</v>
      </c>
      <c r="AS46" s="57">
        <f t="shared" si="274"/>
        <v>15.031633453717324</v>
      </c>
      <c r="AT46" s="226">
        <f t="shared" ref="AT46:AT50" si="276">IF(ISERROR(AS46/AK46),"NA",IF(OR(AS46/AK46&gt;2,AS46/AK46&lt;0.5),"NM",AS46/AK46*100-100))</f>
        <v>-5.4491698189015239</v>
      </c>
      <c r="AU46" s="57">
        <f t="shared" si="274"/>
        <v>13.768454255675922</v>
      </c>
      <c r="AV46" s="226">
        <f t="shared" ref="AV46:AV50" si="277">IF(ISERROR(AU46/AM46),"NA",IF(OR(AU46/AM46&gt;2,AU46/AM46&lt;0.5),"NM",AU46/AM46*100-100))</f>
        <v>-3.5749253627496387</v>
      </c>
      <c r="AW46" s="57">
        <f t="shared" si="274"/>
        <v>14.004330666424899</v>
      </c>
      <c r="AX46" s="226">
        <f t="shared" ref="AX46:AX50" si="278">IF(ISERROR(AW46/AO46),"NA",IF(OR(AW46/AO46&gt;2,AW46/AO46&lt;0.5),"NM",AW46/AO46*100-100))</f>
        <v>-1.1512504259489162</v>
      </c>
      <c r="AY46" s="356"/>
      <c r="AZ46" s="618"/>
      <c r="BA46" s="620"/>
      <c r="BB46" s="57"/>
      <c r="BC46" s="226" t="str">
        <f>IF(ISERROR(BB46/#REF!),"NA",IF(OR(BB46/#REF!&gt;2,BB46/#REF!&lt;0.5),"NM",BB46/#REF!*100-100))</f>
        <v>NA</v>
      </c>
      <c r="BD46" s="911"/>
      <c r="BE46" s="226" t="str">
        <f t="shared" ref="BE46:BS50" si="279">IF(ISERROR(BD46/BB46),"NA",IF(OR(BD46/BB46&gt;2,BD46/BB46&lt;0.5),"NM",BD46/BB46*100-100))</f>
        <v>NA</v>
      </c>
      <c r="BF46" s="57">
        <f>BF35/BF34*100</f>
        <v>15.732880588568197</v>
      </c>
      <c r="BG46" s="226" t="str">
        <f t="shared" si="279"/>
        <v>NA</v>
      </c>
      <c r="BH46" s="57">
        <f>BH35/BH34*100</f>
        <v>17.770232031692135</v>
      </c>
      <c r="BI46" s="226">
        <f t="shared" si="279"/>
        <v>12.949640287769768</v>
      </c>
      <c r="BJ46" s="57">
        <f>BJ35/BJ34*100</f>
        <v>16.821465428276575</v>
      </c>
      <c r="BK46" s="226">
        <f t="shared" si="279"/>
        <v>-5.3390783064818237</v>
      </c>
      <c r="BL46" s="57">
        <f>BL35/BL34*100</f>
        <v>14.990178571428572</v>
      </c>
      <c r="BM46" s="226">
        <f t="shared" si="279"/>
        <v>-10.886607142857144</v>
      </c>
      <c r="BN46" s="57">
        <f t="shared" ref="BN46:BP46" si="280">BN35/BN34*100</f>
        <v>15.159393280179506</v>
      </c>
      <c r="BO46" s="226">
        <f t="shared" si="279"/>
        <v>1.1288371779203317</v>
      </c>
      <c r="BP46" s="57">
        <f t="shared" si="280"/>
        <v>14.999272211798459</v>
      </c>
      <c r="BQ46" s="226">
        <f t="shared" si="279"/>
        <v>-1.0562498473497612</v>
      </c>
      <c r="BR46" s="57">
        <f t="shared" ref="BR46:BT46" si="281">BR35/BR34*100</f>
        <v>14.861977366181007</v>
      </c>
      <c r="BS46" s="226">
        <f t="shared" si="279"/>
        <v>-0.91534338252395742</v>
      </c>
      <c r="BT46" s="57">
        <f t="shared" si="281"/>
        <v>14.74382317100712</v>
      </c>
      <c r="BU46" s="226">
        <f t="shared" ref="BU46:BU50" si="282">IF(ISERROR(BT46/BR46),"NA",IF(OR(BT46/BR46&gt;2,BT46/BR46&lt;0.5),"NM",BT46/BR46*100-100))</f>
        <v>-0.79500992541376547</v>
      </c>
      <c r="BV46" s="43">
        <f>IF(ISERROR(((BT46/BJ46)^0.2-1)*100),"NA",IF((((BT46/BJ46)^0.2-1)*100)&gt;100,"NM",IF((((BT46/BJ46)^0.2-1)*100)&lt;-50,"NM",((BT46/BJ46)^0.2-1)*100)))</f>
        <v>-2.6021753305940698</v>
      </c>
      <c r="BW46" s="621"/>
      <c r="BX46" s="621"/>
      <c r="BY46"/>
      <c r="BZ46"/>
      <c r="CA46"/>
      <c r="CB46"/>
      <c r="CC46"/>
      <c r="CD46"/>
    </row>
    <row r="47" spans="2:82" s="616" customFormat="1" ht="12.75" customHeight="1" x14ac:dyDescent="0.2">
      <c r="B47" s="42" t="s">
        <v>74</v>
      </c>
      <c r="C47" s="619"/>
      <c r="D47" s="620"/>
      <c r="E47" s="619"/>
      <c r="F47" s="620"/>
      <c r="G47" s="619"/>
      <c r="H47" s="620"/>
      <c r="I47" s="619"/>
      <c r="J47" s="620"/>
      <c r="K47" s="619"/>
      <c r="L47" s="620"/>
      <c r="M47" s="619"/>
      <c r="N47" s="620"/>
      <c r="O47" s="694">
        <f>+O37/O34*400</f>
        <v>-13.918996006845408</v>
      </c>
      <c r="P47" s="9" t="str">
        <f>IF(ISERROR(O47/G47),"NA",IF(OR(O47/G47&gt;2,O47/G47&lt;0.5),"NM",O47/G47*100-100))</f>
        <v>NA</v>
      </c>
      <c r="Q47" s="694">
        <f>+Q37/Q34*400</f>
        <v>-16.194331983805668</v>
      </c>
      <c r="R47" s="226" t="str">
        <f t="shared" si="266"/>
        <v>NA</v>
      </c>
      <c r="S47" s="694">
        <f>+S37/S34*400</f>
        <v>-14.940577249575551</v>
      </c>
      <c r="T47" s="226" t="str">
        <f t="shared" si="267"/>
        <v>NA</v>
      </c>
      <c r="U47" s="694">
        <f>+U37/U34*400</f>
        <v>-13.172338090010976</v>
      </c>
      <c r="V47" s="226" t="str">
        <f t="shared" si="268"/>
        <v>NA</v>
      </c>
      <c r="W47" s="694">
        <f t="shared" ref="W47:Y47" si="283">+W37/W34*400</f>
        <v>-13.996719518862765</v>
      </c>
      <c r="X47" s="226">
        <f t="shared" si="178"/>
        <v>0.55839883838699222</v>
      </c>
      <c r="Y47" s="694">
        <f t="shared" si="283"/>
        <v>-19.157530294287366</v>
      </c>
      <c r="Z47" s="9">
        <f>IF(ISERROR(Y47/Q47),"NA",IF(OR(Y47/Q47&gt;2,Y47/Q47&lt;0.5),"NM",Y47/Q47*100-100))</f>
        <v>18.297749567224471</v>
      </c>
      <c r="AA47" s="694">
        <f t="shared" ref="AA47:AC47" si="284">+AA37/AA34*400</f>
        <v>-14.035087719298245</v>
      </c>
      <c r="AB47" s="226">
        <f t="shared" si="269"/>
        <v>-6.0606060606060623</v>
      </c>
      <c r="AC47" s="694">
        <f t="shared" si="284"/>
        <v>-15.90281612368857</v>
      </c>
      <c r="AD47" s="226">
        <f t="shared" si="251"/>
        <v>20.728879072335744</v>
      </c>
      <c r="AE47" s="694">
        <f t="shared" ref="AE47:AG47" si="285">+AE37/AE34*400</f>
        <v>-12.574525745257453</v>
      </c>
      <c r="AF47" s="226">
        <f t="shared" si="201"/>
        <v>-10.160907859078577</v>
      </c>
      <c r="AG47" s="694">
        <f t="shared" si="285"/>
        <v>-16.649323621227889</v>
      </c>
      <c r="AH47" s="226">
        <f t="shared" si="182"/>
        <v>-13.092536639795398</v>
      </c>
      <c r="AI47" s="694">
        <f t="shared" ref="AI47:AK47" si="286">+AI37/AI34*400</f>
        <v>-14.654282765737875</v>
      </c>
      <c r="AJ47" s="226">
        <f t="shared" si="270"/>
        <v>4.4117647058823621</v>
      </c>
      <c r="AK47" s="694">
        <f t="shared" si="286"/>
        <v>-15.701668302257115</v>
      </c>
      <c r="AL47" s="226">
        <f t="shared" si="271"/>
        <v>-1.2648566132373702</v>
      </c>
      <c r="AM47" s="694">
        <f t="shared" ref="AM47:AO47" si="287">+AM37/AM34*400</f>
        <v>-15.040456925273679</v>
      </c>
      <c r="AN47" s="226">
        <f t="shared" si="272"/>
        <v>19.610530289353179</v>
      </c>
      <c r="AO47" s="694">
        <f t="shared" si="287"/>
        <v>-16.559337626494941</v>
      </c>
      <c r="AP47" s="226">
        <f t="shared" si="273"/>
        <v>-0.54047838086476929</v>
      </c>
      <c r="AQ47" s="58">
        <v>-17</v>
      </c>
      <c r="AR47" s="226">
        <f t="shared" si="275"/>
        <v>16.007042253521121</v>
      </c>
      <c r="AS47" s="58">
        <f>AK47</f>
        <v>-15.701668302257115</v>
      </c>
      <c r="AT47" s="226">
        <f t="shared" si="276"/>
        <v>0</v>
      </c>
      <c r="AU47" s="58">
        <f>AM47</f>
        <v>-15.040456925273679</v>
      </c>
      <c r="AV47" s="226">
        <f t="shared" si="277"/>
        <v>0</v>
      </c>
      <c r="AW47" s="58">
        <v>-16</v>
      </c>
      <c r="AX47" s="226">
        <f t="shared" si="278"/>
        <v>-3.37777777777778</v>
      </c>
      <c r="AY47" s="356"/>
      <c r="AZ47" s="618"/>
      <c r="BA47" s="620"/>
      <c r="BB47" s="57"/>
      <c r="BC47" s="226" t="str">
        <f>IF(ISERROR(BB47/#REF!),"NA",IF(OR(BB47/#REF!&gt;2,BB47/#REF!&lt;0.5),"NM",BB47/#REF!*100-100))</f>
        <v>NA</v>
      </c>
      <c r="BD47" s="911"/>
      <c r="BE47" s="226" t="str">
        <f t="shared" si="279"/>
        <v>NA</v>
      </c>
      <c r="BF47" s="57">
        <f>BF37/BF34*100</f>
        <v>-15.449915110356535</v>
      </c>
      <c r="BG47" s="226" t="str">
        <f t="shared" si="279"/>
        <v>NA</v>
      </c>
      <c r="BH47" s="57">
        <f t="shared" ref="BH47" si="288">BH37/BH34*100</f>
        <v>-15.393322014714206</v>
      </c>
      <c r="BI47" s="226">
        <f t="shared" si="279"/>
        <v>-0.36630036630035079</v>
      </c>
      <c r="BJ47" s="57">
        <f t="shared" ref="BJ47" si="289">BJ37/BJ34*100</f>
        <v>-16.511867905056761</v>
      </c>
      <c r="BK47" s="226">
        <f t="shared" si="279"/>
        <v>7.2664359861591663</v>
      </c>
      <c r="BL47" s="57">
        <f t="shared" ref="BL47" si="290">BL37/BL34*100</f>
        <v>-15.953018999598493</v>
      </c>
      <c r="BM47" s="226">
        <f t="shared" si="279"/>
        <v>-3.3845286836816371</v>
      </c>
      <c r="BN47" s="58">
        <f>BL47</f>
        <v>-15.953018999598493</v>
      </c>
      <c r="BO47" s="226">
        <f t="shared" si="279"/>
        <v>0</v>
      </c>
      <c r="BP47" s="58">
        <f t="shared" ref="BP47" si="291">BN47</f>
        <v>-15.953018999598493</v>
      </c>
      <c r="BQ47" s="226">
        <f t="shared" si="279"/>
        <v>0</v>
      </c>
      <c r="BR47" s="58">
        <f t="shared" ref="BR47" si="292">BP47</f>
        <v>-15.953018999598493</v>
      </c>
      <c r="BS47" s="226">
        <f t="shared" si="279"/>
        <v>0</v>
      </c>
      <c r="BT47" s="58">
        <f t="shared" ref="BT47" si="293">BR47</f>
        <v>-15.953018999598493</v>
      </c>
      <c r="BU47" s="226">
        <f t="shared" si="282"/>
        <v>0</v>
      </c>
      <c r="BV47" s="43">
        <f>IF(ISERROR(((BT47/BJ47)^0.2-1)*100),"NA",IF((((BT47/BJ47)^0.2-1)*100)&gt;100,"NM",IF((((BT47/BJ47)^0.2-1)*100)&lt;-50,"NM",((BT47/BJ47)^0.2-1)*100)))</f>
        <v>-0.68626038523492694</v>
      </c>
      <c r="BW47" s="621"/>
      <c r="BX47" s="621"/>
      <c r="BY47"/>
      <c r="BZ47"/>
      <c r="CA47"/>
      <c r="CB47"/>
      <c r="CC47"/>
      <c r="CD47"/>
    </row>
    <row r="48" spans="2:82" s="616" customFormat="1" ht="12.75" customHeight="1" x14ac:dyDescent="0.2">
      <c r="B48" s="42" t="s">
        <v>39</v>
      </c>
      <c r="C48" s="619"/>
      <c r="D48" s="620"/>
      <c r="E48" s="619"/>
      <c r="F48" s="620"/>
      <c r="G48" s="619"/>
      <c r="H48" s="620"/>
      <c r="I48" s="619"/>
      <c r="J48" s="620"/>
      <c r="K48" s="619"/>
      <c r="L48" s="620"/>
      <c r="M48" s="619"/>
      <c r="N48" s="620"/>
      <c r="O48" s="694">
        <f>O44/O34*400</f>
        <v>-0.22818026240730174</v>
      </c>
      <c r="P48" s="9" t="str">
        <f t="shared" si="173"/>
        <v>NA</v>
      </c>
      <c r="Q48" s="694">
        <f>Q44/Q34*400</f>
        <v>-1.6194331983805668</v>
      </c>
      <c r="R48" s="226" t="str">
        <f t="shared" si="266"/>
        <v>NA</v>
      </c>
      <c r="S48" s="694">
        <f>S44/S34*400</f>
        <v>4.074702886247878</v>
      </c>
      <c r="T48" s="226" t="str">
        <f t="shared" si="267"/>
        <v>NA</v>
      </c>
      <c r="U48" s="694">
        <f>U44/U34*400</f>
        <v>1.0976948408342482</v>
      </c>
      <c r="V48" s="226" t="str">
        <f t="shared" si="268"/>
        <v>NA</v>
      </c>
      <c r="W48" s="694">
        <f>W44/W34*400</f>
        <v>-0.4373974849644614</v>
      </c>
      <c r="X48" s="226">
        <f t="shared" si="178"/>
        <v>91.689447785675213</v>
      </c>
      <c r="Y48" s="694">
        <f>Y44/Y34*400</f>
        <v>-3.6930178880553952</v>
      </c>
      <c r="Z48" s="9" t="str">
        <f>IF(ISERROR(Y48/Q48),"NA",IF(OR(Y48/Q48&gt;2,Y48/Q48&lt;0.5),"NM",Y48/Q48*100-100))</f>
        <v>NM</v>
      </c>
      <c r="AA48" s="694">
        <f>AA44/AA34*400</f>
        <v>6.7911714770797964</v>
      </c>
      <c r="AB48" s="226">
        <f t="shared" si="269"/>
        <v>66.666666666666657</v>
      </c>
      <c r="AC48" s="694">
        <f>AC44/AC34*400</f>
        <v>0</v>
      </c>
      <c r="AD48" s="226" t="str">
        <f t="shared" si="251"/>
        <v>NM</v>
      </c>
      <c r="AE48" s="694">
        <f>AE44/AE34*400</f>
        <v>3.0352303523035231</v>
      </c>
      <c r="AF48" s="226" t="str">
        <f t="shared" si="201"/>
        <v>NM</v>
      </c>
      <c r="AG48" s="694">
        <f>AG44/AG34*400</f>
        <v>-0.41623309053069724</v>
      </c>
      <c r="AH48" s="226" t="str">
        <f t="shared" si="182"/>
        <v>NM</v>
      </c>
      <c r="AI48" s="694">
        <f>AI44/AI34*400</f>
        <v>4.5407636738906092</v>
      </c>
      <c r="AJ48" s="226">
        <f t="shared" si="270"/>
        <v>-33.137254901960773</v>
      </c>
      <c r="AK48" s="694">
        <f>AK44/AK34*400</f>
        <v>0.19627085377821393</v>
      </c>
      <c r="AL48" s="226" t="str">
        <f t="shared" si="271"/>
        <v>NA</v>
      </c>
      <c r="AM48" s="694">
        <f>AM44/AM34*400</f>
        <v>-0.76154212279866729</v>
      </c>
      <c r="AN48" s="226" t="str">
        <f t="shared" si="272"/>
        <v>NM</v>
      </c>
      <c r="AO48" s="694">
        <f>AO44/AO34*400</f>
        <v>-2.3919043238270472</v>
      </c>
      <c r="AP48" s="226" t="str">
        <f t="shared" si="273"/>
        <v>NM</v>
      </c>
      <c r="AQ48" s="694">
        <f t="shared" ref="AQ48:AW48" si="294">AQ44/AQ34*400</f>
        <v>0.10535714285714287</v>
      </c>
      <c r="AR48" s="226" t="str">
        <f t="shared" si="275"/>
        <v>NM</v>
      </c>
      <c r="AS48" s="694">
        <f t="shared" si="294"/>
        <v>-0.67003484853979045</v>
      </c>
      <c r="AT48" s="226" t="str">
        <f t="shared" si="276"/>
        <v>NM</v>
      </c>
      <c r="AU48" s="694">
        <f t="shared" si="294"/>
        <v>-1.2720026695977573</v>
      </c>
      <c r="AV48" s="226">
        <f t="shared" si="277"/>
        <v>67.029850551555512</v>
      </c>
      <c r="AW48" s="694">
        <f t="shared" si="294"/>
        <v>-1.9956693335750988</v>
      </c>
      <c r="AX48" s="226">
        <f t="shared" si="278"/>
        <v>-16.56567055399492</v>
      </c>
      <c r="AY48" s="356"/>
      <c r="AZ48" s="618"/>
      <c r="BA48" s="620"/>
      <c r="BB48" s="57"/>
      <c r="BC48" s="226" t="str">
        <f>IF(ISERROR(BB48/#REF!),"NA",IF(OR(BB48/#REF!&gt;2,BB48/#REF!&lt;0.5),"NM",BB48/#REF!*100-100))</f>
        <v>NA</v>
      </c>
      <c r="BD48" s="911"/>
      <c r="BE48" s="226" t="str">
        <f t="shared" si="279"/>
        <v>NA</v>
      </c>
      <c r="BF48" s="57">
        <f>BF44/BF34*100</f>
        <v>0.28296547821165818</v>
      </c>
      <c r="BG48" s="226" t="str">
        <f t="shared" si="279"/>
        <v>NA</v>
      </c>
      <c r="BH48" s="57">
        <f t="shared" ref="BH48:BP48" si="295">BH44/BH34*100</f>
        <v>2.3769100169779285</v>
      </c>
      <c r="BI48" s="226" t="str">
        <f t="shared" si="279"/>
        <v>NM</v>
      </c>
      <c r="BJ48" s="57">
        <f t="shared" ref="BJ48" si="296">BJ44/BJ34*100</f>
        <v>0.30959752321981426</v>
      </c>
      <c r="BK48" s="226" t="str">
        <f t="shared" si="279"/>
        <v>NM</v>
      </c>
      <c r="BL48" s="57">
        <f t="shared" ref="BL48" si="297">BL44/BL34*100</f>
        <v>-0.96284042816992044</v>
      </c>
      <c r="BM48" s="226" t="str">
        <f t="shared" si="279"/>
        <v>NM</v>
      </c>
      <c r="BN48" s="57">
        <f t="shared" si="295"/>
        <v>-0.79362571941898485</v>
      </c>
      <c r="BO48" s="226">
        <f t="shared" si="279"/>
        <v>-17.574532996351593</v>
      </c>
      <c r="BP48" s="57">
        <f t="shared" si="295"/>
        <v>-0.95374678780003508</v>
      </c>
      <c r="BQ48" s="226">
        <f t="shared" si="279"/>
        <v>20.175892043704849</v>
      </c>
      <c r="BR48" s="57">
        <f t="shared" ref="BR48:BT48" si="298">BR44/BR34*100</f>
        <v>-1.0910416334174884</v>
      </c>
      <c r="BS48" s="226">
        <f t="shared" si="279"/>
        <v>14.395314078503503</v>
      </c>
      <c r="BT48" s="57">
        <f t="shared" si="298"/>
        <v>-1.2091958285913722</v>
      </c>
      <c r="BU48" s="226">
        <f t="shared" si="282"/>
        <v>10.829485471034445</v>
      </c>
      <c r="BV48" s="43" t="str">
        <f>IF(ISERROR(((BT48/BJ48)^0.2-1)*100),"NA",IF((((BT48/BJ48)^0.2-1)*100)&gt;100,"NM",IF((((BT48/BJ48)^0.2-1)*100)&lt;-50,"NM",((BT48/BJ48)^0.2-1)*100)))</f>
        <v>NM</v>
      </c>
      <c r="BW48" s="621"/>
      <c r="BX48" s="621"/>
      <c r="BY48"/>
      <c r="BZ48"/>
      <c r="CA48"/>
      <c r="CB48"/>
      <c r="CC48"/>
      <c r="CD48"/>
    </row>
    <row r="49" spans="2:82" s="616" customFormat="1" ht="12.75" customHeight="1" x14ac:dyDescent="0.2">
      <c r="B49" s="240" t="s">
        <v>77</v>
      </c>
      <c r="C49" s="619"/>
      <c r="D49" s="620"/>
      <c r="E49" s="619"/>
      <c r="F49" s="620"/>
      <c r="G49" s="619"/>
      <c r="H49" s="620"/>
      <c r="I49" s="619"/>
      <c r="J49" s="620"/>
      <c r="K49" s="619"/>
      <c r="L49" s="620"/>
      <c r="M49" s="619"/>
      <c r="N49" s="620"/>
      <c r="O49" s="57">
        <f>+O38/O34*400</f>
        <v>-4.7917855105533373</v>
      </c>
      <c r="P49" s="9" t="str">
        <f t="shared" si="173"/>
        <v>NA</v>
      </c>
      <c r="Q49" s="57">
        <f>+Q38/Q34*400</f>
        <v>10.410641989589358</v>
      </c>
      <c r="R49" s="226" t="str">
        <f t="shared" si="266"/>
        <v>NA</v>
      </c>
      <c r="S49" s="57">
        <f>+S38/S34*400</f>
        <v>9.0548953027730619</v>
      </c>
      <c r="T49" s="226" t="str">
        <f t="shared" si="267"/>
        <v>NA</v>
      </c>
      <c r="U49" s="57">
        <f>+U38/U34*400</f>
        <v>0.43907793633369924</v>
      </c>
      <c r="V49" s="226" t="str">
        <f t="shared" si="268"/>
        <v>NA</v>
      </c>
      <c r="W49" s="57">
        <f>+W38/W34*400</f>
        <v>-20.120284308365228</v>
      </c>
      <c r="X49" s="226" t="str">
        <f t="shared" si="178"/>
        <v>NM</v>
      </c>
      <c r="Y49" s="57">
        <f>+Y38/Y34*400</f>
        <v>12.002308136180034</v>
      </c>
      <c r="Z49" s="9">
        <f>IF(ISERROR(Y49/Q49),"NA",IF(OR(Y49/Q49&gt;2,Y49/Q49&lt;0.5),"NM",Y49/Q49*100-100))</f>
        <v>15.288837596973764</v>
      </c>
      <c r="AA49" s="57">
        <f>+AA38/AA34*400</f>
        <v>3.3955857385398982</v>
      </c>
      <c r="AB49" s="226" t="str">
        <f t="shared" si="269"/>
        <v>NM</v>
      </c>
      <c r="AC49" s="57">
        <f>+AC38/AC34*400</f>
        <v>7.9514080618442851</v>
      </c>
      <c r="AD49" s="226" t="str">
        <f t="shared" si="251"/>
        <v>NM</v>
      </c>
      <c r="AE49" s="57">
        <f>+AE38/AE34*400</f>
        <v>14.092140921409213</v>
      </c>
      <c r="AF49" s="226" t="str">
        <f t="shared" si="201"/>
        <v>NM</v>
      </c>
      <c r="AG49" s="57">
        <f>+AG38/AG34*400</f>
        <v>4.1623309053069724</v>
      </c>
      <c r="AH49" s="226" t="str">
        <f t="shared" si="182"/>
        <v>NM</v>
      </c>
      <c r="AI49" s="57">
        <f>+AI38/AI34*400</f>
        <v>16.718266253869967</v>
      </c>
      <c r="AJ49" s="226" t="str">
        <f t="shared" si="270"/>
        <v>NM</v>
      </c>
      <c r="AK49" s="57">
        <f>+AK38/AK34*400</f>
        <v>12.365063788027477</v>
      </c>
      <c r="AL49" s="226">
        <f t="shared" si="271"/>
        <v>55.5078508341511</v>
      </c>
      <c r="AM49" s="57">
        <f>+AM38/AM34*400</f>
        <v>14.850071394574012</v>
      </c>
      <c r="AN49" s="226">
        <f t="shared" si="272"/>
        <v>5.3783912422656073</v>
      </c>
      <c r="AO49" s="57">
        <f>+AO38/AO34*400</f>
        <v>14.903403863845446</v>
      </c>
      <c r="AP49" s="226" t="str">
        <f t="shared" si="273"/>
        <v>NM</v>
      </c>
      <c r="AQ49" s="57">
        <f t="shared" ref="AQ49:AW49" si="299">+AQ38/AQ34*400</f>
        <v>-3.12</v>
      </c>
      <c r="AR49" s="226" t="str">
        <f t="shared" si="275"/>
        <v>NM</v>
      </c>
      <c r="AS49" s="57">
        <f t="shared" si="299"/>
        <v>5.2</v>
      </c>
      <c r="AT49" s="226" t="str">
        <f t="shared" si="276"/>
        <v>NM</v>
      </c>
      <c r="AU49" s="57">
        <f t="shared" si="299"/>
        <v>5.2</v>
      </c>
      <c r="AV49" s="226" t="str">
        <f t="shared" si="277"/>
        <v>NM</v>
      </c>
      <c r="AW49" s="57">
        <f t="shared" si="299"/>
        <v>5.2</v>
      </c>
      <c r="AX49" s="226" t="str">
        <f t="shared" si="278"/>
        <v>NM</v>
      </c>
      <c r="AY49" s="356"/>
      <c r="AZ49" s="618"/>
      <c r="BA49" s="620"/>
      <c r="BB49" s="57"/>
      <c r="BC49" s="226" t="str">
        <f>IF(ISERROR(BB49/#REF!),"NA",IF(OR(BB49/#REF!&gt;2,BB49/#REF!&lt;0.5),"NM",BB49/#REF!*100-100))</f>
        <v>NA</v>
      </c>
      <c r="BD49" s="911"/>
      <c r="BE49" s="226" t="str">
        <f t="shared" si="279"/>
        <v>NA</v>
      </c>
      <c r="BF49" s="57">
        <f>BF38/BF34*100</f>
        <v>0.11318619128466327</v>
      </c>
      <c r="BG49" s="226" t="str">
        <f t="shared" si="279"/>
        <v>NA</v>
      </c>
      <c r="BH49" s="57">
        <f t="shared" ref="BH49:BP49" si="300">BH38/BH34*100</f>
        <v>7.6966610073571031</v>
      </c>
      <c r="BI49" s="226" t="str">
        <f t="shared" si="279"/>
        <v>NM</v>
      </c>
      <c r="BJ49" s="57">
        <f t="shared" ref="BJ49" si="301">BJ38/BJ34*100</f>
        <v>15.634674922600619</v>
      </c>
      <c r="BK49" s="226" t="str">
        <f t="shared" si="279"/>
        <v>NM</v>
      </c>
      <c r="BL49" s="57">
        <f t="shared" ref="BL49" si="302">BL38/BL34*100</f>
        <v>3.1256166444262741</v>
      </c>
      <c r="BM49" s="226" t="str">
        <f t="shared" si="279"/>
        <v>NM</v>
      </c>
      <c r="BN49" s="57">
        <f t="shared" si="300"/>
        <v>5.2</v>
      </c>
      <c r="BO49" s="226">
        <f t="shared" si="279"/>
        <v>66.367171395534086</v>
      </c>
      <c r="BP49" s="57">
        <f t="shared" si="300"/>
        <v>5.2</v>
      </c>
      <c r="BQ49" s="226">
        <f t="shared" si="279"/>
        <v>0</v>
      </c>
      <c r="BR49" s="57">
        <f t="shared" ref="BR49:BT49" si="303">BR38/BR34*100</f>
        <v>5.1999999999999993</v>
      </c>
      <c r="BS49" s="226">
        <f t="shared" si="279"/>
        <v>-2.8421709430404007E-14</v>
      </c>
      <c r="BT49" s="57">
        <f t="shared" si="303"/>
        <v>5.2</v>
      </c>
      <c r="BU49" s="226">
        <f t="shared" si="282"/>
        <v>2.8421709430404007E-14</v>
      </c>
      <c r="BV49" s="43">
        <f>IF(ISERROR(((BT49/BJ49)^0.2-1)*100),"NA",IF((((BT49/BJ49)^0.2-1)*100)&gt;100,"NM",IF((((BT49/BJ49)^0.2-1)*100)&lt;-50,"NM",((BT49/BJ49)^0.2-1)*100)))</f>
        <v>-19.761482208272785</v>
      </c>
      <c r="BW49" s="621"/>
      <c r="BX49" s="621"/>
      <c r="BY49"/>
      <c r="BZ49"/>
      <c r="CA49"/>
      <c r="CB49"/>
      <c r="CC49"/>
      <c r="CD49"/>
    </row>
    <row r="50" spans="2:82" s="616" customFormat="1" ht="12.75" customHeight="1" x14ac:dyDescent="0.2">
      <c r="B50" s="240" t="s">
        <v>105</v>
      </c>
      <c r="C50" s="619"/>
      <c r="D50" s="620"/>
      <c r="E50" s="619"/>
      <c r="F50" s="620"/>
      <c r="G50" s="619"/>
      <c r="H50" s="620"/>
      <c r="I50" s="619"/>
      <c r="J50" s="620"/>
      <c r="K50" s="619"/>
      <c r="L50" s="620"/>
      <c r="M50" s="619"/>
      <c r="N50" s="620"/>
      <c r="O50" s="694">
        <f>(O49/4)/O$31*100</f>
        <v>-199.65772960638907</v>
      </c>
      <c r="P50" s="9" t="str">
        <f t="shared" si="173"/>
        <v>NA</v>
      </c>
      <c r="Q50" s="694">
        <f>(Q49/4)/Q$31*100</f>
        <v>59.151374940848619</v>
      </c>
      <c r="R50" s="226" t="str">
        <f t="shared" si="266"/>
        <v>NA</v>
      </c>
      <c r="S50" s="694">
        <f>(S49/4)/S$31*100</f>
        <v>565.93095642331639</v>
      </c>
      <c r="T50" s="226" t="str">
        <f t="shared" si="267"/>
        <v>NA</v>
      </c>
      <c r="U50" s="694">
        <f>(U49/4)/U$31*100</f>
        <v>27.4423710208562</v>
      </c>
      <c r="V50" s="226" t="str">
        <f t="shared" si="268"/>
        <v>NA</v>
      </c>
      <c r="W50" s="694">
        <f t="shared" ref="W50:Y50" si="304">(W49/4)/W$31*100</f>
        <v>66.392763062573295</v>
      </c>
      <c r="X50" s="226" t="str">
        <f t="shared" si="178"/>
        <v>NM</v>
      </c>
      <c r="Y50" s="694">
        <f t="shared" si="304"/>
        <v>48.056651714232288</v>
      </c>
      <c r="Z50" s="9">
        <f>IF(ISERROR(Y50/Q50),"NA",IF(OR(Y50/Q50&gt;2,Y50/Q50&lt;0.5),"NM",Y50/Q50*100-100))</f>
        <v>-18.756492537512543</v>
      </c>
      <c r="AA50" s="694">
        <f t="shared" ref="AA50:AC50" si="305">(AA49/4)/AA$31*100</f>
        <v>109.81603662074799</v>
      </c>
      <c r="AB50" s="226" t="str">
        <f t="shared" si="269"/>
        <v>NM</v>
      </c>
      <c r="AC50" s="694">
        <f t="shared" si="305"/>
        <v>157.98940583191794</v>
      </c>
      <c r="AD50" s="226" t="str">
        <f t="shared" si="251"/>
        <v>NM</v>
      </c>
      <c r="AE50" s="694">
        <f t="shared" ref="AE50:AG50" si="306">(AE49/4)/AE$31*100</f>
        <v>113.42298870586498</v>
      </c>
      <c r="AF50" s="226">
        <f t="shared" si="201"/>
        <v>70.836373535120146</v>
      </c>
      <c r="AG50" s="694">
        <f t="shared" si="306"/>
        <v>31.976486709853646</v>
      </c>
      <c r="AH50" s="226">
        <f t="shared" si="182"/>
        <v>-33.460851788008355</v>
      </c>
      <c r="AI50" s="694">
        <f t="shared" ref="AI50:AK50" si="307">(AI49/4)/AI$31*100</f>
        <v>75.529348925630757</v>
      </c>
      <c r="AJ50" s="226">
        <f t="shared" si="270"/>
        <v>-31.221931468467616</v>
      </c>
      <c r="AK50" s="694">
        <f t="shared" si="307"/>
        <v>118.89484411564881</v>
      </c>
      <c r="AL50" s="226">
        <f t="shared" si="271"/>
        <v>-24.745052689077852</v>
      </c>
      <c r="AM50" s="694">
        <f t="shared" ref="AM50:AO50" si="308">(AM49/4)/AM$31*100</f>
        <v>103.12549579565287</v>
      </c>
      <c r="AN50" s="226">
        <f t="shared" si="272"/>
        <v>-9.0788410953586975</v>
      </c>
      <c r="AO50" s="694">
        <f t="shared" si="308"/>
        <v>58.216421343146273</v>
      </c>
      <c r="AP50" s="226">
        <f t="shared" si="273"/>
        <v>82.060092690566648</v>
      </c>
      <c r="AQ50" s="58">
        <v>65</v>
      </c>
      <c r="AR50" s="226">
        <f t="shared" si="275"/>
        <v>-13.940738369131694</v>
      </c>
      <c r="AS50" s="58">
        <v>65</v>
      </c>
      <c r="AT50" s="226">
        <f t="shared" si="276"/>
        <v>-45.329841269841268</v>
      </c>
      <c r="AU50" s="58">
        <v>65</v>
      </c>
      <c r="AV50" s="226">
        <f t="shared" si="277"/>
        <v>-36.970000000000006</v>
      </c>
      <c r="AW50" s="58">
        <v>65</v>
      </c>
      <c r="AX50" s="226">
        <f t="shared" si="278"/>
        <v>11.652345679012342</v>
      </c>
      <c r="AY50" s="356"/>
      <c r="AZ50" s="618"/>
      <c r="BA50" s="620"/>
      <c r="BB50" s="55"/>
      <c r="BC50" s="226" t="str">
        <f>IF(ISERROR(BB50/#REF!),"NA",IF(OR(BB50/#REF!&gt;2,BB50/#REF!&lt;0.5),"NM",BB50/#REF!*100-100))</f>
        <v>NA</v>
      </c>
      <c r="BD50" s="908"/>
      <c r="BE50" s="226" t="str">
        <f t="shared" si="279"/>
        <v>NA</v>
      </c>
      <c r="BF50" s="55"/>
      <c r="BG50" s="226" t="str">
        <f t="shared" si="279"/>
        <v>NA</v>
      </c>
      <c r="BH50" s="55"/>
      <c r="BI50" s="226" t="str">
        <f t="shared" si="279"/>
        <v>NA</v>
      </c>
      <c r="BJ50" s="55"/>
      <c r="BK50" s="226" t="str">
        <f t="shared" si="279"/>
        <v>NA</v>
      </c>
      <c r="BL50" s="55"/>
      <c r="BM50" s="226" t="str">
        <f t="shared" si="279"/>
        <v>NA</v>
      </c>
      <c r="BN50" s="58">
        <v>65</v>
      </c>
      <c r="BO50" s="226" t="str">
        <f t="shared" si="279"/>
        <v>NA</v>
      </c>
      <c r="BP50" s="58">
        <v>65</v>
      </c>
      <c r="BQ50" s="226">
        <f t="shared" si="279"/>
        <v>0</v>
      </c>
      <c r="BR50" s="58">
        <v>65</v>
      </c>
      <c r="BS50" s="226">
        <f t="shared" si="279"/>
        <v>0</v>
      </c>
      <c r="BT50" s="58">
        <v>65</v>
      </c>
      <c r="BU50" s="226">
        <f t="shared" si="282"/>
        <v>0</v>
      </c>
      <c r="BV50" s="43"/>
      <c r="BW50" s="621"/>
      <c r="BX50" s="621"/>
      <c r="BY50"/>
      <c r="BZ50"/>
      <c r="CA50"/>
      <c r="CB50"/>
      <c r="CC50"/>
      <c r="CD50"/>
    </row>
    <row r="51" spans="2:82" s="616" customFormat="1" ht="12.75" customHeight="1" x14ac:dyDescent="0.2">
      <c r="B51" s="240"/>
      <c r="C51" s="619"/>
      <c r="D51" s="620"/>
      <c r="E51" s="619"/>
      <c r="F51" s="620"/>
      <c r="G51" s="619"/>
      <c r="H51" s="620"/>
      <c r="I51" s="619"/>
      <c r="J51" s="620"/>
      <c r="K51" s="619"/>
      <c r="L51" s="620"/>
      <c r="M51" s="619"/>
      <c r="N51" s="620"/>
      <c r="O51" s="691"/>
      <c r="P51" s="9"/>
      <c r="Q51" s="691"/>
      <c r="R51" s="226"/>
      <c r="S51" s="691"/>
      <c r="T51" s="226"/>
      <c r="U51" s="691"/>
      <c r="V51" s="226"/>
      <c r="W51" s="691"/>
      <c r="X51" s="226"/>
      <c r="Y51" s="691"/>
      <c r="Z51" s="40"/>
      <c r="AA51" s="691"/>
      <c r="AB51" s="226"/>
      <c r="AC51" s="691"/>
      <c r="AD51" s="226"/>
      <c r="AE51" s="691"/>
      <c r="AF51" s="226"/>
      <c r="AG51" s="691"/>
      <c r="AH51" s="620"/>
      <c r="AI51" s="691"/>
      <c r="AJ51" s="620"/>
      <c r="AK51" s="691"/>
      <c r="AL51" s="620"/>
      <c r="AM51" s="691"/>
      <c r="AN51" s="620"/>
      <c r="AO51" s="691"/>
      <c r="AP51" s="620"/>
      <c r="AQ51" s="691"/>
      <c r="AR51" s="620"/>
      <c r="AS51" s="691"/>
      <c r="AT51" s="620"/>
      <c r="AU51" s="691"/>
      <c r="AV51" s="620"/>
      <c r="AW51" s="691"/>
      <c r="AX51" s="620"/>
      <c r="AY51" s="356"/>
      <c r="AZ51" s="618"/>
      <c r="BA51" s="620"/>
      <c r="BB51" s="55"/>
      <c r="BC51" s="55"/>
      <c r="BD51" s="908"/>
      <c r="BE51" s="55"/>
      <c r="BF51" s="55"/>
      <c r="BG51" s="55"/>
      <c r="BH51" s="55"/>
      <c r="BI51" s="626"/>
      <c r="BJ51" s="55"/>
      <c r="BK51" s="626"/>
      <c r="BL51" s="55"/>
      <c r="BM51" s="626"/>
      <c r="BN51" s="55"/>
      <c r="BO51" s="626"/>
      <c r="BP51" s="55"/>
      <c r="BQ51" s="623"/>
      <c r="BR51" s="55"/>
      <c r="BS51" s="623"/>
      <c r="BT51" s="55"/>
      <c r="BU51" s="623"/>
      <c r="BV51" s="43"/>
      <c r="BW51" s="621"/>
      <c r="BX51" s="621"/>
      <c r="BY51"/>
      <c r="BZ51"/>
      <c r="CA51"/>
      <c r="CB51"/>
      <c r="CC51"/>
      <c r="CD51"/>
    </row>
    <row r="52" spans="2:82" s="616" customFormat="1" ht="12.75" customHeight="1" x14ac:dyDescent="0.2">
      <c r="B52" s="62" t="s">
        <v>374</v>
      </c>
      <c r="C52" s="653">
        <v>267.10000000000002</v>
      </c>
      <c r="D52" s="705" t="str">
        <f>IF(ISERROR(C52/#REF!),"NA",IF(OR(C52/#REF!&gt;2,C52/#REF!&lt;0.5),"NM",C52/#REF!*100-100))</f>
        <v>NA</v>
      </c>
      <c r="E52" s="653">
        <v>285.39999999999998</v>
      </c>
      <c r="F52" s="705" t="str">
        <f>IF(ISERROR(E52/#REF!),"NA",IF(OR(E52/#REF!&gt;2,E52/#REF!&lt;0.5),"NM",E52/#REF!*100-100))</f>
        <v>NA</v>
      </c>
      <c r="G52" s="653">
        <v>295.60000000000002</v>
      </c>
      <c r="H52" s="705" t="str">
        <f>IF(ISERROR(G52/#REF!),"NA",IF(OR(G52/#REF!&gt;2,G52/#REF!&lt;0.5),"NM",G52/#REF!*100-100))</f>
        <v>NA</v>
      </c>
      <c r="I52" s="653">
        <v>308.39999999999998</v>
      </c>
      <c r="J52" s="9" t="str">
        <f>IF(ISERROR(I52/#REF!),"NA",IF(OR(I52/#REF!&gt;2,I52/#REF!&lt;0.5),"NM",I52/#REF!*100-100))</f>
        <v>NA</v>
      </c>
      <c r="K52" s="653">
        <v>311.39999999999998</v>
      </c>
      <c r="L52" s="9">
        <f t="shared" ref="L52:L55" si="309">IF(ISERROR(K52/C52),"NA",IF(OR(K52/C52&gt;2,K52/C52&lt;0.5),"NM",K52/C52*100-100))</f>
        <v>16.585548483713936</v>
      </c>
      <c r="M52" s="653">
        <v>320.8</v>
      </c>
      <c r="N52" s="9">
        <f t="shared" ref="N52:N55" si="310">IF(ISERROR(M52/E52),"NA",IF(OR(M52/E52&gt;2,M52/E52&lt;0.5),"NM",M52/E52*100-100))</f>
        <v>12.403644008409259</v>
      </c>
      <c r="O52" s="653">
        <v>329.7</v>
      </c>
      <c r="P52" s="9">
        <f t="shared" si="173"/>
        <v>11.535859269282795</v>
      </c>
      <c r="Q52" s="653">
        <v>329.1</v>
      </c>
      <c r="R52" s="226">
        <f t="shared" ref="R52:R55" si="311">IF(ISERROR(Q52/I52),"NA",IF(OR(Q52/I52&gt;2,Q52/I52&lt;0.5),"NM",Q52/I52*100-100))</f>
        <v>6.7120622568093609</v>
      </c>
      <c r="S52" s="653">
        <v>329.8</v>
      </c>
      <c r="T52" s="226">
        <f t="shared" ref="T52:T55" si="312">IF(ISERROR(S52/K52),"NA",IF(OR(S52/K52&gt;2,S52/K52&lt;0.5),"NM",S52/K52*100-100))</f>
        <v>5.9087989723827832</v>
      </c>
      <c r="U52" s="653">
        <v>334.5</v>
      </c>
      <c r="V52" s="226">
        <f t="shared" ref="V52:V62" si="313">IF(ISERROR(U52/M52),"NA",IF(OR(U52/M52&gt;2,U52/M52&lt;0.5),"NM",U52/M52*100-100))</f>
        <v>4.2705735660847779</v>
      </c>
      <c r="W52" s="653">
        <v>327.8</v>
      </c>
      <c r="X52" s="226">
        <f t="shared" si="178"/>
        <v>-0.5762814680011985</v>
      </c>
      <c r="Y52" s="653">
        <v>327.5</v>
      </c>
      <c r="Z52" s="9">
        <f>IF(ISERROR(Y52/Q52),"NA",IF(OR(Y52/Q52&gt;2,Y52/Q52&lt;0.5),"NM",Y52/Q52*100-100))</f>
        <v>-0.48617441507141734</v>
      </c>
      <c r="AA52" s="653">
        <v>305.2</v>
      </c>
      <c r="AB52" s="226">
        <f t="shared" ref="AB52:AB55" si="314">IF(ISERROR(AA52/S52),"NA",IF(OR(AA52/S52&gt;2,AA52/S52&lt;0.5),"NM",AA52/S52*100-100))</f>
        <v>-7.4590661006670729</v>
      </c>
      <c r="AC52" s="653">
        <v>318.8</v>
      </c>
      <c r="AD52" s="226">
        <f t="shared" si="251"/>
        <v>-4.6935724962630729</v>
      </c>
      <c r="AE52" s="653">
        <v>329.2</v>
      </c>
      <c r="AF52" s="226">
        <f t="shared" si="201"/>
        <v>0.42708968883464138</v>
      </c>
      <c r="AG52" s="653">
        <f>0.3+327.4</f>
        <v>327.7</v>
      </c>
      <c r="AH52" s="226">
        <f t="shared" si="182"/>
        <v>6.1068702290071997E-2</v>
      </c>
      <c r="AI52" s="653">
        <f>1.1+329.7</f>
        <v>330.8</v>
      </c>
      <c r="AJ52" s="226">
        <f t="shared" ref="AJ52:AJ55" si="315">IF(ISERROR(AI52/AA52),"NA",IF(OR(AI52/AA52&gt;2,AI52/AA52&lt;0.5),"NM",AI52/AA52*100-100))</f>
        <v>8.3879423328964577</v>
      </c>
      <c r="AK52" s="653">
        <f>0.7+337</f>
        <v>337.7</v>
      </c>
      <c r="AL52" s="226">
        <f t="shared" ref="AL52:AL55" si="316">IF(ISERROR(AK52/AC52),"NA",IF(OR(AK52/AC52&gt;2,AK52/AC52&lt;0.5),"NM",AK52/AC52*100-100))</f>
        <v>5.9284818067754088</v>
      </c>
      <c r="AM52" s="653">
        <f>0.8+345.9</f>
        <v>346.7</v>
      </c>
      <c r="AN52" s="226">
        <f t="shared" ref="AN52:AN55" si="317">IF(ISERROR(AM52/AE52),"NA",IF(OR(AM52/AE52&gt;2,AM52/AE52&lt;0.5),"NM",AM52/AE52*100-100))</f>
        <v>5.3159173754556548</v>
      </c>
      <c r="AO52" s="653">
        <f>1.2+356.6</f>
        <v>357.8</v>
      </c>
      <c r="AP52" s="226">
        <f t="shared" ref="AP52:AP55" si="318">IF(ISERROR(AO52/AG52),"NA",IF(OR(AO52/AG52&gt;2,AO52/AG52&lt;0.5),"NM",AO52/AG52*100-100))</f>
        <v>9.1852303936527306</v>
      </c>
      <c r="AQ52" s="691">
        <f t="shared" ref="AQ52:AW52" si="319">+AQ67*AQ42/400</f>
        <v>361.53833719981878</v>
      </c>
      <c r="AR52" s="226">
        <f t="shared" ref="AR52:AR55" si="320">IF(ISERROR(AQ52/AI52),"NA",IF(OR(AQ52/AI52&gt;2,AQ52/AI52&lt;0.5),"NM",AQ52/AI52*100-100))</f>
        <v>9.292121281686434</v>
      </c>
      <c r="AS52" s="691">
        <f t="shared" si="319"/>
        <v>361.88370603544854</v>
      </c>
      <c r="AT52" s="226">
        <f t="shared" ref="AT52:AT55" si="321">IF(ISERROR(AS52/AK52),"NA",IF(OR(AS52/AK52&gt;2,AS52/AK52&lt;0.5),"NM",AS52/AK52*100-100))</f>
        <v>7.1612987964017094</v>
      </c>
      <c r="AU52" s="691">
        <f t="shared" si="319"/>
        <v>365.54611144986484</v>
      </c>
      <c r="AV52" s="226">
        <f t="shared" ref="AV52:AV55" si="322">IF(ISERROR(AU52/AM52),"NA",IF(OR(AU52/AM52&gt;2,AU52/AM52&lt;0.5),"NM",AU52/AM52*100-100))</f>
        <v>5.4358556244201992</v>
      </c>
      <c r="AW52" s="691">
        <f t="shared" si="319"/>
        <v>368.56038144431079</v>
      </c>
      <c r="AX52" s="226">
        <f t="shared" ref="AX52:AX55" si="323">IF(ISERROR(AW52/AO52),"NA",IF(OR(AW52/AO52&gt;2,AW52/AO52&lt;0.5),"NM",AW52/AO52*100-100))</f>
        <v>3.0073732376497446</v>
      </c>
      <c r="AY52" s="356"/>
      <c r="AZ52" s="618"/>
      <c r="BA52" s="620"/>
      <c r="BB52" s="55">
        <f>C52+E52+G52+I52</f>
        <v>1156.5</v>
      </c>
      <c r="BC52" s="226" t="str">
        <f>IF(ISERROR(BB52/#REF!),"NA",IF(OR(BB52/#REF!&gt;2,BB52/#REF!&lt;0.5),"NM",BB52/#REF!*100-100))</f>
        <v>NA</v>
      </c>
      <c r="BD52" s="908">
        <f>K52+M52+O52+Q52</f>
        <v>1291</v>
      </c>
      <c r="BE52" s="226">
        <f t="shared" ref="BE52:BS55" si="324">IF(ISERROR(BD52/BB52),"NA",IF(OR(BD52/BB52&gt;2,BD52/BB52&lt;0.5),"NM",BD52/BB52*100-100))</f>
        <v>11.629917855598791</v>
      </c>
      <c r="BF52" s="55">
        <f>S52+U52+W52+Y52</f>
        <v>1319.6</v>
      </c>
      <c r="BG52" s="226">
        <f t="shared" si="324"/>
        <v>2.2153369481022338</v>
      </c>
      <c r="BH52" s="55">
        <f>AA52+AC52+AE52+AG52</f>
        <v>1280.9000000000001</v>
      </c>
      <c r="BI52" s="226">
        <f t="shared" si="324"/>
        <v>-2.9327068808729848</v>
      </c>
      <c r="BJ52" s="55">
        <f>AI52+AK52+AM52+AO52</f>
        <v>1373</v>
      </c>
      <c r="BK52" s="226">
        <f t="shared" si="324"/>
        <v>7.1902568506518918</v>
      </c>
      <c r="BL52" s="55">
        <f>AQ52+AS52+AU52+AW52</f>
        <v>1457.5285361294427</v>
      </c>
      <c r="BM52" s="226">
        <f t="shared" si="324"/>
        <v>6.1564847872864306</v>
      </c>
      <c r="BN52" s="55">
        <f t="shared" ref="BN52:BP52" si="325">BN67/100*BN42</f>
        <v>1509.8029801100784</v>
      </c>
      <c r="BO52" s="226">
        <f t="shared" si="324"/>
        <v>3.5865125577200416</v>
      </c>
      <c r="BP52" s="55">
        <f t="shared" si="325"/>
        <v>1570.5581401395373</v>
      </c>
      <c r="BQ52" s="226">
        <f t="shared" si="324"/>
        <v>4.0240455761340002</v>
      </c>
      <c r="BR52" s="55">
        <f t="shared" ref="BR52:BT52" si="326">BR67/100*BR42</f>
        <v>1631.6096043494122</v>
      </c>
      <c r="BS52" s="226">
        <f t="shared" si="324"/>
        <v>3.8872463648146578</v>
      </c>
      <c r="BT52" s="55">
        <f t="shared" si="326"/>
        <v>1693.1303906373348</v>
      </c>
      <c r="BU52" s="226">
        <f t="shared" ref="BU52:BU55" si="327">IF(ISERROR(BT52/BR52),"NA",IF(OR(BT52/BR52&gt;2,BT52/BR52&lt;0.5),"NM",BT52/BR52*100-100))</f>
        <v>3.770557989112433</v>
      </c>
      <c r="BV52" s="43">
        <f>IF(ISERROR(((BT52/BJ52)^0.2-1)*100),"NA",IF((((BT52/BJ52)^0.2-1)*100)&gt;100,"NM",IF((((BT52/BJ52)^0.2-1)*100)&lt;-50,"NM",((BT52/BJ52)^0.2-1)*100)))</f>
        <v>4.2807085958365354</v>
      </c>
      <c r="BW52" s="621"/>
      <c r="BX52" s="621"/>
      <c r="BY52"/>
      <c r="BZ52"/>
      <c r="CA52"/>
      <c r="CB52"/>
      <c r="CC52"/>
      <c r="CD52"/>
    </row>
    <row r="53" spans="2:82" s="616" customFormat="1" ht="12.75" customHeight="1" x14ac:dyDescent="0.2">
      <c r="B53" s="65" t="s">
        <v>416</v>
      </c>
      <c r="C53" s="653">
        <v>122.9</v>
      </c>
      <c r="D53" s="705" t="str">
        <f>IF(ISERROR(C53/#REF!),"NA",IF(OR(C53/#REF!&gt;2,C53/#REF!&lt;0.5),"NM",C53/#REF!*100-100))</f>
        <v>NA</v>
      </c>
      <c r="E53" s="653">
        <v>122.3</v>
      </c>
      <c r="F53" s="705" t="str">
        <f>IF(ISERROR(E53/#REF!),"NA",IF(OR(E53/#REF!&gt;2,E53/#REF!&lt;0.5),"NM",E53/#REF!*100-100))</f>
        <v>NA</v>
      </c>
      <c r="G53" s="653">
        <v>120.5</v>
      </c>
      <c r="H53" s="705" t="str">
        <f>IF(ISERROR(G53/#REF!),"NA",IF(OR(G53/#REF!&gt;2,G53/#REF!&lt;0.5),"NM",G53/#REF!*100-100))</f>
        <v>NA</v>
      </c>
      <c r="I53" s="653">
        <v>123.6</v>
      </c>
      <c r="J53" s="9" t="str">
        <f>IF(ISERROR(I53/#REF!),"NA",IF(OR(I53/#REF!&gt;2,I53/#REF!&lt;0.5),"NM",I53/#REF!*100-100))</f>
        <v>NA</v>
      </c>
      <c r="K53" s="653">
        <v>124.9</v>
      </c>
      <c r="L53" s="9">
        <f t="shared" si="309"/>
        <v>1.6273393002441026</v>
      </c>
      <c r="M53" s="653">
        <v>124.7</v>
      </c>
      <c r="N53" s="9">
        <f t="shared" si="310"/>
        <v>1.962387571545392</v>
      </c>
      <c r="O53" s="653">
        <v>118.4</v>
      </c>
      <c r="P53" s="9">
        <f t="shared" si="173"/>
        <v>-1.7427385892116121</v>
      </c>
      <c r="Q53" s="653">
        <v>119.9</v>
      </c>
      <c r="R53" s="226">
        <f t="shared" si="311"/>
        <v>-2.9935275080906081</v>
      </c>
      <c r="S53" s="653">
        <v>107.9</v>
      </c>
      <c r="T53" s="226">
        <f t="shared" si="312"/>
        <v>-13.610888710968766</v>
      </c>
      <c r="U53" s="653">
        <v>119.8</v>
      </c>
      <c r="V53" s="226">
        <f t="shared" si="313"/>
        <v>-3.9294306335204539</v>
      </c>
      <c r="W53" s="653">
        <v>114.1</v>
      </c>
      <c r="X53" s="226">
        <f t="shared" si="178"/>
        <v>-3.6317567567567721</v>
      </c>
      <c r="Y53" s="653">
        <v>112.6</v>
      </c>
      <c r="Z53" s="9">
        <f>IF(ISERROR(Y53/Q53),"NA",IF(OR(Y53/Q53&gt;2,Y53/Q53&lt;0.5),"NM",Y53/Q53*100-100))</f>
        <v>-6.0884070058382065</v>
      </c>
      <c r="AA53" s="653">
        <v>108.1</v>
      </c>
      <c r="AB53" s="226">
        <f t="shared" si="314"/>
        <v>0.18535681186281749</v>
      </c>
      <c r="AC53" s="653">
        <v>110</v>
      </c>
      <c r="AD53" s="226">
        <f t="shared" si="251"/>
        <v>-8.1803005008347185</v>
      </c>
      <c r="AE53" s="653">
        <v>123.3</v>
      </c>
      <c r="AF53" s="226">
        <f t="shared" si="201"/>
        <v>8.0631025416301583</v>
      </c>
      <c r="AG53" s="653">
        <v>120.9</v>
      </c>
      <c r="AH53" s="226">
        <f t="shared" si="182"/>
        <v>7.3712255772646671</v>
      </c>
      <c r="AI53" s="653">
        <v>119.6</v>
      </c>
      <c r="AJ53" s="226">
        <f t="shared" si="315"/>
        <v>10.638297872340431</v>
      </c>
      <c r="AK53" s="653">
        <v>113.8</v>
      </c>
      <c r="AL53" s="226">
        <f t="shared" si="316"/>
        <v>3.454545454545439</v>
      </c>
      <c r="AM53" s="653">
        <v>108.6</v>
      </c>
      <c r="AN53" s="226">
        <f t="shared" si="317"/>
        <v>-11.922141119221422</v>
      </c>
      <c r="AO53" s="653">
        <v>106</v>
      </c>
      <c r="AP53" s="226">
        <f t="shared" si="318"/>
        <v>-12.324234904880072</v>
      </c>
      <c r="AQ53" s="691">
        <f t="shared" ref="AQ53:AW53" si="328">AQ68*AQ42/400</f>
        <v>111.50295</v>
      </c>
      <c r="AR53" s="226">
        <f t="shared" si="320"/>
        <v>-6.7701086956521692</v>
      </c>
      <c r="AS53" s="691">
        <f t="shared" si="328"/>
        <v>111.6094660732581</v>
      </c>
      <c r="AT53" s="226">
        <f t="shared" si="321"/>
        <v>-1.9248980024093925</v>
      </c>
      <c r="AU53" s="691">
        <f t="shared" si="328"/>
        <v>112.73899775990103</v>
      </c>
      <c r="AV53" s="226">
        <f t="shared" si="322"/>
        <v>3.8112318231132889</v>
      </c>
      <c r="AW53" s="691">
        <f t="shared" si="328"/>
        <v>113.6686363677465</v>
      </c>
      <c r="AX53" s="226">
        <f t="shared" si="323"/>
        <v>7.2345626110815999</v>
      </c>
      <c r="AY53" s="356"/>
      <c r="AZ53" s="618"/>
      <c r="BA53" s="620"/>
      <c r="BB53" s="55">
        <f>C53+E53+G53+I53</f>
        <v>489.29999999999995</v>
      </c>
      <c r="BC53" s="226" t="str">
        <f>IF(ISERROR(BB53/#REF!),"NA",IF(OR(BB53/#REF!&gt;2,BB53/#REF!&lt;0.5),"NM",BB53/#REF!*100-100))</f>
        <v>NA</v>
      </c>
      <c r="BD53" s="908">
        <f>K53+M53+O53+Q53</f>
        <v>487.9</v>
      </c>
      <c r="BE53" s="226">
        <f t="shared" si="324"/>
        <v>-0.28612303290414332</v>
      </c>
      <c r="BF53" s="55">
        <f>S53+U53+W53+Y53</f>
        <v>454.4</v>
      </c>
      <c r="BG53" s="226">
        <f t="shared" si="324"/>
        <v>-6.8661610985857777</v>
      </c>
      <c r="BH53" s="55">
        <f>AA53+AC53+AE53+AG53</f>
        <v>462.29999999999995</v>
      </c>
      <c r="BI53" s="226">
        <f t="shared" si="324"/>
        <v>1.7385563380281752</v>
      </c>
      <c r="BJ53" s="55">
        <f>AI53+AK53+AM53+AO53</f>
        <v>448</v>
      </c>
      <c r="BK53" s="226">
        <f t="shared" si="324"/>
        <v>-3.0932295046506511</v>
      </c>
      <c r="BL53" s="55">
        <f>AQ53+AS53+AU53+AW53</f>
        <v>449.52005020090559</v>
      </c>
      <c r="BM53" s="226">
        <f t="shared" si="324"/>
        <v>0.33929691984499755</v>
      </c>
      <c r="BN53" s="55">
        <f t="shared" ref="BN53:BP53" si="329">BN68*BN42/100</f>
        <v>442.36003608828889</v>
      </c>
      <c r="BO53" s="226">
        <f t="shared" si="324"/>
        <v>-1.592813070165974</v>
      </c>
      <c r="BP53" s="55">
        <f t="shared" si="329"/>
        <v>435.94181578523791</v>
      </c>
      <c r="BQ53" s="226">
        <f t="shared" si="324"/>
        <v>-1.4509041910309435</v>
      </c>
      <c r="BR53" s="55">
        <f t="shared" ref="BR53:BT53" si="330">BR68*BR42/100</f>
        <v>427.72750660694226</v>
      </c>
      <c r="BS53" s="226">
        <f t="shared" si="324"/>
        <v>-1.8842673221194985</v>
      </c>
      <c r="BT53" s="55">
        <f t="shared" si="330"/>
        <v>417.7460896742981</v>
      </c>
      <c r="BU53" s="226">
        <f t="shared" si="327"/>
        <v>-2.3335924808353496</v>
      </c>
      <c r="BV53" s="43">
        <f>IF(ISERROR(((BT53/BJ53)^0.2-1)*100),"NA",IF((((BT53/BJ53)^0.2-1)*100)&gt;100,"NM",IF((((BT53/BJ53)^0.2-1)*100)&lt;-50,"NM",((BT53/BJ53)^0.2-1)*100)))</f>
        <v>-1.3886564731546036</v>
      </c>
      <c r="BW53" s="621"/>
      <c r="BX53" s="621"/>
      <c r="BY53"/>
      <c r="BZ53"/>
      <c r="CA53"/>
      <c r="CB53"/>
      <c r="CC53"/>
      <c r="CD53"/>
    </row>
    <row r="54" spans="2:82" s="616" customFormat="1" ht="12.75" customHeight="1" x14ac:dyDescent="0.2">
      <c r="B54" s="67" t="s">
        <v>417</v>
      </c>
      <c r="C54" s="695">
        <f t="shared" ref="C54:M54" si="331">+C52+C53</f>
        <v>390</v>
      </c>
      <c r="D54" s="705" t="str">
        <f>IF(ISERROR(C54/#REF!),"NA",IF(OR(C54/#REF!&gt;2,C54/#REF!&lt;0.5),"NM",C54/#REF!*100-100))</f>
        <v>NA</v>
      </c>
      <c r="E54" s="695">
        <f t="shared" si="331"/>
        <v>407.7</v>
      </c>
      <c r="F54" s="705" t="str">
        <f>IF(ISERROR(E54/#REF!),"NA",IF(OR(E54/#REF!&gt;2,E54/#REF!&lt;0.5),"NM",E54/#REF!*100-100))</f>
        <v>NA</v>
      </c>
      <c r="G54" s="695">
        <f t="shared" si="331"/>
        <v>416.1</v>
      </c>
      <c r="H54" s="705" t="str">
        <f>IF(ISERROR(G54/#REF!),"NA",IF(OR(G54/#REF!&gt;2,G54/#REF!&lt;0.5),"NM",G54/#REF!*100-100))</f>
        <v>NA</v>
      </c>
      <c r="I54" s="695">
        <f t="shared" si="331"/>
        <v>432</v>
      </c>
      <c r="J54" s="9" t="str">
        <f>IF(ISERROR(I54/#REF!),"NA",IF(OR(I54/#REF!&gt;2,I54/#REF!&lt;0.5),"NM",I54/#REF!*100-100))</f>
        <v>NA</v>
      </c>
      <c r="K54" s="695">
        <f t="shared" si="331"/>
        <v>436.29999999999995</v>
      </c>
      <c r="L54" s="9">
        <f t="shared" si="309"/>
        <v>11.871794871794862</v>
      </c>
      <c r="M54" s="695">
        <f t="shared" si="331"/>
        <v>445.5</v>
      </c>
      <c r="N54" s="9">
        <f t="shared" si="310"/>
        <v>9.2715231788079535</v>
      </c>
      <c r="O54" s="695">
        <f>+O52+O53</f>
        <v>448.1</v>
      </c>
      <c r="P54" s="9">
        <f t="shared" si="173"/>
        <v>7.6904590242730109</v>
      </c>
      <c r="Q54" s="695">
        <f>+Q52+Q53</f>
        <v>449</v>
      </c>
      <c r="R54" s="226">
        <f t="shared" si="311"/>
        <v>3.9351851851851904</v>
      </c>
      <c r="S54" s="695">
        <f>+S52+S53</f>
        <v>437.70000000000005</v>
      </c>
      <c r="T54" s="226">
        <f t="shared" si="312"/>
        <v>0.3208801283520728</v>
      </c>
      <c r="U54" s="695">
        <f>+U52+U53</f>
        <v>454.3</v>
      </c>
      <c r="V54" s="226">
        <f t="shared" si="313"/>
        <v>1.9753086419753032</v>
      </c>
      <c r="W54" s="695">
        <f t="shared" ref="W54:Y54" si="332">+W52+W53</f>
        <v>441.9</v>
      </c>
      <c r="X54" s="226">
        <f t="shared" si="178"/>
        <v>-1.3836197277393438</v>
      </c>
      <c r="Y54" s="695">
        <f t="shared" si="332"/>
        <v>440.1</v>
      </c>
      <c r="Z54" s="9">
        <f>IF(ISERROR(Y54/Q54),"NA",IF(OR(Y54/Q54&gt;2,Y54/Q54&lt;0.5),"NM",Y54/Q54*100-100))</f>
        <v>-1.9821826280623611</v>
      </c>
      <c r="AA54" s="695">
        <f t="shared" ref="AA54:AC54" si="333">+AA52+AA53</f>
        <v>413.29999999999995</v>
      </c>
      <c r="AB54" s="226">
        <f t="shared" si="314"/>
        <v>-5.5745944710989477</v>
      </c>
      <c r="AC54" s="695">
        <f t="shared" si="333"/>
        <v>428.8</v>
      </c>
      <c r="AD54" s="226">
        <f t="shared" si="251"/>
        <v>-5.6130310367598497</v>
      </c>
      <c r="AE54" s="695">
        <f t="shared" ref="AE54:AG54" si="334">+AE52+AE53</f>
        <v>452.5</v>
      </c>
      <c r="AF54" s="226">
        <f t="shared" si="201"/>
        <v>2.3987327449649314</v>
      </c>
      <c r="AG54" s="695">
        <f t="shared" si="334"/>
        <v>448.6</v>
      </c>
      <c r="AH54" s="226">
        <f t="shared" si="182"/>
        <v>1.9313792319927359</v>
      </c>
      <c r="AI54" s="695">
        <f t="shared" ref="AI54:AK54" si="335">+AI52+AI53</f>
        <v>450.4</v>
      </c>
      <c r="AJ54" s="226">
        <f t="shared" si="315"/>
        <v>8.9765303653520476</v>
      </c>
      <c r="AK54" s="695">
        <f t="shared" si="335"/>
        <v>451.5</v>
      </c>
      <c r="AL54" s="226">
        <f t="shared" si="316"/>
        <v>5.2938432835820919</v>
      </c>
      <c r="AM54" s="695">
        <f t="shared" ref="AM54:AO54" si="336">+AM52+AM53</f>
        <v>455.29999999999995</v>
      </c>
      <c r="AN54" s="226">
        <f t="shared" si="317"/>
        <v>0.61878453038673342</v>
      </c>
      <c r="AO54" s="695">
        <f t="shared" si="336"/>
        <v>463.8</v>
      </c>
      <c r="AP54" s="226">
        <f t="shared" si="318"/>
        <v>3.388319215336594</v>
      </c>
      <c r="AQ54" s="695">
        <f t="shared" ref="AQ54:AW54" si="337">AQ52+AQ53</f>
        <v>473.04128719981878</v>
      </c>
      <c r="AR54" s="226">
        <f t="shared" si="320"/>
        <v>5.0269287743825117</v>
      </c>
      <c r="AS54" s="695">
        <f t="shared" si="337"/>
        <v>473.49317210870663</v>
      </c>
      <c r="AT54" s="226">
        <f t="shared" si="321"/>
        <v>4.8711344648298223</v>
      </c>
      <c r="AU54" s="695">
        <f t="shared" si="337"/>
        <v>478.28510920976589</v>
      </c>
      <c r="AV54" s="226">
        <f t="shared" si="322"/>
        <v>5.0483437754812002</v>
      </c>
      <c r="AW54" s="695">
        <f t="shared" si="337"/>
        <v>482.22901781205729</v>
      </c>
      <c r="AX54" s="226">
        <f t="shared" si="323"/>
        <v>3.9734837887143897</v>
      </c>
      <c r="AY54" s="356"/>
      <c r="AZ54" s="618"/>
      <c r="BA54" s="620"/>
      <c r="BB54" s="695">
        <f>BB52+BB53</f>
        <v>1645.8</v>
      </c>
      <c r="BC54" s="226" t="str">
        <f>IF(ISERROR(BB54/#REF!),"NA",IF(OR(BB54/#REF!&gt;2,BB54/#REF!&lt;0.5),"NM",BB54/#REF!*100-100))</f>
        <v>NA</v>
      </c>
      <c r="BD54" s="912">
        <f t="shared" ref="BD54:BP54" si="338">BD52+BD53</f>
        <v>1778.9</v>
      </c>
      <c r="BE54" s="226">
        <f t="shared" si="324"/>
        <v>8.0872524000486123</v>
      </c>
      <c r="BF54" s="695">
        <f t="shared" si="338"/>
        <v>1774</v>
      </c>
      <c r="BG54" s="226">
        <f t="shared" si="324"/>
        <v>-0.27545112147957695</v>
      </c>
      <c r="BH54" s="695">
        <f t="shared" si="338"/>
        <v>1743.2</v>
      </c>
      <c r="BI54" s="226">
        <f t="shared" si="324"/>
        <v>-1.7361894024802638</v>
      </c>
      <c r="BJ54" s="695">
        <f t="shared" ref="BJ54" si="339">BJ52+BJ53</f>
        <v>1821</v>
      </c>
      <c r="BK54" s="226">
        <f t="shared" si="324"/>
        <v>4.4630564479118675</v>
      </c>
      <c r="BL54" s="695">
        <f t="shared" ref="BL54" si="340">BL52+BL53</f>
        <v>1907.0485863303484</v>
      </c>
      <c r="BM54" s="226">
        <f t="shared" si="324"/>
        <v>4.7253479588329697</v>
      </c>
      <c r="BN54" s="695">
        <f t="shared" si="338"/>
        <v>1952.1630161983671</v>
      </c>
      <c r="BO54" s="226">
        <f t="shared" si="324"/>
        <v>2.3656675656507815</v>
      </c>
      <c r="BP54" s="695">
        <f t="shared" si="338"/>
        <v>2006.4999559247751</v>
      </c>
      <c r="BQ54" s="226">
        <f t="shared" si="324"/>
        <v>2.7834222488357199</v>
      </c>
      <c r="BR54" s="695">
        <f t="shared" ref="BR54:BT54" si="341">BR52+BR53</f>
        <v>2059.3371109563545</v>
      </c>
      <c r="BS54" s="226">
        <f t="shared" si="324"/>
        <v>2.6332995859562374</v>
      </c>
      <c r="BT54" s="695">
        <f t="shared" si="341"/>
        <v>2110.8764803116328</v>
      </c>
      <c r="BU54" s="226">
        <f t="shared" si="327"/>
        <v>2.5027164848859371</v>
      </c>
      <c r="BV54" s="43">
        <f>IF(ISERROR(((BT54/BJ54)^0.2-1)*100),"NA",IF((((BT54/BJ54)^0.2-1)*100)&gt;100,"NM",IF((((BT54/BJ54)^0.2-1)*100)&lt;-50,"NM",((BT54/BJ54)^0.2-1)*100)))</f>
        <v>2.9984229336589285</v>
      </c>
      <c r="BW54" s="621"/>
      <c r="BX54" s="621"/>
      <c r="BY54"/>
      <c r="BZ54"/>
      <c r="CA54"/>
      <c r="CB54"/>
      <c r="CC54"/>
      <c r="CD54"/>
    </row>
    <row r="55" spans="2:82" s="616" customFormat="1" ht="12.75" customHeight="1" x14ac:dyDescent="0.2">
      <c r="B55" s="67" t="s">
        <v>509</v>
      </c>
      <c r="C55" s="695">
        <f>C54-C57</f>
        <v>330.1</v>
      </c>
      <c r="D55" s="705" t="str">
        <f>IF(ISERROR(C55/#REF!),"NA",IF(OR(C55/#REF!&gt;2,C55/#REF!&lt;0.5),"NM",C55/#REF!*100-100))</f>
        <v>NA</v>
      </c>
      <c r="E55" s="695">
        <f t="shared" ref="E55:M55" si="342">E54-E57</f>
        <v>347.4</v>
      </c>
      <c r="F55" s="705" t="str">
        <f>IF(ISERROR(E55/#REF!),"NA",IF(OR(E55/#REF!&gt;2,E55/#REF!&lt;0.5),"NM",E55/#REF!*100-100))</f>
        <v>NA</v>
      </c>
      <c r="G55" s="695">
        <f t="shared" si="342"/>
        <v>338.5</v>
      </c>
      <c r="H55" s="705" t="str">
        <f>IF(ISERROR(G55/#REF!),"NA",IF(OR(G55/#REF!&gt;2,G55/#REF!&lt;0.5),"NM",G55/#REF!*100-100))</f>
        <v>NA</v>
      </c>
      <c r="I55" s="695">
        <f t="shared" si="342"/>
        <v>372.8</v>
      </c>
      <c r="J55" s="9" t="str">
        <f>IF(ISERROR(I55/#REF!),"NA",IF(OR(I55/#REF!&gt;2,I55/#REF!&lt;0.5),"NM",I55/#REF!*100-100))</f>
        <v>NA</v>
      </c>
      <c r="K55" s="695">
        <f t="shared" si="342"/>
        <v>380.19999999999993</v>
      </c>
      <c r="L55" s="9">
        <f t="shared" si="309"/>
        <v>15.17721902453799</v>
      </c>
      <c r="M55" s="695">
        <f t="shared" si="342"/>
        <v>390.6</v>
      </c>
      <c r="N55" s="9">
        <f t="shared" si="310"/>
        <v>12.435233160621777</v>
      </c>
      <c r="O55" s="695">
        <f>O54-O57</f>
        <v>395.90000000000003</v>
      </c>
      <c r="P55" s="9">
        <f t="shared" si="173"/>
        <v>16.957163958641061</v>
      </c>
      <c r="Q55" s="695">
        <f>Q54-Q57</f>
        <v>397</v>
      </c>
      <c r="R55" s="226">
        <f t="shared" si="311"/>
        <v>6.4914163090128625</v>
      </c>
      <c r="S55" s="695">
        <f>S54-S57</f>
        <v>390.50000000000006</v>
      </c>
      <c r="T55" s="226">
        <f t="shared" si="312"/>
        <v>2.7091004734350719</v>
      </c>
      <c r="U55" s="695">
        <f>U54-U57</f>
        <v>401.9</v>
      </c>
      <c r="V55" s="226">
        <f t="shared" si="313"/>
        <v>2.8929851510496576</v>
      </c>
      <c r="W55" s="695">
        <f t="shared" ref="W55:Y55" si="343">W54-W57</f>
        <v>391.5</v>
      </c>
      <c r="X55" s="226">
        <f t="shared" si="178"/>
        <v>-1.1113917655973751</v>
      </c>
      <c r="Y55" s="695">
        <f t="shared" si="343"/>
        <v>389.6</v>
      </c>
      <c r="Z55" s="9">
        <f>IF(ISERROR(Y55/Q55),"NA",IF(OR(Y55/Q55&gt;2,Y55/Q55&lt;0.5),"NM",Y55/Q55*100-100))</f>
        <v>-1.8639798488664923</v>
      </c>
      <c r="AA55" s="695">
        <f t="shared" ref="AA55:AC55" si="344">AA54-AA57</f>
        <v>363.69999999999993</v>
      </c>
      <c r="AB55" s="226">
        <f t="shared" si="314"/>
        <v>-6.8629961587708408</v>
      </c>
      <c r="AC55" s="695">
        <f t="shared" si="344"/>
        <v>381.5</v>
      </c>
      <c r="AD55" s="226">
        <f t="shared" si="251"/>
        <v>-5.0758895247574003</v>
      </c>
      <c r="AE55" s="695">
        <f t="shared" ref="AE55:AG55" si="345">AE54-AE57</f>
        <v>364.8</v>
      </c>
      <c r="AF55" s="226">
        <f t="shared" si="201"/>
        <v>-6.819923371647505</v>
      </c>
      <c r="AG55" s="695">
        <f t="shared" si="345"/>
        <v>401.1</v>
      </c>
      <c r="AH55" s="226">
        <f t="shared" si="182"/>
        <v>2.9517453798767974</v>
      </c>
      <c r="AI55" s="695">
        <f t="shared" ref="AI55:AK55" si="346">AI54-AI57</f>
        <v>403.5</v>
      </c>
      <c r="AJ55" s="226">
        <f t="shared" si="315"/>
        <v>10.943084960131984</v>
      </c>
      <c r="AK55" s="695">
        <f t="shared" si="346"/>
        <v>406.1</v>
      </c>
      <c r="AL55" s="226">
        <f t="shared" si="316"/>
        <v>6.4482306684141548</v>
      </c>
      <c r="AM55" s="695">
        <f t="shared" ref="AM55:AO55" si="347">AM54-AM57</f>
        <v>372.09999999999997</v>
      </c>
      <c r="AN55" s="226">
        <f t="shared" si="317"/>
        <v>2.0010964912280542</v>
      </c>
      <c r="AO55" s="695">
        <f t="shared" si="347"/>
        <v>412.6</v>
      </c>
      <c r="AP55" s="226">
        <f t="shared" si="318"/>
        <v>2.8671154325604675</v>
      </c>
      <c r="AQ55" s="695">
        <f t="shared" ref="AQ55:AW55" si="348">AQ54-AQ57</f>
        <v>422.48604165496147</v>
      </c>
      <c r="AR55" s="226">
        <f t="shared" si="320"/>
        <v>4.7053387001143534</v>
      </c>
      <c r="AS55" s="695">
        <f t="shared" si="348"/>
        <v>422.88963235963286</v>
      </c>
      <c r="AT55" s="226">
        <f t="shared" si="321"/>
        <v>4.134359113428431</v>
      </c>
      <c r="AU55" s="695">
        <f t="shared" si="348"/>
        <v>427.16944173878943</v>
      </c>
      <c r="AV55" s="226">
        <f t="shared" si="322"/>
        <v>14.799634974143899</v>
      </c>
      <c r="AW55" s="695">
        <f t="shared" si="348"/>
        <v>439.21700152451115</v>
      </c>
      <c r="AX55" s="226">
        <f t="shared" si="323"/>
        <v>6.4510425410836376</v>
      </c>
      <c r="AY55" s="356"/>
      <c r="AZ55" s="618"/>
      <c r="BA55" s="620"/>
      <c r="BB55" s="695">
        <f>BB54-BB57</f>
        <v>1388.8</v>
      </c>
      <c r="BC55" s="226" t="str">
        <f>IF(ISERROR(BB55/#REF!),"NA",IF(OR(BB55/#REF!&gt;2,BB55/#REF!&lt;0.5),"NM",BB55/#REF!*100-100))</f>
        <v>NA</v>
      </c>
      <c r="BD55" s="912">
        <f t="shared" ref="BD55" si="349">BD54-BD57</f>
        <v>1563.7</v>
      </c>
      <c r="BE55" s="226">
        <f t="shared" si="324"/>
        <v>12.593605990783402</v>
      </c>
      <c r="BF55" s="81">
        <f>BF54-BF57</f>
        <v>1573.5</v>
      </c>
      <c r="BG55" s="226">
        <f t="shared" si="324"/>
        <v>0.62671868005369902</v>
      </c>
      <c r="BH55" s="81">
        <f t="shared" ref="BH55" si="350">BH54-BH57</f>
        <v>1511.1000000000001</v>
      </c>
      <c r="BI55" s="226">
        <f t="shared" si="324"/>
        <v>-3.9656816015252474</v>
      </c>
      <c r="BJ55" s="81">
        <f t="shared" ref="BJ55" si="351">BJ54-BJ57</f>
        <v>1594.3</v>
      </c>
      <c r="BK55" s="226">
        <f t="shared" si="324"/>
        <v>5.5059228376679101</v>
      </c>
      <c r="BL55" s="81">
        <f t="shared" ref="BL55" si="352">BL54-BL57</f>
        <v>1711.7621172778947</v>
      </c>
      <c r="BM55" s="226">
        <f t="shared" si="324"/>
        <v>7.3676295099977835</v>
      </c>
      <c r="BN55" s="81">
        <f t="shared" ref="BN55" si="353">BN54-BN57</f>
        <v>1775.4828912886148</v>
      </c>
      <c r="BO55" s="226">
        <f t="shared" si="324"/>
        <v>3.7225250732882955</v>
      </c>
      <c r="BP55" s="81">
        <f t="shared" ref="BP55:BR55" si="354">BP54-BP57</f>
        <v>1846.9291320305306</v>
      </c>
      <c r="BQ55" s="226">
        <f t="shared" si="324"/>
        <v>4.0240455761340002</v>
      </c>
      <c r="BR55" s="81">
        <f t="shared" si="354"/>
        <v>1918.7238175760904</v>
      </c>
      <c r="BS55" s="226">
        <f t="shared" si="324"/>
        <v>3.8872463648146578</v>
      </c>
      <c r="BT55" s="81">
        <f t="shared" ref="BT55" si="355">BT54-BT57</f>
        <v>1991.0704117687087</v>
      </c>
      <c r="BU55" s="226">
        <f t="shared" si="327"/>
        <v>3.770557989112433</v>
      </c>
      <c r="BV55" s="43">
        <f>IF(ISERROR(((BT55/BJ55)^0.2-1)*100),"NA",IF((((BT55/BJ55)^0.2-1)*100)&gt;100,"NM",IF((((BT55/BJ55)^0.2-1)*100)&lt;-50,"NM",((BT55/BJ55)^0.2-1)*100)))</f>
        <v>4.5450114450864332</v>
      </c>
      <c r="BW55" s="621"/>
      <c r="BX55" s="621"/>
      <c r="BY55"/>
      <c r="BZ55"/>
      <c r="CA55"/>
      <c r="CB55"/>
      <c r="CC55"/>
      <c r="CD55"/>
    </row>
    <row r="56" spans="2:82" s="616" customFormat="1" ht="12.75" customHeight="1" x14ac:dyDescent="0.2">
      <c r="B56" s="67"/>
      <c r="C56" s="15"/>
      <c r="D56" s="623"/>
      <c r="E56" s="15"/>
      <c r="F56" s="623"/>
      <c r="G56" s="15"/>
      <c r="H56" s="705"/>
      <c r="I56" s="15"/>
      <c r="J56" s="623"/>
      <c r="K56" s="15"/>
      <c r="L56" s="623"/>
      <c r="M56" s="15"/>
      <c r="N56" s="620"/>
      <c r="O56" s="695"/>
      <c r="P56" s="9"/>
      <c r="Q56" s="695"/>
      <c r="R56" s="226"/>
      <c r="S56" s="695"/>
      <c r="T56" s="226"/>
      <c r="U56" s="695"/>
      <c r="V56" s="226"/>
      <c r="W56" s="695"/>
      <c r="X56" s="226"/>
      <c r="Y56" s="695"/>
      <c r="Z56" s="9"/>
      <c r="AA56" s="695"/>
      <c r="AB56" s="226"/>
      <c r="AC56" s="695"/>
      <c r="AD56" s="226"/>
      <c r="AE56" s="695"/>
      <c r="AF56" s="226"/>
      <c r="AG56" s="695"/>
      <c r="AH56" s="620"/>
      <c r="AI56" s="695"/>
      <c r="AJ56" s="620"/>
      <c r="AK56" s="695"/>
      <c r="AL56" s="620"/>
      <c r="AM56" s="695"/>
      <c r="AN56" s="620"/>
      <c r="AO56" s="695"/>
      <c r="AP56" s="620"/>
      <c r="AQ56" s="695"/>
      <c r="AR56" s="620"/>
      <c r="AS56" s="695"/>
      <c r="AT56" s="620"/>
      <c r="AU56" s="695"/>
      <c r="AV56" s="620"/>
      <c r="AW56" s="695"/>
      <c r="AX56" s="620"/>
      <c r="AY56" s="356"/>
      <c r="AZ56" s="618"/>
      <c r="BA56" s="620"/>
      <c r="BB56" s="55"/>
      <c r="BC56" s="226"/>
      <c r="BD56" s="908"/>
      <c r="BE56" s="226"/>
      <c r="BF56" s="55"/>
      <c r="BG56" s="626"/>
      <c r="BH56" s="55"/>
      <c r="BI56" s="626"/>
      <c r="BJ56" s="55"/>
      <c r="BK56" s="626"/>
      <c r="BL56" s="55"/>
      <c r="BM56" s="626"/>
      <c r="BN56" s="55"/>
      <c r="BO56" s="626"/>
      <c r="BP56" s="55"/>
      <c r="BQ56" s="623"/>
      <c r="BR56" s="55"/>
      <c r="BS56" s="623"/>
      <c r="BT56" s="55"/>
      <c r="BU56" s="623"/>
      <c r="BV56" s="43"/>
      <c r="BW56" s="621"/>
      <c r="BX56" s="621"/>
      <c r="BY56"/>
      <c r="BZ56"/>
      <c r="CA56"/>
      <c r="CB56"/>
      <c r="CC56"/>
      <c r="CD56"/>
    </row>
    <row r="57" spans="2:82" s="616" customFormat="1" ht="12.75" customHeight="1" x14ac:dyDescent="0.2">
      <c r="B57" s="62" t="s">
        <v>434</v>
      </c>
      <c r="C57" s="653">
        <f>59.6+0.3</f>
        <v>59.9</v>
      </c>
      <c r="D57" s="705" t="str">
        <f>IF(ISERROR(C57/#REF!),"NA",IF(OR(C57/#REF!&gt;2,C57/#REF!&lt;0.5),"NM",C57/#REF!*100-100))</f>
        <v>NA</v>
      </c>
      <c r="E57" s="653">
        <f>59.9+0.4</f>
        <v>60.3</v>
      </c>
      <c r="F57" s="705" t="str">
        <f>IF(ISERROR(E57/#REF!),"NA",IF(OR(E57/#REF!&gt;2,E57/#REF!&lt;0.5),"NM",E57/#REF!*100-100))</f>
        <v>NA</v>
      </c>
      <c r="G57" s="653">
        <f>77.1+0.5</f>
        <v>77.599999999999994</v>
      </c>
      <c r="H57" s="705" t="str">
        <f>IF(ISERROR(G57/#REF!),"NA",IF(OR(G57/#REF!&gt;2,G57/#REF!&lt;0.5),"NM",G57/#REF!*100-100))</f>
        <v>NA</v>
      </c>
      <c r="I57" s="653">
        <f>58.9+0.3</f>
        <v>59.199999999999996</v>
      </c>
      <c r="J57" s="9" t="str">
        <f>IF(ISERROR(I57/#REF!),"NA",IF(OR(I57/#REF!&gt;2,I57/#REF!&lt;0.5),"NM",I57/#REF!*100-100))</f>
        <v>NA</v>
      </c>
      <c r="K57" s="653">
        <f>55.8+0.3</f>
        <v>56.099999999999994</v>
      </c>
      <c r="L57" s="9">
        <f t="shared" ref="L57:L62" si="356">IF(ISERROR(K57/C57),"NA",IF(OR(K57/C57&gt;2,K57/C57&lt;0.5),"NM",K57/C57*100-100))</f>
        <v>-6.3439065108514257</v>
      </c>
      <c r="M57" s="653">
        <f>54.6+0.3</f>
        <v>54.9</v>
      </c>
      <c r="N57" s="9">
        <f t="shared" ref="N57:N62" si="357">IF(ISERROR(M57/E57),"NA",IF(OR(M57/E57&gt;2,M57/E57&lt;0.5),"NM",M57/E57*100-100))</f>
        <v>-8.9552238805970035</v>
      </c>
      <c r="O57" s="70">
        <f>51.9+0.3</f>
        <v>52.199999999999996</v>
      </c>
      <c r="P57" s="9">
        <f t="shared" si="173"/>
        <v>-32.731958762886606</v>
      </c>
      <c r="Q57" s="70">
        <f>51.7+0.3</f>
        <v>52</v>
      </c>
      <c r="R57" s="226">
        <f t="shared" ref="R57:R62" si="358">IF(ISERROR(Q57/I57),"NA",IF(OR(Q57/I57&gt;2,Q57/I57&lt;0.5),"NM",Q57/I57*100-100))</f>
        <v>-12.162162162162161</v>
      </c>
      <c r="S57" s="70">
        <f>47.5-0.3</f>
        <v>47.2</v>
      </c>
      <c r="T57" s="226">
        <f t="shared" ref="T57:T62" si="359">IF(ISERROR(S57/K57),"NA",IF(OR(S57/K57&gt;2,S57/K57&lt;0.5),"NM",S57/K57*100-100))</f>
        <v>-15.864527629233493</v>
      </c>
      <c r="U57" s="70">
        <f>52.2+0.2</f>
        <v>52.400000000000006</v>
      </c>
      <c r="V57" s="226">
        <f t="shared" si="313"/>
        <v>-4.5537340619307685</v>
      </c>
      <c r="W57" s="70">
        <f>50.3+0.1</f>
        <v>50.4</v>
      </c>
      <c r="X57" s="226">
        <f t="shared" si="178"/>
        <v>-3.448275862068968</v>
      </c>
      <c r="Y57" s="70">
        <f>50.2+0.3</f>
        <v>50.5</v>
      </c>
      <c r="Z57" s="9">
        <f t="shared" ref="Z57:Z62" si="360">IF(ISERROR(Y57/Q57),"NA",IF(OR(Y57/Q57&gt;2,Y57/Q57&lt;0.5),"NM",Y57/Q57*100-100))</f>
        <v>-2.8846153846153868</v>
      </c>
      <c r="AA57" s="70">
        <f>49.4+0.2</f>
        <v>49.6</v>
      </c>
      <c r="AB57" s="226">
        <f t="shared" ref="AB57:AB62" si="361">IF(ISERROR(AA57/S57),"NA",IF(OR(AA57/S57&gt;2,AA57/S57&lt;0.5),"NM",AA57/S57*100-100))</f>
        <v>5.0847457627118473</v>
      </c>
      <c r="AC57" s="70">
        <f>47.2+0.1</f>
        <v>47.300000000000004</v>
      </c>
      <c r="AD57" s="226">
        <f t="shared" si="251"/>
        <v>-9.7328244274809066</v>
      </c>
      <c r="AE57" s="70">
        <f>87.6+0.1</f>
        <v>87.699999999999989</v>
      </c>
      <c r="AF57" s="226">
        <f t="shared" si="201"/>
        <v>74.007936507936478</v>
      </c>
      <c r="AG57" s="70">
        <v>47.5</v>
      </c>
      <c r="AH57" s="226">
        <f t="shared" si="182"/>
        <v>-5.940594059405953</v>
      </c>
      <c r="AI57" s="70">
        <v>46.9</v>
      </c>
      <c r="AJ57" s="226">
        <f t="shared" ref="AJ57:AJ62" si="362">IF(ISERROR(AI57/AA57),"NA",IF(OR(AI57/AA57&gt;2,AI57/AA57&lt;0.5),"NM",AI57/AA57*100-100))</f>
        <v>-5.4435483870967687</v>
      </c>
      <c r="AK57" s="70">
        <f>45.3+0.1</f>
        <v>45.4</v>
      </c>
      <c r="AL57" s="226">
        <f t="shared" ref="AL57:AL62" si="363">IF(ISERROR(AK57/AC57),"NA",IF(OR(AK57/AC57&gt;2,AK57/AC57&lt;0.5),"NM",AK57/AC57*100-100))</f>
        <v>-4.0169133192389097</v>
      </c>
      <c r="AM57" s="70">
        <v>83.2</v>
      </c>
      <c r="AN57" s="226">
        <f t="shared" ref="AN57:AN62" si="364">IF(ISERROR(AM57/AE57),"NA",IF(OR(AM57/AE57&gt;2,AM57/AE57&lt;0.5),"NM",AM57/AE57*100-100))</f>
        <v>-5.13112884834662</v>
      </c>
      <c r="AO57" s="70">
        <f>51.1+0.1</f>
        <v>51.2</v>
      </c>
      <c r="AP57" s="226">
        <f t="shared" ref="AP57:AP62" si="365">IF(ISERROR(AO57/AG57),"NA",IF(OR(AO57/AG57&gt;2,AO57/AG57&lt;0.5),"NM",AO57/AG57*100-100))</f>
        <v>7.7894736842105203</v>
      </c>
      <c r="AQ57" s="55">
        <f t="shared" ref="AQ57:AW57" si="366">AQ69*AQ42/400</f>
        <v>50.555245544857286</v>
      </c>
      <c r="AR57" s="226">
        <f t="shared" ref="AR57:AR62" si="367">IF(ISERROR(AQ57/AI57),"NA",IF(OR(AQ57/AI57&gt;2,AQ57/AI57&lt;0.5),"NM",AQ57/AI57*100-100))</f>
        <v>7.7937005220837676</v>
      </c>
      <c r="AS57" s="55">
        <f t="shared" si="366"/>
        <v>50.603539749073747</v>
      </c>
      <c r="AT57" s="226">
        <f t="shared" ref="AT57:AT62" si="368">IF(ISERROR(AS57/AK57),"NA",IF(OR(AS57/AK57&gt;2,AS57/AK57&lt;0.5),"NM",AS57/AK57*100-100))</f>
        <v>11.461541297519261</v>
      </c>
      <c r="AU57" s="55">
        <f t="shared" si="366"/>
        <v>51.11566747097644</v>
      </c>
      <c r="AV57" s="226">
        <f t="shared" ref="AV57:AV62" si="369">IF(ISERROR(AU57/AM57),"NA",IF(OR(AU57/AM57&gt;2,AU57/AM57&lt;0.5),"NM",AU57/AM57*100-100))</f>
        <v>-38.562899674307161</v>
      </c>
      <c r="AW57" s="55">
        <f t="shared" si="366"/>
        <v>43.012016287546139</v>
      </c>
      <c r="AX57" s="226">
        <f t="shared" ref="AX57:AX62" si="370">IF(ISERROR(AW57/AO57),"NA",IF(OR(AW57/AO57&gt;2,AW57/AO57&lt;0.5),"NM",AW57/AO57*100-100))</f>
        <v>-15.992155688386461</v>
      </c>
      <c r="AY57" s="356"/>
      <c r="AZ57" s="618"/>
      <c r="BA57" s="620"/>
      <c r="BB57" s="55">
        <f>C57+E57+G57+I57</f>
        <v>257</v>
      </c>
      <c r="BC57" s="226" t="str">
        <f>IF(ISERROR(BB57/#REF!),"NA",IF(OR(BB57/#REF!&gt;2,BB57/#REF!&lt;0.5),"NM",BB57/#REF!*100-100))</f>
        <v>NA</v>
      </c>
      <c r="BD57" s="908">
        <f>K57+M57+O57+Q57</f>
        <v>215.2</v>
      </c>
      <c r="BE57" s="226">
        <f t="shared" ref="BE57:BS72" si="371">IF(ISERROR(BD57/BB57),"NA",IF(OR(BD57/BB57&gt;2,BD57/BB57&lt;0.5),"NM",BD57/BB57*100-100))</f>
        <v>-16.264591439688729</v>
      </c>
      <c r="BF57" s="55">
        <f>S57+U57+W57+Y57</f>
        <v>200.5</v>
      </c>
      <c r="BG57" s="226">
        <f t="shared" si="371"/>
        <v>-6.8308550185873571</v>
      </c>
      <c r="BH57" s="55">
        <f>AA57+AC57+AE57+AG57</f>
        <v>232.1</v>
      </c>
      <c r="BI57" s="226">
        <f t="shared" si="371"/>
        <v>15.760598503740653</v>
      </c>
      <c r="BJ57" s="55">
        <f>AI57+AK57+AM57+AO57</f>
        <v>226.7</v>
      </c>
      <c r="BK57" s="226">
        <f t="shared" si="371"/>
        <v>-2.3265833692373974</v>
      </c>
      <c r="BL57" s="55">
        <f>AQ57+AS57+AU57+AW57</f>
        <v>195.28646905245361</v>
      </c>
      <c r="BM57" s="226">
        <f t="shared" si="371"/>
        <v>-13.856872936720947</v>
      </c>
      <c r="BN57" s="55">
        <f t="shared" ref="BN57:BP57" si="372">BN69*BN42/100</f>
        <v>176.68012490975224</v>
      </c>
      <c r="BO57" s="226">
        <f t="shared" si="371"/>
        <v>-9.5277180405692832</v>
      </c>
      <c r="BP57" s="55">
        <f t="shared" si="372"/>
        <v>159.57082389424457</v>
      </c>
      <c r="BQ57" s="226">
        <f t="shared" si="371"/>
        <v>-9.6837723112585934</v>
      </c>
      <c r="BR57" s="55">
        <f t="shared" ref="BR57:BT57" si="373">BR69*BR42/100</f>
        <v>140.61329338026408</v>
      </c>
      <c r="BS57" s="226">
        <f t="shared" si="371"/>
        <v>-11.880323765542869</v>
      </c>
      <c r="BT57" s="55">
        <f t="shared" si="373"/>
        <v>119.80606854292409</v>
      </c>
      <c r="BU57" s="226">
        <f t="shared" ref="BU57:BU62" si="374">IF(ISERROR(BT57/BR57),"NA",IF(OR(BT57/BR57&gt;2,BT57/BR57&lt;0.5),"NM",BT57/BR57*100-100))</f>
        <v>-14.797480620178987</v>
      </c>
      <c r="BV57" s="43">
        <f t="shared" ref="BV57:BV62" si="375">IF(ISERROR(((BT57/BJ57)^0.2-1)*100),"NA",IF((((BT57/BJ57)^0.2-1)*100)&gt;100,"NM",IF((((BT57/BJ57)^0.2-1)*100)&lt;-50,"NM",((BT57/BJ57)^0.2-1)*100)))</f>
        <v>-11.975116417618247</v>
      </c>
      <c r="BW57" s="621"/>
      <c r="BX57" s="621"/>
      <c r="BY57"/>
      <c r="BZ57"/>
      <c r="CA57"/>
      <c r="CB57"/>
      <c r="CC57"/>
      <c r="CD57"/>
    </row>
    <row r="58" spans="2:82" s="616" customFormat="1" ht="12.75" customHeight="1" x14ac:dyDescent="0.2">
      <c r="B58" s="62" t="s">
        <v>421</v>
      </c>
      <c r="C58" s="653">
        <v>48.6</v>
      </c>
      <c r="D58" s="705" t="str">
        <f>IF(ISERROR(C58/#REF!),"NA",IF(OR(C58/#REF!&gt;2,C58/#REF!&lt;0.5),"NM",C58/#REF!*100-100))</f>
        <v>NA</v>
      </c>
      <c r="E58" s="653">
        <v>50.1</v>
      </c>
      <c r="F58" s="705" t="str">
        <f>IF(ISERROR(E58/#REF!),"NA",IF(OR(E58/#REF!&gt;2,E58/#REF!&lt;0.5),"NM",E58/#REF!*100-100))</f>
        <v>NA</v>
      </c>
      <c r="G58" s="653">
        <v>52.3</v>
      </c>
      <c r="H58" s="705" t="str">
        <f>IF(ISERROR(G58/#REF!),"NA",IF(OR(G58/#REF!&gt;2,G58/#REF!&lt;0.5),"NM",G58/#REF!*100-100))</f>
        <v>NA</v>
      </c>
      <c r="I58" s="653">
        <v>51.9</v>
      </c>
      <c r="J58" s="9" t="str">
        <f>IF(ISERROR(I58/#REF!),"NA",IF(OR(I58/#REF!&gt;2,I58/#REF!&lt;0.5),"NM",I58/#REF!*100-100))</f>
        <v>NA</v>
      </c>
      <c r="K58" s="653">
        <v>54.7</v>
      </c>
      <c r="L58" s="9">
        <f t="shared" si="356"/>
        <v>12.55144032921811</v>
      </c>
      <c r="M58" s="653">
        <v>54.2</v>
      </c>
      <c r="N58" s="9">
        <f t="shared" si="357"/>
        <v>8.1836327345309314</v>
      </c>
      <c r="O58" s="70">
        <v>52.5</v>
      </c>
      <c r="P58" s="9">
        <f t="shared" si="173"/>
        <v>0.38240917782026429</v>
      </c>
      <c r="Q58" s="70">
        <v>53.8</v>
      </c>
      <c r="R58" s="226">
        <f t="shared" si="358"/>
        <v>3.6608863198458437</v>
      </c>
      <c r="S58" s="70">
        <v>56.1</v>
      </c>
      <c r="T58" s="226">
        <f t="shared" si="359"/>
        <v>2.5594149908592385</v>
      </c>
      <c r="U58" s="70">
        <v>56.1</v>
      </c>
      <c r="V58" s="226">
        <f t="shared" si="313"/>
        <v>3.5055350553505633</v>
      </c>
      <c r="W58" s="70">
        <v>52.3</v>
      </c>
      <c r="X58" s="226">
        <f t="shared" si="178"/>
        <v>-0.3809523809523796</v>
      </c>
      <c r="Y58" s="70">
        <v>50.8</v>
      </c>
      <c r="Z58" s="9">
        <f t="shared" si="360"/>
        <v>-5.5762081784386623</v>
      </c>
      <c r="AA58" s="70">
        <v>51.9</v>
      </c>
      <c r="AB58" s="226">
        <f t="shared" si="361"/>
        <v>-7.4866310160427929</v>
      </c>
      <c r="AC58" s="70">
        <v>51.1</v>
      </c>
      <c r="AD58" s="226">
        <f t="shared" si="251"/>
        <v>-8.9126559714794951</v>
      </c>
      <c r="AE58" s="70">
        <v>52.6</v>
      </c>
      <c r="AF58" s="226">
        <f t="shared" si="201"/>
        <v>0.57361376673041775</v>
      </c>
      <c r="AG58" s="70">
        <v>53.7</v>
      </c>
      <c r="AH58" s="226">
        <f t="shared" si="182"/>
        <v>5.708661417322844</v>
      </c>
      <c r="AI58" s="70">
        <v>63.8</v>
      </c>
      <c r="AJ58" s="226">
        <f t="shared" si="362"/>
        <v>22.928709055876695</v>
      </c>
      <c r="AK58" s="70">
        <v>53.2</v>
      </c>
      <c r="AL58" s="226">
        <f t="shared" si="363"/>
        <v>4.1095890410958873</v>
      </c>
      <c r="AM58" s="70">
        <v>53.5</v>
      </c>
      <c r="AN58" s="226">
        <f t="shared" si="364"/>
        <v>1.7110266159695868</v>
      </c>
      <c r="AO58" s="70">
        <v>53.9</v>
      </c>
      <c r="AP58" s="226">
        <f t="shared" si="365"/>
        <v>0.37243947858472382</v>
      </c>
      <c r="AQ58" s="55">
        <f t="shared" ref="AQ58:AW58" si="376">AQ72*AQ42/400</f>
        <v>54.463153647485271</v>
      </c>
      <c r="AR58" s="226">
        <f t="shared" si="367"/>
        <v>-14.634555411465087</v>
      </c>
      <c r="AS58" s="55">
        <f t="shared" si="376"/>
        <v>54.51518098186326</v>
      </c>
      <c r="AT58" s="226">
        <f t="shared" si="368"/>
        <v>2.4721447027504837</v>
      </c>
      <c r="AU58" s="55">
        <f t="shared" si="376"/>
        <v>55.066896051279244</v>
      </c>
      <c r="AV58" s="226">
        <f t="shared" si="369"/>
        <v>2.9287776659425049</v>
      </c>
      <c r="AW58" s="55">
        <f t="shared" si="376"/>
        <v>55.520974175093208</v>
      </c>
      <c r="AX58" s="226">
        <f t="shared" si="370"/>
        <v>3.0073732376497446</v>
      </c>
      <c r="AY58" s="356"/>
      <c r="AZ58" s="618"/>
      <c r="BA58" s="620"/>
      <c r="BB58" s="55">
        <f>C58+E58+G58+I58</f>
        <v>202.9</v>
      </c>
      <c r="BC58" s="226" t="str">
        <f>IF(ISERROR(BB58/#REF!),"NA",IF(OR(BB58/#REF!&gt;2,BB58/#REF!&lt;0.5),"NM",BB58/#REF!*100-100))</f>
        <v>NA</v>
      </c>
      <c r="BD58" s="908">
        <f>K58+M58+O58+Q58</f>
        <v>215.2</v>
      </c>
      <c r="BE58" s="226">
        <f t="shared" si="371"/>
        <v>6.0620995564317326</v>
      </c>
      <c r="BF58" s="55">
        <f>S58+U58+W58+Y58</f>
        <v>215.3</v>
      </c>
      <c r="BG58" s="226">
        <f t="shared" si="371"/>
        <v>4.6468401487004485E-2</v>
      </c>
      <c r="BH58" s="55">
        <f>AA58+AC58+AE58+AG58</f>
        <v>209.3</v>
      </c>
      <c r="BI58" s="226">
        <f t="shared" si="371"/>
        <v>-2.7868091035764024</v>
      </c>
      <c r="BJ58" s="55">
        <f>AI58+AK58+AM58+AO58</f>
        <v>224.4</v>
      </c>
      <c r="BK58" s="226">
        <f t="shared" si="371"/>
        <v>7.2145246058289416</v>
      </c>
      <c r="BL58" s="55">
        <f>AQ58+AS58+AU58+AW58</f>
        <v>219.56620485572097</v>
      </c>
      <c r="BM58" s="226">
        <f t="shared" si="371"/>
        <v>-2.154097657878367</v>
      </c>
      <c r="BN58" s="55">
        <f t="shared" ref="BN58:BP58" si="377">BN72*BN42/100</f>
        <v>227.44097436538067</v>
      </c>
      <c r="BO58" s="226">
        <f t="shared" si="371"/>
        <v>3.5865125577200274</v>
      </c>
      <c r="BP58" s="55">
        <f t="shared" si="377"/>
        <v>236.59330283264688</v>
      </c>
      <c r="BQ58" s="226">
        <f t="shared" si="371"/>
        <v>4.0240455761340286</v>
      </c>
      <c r="BR58" s="55">
        <f t="shared" ref="BR58:BT58" si="378">BR72*BR42/100</f>
        <v>245.79026739640386</v>
      </c>
      <c r="BS58" s="226">
        <f t="shared" si="371"/>
        <v>3.8872463648146578</v>
      </c>
      <c r="BT58" s="55">
        <f t="shared" si="378"/>
        <v>255.05793196017981</v>
      </c>
      <c r="BU58" s="226">
        <f t="shared" si="374"/>
        <v>3.7705579891124614</v>
      </c>
      <c r="BV58" s="43">
        <f t="shared" si="375"/>
        <v>2.5942914152430552</v>
      </c>
      <c r="BW58" s="621"/>
      <c r="BX58" s="621"/>
      <c r="BY58"/>
      <c r="BZ58"/>
      <c r="CA58"/>
      <c r="CB58"/>
      <c r="CC58"/>
      <c r="CD58"/>
    </row>
    <row r="59" spans="2:82" s="616" customFormat="1" ht="12.75" customHeight="1" x14ac:dyDescent="0.2">
      <c r="B59" s="71" t="s">
        <v>391</v>
      </c>
      <c r="C59" s="653">
        <f>-26.9+9.6</f>
        <v>-17.299999999999997</v>
      </c>
      <c r="D59" s="705" t="str">
        <f>IF(ISERROR(C59/#REF!),"NA",IF(OR(C59/#REF!&gt;2,C59/#REF!&lt;0.5),"NM",C59/#REF!*100-100))</f>
        <v>NA</v>
      </c>
      <c r="E59" s="653">
        <f>-25.6+13.1</f>
        <v>-12.500000000000002</v>
      </c>
      <c r="F59" s="705" t="str">
        <f>IF(ISERROR(E59/#REF!),"NA",IF(OR(E59/#REF!&gt;2,E59/#REF!&lt;0.5),"NM",E59/#REF!*100-100))</f>
        <v>NA</v>
      </c>
      <c r="G59" s="653">
        <f>-20.3+8.7</f>
        <v>-11.600000000000001</v>
      </c>
      <c r="H59" s="705" t="str">
        <f>IF(ISERROR(G59/#REF!),"NA",IF(OR(G59/#REF!&gt;2,G59/#REF!&lt;0.5),"NM",G59/#REF!*100-100))</f>
        <v>NA</v>
      </c>
      <c r="I59" s="653">
        <f>-24.3+10.3</f>
        <v>-14</v>
      </c>
      <c r="J59" s="9" t="str">
        <f>IF(ISERROR(I59/#REF!),"NA",IF(OR(I59/#REF!&gt;2,I59/#REF!&lt;0.5),"NM",I59/#REF!*100-100))</f>
        <v>NA</v>
      </c>
      <c r="K59" s="653">
        <f>-24.2+15</f>
        <v>-9.1999999999999993</v>
      </c>
      <c r="L59" s="9">
        <f t="shared" si="356"/>
        <v>-46.820809248554909</v>
      </c>
      <c r="M59" s="653">
        <f>-22.6+11.7</f>
        <v>-10.900000000000002</v>
      </c>
      <c r="N59" s="9">
        <f t="shared" si="357"/>
        <v>-12.799999999999997</v>
      </c>
      <c r="O59" s="70">
        <f>-21.4+16.1</f>
        <v>-5.2999999999999972</v>
      </c>
      <c r="P59" s="9" t="str">
        <f t="shared" si="173"/>
        <v>NM</v>
      </c>
      <c r="Q59" s="70">
        <f>-25.6+16.5</f>
        <v>-9.1000000000000014</v>
      </c>
      <c r="R59" s="226">
        <f t="shared" si="358"/>
        <v>-34.999999999999986</v>
      </c>
      <c r="S59" s="70">
        <f>-25.2+8.9</f>
        <v>-16.299999999999997</v>
      </c>
      <c r="T59" s="226">
        <f t="shared" si="359"/>
        <v>77.173913043478251</v>
      </c>
      <c r="U59" s="70">
        <f>-23.8+14.3</f>
        <v>-9.5</v>
      </c>
      <c r="V59" s="226">
        <f t="shared" si="313"/>
        <v>-12.844036697247716</v>
      </c>
      <c r="W59" s="70">
        <f>-21.2+70.2</f>
        <v>49</v>
      </c>
      <c r="X59" s="226" t="str">
        <f t="shared" si="178"/>
        <v>NM</v>
      </c>
      <c r="Y59" s="70">
        <f>-21.9+17.3</f>
        <v>-4.5999999999999979</v>
      </c>
      <c r="Z59" s="9">
        <f t="shared" si="360"/>
        <v>-49.450549450549488</v>
      </c>
      <c r="AA59" s="70">
        <f>-24+13.2</f>
        <v>-10.8</v>
      </c>
      <c r="AB59" s="226">
        <f t="shared" si="361"/>
        <v>-33.742331288343536</v>
      </c>
      <c r="AC59" s="70">
        <f>-18.6+20</f>
        <v>1.3999999999999986</v>
      </c>
      <c r="AD59" s="226" t="str">
        <f t="shared" si="251"/>
        <v>NM</v>
      </c>
      <c r="AE59" s="70">
        <f>-19.3-2.2</f>
        <v>-21.5</v>
      </c>
      <c r="AF59" s="226" t="str">
        <f t="shared" si="201"/>
        <v>NM</v>
      </c>
      <c r="AG59" s="70">
        <f>-19.7+23.7</f>
        <v>4</v>
      </c>
      <c r="AH59" s="226" t="str">
        <f t="shared" si="182"/>
        <v>NM</v>
      </c>
      <c r="AI59" s="70">
        <f>-21.5+11.7</f>
        <v>-9.8000000000000007</v>
      </c>
      <c r="AJ59" s="226">
        <f t="shared" si="362"/>
        <v>-9.2592592592592524</v>
      </c>
      <c r="AK59" s="70">
        <f>-19.3+14.4</f>
        <v>-4.9000000000000004</v>
      </c>
      <c r="AL59" s="226" t="str">
        <f t="shared" si="363"/>
        <v>NM</v>
      </c>
      <c r="AM59" s="70">
        <f>-17+17.2</f>
        <v>0.19999999999999929</v>
      </c>
      <c r="AN59" s="226" t="str">
        <f t="shared" si="364"/>
        <v>NM</v>
      </c>
      <c r="AO59" s="70">
        <f>-20.7+18.3</f>
        <v>-2.3999999999999986</v>
      </c>
      <c r="AP59" s="226" t="str">
        <f t="shared" si="365"/>
        <v>NM</v>
      </c>
      <c r="AQ59" s="55">
        <f t="shared" ref="AQ59:AW59" si="379">AQ73*AQ42/400</f>
        <v>2.2300589999999998</v>
      </c>
      <c r="AR59" s="226" t="str">
        <f t="shared" si="367"/>
        <v>NM</v>
      </c>
      <c r="AS59" s="55">
        <f t="shared" si="379"/>
        <v>2.232189321465162</v>
      </c>
      <c r="AT59" s="226" t="str">
        <f t="shared" si="368"/>
        <v>NM</v>
      </c>
      <c r="AU59" s="55">
        <f t="shared" si="379"/>
        <v>2.2547799551980203</v>
      </c>
      <c r="AV59" s="226" t="str">
        <f t="shared" si="369"/>
        <v>NM</v>
      </c>
      <c r="AW59" s="55">
        <f t="shared" si="379"/>
        <v>2.2733727273549298</v>
      </c>
      <c r="AX59" s="226" t="str">
        <f t="shared" si="370"/>
        <v>NM</v>
      </c>
      <c r="AY59" s="356"/>
      <c r="AZ59" s="618"/>
      <c r="BA59" s="620"/>
      <c r="BB59" s="55">
        <f>C59+E59+G59+I59</f>
        <v>-55.4</v>
      </c>
      <c r="BC59" s="226" t="str">
        <f>IF(ISERROR(BB59/#REF!),"NA",IF(OR(BB59/#REF!&gt;2,BB59/#REF!&lt;0.5),"NM",BB59/#REF!*100-100))</f>
        <v>NA</v>
      </c>
      <c r="BD59" s="908">
        <f>K59+M59+O59+Q59</f>
        <v>-34.5</v>
      </c>
      <c r="BE59" s="226">
        <f t="shared" si="371"/>
        <v>-37.725631768953072</v>
      </c>
      <c r="BF59" s="55">
        <f>S59+U59+W59+Y59</f>
        <v>18.600000000000005</v>
      </c>
      <c r="BG59" s="226" t="str">
        <f t="shared" si="371"/>
        <v>NM</v>
      </c>
      <c r="BH59" s="55">
        <f>AA59+AC59+AE59+AG59</f>
        <v>-26.900000000000002</v>
      </c>
      <c r="BI59" s="226" t="str">
        <f t="shared" si="371"/>
        <v>NM</v>
      </c>
      <c r="BJ59" s="55">
        <f>AI59+AK59+AM59+AO59</f>
        <v>-16.899999999999999</v>
      </c>
      <c r="BK59" s="226">
        <f t="shared" si="371"/>
        <v>-37.174721189591089</v>
      </c>
      <c r="BL59" s="55">
        <f>AQ59+AS59+AU59+AW59</f>
        <v>8.9904010040181124</v>
      </c>
      <c r="BM59" s="226" t="str">
        <f t="shared" si="371"/>
        <v>NM</v>
      </c>
      <c r="BN59" s="55">
        <f t="shared" ref="BN59:BP59" si="380">BN73*BN42/100</f>
        <v>9.3128428650166128</v>
      </c>
      <c r="BO59" s="226">
        <f t="shared" si="371"/>
        <v>3.58651255772007</v>
      </c>
      <c r="BP59" s="55">
        <f t="shared" si="380"/>
        <v>9.6875959063386237</v>
      </c>
      <c r="BQ59" s="226">
        <f t="shared" si="371"/>
        <v>4.0240455761339859</v>
      </c>
      <c r="BR59" s="55">
        <f t="shared" ref="BR59:BT59" si="381">BR73*BR42/100</f>
        <v>10.064176626045706</v>
      </c>
      <c r="BS59" s="226">
        <f t="shared" si="371"/>
        <v>3.8872463648146578</v>
      </c>
      <c r="BT59" s="55">
        <f t="shared" si="381"/>
        <v>10.44365224185746</v>
      </c>
      <c r="BU59" s="226">
        <f t="shared" si="374"/>
        <v>3.7705579891124614</v>
      </c>
      <c r="BV59" s="43" t="str">
        <f t="shared" si="375"/>
        <v>NM</v>
      </c>
      <c r="BW59" s="621"/>
      <c r="BX59" s="621"/>
      <c r="BY59"/>
      <c r="BZ59"/>
      <c r="CA59"/>
      <c r="CB59"/>
      <c r="CC59"/>
      <c r="CD59"/>
    </row>
    <row r="60" spans="2:82" s="616" customFormat="1" ht="12.75" customHeight="1" x14ac:dyDescent="0.2">
      <c r="B60" s="73" t="s">
        <v>481</v>
      </c>
      <c r="C60" s="653">
        <f>4.9+188.6</f>
        <v>193.5</v>
      </c>
      <c r="D60" s="705" t="str">
        <f>IF(ISERROR(C60/#REF!),"NA",IF(OR(C60/#REF!&gt;2,C60/#REF!&lt;0.5),"NM",C60/#REF!*100-100))</f>
        <v>NA</v>
      </c>
      <c r="E60" s="653">
        <f>4.8+185.2</f>
        <v>190</v>
      </c>
      <c r="F60" s="705" t="str">
        <f>IF(ISERROR(E60/#REF!),"NA",IF(OR(E60/#REF!&gt;2,E60/#REF!&lt;0.5),"NM",E60/#REF!*100-100))</f>
        <v>NA</v>
      </c>
      <c r="G60" s="653">
        <f>5+189.9</f>
        <v>194.9</v>
      </c>
      <c r="H60" s="705" t="str">
        <f>IF(ISERROR(G60/#REF!),"NA",IF(OR(G60/#REF!&gt;2,G60/#REF!&lt;0.5),"NM",G60/#REF!*100-100))</f>
        <v>NA</v>
      </c>
      <c r="I60" s="653">
        <f>5+206.9</f>
        <v>211.9</v>
      </c>
      <c r="J60" s="9" t="str">
        <f>IF(ISERROR(I60/#REF!),"NA",IF(OR(I60/#REF!&gt;2,I60/#REF!&lt;0.5),"NM",I60/#REF!*100-100))</f>
        <v>NA</v>
      </c>
      <c r="K60" s="653">
        <f>5.6+188.1</f>
        <v>193.7</v>
      </c>
      <c r="L60" s="9">
        <f t="shared" si="356"/>
        <v>0.1033591731266057</v>
      </c>
      <c r="M60" s="653">
        <f>6.1+187.9</f>
        <v>194</v>
      </c>
      <c r="N60" s="9">
        <f t="shared" si="357"/>
        <v>2.1052631578947398</v>
      </c>
      <c r="O60" s="70">
        <f>5.9+197.3</f>
        <v>203.20000000000002</v>
      </c>
      <c r="P60" s="9">
        <f t="shared" si="173"/>
        <v>4.2585941508465908</v>
      </c>
      <c r="Q60" s="70">
        <f>5.8+207.8</f>
        <v>213.60000000000002</v>
      </c>
      <c r="R60" s="226">
        <f t="shared" si="358"/>
        <v>0.80226521944312879</v>
      </c>
      <c r="S60" s="70">
        <f>5.9+203</f>
        <v>208.9</v>
      </c>
      <c r="T60" s="226">
        <f t="shared" si="359"/>
        <v>7.8471863706763116</v>
      </c>
      <c r="U60" s="70">
        <f>6+205.9</f>
        <v>211.9</v>
      </c>
      <c r="V60" s="226">
        <f t="shared" si="313"/>
        <v>9.2268041237113465</v>
      </c>
      <c r="W60" s="70">
        <f>6.2+200.4</f>
        <v>206.6</v>
      </c>
      <c r="X60" s="226">
        <f t="shared" si="178"/>
        <v>1.6732283464566962</v>
      </c>
      <c r="Y60" s="70">
        <f>5.9+212.8</f>
        <v>218.70000000000002</v>
      </c>
      <c r="Z60" s="9">
        <f t="shared" si="360"/>
        <v>2.3876404494381944</v>
      </c>
      <c r="AA60" s="70">
        <f>6.4+202.2</f>
        <v>208.6</v>
      </c>
      <c r="AB60" s="226">
        <f t="shared" si="361"/>
        <v>-0.14360938247965294</v>
      </c>
      <c r="AC60" s="70">
        <f>6.4+198.1</f>
        <v>204.5</v>
      </c>
      <c r="AD60" s="226">
        <f t="shared" si="251"/>
        <v>-3.4922133081642244</v>
      </c>
      <c r="AE60" s="70">
        <f>6.3+196.5</f>
        <v>202.8</v>
      </c>
      <c r="AF60" s="226">
        <f t="shared" si="201"/>
        <v>-1.8393030009680444</v>
      </c>
      <c r="AG60" s="70">
        <f>6.5+212.9</f>
        <v>219.4</v>
      </c>
      <c r="AH60" s="226">
        <f t="shared" si="182"/>
        <v>0.32007315957933713</v>
      </c>
      <c r="AI60" s="70">
        <f>6.2+198.6</f>
        <v>204.79999999999998</v>
      </c>
      <c r="AJ60" s="226">
        <f t="shared" si="362"/>
        <v>-1.8216682646212945</v>
      </c>
      <c r="AK60" s="70">
        <f>6.2+204.1</f>
        <v>210.29999999999998</v>
      </c>
      <c r="AL60" s="226">
        <f t="shared" si="363"/>
        <v>2.8361858190709057</v>
      </c>
      <c r="AM60" s="70">
        <f>6.7+203.7</f>
        <v>210.39999999999998</v>
      </c>
      <c r="AN60" s="226">
        <f t="shared" si="364"/>
        <v>3.7475345167652563</v>
      </c>
      <c r="AO60" s="70">
        <f>6.8+227.7</f>
        <v>234.5</v>
      </c>
      <c r="AP60" s="226">
        <f t="shared" si="365"/>
        <v>6.8824065633545928</v>
      </c>
      <c r="AQ60" s="55">
        <f t="shared" ref="AQ60:AW60" si="382">AQ74*AQ42/400</f>
        <v>223.73670660251472</v>
      </c>
      <c r="AR60" s="226">
        <f t="shared" si="367"/>
        <v>9.2464387707591413</v>
      </c>
      <c r="AS60" s="55">
        <f t="shared" si="382"/>
        <v>223.95043687091569</v>
      </c>
      <c r="AT60" s="226">
        <f t="shared" si="368"/>
        <v>6.4909352690992534</v>
      </c>
      <c r="AU60" s="55">
        <f t="shared" si="382"/>
        <v>226.21690335967378</v>
      </c>
      <c r="AV60" s="226">
        <f t="shared" si="369"/>
        <v>7.5175396196168265</v>
      </c>
      <c r="AW60" s="55">
        <f t="shared" si="382"/>
        <v>228.08227356243427</v>
      </c>
      <c r="AX60" s="226">
        <f t="shared" si="370"/>
        <v>-2.7367703358489308</v>
      </c>
      <c r="AY60" s="356"/>
      <c r="AZ60" s="618"/>
      <c r="BA60" s="620"/>
      <c r="BB60" s="55">
        <f>C60+E60+G60+I60</f>
        <v>790.3</v>
      </c>
      <c r="BC60" s="226" t="str">
        <f>IF(ISERROR(BB60/#REF!),"NA",IF(OR(BB60/#REF!&gt;2,BB60/#REF!&lt;0.5),"NM",BB60/#REF!*100-100))</f>
        <v>NA</v>
      </c>
      <c r="BD60" s="908">
        <f>K60+M60+O60+Q60</f>
        <v>804.5</v>
      </c>
      <c r="BE60" s="226">
        <f t="shared" si="371"/>
        <v>1.7967860306212771</v>
      </c>
      <c r="BF60" s="55">
        <f>S60+U60+W60+Y60</f>
        <v>846.1</v>
      </c>
      <c r="BG60" s="226">
        <f t="shared" si="371"/>
        <v>5.1709136109384701</v>
      </c>
      <c r="BH60" s="55">
        <f>AA60+AC60+AE60+AG60</f>
        <v>835.30000000000007</v>
      </c>
      <c r="BI60" s="226">
        <f t="shared" si="371"/>
        <v>-1.276444864673195</v>
      </c>
      <c r="BJ60" s="55">
        <f>AI60+AK60+AM60+AO60</f>
        <v>860</v>
      </c>
      <c r="BK60" s="226">
        <f t="shared" si="371"/>
        <v>2.9570214294265611</v>
      </c>
      <c r="BL60" s="55">
        <f>AQ60+AS60+AU60+AW60</f>
        <v>901.98632039553843</v>
      </c>
      <c r="BM60" s="226">
        <f t="shared" si="371"/>
        <v>4.8821302785509744</v>
      </c>
      <c r="BN60" s="55">
        <f t="shared" ref="BN60:BP60" si="383">BN74*BN42/100</f>
        <v>936.6643837616956</v>
      </c>
      <c r="BO60" s="226">
        <f t="shared" si="371"/>
        <v>3.8446329597271642</v>
      </c>
      <c r="BP60" s="55">
        <f t="shared" si="383"/>
        <v>976.77808443626566</v>
      </c>
      <c r="BQ60" s="226">
        <f t="shared" si="371"/>
        <v>4.2826119333662689</v>
      </c>
      <c r="BR60" s="55">
        <f t="shared" ref="BR60:BT60" si="384">BR74*BR42/100</f>
        <v>1014.7478550158205</v>
      </c>
      <c r="BS60" s="226">
        <f t="shared" si="371"/>
        <v>3.8872463648146294</v>
      </c>
      <c r="BT60" s="55">
        <f t="shared" si="384"/>
        <v>1053.0095113324669</v>
      </c>
      <c r="BU60" s="226">
        <f t="shared" si="374"/>
        <v>3.7705579891124614</v>
      </c>
      <c r="BV60" s="43">
        <f t="shared" si="375"/>
        <v>4.1326135433827238</v>
      </c>
      <c r="BW60" s="621"/>
      <c r="BX60" s="621"/>
      <c r="BY60"/>
      <c r="BZ60"/>
      <c r="CA60"/>
      <c r="CB60"/>
      <c r="CC60"/>
      <c r="CD60"/>
    </row>
    <row r="61" spans="2:82" s="616" customFormat="1" ht="12.75" customHeight="1" x14ac:dyDescent="0.2">
      <c r="B61" s="74" t="s">
        <v>484</v>
      </c>
      <c r="C61" s="695">
        <f t="shared" ref="C61:M61" si="385">C60+C59+C57+C58</f>
        <v>284.7</v>
      </c>
      <c r="D61" s="705" t="str">
        <f>IF(ISERROR(C61/#REF!),"NA",IF(OR(C61/#REF!&gt;2,C61/#REF!&lt;0.5),"NM",C61/#REF!*100-100))</f>
        <v>NA</v>
      </c>
      <c r="E61" s="695">
        <f t="shared" si="385"/>
        <v>287.90000000000003</v>
      </c>
      <c r="F61" s="705" t="str">
        <f>IF(ISERROR(E61/#REF!),"NA",IF(OR(E61/#REF!&gt;2,E61/#REF!&lt;0.5),"NM",E61/#REF!*100-100))</f>
        <v>NA</v>
      </c>
      <c r="G61" s="695">
        <f t="shared" si="385"/>
        <v>313.2</v>
      </c>
      <c r="H61" s="705" t="str">
        <f>IF(ISERROR(G61/#REF!),"NA",IF(OR(G61/#REF!&gt;2,G61/#REF!&lt;0.5),"NM",G61/#REF!*100-100))</f>
        <v>NA</v>
      </c>
      <c r="I61" s="695">
        <f t="shared" si="385"/>
        <v>309</v>
      </c>
      <c r="J61" s="9" t="str">
        <f>IF(ISERROR(I61/#REF!),"NA",IF(OR(I61/#REF!&gt;2,I61/#REF!&lt;0.5),"NM",I61/#REF!*100-100))</f>
        <v>NA</v>
      </c>
      <c r="K61" s="695">
        <f t="shared" si="385"/>
        <v>295.3</v>
      </c>
      <c r="L61" s="9">
        <f t="shared" si="356"/>
        <v>3.7232174218475507</v>
      </c>
      <c r="M61" s="695">
        <f t="shared" si="385"/>
        <v>292.2</v>
      </c>
      <c r="N61" s="9">
        <f t="shared" si="357"/>
        <v>1.4935741576936152</v>
      </c>
      <c r="O61" s="695">
        <f>O60+O59+O57+O58</f>
        <v>302.60000000000002</v>
      </c>
      <c r="P61" s="9">
        <f t="shared" si="173"/>
        <v>-3.3844189016602684</v>
      </c>
      <c r="Q61" s="695">
        <f t="shared" ref="Q61" si="386">Q60+Q59+Q57+Q58</f>
        <v>310.3</v>
      </c>
      <c r="R61" s="226">
        <f t="shared" si="358"/>
        <v>0.42071197411004846</v>
      </c>
      <c r="S61" s="695">
        <f>S60+S59+S57+S58</f>
        <v>295.90000000000003</v>
      </c>
      <c r="T61" s="226">
        <f t="shared" si="359"/>
        <v>0.20318320352184571</v>
      </c>
      <c r="U61" s="695">
        <f>U60+U59+U57+U58</f>
        <v>310.90000000000003</v>
      </c>
      <c r="V61" s="226">
        <f t="shared" si="313"/>
        <v>6.3997262149213157</v>
      </c>
      <c r="W61" s="695">
        <f t="shared" ref="W61:Y61" si="387">W60+W59+W57+W58</f>
        <v>358.3</v>
      </c>
      <c r="X61" s="226">
        <f t="shared" si="178"/>
        <v>18.407138136153335</v>
      </c>
      <c r="Y61" s="695">
        <f t="shared" si="387"/>
        <v>315.40000000000003</v>
      </c>
      <c r="Z61" s="9">
        <f t="shared" si="360"/>
        <v>1.6435707379955034</v>
      </c>
      <c r="AA61" s="695">
        <f t="shared" ref="AA61:AC61" si="388">AA60+AA59+AA57+AA58</f>
        <v>299.29999999999995</v>
      </c>
      <c r="AB61" s="226">
        <f t="shared" si="361"/>
        <v>1.1490368367691417</v>
      </c>
      <c r="AC61" s="695">
        <f t="shared" si="388"/>
        <v>304.3</v>
      </c>
      <c r="AD61" s="226">
        <f t="shared" si="251"/>
        <v>-2.1228690897394813</v>
      </c>
      <c r="AE61" s="695">
        <f t="shared" ref="AE61:AG61" si="389">AE60+AE59+AE57+AE58</f>
        <v>321.60000000000002</v>
      </c>
      <c r="AF61" s="226">
        <f t="shared" si="201"/>
        <v>-10.242813284956739</v>
      </c>
      <c r="AG61" s="695">
        <f t="shared" si="389"/>
        <v>324.59999999999997</v>
      </c>
      <c r="AH61" s="226">
        <f t="shared" si="182"/>
        <v>2.9169308814203987</v>
      </c>
      <c r="AI61" s="695">
        <f t="shared" ref="AI61:AK61" si="390">AI60+AI59+AI57+AI58</f>
        <v>305.7</v>
      </c>
      <c r="AJ61" s="226">
        <f t="shared" si="362"/>
        <v>2.1383227530905629</v>
      </c>
      <c r="AK61" s="695">
        <f t="shared" si="390"/>
        <v>304</v>
      </c>
      <c r="AL61" s="226">
        <f t="shared" si="363"/>
        <v>-9.8586920801849942E-2</v>
      </c>
      <c r="AM61" s="695">
        <f t="shared" ref="AM61:AO61" si="391">AM60+AM59+AM57+AM58</f>
        <v>347.29999999999995</v>
      </c>
      <c r="AN61" s="226">
        <f t="shared" si="364"/>
        <v>7.9912935323382897</v>
      </c>
      <c r="AO61" s="695">
        <f t="shared" si="391"/>
        <v>337.2</v>
      </c>
      <c r="AP61" s="226">
        <f t="shared" si="365"/>
        <v>3.8817005545286491</v>
      </c>
      <c r="AQ61" s="695">
        <f t="shared" ref="AQ61:AW61" si="392">AQ57+AQ58+AQ59+AQ60</f>
        <v>330.98516479485727</v>
      </c>
      <c r="AR61" s="226">
        <f t="shared" si="367"/>
        <v>8.2712348036824608</v>
      </c>
      <c r="AS61" s="695">
        <f t="shared" si="392"/>
        <v>331.30134692331785</v>
      </c>
      <c r="AT61" s="226">
        <f t="shared" si="368"/>
        <v>8.9807062247756022</v>
      </c>
      <c r="AU61" s="695">
        <f t="shared" si="392"/>
        <v>334.65424683712752</v>
      </c>
      <c r="AV61" s="226">
        <f t="shared" si="369"/>
        <v>-3.641161290778129</v>
      </c>
      <c r="AW61" s="695">
        <f t="shared" si="392"/>
        <v>328.88863675242851</v>
      </c>
      <c r="AX61" s="226">
        <f t="shared" si="370"/>
        <v>-2.464817095958324</v>
      </c>
      <c r="AY61" s="356"/>
      <c r="AZ61" s="618"/>
      <c r="BA61" s="620"/>
      <c r="BB61" s="81">
        <f>BB57+BB58+BB59+BB60</f>
        <v>1194.8</v>
      </c>
      <c r="BC61" s="226" t="str">
        <f>IF(ISERROR(BB61/#REF!),"NA",IF(OR(BB61/#REF!&gt;2,BB61/#REF!&lt;0.5),"NM",BB61/#REF!*100-100))</f>
        <v>NA</v>
      </c>
      <c r="BD61" s="913">
        <f t="shared" ref="BD61:BP61" si="393">BD57+BD58+BD59+BD60</f>
        <v>1200.4000000000001</v>
      </c>
      <c r="BE61" s="226">
        <f t="shared" si="371"/>
        <v>0.46869768998996619</v>
      </c>
      <c r="BF61" s="81">
        <f t="shared" si="393"/>
        <v>1280.5</v>
      </c>
      <c r="BG61" s="226">
        <f t="shared" si="371"/>
        <v>6.6727757414195139</v>
      </c>
      <c r="BH61" s="81">
        <f t="shared" si="393"/>
        <v>1249.8000000000002</v>
      </c>
      <c r="BI61" s="226">
        <f t="shared" si="371"/>
        <v>-2.3975009761811634</v>
      </c>
      <c r="BJ61" s="81">
        <f t="shared" ref="BJ61" si="394">BJ57+BJ58+BJ59+BJ60</f>
        <v>1294.2</v>
      </c>
      <c r="BK61" s="226">
        <f t="shared" si="371"/>
        <v>3.5525684109457387</v>
      </c>
      <c r="BL61" s="81">
        <f t="shared" ref="BL61" si="395">BL57+BL58+BL59+BL60</f>
        <v>1325.8293953077311</v>
      </c>
      <c r="BM61" s="226">
        <f t="shared" si="371"/>
        <v>2.4439341143355904</v>
      </c>
      <c r="BN61" s="81">
        <f t="shared" si="393"/>
        <v>1350.0983259018451</v>
      </c>
      <c r="BO61" s="226">
        <f t="shared" si="371"/>
        <v>1.8304716036621613</v>
      </c>
      <c r="BP61" s="81">
        <f t="shared" si="393"/>
        <v>1382.6298070694957</v>
      </c>
      <c r="BQ61" s="226">
        <f t="shared" si="371"/>
        <v>2.4095638475753418</v>
      </c>
      <c r="BR61" s="81">
        <f t="shared" ref="BR61:BT61" si="396">BR57+BR58+BR59+BR60</f>
        <v>1411.2155924185342</v>
      </c>
      <c r="BS61" s="226">
        <f t="shared" si="371"/>
        <v>2.0674937863249596</v>
      </c>
      <c r="BT61" s="81">
        <f t="shared" si="396"/>
        <v>1438.3171640774283</v>
      </c>
      <c r="BU61" s="226">
        <f t="shared" si="374"/>
        <v>1.9204416252549805</v>
      </c>
      <c r="BV61" s="43">
        <f t="shared" si="375"/>
        <v>2.1340734850630261</v>
      </c>
      <c r="BW61" s="621"/>
      <c r="BX61" s="621"/>
      <c r="BY61"/>
      <c r="BZ61"/>
      <c r="CA61"/>
      <c r="CB61"/>
      <c r="CC61"/>
      <c r="CD61"/>
    </row>
    <row r="62" spans="2:82" s="616" customFormat="1" ht="12.75" customHeight="1" x14ac:dyDescent="0.2">
      <c r="B62" s="622" t="s">
        <v>485</v>
      </c>
      <c r="C62" s="81">
        <f t="shared" ref="C62:M62" si="397">+C54-C61</f>
        <v>105.30000000000001</v>
      </c>
      <c r="D62" s="705" t="str">
        <f>IF(ISERROR(C62/#REF!),"NA",IF(OR(C62/#REF!&gt;2,C62/#REF!&lt;0.5),"NM",C62/#REF!*100-100))</f>
        <v>NA</v>
      </c>
      <c r="E62" s="81">
        <f t="shared" si="397"/>
        <v>119.79999999999995</v>
      </c>
      <c r="F62" s="705" t="str">
        <f>IF(ISERROR(E62/#REF!),"NA",IF(OR(E62/#REF!&gt;2,E62/#REF!&lt;0.5),"NM",E62/#REF!*100-100))</f>
        <v>NA</v>
      </c>
      <c r="G62" s="81">
        <f t="shared" si="397"/>
        <v>102.90000000000003</v>
      </c>
      <c r="H62" s="705" t="str">
        <f>IF(ISERROR(G62/#REF!),"NA",IF(OR(G62/#REF!&gt;2,G62/#REF!&lt;0.5),"NM",G62/#REF!*100-100))</f>
        <v>NA</v>
      </c>
      <c r="I62" s="81">
        <f t="shared" si="397"/>
        <v>123</v>
      </c>
      <c r="J62" s="9" t="str">
        <f>IF(ISERROR(I62/#REF!),"NA",IF(OR(I62/#REF!&gt;2,I62/#REF!&lt;0.5),"NM",I62/#REF!*100-100))</f>
        <v>NA</v>
      </c>
      <c r="K62" s="81">
        <f t="shared" si="397"/>
        <v>140.99999999999994</v>
      </c>
      <c r="L62" s="9">
        <f t="shared" si="356"/>
        <v>33.903133903133835</v>
      </c>
      <c r="M62" s="81">
        <f t="shared" si="397"/>
        <v>153.30000000000001</v>
      </c>
      <c r="N62" s="9">
        <f t="shared" si="357"/>
        <v>27.963272120200401</v>
      </c>
      <c r="O62" s="81">
        <f>+O54-O61</f>
        <v>145.5</v>
      </c>
      <c r="P62" s="9">
        <f t="shared" si="173"/>
        <v>41.399416909620953</v>
      </c>
      <c r="Q62" s="81">
        <f>+Q54-Q61</f>
        <v>138.69999999999999</v>
      </c>
      <c r="R62" s="226">
        <f t="shared" si="358"/>
        <v>12.76422764227641</v>
      </c>
      <c r="S62" s="81">
        <f>+S54-S61</f>
        <v>141.80000000000001</v>
      </c>
      <c r="T62" s="226">
        <f t="shared" si="359"/>
        <v>0.56737588652487148</v>
      </c>
      <c r="U62" s="81">
        <f>+U54-U61</f>
        <v>143.39999999999998</v>
      </c>
      <c r="V62" s="226">
        <f t="shared" si="313"/>
        <v>-6.4579256360078432</v>
      </c>
      <c r="W62" s="81">
        <f>+W54-W61</f>
        <v>83.599999999999966</v>
      </c>
      <c r="X62" s="226">
        <f t="shared" si="178"/>
        <v>-42.542955326460508</v>
      </c>
      <c r="Y62" s="81">
        <f>+Y54-Y61</f>
        <v>124.69999999999999</v>
      </c>
      <c r="Z62" s="9">
        <f t="shared" si="360"/>
        <v>-10.093727469358328</v>
      </c>
      <c r="AA62" s="81">
        <f>+AA54-AA61</f>
        <v>114</v>
      </c>
      <c r="AB62" s="226">
        <f t="shared" si="361"/>
        <v>-19.605077574047954</v>
      </c>
      <c r="AC62" s="81">
        <f>+AC54-AC61</f>
        <v>124.5</v>
      </c>
      <c r="AD62" s="226">
        <f t="shared" si="251"/>
        <v>-13.179916317991612</v>
      </c>
      <c r="AE62" s="81">
        <f>+AE54-AE61</f>
        <v>130.89999999999998</v>
      </c>
      <c r="AF62" s="226">
        <f t="shared" si="201"/>
        <v>56.578947368421098</v>
      </c>
      <c r="AG62" s="81">
        <f>+AG54-AG61</f>
        <v>124.00000000000006</v>
      </c>
      <c r="AH62" s="226">
        <f t="shared" si="182"/>
        <v>-0.56134723336001002</v>
      </c>
      <c r="AI62" s="81">
        <f>+AI54-AI61</f>
        <v>144.69999999999999</v>
      </c>
      <c r="AJ62" s="226">
        <f t="shared" si="362"/>
        <v>26.929824561403493</v>
      </c>
      <c r="AK62" s="81">
        <f>+AK54-AK61</f>
        <v>147.5</v>
      </c>
      <c r="AL62" s="226">
        <f t="shared" si="363"/>
        <v>18.47389558232932</v>
      </c>
      <c r="AM62" s="81">
        <f>+AM54-AM61</f>
        <v>108</v>
      </c>
      <c r="AN62" s="226">
        <f t="shared" si="364"/>
        <v>-17.494270435446893</v>
      </c>
      <c r="AO62" s="81">
        <f>+AO54-AO61</f>
        <v>126.60000000000002</v>
      </c>
      <c r="AP62" s="226">
        <f t="shared" si="365"/>
        <v>2.0967741935483701</v>
      </c>
      <c r="AQ62" s="81">
        <f t="shared" ref="AQ62:AW62" si="398">+AQ54-AQ61</f>
        <v>142.05612240496151</v>
      </c>
      <c r="AR62" s="226">
        <f t="shared" si="367"/>
        <v>-1.8271441569028752</v>
      </c>
      <c r="AS62" s="81">
        <f t="shared" si="398"/>
        <v>142.19182518538878</v>
      </c>
      <c r="AT62" s="226">
        <f t="shared" si="368"/>
        <v>-3.5987625861771022</v>
      </c>
      <c r="AU62" s="81">
        <f t="shared" si="398"/>
        <v>143.63086237263838</v>
      </c>
      <c r="AV62" s="226">
        <f t="shared" si="369"/>
        <v>32.991539233924414</v>
      </c>
      <c r="AW62" s="81">
        <f t="shared" si="398"/>
        <v>153.34038105962878</v>
      </c>
      <c r="AX62" s="226">
        <f t="shared" si="370"/>
        <v>21.121943964951612</v>
      </c>
      <c r="AY62" s="356"/>
      <c r="AZ62" s="618"/>
      <c r="BA62" s="620"/>
      <c r="BB62" s="81">
        <f>BB54-BB61</f>
        <v>451</v>
      </c>
      <c r="BC62" s="226" t="str">
        <f>IF(ISERROR(BB62/#REF!),"NA",IF(OR(BB62/#REF!&gt;2,BB62/#REF!&lt;0.5),"NM",BB62/#REF!*100-100))</f>
        <v>NA</v>
      </c>
      <c r="BD62" s="913">
        <f t="shared" ref="BD62" si="399">BD54-BD61</f>
        <v>578.5</v>
      </c>
      <c r="BE62" s="226">
        <f t="shared" si="371"/>
        <v>28.270509977827061</v>
      </c>
      <c r="BF62" s="81">
        <f>BF54-BF61</f>
        <v>493.5</v>
      </c>
      <c r="BG62" s="226">
        <f t="shared" si="371"/>
        <v>-14.693171996542787</v>
      </c>
      <c r="BH62" s="81">
        <f>BH54-BH61</f>
        <v>493.39999999999986</v>
      </c>
      <c r="BI62" s="226">
        <f t="shared" si="371"/>
        <v>-2.0263424518773832E-2</v>
      </c>
      <c r="BJ62" s="81">
        <f>BJ54-BJ61</f>
        <v>526.79999999999995</v>
      </c>
      <c r="BK62" s="226">
        <f t="shared" si="371"/>
        <v>6.7693554925010346</v>
      </c>
      <c r="BL62" s="81">
        <f>BL54-BL61</f>
        <v>581.21919102261722</v>
      </c>
      <c r="BM62" s="226">
        <f t="shared" si="371"/>
        <v>10.330142563139205</v>
      </c>
      <c r="BN62" s="81">
        <f t="shared" ref="BN62" si="400">BN54-BN61</f>
        <v>602.06469029652203</v>
      </c>
      <c r="BO62" s="226">
        <f t="shared" si="371"/>
        <v>3.586512557719999</v>
      </c>
      <c r="BP62" s="81">
        <f t="shared" ref="BP62:BR62" si="401">BP54-BP61</f>
        <v>623.87014885527947</v>
      </c>
      <c r="BQ62" s="226">
        <f t="shared" si="371"/>
        <v>3.6217800030787544</v>
      </c>
      <c r="BR62" s="81">
        <f t="shared" si="401"/>
        <v>648.12151853782029</v>
      </c>
      <c r="BS62" s="226">
        <f t="shared" si="371"/>
        <v>3.887246364814672</v>
      </c>
      <c r="BT62" s="81">
        <f t="shared" ref="BT62" si="402">BT54-BT61</f>
        <v>672.55931623420452</v>
      </c>
      <c r="BU62" s="226">
        <f t="shared" si="374"/>
        <v>3.770557989112362</v>
      </c>
      <c r="BV62" s="43">
        <f t="shared" si="375"/>
        <v>5.006689121484742</v>
      </c>
      <c r="BW62" s="621"/>
      <c r="BX62" s="621"/>
      <c r="BY62"/>
      <c r="BZ62"/>
      <c r="CA62"/>
      <c r="CB62"/>
      <c r="CC62"/>
      <c r="CD62"/>
    </row>
    <row r="63" spans="2:82" s="616" customFormat="1" ht="12.75" customHeight="1" x14ac:dyDescent="0.2">
      <c r="B63" s="67"/>
      <c r="C63" s="15"/>
      <c r="D63" s="623"/>
      <c r="E63" s="15"/>
      <c r="F63" s="623"/>
      <c r="G63" s="15"/>
      <c r="H63" s="623"/>
      <c r="I63" s="15"/>
      <c r="J63" s="623"/>
      <c r="K63" s="15"/>
      <c r="L63" s="623"/>
      <c r="M63" s="15"/>
      <c r="N63" s="620"/>
      <c r="O63" s="695"/>
      <c r="P63" s="9"/>
      <c r="Q63" s="695"/>
      <c r="R63" s="226"/>
      <c r="S63" s="695"/>
      <c r="T63" s="226"/>
      <c r="U63" s="695"/>
      <c r="V63" s="226"/>
      <c r="W63" s="695"/>
      <c r="X63" s="226"/>
      <c r="Y63" s="695"/>
      <c r="Z63" s="9"/>
      <c r="AA63" s="695"/>
      <c r="AB63" s="226"/>
      <c r="AC63" s="695"/>
      <c r="AD63" s="226"/>
      <c r="AE63" s="695"/>
      <c r="AF63" s="226"/>
      <c r="AG63" s="695"/>
      <c r="AH63" s="620"/>
      <c r="AI63" s="695"/>
      <c r="AJ63" s="620"/>
      <c r="AK63" s="695"/>
      <c r="AL63" s="620"/>
      <c r="AM63" s="695"/>
      <c r="AN63" s="620"/>
      <c r="AO63" s="695"/>
      <c r="AP63" s="620"/>
      <c r="AQ63" s="695"/>
      <c r="AR63" s="620"/>
      <c r="AS63" s="695"/>
      <c r="AT63" s="620"/>
      <c r="AU63" s="695"/>
      <c r="AV63" s="620"/>
      <c r="AW63" s="695"/>
      <c r="AX63" s="620"/>
      <c r="AY63" s="356"/>
      <c r="AZ63" s="618"/>
      <c r="BA63" s="620"/>
      <c r="BB63" s="55"/>
      <c r="BC63" s="55"/>
      <c r="BD63" s="908"/>
      <c r="BE63" s="55"/>
      <c r="BF63" s="55"/>
      <c r="BG63" s="626"/>
      <c r="BH63" s="55"/>
      <c r="BI63" s="626"/>
      <c r="BJ63" s="55"/>
      <c r="BK63" s="626"/>
      <c r="BL63" s="55"/>
      <c r="BM63" s="626"/>
      <c r="BN63" s="55"/>
      <c r="BO63" s="626"/>
      <c r="BP63" s="55"/>
      <c r="BQ63" s="623"/>
      <c r="BR63" s="55"/>
      <c r="BS63" s="623"/>
      <c r="BT63" s="55"/>
      <c r="BU63" s="623"/>
      <c r="BV63" s="43"/>
      <c r="BW63" s="621"/>
      <c r="BX63" s="621"/>
      <c r="BY63"/>
      <c r="BZ63"/>
      <c r="CA63"/>
      <c r="CB63"/>
      <c r="CC63"/>
      <c r="CD63"/>
    </row>
    <row r="64" spans="2:82" s="616" customFormat="1" ht="12.75" customHeight="1" x14ac:dyDescent="0.2">
      <c r="B64" s="62" t="s">
        <v>59</v>
      </c>
      <c r="C64" s="70">
        <f>8/0.65</f>
        <v>12.307692307692307</v>
      </c>
      <c r="D64" s="705" t="str">
        <f>IF(ISERROR(C64/#REF!),"NA",IF(OR(C64/#REF!&gt;2,C64/#REF!&lt;0.5),"NM",C64/#REF!*100-100))</f>
        <v>NA</v>
      </c>
      <c r="E64" s="70">
        <v>0</v>
      </c>
      <c r="F64" s="705" t="str">
        <f>IF(ISERROR(E64/#REF!),"NA",IF(OR(E64/#REF!&gt;2,E64/#REF!&lt;0.5),"NM",E64/#REF!*100-100))</f>
        <v>NA</v>
      </c>
      <c r="G64" s="70">
        <v>0</v>
      </c>
      <c r="H64" s="705" t="str">
        <f>IF(ISERROR(G64/#REF!),"NA",IF(OR(G64/#REF!&gt;2,G64/#REF!&lt;0.5),"NM",G64/#REF!*100-100))</f>
        <v>NA</v>
      </c>
      <c r="I64" s="70">
        <f>3/0.65</f>
        <v>4.615384615384615</v>
      </c>
      <c r="J64" s="9" t="str">
        <f>IF(ISERROR(I64/#REF!),"NA",IF(OR(I64/#REF!&gt;2,I64/#REF!&lt;0.5),"NM",I64/#REF!*100-100))</f>
        <v>NA</v>
      </c>
      <c r="K64" s="70">
        <f>15/0.65</f>
        <v>23.076923076923077</v>
      </c>
      <c r="L64" s="9">
        <f t="shared" ref="L64:L65" si="403">IF(ISERROR(K64/C64),"NA",IF(OR(K64/C64&gt;2,K64/C64&lt;0.5),"NM",K64/C64*100-100))</f>
        <v>87.500000000000028</v>
      </c>
      <c r="M64" s="70">
        <f>6/0.65</f>
        <v>9.2307692307692299</v>
      </c>
      <c r="N64" s="9" t="str">
        <f t="shared" ref="N64:N65" si="404">IF(ISERROR(M64/E64),"NA",IF(OR(M64/E64&gt;2,M64/E64&lt;0.5),"NM",M64/E64*100-100))</f>
        <v>NA</v>
      </c>
      <c r="O64" s="70">
        <v>0</v>
      </c>
      <c r="P64" s="9" t="str">
        <f t="shared" si="173"/>
        <v>NA</v>
      </c>
      <c r="Q64" s="70">
        <v>0</v>
      </c>
      <c r="R64" s="226" t="str">
        <f t="shared" ref="R64:R65" si="405">IF(ISERROR(Q64/I64),"NA",IF(OR(Q64/I64&gt;2,Q64/I64&lt;0.5),"NM",Q64/I64*100-100))</f>
        <v>NM</v>
      </c>
      <c r="S64" s="70">
        <f>6/0.65</f>
        <v>9.2307692307692299</v>
      </c>
      <c r="T64" s="226" t="str">
        <f t="shared" ref="T64:T65" si="406">IF(ISERROR(S64/K64),"NA",IF(OR(S64/K64&gt;2,S64/K64&lt;0.5),"NM",S64/K64*100-100))</f>
        <v>NM</v>
      </c>
      <c r="U64" s="70">
        <f>3/0.65</f>
        <v>4.615384615384615</v>
      </c>
      <c r="V64" s="226">
        <f t="shared" ref="V64:V65" si="407">IF(ISERROR(U64/M64),"NA",IF(OR(U64/M64&gt;2,U64/M64&lt;0.5),"NM",U64/M64*100-100))</f>
        <v>-50</v>
      </c>
      <c r="W64" s="70">
        <f>(-23.6-6)/0.65</f>
        <v>-45.53846153846154</v>
      </c>
      <c r="X64" s="226" t="str">
        <f t="shared" si="178"/>
        <v>NA</v>
      </c>
      <c r="Y64" s="70">
        <v>0</v>
      </c>
      <c r="Z64" s="9" t="str">
        <f>IF(ISERROR(Y64/Q64),"NA",IF(OR(Y64/Q64&gt;2,Y64/Q64&lt;0.5),"NM",Y64/Q64*100-100))</f>
        <v>NA</v>
      </c>
      <c r="AA64" s="70">
        <v>0</v>
      </c>
      <c r="AB64" s="226" t="str">
        <f t="shared" ref="AB64:AB65" si="408">IF(ISERROR(AA64/S64),"NA",IF(OR(AA64/S64&gt;2,AA64/S64&lt;0.5),"NM",AA64/S64*100-100))</f>
        <v>NM</v>
      </c>
      <c r="AC64" s="70">
        <v>0</v>
      </c>
      <c r="AD64" s="226" t="str">
        <f t="shared" si="251"/>
        <v>NM</v>
      </c>
      <c r="AE64" s="70">
        <f>-26.2+11.8</f>
        <v>-14.399999999999999</v>
      </c>
      <c r="AF64" s="226" t="str">
        <f t="shared" si="201"/>
        <v>NM</v>
      </c>
      <c r="AG64" s="70">
        <v>0</v>
      </c>
      <c r="AH64" s="226" t="str">
        <f t="shared" si="182"/>
        <v>NA</v>
      </c>
      <c r="AI64" s="70">
        <v>6</v>
      </c>
      <c r="AJ64" s="226" t="str">
        <f t="shared" ref="AJ64:AJ65" si="409">IF(ISERROR(AI64/AA64),"NA",IF(OR(AI64/AA64&gt;2,AI64/AA64&lt;0.5),"NM",AI64/AA64*100-100))</f>
        <v>NA</v>
      </c>
      <c r="AK64" s="70">
        <v>0</v>
      </c>
      <c r="AL64" s="226" t="str">
        <f t="shared" ref="AL64:AL65" si="410">IF(ISERROR(AK64/AC64),"NA",IF(OR(AK64/AC64&gt;2,AK64/AC64&lt;0.5),"NM",AK64/AC64*100-100))</f>
        <v>NA</v>
      </c>
      <c r="AM64" s="70">
        <v>-41</v>
      </c>
      <c r="AN64" s="226" t="str">
        <f t="shared" ref="AN64:AN65" si="411">IF(ISERROR(AM64/AE64),"NA",IF(OR(AM64/AE64&gt;2,AM64/AE64&lt;0.5),"NM",AM64/AE64*100-100))</f>
        <v>NM</v>
      </c>
      <c r="AO64" s="70">
        <v>0</v>
      </c>
      <c r="AP64" s="226" t="str">
        <f t="shared" ref="AP64:AP65" si="412">IF(ISERROR(AO64/AG64),"NA",IF(OR(AO64/AG64&gt;2,AO64/AG64&lt;0.5),"NM",AO64/AG64*100-100))</f>
        <v>NA</v>
      </c>
      <c r="AQ64" s="70">
        <v>0</v>
      </c>
      <c r="AR64" s="226" t="str">
        <f t="shared" ref="AR64:AR65" si="413">IF(ISERROR(AQ64/AI64),"NA",IF(OR(AQ64/AI64&gt;2,AQ64/AI64&lt;0.5),"NM",AQ64/AI64*100-100))</f>
        <v>NM</v>
      </c>
      <c r="AS64" s="70">
        <v>0</v>
      </c>
      <c r="AT64" s="226" t="str">
        <f t="shared" ref="AT64:AT65" si="414">IF(ISERROR(AS64/AK64),"NA",IF(OR(AS64/AK64&gt;2,AS64/AK64&lt;0.5),"NM",AS64/AK64*100-100))</f>
        <v>NA</v>
      </c>
      <c r="AU64" s="70">
        <v>0</v>
      </c>
      <c r="AV64" s="226" t="str">
        <f t="shared" ref="AV64:AV65" si="415">IF(ISERROR(AU64/AM64),"NA",IF(OR(AU64/AM64&gt;2,AU64/AM64&lt;0.5),"NM",AU64/AM64*100-100))</f>
        <v>NM</v>
      </c>
      <c r="AW64" s="70">
        <v>0</v>
      </c>
      <c r="AX64" s="226" t="str">
        <f t="shared" ref="AX64:AX65" si="416">IF(ISERROR(AW64/AO64),"NA",IF(OR(AW64/AO64&gt;2,AW64/AO64&lt;0.5),"NM",AW64/AO64*100-100))</f>
        <v>NA</v>
      </c>
      <c r="AY64" s="356"/>
      <c r="AZ64" s="618"/>
      <c r="BA64" s="620"/>
      <c r="BB64" s="55">
        <f>C64+E64+G64+I64</f>
        <v>16.92307692307692</v>
      </c>
      <c r="BC64" s="226" t="str">
        <f>IF(ISERROR(BB64/#REF!),"NA",IF(OR(BB64/#REF!&gt;2,BB64/#REF!&lt;0.5),"NM",BB64/#REF!*100-100))</f>
        <v>NA</v>
      </c>
      <c r="BD64" s="908">
        <f>K64+M64+O64+Q64</f>
        <v>32.307692307692307</v>
      </c>
      <c r="BE64" s="226">
        <f t="shared" si="371"/>
        <v>90.909090909090935</v>
      </c>
      <c r="BF64" s="55">
        <f>S64+U64+W64+Y64</f>
        <v>-31.692307692307693</v>
      </c>
      <c r="BG64" s="226" t="str">
        <f t="shared" si="371"/>
        <v>NM</v>
      </c>
      <c r="BH64" s="55">
        <f>AA64+AC64+AE64+AG64</f>
        <v>-14.399999999999999</v>
      </c>
      <c r="BI64" s="226" t="str">
        <f t="shared" si="371"/>
        <v>NM</v>
      </c>
      <c r="BJ64" s="55">
        <f>AI64+AK64+AM64+AO64</f>
        <v>-35</v>
      </c>
      <c r="BK64" s="226" t="str">
        <f t="shared" si="371"/>
        <v>NM</v>
      </c>
      <c r="BL64" s="55">
        <f>AQ64+AS64+AU64+AW64</f>
        <v>0</v>
      </c>
      <c r="BM64" s="226" t="str">
        <f t="shared" si="371"/>
        <v>NM</v>
      </c>
      <c r="BN64" s="55">
        <v>0</v>
      </c>
      <c r="BO64" s="226" t="str">
        <f t="shared" si="371"/>
        <v>NA</v>
      </c>
      <c r="BP64" s="55">
        <v>0</v>
      </c>
      <c r="BQ64" s="226" t="str">
        <f t="shared" si="371"/>
        <v>NA</v>
      </c>
      <c r="BR64" s="55">
        <v>0</v>
      </c>
      <c r="BS64" s="226" t="str">
        <f t="shared" si="371"/>
        <v>NA</v>
      </c>
      <c r="BT64" s="55">
        <v>0</v>
      </c>
      <c r="BU64" s="226" t="str">
        <f t="shared" ref="BU64:BU65" si="417">IF(ISERROR(BT64/BR64),"NA",IF(OR(BT64/BR64&gt;2,BT64/BR64&lt;0.5),"NM",BT64/BR64*100-100))</f>
        <v>NA</v>
      </c>
      <c r="BV64" s="43" t="str">
        <f>IF(ISERROR(((BT64/BJ64)^0.2-1)*100),"NA",IF((((BT64/BJ64)^0.2-1)*100)&gt;100,"NM",IF((((BT64/BJ64)^0.2-1)*100)&lt;-50,"NM",((BT64/BJ64)^0.2-1)*100)))</f>
        <v>NM</v>
      </c>
      <c r="BW64" s="621"/>
      <c r="BX64" s="621"/>
      <c r="BY64"/>
      <c r="BZ64"/>
      <c r="CA64"/>
      <c r="CB64"/>
      <c r="CC64"/>
      <c r="CD64"/>
    </row>
    <row r="65" spans="2:82" s="616" customFormat="1" ht="12.75" customHeight="1" x14ac:dyDescent="0.2">
      <c r="B65" s="67" t="s">
        <v>466</v>
      </c>
      <c r="C65" s="695">
        <f>C62-C64</f>
        <v>92.992307692307705</v>
      </c>
      <c r="D65" s="705" t="str">
        <f>IF(ISERROR(C65/#REF!),"NA",IF(OR(C65/#REF!&gt;2,C65/#REF!&lt;0.5),"NM",C65/#REF!*100-100))</f>
        <v>NA</v>
      </c>
      <c r="E65" s="695">
        <f t="shared" ref="E65:M65" si="418">E62-E64</f>
        <v>119.79999999999995</v>
      </c>
      <c r="F65" s="705" t="str">
        <f>IF(ISERROR(E65/#REF!),"NA",IF(OR(E65/#REF!&gt;2,E65/#REF!&lt;0.5),"NM",E65/#REF!*100-100))</f>
        <v>NA</v>
      </c>
      <c r="G65" s="695">
        <f t="shared" si="418"/>
        <v>102.90000000000003</v>
      </c>
      <c r="H65" s="705" t="str">
        <f>IF(ISERROR(G65/#REF!),"NA",IF(OR(G65/#REF!&gt;2,G65/#REF!&lt;0.5),"NM",G65/#REF!*100-100))</f>
        <v>NA</v>
      </c>
      <c r="I65" s="695">
        <f t="shared" si="418"/>
        <v>118.38461538461539</v>
      </c>
      <c r="J65" s="9" t="str">
        <f>IF(ISERROR(I65/#REF!),"NA",IF(OR(I65/#REF!&gt;2,I65/#REF!&lt;0.5),"NM",I65/#REF!*100-100))</f>
        <v>NA</v>
      </c>
      <c r="K65" s="695">
        <f t="shared" si="418"/>
        <v>117.92307692307686</v>
      </c>
      <c r="L65" s="9">
        <f t="shared" si="403"/>
        <v>26.809496236247753</v>
      </c>
      <c r="M65" s="695">
        <f t="shared" si="418"/>
        <v>144.06923076923078</v>
      </c>
      <c r="N65" s="9">
        <f t="shared" si="404"/>
        <v>20.258122511878838</v>
      </c>
      <c r="O65" s="695">
        <f>O62-O64</f>
        <v>145.5</v>
      </c>
      <c r="P65" s="9">
        <f t="shared" si="173"/>
        <v>41.399416909620953</v>
      </c>
      <c r="Q65" s="695">
        <f t="shared" ref="Q65:U65" si="419">Q62-Q64</f>
        <v>138.69999999999999</v>
      </c>
      <c r="R65" s="226">
        <f t="shared" si="405"/>
        <v>17.160493827160479</v>
      </c>
      <c r="S65" s="695">
        <f t="shared" si="419"/>
        <v>132.56923076923078</v>
      </c>
      <c r="T65" s="226">
        <f t="shared" si="406"/>
        <v>12.420091324200982</v>
      </c>
      <c r="U65" s="695">
        <f t="shared" si="419"/>
        <v>138.78461538461536</v>
      </c>
      <c r="V65" s="226">
        <f t="shared" si="407"/>
        <v>-3.6681082812750532</v>
      </c>
      <c r="W65" s="695">
        <f>W62-W64</f>
        <v>129.13846153846151</v>
      </c>
      <c r="X65" s="226">
        <f t="shared" si="178"/>
        <v>-11.245043616177654</v>
      </c>
      <c r="Y65" s="695">
        <f>Y62-Y64</f>
        <v>124.69999999999999</v>
      </c>
      <c r="Z65" s="9">
        <f>IF(ISERROR(Y65/Q65),"NA",IF(OR(Y65/Q65&gt;2,Y65/Q65&lt;0.5),"NM",Y65/Q65*100-100))</f>
        <v>-10.093727469358328</v>
      </c>
      <c r="AA65" s="695">
        <f>AA62-AA64</f>
        <v>114</v>
      </c>
      <c r="AB65" s="226">
        <f t="shared" si="408"/>
        <v>-14.007195079494039</v>
      </c>
      <c r="AC65" s="695">
        <f>AC62-AC64</f>
        <v>124.5</v>
      </c>
      <c r="AD65" s="226">
        <f t="shared" si="251"/>
        <v>-10.29265048220816</v>
      </c>
      <c r="AE65" s="695">
        <f>AE62-AE64</f>
        <v>145.29999999999998</v>
      </c>
      <c r="AF65" s="226">
        <f t="shared" si="201"/>
        <v>12.514891589230402</v>
      </c>
      <c r="AG65" s="695">
        <f>AG62-AG64</f>
        <v>124.00000000000006</v>
      </c>
      <c r="AH65" s="226">
        <f t="shared" si="182"/>
        <v>-0.56134723336001002</v>
      </c>
      <c r="AI65" s="695">
        <f>AI62-AI64</f>
        <v>138.69999999999999</v>
      </c>
      <c r="AJ65" s="226">
        <f t="shared" si="409"/>
        <v>21.666666666666657</v>
      </c>
      <c r="AK65" s="695">
        <f>AK62-AK64</f>
        <v>147.5</v>
      </c>
      <c r="AL65" s="226">
        <f t="shared" si="410"/>
        <v>18.47389558232932</v>
      </c>
      <c r="AM65" s="695">
        <f>AM62-AM64</f>
        <v>149</v>
      </c>
      <c r="AN65" s="226">
        <f t="shared" si="411"/>
        <v>2.54645560908466</v>
      </c>
      <c r="AO65" s="695">
        <f>AO62-AO64</f>
        <v>126.60000000000002</v>
      </c>
      <c r="AP65" s="226">
        <f t="shared" si="412"/>
        <v>2.0967741935483701</v>
      </c>
      <c r="AQ65" s="695">
        <f t="shared" ref="AQ65:AW65" si="420">AQ62-AQ64</f>
        <v>142.05612240496151</v>
      </c>
      <c r="AR65" s="226">
        <f t="shared" si="413"/>
        <v>2.4196989221063632</v>
      </c>
      <c r="AS65" s="695">
        <f t="shared" si="420"/>
        <v>142.19182518538878</v>
      </c>
      <c r="AT65" s="226">
        <f t="shared" si="414"/>
        <v>-3.5987625861771022</v>
      </c>
      <c r="AU65" s="695">
        <f t="shared" si="420"/>
        <v>143.63086237263838</v>
      </c>
      <c r="AV65" s="226">
        <f t="shared" si="415"/>
        <v>-3.603448072054789</v>
      </c>
      <c r="AW65" s="695">
        <f t="shared" si="420"/>
        <v>153.34038105962878</v>
      </c>
      <c r="AX65" s="226">
        <f t="shared" si="416"/>
        <v>21.121943964951612</v>
      </c>
      <c r="AY65" s="356"/>
      <c r="AZ65" s="618"/>
      <c r="BA65" s="620"/>
      <c r="BB65" s="81">
        <f>BB62-BB64</f>
        <v>434.07692307692309</v>
      </c>
      <c r="BC65" s="226" t="str">
        <f>IF(ISERROR(BB65/#REF!),"NA",IF(OR(BB65/#REF!&gt;2,BB65/#REF!&lt;0.5),"NM",BB65/#REF!*100-100))</f>
        <v>NA</v>
      </c>
      <c r="BD65" s="913">
        <f>BD62-BD64</f>
        <v>546.19230769230774</v>
      </c>
      <c r="BE65" s="226">
        <f t="shared" si="371"/>
        <v>25.82846003898635</v>
      </c>
      <c r="BF65" s="81">
        <f>BF62-BF64</f>
        <v>525.19230769230774</v>
      </c>
      <c r="BG65" s="226">
        <f t="shared" si="371"/>
        <v>-3.8447996619956371</v>
      </c>
      <c r="BH65" s="81">
        <f t="shared" ref="BH65" si="421">BH62-BH64</f>
        <v>507.79999999999984</v>
      </c>
      <c r="BI65" s="226">
        <f t="shared" si="371"/>
        <v>-3.3116074697913263</v>
      </c>
      <c r="BJ65" s="81">
        <f t="shared" ref="BJ65" si="422">BJ62-BJ64</f>
        <v>561.79999999999995</v>
      </c>
      <c r="BK65" s="226">
        <f t="shared" si="371"/>
        <v>10.634107916502586</v>
      </c>
      <c r="BL65" s="81">
        <f t="shared" ref="BL65" si="423">BL62-BL64</f>
        <v>581.21919102261722</v>
      </c>
      <c r="BM65" s="226">
        <f t="shared" si="371"/>
        <v>3.4566021756171637</v>
      </c>
      <c r="BN65" s="81">
        <f t="shared" ref="BN65" si="424">BN62-BN64</f>
        <v>602.06469029652203</v>
      </c>
      <c r="BO65" s="226">
        <f t="shared" si="371"/>
        <v>3.586512557719999</v>
      </c>
      <c r="BP65" s="81">
        <f t="shared" ref="BP65:BR65" si="425">BP62-BP64</f>
        <v>623.87014885527947</v>
      </c>
      <c r="BQ65" s="226">
        <f t="shared" si="371"/>
        <v>3.6217800030787544</v>
      </c>
      <c r="BR65" s="81">
        <f t="shared" si="425"/>
        <v>648.12151853782029</v>
      </c>
      <c r="BS65" s="226">
        <f t="shared" si="371"/>
        <v>3.887246364814672</v>
      </c>
      <c r="BT65" s="81">
        <f t="shared" ref="BT65" si="426">BT62-BT64</f>
        <v>672.55931623420452</v>
      </c>
      <c r="BU65" s="226">
        <f t="shared" si="417"/>
        <v>3.770557989112362</v>
      </c>
      <c r="BV65" s="43">
        <f>IF(ISERROR(((BT65/BJ65)^0.2-1)*100),"NA",IF((((BT65/BJ65)^0.2-1)*100)&gt;100,"NM",IF((((BT65/BJ65)^0.2-1)*100)&lt;-50,"NM",((BT65/BJ65)^0.2-1)*100)))</f>
        <v>3.6644318007982291</v>
      </c>
      <c r="BW65" s="621"/>
      <c r="BX65" s="621"/>
      <c r="BY65"/>
      <c r="BZ65"/>
      <c r="CA65"/>
      <c r="CB65"/>
      <c r="CC65"/>
      <c r="CD65"/>
    </row>
    <row r="66" spans="2:82" s="616" customFormat="1" ht="12.75" customHeight="1" x14ac:dyDescent="0.2">
      <c r="B66" s="67"/>
      <c r="C66" s="15"/>
      <c r="D66" s="623"/>
      <c r="E66" s="15"/>
      <c r="F66" s="623"/>
      <c r="G66" s="15"/>
      <c r="H66" s="623"/>
      <c r="I66" s="15"/>
      <c r="J66" s="623"/>
      <c r="K66" s="15"/>
      <c r="L66" s="623"/>
      <c r="M66" s="15"/>
      <c r="N66" s="620"/>
      <c r="O66" s="695"/>
      <c r="P66" s="9"/>
      <c r="Q66" s="695"/>
      <c r="R66" s="226"/>
      <c r="S66" s="695"/>
      <c r="T66" s="226"/>
      <c r="U66" s="695"/>
      <c r="V66" s="226"/>
      <c r="W66" s="695"/>
      <c r="X66" s="226"/>
      <c r="Y66" s="695"/>
      <c r="Z66" s="9"/>
      <c r="AA66" s="695"/>
      <c r="AB66" s="226"/>
      <c r="AC66" s="695"/>
      <c r="AD66" s="226"/>
      <c r="AE66" s="695"/>
      <c r="AF66" s="226"/>
      <c r="AG66" s="695"/>
      <c r="AH66" s="620"/>
      <c r="AI66" s="695"/>
      <c r="AJ66" s="620"/>
      <c r="AK66" s="695"/>
      <c r="AL66" s="620"/>
      <c r="AM66" s="695"/>
      <c r="AN66" s="620"/>
      <c r="AO66" s="695"/>
      <c r="AP66" s="620"/>
      <c r="AQ66" s="695"/>
      <c r="AR66" s="620"/>
      <c r="AS66" s="695"/>
      <c r="AT66" s="620"/>
      <c r="AU66" s="695"/>
      <c r="AV66" s="620"/>
      <c r="AW66" s="695"/>
      <c r="AX66" s="620"/>
      <c r="AY66" s="356"/>
      <c r="AZ66" s="618"/>
      <c r="BA66" s="620"/>
      <c r="BB66" s="55"/>
      <c r="BC66" s="55"/>
      <c r="BD66" s="908"/>
      <c r="BE66" s="55"/>
      <c r="BF66" s="55"/>
      <c r="BG66" s="626"/>
      <c r="BH66" s="55"/>
      <c r="BI66" s="626"/>
      <c r="BJ66" s="55"/>
      <c r="BK66" s="626"/>
      <c r="BL66" s="55"/>
      <c r="BM66" s="626"/>
      <c r="BN66" s="55"/>
      <c r="BO66" s="626"/>
      <c r="BP66" s="55"/>
      <c r="BQ66" s="623"/>
      <c r="BR66" s="55"/>
      <c r="BS66" s="623"/>
      <c r="BT66" s="55"/>
      <c r="BU66" s="623"/>
      <c r="BV66" s="43"/>
      <c r="BW66" s="621"/>
      <c r="BX66" s="621"/>
      <c r="BY66"/>
      <c r="BZ66"/>
      <c r="CA66"/>
      <c r="CB66"/>
      <c r="CC66"/>
      <c r="CD66"/>
    </row>
    <row r="67" spans="2:82" s="616" customFormat="1" ht="12.75" customHeight="1" x14ac:dyDescent="0.2">
      <c r="B67" s="7" t="s">
        <v>375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620"/>
      <c r="O67" s="84">
        <f>+O52/O42*400</f>
        <v>0.75749569213095924</v>
      </c>
      <c r="P67" s="9" t="str">
        <f t="shared" si="173"/>
        <v>NA</v>
      </c>
      <c r="Q67" s="84">
        <f>+Q52/Q42*400</f>
        <v>0.75308924485125861</v>
      </c>
      <c r="R67" s="226" t="str">
        <f t="shared" ref="R67:R70" si="427">IF(ISERROR(Q67/I67),"NA",IF(OR(Q67/I67&gt;2,Q67/I67&lt;0.5),"NM",Q67/I67*100-100))</f>
        <v>NA</v>
      </c>
      <c r="S67" s="84">
        <f>+S52/S42*400</f>
        <v>0.73513513513513518</v>
      </c>
      <c r="T67" s="226" t="str">
        <f t="shared" ref="T67:T70" si="428">IF(ISERROR(S67/K67),"NA",IF(OR(S67/K67&gt;2,S67/K67&lt;0.5),"NM",S67/K67*100-100))</f>
        <v>NA</v>
      </c>
      <c r="U67" s="84">
        <f>+U52/U42*400</f>
        <v>0.73294987674609691</v>
      </c>
      <c r="V67" s="226" t="str">
        <f t="shared" ref="V67:V70" si="429">IF(ISERROR(U67/M67),"NA",IF(OR(U67/M67&gt;2,U67/M67&lt;0.5),"NM",U67/M67*100-100))</f>
        <v>NA</v>
      </c>
      <c r="W67" s="84">
        <f>+W52/W42*400</f>
        <v>0.73621560920830997</v>
      </c>
      <c r="X67" s="226">
        <f t="shared" si="178"/>
        <v>-2.8092678471589636</v>
      </c>
      <c r="Y67" s="84">
        <f>+Y52/Y42*400</f>
        <v>0.74857142857142855</v>
      </c>
      <c r="Z67" s="9">
        <f>IF(ISERROR(Y67/Q67),"NA",IF(OR(Y67/Q67&gt;2,Y67/Q67&lt;0.5),"NM",Y67/Q67*100-100))</f>
        <v>-0.59990450145419061</v>
      </c>
      <c r="AA67" s="84">
        <f>+AA52/AA42*400</f>
        <v>0.68239239798770257</v>
      </c>
      <c r="AB67" s="226">
        <f t="shared" ref="AB67:AB70" si="430">IF(ISERROR(AA67/S67),"NA",IF(OR(AA67/S67&gt;2,AA67/S67&lt;0.5),"NM",AA67/S67*100-100))</f>
        <v>-7.1745635090257593</v>
      </c>
      <c r="AC67" s="84">
        <f>+AC52/AC42*400</f>
        <v>0.69759299781181627</v>
      </c>
      <c r="AD67" s="226">
        <f t="shared" si="251"/>
        <v>-4.8239149846434373</v>
      </c>
      <c r="AE67" s="84">
        <f>+AE52/AE42*400</f>
        <v>0.69912397132997084</v>
      </c>
      <c r="AF67" s="226">
        <f t="shared" si="201"/>
        <v>-5.0381487996737349</v>
      </c>
      <c r="AG67" s="84">
        <f>+AG52/AG42*400</f>
        <v>0.67917098445595858</v>
      </c>
      <c r="AH67" s="226">
        <f t="shared" si="182"/>
        <v>-9.2710516948146875</v>
      </c>
      <c r="AI67" s="84">
        <f>+AI52/AI42*400</f>
        <v>0.66559356136820935</v>
      </c>
      <c r="AJ67" s="226">
        <f t="shared" ref="AJ67:AJ70" si="431">IF(ISERROR(AI67/AA67),"NA",IF(OR(AI67/AA67&gt;2,AI67/AA67&lt;0.5),"NM",AI67/AA67*100-100))</f>
        <v>-2.4617561199437574</v>
      </c>
      <c r="AK67" s="84">
        <f>+AK52/AK42*400</f>
        <v>0.65271804783764187</v>
      </c>
      <c r="AL67" s="226">
        <f t="shared" ref="AL67:AL70" si="432">IF(ISERROR(AK67/AC67),"NA",IF(OR(AK67/AC67&gt;2,AK67/AC67&lt;0.5),"NM",AK67/AC67*100-100))</f>
        <v>-6.4328268940394366</v>
      </c>
      <c r="AM67" s="84">
        <f>+AM52/AM42*400</f>
        <v>0.64879532163742681</v>
      </c>
      <c r="AN67" s="226">
        <f t="shared" ref="AN67:AN70" si="433">IF(ISERROR(AM67/AE67),"NA",IF(OR(AM67/AE67&gt;2,AM67/AE67&lt;0.5),"NM",AM67/AE67*100-100))</f>
        <v>-7.198816198048803</v>
      </c>
      <c r="AO67" s="84">
        <f>+AO52/AO42*400</f>
        <v>0.64848210240144999</v>
      </c>
      <c r="AP67" s="226">
        <f t="shared" ref="AP67:AP70" si="434">IF(ISERROR(AO67/AG67),"NA",IF(OR(AO67/AG67&gt;2,AO67/AG67&lt;0.5),"NM",AO67/AG67*100-100))</f>
        <v>-4.5185796738786621</v>
      </c>
      <c r="AQ67" s="566">
        <f t="shared" ref="AQ67" si="435">AO67</f>
        <v>0.64848210240144999</v>
      </c>
      <c r="AR67" s="226">
        <f t="shared" ref="AR67:AR70" si="436">IF(ISERROR(AQ67/AI67),"NA",IF(OR(AQ67/AI67&gt;2,AQ67/AI67&lt;0.5),"NM",AQ67/AI67*100-100))</f>
        <v>-2.5708570454895323</v>
      </c>
      <c r="AS67" s="566">
        <f t="shared" ref="AS67:AS68" si="437">AQ67</f>
        <v>0.64848210240144999</v>
      </c>
      <c r="AT67" s="226">
        <f t="shared" ref="AT67:AT70" si="438">IF(ISERROR(AS67/AK67),"NA",IF(OR(AS67/AK67&gt;2,AS67/AK67&lt;0.5),"NM",AS67/AK67*100-100))</f>
        <v>-0.64897017176481597</v>
      </c>
      <c r="AU67" s="566">
        <f t="shared" ref="AU67:AU68" si="439">AS67</f>
        <v>0.64848210240144999</v>
      </c>
      <c r="AV67" s="226">
        <f t="shared" ref="AV67:AV70" si="440">IF(ISERROR(AU67/AM67),"NA",IF(OR(AU67/AM67&gt;2,AU67/AM67&lt;0.5),"NM",AU67/AM67*100-100))</f>
        <v>-4.8277049098672364E-2</v>
      </c>
      <c r="AW67" s="566">
        <f t="shared" ref="AW67:AW68" si="441">AU67</f>
        <v>0.64848210240144999</v>
      </c>
      <c r="AX67" s="226">
        <f t="shared" ref="AX67:AX70" si="442">IF(ISERROR(AW67/AO67),"NA",IF(OR(AW67/AO67&gt;2,AW67/AO67&lt;0.5),"NM",AW67/AO67*100-100))</f>
        <v>0</v>
      </c>
      <c r="AY67" s="356"/>
      <c r="AZ67" s="618"/>
      <c r="BA67" s="620"/>
      <c r="BB67" s="60"/>
      <c r="BC67" s="226" t="str">
        <f>IF(ISERROR(BB67/#REF!),"NA",IF(OR(BB67/#REF!&gt;2,BB67/#REF!&lt;0.5),"NM",BB67/#REF!*100-100))</f>
        <v>NA</v>
      </c>
      <c r="BD67" s="914"/>
      <c r="BE67" s="226" t="str">
        <f t="shared" si="371"/>
        <v>NA</v>
      </c>
      <c r="BF67" s="60">
        <f>BF52/BF42*100</f>
        <v>0.73813452663963075</v>
      </c>
      <c r="BG67" s="226" t="str">
        <f t="shared" si="371"/>
        <v>NA</v>
      </c>
      <c r="BH67" s="60">
        <f>BH52/BH42*100</f>
        <v>0.68953637036538595</v>
      </c>
      <c r="BI67" s="226">
        <f t="shared" si="371"/>
        <v>-6.5839158744529556</v>
      </c>
      <c r="BJ67" s="60">
        <f>BJ52/BJ42*100</f>
        <v>0.65365389193049273</v>
      </c>
      <c r="BK67" s="226">
        <f t="shared" si="371"/>
        <v>-5.2038558047168806</v>
      </c>
      <c r="BL67" s="60">
        <f>BL52/BL42*100</f>
        <v>0.64848210240144977</v>
      </c>
      <c r="BM67" s="226">
        <f t="shared" si="371"/>
        <v>-0.79121222911541622</v>
      </c>
      <c r="BN67" s="566">
        <f>BL67</f>
        <v>0.64848210240144977</v>
      </c>
      <c r="BO67" s="226">
        <f t="shared" si="371"/>
        <v>0</v>
      </c>
      <c r="BP67" s="566">
        <f>BN67</f>
        <v>0.64848210240144977</v>
      </c>
      <c r="BQ67" s="226">
        <f t="shared" si="371"/>
        <v>0</v>
      </c>
      <c r="BR67" s="566">
        <f>BP67</f>
        <v>0.64848210240144977</v>
      </c>
      <c r="BS67" s="226">
        <f t="shared" si="371"/>
        <v>0</v>
      </c>
      <c r="BT67" s="566">
        <f>BR67</f>
        <v>0.64848210240144977</v>
      </c>
      <c r="BU67" s="226">
        <f t="shared" ref="BU67:BU70" si="443">IF(ISERROR(BT67/BR67),"NA",IF(OR(BT67/BR67&gt;2,BT67/BR67&lt;0.5),"NM",BT67/BR67*100-100))</f>
        <v>0</v>
      </c>
      <c r="BV67" s="43">
        <f>IF(ISERROR(((BT67/BJ67)^0.2-1)*100),"NA",IF((((BT67/BJ67)^0.2-1)*100)&gt;100,"NM",IF((((BT67/BJ67)^0.2-1)*100)&lt;-50,"NM",((BT67/BJ67)^0.2-1)*100)))</f>
        <v>-0.15874565000199015</v>
      </c>
      <c r="BW67" s="621"/>
      <c r="BX67" s="621"/>
      <c r="BY67"/>
      <c r="BZ67"/>
      <c r="CA67"/>
      <c r="CB67"/>
      <c r="CC67"/>
      <c r="CD67"/>
    </row>
    <row r="68" spans="2:82" s="616" customFormat="1" ht="12.75" customHeight="1" x14ac:dyDescent="0.2">
      <c r="B68" s="62" t="s">
        <v>30</v>
      </c>
      <c r="C68" s="697"/>
      <c r="D68" s="697"/>
      <c r="E68" s="697"/>
      <c r="F68" s="697"/>
      <c r="G68" s="697"/>
      <c r="H68" s="697"/>
      <c r="I68" s="697"/>
      <c r="J68" s="697"/>
      <c r="K68" s="697"/>
      <c r="L68" s="697"/>
      <c r="M68" s="697"/>
      <c r="N68" s="620"/>
      <c r="O68" s="697">
        <f>+O53/O42*400</f>
        <v>0.27202757036186104</v>
      </c>
      <c r="P68" s="9" t="str">
        <f t="shared" si="173"/>
        <v>NA</v>
      </c>
      <c r="Q68" s="697">
        <f>+Q53/Q42*400</f>
        <v>0.27437070938215108</v>
      </c>
      <c r="R68" s="226" t="str">
        <f t="shared" si="427"/>
        <v>NA</v>
      </c>
      <c r="S68" s="697">
        <f>+S53/S42*400</f>
        <v>0.2405126776260797</v>
      </c>
      <c r="T68" s="226" t="str">
        <f t="shared" si="428"/>
        <v>NA</v>
      </c>
      <c r="U68" s="697">
        <f>+U53/U42*400</f>
        <v>0.26250342371952889</v>
      </c>
      <c r="V68" s="226" t="str">
        <f t="shared" si="429"/>
        <v>NA</v>
      </c>
      <c r="W68" s="697">
        <f>+W53/W42*400</f>
        <v>0.25626052779337449</v>
      </c>
      <c r="X68" s="226">
        <f t="shared" si="178"/>
        <v>-5.7961193225792016</v>
      </c>
      <c r="Y68" s="697">
        <f>+Y53/Y42*400</f>
        <v>0.25737142857142853</v>
      </c>
      <c r="Z68" s="9">
        <f>IF(ISERROR(Y68/Q68),"NA",IF(OR(Y68/Q68&gt;2,Y68/Q68&lt;0.5),"NM",Y68/Q68*100-100))</f>
        <v>-6.1957345406887043</v>
      </c>
      <c r="AA68" s="697">
        <f>+AA53/AA42*400</f>
        <v>0.24169927333705979</v>
      </c>
      <c r="AB68" s="226">
        <f t="shared" si="430"/>
        <v>0.49336098316817356</v>
      </c>
      <c r="AC68" s="697">
        <f>+AC53/AC42*400</f>
        <v>0.24070021881838077</v>
      </c>
      <c r="AD68" s="226">
        <f t="shared" si="251"/>
        <v>-8.3058744881147533</v>
      </c>
      <c r="AE68" s="697">
        <f>+AE53/AE42*400</f>
        <v>0.26185293336872839</v>
      </c>
      <c r="AF68" s="226">
        <f t="shared" si="201"/>
        <v>2.1823125174638989</v>
      </c>
      <c r="AG68" s="697">
        <f>+AG53/AG42*400</f>
        <v>0.2505699481865285</v>
      </c>
      <c r="AH68" s="226">
        <f t="shared" si="182"/>
        <v>-2.6426711086978401</v>
      </c>
      <c r="AI68" s="697">
        <f>+AI53/AI42*400</f>
        <v>0.24064386317907441</v>
      </c>
      <c r="AJ68" s="226">
        <f t="shared" si="431"/>
        <v>-0.43666252836166564</v>
      </c>
      <c r="AK68" s="697">
        <f>+AK53/AK42*400</f>
        <v>0.21995651123459772</v>
      </c>
      <c r="AL68" s="226">
        <f t="shared" si="432"/>
        <v>-8.6180676052625955</v>
      </c>
      <c r="AM68" s="697">
        <f>+AM53/AM42*400</f>
        <v>0.20322807017543859</v>
      </c>
      <c r="AN68" s="226">
        <f t="shared" si="433"/>
        <v>-22.388469145288198</v>
      </c>
      <c r="AO68" s="697">
        <f>+AO53/AO42*400</f>
        <v>0.19211599456275485</v>
      </c>
      <c r="AP68" s="226">
        <f t="shared" si="434"/>
        <v>-23.328397538023808</v>
      </c>
      <c r="AQ68" s="698">
        <v>0.2</v>
      </c>
      <c r="AR68" s="226">
        <f t="shared" si="436"/>
        <v>-16.889632107023388</v>
      </c>
      <c r="AS68" s="698">
        <f t="shared" si="437"/>
        <v>0.2</v>
      </c>
      <c r="AT68" s="226">
        <f t="shared" si="438"/>
        <v>-9.0729349736379561</v>
      </c>
      <c r="AU68" s="698">
        <f t="shared" si="439"/>
        <v>0.2</v>
      </c>
      <c r="AV68" s="226">
        <f t="shared" si="440"/>
        <v>-1.5883977900552395</v>
      </c>
      <c r="AW68" s="698">
        <f t="shared" si="441"/>
        <v>0.2</v>
      </c>
      <c r="AX68" s="226">
        <f t="shared" si="442"/>
        <v>4.1037735849056816</v>
      </c>
      <c r="AY68" s="356"/>
      <c r="AZ68" s="618"/>
      <c r="BA68" s="620"/>
      <c r="BB68" s="60"/>
      <c r="BC68" s="226" t="str">
        <f>IF(ISERROR(BB68/#REF!),"NA",IF(OR(BB68/#REF!&gt;2,BB68/#REF!&lt;0.5),"NM",BB68/#REF!*100-100))</f>
        <v>NA</v>
      </c>
      <c r="BD68" s="914"/>
      <c r="BE68" s="226" t="str">
        <f t="shared" si="371"/>
        <v>NA</v>
      </c>
      <c r="BF68" s="60">
        <f>BF53/BF42*100</f>
        <v>0.25417424136484407</v>
      </c>
      <c r="BG68" s="226" t="str">
        <f t="shared" si="371"/>
        <v>NA</v>
      </c>
      <c r="BH68" s="60">
        <f t="shared" ref="BH68" si="444">BH53/BH42*100</f>
        <v>0.24886615974698875</v>
      </c>
      <c r="BI68" s="226">
        <f t="shared" si="371"/>
        <v>-2.0883633169720213</v>
      </c>
      <c r="BJ68" s="60">
        <f t="shared" ref="BJ68" si="445">BJ53/BJ42*100</f>
        <v>0.21328255177338729</v>
      </c>
      <c r="BK68" s="226">
        <f t="shared" si="371"/>
        <v>-14.298291101440924</v>
      </c>
      <c r="BL68" s="60">
        <f t="shared" ref="BL68" si="446">BL53/BL42*100</f>
        <v>0.19999999999999996</v>
      </c>
      <c r="BM68" s="226">
        <f t="shared" si="371"/>
        <v>-6.2276785714285836</v>
      </c>
      <c r="BN68" s="566">
        <f>BL68-0.01</f>
        <v>0.18999999999999995</v>
      </c>
      <c r="BO68" s="226">
        <f t="shared" si="371"/>
        <v>-5</v>
      </c>
      <c r="BP68" s="566">
        <f>BN68-0.01</f>
        <v>0.17999999999999994</v>
      </c>
      <c r="BQ68" s="226">
        <f t="shared" si="371"/>
        <v>-5.2631578947368496</v>
      </c>
      <c r="BR68" s="566">
        <f>BP68-0.01</f>
        <v>0.16999999999999993</v>
      </c>
      <c r="BS68" s="226">
        <f t="shared" si="371"/>
        <v>-5.5555555555555571</v>
      </c>
      <c r="BT68" s="566">
        <f>BR68-0.01</f>
        <v>0.15999999999999992</v>
      </c>
      <c r="BU68" s="226">
        <f t="shared" si="443"/>
        <v>-5.8823529411764781</v>
      </c>
      <c r="BV68" s="43">
        <f>IF(ISERROR(((BT68/BJ68)^0.2-1)*100),"NA",IF((((BT68/BJ68)^0.2-1)*100)&gt;100,"NM",IF((((BT68/BJ68)^0.2-1)*100)&lt;-50,"NM",((BT68/BJ68)^0.2-1)*100)))</f>
        <v>-5.5867536437905656</v>
      </c>
      <c r="BW68" s="621"/>
      <c r="BX68" s="621"/>
      <c r="BY68"/>
      <c r="BZ68"/>
      <c r="CA68"/>
      <c r="CB68"/>
      <c r="CC68"/>
      <c r="CD68"/>
    </row>
    <row r="69" spans="2:82" s="616" customFormat="1" ht="12.75" customHeight="1" x14ac:dyDescent="0.2">
      <c r="B69" s="62" t="s">
        <v>433</v>
      </c>
      <c r="C69" s="697"/>
      <c r="D69" s="697"/>
      <c r="E69" s="697"/>
      <c r="F69" s="697"/>
      <c r="G69" s="697"/>
      <c r="H69" s="697"/>
      <c r="I69" s="697"/>
      <c r="J69" s="697"/>
      <c r="K69" s="697"/>
      <c r="L69" s="697"/>
      <c r="M69" s="697"/>
      <c r="N69" s="620"/>
      <c r="O69" s="697">
        <f>+O57/O42*400</f>
        <v>0.11993107409534749</v>
      </c>
      <c r="P69" s="9" t="str">
        <f t="shared" si="173"/>
        <v>NA</v>
      </c>
      <c r="Q69" s="697">
        <f>+Q57/Q42*400</f>
        <v>0.11899313501144164</v>
      </c>
      <c r="R69" s="226" t="str">
        <f t="shared" si="427"/>
        <v>NA</v>
      </c>
      <c r="S69" s="697">
        <f>+S57/S42*400</f>
        <v>0.10521036500417945</v>
      </c>
      <c r="T69" s="226" t="str">
        <f t="shared" si="428"/>
        <v>NA</v>
      </c>
      <c r="U69" s="697">
        <f>+U57/U42*400</f>
        <v>0.11481785812106272</v>
      </c>
      <c r="V69" s="226" t="str">
        <f t="shared" si="429"/>
        <v>NA</v>
      </c>
      <c r="W69" s="697">
        <f>+W57/W42*400</f>
        <v>0.11319483436271757</v>
      </c>
      <c r="X69" s="226">
        <f t="shared" si="178"/>
        <v>-5.6167592789792593</v>
      </c>
      <c r="Y69" s="697">
        <f>+Y57/Y42*400</f>
        <v>0.11542857142857142</v>
      </c>
      <c r="Z69" s="9">
        <f>IF(ISERROR(Y69/Q69),"NA",IF(OR(Y69/Q69&gt;2,Y69/Q69&lt;0.5),"NM",Y69/Q69*100-100))</f>
        <v>-2.9956043956043885</v>
      </c>
      <c r="AA69" s="697">
        <f>+AA57/AA42*400</f>
        <v>0.11089994410285076</v>
      </c>
      <c r="AB69" s="226">
        <f t="shared" si="430"/>
        <v>5.4078123371640032</v>
      </c>
      <c r="AC69" s="697">
        <f>+AC57/AC42*400</f>
        <v>0.10350109409190374</v>
      </c>
      <c r="AD69" s="226">
        <f t="shared" si="251"/>
        <v>-9.8562751599378373</v>
      </c>
      <c r="AE69" s="697">
        <f>+AE57/AE42*400</f>
        <v>0.18624900451287493</v>
      </c>
      <c r="AF69" s="226">
        <f t="shared" si="201"/>
        <v>64.538431070153877</v>
      </c>
      <c r="AG69" s="697">
        <f>+AG57/AG42*400</f>
        <v>9.8445595854922283E-2</v>
      </c>
      <c r="AH69" s="226">
        <f t="shared" si="182"/>
        <v>-14.712973888062379</v>
      </c>
      <c r="AI69" s="697">
        <f>+AI57/AI42*400</f>
        <v>9.4366197183098591E-2</v>
      </c>
      <c r="AJ69" s="226">
        <f t="shared" si="431"/>
        <v>-14.908706269877328</v>
      </c>
      <c r="AK69" s="697">
        <f>+AK57/AK42*400</f>
        <v>8.7750664411693644E-2</v>
      </c>
      <c r="AL69" s="226">
        <f t="shared" si="432"/>
        <v>-15.217645589547587</v>
      </c>
      <c r="AM69" s="697">
        <f>+AM57/AM42*400</f>
        <v>0.15569590643274855</v>
      </c>
      <c r="AN69" s="226">
        <f t="shared" si="433"/>
        <v>-16.404435642507991</v>
      </c>
      <c r="AO69" s="697">
        <f>+AO57/AO42*400</f>
        <v>9.2795650203896698E-2</v>
      </c>
      <c r="AP69" s="226">
        <f t="shared" si="434"/>
        <v>-5.7391553191996678</v>
      </c>
      <c r="AQ69" s="697">
        <f t="shared" ref="AQ69:AW69" si="447">AQ68-AQ70</f>
        <v>9.067965564114186E-2</v>
      </c>
      <c r="AR69" s="226">
        <f t="shared" si="436"/>
        <v>-3.9066335743123517</v>
      </c>
      <c r="AS69" s="697">
        <f t="shared" si="447"/>
        <v>9.067965564114186E-2</v>
      </c>
      <c r="AT69" s="226">
        <f t="shared" si="438"/>
        <v>3.3378564699025901</v>
      </c>
      <c r="AU69" s="697">
        <f t="shared" si="447"/>
        <v>9.067965564114186E-2</v>
      </c>
      <c r="AV69" s="226">
        <f t="shared" si="440"/>
        <v>-41.758484395150028</v>
      </c>
      <c r="AW69" s="697">
        <f t="shared" si="447"/>
        <v>7.567965564114186E-2</v>
      </c>
      <c r="AX69" s="226">
        <f t="shared" si="442"/>
        <v>-18.444824218749972</v>
      </c>
      <c r="AY69" s="356"/>
      <c r="AZ69" s="618"/>
      <c r="BA69" s="620"/>
      <c r="BB69" s="60"/>
      <c r="BC69" s="226" t="str">
        <f>IF(ISERROR(BB69/#REF!),"NA",IF(OR(BB69/#REF!&gt;2,BB69/#REF!&lt;0.5),"NM",BB69/#REF!*100-100))</f>
        <v>NA</v>
      </c>
      <c r="BD69" s="914"/>
      <c r="BE69" s="226" t="str">
        <f t="shared" si="371"/>
        <v>NA</v>
      </c>
      <c r="BF69" s="60">
        <f>BF57/BF42*100</f>
        <v>0.11215214655292967</v>
      </c>
      <c r="BG69" s="226" t="str">
        <f t="shared" si="371"/>
        <v>NA</v>
      </c>
      <c r="BH69" s="60">
        <f t="shared" ref="BH69" si="448">BH57/BH42*100</f>
        <v>0.12494448556624722</v>
      </c>
      <c r="BI69" s="226">
        <f t="shared" si="371"/>
        <v>11.406236444418184</v>
      </c>
      <c r="BJ69" s="60">
        <f t="shared" ref="BJ69" si="449">BJ57/BJ42*100</f>
        <v>0.10792668412282788</v>
      </c>
      <c r="BK69" s="226">
        <f t="shared" si="371"/>
        <v>-13.620290136291189</v>
      </c>
      <c r="BL69" s="60">
        <f t="shared" ref="BL69" si="450">BL57/BL42*100</f>
        <v>8.6886655652033101E-2</v>
      </c>
      <c r="BM69" s="226">
        <f t="shared" si="371"/>
        <v>-19.494741862772131</v>
      </c>
      <c r="BN69" s="60">
        <f t="shared" ref="BN69" si="451">BN68-BN70</f>
        <v>7.5886655652033091E-2</v>
      </c>
      <c r="BO69" s="226">
        <f t="shared" si="371"/>
        <v>-12.660171941768851</v>
      </c>
      <c r="BP69" s="60">
        <f t="shared" ref="BP69:BR69" si="452">BP68-BP70</f>
        <v>6.5886655652033083E-2</v>
      </c>
      <c r="BQ69" s="226">
        <f t="shared" si="371"/>
        <v>-13.177547375197975</v>
      </c>
      <c r="BR69" s="60">
        <f t="shared" si="452"/>
        <v>5.5886655652033074E-2</v>
      </c>
      <c r="BS69" s="226">
        <f t="shared" si="371"/>
        <v>-15.177580195924605</v>
      </c>
      <c r="BT69" s="60">
        <f t="shared" ref="BT69" si="453">BT68-BT70</f>
        <v>4.5886655652033065E-2</v>
      </c>
      <c r="BU69" s="226">
        <f t="shared" si="443"/>
        <v>-17.893359127200199</v>
      </c>
      <c r="BV69" s="43">
        <f>IF(ISERROR(((BT69/BJ69)^0.2-1)*100),"NA",IF((((BT69/BJ69)^0.2-1)*100)&gt;100,"NM",IF((((BT69/BJ69)^0.2-1)*100)&lt;-50,"NM",((BT69/BJ69)^0.2-1)*100)))</f>
        <v>-15.722525199369164</v>
      </c>
      <c r="BW69" s="621"/>
      <c r="BX69" s="621"/>
      <c r="BY69"/>
      <c r="BZ69"/>
      <c r="CA69"/>
      <c r="CB69"/>
      <c r="CC69"/>
      <c r="CD69"/>
    </row>
    <row r="70" spans="2:82" s="616" customFormat="1" ht="12.75" customHeight="1" x14ac:dyDescent="0.2">
      <c r="B70" s="62" t="s">
        <v>424</v>
      </c>
      <c r="C70" s="697"/>
      <c r="D70" s="697"/>
      <c r="E70" s="697"/>
      <c r="F70" s="697"/>
      <c r="G70" s="697"/>
      <c r="H70" s="697"/>
      <c r="I70" s="697"/>
      <c r="J70" s="697"/>
      <c r="K70" s="697"/>
      <c r="L70" s="697"/>
      <c r="M70" s="697"/>
      <c r="N70" s="620"/>
      <c r="O70" s="697">
        <f>O68-O69</f>
        <v>0.15209649626651356</v>
      </c>
      <c r="P70" s="9" t="str">
        <f t="shared" si="173"/>
        <v>NA</v>
      </c>
      <c r="Q70" s="697">
        <f>Q68-Q69</f>
        <v>0.15537757437070943</v>
      </c>
      <c r="R70" s="226" t="str">
        <f t="shared" si="427"/>
        <v>NA</v>
      </c>
      <c r="S70" s="697">
        <f>S68-S69</f>
        <v>0.13530231262190023</v>
      </c>
      <c r="T70" s="226" t="str">
        <f t="shared" si="428"/>
        <v>NA</v>
      </c>
      <c r="U70" s="697">
        <f>U68-U69</f>
        <v>0.14768556559846618</v>
      </c>
      <c r="V70" s="226" t="str">
        <f t="shared" si="429"/>
        <v>NA</v>
      </c>
      <c r="W70" s="697">
        <f t="shared" ref="W70:Y70" si="454">W68-W69</f>
        <v>0.14306569343065692</v>
      </c>
      <c r="X70" s="226">
        <f t="shared" si="178"/>
        <v>-5.9375482391338323</v>
      </c>
      <c r="Y70" s="697">
        <f t="shared" si="454"/>
        <v>0.14194285714285709</v>
      </c>
      <c r="Z70" s="9">
        <f>IF(ISERROR(Y70/Q70),"NA",IF(OR(Y70/Q70&gt;2,Y70/Q70&lt;0.5),"NM",Y70/Q70*100-100))</f>
        <v>-8.6464969492952406</v>
      </c>
      <c r="AA70" s="697">
        <f t="shared" ref="AA70:AC70" si="455">AA68-AA69</f>
        <v>0.13079932923420903</v>
      </c>
      <c r="AB70" s="226">
        <f t="shared" si="430"/>
        <v>-3.328090481553474</v>
      </c>
      <c r="AC70" s="697">
        <f t="shared" si="455"/>
        <v>0.13719912472647705</v>
      </c>
      <c r="AD70" s="226">
        <f t="shared" si="251"/>
        <v>-7.1005184761929456</v>
      </c>
      <c r="AE70" s="697">
        <f t="shared" ref="AE70:AG70" si="456">AE68-AE69</f>
        <v>7.5603928855853458E-2</v>
      </c>
      <c r="AF70" s="226">
        <f t="shared" si="201"/>
        <v>-47.154396667082018</v>
      </c>
      <c r="AG70" s="697">
        <f t="shared" si="456"/>
        <v>0.15212435233160621</v>
      </c>
      <c r="AH70" s="226">
        <f t="shared" si="182"/>
        <v>7.1729535347467674</v>
      </c>
      <c r="AI70" s="697">
        <f t="shared" ref="AI70:AK70" si="457">AI68-AI69</f>
        <v>0.1462776659959758</v>
      </c>
      <c r="AJ70" s="226">
        <f t="shared" si="431"/>
        <v>11.833651481538794</v>
      </c>
      <c r="AK70" s="697">
        <f t="shared" si="457"/>
        <v>0.13220584682290409</v>
      </c>
      <c r="AL70" s="226">
        <f t="shared" si="432"/>
        <v>-3.6394385995739071</v>
      </c>
      <c r="AM70" s="697">
        <f t="shared" ref="AM70:AO70" si="458">AM68-AM69</f>
        <v>4.7532163742690037E-2</v>
      </c>
      <c r="AN70" s="226">
        <f t="shared" si="433"/>
        <v>-37.130034824889968</v>
      </c>
      <c r="AO70" s="697">
        <f t="shared" si="458"/>
        <v>9.9320344358858156E-2</v>
      </c>
      <c r="AP70" s="226">
        <f t="shared" si="434"/>
        <v>-34.71108153521925</v>
      </c>
      <c r="AQ70" s="698">
        <f>AO70+0.01</f>
        <v>0.10932034435885815</v>
      </c>
      <c r="AR70" s="226">
        <f t="shared" si="436"/>
        <v>-25.265184117809454</v>
      </c>
      <c r="AS70" s="698">
        <f t="shared" ref="AS70" si="459">AQ70</f>
        <v>0.10932034435885815</v>
      </c>
      <c r="AT70" s="226">
        <f t="shared" si="438"/>
        <v>-17.310507072128317</v>
      </c>
      <c r="AU70" s="698">
        <f t="shared" ref="AU70" si="460">AS70</f>
        <v>0.10932034435885815</v>
      </c>
      <c r="AV70" s="226" t="str">
        <f t="shared" si="440"/>
        <v>NM</v>
      </c>
      <c r="AW70" s="698">
        <f>AU70+0.015</f>
        <v>0.12432034435885815</v>
      </c>
      <c r="AX70" s="226">
        <f t="shared" si="442"/>
        <v>25.171076642335777</v>
      </c>
      <c r="AY70" s="356"/>
      <c r="AZ70" s="618"/>
      <c r="BA70" s="620"/>
      <c r="BB70" s="60"/>
      <c r="BC70" s="226" t="str">
        <f>IF(ISERROR(BB70/#REF!),"NA",IF(OR(BB70/#REF!&gt;2,BB70/#REF!&lt;0.5),"NM",BB70/#REF!*100-100))</f>
        <v>NA</v>
      </c>
      <c r="BD70" s="914"/>
      <c r="BE70" s="226" t="str">
        <f t="shared" si="371"/>
        <v>NA</v>
      </c>
      <c r="BF70" s="60">
        <f>BF68-BF69</f>
        <v>0.14202209481191441</v>
      </c>
      <c r="BG70" s="226" t="str">
        <f t="shared" si="371"/>
        <v>NA</v>
      </c>
      <c r="BH70" s="60">
        <f t="shared" ref="BH70" si="461">BH68-BH69</f>
        <v>0.12392167418074153</v>
      </c>
      <c r="BI70" s="226">
        <f t="shared" si="371"/>
        <v>-12.744792037565702</v>
      </c>
      <c r="BJ70" s="60">
        <f t="shared" ref="BJ70" si="462">BJ68-BJ69</f>
        <v>0.1053558676505594</v>
      </c>
      <c r="BK70" s="226">
        <f t="shared" si="371"/>
        <v>-14.981888078031957</v>
      </c>
      <c r="BL70" s="60">
        <f t="shared" ref="BL70" si="463">BL68-BL69</f>
        <v>0.11311334434796685</v>
      </c>
      <c r="BM70" s="226">
        <f t="shared" si="371"/>
        <v>7.363117850386061</v>
      </c>
      <c r="BN70" s="566">
        <f>BL70+0.001</f>
        <v>0.11411334434796686</v>
      </c>
      <c r="BO70" s="226">
        <f t="shared" si="371"/>
        <v>0.88406898917578758</v>
      </c>
      <c r="BP70" s="566">
        <f>BN70</f>
        <v>0.11411334434796686</v>
      </c>
      <c r="BQ70" s="226">
        <f t="shared" si="371"/>
        <v>0</v>
      </c>
      <c r="BR70" s="566">
        <f>BP70</f>
        <v>0.11411334434796686</v>
      </c>
      <c r="BS70" s="226">
        <f t="shared" si="371"/>
        <v>0</v>
      </c>
      <c r="BT70" s="566">
        <f>BR70</f>
        <v>0.11411334434796686</v>
      </c>
      <c r="BU70" s="226">
        <f t="shared" si="443"/>
        <v>0</v>
      </c>
      <c r="BV70" s="43">
        <f>IF(ISERROR(((BT70/BJ70)^0.2-1)*100),"NA",IF((((BT70/BJ70)^0.2-1)*100)&gt;100,"NM",IF((((BT70/BJ70)^0.2-1)*100)&lt;-50,"NM",((BT70/BJ70)^0.2-1)*100)))</f>
        <v>1.6097870286066129</v>
      </c>
      <c r="BW70" s="621"/>
      <c r="BX70" s="621"/>
      <c r="BY70"/>
      <c r="BZ70"/>
      <c r="CA70"/>
      <c r="CB70"/>
      <c r="CC70"/>
      <c r="CD70"/>
    </row>
    <row r="71" spans="2:82" s="616" customFormat="1" ht="12.75" customHeight="1" x14ac:dyDescent="0.2">
      <c r="B71" s="62"/>
      <c r="C71" s="15"/>
      <c r="D71" s="623"/>
      <c r="E71" s="15"/>
      <c r="F71" s="623"/>
      <c r="G71" s="15"/>
      <c r="H71" s="623"/>
      <c r="I71" s="15"/>
      <c r="J71" s="623"/>
      <c r="K71" s="15"/>
      <c r="L71" s="623"/>
      <c r="M71" s="15"/>
      <c r="N71" s="620"/>
      <c r="O71" s="697"/>
      <c r="P71" s="9"/>
      <c r="Q71" s="697"/>
      <c r="R71" s="226"/>
      <c r="S71" s="697"/>
      <c r="T71" s="226"/>
      <c r="U71" s="697"/>
      <c r="V71" s="226"/>
      <c r="W71" s="697"/>
      <c r="X71" s="226"/>
      <c r="Y71" s="697"/>
      <c r="Z71" s="9"/>
      <c r="AA71" s="697"/>
      <c r="AB71" s="226"/>
      <c r="AC71" s="697"/>
      <c r="AD71" s="226"/>
      <c r="AE71" s="697"/>
      <c r="AF71" s="226"/>
      <c r="AG71" s="697"/>
      <c r="AH71" s="620"/>
      <c r="AI71" s="697"/>
      <c r="AJ71" s="620"/>
      <c r="AK71" s="697"/>
      <c r="AL71" s="620"/>
      <c r="AM71" s="697"/>
      <c r="AN71" s="620"/>
      <c r="AO71" s="697"/>
      <c r="AP71" s="620"/>
      <c r="AQ71" s="697"/>
      <c r="AR71" s="620"/>
      <c r="AS71" s="697"/>
      <c r="AT71" s="620"/>
      <c r="AU71" s="697"/>
      <c r="AV71" s="620"/>
      <c r="AW71" s="697"/>
      <c r="AX71" s="620"/>
      <c r="AY71" s="356"/>
      <c r="AZ71" s="618"/>
      <c r="BA71" s="620"/>
      <c r="BB71" s="55"/>
      <c r="BC71" s="55"/>
      <c r="BD71" s="908"/>
      <c r="BE71" s="55"/>
      <c r="BF71" s="55"/>
      <c r="BG71" s="626"/>
      <c r="BH71" s="55"/>
      <c r="BI71" s="626"/>
      <c r="BJ71" s="55"/>
      <c r="BK71" s="626"/>
      <c r="BL71" s="55"/>
      <c r="BM71" s="626"/>
      <c r="BN71" s="55"/>
      <c r="BO71" s="626"/>
      <c r="BP71" s="55"/>
      <c r="BQ71" s="623"/>
      <c r="BR71" s="55"/>
      <c r="BS71" s="623"/>
      <c r="BT71" s="55"/>
      <c r="BU71" s="623"/>
      <c r="BV71" s="43"/>
      <c r="BW71" s="621"/>
      <c r="BX71" s="621"/>
      <c r="BY71"/>
      <c r="BZ71"/>
      <c r="CA71"/>
      <c r="CB71"/>
      <c r="CC71"/>
      <c r="CD71"/>
    </row>
    <row r="72" spans="2:82" s="616" customFormat="1" ht="12.75" customHeight="1" x14ac:dyDescent="0.2">
      <c r="B72" s="62" t="s">
        <v>384</v>
      </c>
      <c r="C72" s="697"/>
      <c r="D72" s="697"/>
      <c r="E72" s="697"/>
      <c r="F72" s="697"/>
      <c r="G72" s="697"/>
      <c r="H72" s="697"/>
      <c r="I72" s="697"/>
      <c r="J72" s="697"/>
      <c r="K72" s="697"/>
      <c r="L72" s="697"/>
      <c r="M72" s="697"/>
      <c r="N72" s="620"/>
      <c r="O72" s="697">
        <f>+O58/O$42*400</f>
        <v>0.12062033314187248</v>
      </c>
      <c r="P72" s="9" t="str">
        <f t="shared" si="173"/>
        <v>NA</v>
      </c>
      <c r="Q72" s="697">
        <f t="shared" ref="Q72:W74" si="464">+Q58/Q$42*400</f>
        <v>0.12311212814645309</v>
      </c>
      <c r="R72" s="226" t="str">
        <f t="shared" ref="R72:R75" si="465">IF(ISERROR(Q72/I72),"NA",IF(OR(Q72/I72&gt;2,Q72/I72&lt;0.5),"NM",Q72/I72*100-100))</f>
        <v>NA</v>
      </c>
      <c r="S72" s="697">
        <f t="shared" si="464"/>
        <v>0.12504876010030649</v>
      </c>
      <c r="T72" s="226" t="str">
        <f t="shared" ref="T72:T75" si="466">IF(ISERROR(S72/K72),"NA",IF(OR(S72/K72&gt;2,S72/K72&lt;0.5),"NM",S72/K72*100-100))</f>
        <v>NA</v>
      </c>
      <c r="U72" s="697">
        <f t="shared" si="464"/>
        <v>0.12292522596548891</v>
      </c>
      <c r="V72" s="226" t="str">
        <f t="shared" ref="V72:V75" si="467">IF(ISERROR(U72/M72),"NA",IF(OR(U72/M72&gt;2,U72/M72&lt;0.5),"NM",U72/M72*100-100))</f>
        <v>NA</v>
      </c>
      <c r="W72" s="697">
        <f t="shared" si="464"/>
        <v>0.11746209994385176</v>
      </c>
      <c r="X72" s="226">
        <f t="shared" si="178"/>
        <v>-2.6183257132162225</v>
      </c>
      <c r="Y72" s="697">
        <f t="shared" ref="Y72:AA74" si="468">+Y58/Y$42*400</f>
        <v>0.11611428571428571</v>
      </c>
      <c r="Z72" s="9">
        <f>IF(ISERROR(Y72/Q72),"NA",IF(OR(Y72/Q72&gt;2,Y72/Q72&lt;0.5),"NM",Y72/Q72*100-100))</f>
        <v>-5.6841210833775904</v>
      </c>
      <c r="AA72" s="697">
        <f t="shared" si="468"/>
        <v>0.11604248183342648</v>
      </c>
      <c r="AB72" s="226">
        <f t="shared" ref="AB72:AB76" si="469">IF(ISERROR(AA72/S72),"NA",IF(OR(AA72/S72&gt;2,AA72/S72&lt;0.5),"NM",AA72/S72*100-100))</f>
        <v>-7.2022131684118449</v>
      </c>
      <c r="AC72" s="697">
        <f t="shared" ref="AC72:AE74" si="470">+AC58/AC$42*400</f>
        <v>0.11181619256017505</v>
      </c>
      <c r="AD72" s="226">
        <f t="shared" si="251"/>
        <v>-9.0372283785206946</v>
      </c>
      <c r="AE72" s="697">
        <f t="shared" si="470"/>
        <v>0.11170692859039023</v>
      </c>
      <c r="AF72" s="226">
        <f t="shared" si="201"/>
        <v>-4.8995985566515117</v>
      </c>
      <c r="AG72" s="697">
        <f t="shared" ref="AG72:AI74" si="471">+AG58/AG$42*400</f>
        <v>0.11129533678756477</v>
      </c>
      <c r="AH72" s="226">
        <f t="shared" si="182"/>
        <v>-4.15017747133939</v>
      </c>
      <c r="AI72" s="697">
        <f t="shared" si="471"/>
        <v>0.1283702213279678</v>
      </c>
      <c r="AJ72" s="226">
        <f t="shared" ref="AJ72:AJ76" si="472">IF(ISERROR(AI72/AA72),"NA",IF(OR(AI72/AA72&gt;2,AI72/AA72&lt;0.5),"NM",AI72/AA72*100-100))</f>
        <v>10.623471076943375</v>
      </c>
      <c r="AK72" s="697">
        <f t="shared" ref="AK72:AM74" si="473">+AK58/AK$42*400</f>
        <v>0.10282676975114763</v>
      </c>
      <c r="AL72" s="226">
        <f t="shared" ref="AL72:AL76" si="474">IF(ISERROR(AK72/AC72),"NA",IF(OR(AK72/AC72&gt;2,AK72/AC72&lt;0.5),"NM",AK72/AC72*100-100))</f>
        <v>-8.0394642342965454</v>
      </c>
      <c r="AM72" s="697">
        <f t="shared" si="473"/>
        <v>0.10011695906432748</v>
      </c>
      <c r="AN72" s="226">
        <f t="shared" ref="AN72:AN76" si="475">IF(ISERROR(AM72/AE72),"NA",IF(OR(AM72/AE72&gt;2,AM72/AE72&lt;0.5),"NM",AM72/AE72*100-100))</f>
        <v>-10.375336312898852</v>
      </c>
      <c r="AO72" s="697">
        <f t="shared" ref="AO72" si="476">+AO58/AO$42*400</f>
        <v>9.7689170820117799E-2</v>
      </c>
      <c r="AP72" s="226">
        <f t="shared" ref="AP72:AP76" si="477">IF(ISERROR(AO72/AG72),"NA",IF(OR(AO72/AG72&gt;2,AO72/AG72&lt;0.5),"NM",AO72/AG72*100-100))</f>
        <v>-12.225279477268458</v>
      </c>
      <c r="AQ72" s="698">
        <f t="shared" ref="AQ72" si="478">AO72</f>
        <v>9.7689170820117799E-2</v>
      </c>
      <c r="AR72" s="226">
        <f t="shared" ref="AR72:AR76" si="479">IF(ISERROR(AQ72/AI72),"NA",IF(OR(AQ72/AI72&gt;2,AQ72/AI72&lt;0.5),"NM",AQ72/AI72*100-100))</f>
        <v>-23.900442166773445</v>
      </c>
      <c r="AS72" s="698">
        <f t="shared" ref="AS72" si="480">AQ72</f>
        <v>9.7689170820117799E-2</v>
      </c>
      <c r="AT72" s="226">
        <f t="shared" ref="AT72:AT76" si="481">IF(ISERROR(AS72/AK72),"NA",IF(OR(AS72/AK72&gt;2,AS72/AK72&lt;0.5),"NM",AS72/AK72*100-100))</f>
        <v>-4.9963632461307554</v>
      </c>
      <c r="AU72" s="698">
        <f t="shared" ref="AU72" si="482">AS72</f>
        <v>9.7689170820117799E-2</v>
      </c>
      <c r="AV72" s="226">
        <f t="shared" ref="AV72:AV76" si="483">IF(ISERROR(AU72/AM72),"NA",IF(OR(AU72/AM72&gt;2,AU72/AM72&lt;0.5),"NM",AU72/AM72*100-100))</f>
        <v>-2.4249520429898155</v>
      </c>
      <c r="AW72" s="698">
        <f t="shared" ref="AW72" si="484">AU72</f>
        <v>9.7689170820117799E-2</v>
      </c>
      <c r="AX72" s="226">
        <f t="shared" ref="AX72:AX76" si="485">IF(ISERROR(AW72/AO72),"NA",IF(OR(AW72/AO72&gt;2,AW72/AO72&lt;0.5),"NM",AW72/AO72*100-100))</f>
        <v>0</v>
      </c>
      <c r="AY72" s="356"/>
      <c r="AZ72" s="618"/>
      <c r="BA72" s="620"/>
      <c r="BB72" s="60"/>
      <c r="BC72" s="226" t="str">
        <f>IF(ISERROR(BB72/#REF!),"NA",IF(OR(BB72/#REF!&gt;2,BB72/#REF!&lt;0.5),"NM",BB72/#REF!*100-100))</f>
        <v>NA</v>
      </c>
      <c r="BD72" s="914"/>
      <c r="BE72" s="226" t="str">
        <f t="shared" si="371"/>
        <v>NA</v>
      </c>
      <c r="BF72" s="60">
        <f>BF58/BF42*100</f>
        <v>0.12043070899174942</v>
      </c>
      <c r="BG72" s="226" t="str">
        <f t="shared" si="371"/>
        <v>NA</v>
      </c>
      <c r="BH72" s="60">
        <f t="shared" ref="BH72" si="486">BH58/BH42*100</f>
        <v>0.11267074894017899</v>
      </c>
      <c r="BI72" s="226">
        <f t="shared" si="371"/>
        <v>-6.4435060762633611</v>
      </c>
      <c r="BJ72" s="60">
        <f t="shared" ref="BJ72" si="487">BJ58/BJ42*100</f>
        <v>0.10683170673649131</v>
      </c>
      <c r="BK72" s="226">
        <f t="shared" si="371"/>
        <v>-5.1823940628883491</v>
      </c>
      <c r="BL72" s="60">
        <f t="shared" ref="BL72" si="488">BL58/BL42*100</f>
        <v>9.7689170820117771E-2</v>
      </c>
      <c r="BM72" s="226">
        <f t="shared" si="371"/>
        <v>-8.5578862265341371</v>
      </c>
      <c r="BN72" s="566">
        <f>BL72</f>
        <v>9.7689170820117771E-2</v>
      </c>
      <c r="BO72" s="226">
        <f t="shared" si="371"/>
        <v>0</v>
      </c>
      <c r="BP72" s="566">
        <f t="shared" ref="BP72:BP73" si="489">BN72</f>
        <v>9.7689170820117771E-2</v>
      </c>
      <c r="BQ72" s="226">
        <f t="shared" si="371"/>
        <v>0</v>
      </c>
      <c r="BR72" s="566">
        <f t="shared" ref="BR72:BR73" si="490">BP72</f>
        <v>9.7689170820117771E-2</v>
      </c>
      <c r="BS72" s="226">
        <f t="shared" si="371"/>
        <v>0</v>
      </c>
      <c r="BT72" s="566">
        <f t="shared" ref="BT72:BT73" si="491">BR72</f>
        <v>9.7689170820117771E-2</v>
      </c>
      <c r="BU72" s="226">
        <f t="shared" ref="BU72:BU75" si="492">IF(ISERROR(BT72/BR72),"NA",IF(OR(BT72/BR72&gt;2,BT72/BR72&lt;0.5),"NM",BT72/BR72*100-100))</f>
        <v>0</v>
      </c>
      <c r="BV72" s="43">
        <f>IF(ISERROR(((BT72/BJ72)^0.2-1)*100),"NA",IF((((BT72/BJ72)^0.2-1)*100)&gt;100,"NM",IF((((BT72/BJ72)^0.2-1)*100)&lt;-50,"NM",((BT72/BJ72)^0.2-1)*100)))</f>
        <v>-1.77336842093474</v>
      </c>
      <c r="BW72" s="621"/>
      <c r="BX72" s="621"/>
      <c r="BY72"/>
      <c r="BZ72"/>
      <c r="CA72"/>
      <c r="CB72"/>
      <c r="CC72"/>
      <c r="CD72"/>
    </row>
    <row r="73" spans="2:82" s="616" customFormat="1" ht="12.75" customHeight="1" x14ac:dyDescent="0.2">
      <c r="B73" s="62" t="s">
        <v>385</v>
      </c>
      <c r="C73" s="697"/>
      <c r="D73" s="697"/>
      <c r="E73" s="697"/>
      <c r="F73" s="697"/>
      <c r="G73" s="697"/>
      <c r="H73" s="697"/>
      <c r="I73" s="697"/>
      <c r="J73" s="697"/>
      <c r="K73" s="697"/>
      <c r="L73" s="697"/>
      <c r="M73" s="697"/>
      <c r="N73" s="620"/>
      <c r="O73" s="697">
        <f>+O59/O$42*400</f>
        <v>-1.2176909821941407E-2</v>
      </c>
      <c r="P73" s="9" t="str">
        <f t="shared" si="173"/>
        <v>NA</v>
      </c>
      <c r="Q73" s="697">
        <f t="shared" si="464"/>
        <v>-2.0823798627002291E-2</v>
      </c>
      <c r="R73" s="226" t="str">
        <f t="shared" si="465"/>
        <v>NA</v>
      </c>
      <c r="S73" s="697">
        <f t="shared" si="464"/>
        <v>-3.6333240456951792E-2</v>
      </c>
      <c r="T73" s="226" t="str">
        <f t="shared" si="466"/>
        <v>NA</v>
      </c>
      <c r="U73" s="697">
        <f t="shared" si="464"/>
        <v>-2.0816214735688853E-2</v>
      </c>
      <c r="V73" s="226" t="str">
        <f t="shared" si="467"/>
        <v>NA</v>
      </c>
      <c r="W73" s="697">
        <f t="shared" si="464"/>
        <v>0.11005053340819763</v>
      </c>
      <c r="X73" s="226" t="str">
        <f t="shared" si="178"/>
        <v>NM</v>
      </c>
      <c r="Y73" s="697">
        <f t="shared" si="468"/>
        <v>-1.0514285714285709E-2</v>
      </c>
      <c r="Z73" s="9">
        <f>IF(ISERROR(Y73/Q73),"NA",IF(OR(Y73/Q73&gt;2,Y73/Q73&lt;0.5),"NM",Y73/Q73*100-100))</f>
        <v>-49.50832025117743</v>
      </c>
      <c r="AA73" s="697">
        <f t="shared" si="468"/>
        <v>-2.4147568474007827E-2</v>
      </c>
      <c r="AB73" s="226">
        <f t="shared" si="469"/>
        <v>-33.538632474529066</v>
      </c>
      <c r="AC73" s="697">
        <f t="shared" si="470"/>
        <v>3.0634573304157515E-3</v>
      </c>
      <c r="AD73" s="226" t="str">
        <f t="shared" si="251"/>
        <v>NM</v>
      </c>
      <c r="AE73" s="697">
        <f t="shared" si="470"/>
        <v>-4.5659676134855325E-2</v>
      </c>
      <c r="AF73" s="226" t="str">
        <f t="shared" si="201"/>
        <v>NM</v>
      </c>
      <c r="AG73" s="697">
        <f t="shared" si="471"/>
        <v>8.2901554404145074E-3</v>
      </c>
      <c r="AH73" s="226" t="str">
        <f t="shared" si="182"/>
        <v>NM</v>
      </c>
      <c r="AI73" s="697">
        <f t="shared" si="471"/>
        <v>-1.9718309859154931E-2</v>
      </c>
      <c r="AJ73" s="226">
        <f t="shared" si="472"/>
        <v>-18.342462180490344</v>
      </c>
      <c r="AK73" s="697">
        <f t="shared" si="473"/>
        <v>-9.4708866876057028E-3</v>
      </c>
      <c r="AL73" s="226" t="str">
        <f t="shared" si="474"/>
        <v>NM</v>
      </c>
      <c r="AM73" s="697">
        <f t="shared" si="473"/>
        <v>3.7426900584795189E-4</v>
      </c>
      <c r="AN73" s="226" t="str">
        <f t="shared" si="475"/>
        <v>NM</v>
      </c>
      <c r="AO73" s="697">
        <f t="shared" ref="AO73" si="493">+AO59/AO$42*400</f>
        <v>-4.3497961033076554E-3</v>
      </c>
      <c r="AP73" s="226" t="str">
        <f t="shared" si="477"/>
        <v>NM</v>
      </c>
      <c r="AQ73" s="698">
        <v>4.0000000000000001E-3</v>
      </c>
      <c r="AR73" s="226" t="str">
        <f t="shared" si="479"/>
        <v>NM</v>
      </c>
      <c r="AS73" s="698">
        <f t="shared" ref="AS73" si="494">+AQ73</f>
        <v>4.0000000000000001E-3</v>
      </c>
      <c r="AT73" s="226" t="str">
        <f t="shared" si="481"/>
        <v>NM</v>
      </c>
      <c r="AU73" s="698">
        <f t="shared" ref="AU73" si="495">+AS73</f>
        <v>4.0000000000000001E-3</v>
      </c>
      <c r="AV73" s="226" t="str">
        <f t="shared" si="483"/>
        <v>NM</v>
      </c>
      <c r="AW73" s="698">
        <f t="shared" ref="AW73" si="496">+AU73</f>
        <v>4.0000000000000001E-3</v>
      </c>
      <c r="AX73" s="226" t="str">
        <f t="shared" si="485"/>
        <v>NM</v>
      </c>
      <c r="AY73" s="356"/>
      <c r="AZ73" s="618"/>
      <c r="BA73" s="620"/>
      <c r="BB73" s="60"/>
      <c r="BC73" s="226" t="str">
        <f>IF(ISERROR(BB73/#REF!),"NA",IF(OR(BB73/#REF!&gt;2,BB73/#REF!&lt;0.5),"NM",BB73/#REF!*100-100))</f>
        <v>NA</v>
      </c>
      <c r="BD73" s="914"/>
      <c r="BE73" s="226" t="str">
        <f t="shared" ref="BE73:BE75" si="497">IF(ISERROR(BD73/BB73),"NA",IF(OR(BD73/BB73&gt;2,BD73/BB73&lt;0.5),"NM",BD73/BB73*100-100))</f>
        <v>NA</v>
      </c>
      <c r="BF73" s="60">
        <f>BF59/BF42*100</f>
        <v>1.0404139281219412E-2</v>
      </c>
      <c r="BG73" s="226" t="str">
        <f t="shared" ref="BG73:BS80" si="498">IF(ISERROR(BF73/BD73),"NA",IF(OR(BF73/BD73&gt;2,BF73/BD73&lt;0.5),"NM",BF73/BD73*100-100))</f>
        <v>NA</v>
      </c>
      <c r="BH73" s="60">
        <f t="shared" ref="BH73" si="499">BH59/BH42*100</f>
        <v>-1.4480855931633136E-2</v>
      </c>
      <c r="BI73" s="226" t="str">
        <f t="shared" ref="BI73:BS75" si="500">IF(ISERROR(BH73/BF73),"NA",IF(OR(BH73/BF73&gt;2,BH73/BF73&lt;0.5),"NM",BH73/BF73*100-100))</f>
        <v>NM</v>
      </c>
      <c r="BJ73" s="60">
        <f t="shared" ref="BJ73" si="501">BJ59/BJ42*100</f>
        <v>-8.0457034039514395E-3</v>
      </c>
      <c r="BK73" s="226">
        <f t="shared" si="500"/>
        <v>-44.439034253660623</v>
      </c>
      <c r="BL73" s="60">
        <f t="shared" ref="BL73" si="502">BL59/BL42*100</f>
        <v>4.0000000000000001E-3</v>
      </c>
      <c r="BM73" s="226" t="str">
        <f t="shared" si="500"/>
        <v>NM</v>
      </c>
      <c r="BN73" s="566">
        <f>BL73</f>
        <v>4.0000000000000001E-3</v>
      </c>
      <c r="BO73" s="226">
        <f t="shared" si="500"/>
        <v>0</v>
      </c>
      <c r="BP73" s="566">
        <f t="shared" si="489"/>
        <v>4.0000000000000001E-3</v>
      </c>
      <c r="BQ73" s="226">
        <f t="shared" si="500"/>
        <v>0</v>
      </c>
      <c r="BR73" s="566">
        <f t="shared" si="490"/>
        <v>4.0000000000000001E-3</v>
      </c>
      <c r="BS73" s="226">
        <f t="shared" si="500"/>
        <v>0</v>
      </c>
      <c r="BT73" s="566">
        <f t="shared" si="491"/>
        <v>4.0000000000000001E-3</v>
      </c>
      <c r="BU73" s="226">
        <f t="shared" si="492"/>
        <v>0</v>
      </c>
      <c r="BV73" s="43" t="str">
        <f>IF(ISERROR(((BT73/BJ73)^0.2-1)*100),"NA",IF((((BT73/BJ73)^0.2-1)*100)&gt;100,"NM",IF((((BT73/BJ73)^0.2-1)*100)&lt;-50,"NM",((BT73/BJ73)^0.2-1)*100)))</f>
        <v>NM</v>
      </c>
      <c r="BW73" s="621"/>
      <c r="BX73" s="621"/>
      <c r="BY73"/>
      <c r="BZ73"/>
      <c r="CA73"/>
      <c r="CB73"/>
      <c r="CC73"/>
      <c r="CD73"/>
    </row>
    <row r="74" spans="2:82" s="616" customFormat="1" ht="12.75" customHeight="1" x14ac:dyDescent="0.2">
      <c r="B74" s="62" t="s">
        <v>264</v>
      </c>
      <c r="C74" s="697"/>
      <c r="D74" s="697"/>
      <c r="E74" s="697"/>
      <c r="F74" s="697"/>
      <c r="G74" s="697"/>
      <c r="H74" s="697"/>
      <c r="I74" s="697"/>
      <c r="J74" s="697"/>
      <c r="K74" s="697"/>
      <c r="L74" s="697"/>
      <c r="M74" s="697"/>
      <c r="N74" s="620"/>
      <c r="O74" s="697">
        <f>+O60/O$42*400</f>
        <v>0.46685812751292366</v>
      </c>
      <c r="P74" s="9" t="str">
        <f t="shared" si="173"/>
        <v>NA</v>
      </c>
      <c r="Q74" s="697">
        <f t="shared" si="464"/>
        <v>0.48878718535469112</v>
      </c>
      <c r="R74" s="226" t="str">
        <f t="shared" si="465"/>
        <v>NA</v>
      </c>
      <c r="S74" s="697">
        <f t="shared" si="464"/>
        <v>0.4656450264697688</v>
      </c>
      <c r="T74" s="226" t="str">
        <f t="shared" si="466"/>
        <v>NA</v>
      </c>
      <c r="U74" s="697">
        <f t="shared" si="464"/>
        <v>0.46431114763078613</v>
      </c>
      <c r="V74" s="226" t="str">
        <f t="shared" si="467"/>
        <v>NA</v>
      </c>
      <c r="W74" s="697">
        <f t="shared" si="464"/>
        <v>0.46400898371701293</v>
      </c>
      <c r="X74" s="226">
        <f t="shared" si="178"/>
        <v>-0.61028043167821977</v>
      </c>
      <c r="Y74" s="697">
        <f t="shared" si="468"/>
        <v>0.49988571428571432</v>
      </c>
      <c r="Z74" s="9">
        <f>IF(ISERROR(Y74/Q74),"NA",IF(OR(Y74/Q74&gt;2,Y74/Q74&lt;0.5),"NM",Y74/Q74*100-100))</f>
        <v>2.2706260032102676</v>
      </c>
      <c r="AA74" s="697">
        <f t="shared" si="468"/>
        <v>0.46640581330352154</v>
      </c>
      <c r="AB74" s="226">
        <f t="shared" si="469"/>
        <v>0.16338343384028065</v>
      </c>
      <c r="AC74" s="697">
        <f t="shared" si="470"/>
        <v>0.44748358862144422</v>
      </c>
      <c r="AD74" s="226">
        <f t="shared" si="251"/>
        <v>-3.624198793246066</v>
      </c>
      <c r="AE74" s="697">
        <f t="shared" si="470"/>
        <v>0.43068754977435625</v>
      </c>
      <c r="AF74" s="226">
        <f t="shared" si="201"/>
        <v>-7.1812044835275373</v>
      </c>
      <c r="AG74" s="697">
        <f t="shared" si="471"/>
        <v>0.45471502590673574</v>
      </c>
      <c r="AH74" s="226">
        <f t="shared" si="182"/>
        <v>-9.0362030936456961</v>
      </c>
      <c r="AI74" s="697">
        <f t="shared" si="471"/>
        <v>0.41207243460764587</v>
      </c>
      <c r="AJ74" s="226">
        <f t="shared" si="472"/>
        <v>-11.649378533907182</v>
      </c>
      <c r="AK74" s="697">
        <f t="shared" si="473"/>
        <v>0.40647499395989362</v>
      </c>
      <c r="AL74" s="226">
        <f t="shared" si="474"/>
        <v>-9.1642678534614248</v>
      </c>
      <c r="AM74" s="697">
        <f t="shared" si="473"/>
        <v>0.39373099415204676</v>
      </c>
      <c r="AN74" s="226">
        <f t="shared" si="475"/>
        <v>-8.5808274796129069</v>
      </c>
      <c r="AO74" s="697">
        <f t="shared" ref="AO74" si="503">+AO60/AO$42*400</f>
        <v>0.42501132759401905</v>
      </c>
      <c r="AP74" s="226">
        <f t="shared" si="477"/>
        <v>-6.5323766799844094</v>
      </c>
      <c r="AQ74" s="697">
        <f t="shared" ref="AQ74:AW74" si="504">AQ76-AQ73-AQ72</f>
        <v>0.4013108291798822</v>
      </c>
      <c r="AR74" s="226">
        <f t="shared" si="479"/>
        <v>-2.6115810046867978</v>
      </c>
      <c r="AS74" s="697">
        <f t="shared" si="504"/>
        <v>0.4013108291798822</v>
      </c>
      <c r="AT74" s="226">
        <f t="shared" si="481"/>
        <v>-1.2704753937510276</v>
      </c>
      <c r="AU74" s="697">
        <f t="shared" si="504"/>
        <v>0.4013108291798822</v>
      </c>
      <c r="AV74" s="226">
        <f t="shared" si="483"/>
        <v>1.9251303911594846</v>
      </c>
      <c r="AW74" s="697">
        <f t="shared" si="504"/>
        <v>0.4013108291798822</v>
      </c>
      <c r="AX74" s="226">
        <f t="shared" si="485"/>
        <v>-5.5764392324093848</v>
      </c>
      <c r="AY74" s="356"/>
      <c r="AZ74" s="618"/>
      <c r="BA74" s="620"/>
      <c r="BB74" s="60"/>
      <c r="BC74" s="226" t="str">
        <f>IF(ISERROR(BB74/#REF!),"NA",IF(OR(BB74/#REF!&gt;2,BB74/#REF!&lt;0.5),"NM",BB74/#REF!*100-100))</f>
        <v>NA</v>
      </c>
      <c r="BD74" s="914"/>
      <c r="BE74" s="226" t="str">
        <f t="shared" si="497"/>
        <v>NA</v>
      </c>
      <c r="BF74" s="60">
        <f>BF60/BF42*100</f>
        <v>0.47327646483009367</v>
      </c>
      <c r="BG74" s="226" t="str">
        <f t="shared" si="498"/>
        <v>NA</v>
      </c>
      <c r="BH74" s="60">
        <f t="shared" ref="BH74" si="505">BH60/BH42*100</f>
        <v>0.44966018437521033</v>
      </c>
      <c r="BI74" s="226">
        <f t="shared" si="500"/>
        <v>-4.9899545423966174</v>
      </c>
      <c r="BJ74" s="60">
        <f t="shared" ref="BJ74" si="506">BJ60/BJ42*100</f>
        <v>0.40942632706498455</v>
      </c>
      <c r="BK74" s="226">
        <f t="shared" si="500"/>
        <v>-8.9476139334260836</v>
      </c>
      <c r="BL74" s="60">
        <f t="shared" ref="BL74" si="507">BL60/BL42*100</f>
        <v>0.40131082917988214</v>
      </c>
      <c r="BM74" s="226">
        <f t="shared" si="500"/>
        <v>-1.9821631753090259</v>
      </c>
      <c r="BN74" s="60">
        <f t="shared" ref="BN74" si="508">BN76-BN72-BN73</f>
        <v>0.40231082917988215</v>
      </c>
      <c r="BO74" s="226">
        <f t="shared" si="500"/>
        <v>0.24918340779480275</v>
      </c>
      <c r="BP74" s="60">
        <f t="shared" ref="BP74:BR74" si="509">BP76-BP72-BP73</f>
        <v>0.40331082917988215</v>
      </c>
      <c r="BQ74" s="226">
        <f t="shared" si="500"/>
        <v>0.24856402748056894</v>
      </c>
      <c r="BR74" s="60">
        <f t="shared" si="509"/>
        <v>0.40331082917988215</v>
      </c>
      <c r="BS74" s="226">
        <f t="shared" si="500"/>
        <v>0</v>
      </c>
      <c r="BT74" s="60">
        <f t="shared" ref="BT74" si="510">BT76-BT72-BT73</f>
        <v>0.40331082917988215</v>
      </c>
      <c r="BU74" s="226">
        <f t="shared" si="492"/>
        <v>0</v>
      </c>
      <c r="BV74" s="43">
        <f>IF(ISERROR(((BT74/BJ74)^0.2-1)*100),"NA",IF((((BT74/BJ74)^0.2-1)*100)&gt;100,"NM",IF((((BT74/BJ74)^0.2-1)*100)&lt;-50,"NM",((BT74/BJ74)^0.2-1)*100)))</f>
        <v>-0.30053597727455195</v>
      </c>
      <c r="BW74" s="621"/>
      <c r="BX74" s="621"/>
      <c r="BY74"/>
      <c r="BZ74"/>
      <c r="CA74"/>
      <c r="CB74"/>
      <c r="CC74"/>
      <c r="CD74"/>
    </row>
    <row r="75" spans="2:82" s="616" customFormat="1" ht="12.75" customHeight="1" x14ac:dyDescent="0.2">
      <c r="B75" s="62" t="s">
        <v>425</v>
      </c>
      <c r="C75" s="699"/>
      <c r="D75" s="699"/>
      <c r="E75" s="699"/>
      <c r="F75" s="699"/>
      <c r="G75" s="699"/>
      <c r="H75" s="699"/>
      <c r="I75" s="699"/>
      <c r="J75" s="699"/>
      <c r="K75" s="699"/>
      <c r="L75" s="699"/>
      <c r="M75" s="699"/>
      <c r="N75" s="620"/>
      <c r="O75" s="699">
        <f>O74+O73+O72</f>
        <v>0.57530155083285472</v>
      </c>
      <c r="P75" s="9" t="str">
        <f t="shared" si="173"/>
        <v>NA</v>
      </c>
      <c r="Q75" s="699">
        <f>Q74+Q73+Q72</f>
        <v>0.59107551487414189</v>
      </c>
      <c r="R75" s="226" t="str">
        <f t="shared" si="465"/>
        <v>NA</v>
      </c>
      <c r="S75" s="699">
        <f>S74+S73+S72</f>
        <v>0.55436054611312346</v>
      </c>
      <c r="T75" s="226" t="str">
        <f t="shared" si="466"/>
        <v>NA</v>
      </c>
      <c r="U75" s="699">
        <f>U74+U73+U72</f>
        <v>0.56642015886058616</v>
      </c>
      <c r="V75" s="226" t="str">
        <f t="shared" si="467"/>
        <v>NA</v>
      </c>
      <c r="W75" s="699">
        <f t="shared" ref="W75:Y75" si="511">W74+W73+W72</f>
        <v>0.69152161706906234</v>
      </c>
      <c r="X75" s="226">
        <f t="shared" si="178"/>
        <v>20.201590986145916</v>
      </c>
      <c r="Y75" s="699">
        <f t="shared" si="511"/>
        <v>0.60548571428571429</v>
      </c>
      <c r="Z75" s="9">
        <f>IF(ISERROR(Y75/Q75),"NA",IF(OR(Y75/Q75&gt;2,Y75/Q75&lt;0.5),"NM",Y75/Q75*100-100))</f>
        <v>2.4379625020740008</v>
      </c>
      <c r="AA75" s="699">
        <f t="shared" ref="AA75:AC75" si="512">AA74+AA73+AA72</f>
        <v>0.55830072666294017</v>
      </c>
      <c r="AB75" s="226">
        <f t="shared" si="469"/>
        <v>0.71076135873001078</v>
      </c>
      <c r="AC75" s="699">
        <f t="shared" si="512"/>
        <v>0.56236323851203496</v>
      </c>
      <c r="AD75" s="226">
        <f t="shared" si="251"/>
        <v>-0.71623869403096307</v>
      </c>
      <c r="AE75" s="699">
        <f t="shared" ref="AE75:AG75" si="513">AE74+AE73+AE72</f>
        <v>0.49673480222989114</v>
      </c>
      <c r="AF75" s="226">
        <f t="shared" si="201"/>
        <v>-28.167856221871062</v>
      </c>
      <c r="AG75" s="699">
        <f t="shared" si="513"/>
        <v>0.57430051813471505</v>
      </c>
      <c r="AH75" s="226">
        <f t="shared" si="182"/>
        <v>-5.1504429279207784</v>
      </c>
      <c r="AI75" s="699">
        <f t="shared" ref="AI75:AK75" si="514">AI74+AI73+AI72</f>
        <v>0.52072434607645879</v>
      </c>
      <c r="AJ75" s="226">
        <f t="shared" si="472"/>
        <v>-6.7304910762129708</v>
      </c>
      <c r="AK75" s="699">
        <f t="shared" si="514"/>
        <v>0.49983087702343554</v>
      </c>
      <c r="AL75" s="226">
        <f t="shared" si="474"/>
        <v>-11.119567782213977</v>
      </c>
      <c r="AM75" s="699">
        <f t="shared" ref="AM75:AO75" si="515">AM74+AM73+AM72</f>
        <v>0.49422222222222223</v>
      </c>
      <c r="AN75" s="226">
        <f t="shared" si="475"/>
        <v>-0.50581920098807132</v>
      </c>
      <c r="AO75" s="699">
        <f t="shared" si="515"/>
        <v>0.51835070231082914</v>
      </c>
      <c r="AP75" s="226">
        <f t="shared" si="477"/>
        <v>-9.7422541086340573</v>
      </c>
      <c r="AQ75" s="700">
        <v>0.503</v>
      </c>
      <c r="AR75" s="226">
        <f t="shared" si="479"/>
        <v>-3.4037867078825457</v>
      </c>
      <c r="AS75" s="700">
        <f t="shared" ref="AS75" si="516">AQ75</f>
        <v>0.503</v>
      </c>
      <c r="AT75" s="226">
        <f t="shared" si="481"/>
        <v>0.63403905645786551</v>
      </c>
      <c r="AU75" s="700">
        <f t="shared" ref="AU75" si="517">AS75</f>
        <v>0.503</v>
      </c>
      <c r="AV75" s="226">
        <f t="shared" si="483"/>
        <v>1.7760791366906403</v>
      </c>
      <c r="AW75" s="700">
        <f t="shared" ref="AW75" si="518">AU75</f>
        <v>0.503</v>
      </c>
      <c r="AX75" s="226">
        <f t="shared" si="485"/>
        <v>-2.9614510489510337</v>
      </c>
      <c r="AY75" s="356"/>
      <c r="AZ75" s="618"/>
      <c r="BA75" s="620"/>
      <c r="BB75" s="60"/>
      <c r="BC75" s="226" t="str">
        <f>IF(ISERROR(BB75/#REF!),"NA",IF(OR(BB75/#REF!&gt;2,BB75/#REF!&lt;0.5),"NM",BB75/#REF!*100-100))</f>
        <v>NA</v>
      </c>
      <c r="BD75" s="914"/>
      <c r="BE75" s="226" t="str">
        <f t="shared" si="497"/>
        <v>NA</v>
      </c>
      <c r="BF75" s="60">
        <f>BF72+BF73+BF74</f>
        <v>0.60411131310306243</v>
      </c>
      <c r="BG75" s="226" t="str">
        <f t="shared" si="498"/>
        <v>NA</v>
      </c>
      <c r="BH75" s="60">
        <f t="shared" ref="BH75" si="519">BH72+BH73+BH74</f>
        <v>0.54785007738375624</v>
      </c>
      <c r="BI75" s="226">
        <f t="shared" si="500"/>
        <v>-9.313057792332387</v>
      </c>
      <c r="BJ75" s="60">
        <f t="shared" ref="BJ75" si="520">BJ72+BJ73+BJ74</f>
        <v>0.50821233039752445</v>
      </c>
      <c r="BK75" s="226">
        <f t="shared" si="500"/>
        <v>-7.2351449096294402</v>
      </c>
      <c r="BL75" s="60">
        <f t="shared" ref="BL75" si="521">BL72+BL73+BL74</f>
        <v>0.50299999999999989</v>
      </c>
      <c r="BM75" s="226">
        <f t="shared" si="500"/>
        <v>-1.0256206088993309</v>
      </c>
      <c r="BN75" s="566">
        <f>BL75+0.001</f>
        <v>0.50399999999999989</v>
      </c>
      <c r="BO75" s="226">
        <f t="shared" si="500"/>
        <v>0.19880715705764374</v>
      </c>
      <c r="BP75" s="566">
        <f>BN75+0.001</f>
        <v>0.50499999999999989</v>
      </c>
      <c r="BQ75" s="226">
        <f t="shared" si="500"/>
        <v>0.19841269841269593</v>
      </c>
      <c r="BR75" s="566">
        <f t="shared" ref="BR75" si="522">BP75</f>
        <v>0.50499999999999989</v>
      </c>
      <c r="BS75" s="226">
        <f t="shared" si="500"/>
        <v>0</v>
      </c>
      <c r="BT75" s="566">
        <f t="shared" ref="BT75" si="523">BR75</f>
        <v>0.50499999999999989</v>
      </c>
      <c r="BU75" s="226">
        <f t="shared" si="492"/>
        <v>0</v>
      </c>
      <c r="BV75" s="43">
        <f>IF(ISERROR(((BT75/BJ75)^0.2-1)*100),"NA",IF((((BT75/BJ75)^0.2-1)*100)&gt;100,"NM",IF((((BT75/BJ75)^0.2-1)*100)&lt;-50,"NM",((BT75/BJ75)^0.2-1)*100)))</f>
        <v>-0.12673770385270844</v>
      </c>
      <c r="BW75" s="621"/>
      <c r="BX75" s="621"/>
      <c r="BY75"/>
      <c r="BZ75"/>
      <c r="CA75"/>
      <c r="CB75"/>
      <c r="CC75"/>
      <c r="CD75"/>
    </row>
    <row r="76" spans="2:82" s="616" customFormat="1" ht="12.75" hidden="1" customHeight="1" outlineLevel="1" x14ac:dyDescent="0.2">
      <c r="B76" s="301" t="s">
        <v>64</v>
      </c>
      <c r="C76" s="15"/>
      <c r="D76" s="623"/>
      <c r="E76" s="15"/>
      <c r="F76" s="623"/>
      <c r="G76" s="15"/>
      <c r="H76" s="623"/>
      <c r="I76" s="15"/>
      <c r="J76" s="623"/>
      <c r="K76" s="15"/>
      <c r="L76" s="623"/>
      <c r="M76" s="15"/>
      <c r="N76" s="620"/>
      <c r="O76" s="302"/>
      <c r="P76" s="9"/>
      <c r="Q76" s="302"/>
      <c r="R76" s="226"/>
      <c r="S76" s="302"/>
      <c r="T76" s="226"/>
      <c r="U76" s="302"/>
      <c r="V76" s="226"/>
      <c r="W76" s="302"/>
      <c r="X76" s="226"/>
      <c r="Y76" s="302"/>
      <c r="Z76" s="9" t="str">
        <f>IF(ISERROR(Y76/Q76),"NA",IF(OR(Y76/Q76&gt;2,Y76/Q76&lt;0.5),"NM",Y76/Q76*100-100))</f>
        <v>NA</v>
      </c>
      <c r="AA76" s="302"/>
      <c r="AB76" s="226" t="str">
        <f t="shared" si="469"/>
        <v>NA</v>
      </c>
      <c r="AC76" s="302"/>
      <c r="AD76" s="226" t="str">
        <f t="shared" si="251"/>
        <v>NA</v>
      </c>
      <c r="AE76" s="302"/>
      <c r="AF76" s="226" t="str">
        <f t="shared" si="201"/>
        <v>NA</v>
      </c>
      <c r="AG76" s="302"/>
      <c r="AH76" s="226" t="str">
        <f t="shared" si="182"/>
        <v>NA</v>
      </c>
      <c r="AI76" s="302"/>
      <c r="AJ76" s="226" t="str">
        <f t="shared" si="472"/>
        <v>NA</v>
      </c>
      <c r="AK76" s="302"/>
      <c r="AL76" s="226" t="str">
        <f t="shared" si="474"/>
        <v>NA</v>
      </c>
      <c r="AM76" s="302"/>
      <c r="AN76" s="226" t="str">
        <f t="shared" si="475"/>
        <v>NA</v>
      </c>
      <c r="AO76" s="302"/>
      <c r="AP76" s="226" t="str">
        <f t="shared" si="477"/>
        <v>NA</v>
      </c>
      <c r="AQ76" s="302">
        <f>IF($B$6=1,AQ75,IF($B$6=2,AQ75+#REF!,IF($B$6=3,AQ75+AQ961)))</f>
        <v>0.503</v>
      </c>
      <c r="AR76" s="226" t="str">
        <f t="shared" si="479"/>
        <v>NA</v>
      </c>
      <c r="AS76" s="302">
        <f>IF($B$6=1,AS75,IF($B$6=2,AS75+#REF!,IF($B$6=3,AS75+AS961)))</f>
        <v>0.503</v>
      </c>
      <c r="AT76" s="226" t="str">
        <f t="shared" si="481"/>
        <v>NA</v>
      </c>
      <c r="AU76" s="302">
        <f>IF($B$6=1,AU75,IF($B$6=2,AU75+#REF!,IF($B$6=3,AU75+AU961)))</f>
        <v>0.503</v>
      </c>
      <c r="AV76" s="226" t="str">
        <f t="shared" si="483"/>
        <v>NA</v>
      </c>
      <c r="AW76" s="302">
        <f>IF($B$6=1,AW75,IF($B$6=2,AW75+#REF!,IF($B$6=3,AW75+AW961)))</f>
        <v>0.503</v>
      </c>
      <c r="AX76" s="226" t="str">
        <f t="shared" si="485"/>
        <v>NA</v>
      </c>
      <c r="AY76" s="356"/>
      <c r="AZ76" s="618"/>
      <c r="BA76" s="620"/>
      <c r="BB76" s="55"/>
      <c r="BC76" s="55"/>
      <c r="BD76" s="908"/>
      <c r="BE76" s="55"/>
      <c r="BF76" s="55"/>
      <c r="BG76" s="226"/>
      <c r="BH76" s="55"/>
      <c r="BI76" s="626"/>
      <c r="BJ76" s="55"/>
      <c r="BK76" s="626"/>
      <c r="BL76" s="55"/>
      <c r="BM76" s="626"/>
      <c r="BN76" s="302">
        <f>IF($B$6=1,BN75,IF($B$6=2,BN75+#REF!,IF($B$6=3,BN75+BN961)))</f>
        <v>0.50399999999999989</v>
      </c>
      <c r="BO76" s="626"/>
      <c r="BP76" s="302">
        <f>IF($B$6=1,BP75,IF($B$6=2,BP75+#REF!,IF($B$6=3,BP75+BP961)))</f>
        <v>0.50499999999999989</v>
      </c>
      <c r="BQ76" s="226"/>
      <c r="BR76" s="302">
        <f>IF($B$6=1,BR75,IF($B$6=2,BR75+#REF!,IF($B$6=3,BR75+BR961)))</f>
        <v>0.50499999999999989</v>
      </c>
      <c r="BS76" s="226"/>
      <c r="BT76" s="302">
        <f>IF($B$6=1,BT75,IF($B$6=2,BT75+#REF!,IF($B$6=3,BT75+BT961)))</f>
        <v>0.50499999999999989</v>
      </c>
      <c r="BU76" s="226"/>
      <c r="BV76" s="43" t="str">
        <f>IF(ISERROR(((BT76/BJ76)^0.2-1)*100),"NA",IF((((BT76/BJ76)^0.2-1)*100)&gt;100,"NM",IF((((BT76/BJ76)^0.2-1)*100)&lt;-50,"NM",((BT76/BJ76)^0.2-1)*100)))</f>
        <v>NA</v>
      </c>
      <c r="BW76" s="621"/>
      <c r="BX76" s="621"/>
      <c r="BY76"/>
      <c r="BZ76"/>
      <c r="CA76"/>
      <c r="CB76"/>
      <c r="CC76"/>
      <c r="CD76"/>
    </row>
    <row r="77" spans="2:82" s="616" customFormat="1" ht="12.75" customHeight="1" collapsed="1" x14ac:dyDescent="0.2">
      <c r="B77" s="67"/>
      <c r="C77" s="15"/>
      <c r="D77" s="623"/>
      <c r="E77" s="15"/>
      <c r="F77" s="623"/>
      <c r="G77" s="15"/>
      <c r="H77" s="623"/>
      <c r="I77" s="15"/>
      <c r="J77" s="623"/>
      <c r="K77" s="15"/>
      <c r="L77" s="623"/>
      <c r="M77" s="15"/>
      <c r="N77" s="620"/>
      <c r="O77" s="696"/>
      <c r="P77" s="9"/>
      <c r="Q77" s="696"/>
      <c r="R77" s="226"/>
      <c r="S77" s="696"/>
      <c r="T77" s="226"/>
      <c r="U77" s="696"/>
      <c r="V77" s="226"/>
      <c r="W77" s="696"/>
      <c r="X77" s="226"/>
      <c r="Y77" s="696"/>
      <c r="Z77" s="9"/>
      <c r="AA77" s="696"/>
      <c r="AB77" s="226"/>
      <c r="AC77" s="696"/>
      <c r="AD77" s="226"/>
      <c r="AE77" s="696"/>
      <c r="AF77" s="226"/>
      <c r="AG77" s="696"/>
      <c r="AH77" s="620"/>
      <c r="AI77" s="696"/>
      <c r="AJ77" s="620"/>
      <c r="AK77" s="696"/>
      <c r="AL77" s="620"/>
      <c r="AM77" s="696"/>
      <c r="AN77" s="620"/>
      <c r="AO77" s="696"/>
      <c r="AP77" s="620"/>
      <c r="AQ77" s="696"/>
      <c r="AR77" s="620"/>
      <c r="AS77" s="696"/>
      <c r="AT77" s="620"/>
      <c r="AU77" s="696"/>
      <c r="AV77" s="620"/>
      <c r="AW77" s="696"/>
      <c r="AX77" s="620"/>
      <c r="AY77" s="356"/>
      <c r="AZ77" s="618"/>
      <c r="BA77" s="620"/>
      <c r="BB77" s="55"/>
      <c r="BC77" s="55"/>
      <c r="BD77" s="908"/>
      <c r="BE77" s="55"/>
      <c r="BF77" s="55"/>
      <c r="BG77" s="226"/>
      <c r="BH77" s="55"/>
      <c r="BI77" s="626"/>
      <c r="BJ77" s="55"/>
      <c r="BK77" s="626"/>
      <c r="BL77" s="55"/>
      <c r="BM77" s="626"/>
      <c r="BN77" s="55"/>
      <c r="BO77" s="626"/>
      <c r="BP77" s="55"/>
      <c r="BQ77" s="623"/>
      <c r="BR77" s="55"/>
      <c r="BS77" s="623"/>
      <c r="BT77" s="55"/>
      <c r="BU77" s="623"/>
      <c r="BV77" s="43"/>
      <c r="BW77" s="621"/>
      <c r="BX77" s="621"/>
      <c r="BY77"/>
      <c r="BZ77"/>
      <c r="CA77"/>
      <c r="CB77"/>
      <c r="CC77"/>
      <c r="CD77"/>
    </row>
    <row r="78" spans="2:82" s="616" customFormat="1" ht="12.75" customHeight="1" x14ac:dyDescent="0.2">
      <c r="B78" s="62" t="s">
        <v>365</v>
      </c>
      <c r="C78" s="697"/>
      <c r="D78" s="697"/>
      <c r="E78" s="697"/>
      <c r="F78" s="697"/>
      <c r="G78" s="697"/>
      <c r="H78" s="697"/>
      <c r="I78" s="697"/>
      <c r="J78" s="697"/>
      <c r="K78" s="697"/>
      <c r="L78" s="697"/>
      <c r="M78" s="697"/>
      <c r="N78" s="620"/>
      <c r="O78" s="697">
        <f>+O62/O42*400</f>
        <v>0.33429063756461808</v>
      </c>
      <c r="P78" s="9" t="str">
        <f t="shared" si="173"/>
        <v>NA</v>
      </c>
      <c r="Q78" s="697">
        <f>+Q62/Q42*400</f>
        <v>0.31739130434782603</v>
      </c>
      <c r="R78" s="226" t="str">
        <f t="shared" ref="R78:R80" si="524">IF(ISERROR(Q78/I78),"NA",IF(OR(Q78/I78&gt;2,Q78/I78&lt;0.5),"NM",Q78/I78*100-100))</f>
        <v>NA</v>
      </c>
      <c r="S78" s="697">
        <f>+S62/S42*400</f>
        <v>0.316076901643912</v>
      </c>
      <c r="T78" s="226" t="str">
        <f t="shared" ref="T78:T80" si="525">IF(ISERROR(S78/K78),"NA",IF(OR(S78/K78&gt;2,S78/K78&lt;0.5),"NM",S78/K78*100-100))</f>
        <v>NA</v>
      </c>
      <c r="U78" s="697">
        <f>+U62/U42*400</f>
        <v>0.31421528348397693</v>
      </c>
      <c r="V78" s="226" t="str">
        <f t="shared" ref="V78:V80" si="526">IF(ISERROR(U78/M78),"NA",IF(OR(U78/M78&gt;2,U78/M78&lt;0.5),"NM",U78/M78*100-100))</f>
        <v>NA</v>
      </c>
      <c r="W78" s="697">
        <f>+W62/W42*400</f>
        <v>0.18775968556990447</v>
      </c>
      <c r="X78" s="226">
        <f t="shared" ref="X78:X80" si="527">IF(ISERROR(W78/O78),"NA",IF(OR(W78/O78&gt;2,W78/O78&lt;0.5),"NM",W78/O78*100-100))</f>
        <v>-43.833399900824119</v>
      </c>
      <c r="Y78" s="697">
        <f>+Y62/Y42*400</f>
        <v>0.28502857142857141</v>
      </c>
      <c r="Z78" s="9">
        <f>IF(ISERROR(Y78/Q78),"NA",IF(OR(Y78/Q78&gt;2,Y78/Q78&lt;0.5),"NM",Y78/Q78*100-100))</f>
        <v>-10.196477495107629</v>
      </c>
      <c r="AA78" s="697">
        <f>+AA62/AA42*400</f>
        <v>0.25489100055897151</v>
      </c>
      <c r="AB78" s="226">
        <f t="shared" ref="AB78:AB80" si="528">IF(ISERROR(AA78/S78),"NA",IF(OR(AA78/S78&gt;2,AA78/S78&lt;0.5),"NM",AA78/S78*100-100))</f>
        <v>-19.357915990290138</v>
      </c>
      <c r="AC78" s="697">
        <f>+AC62/AC42*400</f>
        <v>0.2724288840262582</v>
      </c>
      <c r="AD78" s="226">
        <f t="shared" si="251"/>
        <v>-13.298652756287581</v>
      </c>
      <c r="AE78" s="697">
        <f>+AE62/AE42*400</f>
        <v>0.27799309795593308</v>
      </c>
      <c r="AF78" s="226">
        <f t="shared" si="201"/>
        <v>48.057926871865135</v>
      </c>
      <c r="AG78" s="697">
        <f>+AG62/AG42*400</f>
        <v>0.25699481865284984</v>
      </c>
      <c r="AH78" s="226">
        <f t="shared" si="182"/>
        <v>-9.8354184758445768</v>
      </c>
      <c r="AI78" s="697">
        <f>+AI62/AI42*400</f>
        <v>0.29114688128772631</v>
      </c>
      <c r="AJ78" s="226">
        <f t="shared" ref="AJ78:AJ80" si="529">IF(ISERROR(AI78/AA78),"NA",IF(OR(AI78/AA78&gt;2,AI78/AA78&lt;0.5),"NM",AI78/AA78*100-100))</f>
        <v>14.224072505206649</v>
      </c>
      <c r="AK78" s="697">
        <f>+AK62/AK42*400</f>
        <v>0.28509301763711042</v>
      </c>
      <c r="AL78" s="226">
        <f t="shared" ref="AL78:AL80" si="530">IF(ISERROR(AK78/AC78),"NA",IF(OR(AK78/AC78&gt;2,AK78/AC78&lt;0.5),"NM",AK78/AC78*100-100))</f>
        <v>4.6486016547465709</v>
      </c>
      <c r="AM78" s="697">
        <f>+AM62/AM42*400</f>
        <v>0.20210526315789473</v>
      </c>
      <c r="AN78" s="226">
        <f t="shared" ref="AN78:AN80" si="531">IF(ISERROR(AM78/AE78),"NA",IF(OR(AM78/AE78&gt;2,AM78/AE78&lt;0.5),"NM",AM78/AE78*100-100))</f>
        <v>-27.298460053878003</v>
      </c>
      <c r="AO78" s="697">
        <f>+AO62/AO42*400</f>
        <v>0.22945174444947897</v>
      </c>
      <c r="AP78" s="226">
        <f t="shared" ref="AP78:AP80" si="532">IF(ISERROR(AO78/AG78),"NA",IF(OR(AO78/AG78&gt;2,AO78/AG78&lt;0.5),"NM",AO78/AG78*100-100))</f>
        <v>-10.717365567037447</v>
      </c>
      <c r="AQ78" s="697">
        <f t="shared" ref="AQ78:AW78" si="533">+AQ62/AQ42*400</f>
        <v>0.25480244676030817</v>
      </c>
      <c r="AR78" s="226">
        <f t="shared" ref="AR78:AR80" si="534">IF(ISERROR(AQ78/AI78),"NA",IF(OR(AQ78/AI78&gt;2,AQ78/AI78&lt;0.5),"NM",AQ78/AI78*100-100))</f>
        <v>-12.483195549500223</v>
      </c>
      <c r="AS78" s="697">
        <f t="shared" si="533"/>
        <v>0.25480244676030805</v>
      </c>
      <c r="AT78" s="226">
        <f t="shared" ref="AT78:AT80" si="535">IF(ISERROR(AS78/AK78),"NA",IF(OR(AS78/AK78&gt;2,AS78/AK78&lt;0.5),"NM",AS78/AK78*100-100))</f>
        <v>-10.624802784668219</v>
      </c>
      <c r="AU78" s="697">
        <f t="shared" si="533"/>
        <v>0.25480244676030811</v>
      </c>
      <c r="AV78" s="226">
        <f t="shared" ref="AV78:AV80" si="536">IF(ISERROR(AU78/AM78),"NA",IF(OR(AU78/AM78&gt;2,AU78/AM78&lt;0.5),"NM",AU78/AM78*100-100))</f>
        <v>26.07412730327745</v>
      </c>
      <c r="AW78" s="697">
        <f t="shared" si="533"/>
        <v>0.26980244676030823</v>
      </c>
      <c r="AX78" s="226">
        <f t="shared" ref="AX78:AX80" si="537">IF(ISERROR(AW78/AO78),"NA",IF(OR(AW78/AO78&gt;2,AW78/AO78&lt;0.5),"NM",AW78/AO78*100-100))</f>
        <v>17.585703001579816</v>
      </c>
      <c r="AY78" s="356"/>
      <c r="AZ78" s="618"/>
      <c r="BA78" s="620"/>
      <c r="BB78" s="697"/>
      <c r="BC78" s="226" t="str">
        <f>IF(ISERROR(BB78/#REF!),"NA",IF(OR(BB78/#REF!&gt;2,BB78/#REF!&lt;0.5),"NM",BB78/#REF!*100-100))</f>
        <v>NA</v>
      </c>
      <c r="BD78" s="915"/>
      <c r="BE78" s="226" t="str">
        <f t="shared" ref="BE78:BE80" si="538">IF(ISERROR(BD78/BB78),"NA",IF(OR(BD78/BB78&gt;2,BD78/BB78&lt;0.5),"NM",BD78/BB78*100-100))</f>
        <v>NA</v>
      </c>
      <c r="BF78" s="60">
        <f>BF62/BF42*100</f>
        <v>0.27604530834848273</v>
      </c>
      <c r="BG78" s="226" t="str">
        <f t="shared" si="498"/>
        <v>NA</v>
      </c>
      <c r="BH78" s="60">
        <f>BH62/BH42*100</f>
        <v>0.26560796716237123</v>
      </c>
      <c r="BI78" s="226">
        <f t="shared" si="498"/>
        <v>-3.7810246616962218</v>
      </c>
      <c r="BJ78" s="60">
        <f>BJ62/BJ42*100</f>
        <v>0.25079742918352771</v>
      </c>
      <c r="BK78" s="226">
        <f t="shared" si="498"/>
        <v>-5.5760895040432104</v>
      </c>
      <c r="BL78" s="60">
        <f>BL62/BL42*100</f>
        <v>0.25859544674941676</v>
      </c>
      <c r="BM78" s="226">
        <f t="shared" si="498"/>
        <v>3.1092892743261018</v>
      </c>
      <c r="BN78" s="60">
        <f t="shared" ref="BN78:BP78" si="539">BN62/BN42*100</f>
        <v>0.2585954467494167</v>
      </c>
      <c r="BO78" s="226">
        <f t="shared" si="498"/>
        <v>-2.8421709430404007E-14</v>
      </c>
      <c r="BP78" s="60">
        <f t="shared" si="539"/>
        <v>0.2575954467494167</v>
      </c>
      <c r="BQ78" s="226">
        <f t="shared" si="498"/>
        <v>-0.38670441129964672</v>
      </c>
      <c r="BR78" s="60">
        <f t="shared" ref="BR78:BT78" si="540">BR62/BR42*100</f>
        <v>0.25759544674941676</v>
      </c>
      <c r="BS78" s="226">
        <f t="shared" si="498"/>
        <v>2.8421709430404007E-14</v>
      </c>
      <c r="BT78" s="60">
        <f t="shared" si="540"/>
        <v>0.25759544674941653</v>
      </c>
      <c r="BU78" s="226">
        <f t="shared" ref="BU78:BU80" si="541">IF(ISERROR(BT78/BR78),"NA",IF(OR(BT78/BR78&gt;2,BT78/BR78&lt;0.5),"NM",BT78/BR78*100-100))</f>
        <v>-8.5265128291212022E-14</v>
      </c>
      <c r="BV78" s="43">
        <f>IF(ISERROR(((BT78/BJ78)^0.2-1)*100),"NA",IF((((BT78/BJ78)^0.2-1)*100)&gt;100,"NM",IF((((BT78/BJ78)^0.2-1)*100)&lt;-50,"NM",((BT78/BJ78)^0.2-1)*100)))</f>
        <v>0.53632832188010848</v>
      </c>
      <c r="BW78" s="621"/>
      <c r="BX78" s="621"/>
      <c r="BY78"/>
      <c r="BZ78"/>
      <c r="CA78"/>
      <c r="CB78"/>
      <c r="CC78"/>
      <c r="CD78"/>
    </row>
    <row r="79" spans="2:82" s="616" customFormat="1" ht="12.75" customHeight="1" x14ac:dyDescent="0.2">
      <c r="B79" s="62" t="s">
        <v>94</v>
      </c>
      <c r="C79" s="694">
        <f t="shared" ref="C79:O80" si="542">C62/(C54-C57)*100</f>
        <v>31.899424416843381</v>
      </c>
      <c r="D79" s="694"/>
      <c r="E79" s="694">
        <f t="shared" si="542"/>
        <v>34.48474381116867</v>
      </c>
      <c r="F79" s="694"/>
      <c r="G79" s="694">
        <f t="shared" si="542"/>
        <v>30.398818316100453</v>
      </c>
      <c r="H79" s="694"/>
      <c r="I79" s="694">
        <f t="shared" si="542"/>
        <v>32.993562231759654</v>
      </c>
      <c r="J79" s="694"/>
      <c r="K79" s="694">
        <f t="shared" si="542"/>
        <v>37.08574434508153</v>
      </c>
      <c r="L79" s="694"/>
      <c r="M79" s="694">
        <f t="shared" si="542"/>
        <v>39.247311827956985</v>
      </c>
      <c r="N79" s="620"/>
      <c r="O79" s="694">
        <f t="shared" si="542"/>
        <v>36.751704976004042</v>
      </c>
      <c r="P79" s="9">
        <f t="shared" si="173"/>
        <v>20.898465834571084</v>
      </c>
      <c r="Q79" s="694">
        <f t="shared" ref="Q79" si="543">Q62/(Q54-Q57)*100</f>
        <v>34.937027707808561</v>
      </c>
      <c r="R79" s="226">
        <f t="shared" si="524"/>
        <v>5.8904384509840071</v>
      </c>
      <c r="S79" s="694">
        <f>S65/(S54-S57)*100</f>
        <v>33.948586624642964</v>
      </c>
      <c r="T79" s="226">
        <f t="shared" si="525"/>
        <v>-8.4592011724166127</v>
      </c>
      <c r="U79" s="694">
        <f>U65/(U54-U57)*100</f>
        <v>34.532126246483045</v>
      </c>
      <c r="V79" s="226">
        <f t="shared" si="526"/>
        <v>-12.014034495262365</v>
      </c>
      <c r="W79" s="694">
        <f>W65/(W54-W57)*100</f>
        <v>32.985558502799876</v>
      </c>
      <c r="X79" s="226">
        <f t="shared" si="527"/>
        <v>-10.247542190663424</v>
      </c>
      <c r="Y79" s="694">
        <f>Y65/(Y54-Y57)*100</f>
        <v>32.007186858316217</v>
      </c>
      <c r="Z79" s="9">
        <f>IF(ISERROR(Y79/Q79),"NA",IF(OR(Y79/Q79&gt;2,Y79/Q79&lt;0.5),"NM",Y79/Q79*100-100))</f>
        <v>-8.3860621286839176</v>
      </c>
      <c r="AA79" s="694">
        <f>AA65/(AA54-AA57)*100</f>
        <v>31.344514709925768</v>
      </c>
      <c r="AB79" s="226">
        <f t="shared" si="528"/>
        <v>-7.6706342549970117</v>
      </c>
      <c r="AC79" s="694">
        <f>AC65/(AC54-AC57)*100</f>
        <v>32.634338138925294</v>
      </c>
      <c r="AD79" s="226">
        <f t="shared" si="251"/>
        <v>-5.4957175066827233</v>
      </c>
      <c r="AE79" s="694">
        <f>AE65/(AE54-AE57)*100</f>
        <v>39.830043859649116</v>
      </c>
      <c r="AF79" s="226">
        <f t="shared" si="201"/>
        <v>20.749945332192169</v>
      </c>
      <c r="AG79" s="694">
        <f>AG65/(AG54-AG57)*100</f>
        <v>30.914983794564961</v>
      </c>
      <c r="AH79" s="226">
        <f t="shared" si="182"/>
        <v>-3.4123681927625427</v>
      </c>
      <c r="AI79" s="694">
        <f>AI65/(AI54-AI57)*100</f>
        <v>34.374225526641879</v>
      </c>
      <c r="AJ79" s="226">
        <f t="shared" si="529"/>
        <v>9.6658405617513097</v>
      </c>
      <c r="AK79" s="694">
        <f>AK65/(AK54-AK57)*100</f>
        <v>36.321103176557493</v>
      </c>
      <c r="AL79" s="226">
        <f t="shared" si="530"/>
        <v>11.297195677563735</v>
      </c>
      <c r="AM79" s="694">
        <f>AM65/(AM54-AM57)*100</f>
        <v>40.04299919376512</v>
      </c>
      <c r="AN79" s="226">
        <f t="shared" si="531"/>
        <v>0.53466005427060281</v>
      </c>
      <c r="AO79" s="694">
        <f>AO65/(AO54-AO57)*100</f>
        <v>30.683470673776057</v>
      </c>
      <c r="AP79" s="226">
        <f t="shared" si="532"/>
        <v>-0.74887026410023338</v>
      </c>
      <c r="AQ79" s="694">
        <f>AQ65/(AQ54-AQ57)*100</f>
        <v>33.623861713513556</v>
      </c>
      <c r="AR79" s="226">
        <f t="shared" si="534"/>
        <v>-2.1829257288917034</v>
      </c>
      <c r="AS79" s="694">
        <f>AS65/(AS54-AS57)*100</f>
        <v>33.623861713513548</v>
      </c>
      <c r="AT79" s="226">
        <f t="shared" si="535"/>
        <v>-7.4261000552009904</v>
      </c>
      <c r="AU79" s="694">
        <f>AU65/(AU54-AU57)*100</f>
        <v>33.623861713513548</v>
      </c>
      <c r="AV79" s="226">
        <f t="shared" si="536"/>
        <v>-16.030611116789331</v>
      </c>
      <c r="AW79" s="694">
        <f>AW65/(AW54-AW57)*100</f>
        <v>34.912214355862403</v>
      </c>
      <c r="AX79" s="226">
        <f t="shared" si="537"/>
        <v>13.781829725346185</v>
      </c>
      <c r="AY79" s="356"/>
      <c r="AZ79" s="694"/>
      <c r="BA79" s="694"/>
      <c r="BB79" s="694">
        <f t="shared" ref="BB79:BD80" si="544">BB62/(BB54-BB57)*100</f>
        <v>32.474078341013822</v>
      </c>
      <c r="BC79" s="226" t="str">
        <f>IF(ISERROR(BB79/#REF!),"NA",IF(OR(BB79/#REF!&gt;2,BB79/#REF!&lt;0.5),"NM",BB79/#REF!*100-100))</f>
        <v>NA</v>
      </c>
      <c r="BD79" s="916">
        <f t="shared" si="544"/>
        <v>36.99558738888534</v>
      </c>
      <c r="BE79" s="226">
        <f t="shared" si="538"/>
        <v>13.9234407221374</v>
      </c>
      <c r="BF79" s="694">
        <f>BF65/(BF54-BF57)*100</f>
        <v>33.377331280095824</v>
      </c>
      <c r="BG79" s="754">
        <f t="shared" si="498"/>
        <v>-9.7802369530063373</v>
      </c>
      <c r="BH79" s="57">
        <f>BH65/(BH54-BH57)*100</f>
        <v>33.604658857785708</v>
      </c>
      <c r="BI79" s="754">
        <f t="shared" si="498"/>
        <v>0.68108374447974995</v>
      </c>
      <c r="BJ79" s="57">
        <f>BJ65/(BJ54-BJ57)*100</f>
        <v>35.238035501473995</v>
      </c>
      <c r="BK79" s="754">
        <f t="shared" si="498"/>
        <v>4.8605660619877256</v>
      </c>
      <c r="BL79" s="57">
        <f>BL65/(BL54-BL57)*100</f>
        <v>33.954437077208645</v>
      </c>
      <c r="BM79" s="754">
        <f t="shared" si="498"/>
        <v>-3.6426503520937104</v>
      </c>
      <c r="BN79" s="57">
        <f>BN65/(BN54-BN57)*100</f>
        <v>33.90991224137079</v>
      </c>
      <c r="BO79" s="754">
        <f t="shared" si="498"/>
        <v>-0.13113112650523817</v>
      </c>
      <c r="BP79" s="57">
        <f>BP65/(BP54-BP57)*100</f>
        <v>33.778781114865566</v>
      </c>
      <c r="BQ79" s="226">
        <f t="shared" si="498"/>
        <v>-0.38670441129966093</v>
      </c>
      <c r="BR79" s="57">
        <f>BR65/(BR54-BR57)*100</f>
        <v>33.778781114865581</v>
      </c>
      <c r="BS79" s="226">
        <f t="shared" si="498"/>
        <v>4.2632564145606011E-14</v>
      </c>
      <c r="BT79" s="57">
        <f>BT65/(BT54-BT57)*100</f>
        <v>33.778781114865559</v>
      </c>
      <c r="BU79" s="226">
        <f t="shared" si="541"/>
        <v>-7.1054273576010019E-14</v>
      </c>
      <c r="BV79" s="43">
        <f>IF(ISERROR(((BT79/BJ79)^0.2-1)*100),"NA",IF((((BT79/BJ79)^0.2-1)*100)&gt;100,"NM",IF((((BT79/BJ79)^0.2-1)*100)&lt;-50,"NM",((BT79/BJ79)^0.2-1)*100)))</f>
        <v>-0.8422971427486492</v>
      </c>
      <c r="BW79" s="621"/>
      <c r="BX79" s="621"/>
      <c r="BY79"/>
      <c r="BZ79"/>
      <c r="CA79"/>
      <c r="CB79"/>
      <c r="CC79"/>
      <c r="CD79"/>
    </row>
    <row r="80" spans="2:82" s="616" customFormat="1" ht="12.75" customHeight="1" x14ac:dyDescent="0.2">
      <c r="B80" s="62" t="s">
        <v>656</v>
      </c>
      <c r="C80" s="694">
        <f t="shared" si="542"/>
        <v>0</v>
      </c>
      <c r="D80" s="694"/>
      <c r="E80" s="694">
        <f t="shared" si="542"/>
        <v>0</v>
      </c>
      <c r="F80" s="694"/>
      <c r="G80" s="694">
        <f t="shared" si="542"/>
        <v>0</v>
      </c>
      <c r="H80" s="694"/>
      <c r="I80" s="694">
        <f t="shared" si="542"/>
        <v>0</v>
      </c>
      <c r="J80" s="694"/>
      <c r="K80" s="694"/>
      <c r="L80" s="694"/>
      <c r="M80" s="694"/>
      <c r="N80" s="620"/>
      <c r="O80" s="694"/>
      <c r="P80" s="9" t="str">
        <f t="shared" si="173"/>
        <v>NA</v>
      </c>
      <c r="Q80" s="694"/>
      <c r="R80" s="226" t="str">
        <f t="shared" si="524"/>
        <v>NA</v>
      </c>
      <c r="S80" s="694"/>
      <c r="T80" s="226" t="str">
        <f t="shared" si="525"/>
        <v>NA</v>
      </c>
      <c r="U80" s="694"/>
      <c r="V80" s="226" t="str">
        <f t="shared" si="526"/>
        <v>NA</v>
      </c>
      <c r="W80" s="694"/>
      <c r="X80" s="226" t="str">
        <f t="shared" si="527"/>
        <v>NA</v>
      </c>
      <c r="Y80" s="694"/>
      <c r="Z80" s="9" t="str">
        <f>IF(ISERROR(Y80/Q80),"NA",IF(OR(Y80/Q80&gt;2,Y80/Q80&lt;0.5),"NM",Y80/Q80*100-100))</f>
        <v>NA</v>
      </c>
      <c r="AA80" s="694"/>
      <c r="AB80" s="226" t="str">
        <f t="shared" si="528"/>
        <v>NA</v>
      </c>
      <c r="AC80" s="694">
        <f>(AC62+AA62+Y62+W62)/(AC55+AA55+Y55+W55)*100</f>
        <v>29.273406276616655</v>
      </c>
      <c r="AD80" s="226" t="str">
        <f t="shared" si="251"/>
        <v>NA</v>
      </c>
      <c r="AE80" s="694">
        <f>(AE62+AC62+AA62+Y62)/(AE55+AC55+AA55+Y55)*100</f>
        <v>32.948786343024807</v>
      </c>
      <c r="AF80" s="226" t="str">
        <f t="shared" si="201"/>
        <v>NA</v>
      </c>
      <c r="AG80" s="694">
        <f>(AG62+AE62+AC62+AA62)/(AG55+AE55+AC55+AA55)*100</f>
        <v>32.6517106743432</v>
      </c>
      <c r="AH80" s="226" t="str">
        <f t="shared" si="182"/>
        <v>NA</v>
      </c>
      <c r="AI80" s="694">
        <f>(AI62+AG62+AE62+AC62)/(AI55+AG55+AE55+AC55)*100</f>
        <v>33.793281320523569</v>
      </c>
      <c r="AJ80" s="226" t="str">
        <f t="shared" si="529"/>
        <v>NA</v>
      </c>
      <c r="AK80" s="694">
        <f>(AK62+AI62+AG62+AE62)/(AK55+AI55+AG55+AE55)*100</f>
        <v>34.725483973341795</v>
      </c>
      <c r="AL80" s="226">
        <f t="shared" si="530"/>
        <v>18.624678130061724</v>
      </c>
      <c r="AM80" s="694">
        <f>(AM62+AK62+AI62+AG62)/(AM55+AK55+AI55+AG55)*100</f>
        <v>33.118524134445288</v>
      </c>
      <c r="AN80" s="226">
        <f t="shared" si="531"/>
        <v>0.51515642990113975</v>
      </c>
      <c r="AO80" s="694">
        <f>(AO62+AM62+AK62+AI62)/(AO55+AM55+AK55+AI55)*100</f>
        <v>33.042714671015489</v>
      </c>
      <c r="AP80" s="226">
        <f t="shared" si="532"/>
        <v>1.1974992690950472</v>
      </c>
      <c r="AQ80" s="694">
        <f t="shared" ref="AQ80" si="545">(AQ62+AO62+AM62+AK62)/(AQ55+AO55+AM55+AK55)*100</f>
        <v>32.489968230758691</v>
      </c>
      <c r="AR80" s="226">
        <f t="shared" si="534"/>
        <v>-3.8567225165356831</v>
      </c>
      <c r="AS80" s="694">
        <f t="shared" ref="AS80" si="546">(AS62+AQ62+AO62+AM62)/(AS55+AQ55+AO55+AM55)*100</f>
        <v>31.829684711048877</v>
      </c>
      <c r="AT80" s="226">
        <f t="shared" si="535"/>
        <v>-8.3391185116843189</v>
      </c>
      <c r="AU80" s="694">
        <f t="shared" ref="AU80" si="547">(AU62+AS62+AQ62+AO62)/(AU55+AS55+AQ55+AO55)*100</f>
        <v>32.903920545447853</v>
      </c>
      <c r="AV80" s="226">
        <f t="shared" si="536"/>
        <v>-0.64798657128031323</v>
      </c>
      <c r="AW80" s="694">
        <f t="shared" ref="AW80" si="548">(AW62+AU62+AS62+AQ62)/(AW55+AU55+AS55+AQ55)*100</f>
        <v>33.954437077208652</v>
      </c>
      <c r="AX80" s="226">
        <f t="shared" si="537"/>
        <v>2.7592236753867923</v>
      </c>
      <c r="AY80" s="356"/>
      <c r="AZ80" s="694"/>
      <c r="BA80" s="694"/>
      <c r="BB80" s="694">
        <f t="shared" si="544"/>
        <v>0</v>
      </c>
      <c r="BC80" s="226" t="str">
        <f>IF(ISERROR(BB80/#REF!),"NA",IF(OR(BB80/#REF!&gt;2,BB80/#REF!&lt;0.5),"NM",BB80/#REF!*100-100))</f>
        <v>NA</v>
      </c>
      <c r="BD80" s="916">
        <f t="shared" si="544"/>
        <v>0</v>
      </c>
      <c r="BE80" s="226" t="str">
        <f t="shared" si="538"/>
        <v>NA</v>
      </c>
      <c r="BF80" s="57"/>
      <c r="BG80" s="754" t="str">
        <f t="shared" si="498"/>
        <v>NA</v>
      </c>
      <c r="BH80" s="57"/>
      <c r="BI80" s="754" t="str">
        <f t="shared" si="498"/>
        <v>NA</v>
      </c>
      <c r="BJ80" s="57"/>
      <c r="BK80" s="754" t="str">
        <f t="shared" si="498"/>
        <v>NA</v>
      </c>
      <c r="BL80" s="57"/>
      <c r="BM80" s="754" t="str">
        <f t="shared" si="498"/>
        <v>NA</v>
      </c>
      <c r="BN80" s="57"/>
      <c r="BO80" s="754" t="str">
        <f t="shared" si="498"/>
        <v>NA</v>
      </c>
      <c r="BP80" s="57"/>
      <c r="BQ80" s="226" t="str">
        <f t="shared" si="498"/>
        <v>NA</v>
      </c>
      <c r="BR80" s="57"/>
      <c r="BS80" s="226" t="str">
        <f t="shared" si="498"/>
        <v>NA</v>
      </c>
      <c r="BT80" s="57"/>
      <c r="BU80" s="226" t="str">
        <f t="shared" si="541"/>
        <v>NA</v>
      </c>
      <c r="BV80" s="43" t="str">
        <f>IF(ISERROR(((BT80/BJ80)^0.2-1)*100),"NA",IF((((BT80/BJ80)^0.2-1)*100)&gt;100,"NM",IF((((BT80/BJ80)^0.2-1)*100)&lt;-50,"NM",((BT80/BJ80)^0.2-1)*100)))</f>
        <v>NA</v>
      </c>
      <c r="BW80" s="621"/>
      <c r="BX80" s="621"/>
      <c r="BY80"/>
      <c r="BZ80"/>
      <c r="CA80"/>
      <c r="CB80"/>
      <c r="CC80"/>
      <c r="CD80"/>
    </row>
    <row r="81" spans="2:82" s="616" customFormat="1" ht="12.75" customHeight="1" x14ac:dyDescent="0.2">
      <c r="B81" s="617"/>
      <c r="C81" s="15"/>
      <c r="D81" s="623"/>
      <c r="E81" s="15"/>
      <c r="F81" s="623"/>
      <c r="G81" s="15"/>
      <c r="H81" s="623"/>
      <c r="I81" s="15"/>
      <c r="J81" s="623"/>
      <c r="K81" s="15"/>
      <c r="L81" s="623"/>
      <c r="M81" s="15"/>
      <c r="N81" s="620"/>
      <c r="O81" s="619"/>
      <c r="P81" s="620"/>
      <c r="Q81" s="619"/>
      <c r="R81" s="620"/>
      <c r="S81" s="619"/>
      <c r="T81" s="620"/>
      <c r="U81" s="619"/>
      <c r="V81" s="620"/>
      <c r="W81" s="619"/>
      <c r="X81" s="620"/>
      <c r="Y81" s="619"/>
      <c r="Z81" s="620"/>
      <c r="AA81" s="619"/>
      <c r="AB81" s="620"/>
      <c r="AC81" s="619"/>
      <c r="AD81" s="620"/>
      <c r="AE81" s="619"/>
      <c r="AF81" s="620"/>
      <c r="AG81" s="619"/>
      <c r="AH81" s="620"/>
      <c r="AI81" s="619"/>
      <c r="AJ81" s="620"/>
      <c r="AK81" s="619"/>
      <c r="AL81" s="620"/>
      <c r="AM81" s="619"/>
      <c r="AN81" s="620"/>
      <c r="AO81" s="619"/>
      <c r="AP81" s="620"/>
      <c r="AQ81" s="619"/>
      <c r="AR81" s="620"/>
      <c r="AS81" s="619"/>
      <c r="AT81" s="620"/>
      <c r="AU81" s="619"/>
      <c r="AV81" s="620"/>
      <c r="AW81" s="619"/>
      <c r="AX81" s="620"/>
      <c r="AY81" s="356"/>
      <c r="AZ81" s="618"/>
      <c r="BA81" s="620"/>
      <c r="BB81" s="55"/>
      <c r="BC81" s="55"/>
      <c r="BD81" s="908"/>
      <c r="BE81" s="55"/>
      <c r="BF81" s="55"/>
      <c r="BG81" s="626"/>
      <c r="BH81" s="55"/>
      <c r="BI81" s="626"/>
      <c r="BJ81" s="55"/>
      <c r="BK81" s="626"/>
      <c r="BL81" s="55"/>
      <c r="BM81" s="626"/>
      <c r="BN81" s="55"/>
      <c r="BO81" s="626"/>
      <c r="BP81" s="55"/>
      <c r="BQ81" s="623"/>
      <c r="BR81" s="55"/>
      <c r="BS81" s="623"/>
      <c r="BT81" s="55"/>
      <c r="BU81" s="623"/>
      <c r="BV81" s="39"/>
      <c r="BW81" s="621"/>
      <c r="BX81" s="621"/>
      <c r="BY81"/>
      <c r="BZ81"/>
      <c r="CA81"/>
      <c r="CB81"/>
      <c r="CC81"/>
      <c r="CD81"/>
    </row>
    <row r="82" spans="2:82" s="265" customFormat="1" ht="12.75" customHeight="1" collapsed="1" x14ac:dyDescent="0.2">
      <c r="B82" s="266" t="s">
        <v>551</v>
      </c>
      <c r="C82" s="657"/>
      <c r="D82" s="624"/>
      <c r="E82" s="657"/>
      <c r="F82" s="624"/>
      <c r="G82" s="657"/>
      <c r="H82" s="624"/>
      <c r="I82" s="657"/>
      <c r="J82" s="624"/>
      <c r="K82" s="657"/>
      <c r="L82" s="624"/>
      <c r="M82" s="657"/>
      <c r="N82" s="269"/>
      <c r="O82" s="268"/>
      <c r="P82" s="269"/>
      <c r="Q82" s="268"/>
      <c r="R82" s="269"/>
      <c r="S82" s="268"/>
      <c r="T82" s="269"/>
      <c r="U82" s="268"/>
      <c r="V82" s="269"/>
      <c r="W82" s="268"/>
      <c r="X82" s="269"/>
      <c r="Y82" s="268"/>
      <c r="Z82" s="269"/>
      <c r="AA82" s="268"/>
      <c r="AB82" s="269"/>
      <c r="AC82" s="268"/>
      <c r="AD82" s="269"/>
      <c r="AE82" s="268"/>
      <c r="AF82" s="269"/>
      <c r="AG82" s="268"/>
      <c r="AH82" s="269"/>
      <c r="AI82" s="268"/>
      <c r="AJ82" s="269"/>
      <c r="AK82" s="268"/>
      <c r="AL82" s="269"/>
      <c r="AM82" s="268"/>
      <c r="AN82" s="269"/>
      <c r="AO82" s="268"/>
      <c r="AP82" s="269"/>
      <c r="AQ82" s="268"/>
      <c r="AR82" s="269"/>
      <c r="AS82" s="268"/>
      <c r="AT82" s="269"/>
      <c r="AU82" s="268"/>
      <c r="AV82" s="269"/>
      <c r="AW82" s="268"/>
      <c r="AX82" s="269"/>
      <c r="AY82" s="268"/>
      <c r="AZ82" s="267"/>
      <c r="BA82" s="269"/>
      <c r="BB82" s="627"/>
      <c r="BC82" s="627"/>
      <c r="BD82" s="917"/>
      <c r="BE82" s="627"/>
      <c r="BF82" s="627"/>
      <c r="BG82" s="628"/>
      <c r="BH82" s="627"/>
      <c r="BI82" s="628"/>
      <c r="BJ82" s="627"/>
      <c r="BK82" s="628"/>
      <c r="BL82" s="627"/>
      <c r="BM82" s="628"/>
      <c r="BN82" s="627"/>
      <c r="BO82" s="628"/>
      <c r="BP82" s="627"/>
      <c r="BQ82" s="624"/>
      <c r="BR82" s="627"/>
      <c r="BS82" s="624"/>
      <c r="BT82" s="627"/>
      <c r="BU82" s="624"/>
      <c r="BV82" s="625"/>
      <c r="BW82" s="270"/>
      <c r="BX82" s="270"/>
      <c r="BY82"/>
      <c r="BZ82"/>
      <c r="CA82"/>
      <c r="CB82"/>
      <c r="CC82"/>
      <c r="CD82"/>
    </row>
    <row r="83" spans="2:82" s="616" customFormat="1" ht="12.75" customHeight="1" x14ac:dyDescent="0.2">
      <c r="B83" s="617"/>
      <c r="C83" s="15"/>
      <c r="D83" s="623"/>
      <c r="E83" s="15"/>
      <c r="F83" s="623"/>
      <c r="G83" s="15"/>
      <c r="H83" s="623"/>
      <c r="I83" s="15"/>
      <c r="J83" s="623"/>
      <c r="K83" s="15"/>
      <c r="L83" s="623"/>
      <c r="M83" s="15"/>
      <c r="N83" s="620"/>
      <c r="O83" s="619"/>
      <c r="P83" s="620"/>
      <c r="Q83" s="619"/>
      <c r="R83" s="620"/>
      <c r="S83" s="619"/>
      <c r="T83" s="620"/>
      <c r="U83" s="619"/>
      <c r="V83" s="620"/>
      <c r="W83" s="619"/>
      <c r="X83" s="620"/>
      <c r="Y83" s="619"/>
      <c r="Z83" s="620"/>
      <c r="AA83" s="619"/>
      <c r="AB83" s="620"/>
      <c r="AC83" s="619"/>
      <c r="AD83" s="620"/>
      <c r="AE83" s="619"/>
      <c r="AF83" s="620"/>
      <c r="AG83" s="619"/>
      <c r="AH83" s="620"/>
      <c r="AI83" s="619"/>
      <c r="AJ83" s="620"/>
      <c r="AK83" s="619"/>
      <c r="AL83" s="620"/>
      <c r="AM83" s="619"/>
      <c r="AN83" s="620"/>
      <c r="AO83" s="619"/>
      <c r="AP83" s="620"/>
      <c r="AQ83" s="619"/>
      <c r="AR83" s="620"/>
      <c r="AS83" s="619"/>
      <c r="AT83" s="620"/>
      <c r="AU83" s="619"/>
      <c r="AV83" s="620"/>
      <c r="AW83" s="619"/>
      <c r="AX83" s="620"/>
      <c r="AY83" s="356"/>
      <c r="AZ83" s="618"/>
      <c r="BA83" s="620"/>
      <c r="BB83" s="55"/>
      <c r="BC83" s="55"/>
      <c r="BD83" s="908"/>
      <c r="BE83" s="55"/>
      <c r="BF83" s="55"/>
      <c r="BG83" s="626"/>
      <c r="BH83" s="55"/>
      <c r="BI83" s="626"/>
      <c r="BJ83" s="55"/>
      <c r="BK83" s="626"/>
      <c r="BL83" s="55"/>
      <c r="BM83" s="626"/>
      <c r="BN83" s="55"/>
      <c r="BO83" s="626"/>
      <c r="BP83" s="55"/>
      <c r="BQ83" s="623"/>
      <c r="BR83" s="55"/>
      <c r="BS83" s="623"/>
      <c r="BT83" s="55"/>
      <c r="BU83" s="623"/>
      <c r="BV83" s="39"/>
      <c r="BW83" s="621"/>
      <c r="BX83" s="621"/>
      <c r="BY83"/>
      <c r="BZ83"/>
      <c r="CA83"/>
      <c r="CB83"/>
      <c r="CC83"/>
      <c r="CD83"/>
    </row>
    <row r="84" spans="2:82" s="616" customFormat="1" ht="12.75" customHeight="1" x14ac:dyDescent="0.2">
      <c r="B84" s="42" t="s">
        <v>463</v>
      </c>
      <c r="C84" s="15"/>
      <c r="D84" s="623"/>
      <c r="E84" s="15"/>
      <c r="F84" s="623"/>
      <c r="G84" s="15"/>
      <c r="H84" s="623"/>
      <c r="I84" s="15"/>
      <c r="J84" s="623"/>
      <c r="K84" s="15"/>
      <c r="L84" s="623"/>
      <c r="M84" s="15"/>
      <c r="N84" s="620"/>
      <c r="O84" s="653">
        <v>31000</v>
      </c>
      <c r="P84" s="9" t="str">
        <f t="shared" ref="P84:V94" si="549">IF(ISERROR(O84/G84),"NA",IF(OR(O84/G84&gt;2,O84/G84&lt;0.5),"NM",O84/G84*100-100))</f>
        <v>NA</v>
      </c>
      <c r="Q84" s="691">
        <f>O90</f>
        <v>30600</v>
      </c>
      <c r="R84" s="9" t="str">
        <f t="shared" ref="R84:R92" si="550">IF(ISERROR(Q84/I84),"NA",IF(OR(Q84/I84&gt;2,Q84/I84&lt;0.5),"NM",Q84/I84*100-100))</f>
        <v>NA</v>
      </c>
      <c r="S84" s="691">
        <f>Q90</f>
        <v>31100</v>
      </c>
      <c r="T84" s="9" t="str">
        <f t="shared" ref="T84:T92" si="551">IF(ISERROR(S84/K84),"NA",IF(OR(S84/K84&gt;2,S84/K84&lt;0.5),"NM",S84/K84*100-100))</f>
        <v>NA</v>
      </c>
      <c r="U84" s="691">
        <f>S90</f>
        <v>30900</v>
      </c>
      <c r="V84" s="9" t="str">
        <f t="shared" ref="V84:V92" si="552">IF(ISERROR(U84/M84),"NA",IF(OR(U84/M84&gt;2,U84/M84&lt;0.5),"NM",U84/M84*100-100))</f>
        <v>NA</v>
      </c>
      <c r="W84" s="691">
        <f t="shared" ref="W84:AO84" si="553">U90</f>
        <v>31700</v>
      </c>
      <c r="X84" s="9">
        <f t="shared" ref="X84:X94" si="554">IF(ISERROR(W84/O84),"NA",IF(OR(W84/O84&gt;2,W84/O84&lt;0.5),"NM",W84/O84*100-100))</f>
        <v>2.2580645161290249</v>
      </c>
      <c r="Y84" s="691">
        <f t="shared" si="553"/>
        <v>32300</v>
      </c>
      <c r="Z84" s="9">
        <f t="shared" ref="Z84:Z94" si="555">IF(ISERROR(Y84/Q84),"NA",IF(OR(Y84/Q84&gt;2,Y84/Q84&lt;0.5),"NM",Y84/Q84*100-100))</f>
        <v>5.5555555555555571</v>
      </c>
      <c r="AA84" s="691">
        <f>Y90</f>
        <v>33300</v>
      </c>
      <c r="AB84" s="9">
        <f t="shared" ref="AB84:AB94" si="556">IF(ISERROR(AA84/S84),"NA",IF(OR(AA84/S84&gt;2,AA84/S84&lt;0.5),"NM",AA84/S84*100-100))</f>
        <v>7.0739549839228317</v>
      </c>
      <c r="AC84" s="691">
        <f t="shared" si="553"/>
        <v>34700</v>
      </c>
      <c r="AD84" s="9">
        <f t="shared" ref="AD84:AD94" si="557">IF(ISERROR(AC84/U84),"NA",IF(OR(AC84/U84&gt;2,AC84/U84&lt;0.5),"NM",AC84/U84*100-100))</f>
        <v>12.29773462783173</v>
      </c>
      <c r="AE84" s="691">
        <f t="shared" si="553"/>
        <v>36200</v>
      </c>
      <c r="AF84" s="9">
        <f t="shared" ref="AF84:AF94" si="558">IF(ISERROR(AE84/W84),"NA",IF(OR(AE84/W84&gt;2,AE84/W84&lt;0.5),"NM",AE84/W84*100-100))</f>
        <v>14.195583596214504</v>
      </c>
      <c r="AG84" s="691">
        <f t="shared" si="553"/>
        <v>36400</v>
      </c>
      <c r="AH84" s="9">
        <f t="shared" ref="AH84:AH92" si="559">IF(ISERROR(AG84/Y84),"NA",IF(OR(AG84/Y84&gt;2,AG84/Y84&lt;0.5),"NM",AG84/Y84*100-100))</f>
        <v>12.693498452012378</v>
      </c>
      <c r="AI84" s="691">
        <f t="shared" si="553"/>
        <v>37600</v>
      </c>
      <c r="AJ84" s="9">
        <f t="shared" ref="AJ84:AJ90" si="560">IF(ISERROR(AI84/AA84),"NA",IF(OR(AI84/AA84&gt;2,AI84/AA84&lt;0.5),"NM",AI84/AA84*100-100))</f>
        <v>12.912912912912915</v>
      </c>
      <c r="AK84" s="691">
        <f t="shared" si="553"/>
        <v>38500</v>
      </c>
      <c r="AL84" s="9">
        <f t="shared" ref="AL84:AL90" si="561">IF(ISERROR(AK84/AC84),"NA",IF(OR(AK84/AC84&gt;2,AK84/AC84&lt;0.5),"NM",AK84/AC84*100-100))</f>
        <v>10.951008645533136</v>
      </c>
      <c r="AM84" s="691">
        <f t="shared" si="553"/>
        <v>39200</v>
      </c>
      <c r="AN84" s="9">
        <f t="shared" ref="AN84:AN90" si="562">IF(ISERROR(AM84/AE84),"NA",IF(OR(AM84/AE84&gt;2,AM84/AE84&lt;0.5),"NM",AM84/AE84*100-100))</f>
        <v>8.2872928176795426</v>
      </c>
      <c r="AO84" s="691">
        <f t="shared" si="553"/>
        <v>40500</v>
      </c>
      <c r="AP84" s="9">
        <f t="shared" ref="AP84:AP90" si="563">IF(ISERROR(AO84/AG84),"NA",IF(OR(AO84/AG84&gt;2,AO84/AG84&lt;0.5),"NM",AO84/AG84*100-100))</f>
        <v>11.263736263736263</v>
      </c>
      <c r="AQ84" s="691">
        <f t="shared" ref="AQ84" si="564">+AO90</f>
        <v>41000</v>
      </c>
      <c r="AR84" s="9">
        <f t="shared" ref="AR84:AR90" si="565">IF(ISERROR(AQ84/AI84),"NA",IF(OR(AQ84/AI84&gt;2,AQ84/AI84&lt;0.5),"NM",AQ84/AI84*100-100))</f>
        <v>9.0425531914893611</v>
      </c>
      <c r="AS84" s="691">
        <f t="shared" ref="AS84" si="566">+AQ90</f>
        <v>41510</v>
      </c>
      <c r="AT84" s="9">
        <f t="shared" ref="AT84:AT90" si="567">IF(ISERROR(AS84/AK84),"NA",IF(OR(AS84/AK84&gt;2,AS84/AK84&lt;0.5),"NM",AS84/AK84*100-100))</f>
        <v>7.818181818181813</v>
      </c>
      <c r="AU84" s="691">
        <f t="shared" ref="AU84" si="568">+AS90</f>
        <v>42009.799999999996</v>
      </c>
      <c r="AV84" s="9">
        <f t="shared" ref="AV84:AV90" si="569">IF(ISERROR(AU84/AM84),"NA",IF(OR(AU84/AM84&gt;2,AU84/AM84&lt;0.5),"NM",AU84/AM84*100-100))</f>
        <v>7.1678571428571303</v>
      </c>
      <c r="AW84" s="691">
        <f t="shared" ref="AW84" si="570">+AU90</f>
        <v>42499.603999999992</v>
      </c>
      <c r="AX84" s="9">
        <f t="shared" ref="AX84:AX90" si="571">IF(ISERROR(AW84/AO84),"NA",IF(OR(AW84/AO84&gt;2,AW84/AO84&lt;0.5),"NM",AW84/AO84*100-100))</f>
        <v>4.937293827160488</v>
      </c>
      <c r="AY84" s="356"/>
      <c r="AZ84" s="618"/>
      <c r="BA84" s="620"/>
      <c r="BB84" s="55"/>
      <c r="BC84" s="226" t="str">
        <f>IF(ISERROR(BB84/#REF!),"NA",IF(OR(BB84/#REF!&gt;2,BB84/#REF!&lt;0.5),"NM",BB84/#REF!*100-100))</f>
        <v>NA</v>
      </c>
      <c r="BD84" s="908"/>
      <c r="BE84" s="226" t="str">
        <f t="shared" ref="BE84:BS92" si="572">IF(ISERROR(BD84/BB84),"NA",IF(OR(BD84/BB84&gt;2,BD84/BB84&lt;0.5),"NM",BD84/BB84*100-100))</f>
        <v>NA</v>
      </c>
      <c r="BF84" s="55">
        <f>Q90</f>
        <v>31100</v>
      </c>
      <c r="BG84" s="226" t="str">
        <f t="shared" si="572"/>
        <v>NA</v>
      </c>
      <c r="BH84" s="55">
        <f>BF90</f>
        <v>33300</v>
      </c>
      <c r="BI84" s="226">
        <f t="shared" si="572"/>
        <v>7.0739549839228317</v>
      </c>
      <c r="BJ84" s="55">
        <f>BH90</f>
        <v>37600</v>
      </c>
      <c r="BK84" s="226">
        <f t="shared" si="572"/>
        <v>12.912912912912915</v>
      </c>
      <c r="BL84" s="55">
        <f>BJ90</f>
        <v>41000</v>
      </c>
      <c r="BM84" s="226">
        <f t="shared" si="572"/>
        <v>9.0425531914893611</v>
      </c>
      <c r="BN84" s="55">
        <f>BL90</f>
        <v>42979.611920000003</v>
      </c>
      <c r="BO84" s="226">
        <f t="shared" si="572"/>
        <v>4.82832175609758</v>
      </c>
      <c r="BP84" s="55">
        <f t="shared" ref="BP84" si="573">BN90</f>
        <v>44925.887250192907</v>
      </c>
      <c r="BQ84" s="226">
        <f t="shared" si="572"/>
        <v>4.5283687852175234</v>
      </c>
      <c r="BR84" s="55">
        <f t="shared" ref="BR84" si="574">BP90</f>
        <v>46876.548608957877</v>
      </c>
      <c r="BS84" s="226">
        <f t="shared" si="572"/>
        <v>4.3419540006003814</v>
      </c>
      <c r="BT84" s="55">
        <f t="shared" ref="BT84" si="575">BR90</f>
        <v>48836.167063868503</v>
      </c>
      <c r="BU84" s="226">
        <f t="shared" ref="BU84:BU90" si="576">IF(ISERROR(BT84/BR84),"NA",IF(OR(BT84/BR84&gt;2,BT84/BR84&lt;0.5),"NM",BT84/BR84*100-100))</f>
        <v>4.1803812632574164</v>
      </c>
      <c r="BV84" s="43">
        <f t="shared" ref="BV84:BV90" si="577">IF(ISERROR(((BT84/BJ84)^0.2-1)*100),"NA",IF((((BT84/BJ84)^0.2-1)*100)&gt;100,"NM",IF((((BT84/BJ84)^0.2-1)*100)&lt;-50,"NM",((BT84/BJ84)^0.2-1)*100)))</f>
        <v>5.3684872812999274</v>
      </c>
      <c r="BW84" s="621"/>
      <c r="BX84" s="621"/>
      <c r="BY84"/>
      <c r="BZ84"/>
      <c r="CA84"/>
      <c r="CB84"/>
      <c r="CC84"/>
      <c r="CD84"/>
    </row>
    <row r="85" spans="2:82" s="616" customFormat="1" ht="12.75" customHeight="1" x14ac:dyDescent="0.2">
      <c r="B85" s="5" t="s">
        <v>135</v>
      </c>
      <c r="C85" s="15"/>
      <c r="D85" s="623"/>
      <c r="E85" s="15"/>
      <c r="F85" s="623"/>
      <c r="G85" s="15"/>
      <c r="H85" s="623"/>
      <c r="I85" s="15"/>
      <c r="J85" s="623"/>
      <c r="K85" s="15"/>
      <c r="L85" s="623"/>
      <c r="M85" s="15"/>
      <c r="N85" s="620"/>
      <c r="O85" s="653">
        <v>1100</v>
      </c>
      <c r="P85" s="9" t="str">
        <f t="shared" si="549"/>
        <v>NA</v>
      </c>
      <c r="Q85" s="653">
        <v>1300</v>
      </c>
      <c r="R85" s="9" t="str">
        <f t="shared" si="550"/>
        <v>NA</v>
      </c>
      <c r="S85" s="653">
        <v>800</v>
      </c>
      <c r="T85" s="9" t="str">
        <f t="shared" si="551"/>
        <v>NA</v>
      </c>
      <c r="U85" s="653">
        <v>1900</v>
      </c>
      <c r="V85" s="9" t="str">
        <f t="shared" si="552"/>
        <v>NA</v>
      </c>
      <c r="W85" s="653">
        <v>1500</v>
      </c>
      <c r="X85" s="9">
        <f t="shared" si="554"/>
        <v>36.363636363636346</v>
      </c>
      <c r="Y85" s="653">
        <v>2000</v>
      </c>
      <c r="Z85" s="9">
        <f t="shared" si="555"/>
        <v>53.846153846153868</v>
      </c>
      <c r="AA85" s="653">
        <v>3700</v>
      </c>
      <c r="AB85" s="9" t="str">
        <f t="shared" si="556"/>
        <v>NM</v>
      </c>
      <c r="AC85" s="653">
        <v>2700</v>
      </c>
      <c r="AD85" s="9">
        <f t="shared" si="557"/>
        <v>42.10526315789474</v>
      </c>
      <c r="AE85" s="653">
        <v>700</v>
      </c>
      <c r="AF85" s="9" t="str">
        <f t="shared" si="558"/>
        <v>NM</v>
      </c>
      <c r="AG85" s="653">
        <v>2400</v>
      </c>
      <c r="AH85" s="9">
        <f t="shared" si="559"/>
        <v>20</v>
      </c>
      <c r="AI85" s="653">
        <v>2200</v>
      </c>
      <c r="AJ85" s="9">
        <f t="shared" si="560"/>
        <v>-40.54054054054054</v>
      </c>
      <c r="AK85" s="653">
        <v>4300</v>
      </c>
      <c r="AL85" s="9">
        <f t="shared" si="561"/>
        <v>59.259259259259267</v>
      </c>
      <c r="AM85" s="653">
        <v>2000</v>
      </c>
      <c r="AN85" s="9" t="str">
        <f t="shared" si="562"/>
        <v>NM</v>
      </c>
      <c r="AO85" s="653">
        <v>1400</v>
      </c>
      <c r="AP85" s="9">
        <f t="shared" si="563"/>
        <v>-41.666666666666664</v>
      </c>
      <c r="AQ85" s="653">
        <f>AO85*0.95</f>
        <v>1330</v>
      </c>
      <c r="AR85" s="9">
        <f t="shared" si="565"/>
        <v>-39.545454545454547</v>
      </c>
      <c r="AS85" s="653">
        <f t="shared" ref="AS85" si="578">AQ85</f>
        <v>1330</v>
      </c>
      <c r="AT85" s="9" t="str">
        <f t="shared" si="567"/>
        <v>NM</v>
      </c>
      <c r="AU85" s="653">
        <f t="shared" ref="AU85" si="579">AS85</f>
        <v>1330</v>
      </c>
      <c r="AV85" s="9">
        <f t="shared" si="569"/>
        <v>-33.5</v>
      </c>
      <c r="AW85" s="653">
        <f t="shared" ref="AW85" si="580">AU85</f>
        <v>1330</v>
      </c>
      <c r="AX85" s="9">
        <f t="shared" si="571"/>
        <v>-5</v>
      </c>
      <c r="AY85" s="356"/>
      <c r="AZ85" s="618"/>
      <c r="BA85" s="620"/>
      <c r="BB85" s="55"/>
      <c r="BC85" s="226" t="str">
        <f>IF(ISERROR(BB85/#REF!),"NA",IF(OR(BB85/#REF!&gt;2,BB85/#REF!&lt;0.5),"NM",BB85/#REF!*100-100))</f>
        <v>NA</v>
      </c>
      <c r="BD85" s="908"/>
      <c r="BE85" s="226" t="str">
        <f t="shared" si="572"/>
        <v>NA</v>
      </c>
      <c r="BF85" s="55">
        <f>S85+U85+W85+Y85</f>
        <v>6200</v>
      </c>
      <c r="BG85" s="226" t="str">
        <f t="shared" si="572"/>
        <v>NA</v>
      </c>
      <c r="BH85" s="55">
        <f>AA85+AC85+AE85+AG85</f>
        <v>9500</v>
      </c>
      <c r="BI85" s="226">
        <f t="shared" si="572"/>
        <v>53.225806451612897</v>
      </c>
      <c r="BJ85" s="55">
        <f>AI85+AK85+AM85+AO85</f>
        <v>9900</v>
      </c>
      <c r="BK85" s="226">
        <f t="shared" si="572"/>
        <v>4.2105263157894655</v>
      </c>
      <c r="BL85" s="55">
        <f>AQ85+AS85+AU85+AW85</f>
        <v>5320</v>
      </c>
      <c r="BM85" s="226">
        <f t="shared" si="572"/>
        <v>-46.262626262626263</v>
      </c>
      <c r="BN85" s="653">
        <f>BL85*1.03</f>
        <v>5479.6</v>
      </c>
      <c r="BO85" s="226">
        <f t="shared" si="572"/>
        <v>3</v>
      </c>
      <c r="BP85" s="653">
        <f>BN85*1.03</f>
        <v>5643.9880000000003</v>
      </c>
      <c r="BQ85" s="226">
        <f t="shared" si="572"/>
        <v>3</v>
      </c>
      <c r="BR85" s="653">
        <f>BP85*1.03</f>
        <v>5813.30764</v>
      </c>
      <c r="BS85" s="226">
        <f t="shared" si="572"/>
        <v>3</v>
      </c>
      <c r="BT85" s="653">
        <f>BR85*1.03</f>
        <v>5987.7068692000003</v>
      </c>
      <c r="BU85" s="226">
        <f t="shared" si="576"/>
        <v>3</v>
      </c>
      <c r="BV85" s="43">
        <f t="shared" si="577"/>
        <v>-9.5673895853883639</v>
      </c>
      <c r="BW85" s="621"/>
      <c r="BX85" s="621"/>
      <c r="BY85"/>
      <c r="BZ85"/>
      <c r="CA85"/>
      <c r="CB85"/>
      <c r="CC85"/>
      <c r="CD85"/>
    </row>
    <row r="86" spans="2:82" s="616" customFormat="1" ht="12.75" hidden="1" customHeight="1" outlineLevel="1" x14ac:dyDescent="0.2">
      <c r="B86" s="222" t="s">
        <v>199</v>
      </c>
      <c r="C86" s="15"/>
      <c r="D86" s="623"/>
      <c r="E86" s="15"/>
      <c r="F86" s="623"/>
      <c r="G86" s="15"/>
      <c r="H86" s="623"/>
      <c r="I86" s="15"/>
      <c r="J86" s="623"/>
      <c r="K86" s="15"/>
      <c r="L86" s="623"/>
      <c r="M86" s="15"/>
      <c r="N86" s="620"/>
      <c r="O86" s="45">
        <f>O85</f>
        <v>1100</v>
      </c>
      <c r="P86" s="46" t="str">
        <f t="shared" si="549"/>
        <v>NA</v>
      </c>
      <c r="Q86" s="45">
        <f>Q85</f>
        <v>1300</v>
      </c>
      <c r="R86" s="46" t="str">
        <f t="shared" si="550"/>
        <v>NA</v>
      </c>
      <c r="S86" s="45">
        <f>S85</f>
        <v>800</v>
      </c>
      <c r="T86" s="46" t="str">
        <f t="shared" si="551"/>
        <v>NA</v>
      </c>
      <c r="U86" s="45">
        <f>U85</f>
        <v>1900</v>
      </c>
      <c r="V86" s="9" t="str">
        <f t="shared" si="552"/>
        <v>NA</v>
      </c>
      <c r="W86" s="45">
        <f t="shared" ref="W86:Y86" si="581">W85</f>
        <v>1500</v>
      </c>
      <c r="X86" s="9">
        <f t="shared" si="554"/>
        <v>36.363636363636346</v>
      </c>
      <c r="Y86" s="45">
        <f t="shared" si="581"/>
        <v>2000</v>
      </c>
      <c r="Z86" s="46">
        <f t="shared" si="555"/>
        <v>53.846153846153868</v>
      </c>
      <c r="AA86" s="45">
        <f t="shared" ref="AA86:AC86" si="582">AA85</f>
        <v>3700</v>
      </c>
      <c r="AB86" s="46" t="str">
        <f t="shared" si="556"/>
        <v>NM</v>
      </c>
      <c r="AC86" s="45">
        <f t="shared" si="582"/>
        <v>2700</v>
      </c>
      <c r="AD86" s="46">
        <f t="shared" si="557"/>
        <v>42.10526315789474</v>
      </c>
      <c r="AE86" s="45">
        <f t="shared" ref="AE86:AG86" si="583">AE85</f>
        <v>700</v>
      </c>
      <c r="AF86" s="46" t="str">
        <f t="shared" si="558"/>
        <v>NM</v>
      </c>
      <c r="AG86" s="45">
        <f t="shared" si="583"/>
        <v>2400</v>
      </c>
      <c r="AH86" s="9">
        <f t="shared" si="559"/>
        <v>20</v>
      </c>
      <c r="AI86" s="45">
        <f t="shared" ref="AI86:AK86" si="584">AI85</f>
        <v>2200</v>
      </c>
      <c r="AJ86" s="9">
        <f t="shared" si="560"/>
        <v>-40.54054054054054</v>
      </c>
      <c r="AK86" s="45">
        <f t="shared" si="584"/>
        <v>4300</v>
      </c>
      <c r="AL86" s="9">
        <f t="shared" si="561"/>
        <v>59.259259259259267</v>
      </c>
      <c r="AM86" s="45">
        <f t="shared" ref="AM86:AO86" si="585">AM85</f>
        <v>2000</v>
      </c>
      <c r="AN86" s="9" t="str">
        <f t="shared" si="562"/>
        <v>NM</v>
      </c>
      <c r="AO86" s="45">
        <f t="shared" si="585"/>
        <v>1400</v>
      </c>
      <c r="AP86" s="9">
        <f t="shared" si="563"/>
        <v>-41.666666666666664</v>
      </c>
      <c r="AQ86" s="45">
        <f>IF($B$6=1,AQ85,IF($B$6=2,(AQ96+AQ997)*(AQ84/400),IF($B$6=3,(AQ96+AQ998)*(AQ84/400))))</f>
        <v>1330</v>
      </c>
      <c r="AR86" s="9">
        <f t="shared" si="565"/>
        <v>-39.545454545454547</v>
      </c>
      <c r="AS86" s="45">
        <f>IF($B$6=1,AS85,IF($B$6=2,(AS96+AS997)*(AS84/400),IF($B$6=3,(AS96+AS998)*(AS84/400))))</f>
        <v>1330</v>
      </c>
      <c r="AT86" s="9" t="str">
        <f t="shared" si="567"/>
        <v>NM</v>
      </c>
      <c r="AU86" s="45">
        <f>IF($B$6=1,AU85,IF($B$6=2,(AU96+AU997)*(AU84/400),IF($B$6=3,(AU96+AU998)*(AU84/400))))</f>
        <v>1330</v>
      </c>
      <c r="AV86" s="9">
        <f t="shared" si="569"/>
        <v>-33.5</v>
      </c>
      <c r="AW86" s="45">
        <f>IF($B$6=1,AW85,IF($B$6=2,(AW96+AW997)*(AW84/400),IF($B$6=3,(AW96+AW998)*(AW84/400))))</f>
        <v>1330</v>
      </c>
      <c r="AX86" s="9">
        <f t="shared" si="571"/>
        <v>-5</v>
      </c>
      <c r="AY86" s="356"/>
      <c r="AZ86" s="618"/>
      <c r="BA86" s="620"/>
      <c r="BB86" s="45">
        <f>IF($B$6=1,BB85,IF($B$6=2,(BB96+BB997)*(BB84/400),IF($B$6=3,(BB96+BB998)*(BB84/400))))</f>
        <v>0</v>
      </c>
      <c r="BC86" s="226" t="str">
        <f>IF(ISERROR(BB86/#REF!),"NA",IF(OR(BB86/#REF!&gt;2,BB86/#REF!&lt;0.5),"NM",BB86/#REF!*100-100))</f>
        <v>NA</v>
      </c>
      <c r="BD86" s="918"/>
      <c r="BE86" s="226" t="str">
        <f t="shared" si="572"/>
        <v>NA</v>
      </c>
      <c r="BF86" s="45">
        <f>IF($B$6=1,BF85,IF($B$6=2,(BF96+BF997)*(BF84/400),IF($B$6=3,(BF96+BF998)*(BF84/400))))</f>
        <v>6200</v>
      </c>
      <c r="BG86" s="226" t="str">
        <f t="shared" si="572"/>
        <v>NA</v>
      </c>
      <c r="BH86" s="45">
        <f>IF($B$6=1,BH85,IF($B$6=2,(BH96+BH997)*(BH84/400),IF($B$6=3,(BH96+BH998)*(BH84/400))))</f>
        <v>9500</v>
      </c>
      <c r="BI86" s="226">
        <f t="shared" si="572"/>
        <v>53.225806451612897</v>
      </c>
      <c r="BJ86" s="45">
        <f>IF($B$6=1,BJ85,IF($B$6=2,(BJ96+BJ997)*(BJ84/400),IF($B$6=3,(BJ96+BJ998)*(BJ84/400))))</f>
        <v>9900</v>
      </c>
      <c r="BK86" s="226">
        <f t="shared" si="572"/>
        <v>4.2105263157894655</v>
      </c>
      <c r="BL86" s="45">
        <f>IF($B$6=1,BL85,IF($B$6=2,(BL96+BL997)*(BL84/400),IF($B$6=3,(BL96+BL998)*(BL84/400))))</f>
        <v>5320</v>
      </c>
      <c r="BM86" s="226">
        <f t="shared" si="572"/>
        <v>-46.262626262626263</v>
      </c>
      <c r="BN86" s="45">
        <f>IF($B$6=1,BN85,IF($B$6=2,(BN96+BN997)*(BN84/400),IF($B$6=3,(BN96+BN998)*(BN84/400))))</f>
        <v>5479.6</v>
      </c>
      <c r="BO86" s="226">
        <f t="shared" si="572"/>
        <v>3</v>
      </c>
      <c r="BP86" s="45">
        <f>IF($B$6=1,BP85,IF($B$6=2,(BP96+BP997)*(BP84/400),IF($B$6=3,(BP96+BP998)*(BP84/400))))</f>
        <v>5643.9880000000003</v>
      </c>
      <c r="BQ86" s="226">
        <f t="shared" si="572"/>
        <v>3</v>
      </c>
      <c r="BR86" s="45">
        <f>IF($B$6=1,BR85,IF($B$6=2,(BR96+BR997)*(BR84/400),IF($B$6=3,(BR96+BR998)*(BR84/400))))</f>
        <v>5813.30764</v>
      </c>
      <c r="BS86" s="226">
        <f t="shared" si="572"/>
        <v>3</v>
      </c>
      <c r="BT86" s="45">
        <f>IF($B$6=1,BT85,IF($B$6=2,(BT96+BT997)*(BT84/400),IF($B$6=3,(BT96+BT998)*(BT84/400))))</f>
        <v>5987.7068692000003</v>
      </c>
      <c r="BU86" s="226">
        <f t="shared" si="576"/>
        <v>3</v>
      </c>
      <c r="BV86" s="43">
        <f t="shared" si="577"/>
        <v>-9.5673895853883639</v>
      </c>
      <c r="BW86" s="621"/>
      <c r="BX86" s="621"/>
      <c r="BY86"/>
      <c r="BZ86"/>
      <c r="CA86"/>
      <c r="CB86"/>
      <c r="CC86"/>
      <c r="CD86"/>
    </row>
    <row r="87" spans="2:82" s="616" customFormat="1" ht="12.75" customHeight="1" collapsed="1" x14ac:dyDescent="0.2">
      <c r="B87" s="5" t="s">
        <v>136</v>
      </c>
      <c r="C87" s="15"/>
      <c r="D87" s="623"/>
      <c r="E87" s="15"/>
      <c r="F87" s="623"/>
      <c r="G87" s="15"/>
      <c r="H87" s="623"/>
      <c r="I87" s="15"/>
      <c r="J87" s="623"/>
      <c r="K87" s="15"/>
      <c r="L87" s="623"/>
      <c r="M87" s="15"/>
      <c r="N87" s="620"/>
      <c r="O87" s="653">
        <v>-1600</v>
      </c>
      <c r="P87" s="9" t="str">
        <f t="shared" si="549"/>
        <v>NA</v>
      </c>
      <c r="Q87" s="653">
        <v>-1000</v>
      </c>
      <c r="R87" s="9" t="str">
        <f t="shared" si="550"/>
        <v>NA</v>
      </c>
      <c r="S87" s="653">
        <v>-1300</v>
      </c>
      <c r="T87" s="9" t="str">
        <f t="shared" si="551"/>
        <v>NA</v>
      </c>
      <c r="U87" s="653">
        <v>-1200</v>
      </c>
      <c r="V87" s="9" t="str">
        <f t="shared" si="552"/>
        <v>NA</v>
      </c>
      <c r="W87" s="653">
        <v>-1200</v>
      </c>
      <c r="X87" s="9">
        <f t="shared" si="554"/>
        <v>-25</v>
      </c>
      <c r="Y87" s="653">
        <v>-1100</v>
      </c>
      <c r="Z87" s="9">
        <f t="shared" si="555"/>
        <v>10.000000000000014</v>
      </c>
      <c r="AA87" s="653">
        <v>-2600</v>
      </c>
      <c r="AB87" s="9">
        <f t="shared" si="556"/>
        <v>100</v>
      </c>
      <c r="AC87" s="653">
        <v>-1500</v>
      </c>
      <c r="AD87" s="9">
        <f t="shared" si="557"/>
        <v>25</v>
      </c>
      <c r="AE87" s="653">
        <v>-800</v>
      </c>
      <c r="AF87" s="9">
        <f t="shared" si="558"/>
        <v>-33.333333333333343</v>
      </c>
      <c r="AG87" s="653">
        <v>-1400</v>
      </c>
      <c r="AH87" s="9">
        <f t="shared" si="559"/>
        <v>27.272727272727266</v>
      </c>
      <c r="AI87" s="653">
        <v>-1700</v>
      </c>
      <c r="AJ87" s="9">
        <f t="shared" si="560"/>
        <v>-34.615384615384613</v>
      </c>
      <c r="AK87" s="653">
        <v>-3800</v>
      </c>
      <c r="AL87" s="9" t="str">
        <f t="shared" si="561"/>
        <v>NM</v>
      </c>
      <c r="AM87" s="653">
        <v>-1100</v>
      </c>
      <c r="AN87" s="9">
        <f t="shared" si="562"/>
        <v>37.5</v>
      </c>
      <c r="AO87" s="653">
        <v>-1200</v>
      </c>
      <c r="AP87" s="9">
        <f t="shared" si="563"/>
        <v>-14.285714285714292</v>
      </c>
      <c r="AQ87" s="691">
        <f t="shared" ref="AQ87:AW87" si="586">+(AQ97/100/4)*AQ84</f>
        <v>-1230</v>
      </c>
      <c r="AR87" s="9">
        <f t="shared" si="565"/>
        <v>-27.64705882352942</v>
      </c>
      <c r="AS87" s="691">
        <f t="shared" si="586"/>
        <v>-1245.3</v>
      </c>
      <c r="AT87" s="9" t="str">
        <f t="shared" si="567"/>
        <v>NM</v>
      </c>
      <c r="AU87" s="691">
        <f t="shared" si="586"/>
        <v>-1260.2939999999999</v>
      </c>
      <c r="AV87" s="9">
        <f t="shared" si="569"/>
        <v>14.572181818181804</v>
      </c>
      <c r="AW87" s="691">
        <f t="shared" si="586"/>
        <v>-1274.9881199999998</v>
      </c>
      <c r="AX87" s="9">
        <f t="shared" si="571"/>
        <v>6.24900999999997</v>
      </c>
      <c r="AY87" s="356"/>
      <c r="AZ87" s="618"/>
      <c r="BA87" s="620"/>
      <c r="BB87" s="55"/>
      <c r="BC87" s="226" t="str">
        <f>IF(ISERROR(BB87/#REF!),"NA",IF(OR(BB87/#REF!&gt;2,BB87/#REF!&lt;0.5),"NM",BB87/#REF!*100-100))</f>
        <v>NA</v>
      </c>
      <c r="BD87" s="908"/>
      <c r="BE87" s="226" t="str">
        <f t="shared" si="572"/>
        <v>NA</v>
      </c>
      <c r="BF87" s="55">
        <f>S87+U87+W87+Y87</f>
        <v>-4800</v>
      </c>
      <c r="BG87" s="226" t="str">
        <f t="shared" si="572"/>
        <v>NA</v>
      </c>
      <c r="BH87" s="55">
        <f>AA87+AC87+AE87+AG87</f>
        <v>-6300</v>
      </c>
      <c r="BI87" s="226">
        <f t="shared" si="572"/>
        <v>31.25</v>
      </c>
      <c r="BJ87" s="55">
        <f>AI87+AK87+AM87+AO87</f>
        <v>-7800</v>
      </c>
      <c r="BK87" s="226">
        <f t="shared" si="572"/>
        <v>23.80952380952381</v>
      </c>
      <c r="BL87" s="55">
        <f>AQ87+AS87+AU87+AW87</f>
        <v>-5010.58212</v>
      </c>
      <c r="BM87" s="226">
        <f t="shared" si="572"/>
        <v>-35.761767692307686</v>
      </c>
      <c r="BN87" s="55">
        <f t="shared" ref="BN87:BP87" si="587">(BN97/100)*BN84</f>
        <v>-5252.5091466070944</v>
      </c>
      <c r="BO87" s="226">
        <f t="shared" si="572"/>
        <v>4.8283217560975515</v>
      </c>
      <c r="BP87" s="55">
        <f t="shared" si="587"/>
        <v>-5490.3621312427449</v>
      </c>
      <c r="BQ87" s="226">
        <f t="shared" si="572"/>
        <v>4.5283687852175234</v>
      </c>
      <c r="BR87" s="55">
        <f t="shared" ref="BR87:BT87" si="588">(BR97/100)*BR84</f>
        <v>-5728.7511294476881</v>
      </c>
      <c r="BS87" s="226">
        <f t="shared" si="572"/>
        <v>4.3419540006003814</v>
      </c>
      <c r="BT87" s="55">
        <f t="shared" si="588"/>
        <v>-5968.2347682817663</v>
      </c>
      <c r="BU87" s="226">
        <f t="shared" si="576"/>
        <v>4.1803812632574164</v>
      </c>
      <c r="BV87" s="43">
        <f t="shared" si="577"/>
        <v>-5.212676757930879</v>
      </c>
      <c r="BW87" s="621"/>
      <c r="BX87" s="621"/>
      <c r="BY87"/>
      <c r="BZ87"/>
      <c r="CA87"/>
      <c r="CB87"/>
      <c r="CC87"/>
      <c r="CD87"/>
    </row>
    <row r="88" spans="2:82" s="616" customFormat="1" ht="12.75" customHeight="1" x14ac:dyDescent="0.2">
      <c r="B88" s="5" t="s">
        <v>68</v>
      </c>
      <c r="C88" s="15"/>
      <c r="D88" s="623"/>
      <c r="E88" s="15"/>
      <c r="F88" s="623"/>
      <c r="G88" s="15"/>
      <c r="H88" s="623"/>
      <c r="I88" s="15"/>
      <c r="J88" s="623"/>
      <c r="K88" s="15"/>
      <c r="L88" s="623"/>
      <c r="M88" s="15"/>
      <c r="N88" s="620"/>
      <c r="O88" s="331">
        <v>200</v>
      </c>
      <c r="P88" s="9" t="str">
        <f t="shared" si="549"/>
        <v>NA</v>
      </c>
      <c r="Q88" s="331">
        <v>400</v>
      </c>
      <c r="R88" s="9" t="str">
        <f t="shared" si="550"/>
        <v>NA</v>
      </c>
      <c r="S88" s="331">
        <v>300</v>
      </c>
      <c r="T88" s="9" t="str">
        <f t="shared" si="551"/>
        <v>NA</v>
      </c>
      <c r="U88" s="331">
        <v>200</v>
      </c>
      <c r="V88" s="9" t="str">
        <f t="shared" si="552"/>
        <v>NA</v>
      </c>
      <c r="W88" s="331">
        <v>300</v>
      </c>
      <c r="X88" s="9">
        <f t="shared" si="554"/>
        <v>50</v>
      </c>
      <c r="Y88" s="331">
        <v>200</v>
      </c>
      <c r="Z88" s="9">
        <f t="shared" si="555"/>
        <v>-50</v>
      </c>
      <c r="AA88" s="331">
        <v>200</v>
      </c>
      <c r="AB88" s="9">
        <f t="shared" si="556"/>
        <v>-33.333333333333343</v>
      </c>
      <c r="AC88" s="331">
        <v>400</v>
      </c>
      <c r="AD88" s="9">
        <f t="shared" si="557"/>
        <v>100</v>
      </c>
      <c r="AE88" s="331">
        <v>300</v>
      </c>
      <c r="AF88" s="9">
        <f t="shared" si="558"/>
        <v>0</v>
      </c>
      <c r="AG88" s="331">
        <v>200</v>
      </c>
      <c r="AH88" s="9">
        <f t="shared" si="559"/>
        <v>0</v>
      </c>
      <c r="AI88" s="331">
        <v>300</v>
      </c>
      <c r="AJ88" s="9">
        <f t="shared" si="560"/>
        <v>50</v>
      </c>
      <c r="AK88" s="331">
        <v>200</v>
      </c>
      <c r="AL88" s="9">
        <f t="shared" si="561"/>
        <v>-50</v>
      </c>
      <c r="AM88" s="331">
        <v>400</v>
      </c>
      <c r="AN88" s="9">
        <f t="shared" si="562"/>
        <v>33.333333333333314</v>
      </c>
      <c r="AO88" s="331">
        <v>300</v>
      </c>
      <c r="AP88" s="9">
        <f t="shared" si="563"/>
        <v>50</v>
      </c>
      <c r="AQ88" s="808">
        <f t="shared" ref="AQ88:AW88" si="589">0.01*AQ84</f>
        <v>410</v>
      </c>
      <c r="AR88" s="9">
        <f t="shared" si="565"/>
        <v>36.666666666666657</v>
      </c>
      <c r="AS88" s="808">
        <f t="shared" si="589"/>
        <v>415.1</v>
      </c>
      <c r="AT88" s="9" t="str">
        <f t="shared" si="567"/>
        <v>NM</v>
      </c>
      <c r="AU88" s="808">
        <f t="shared" si="589"/>
        <v>420.09799999999996</v>
      </c>
      <c r="AV88" s="9">
        <f t="shared" si="569"/>
        <v>5.0244999999999891</v>
      </c>
      <c r="AW88" s="808">
        <f t="shared" si="589"/>
        <v>424.99603999999994</v>
      </c>
      <c r="AX88" s="9">
        <f t="shared" si="571"/>
        <v>41.665346666666636</v>
      </c>
      <c r="AY88" s="356"/>
      <c r="AZ88" s="618"/>
      <c r="BA88" s="620"/>
      <c r="BB88" s="55"/>
      <c r="BC88" s="226" t="str">
        <f>IF(ISERROR(BB88/#REF!),"NA",IF(OR(BB88/#REF!&gt;2,BB88/#REF!&lt;0.5),"NM",BB88/#REF!*100-100))</f>
        <v>NA</v>
      </c>
      <c r="BD88" s="908"/>
      <c r="BE88" s="226" t="str">
        <f t="shared" si="572"/>
        <v>NA</v>
      </c>
      <c r="BF88" s="55">
        <f>S88+U88+W88+Y88</f>
        <v>1000</v>
      </c>
      <c r="BG88" s="226" t="str">
        <f t="shared" si="572"/>
        <v>NA</v>
      </c>
      <c r="BH88" s="55">
        <f>AA88+AC88+AE88+AG88</f>
        <v>1100</v>
      </c>
      <c r="BI88" s="226">
        <f t="shared" si="572"/>
        <v>10.000000000000014</v>
      </c>
      <c r="BJ88" s="55">
        <f>AI88+AK88+AM88+AO88</f>
        <v>1200</v>
      </c>
      <c r="BK88" s="226">
        <f t="shared" si="572"/>
        <v>9.0909090909090793</v>
      </c>
      <c r="BL88" s="55">
        <f>AQ88+AS88+AU88+AW88</f>
        <v>1670.1940399999999</v>
      </c>
      <c r="BM88" s="226">
        <f t="shared" si="572"/>
        <v>39.182836666666674</v>
      </c>
      <c r="BN88" s="808">
        <f>0.04*BN84</f>
        <v>1719.1844768000001</v>
      </c>
      <c r="BO88" s="226">
        <f t="shared" si="572"/>
        <v>2.9332182744467303</v>
      </c>
      <c r="BP88" s="808">
        <f>0.04*BP84</f>
        <v>1797.0354900077164</v>
      </c>
      <c r="BQ88" s="226">
        <f t="shared" si="572"/>
        <v>4.5283687852175234</v>
      </c>
      <c r="BR88" s="808">
        <f>0.04*BR84</f>
        <v>1875.061944358315</v>
      </c>
      <c r="BS88" s="226">
        <f t="shared" si="572"/>
        <v>4.3419540006003814</v>
      </c>
      <c r="BT88" s="808">
        <f>0.04*BT84</f>
        <v>1953.4466825547402</v>
      </c>
      <c r="BU88" s="226">
        <f t="shared" si="576"/>
        <v>4.1803812632574164</v>
      </c>
      <c r="BV88" s="43">
        <f t="shared" si="577"/>
        <v>10.236156630284231</v>
      </c>
      <c r="BW88" s="621"/>
      <c r="BX88" s="621"/>
      <c r="BY88"/>
      <c r="BZ88"/>
      <c r="CA88"/>
      <c r="CB88"/>
      <c r="CC88"/>
      <c r="CD88"/>
    </row>
    <row r="89" spans="2:82" s="616" customFormat="1" ht="12.75" customHeight="1" x14ac:dyDescent="0.2">
      <c r="B89" s="5" t="s">
        <v>69</v>
      </c>
      <c r="C89" s="15"/>
      <c r="D89" s="623"/>
      <c r="E89" s="15"/>
      <c r="F89" s="623"/>
      <c r="G89" s="15"/>
      <c r="H89" s="623"/>
      <c r="I89" s="15"/>
      <c r="J89" s="623"/>
      <c r="K89" s="15"/>
      <c r="L89" s="623"/>
      <c r="M89" s="15"/>
      <c r="N89" s="620"/>
      <c r="O89" s="50">
        <v>-100</v>
      </c>
      <c r="P89" s="9" t="str">
        <f t="shared" si="549"/>
        <v>NA</v>
      </c>
      <c r="Q89" s="50">
        <f>-100-100</f>
        <v>-200</v>
      </c>
      <c r="R89" s="9" t="str">
        <f t="shared" si="550"/>
        <v>NA</v>
      </c>
      <c r="S89" s="50">
        <f>100-100</f>
        <v>0</v>
      </c>
      <c r="T89" s="9" t="str">
        <f t="shared" si="551"/>
        <v>NA</v>
      </c>
      <c r="U89" s="50">
        <v>-100</v>
      </c>
      <c r="V89" s="9" t="str">
        <f t="shared" si="552"/>
        <v>NA</v>
      </c>
      <c r="W89" s="50">
        <v>0</v>
      </c>
      <c r="X89" s="9" t="str">
        <f t="shared" si="554"/>
        <v>NM</v>
      </c>
      <c r="Y89" s="50">
        <v>-100</v>
      </c>
      <c r="Z89" s="9">
        <f t="shared" si="555"/>
        <v>-50</v>
      </c>
      <c r="AA89" s="50">
        <v>100</v>
      </c>
      <c r="AB89" s="9" t="str">
        <f t="shared" si="556"/>
        <v>NA</v>
      </c>
      <c r="AC89" s="50">
        <v>-100</v>
      </c>
      <c r="AD89" s="9">
        <f t="shared" si="557"/>
        <v>0</v>
      </c>
      <c r="AE89" s="50">
        <v>0</v>
      </c>
      <c r="AF89" s="9" t="str">
        <f t="shared" si="558"/>
        <v>NA</v>
      </c>
      <c r="AG89" s="50">
        <v>0</v>
      </c>
      <c r="AH89" s="9" t="str">
        <f t="shared" si="559"/>
        <v>NM</v>
      </c>
      <c r="AI89" s="50">
        <v>100</v>
      </c>
      <c r="AJ89" s="9">
        <f t="shared" si="560"/>
        <v>0</v>
      </c>
      <c r="AK89" s="50">
        <v>0</v>
      </c>
      <c r="AL89" s="9" t="str">
        <f t="shared" si="561"/>
        <v>NM</v>
      </c>
      <c r="AM89" s="50">
        <v>0</v>
      </c>
      <c r="AN89" s="9" t="str">
        <f t="shared" si="562"/>
        <v>NA</v>
      </c>
      <c r="AO89" s="50">
        <v>0</v>
      </c>
      <c r="AP89" s="9" t="str">
        <f t="shared" si="563"/>
        <v>NA</v>
      </c>
      <c r="AQ89" s="50">
        <v>0</v>
      </c>
      <c r="AR89" s="9" t="str">
        <f t="shared" si="565"/>
        <v>NM</v>
      </c>
      <c r="AS89" s="50">
        <v>0</v>
      </c>
      <c r="AT89" s="9" t="str">
        <f t="shared" si="567"/>
        <v>NA</v>
      </c>
      <c r="AU89" s="50">
        <v>0</v>
      </c>
      <c r="AV89" s="9" t="str">
        <f t="shared" si="569"/>
        <v>NA</v>
      </c>
      <c r="AW89" s="50">
        <v>0</v>
      </c>
      <c r="AX89" s="9" t="str">
        <f t="shared" si="571"/>
        <v>NA</v>
      </c>
      <c r="AY89" s="356"/>
      <c r="AZ89" s="618"/>
      <c r="BA89" s="620"/>
      <c r="BB89" s="55"/>
      <c r="BC89" s="226" t="str">
        <f>IF(ISERROR(BB89/#REF!),"NA",IF(OR(BB89/#REF!&gt;2,BB89/#REF!&lt;0.5),"NM",BB89/#REF!*100-100))</f>
        <v>NA</v>
      </c>
      <c r="BD89" s="908"/>
      <c r="BE89" s="226" t="str">
        <f t="shared" si="572"/>
        <v>NA</v>
      </c>
      <c r="BF89" s="55">
        <f>S89+U89+W89+Y89</f>
        <v>-200</v>
      </c>
      <c r="BG89" s="226" t="str">
        <f t="shared" si="572"/>
        <v>NA</v>
      </c>
      <c r="BH89" s="55">
        <f>AA89+AC89+AE89+AG89</f>
        <v>0</v>
      </c>
      <c r="BI89" s="226" t="str">
        <f t="shared" si="572"/>
        <v>NM</v>
      </c>
      <c r="BJ89" s="55">
        <f>AI89+AK89+AM89+AO89</f>
        <v>100</v>
      </c>
      <c r="BK89" s="226" t="str">
        <f t="shared" si="572"/>
        <v>NA</v>
      </c>
      <c r="BL89" s="55">
        <f>AQ89+AS89+AU89+AW89</f>
        <v>0</v>
      </c>
      <c r="BM89" s="226" t="str">
        <f t="shared" si="572"/>
        <v>NM</v>
      </c>
      <c r="BN89" s="55">
        <f>BL89</f>
        <v>0</v>
      </c>
      <c r="BO89" s="226" t="str">
        <f t="shared" si="572"/>
        <v>NA</v>
      </c>
      <c r="BP89" s="55">
        <f>BN89</f>
        <v>0</v>
      </c>
      <c r="BQ89" s="226" t="str">
        <f t="shared" si="572"/>
        <v>NA</v>
      </c>
      <c r="BR89" s="55">
        <f>BP89</f>
        <v>0</v>
      </c>
      <c r="BS89" s="226" t="str">
        <f t="shared" si="572"/>
        <v>NA</v>
      </c>
      <c r="BT89" s="55">
        <f>BR89</f>
        <v>0</v>
      </c>
      <c r="BU89" s="226" t="str">
        <f t="shared" si="576"/>
        <v>NA</v>
      </c>
      <c r="BV89" s="43" t="str">
        <f t="shared" si="577"/>
        <v>NM</v>
      </c>
      <c r="BW89" s="621"/>
      <c r="BX89" s="621"/>
      <c r="BY89"/>
      <c r="BZ89"/>
      <c r="CA89"/>
      <c r="CB89"/>
      <c r="CC89"/>
      <c r="CD89"/>
    </row>
    <row r="90" spans="2:82" s="616" customFormat="1" ht="12.75" customHeight="1" x14ac:dyDescent="0.2">
      <c r="B90" s="42" t="s">
        <v>70</v>
      </c>
      <c r="C90" s="15"/>
      <c r="D90" s="623"/>
      <c r="E90" s="15"/>
      <c r="F90" s="623"/>
      <c r="G90" s="15"/>
      <c r="H90" s="623"/>
      <c r="I90" s="15"/>
      <c r="J90" s="623"/>
      <c r="K90" s="15"/>
      <c r="L90" s="623"/>
      <c r="M90" s="15"/>
      <c r="N90" s="620"/>
      <c r="O90" s="691">
        <f>+O84+O85+O87+O88+O89</f>
        <v>30600</v>
      </c>
      <c r="P90" s="9" t="str">
        <f t="shared" si="549"/>
        <v>NA</v>
      </c>
      <c r="Q90" s="691">
        <f>+Q84+Q85+Q87+Q88+Q89</f>
        <v>31100</v>
      </c>
      <c r="R90" s="9" t="str">
        <f t="shared" si="550"/>
        <v>NA</v>
      </c>
      <c r="S90" s="691">
        <f>+S84+S85+S87+S88+S89</f>
        <v>30900</v>
      </c>
      <c r="T90" s="9" t="str">
        <f t="shared" si="551"/>
        <v>NA</v>
      </c>
      <c r="U90" s="691">
        <f>+U84+U85+U87+U88+U89</f>
        <v>31700</v>
      </c>
      <c r="V90" s="9" t="str">
        <f t="shared" si="552"/>
        <v>NA</v>
      </c>
      <c r="W90" s="691">
        <f t="shared" ref="W90:Y90" si="590">+W84+W85+W87+W88+W89</f>
        <v>32300</v>
      </c>
      <c r="X90" s="9">
        <f t="shared" si="554"/>
        <v>5.5555555555555571</v>
      </c>
      <c r="Y90" s="691">
        <f t="shared" si="590"/>
        <v>33300</v>
      </c>
      <c r="Z90" s="9">
        <f t="shared" si="555"/>
        <v>7.0739549839228317</v>
      </c>
      <c r="AA90" s="691">
        <f t="shared" ref="AA90:AC90" si="591">+AA84+AA85+AA87+AA88+AA89</f>
        <v>34700</v>
      </c>
      <c r="AB90" s="9">
        <f t="shared" si="556"/>
        <v>12.29773462783173</v>
      </c>
      <c r="AC90" s="691">
        <f t="shared" si="591"/>
        <v>36200</v>
      </c>
      <c r="AD90" s="9">
        <f t="shared" si="557"/>
        <v>14.195583596214504</v>
      </c>
      <c r="AE90" s="691">
        <f t="shared" ref="AE90:AG90" si="592">+AE84+AE85+AE87+AE88+AE89</f>
        <v>36400</v>
      </c>
      <c r="AF90" s="9">
        <f t="shared" si="558"/>
        <v>12.693498452012378</v>
      </c>
      <c r="AG90" s="691">
        <f t="shared" si="592"/>
        <v>37600</v>
      </c>
      <c r="AH90" s="9">
        <f t="shared" si="559"/>
        <v>12.912912912912915</v>
      </c>
      <c r="AI90" s="691">
        <f t="shared" ref="AI90:AK90" si="593">+AI84+AI85+AI87+AI88+AI89</f>
        <v>38500</v>
      </c>
      <c r="AJ90" s="9">
        <f t="shared" si="560"/>
        <v>10.951008645533136</v>
      </c>
      <c r="AK90" s="691">
        <f t="shared" si="593"/>
        <v>39200</v>
      </c>
      <c r="AL90" s="9">
        <f t="shared" si="561"/>
        <v>8.2872928176795426</v>
      </c>
      <c r="AM90" s="691">
        <f t="shared" ref="AM90:AO90" si="594">+AM84+AM85+AM87+AM88+AM89</f>
        <v>40500</v>
      </c>
      <c r="AN90" s="9">
        <f t="shared" si="562"/>
        <v>11.263736263736263</v>
      </c>
      <c r="AO90" s="691">
        <f t="shared" si="594"/>
        <v>41000</v>
      </c>
      <c r="AP90" s="9">
        <f t="shared" si="563"/>
        <v>9.0425531914893611</v>
      </c>
      <c r="AQ90" s="691">
        <f t="shared" ref="AQ90:AW90" si="595">+AQ84+AQ85+AQ87+AQ88+AQ89</f>
        <v>41510</v>
      </c>
      <c r="AR90" s="9">
        <f t="shared" si="565"/>
        <v>7.818181818181813</v>
      </c>
      <c r="AS90" s="691">
        <f t="shared" si="595"/>
        <v>42009.799999999996</v>
      </c>
      <c r="AT90" s="9">
        <f t="shared" si="567"/>
        <v>7.1678571428571303</v>
      </c>
      <c r="AU90" s="691">
        <f t="shared" si="595"/>
        <v>42499.603999999992</v>
      </c>
      <c r="AV90" s="9">
        <f t="shared" si="569"/>
        <v>4.937293827160488</v>
      </c>
      <c r="AW90" s="691">
        <f t="shared" si="595"/>
        <v>42979.611919999988</v>
      </c>
      <c r="AX90" s="9">
        <f t="shared" si="571"/>
        <v>4.8283217560975373</v>
      </c>
      <c r="AY90" s="356"/>
      <c r="AZ90" s="618"/>
      <c r="BA90" s="620"/>
      <c r="BB90" s="55"/>
      <c r="BC90" s="226" t="str">
        <f>IF(ISERROR(BB90/#REF!),"NA",IF(OR(BB90/#REF!&gt;2,BB90/#REF!&lt;0.5),"NM",BB90/#REF!*100-100))</f>
        <v>NA</v>
      </c>
      <c r="BD90" s="908">
        <f>Q90</f>
        <v>31100</v>
      </c>
      <c r="BE90" s="226" t="str">
        <f t="shared" si="572"/>
        <v>NA</v>
      </c>
      <c r="BF90" s="55">
        <f>BF84+BF85+BF87+BF88+BF89</f>
        <v>33300</v>
      </c>
      <c r="BG90" s="226">
        <f t="shared" si="572"/>
        <v>7.0739549839228317</v>
      </c>
      <c r="BH90" s="55">
        <f t="shared" ref="BH90" si="596">BH84+BH85+BH87+BH88+BH89</f>
        <v>37600</v>
      </c>
      <c r="BI90" s="226">
        <f t="shared" si="572"/>
        <v>12.912912912912915</v>
      </c>
      <c r="BJ90" s="55">
        <f t="shared" ref="BJ90" si="597">BJ84+BJ85+BJ87+BJ88+BJ89</f>
        <v>41000</v>
      </c>
      <c r="BK90" s="226">
        <f t="shared" si="572"/>
        <v>9.0425531914893611</v>
      </c>
      <c r="BL90" s="55">
        <f t="shared" ref="BL90" si="598">BL84+BL85+BL87+BL88+BL89</f>
        <v>42979.611920000003</v>
      </c>
      <c r="BM90" s="226">
        <f t="shared" si="572"/>
        <v>4.82832175609758</v>
      </c>
      <c r="BN90" s="55">
        <f t="shared" ref="BN90" si="599">BN84+BN85+BN87+BN88+BN89</f>
        <v>44925.887250192907</v>
      </c>
      <c r="BO90" s="226">
        <f t="shared" si="572"/>
        <v>4.5283687852175234</v>
      </c>
      <c r="BP90" s="55">
        <f t="shared" ref="BP90:BR90" si="600">BP84+BP85+BP87+BP88+BP89</f>
        <v>46876.548608957877</v>
      </c>
      <c r="BQ90" s="226">
        <f t="shared" si="572"/>
        <v>4.3419540006003814</v>
      </c>
      <c r="BR90" s="55">
        <f t="shared" si="600"/>
        <v>48836.167063868503</v>
      </c>
      <c r="BS90" s="226">
        <f t="shared" si="572"/>
        <v>4.1803812632574164</v>
      </c>
      <c r="BT90" s="55">
        <f t="shared" ref="BT90" si="601">BT84+BT85+BT87+BT88+BT89</f>
        <v>50809.085847341485</v>
      </c>
      <c r="BU90" s="226">
        <f t="shared" si="576"/>
        <v>4.0398722956549165</v>
      </c>
      <c r="BV90" s="43">
        <f t="shared" si="577"/>
        <v>4.3834159125649697</v>
      </c>
      <c r="BW90" s="621"/>
      <c r="BX90" s="621"/>
      <c r="BY90"/>
      <c r="BZ90"/>
      <c r="CA90"/>
      <c r="CB90"/>
      <c r="CC90"/>
      <c r="CD90"/>
    </row>
    <row r="91" spans="2:82" s="616" customFormat="1" ht="12.75" hidden="1" customHeight="1" outlineLevel="1" x14ac:dyDescent="0.2">
      <c r="B91" s="819" t="s">
        <v>648</v>
      </c>
      <c r="C91" s="15"/>
      <c r="D91" s="623"/>
      <c r="E91" s="15"/>
      <c r="F91" s="623"/>
      <c r="G91" s="15"/>
      <c r="H91" s="623"/>
      <c r="I91" s="15"/>
      <c r="J91" s="623"/>
      <c r="K91" s="15"/>
      <c r="L91" s="623"/>
      <c r="M91" s="15"/>
      <c r="N91" s="620"/>
      <c r="O91" s="691"/>
      <c r="P91" s="9"/>
      <c r="Q91" s="691"/>
      <c r="R91" s="9"/>
      <c r="S91" s="691"/>
      <c r="T91" s="9"/>
      <c r="U91" s="691"/>
      <c r="V91" s="9"/>
      <c r="W91" s="691"/>
      <c r="X91" s="9"/>
      <c r="Y91" s="820">
        <f>Y90-Y84-Y85-Y87-Y88-Y89</f>
        <v>0</v>
      </c>
      <c r="Z91" s="9"/>
      <c r="AA91" s="820">
        <f>AA90-AA84-AA85-AA87-AA88-AA89</f>
        <v>0</v>
      </c>
      <c r="AB91" s="9"/>
      <c r="AC91" s="820">
        <f>AC90-AC84-AC85-AC87-AC88-AC89</f>
        <v>0</v>
      </c>
      <c r="AD91" s="9"/>
      <c r="AE91" s="820">
        <f>AE90-AE84-AE85-AE87-AE88-AE89</f>
        <v>0</v>
      </c>
      <c r="AF91" s="9"/>
      <c r="AG91" s="820">
        <f>AG90-AG84-AG85-AG87-AG88-AG89</f>
        <v>0</v>
      </c>
      <c r="AH91" s="9"/>
      <c r="AI91" s="820">
        <f>AI90-AI84-AI85-AI87-AI88-AI89</f>
        <v>0</v>
      </c>
      <c r="AJ91" s="9"/>
      <c r="AK91" s="820">
        <f>AK90-AK84-AK85-AK87-AK88-AK89</f>
        <v>0</v>
      </c>
      <c r="AL91" s="9"/>
      <c r="AM91" s="820">
        <f>AM90-AM84-AM85-AM87-AM88-AM89</f>
        <v>0</v>
      </c>
      <c r="AN91" s="9"/>
      <c r="AO91" s="820">
        <f>AO90-AO84-AO85-AO87-AO88-AO89</f>
        <v>0</v>
      </c>
      <c r="AP91" s="9"/>
      <c r="AQ91" s="820">
        <f t="shared" ref="AQ91:AW91" si="602">AQ90-AQ84-AQ85-AQ87-AQ88-AQ89</f>
        <v>0</v>
      </c>
      <c r="AR91" s="9"/>
      <c r="AS91" s="820">
        <f t="shared" si="602"/>
        <v>-4.4337866711430252E-12</v>
      </c>
      <c r="AT91" s="9"/>
      <c r="AU91" s="820">
        <f t="shared" si="602"/>
        <v>-3.637978807091713E-12</v>
      </c>
      <c r="AV91" s="9"/>
      <c r="AW91" s="820">
        <f t="shared" si="602"/>
        <v>-3.808509063674137E-12</v>
      </c>
      <c r="AX91" s="9"/>
      <c r="AY91" s="356"/>
      <c r="AZ91" s="618"/>
      <c r="BA91" s="620"/>
      <c r="BB91" s="55"/>
      <c r="BC91" s="226"/>
      <c r="BD91" s="820">
        <f>AUM_EOP_RISSpread _4Q14-BD90</f>
        <v>0</v>
      </c>
      <c r="BE91" s="226"/>
      <c r="BF91" s="820">
        <f>AUM_EOP_RISSpread _4Q15-BF90</f>
        <v>0</v>
      </c>
      <c r="BG91" s="226"/>
      <c r="BH91" s="820">
        <f>AUM_EOP_RISSpread _4Q16-BH90</f>
        <v>0</v>
      </c>
      <c r="BI91" s="226"/>
      <c r="BJ91" s="820">
        <f>AUM_EOP_RISSpread _4Q17-BJ90</f>
        <v>0</v>
      </c>
      <c r="BK91" s="226"/>
      <c r="BL91" s="820">
        <f>AUM_EOP_RISSpread _4Q17-BL90</f>
        <v>-1979.611920000003</v>
      </c>
      <c r="BM91" s="226"/>
      <c r="BN91" s="55"/>
      <c r="BO91" s="226"/>
      <c r="BP91" s="55"/>
      <c r="BQ91" s="226"/>
      <c r="BR91" s="55"/>
      <c r="BS91" s="226"/>
      <c r="BT91" s="55"/>
      <c r="BU91" s="226"/>
      <c r="BV91" s="43"/>
      <c r="BW91" s="621"/>
      <c r="BX91" s="621"/>
      <c r="BY91"/>
      <c r="BZ91"/>
      <c r="CA91"/>
      <c r="CB91"/>
      <c r="CC91"/>
      <c r="CD91"/>
    </row>
    <row r="92" spans="2:82" s="616" customFormat="1" ht="12.75" customHeight="1" collapsed="1" x14ac:dyDescent="0.2">
      <c r="B92" s="42" t="s">
        <v>71</v>
      </c>
      <c r="C92" s="15"/>
      <c r="D92" s="623"/>
      <c r="E92" s="15"/>
      <c r="F92" s="623"/>
      <c r="G92" s="15"/>
      <c r="H92" s="623"/>
      <c r="I92" s="15"/>
      <c r="J92" s="623"/>
      <c r="K92" s="15"/>
      <c r="L92" s="623"/>
      <c r="M92" s="15"/>
      <c r="N92" s="620"/>
      <c r="O92" s="691">
        <f>AVERAGE(O90,O84)</f>
        <v>30800</v>
      </c>
      <c r="P92" s="9" t="str">
        <f t="shared" si="549"/>
        <v>NA</v>
      </c>
      <c r="Q92" s="691">
        <f>AVERAGE(Q90,Q84)</f>
        <v>30850</v>
      </c>
      <c r="R92" s="9" t="str">
        <f t="shared" si="550"/>
        <v>NA</v>
      </c>
      <c r="S92" s="691">
        <f>AVERAGE(S90,S84)</f>
        <v>31000</v>
      </c>
      <c r="T92" s="9" t="str">
        <f t="shared" si="551"/>
        <v>NA</v>
      </c>
      <c r="U92" s="691">
        <f>AVERAGE(U90,U84)</f>
        <v>31300</v>
      </c>
      <c r="V92" s="9" t="str">
        <f t="shared" si="552"/>
        <v>NA</v>
      </c>
      <c r="W92" s="691">
        <f t="shared" ref="W92:Y92" si="603">AVERAGE(W90,W84)</f>
        <v>32000</v>
      </c>
      <c r="X92" s="9">
        <f t="shared" si="554"/>
        <v>3.896103896103881</v>
      </c>
      <c r="Y92" s="691">
        <f t="shared" si="603"/>
        <v>32800</v>
      </c>
      <c r="Z92" s="9">
        <f t="shared" si="555"/>
        <v>6.3209076175040622</v>
      </c>
      <c r="AA92" s="691">
        <f t="shared" ref="AA92:AC92" si="604">AVERAGE(AA90,AA84)</f>
        <v>34000</v>
      </c>
      <c r="AB92" s="9">
        <f t="shared" si="556"/>
        <v>9.6774193548387046</v>
      </c>
      <c r="AC92" s="691">
        <f t="shared" si="604"/>
        <v>35450</v>
      </c>
      <c r="AD92" s="9">
        <f t="shared" si="557"/>
        <v>13.258785942492011</v>
      </c>
      <c r="AE92" s="691">
        <f t="shared" ref="AE92:AG92" si="605">AVERAGE(AE90,AE84)</f>
        <v>36300</v>
      </c>
      <c r="AF92" s="9">
        <f t="shared" si="558"/>
        <v>13.437499999999986</v>
      </c>
      <c r="AG92" s="691">
        <f t="shared" si="605"/>
        <v>37000</v>
      </c>
      <c r="AH92" s="9">
        <f t="shared" si="559"/>
        <v>12.804878048780481</v>
      </c>
      <c r="AI92" s="691">
        <f t="shared" ref="AI92:AK92" si="606">AVERAGE(AI90,AI84)</f>
        <v>38050</v>
      </c>
      <c r="AJ92" s="9">
        <f t="shared" ref="AJ92" si="607">IF(ISERROR(AI92/AA92),"NA",IF(OR(AI92/AA92&gt;2,AI92/AA92&lt;0.5),"NM",AI92/AA92*100-100))</f>
        <v>11.911764705882348</v>
      </c>
      <c r="AK92" s="691">
        <f t="shared" si="606"/>
        <v>38850</v>
      </c>
      <c r="AL92" s="9">
        <f t="shared" ref="AL92" si="608">IF(ISERROR(AK92/AC92),"NA",IF(OR(AK92/AC92&gt;2,AK92/AC92&lt;0.5),"NM",AK92/AC92*100-100))</f>
        <v>9.5909732016925346</v>
      </c>
      <c r="AM92" s="691">
        <f t="shared" ref="AM92:AO92" si="609">AVERAGE(AM90,AM84)</f>
        <v>39850</v>
      </c>
      <c r="AN92" s="9">
        <f t="shared" ref="AN92" si="610">IF(ISERROR(AM92/AE92),"NA",IF(OR(AM92/AE92&gt;2,AM92/AE92&lt;0.5),"NM",AM92/AE92*100-100))</f>
        <v>9.779614325068863</v>
      </c>
      <c r="AO92" s="691">
        <f t="shared" si="609"/>
        <v>40750</v>
      </c>
      <c r="AP92" s="9">
        <f t="shared" ref="AP92" si="611">IF(ISERROR(AO92/AG92),"NA",IF(OR(AO92/AG92&gt;2,AO92/AG92&lt;0.5),"NM",AO92/AG92*100-100))</f>
        <v>10.13513513513513</v>
      </c>
      <c r="AQ92" s="691">
        <f t="shared" ref="AQ92:AW92" si="612">AVERAGE(AQ90,AQ84)</f>
        <v>41255</v>
      </c>
      <c r="AR92" s="9">
        <f t="shared" ref="AR92" si="613">IF(ISERROR(AQ92/AI92),"NA",IF(OR(AQ92/AI92&gt;2,AQ92/AI92&lt;0.5),"NM",AQ92/AI92*100-100))</f>
        <v>8.423127463863338</v>
      </c>
      <c r="AS92" s="691">
        <f t="shared" si="612"/>
        <v>41759.899999999994</v>
      </c>
      <c r="AT92" s="9">
        <f t="shared" ref="AT92" si="614">IF(ISERROR(AS92/AK92),"NA",IF(OR(AS92/AK92&gt;2,AS92/AK92&lt;0.5),"NM",AS92/AK92*100-100))</f>
        <v>7.490090090090078</v>
      </c>
      <c r="AU92" s="691">
        <f t="shared" si="612"/>
        <v>42254.70199999999</v>
      </c>
      <c r="AV92" s="9">
        <f t="shared" ref="AV92" si="615">IF(ISERROR(AU92/AM92),"NA",IF(OR(AU92/AM92&gt;2,AU92/AM92&lt;0.5),"NM",AU92/AM92*100-100))</f>
        <v>6.0343839397741306</v>
      </c>
      <c r="AW92" s="691">
        <f t="shared" si="612"/>
        <v>42739.607959999994</v>
      </c>
      <c r="AX92" s="9">
        <f t="shared" ref="AX92" si="616">IF(ISERROR(AW92/AO92),"NA",IF(OR(AW92/AO92&gt;2,AW92/AO92&lt;0.5),"NM",AW92/AO92*100-100))</f>
        <v>4.8824735214723773</v>
      </c>
      <c r="AY92" s="356"/>
      <c r="AZ92" s="618"/>
      <c r="BA92" s="620"/>
      <c r="BB92" s="55"/>
      <c r="BC92" s="226" t="str">
        <f>IF(ISERROR(BB92/#REF!),"NA",IF(OR(BB92/#REF!&gt;2,BB92/#REF!&lt;0.5),"NM",BB92/#REF!*100-100))</f>
        <v>NA</v>
      </c>
      <c r="BD92" s="908"/>
      <c r="BE92" s="226" t="str">
        <f t="shared" si="572"/>
        <v>NA</v>
      </c>
      <c r="BF92" s="55">
        <f>AVERAGE(S92,U92,W92,Y92)</f>
        <v>31775</v>
      </c>
      <c r="BG92" s="226" t="str">
        <f t="shared" si="572"/>
        <v>NA</v>
      </c>
      <c r="BH92" s="55">
        <f>AVERAGE(AA92,AC92,AE92,AG92)</f>
        <v>35687.5</v>
      </c>
      <c r="BI92" s="226">
        <f t="shared" si="572"/>
        <v>12.313139260424862</v>
      </c>
      <c r="BJ92" s="55">
        <f>AVERAGE(AI92,AK92,AM92,AO92)</f>
        <v>39375</v>
      </c>
      <c r="BK92" s="226">
        <f t="shared" si="572"/>
        <v>10.332749562171628</v>
      </c>
      <c r="BL92" s="55">
        <f>AVERAGE(AQ92,AS92,AU92,AW92)</f>
        <v>42002.302489999995</v>
      </c>
      <c r="BM92" s="226">
        <f t="shared" si="572"/>
        <v>6.6725142603174561</v>
      </c>
      <c r="BN92" s="55">
        <f t="shared" ref="BN92:BP92" si="617">AVERAGE(BN84,BN90)</f>
        <v>43952.749585096455</v>
      </c>
      <c r="BO92" s="226">
        <f t="shared" si="572"/>
        <v>4.6436670836338863</v>
      </c>
      <c r="BP92" s="55">
        <f t="shared" si="617"/>
        <v>45901.217929575389</v>
      </c>
      <c r="BQ92" s="226">
        <f t="shared" si="572"/>
        <v>4.4330977307950263</v>
      </c>
      <c r="BR92" s="55">
        <f t="shared" ref="BR92:BT92" si="618">AVERAGE(BR84,BR90)</f>
        <v>47856.35783641319</v>
      </c>
      <c r="BS92" s="226">
        <f t="shared" si="572"/>
        <v>4.2594510451498451</v>
      </c>
      <c r="BT92" s="55">
        <f t="shared" si="618"/>
        <v>49822.626455604994</v>
      </c>
      <c r="BU92" s="226">
        <f t="shared" ref="BU92" si="619">IF(ISERROR(BT92/BR92),"NA",IF(OR(BT92/BR92&gt;2,BT92/BR92&lt;0.5),"NM",BT92/BR92*100-100))</f>
        <v>4.1086883918602268</v>
      </c>
      <c r="BV92" s="43">
        <f>IF(ISERROR(((BT92/BJ92)^0.2-1)*100),"NA",IF((((BT92/BJ92)^0.2-1)*100)&gt;100,"NM",IF((((BT92/BJ92)^0.2-1)*100)&lt;-50,"NM",((BT92/BJ92)^0.2-1)*100)))</f>
        <v>4.8192891817044226</v>
      </c>
      <c r="BW92" s="621"/>
      <c r="BX92" s="621"/>
      <c r="BY92"/>
      <c r="BZ92"/>
      <c r="CA92"/>
      <c r="CB92"/>
      <c r="CC92"/>
      <c r="CD92"/>
    </row>
    <row r="93" spans="2:82" s="616" customFormat="1" ht="12.75" customHeight="1" x14ac:dyDescent="0.2">
      <c r="B93" s="42"/>
      <c r="C93" s="15"/>
      <c r="D93" s="623"/>
      <c r="E93" s="15"/>
      <c r="F93" s="623"/>
      <c r="G93" s="15"/>
      <c r="H93" s="623"/>
      <c r="I93" s="15"/>
      <c r="J93" s="623"/>
      <c r="K93" s="15"/>
      <c r="L93" s="623"/>
      <c r="M93" s="15"/>
      <c r="N93" s="620"/>
      <c r="O93" s="52"/>
      <c r="P93" s="40"/>
      <c r="Q93" s="52"/>
      <c r="R93" s="40"/>
      <c r="S93" s="52"/>
      <c r="T93" s="40"/>
      <c r="U93" s="52"/>
      <c r="V93" s="40"/>
      <c r="W93" s="52"/>
      <c r="X93" s="40"/>
      <c r="Y93" s="52"/>
      <c r="Z93" s="40"/>
      <c r="AA93" s="52"/>
      <c r="AB93" s="40"/>
      <c r="AC93" s="52"/>
      <c r="AD93" s="40"/>
      <c r="AE93" s="52"/>
      <c r="AF93" s="40"/>
      <c r="AG93" s="52"/>
      <c r="AH93" s="620"/>
      <c r="AI93" s="52"/>
      <c r="AJ93" s="620"/>
      <c r="AK93" s="52"/>
      <c r="AL93" s="620"/>
      <c r="AM93" s="52"/>
      <c r="AN93" s="620"/>
      <c r="AO93" s="52"/>
      <c r="AP93" s="620"/>
      <c r="AQ93" s="52"/>
      <c r="AR93" s="620"/>
      <c r="AS93" s="52"/>
      <c r="AT93" s="620"/>
      <c r="AU93" s="52"/>
      <c r="AV93" s="620"/>
      <c r="AW93" s="52"/>
      <c r="AX93" s="620"/>
      <c r="AY93" s="356"/>
      <c r="AZ93" s="618"/>
      <c r="BA93" s="620"/>
      <c r="BD93" s="910"/>
      <c r="BH93" s="55"/>
      <c r="BJ93" s="55"/>
      <c r="BL93" s="55"/>
      <c r="BN93" s="55"/>
      <c r="BP93" s="55"/>
      <c r="BR93" s="55"/>
      <c r="BT93" s="55"/>
      <c r="BV93" s="43"/>
      <c r="BW93" s="621"/>
      <c r="BX93" s="621"/>
      <c r="BY93"/>
      <c r="BZ93"/>
      <c r="CA93"/>
      <c r="CB93"/>
      <c r="CC93"/>
      <c r="CD93"/>
    </row>
    <row r="94" spans="2:82" s="616" customFormat="1" ht="12.75" customHeight="1" x14ac:dyDescent="0.2">
      <c r="B94" s="42" t="s">
        <v>72</v>
      </c>
      <c r="C94" s="15"/>
      <c r="D94" s="623"/>
      <c r="E94" s="15"/>
      <c r="F94" s="623"/>
      <c r="G94" s="15"/>
      <c r="H94" s="623"/>
      <c r="I94" s="15"/>
      <c r="J94" s="623"/>
      <c r="K94" s="15"/>
      <c r="L94" s="623"/>
      <c r="M94" s="15"/>
      <c r="N94" s="620"/>
      <c r="O94" s="55">
        <f>O85+O87</f>
        <v>-500</v>
      </c>
      <c r="P94" s="9" t="str">
        <f t="shared" si="549"/>
        <v>NA</v>
      </c>
      <c r="Q94" s="55">
        <f t="shared" ref="Q94:W94" si="620">Q85+Q87</f>
        <v>300</v>
      </c>
      <c r="R94" s="9" t="str">
        <f t="shared" si="549"/>
        <v>NA</v>
      </c>
      <c r="S94" s="55">
        <f t="shared" si="620"/>
        <v>-500</v>
      </c>
      <c r="T94" s="9" t="str">
        <f t="shared" si="549"/>
        <v>NA</v>
      </c>
      <c r="U94" s="55">
        <f t="shared" si="620"/>
        <v>700</v>
      </c>
      <c r="V94" s="9" t="str">
        <f t="shared" si="549"/>
        <v>NA</v>
      </c>
      <c r="W94" s="55">
        <f t="shared" si="620"/>
        <v>300</v>
      </c>
      <c r="X94" s="9" t="str">
        <f t="shared" si="554"/>
        <v>NM</v>
      </c>
      <c r="Y94" s="55">
        <f t="shared" ref="Y94:AA94" si="621">Y85+Y87</f>
        <v>900</v>
      </c>
      <c r="Z94" s="9" t="str">
        <f t="shared" si="555"/>
        <v>NM</v>
      </c>
      <c r="AA94" s="55">
        <f t="shared" si="621"/>
        <v>1100</v>
      </c>
      <c r="AB94" s="9" t="str">
        <f t="shared" si="556"/>
        <v>NM</v>
      </c>
      <c r="AC94" s="55">
        <f t="shared" ref="AC94:AE94" si="622">AC85+AC87</f>
        <v>1200</v>
      </c>
      <c r="AD94" s="9">
        <f t="shared" si="557"/>
        <v>71.428571428571416</v>
      </c>
      <c r="AE94" s="55">
        <f t="shared" si="622"/>
        <v>-100</v>
      </c>
      <c r="AF94" s="9" t="str">
        <f t="shared" si="558"/>
        <v>NM</v>
      </c>
      <c r="AG94" s="55">
        <f t="shared" ref="AG94:AI94" si="623">AG85+AG87</f>
        <v>1000</v>
      </c>
      <c r="AH94" s="9">
        <f>IF(ISERROR(AG94/Y94),"NA",IF(OR(AG94/Y94&gt;2,AG94/Y94&lt;0.5),"NM",AG94/Y94*100-100))</f>
        <v>11.111111111111114</v>
      </c>
      <c r="AI94" s="55">
        <f t="shared" si="623"/>
        <v>500</v>
      </c>
      <c r="AJ94" s="9" t="str">
        <f t="shared" ref="AJ94" si="624">IF(ISERROR(AI94/AA94),"NA",IF(OR(AI94/AA94&gt;2,AI94/AA94&lt;0.5),"NM",AI94/AA94*100-100))</f>
        <v>NM</v>
      </c>
      <c r="AK94" s="55">
        <f t="shared" ref="AK94:AM94" si="625">AK85+AK87</f>
        <v>500</v>
      </c>
      <c r="AL94" s="9" t="str">
        <f t="shared" ref="AL94" si="626">IF(ISERROR(AK94/AC94),"NA",IF(OR(AK94/AC94&gt;2,AK94/AC94&lt;0.5),"NM",AK94/AC94*100-100))</f>
        <v>NM</v>
      </c>
      <c r="AM94" s="55">
        <f t="shared" si="625"/>
        <v>900</v>
      </c>
      <c r="AN94" s="9" t="str">
        <f t="shared" ref="AN94" si="627">IF(ISERROR(AM94/AE94),"NA",IF(OR(AM94/AE94&gt;2,AM94/AE94&lt;0.5),"NM",AM94/AE94*100-100))</f>
        <v>NM</v>
      </c>
      <c r="AO94" s="55">
        <f t="shared" ref="AO94" si="628">AO85+AO87</f>
        <v>200</v>
      </c>
      <c r="AP94" s="9" t="str">
        <f t="shared" ref="AP94" si="629">IF(ISERROR(AO94/AG94),"NA",IF(OR(AO94/AG94&gt;2,AO94/AG94&lt;0.5),"NM",AO94/AG94*100-100))</f>
        <v>NM</v>
      </c>
      <c r="AQ94" s="55">
        <f t="shared" ref="AQ94:AW94" si="630">AQ85+AQ87</f>
        <v>100</v>
      </c>
      <c r="AR94" s="9" t="str">
        <f t="shared" ref="AR94" si="631">IF(ISERROR(AQ94/AI94),"NA",IF(OR(AQ94/AI94&gt;2,AQ94/AI94&lt;0.5),"NM",AQ94/AI94*100-100))</f>
        <v>NM</v>
      </c>
      <c r="AS94" s="55">
        <f t="shared" si="630"/>
        <v>84.700000000000045</v>
      </c>
      <c r="AT94" s="9" t="str">
        <f t="shared" ref="AT94" si="632">IF(ISERROR(AS94/AK94),"NA",IF(OR(AS94/AK94&gt;2,AS94/AK94&lt;0.5),"NM",AS94/AK94*100-100))</f>
        <v>NM</v>
      </c>
      <c r="AU94" s="55">
        <f t="shared" si="630"/>
        <v>69.706000000000131</v>
      </c>
      <c r="AV94" s="9" t="str">
        <f t="shared" ref="AV94" si="633">IF(ISERROR(AU94/AM94),"NA",IF(OR(AU94/AM94&gt;2,AU94/AM94&lt;0.5),"NM",AU94/AM94*100-100))</f>
        <v>NM</v>
      </c>
      <c r="AW94" s="55">
        <f t="shared" si="630"/>
        <v>55.011880000000247</v>
      </c>
      <c r="AX94" s="9" t="str">
        <f t="shared" ref="AX94" si="634">IF(ISERROR(AW94/AO94),"NA",IF(OR(AW94/AO94&gt;2,AW94/AO94&lt;0.5),"NM",AW94/AO94*100-100))</f>
        <v>NM</v>
      </c>
      <c r="AY94" s="356"/>
      <c r="AZ94" s="618"/>
      <c r="BA94" s="620"/>
      <c r="BB94" s="55"/>
      <c r="BC94" s="226" t="str">
        <f>IF(ISERROR(BB94/#REF!),"NA",IF(OR(BB94/#REF!&gt;2,BB94/#REF!&lt;0.5),"NM",BB94/#REF!*100-100))</f>
        <v>NA</v>
      </c>
      <c r="BD94" s="908"/>
      <c r="BE94" s="226" t="str">
        <f t="shared" ref="BE94:BS99" si="635">IF(ISERROR(BD94/BB94),"NA",IF(OR(BD94/BB94&gt;2,BD94/BB94&lt;0.5),"NM",BD94/BB94*100-100))</f>
        <v>NA</v>
      </c>
      <c r="BF94" s="55">
        <f t="shared" ref="BF94:BP94" si="636">BF85+BF87</f>
        <v>1400</v>
      </c>
      <c r="BG94" s="226" t="str">
        <f t="shared" si="635"/>
        <v>NA</v>
      </c>
      <c r="BH94" s="55">
        <f>BH85+BH87</f>
        <v>3200</v>
      </c>
      <c r="BI94" s="226" t="str">
        <f t="shared" si="635"/>
        <v>NM</v>
      </c>
      <c r="BJ94" s="55">
        <f>BJ85+BJ87</f>
        <v>2100</v>
      </c>
      <c r="BK94" s="226">
        <f t="shared" si="635"/>
        <v>-34.375</v>
      </c>
      <c r="BL94" s="55">
        <f>BL85+BL87</f>
        <v>309.41787999999997</v>
      </c>
      <c r="BM94" s="226" t="str">
        <f t="shared" si="635"/>
        <v>NM</v>
      </c>
      <c r="BN94" s="55">
        <f t="shared" si="636"/>
        <v>227.09085339290596</v>
      </c>
      <c r="BO94" s="226">
        <f t="shared" si="635"/>
        <v>-26.607068281604811</v>
      </c>
      <c r="BP94" s="55">
        <f t="shared" si="636"/>
        <v>153.62586875725538</v>
      </c>
      <c r="BQ94" s="226">
        <f t="shared" si="635"/>
        <v>-32.350481553100522</v>
      </c>
      <c r="BR94" s="55">
        <f t="shared" ref="BR94:BT94" si="637">BR85+BR87</f>
        <v>84.55651055231192</v>
      </c>
      <c r="BS94" s="226">
        <f t="shared" si="635"/>
        <v>-44.959458171774521</v>
      </c>
      <c r="BT94" s="55">
        <f t="shared" si="637"/>
        <v>19.472100918233991</v>
      </c>
      <c r="BU94" s="226" t="str">
        <f t="shared" ref="BU94" si="638">IF(ISERROR(BT94/BR94),"NA",IF(OR(BT94/BR94&gt;2,BT94/BR94&lt;0.5),"NM",BT94/BR94*100-100))</f>
        <v>NM</v>
      </c>
      <c r="BV94" s="43" t="str">
        <f>IF(ISERROR(((BT94/BJ94)^0.2-1)*100),"NA",IF((((BT94/BJ94)^0.2-1)*100)&gt;100,"NM",IF((((BT94/BJ94)^0.2-1)*100)&lt;-50,"NM",((BT94/BJ94)^0.2-1)*100)))</f>
        <v>NM</v>
      </c>
      <c r="BW94" s="621"/>
      <c r="BX94" s="621"/>
      <c r="BY94"/>
      <c r="BZ94"/>
      <c r="CA94"/>
      <c r="CB94"/>
      <c r="CC94"/>
      <c r="CD94"/>
    </row>
    <row r="95" spans="2:82" s="616" customFormat="1" ht="12.75" customHeight="1" x14ac:dyDescent="0.2">
      <c r="B95" s="42"/>
      <c r="C95" s="15"/>
      <c r="D95" s="623"/>
      <c r="E95" s="15"/>
      <c r="F95" s="623"/>
      <c r="G95" s="15"/>
      <c r="H95" s="623"/>
      <c r="I95" s="15"/>
      <c r="J95" s="623"/>
      <c r="K95" s="15"/>
      <c r="L95" s="623"/>
      <c r="M95" s="15"/>
      <c r="N95" s="620"/>
      <c r="O95" s="55"/>
      <c r="P95" s="9"/>
      <c r="Q95" s="55"/>
      <c r="R95" s="9"/>
      <c r="S95" s="55"/>
      <c r="T95" s="9"/>
      <c r="U95" s="55"/>
      <c r="V95" s="9"/>
      <c r="W95" s="55"/>
      <c r="X95" s="9"/>
      <c r="Y95" s="55"/>
      <c r="Z95" s="9"/>
      <c r="AA95" s="55"/>
      <c r="AB95" s="9"/>
      <c r="AC95" s="55"/>
      <c r="AD95" s="9"/>
      <c r="AE95" s="55"/>
      <c r="AF95" s="9"/>
      <c r="AG95" s="55"/>
      <c r="AH95" s="620"/>
      <c r="AI95" s="55"/>
      <c r="AJ95" s="620"/>
      <c r="AK95" s="55"/>
      <c r="AL95" s="620"/>
      <c r="AM95" s="55"/>
      <c r="AN95" s="620"/>
      <c r="AO95" s="55"/>
      <c r="AP95" s="620"/>
      <c r="AQ95" s="55"/>
      <c r="AR95" s="620"/>
      <c r="AS95" s="55"/>
      <c r="AT95" s="620"/>
      <c r="AU95" s="55"/>
      <c r="AV95" s="620"/>
      <c r="AW95" s="55"/>
      <c r="AX95" s="620"/>
      <c r="AY95" s="356"/>
      <c r="AZ95" s="618"/>
      <c r="BA95" s="620"/>
      <c r="BB95" s="55"/>
      <c r="BC95" s="55"/>
      <c r="BD95" s="908"/>
      <c r="BE95" s="55"/>
      <c r="BF95" s="55"/>
      <c r="BG95" s="626"/>
      <c r="BH95" s="55"/>
      <c r="BI95" s="626"/>
      <c r="BJ95" s="55"/>
      <c r="BK95" s="626"/>
      <c r="BL95" s="55"/>
      <c r="BM95" s="626"/>
      <c r="BN95" s="55"/>
      <c r="BO95" s="626"/>
      <c r="BP95" s="55"/>
      <c r="BQ95" s="623"/>
      <c r="BR95" s="55"/>
      <c r="BS95" s="623"/>
      <c r="BT95" s="55"/>
      <c r="BU95" s="623"/>
      <c r="BV95" s="43"/>
      <c r="BW95" s="621"/>
      <c r="BX95" s="621"/>
      <c r="BY95"/>
      <c r="BZ95"/>
      <c r="CA95"/>
      <c r="CB95"/>
      <c r="CC95"/>
      <c r="CD95"/>
    </row>
    <row r="96" spans="2:82" s="616" customFormat="1" ht="12.75" customHeight="1" x14ac:dyDescent="0.2">
      <c r="B96" s="42" t="s">
        <v>73</v>
      </c>
      <c r="C96" s="15"/>
      <c r="D96" s="623"/>
      <c r="E96" s="15"/>
      <c r="F96" s="623"/>
      <c r="G96" s="15"/>
      <c r="H96" s="623"/>
      <c r="I96" s="15"/>
      <c r="J96" s="623"/>
      <c r="K96" s="15"/>
      <c r="L96" s="623"/>
      <c r="M96" s="15"/>
      <c r="N96" s="620"/>
      <c r="O96" s="57">
        <f>+O85/O84*400</f>
        <v>14.193548387096774</v>
      </c>
      <c r="P96" s="9" t="str">
        <f>IF(ISERROR(O96/G96),"NA",IF(OR(O96/G96&gt;2,O96/G96&lt;0.5),"NM",O96/G96*100-100))</f>
        <v>NA</v>
      </c>
      <c r="Q96" s="57">
        <f>+Q85/Q84*400</f>
        <v>16.993464052287582</v>
      </c>
      <c r="R96" s="9" t="str">
        <f>IF(ISERROR(Q96/I96),"NA",IF(OR(Q96/I96&gt;2,Q96/I96&lt;0.5),"NM",Q96/I96*100-100))</f>
        <v>NA</v>
      </c>
      <c r="S96" s="57">
        <f>+S85/S84*400</f>
        <v>10.289389067524116</v>
      </c>
      <c r="T96" s="9" t="str">
        <f>IF(ISERROR(S96/K96),"NA",IF(OR(S96/K96&gt;2,S96/K96&lt;0.5),"NM",S96/K96*100-100))</f>
        <v>NA</v>
      </c>
      <c r="U96" s="57">
        <f>+U85/U84*400</f>
        <v>24.595469255663431</v>
      </c>
      <c r="V96" s="9" t="str">
        <f>IF(ISERROR(U96/M96),"NA",IF(OR(U96/M96&gt;2,U96/M96&lt;0.5),"NM",U96/M96*100-100))</f>
        <v>NA</v>
      </c>
      <c r="W96" s="57">
        <f>+W85/W84*100*4</f>
        <v>18.927444794952681</v>
      </c>
      <c r="X96" s="9">
        <f>IF(ISERROR(W96/O96),"NA",IF(OR(W96/O96&gt;2,W96/O96&lt;0.5),"NM",W96/O96*100-100))</f>
        <v>33.352451964439354</v>
      </c>
      <c r="Y96" s="57">
        <f>+Y85/Y84*100*4</f>
        <v>24.767801857585141</v>
      </c>
      <c r="Z96" s="9">
        <f>IF(ISERROR(Y96/Q96),"NA",IF(OR(Y96/Q96&gt;2,Y96/Q96&lt;0.5),"NM",Y96/Q96*100-100))</f>
        <v>45.748987854251027</v>
      </c>
      <c r="AA96" s="57">
        <f>+AA85/AA84*100*4</f>
        <v>44.444444444444443</v>
      </c>
      <c r="AB96" s="9" t="str">
        <f>IF(ISERROR(AA96/S96),"NA",IF(OR(AA96/S96&gt;2,AA96/S96&lt;0.5),"NM",AA96/S96*100-100))</f>
        <v>NM</v>
      </c>
      <c r="AC96" s="57">
        <f>+AC85/AC84*100*4</f>
        <v>31.123919308357351</v>
      </c>
      <c r="AD96" s="9">
        <f>IF(ISERROR(AC96/U96),"NA",IF(OR(AC96/U96&gt;2,AC96/U96&lt;0.5),"NM",AC96/U96*100-100))</f>
        <v>26.543303503716075</v>
      </c>
      <c r="AE96" s="57">
        <f>+AE85/AE84*100*4</f>
        <v>7.7348066298342539</v>
      </c>
      <c r="AF96" s="9" t="str">
        <f>IF(ISERROR(AE96/W96),"NA",IF(OR(AE96/W96&gt;2,AE96/W96&lt;0.5),"NM",AE96/W96*100-100))</f>
        <v>NM</v>
      </c>
      <c r="AG96" s="57">
        <f>+AG85/AG84*100*4</f>
        <v>26.373626373626376</v>
      </c>
      <c r="AH96" s="9">
        <f t="shared" ref="AH96:AH99" si="639">IF(ISERROR(AG96/Y96),"NA",IF(OR(AG96/Y96&gt;2,AG96/Y96&lt;0.5),"NM",AG96/Y96*100-100))</f>
        <v>6.4835164835164818</v>
      </c>
      <c r="AI96" s="57">
        <f>+AI85/AI84*100*4</f>
        <v>23.404255319148938</v>
      </c>
      <c r="AJ96" s="9">
        <f t="shared" ref="AJ96:AJ99" si="640">IF(ISERROR(AI96/AA96),"NA",IF(OR(AI96/AA96&gt;2,AI96/AA96&lt;0.5),"NM",AI96/AA96*100-100))</f>
        <v>-47.340425531914889</v>
      </c>
      <c r="AK96" s="57">
        <f>+AK85/AK84*100*4</f>
        <v>44.675324675324674</v>
      </c>
      <c r="AL96" s="9">
        <f t="shared" ref="AL96:AL99" si="641">IF(ISERROR(AK96/AC96),"NA",IF(OR(AK96/AC96&gt;2,AK96/AC96&lt;0.5),"NM",AK96/AC96*100-100))</f>
        <v>43.540163540163519</v>
      </c>
      <c r="AM96" s="57">
        <f>+AM85/AM84*100*4</f>
        <v>20.408163265306122</v>
      </c>
      <c r="AN96" s="9" t="str">
        <f t="shared" ref="AN96:AN99" si="642">IF(ISERROR(AM96/AE96),"NA",IF(OR(AM96/AE96&gt;2,AM96/AE96&lt;0.5),"NM",AM96/AE96*100-100))</f>
        <v>NM</v>
      </c>
      <c r="AO96" s="57">
        <f>+AO85/AO84*100*4</f>
        <v>13.82716049382716</v>
      </c>
      <c r="AP96" s="9">
        <f t="shared" ref="AP96:AP99" si="643">IF(ISERROR(AO96/AG96),"NA",IF(OR(AO96/AG96&gt;2,AO96/AG96&lt;0.5),"NM",AO96/AG96*100-100))</f>
        <v>-47.572016460905353</v>
      </c>
      <c r="AQ96" s="57">
        <f t="shared" ref="AQ96:AW96" si="644">+AQ85/AQ84*100*4</f>
        <v>12.975609756097562</v>
      </c>
      <c r="AR96" s="9">
        <f t="shared" ref="AR96:AR99" si="645">IF(ISERROR(AQ96/AI96),"NA",IF(OR(AQ96/AI96&gt;2,AQ96/AI96&lt;0.5),"NM",AQ96/AI96*100-100))</f>
        <v>-44.558758314855872</v>
      </c>
      <c r="AS96" s="57">
        <f t="shared" si="644"/>
        <v>12.816188870151771</v>
      </c>
      <c r="AT96" s="9" t="str">
        <f t="shared" ref="AT96:AT99" si="646">IF(ISERROR(AS96/AK96),"NA",IF(OR(AS96/AK96&gt;2,AS96/AK96&lt;0.5),"NM",AS96/AK96*100-100))</f>
        <v>NM</v>
      </c>
      <c r="AU96" s="57">
        <f t="shared" si="644"/>
        <v>12.663711800579867</v>
      </c>
      <c r="AV96" s="9">
        <f t="shared" ref="AV96:AV99" si="647">IF(ISERROR(AU96/AM96),"NA",IF(OR(AU96/AM96&gt;2,AU96/AM96&lt;0.5),"NM",AU96/AM96*100-100))</f>
        <v>-37.94781217715866</v>
      </c>
      <c r="AW96" s="57">
        <f t="shared" si="644"/>
        <v>12.517763694927606</v>
      </c>
      <c r="AX96" s="9">
        <f t="shared" ref="AX96:AX99" si="648">IF(ISERROR(AW96/AO96),"NA",IF(OR(AW96/AO96&gt;2,AW96/AO96&lt;0.5),"NM",AW96/AO96*100-100))</f>
        <v>-9.4697447063271341</v>
      </c>
      <c r="AY96" s="356"/>
      <c r="AZ96" s="618"/>
      <c r="BA96" s="620"/>
      <c r="BB96" s="57"/>
      <c r="BC96" s="226" t="str">
        <f>IF(ISERROR(BB96/#REF!),"NA",IF(OR(BB96/#REF!&gt;2,BB96/#REF!&lt;0.5),"NM",BB96/#REF!*100-100))</f>
        <v>NA</v>
      </c>
      <c r="BD96" s="911"/>
      <c r="BE96" s="226" t="str">
        <f t="shared" si="635"/>
        <v>NA</v>
      </c>
      <c r="BF96" s="57">
        <f>BF85/BF84*100</f>
        <v>19.935691318327976</v>
      </c>
      <c r="BG96" s="226" t="str">
        <f t="shared" si="635"/>
        <v>NA</v>
      </c>
      <c r="BH96" s="57">
        <f t="shared" ref="BH96:BP96" si="649">BH85/BH84*100</f>
        <v>28.528528528528529</v>
      </c>
      <c r="BI96" s="226">
        <f t="shared" si="635"/>
        <v>43.102780199554388</v>
      </c>
      <c r="BJ96" s="57">
        <f t="shared" ref="BJ96" si="650">BJ85/BJ84*100</f>
        <v>26.329787234042552</v>
      </c>
      <c r="BK96" s="226">
        <f t="shared" si="635"/>
        <v>-7.7071668533034767</v>
      </c>
      <c r="BL96" s="57">
        <f t="shared" ref="BL96" si="651">BL85/BL84*100</f>
        <v>12.975609756097562</v>
      </c>
      <c r="BM96" s="226" t="str">
        <f t="shared" si="635"/>
        <v>NM</v>
      </c>
      <c r="BN96" s="57">
        <f t="shared" si="649"/>
        <v>12.749300785217512</v>
      </c>
      <c r="BO96" s="226">
        <f t="shared" si="635"/>
        <v>-1.7441104898650508</v>
      </c>
      <c r="BP96" s="57">
        <f t="shared" si="649"/>
        <v>12.56288600060039</v>
      </c>
      <c r="BQ96" s="226">
        <f t="shared" si="635"/>
        <v>-1.4621569273294313</v>
      </c>
      <c r="BR96" s="57">
        <f t="shared" ref="BR96:BT96" si="652">BR85/BR84*100</f>
        <v>12.401313263257411</v>
      </c>
      <c r="BS96" s="226">
        <f t="shared" si="635"/>
        <v>-1.2861116254279352</v>
      </c>
      <c r="BT96" s="57">
        <f t="shared" si="652"/>
        <v>12.260804295654914</v>
      </c>
      <c r="BU96" s="226">
        <f t="shared" ref="BU96:BU99" si="653">IF(ISERROR(BT96/BR96),"NA",IF(OR(BT96/BR96&gt;2,BT96/BR96&lt;0.5),"NM",BT96/BR96*100-100))</f>
        <v>-1.1330168395858209</v>
      </c>
      <c r="BV96" s="43">
        <f>IF(ISERROR(((BT96/BJ96)^0.2-1)*100),"NA",IF((((BT96/BJ96)^0.2-1)*100)&gt;100,"NM",IF((((BT96/BJ96)^0.2-1)*100)&lt;-50,"NM",((BT96/BJ96)^0.2-1)*100)))</f>
        <v>-14.174899205693547</v>
      </c>
      <c r="BW96" s="621"/>
      <c r="BX96" s="621"/>
      <c r="BY96"/>
      <c r="BZ96"/>
      <c r="CA96"/>
      <c r="CB96"/>
      <c r="CC96"/>
      <c r="CD96"/>
    </row>
    <row r="97" spans="2:82" s="616" customFormat="1" ht="12.75" customHeight="1" x14ac:dyDescent="0.2">
      <c r="B97" s="42" t="s">
        <v>74</v>
      </c>
      <c r="C97" s="15"/>
      <c r="D97" s="623"/>
      <c r="E97" s="15"/>
      <c r="F97" s="623"/>
      <c r="G97" s="15"/>
      <c r="H97" s="623"/>
      <c r="I97" s="15"/>
      <c r="J97" s="623"/>
      <c r="K97" s="15"/>
      <c r="L97" s="623"/>
      <c r="M97" s="15"/>
      <c r="N97" s="620"/>
      <c r="O97" s="694">
        <f>+O87/O84*400</f>
        <v>-20.64516129032258</v>
      </c>
      <c r="P97" s="9" t="str">
        <f>IF(ISERROR(O97/G97),"NA",IF(OR(O97/G97&gt;2,O97/G97&lt;0.5),"NM",O97/G97*100-100))</f>
        <v>NA</v>
      </c>
      <c r="Q97" s="694">
        <f>+Q87/Q84*400</f>
        <v>-13.071895424836603</v>
      </c>
      <c r="R97" s="9" t="str">
        <f>IF(ISERROR(Q97/I97),"NA",IF(OR(Q97/I97&gt;2,Q97/I97&lt;0.5),"NM",Q97/I97*100-100))</f>
        <v>NA</v>
      </c>
      <c r="S97" s="694">
        <f>+S87/S84*400</f>
        <v>-16.720257234726688</v>
      </c>
      <c r="T97" s="9" t="str">
        <f>IF(ISERROR(S97/K97),"NA",IF(OR(S97/K97&gt;2,S97/K97&lt;0.5),"NM",S97/K97*100-100))</f>
        <v>NA</v>
      </c>
      <c r="U97" s="694">
        <f>+U87/U84*400</f>
        <v>-15.53398058252427</v>
      </c>
      <c r="V97" s="9" t="str">
        <f>IF(ISERROR(U97/M97),"NA",IF(OR(U97/M97&gt;2,U97/M97&lt;0.5),"NM",U97/M97*100-100))</f>
        <v>NA</v>
      </c>
      <c r="W97" s="694">
        <f t="shared" ref="W97:Y97" si="654">+W87/W84*400</f>
        <v>-15.141955835962145</v>
      </c>
      <c r="X97" s="9">
        <f>IF(ISERROR(W97/O97),"NA",IF(OR(W97/O97&gt;2,W97/O97&lt;0.5),"NM",W97/O97*100-100))</f>
        <v>-26.656151419558356</v>
      </c>
      <c r="Y97" s="694">
        <f t="shared" si="654"/>
        <v>-13.622291021671826</v>
      </c>
      <c r="Z97" s="9">
        <f>IF(ISERROR(Y97/Q97),"NA",IF(OR(Y97/Q97&gt;2,Y97/Q97&lt;0.5),"NM",Y97/Q97*100-100))</f>
        <v>4.2105263157894655</v>
      </c>
      <c r="AA97" s="694">
        <f t="shared" ref="AA97:AC97" si="655">+AA87/AA84*400</f>
        <v>-31.231231231231231</v>
      </c>
      <c r="AB97" s="9">
        <f>IF(ISERROR(AA97/S97),"NA",IF(OR(AA97/S97&gt;2,AA97/S97&lt;0.5),"NM",AA97/S97*100-100))</f>
        <v>86.786786786786791</v>
      </c>
      <c r="AC97" s="694">
        <f t="shared" si="655"/>
        <v>-17.291066282420751</v>
      </c>
      <c r="AD97" s="9">
        <f>IF(ISERROR(AC97/U97),"NA",IF(OR(AC97/U97&gt;2,AC97/U97&lt;0.5),"NM",AC97/U97*100-100))</f>
        <v>11.311239193083594</v>
      </c>
      <c r="AE97" s="694">
        <f t="shared" ref="AE97:AG97" si="656">+AE87/AE84*400</f>
        <v>-8.8397790055248606</v>
      </c>
      <c r="AF97" s="9">
        <f>IF(ISERROR(AE97/W97),"NA",IF(OR(AE97/W97&gt;2,AE97/W97&lt;0.5),"NM",AE97/W97*100-100))</f>
        <v>-41.6206261510129</v>
      </c>
      <c r="AG97" s="694">
        <f t="shared" si="656"/>
        <v>-15.384615384615385</v>
      </c>
      <c r="AH97" s="9">
        <f t="shared" si="639"/>
        <v>12.937062937062933</v>
      </c>
      <c r="AI97" s="694">
        <f t="shared" ref="AI97:AK97" si="657">+AI87/AI84*400</f>
        <v>-18.085106382978726</v>
      </c>
      <c r="AJ97" s="9">
        <f t="shared" si="640"/>
        <v>-42.09288052373158</v>
      </c>
      <c r="AK97" s="694">
        <f t="shared" si="657"/>
        <v>-39.480519480519483</v>
      </c>
      <c r="AL97" s="9" t="str">
        <f t="shared" si="641"/>
        <v>NM</v>
      </c>
      <c r="AM97" s="694">
        <f t="shared" ref="AM97:AO97" si="658">+AM87/AM84*400</f>
        <v>-11.224489795918368</v>
      </c>
      <c r="AN97" s="9">
        <f t="shared" si="642"/>
        <v>26.97704081632655</v>
      </c>
      <c r="AO97" s="694">
        <f t="shared" si="658"/>
        <v>-11.851851851851853</v>
      </c>
      <c r="AP97" s="9">
        <f t="shared" si="643"/>
        <v>-22.962962962962962</v>
      </c>
      <c r="AQ97" s="58">
        <v>-12</v>
      </c>
      <c r="AR97" s="9">
        <f t="shared" si="645"/>
        <v>-33.64705882352942</v>
      </c>
      <c r="AS97" s="58">
        <f>AQ97</f>
        <v>-12</v>
      </c>
      <c r="AT97" s="9" t="str">
        <f t="shared" si="646"/>
        <v>NM</v>
      </c>
      <c r="AU97" s="58">
        <f>AS97</f>
        <v>-12</v>
      </c>
      <c r="AV97" s="9">
        <f t="shared" si="647"/>
        <v>6.9090909090909065</v>
      </c>
      <c r="AW97" s="58">
        <f>AU97</f>
        <v>-12</v>
      </c>
      <c r="AX97" s="9">
        <f t="shared" si="648"/>
        <v>1.25</v>
      </c>
      <c r="AY97" s="356"/>
      <c r="AZ97" s="618"/>
      <c r="BA97" s="620"/>
      <c r="BB97" s="57"/>
      <c r="BC97" s="226" t="str">
        <f>IF(ISERROR(BB97/#REF!),"NA",IF(OR(BB97/#REF!&gt;2,BB97/#REF!&lt;0.5),"NM",BB97/#REF!*100-100))</f>
        <v>NA</v>
      </c>
      <c r="BD97" s="911"/>
      <c r="BE97" s="226" t="str">
        <f t="shared" si="635"/>
        <v>NA</v>
      </c>
      <c r="BF97" s="57">
        <f>BF87/BF84*100</f>
        <v>-15.434083601286176</v>
      </c>
      <c r="BG97" s="226" t="str">
        <f t="shared" si="635"/>
        <v>NA</v>
      </c>
      <c r="BH97" s="57">
        <f t="shared" ref="BH97" si="659">BH87/BH84*100</f>
        <v>-18.918918918918919</v>
      </c>
      <c r="BI97" s="226">
        <f t="shared" si="635"/>
        <v>22.578828828828819</v>
      </c>
      <c r="BJ97" s="57">
        <f t="shared" ref="BJ97" si="660">BJ87/BJ84*100</f>
        <v>-20.74468085106383</v>
      </c>
      <c r="BK97" s="226">
        <f t="shared" si="635"/>
        <v>9.6504559270516665</v>
      </c>
      <c r="BL97" s="57">
        <f t="shared" ref="BL97" si="661">BL87/BL84*100</f>
        <v>-12.220931999999999</v>
      </c>
      <c r="BM97" s="226">
        <f t="shared" si="635"/>
        <v>-41.088840615384612</v>
      </c>
      <c r="BN97" s="58">
        <f>BL97</f>
        <v>-12.220931999999999</v>
      </c>
      <c r="BO97" s="226">
        <f t="shared" si="635"/>
        <v>0</v>
      </c>
      <c r="BP97" s="58">
        <f t="shared" ref="BP97" si="662">BN97</f>
        <v>-12.220931999999999</v>
      </c>
      <c r="BQ97" s="226">
        <f t="shared" si="635"/>
        <v>0</v>
      </c>
      <c r="BR97" s="58">
        <f t="shared" ref="BR97" si="663">BP97</f>
        <v>-12.220931999999999</v>
      </c>
      <c r="BS97" s="226">
        <f t="shared" si="635"/>
        <v>0</v>
      </c>
      <c r="BT97" s="58">
        <f t="shared" ref="BT97" si="664">BR97</f>
        <v>-12.220931999999999</v>
      </c>
      <c r="BU97" s="226">
        <f t="shared" si="653"/>
        <v>0</v>
      </c>
      <c r="BV97" s="43">
        <f>IF(ISERROR(((BT97/BJ97)^0.2-1)*100),"NA",IF((((BT97/BJ97)^0.2-1)*100)&gt;100,"NM",IF((((BT97/BJ97)^0.2-1)*100)&lt;-50,"NM",((BT97/BJ97)^0.2-1)*100)))</f>
        <v>-10.042057461622756</v>
      </c>
      <c r="BW97" s="621"/>
      <c r="BX97" s="621"/>
      <c r="BY97"/>
      <c r="BZ97"/>
      <c r="CA97"/>
      <c r="CB97"/>
      <c r="CC97"/>
      <c r="CD97"/>
    </row>
    <row r="98" spans="2:82" s="616" customFormat="1" ht="12.75" customHeight="1" x14ac:dyDescent="0.2">
      <c r="B98" s="42" t="s">
        <v>39</v>
      </c>
      <c r="C98" s="15"/>
      <c r="D98" s="623"/>
      <c r="E98" s="15"/>
      <c r="F98" s="623"/>
      <c r="G98" s="15"/>
      <c r="H98" s="623"/>
      <c r="I98" s="15"/>
      <c r="J98" s="623"/>
      <c r="K98" s="15"/>
      <c r="L98" s="623"/>
      <c r="M98" s="15"/>
      <c r="N98" s="620"/>
      <c r="O98" s="694">
        <f>O94/O84*400</f>
        <v>-6.4516129032258061</v>
      </c>
      <c r="P98" s="9" t="str">
        <f>IF(ISERROR(O98/G98),"NA",IF(OR(O98/G98&gt;2,O98/G98&lt;0.5),"NM",O98/G98*100-100))</f>
        <v>NA</v>
      </c>
      <c r="Q98" s="694">
        <f>Q94/Q84*400</f>
        <v>3.9215686274509802</v>
      </c>
      <c r="R98" s="9" t="str">
        <f>IF(ISERROR(Q98/I98),"NA",IF(OR(Q98/I98&gt;2,Q98/I98&lt;0.5),"NM",Q98/I98*100-100))</f>
        <v>NA</v>
      </c>
      <c r="S98" s="694">
        <f>S94/S84*400</f>
        <v>-6.430868167202572</v>
      </c>
      <c r="T98" s="9" t="str">
        <f>IF(ISERROR(S98/K98),"NA",IF(OR(S98/K98&gt;2,S98/K98&lt;0.5),"NM",S98/K98*100-100))</f>
        <v>NA</v>
      </c>
      <c r="U98" s="694">
        <f>U94/U84*400</f>
        <v>9.0614886731391593</v>
      </c>
      <c r="V98" s="9" t="str">
        <f>IF(ISERROR(U98/M98),"NA",IF(OR(U98/M98&gt;2,U98/M98&lt;0.5),"NM",U98/M98*100-100))</f>
        <v>NA</v>
      </c>
      <c r="W98" s="694">
        <f>W94/W84*400</f>
        <v>3.7854889589905363</v>
      </c>
      <c r="X98" s="9" t="str">
        <f>IF(ISERROR(W98/O98),"NA",IF(OR(W98/O98&gt;2,W98/O98&lt;0.5),"NM",W98/O98*100-100))</f>
        <v>NM</v>
      </c>
      <c r="Y98" s="694">
        <f>Y94/Y84*400</f>
        <v>11.145510835913312</v>
      </c>
      <c r="Z98" s="9" t="str">
        <f>IF(ISERROR(Y98/Q98),"NA",IF(OR(Y98/Q98&gt;2,Y98/Q98&lt;0.5),"NM",Y98/Q98*100-100))</f>
        <v>NM</v>
      </c>
      <c r="AA98" s="694">
        <f>AA94/AA84*400</f>
        <v>13.213213213213212</v>
      </c>
      <c r="AB98" s="9" t="str">
        <f>IF(ISERROR(AA98/S98),"NA",IF(OR(AA98/S98&gt;2,AA98/S98&lt;0.5),"NM",AA98/S98*100-100))</f>
        <v>NM</v>
      </c>
      <c r="AC98" s="694">
        <f>AC94/AC84*400</f>
        <v>13.8328530259366</v>
      </c>
      <c r="AD98" s="9">
        <f>IF(ISERROR(AC98/U98),"NA",IF(OR(AC98/U98&gt;2,AC98/U98&lt;0.5),"NM",AC98/U98*100-100))</f>
        <v>52.655413750514612</v>
      </c>
      <c r="AE98" s="694">
        <f>AE94/AE84*400</f>
        <v>-1.1049723756906076</v>
      </c>
      <c r="AF98" s="9" t="str">
        <f>IF(ISERROR(AE98/W98),"NA",IF(OR(AE98/W98&gt;2,AE98/W98&lt;0.5),"NM",AE98/W98*100-100))</f>
        <v>NM</v>
      </c>
      <c r="AG98" s="694">
        <f>AG94/AG84*400</f>
        <v>10.989010989010989</v>
      </c>
      <c r="AH98" s="9">
        <f t="shared" si="639"/>
        <v>-1.4041514041514063</v>
      </c>
      <c r="AI98" s="694">
        <f>AI94/AI84*400</f>
        <v>5.3191489361702127</v>
      </c>
      <c r="AJ98" s="9" t="str">
        <f t="shared" si="640"/>
        <v>NM</v>
      </c>
      <c r="AK98" s="694">
        <f>AK94/AK84*400</f>
        <v>5.1948051948051948</v>
      </c>
      <c r="AL98" s="9" t="str">
        <f t="shared" si="641"/>
        <v>NM</v>
      </c>
      <c r="AM98" s="694">
        <f>AM94/AM84*400</f>
        <v>9.183673469387756</v>
      </c>
      <c r="AN98" s="9" t="str">
        <f t="shared" si="642"/>
        <v>NM</v>
      </c>
      <c r="AO98" s="694">
        <f>AO94/AO84*400</f>
        <v>1.9753086419753085</v>
      </c>
      <c r="AP98" s="9" t="str">
        <f t="shared" si="643"/>
        <v>NM</v>
      </c>
      <c r="AQ98" s="694">
        <f t="shared" ref="AQ98:AW98" si="665">AQ94/AQ84*400</f>
        <v>0.97560975609756095</v>
      </c>
      <c r="AR98" s="9" t="str">
        <f t="shared" si="645"/>
        <v>NM</v>
      </c>
      <c r="AS98" s="694">
        <f t="shared" si="665"/>
        <v>0.81618887015177111</v>
      </c>
      <c r="AT98" s="9" t="str">
        <f t="shared" si="646"/>
        <v>NM</v>
      </c>
      <c r="AU98" s="694">
        <f t="shared" si="665"/>
        <v>0.66371180057986601</v>
      </c>
      <c r="AV98" s="9" t="str">
        <f t="shared" si="647"/>
        <v>NM</v>
      </c>
      <c r="AW98" s="694">
        <f t="shared" si="665"/>
        <v>0.51776369492760699</v>
      </c>
      <c r="AX98" s="9" t="str">
        <f t="shared" si="648"/>
        <v>NM</v>
      </c>
      <c r="AY98" s="356"/>
      <c r="AZ98" s="618"/>
      <c r="BA98" s="620"/>
      <c r="BB98" s="57"/>
      <c r="BC98" s="226" t="str">
        <f>IF(ISERROR(BB98/#REF!),"NA",IF(OR(BB98/#REF!&gt;2,BB98/#REF!&lt;0.5),"NM",BB98/#REF!*100-100))</f>
        <v>NA</v>
      </c>
      <c r="BD98" s="911"/>
      <c r="BE98" s="226" t="str">
        <f t="shared" si="635"/>
        <v>NA</v>
      </c>
      <c r="BF98" s="57">
        <f>BF94/BF84*100</f>
        <v>4.501607717041801</v>
      </c>
      <c r="BG98" s="226" t="str">
        <f t="shared" si="635"/>
        <v>NA</v>
      </c>
      <c r="BH98" s="57">
        <f t="shared" ref="BH98:BP98" si="666">BH94/BH84*100</f>
        <v>9.6096096096096097</v>
      </c>
      <c r="BI98" s="226" t="str">
        <f t="shared" si="635"/>
        <v>NM</v>
      </c>
      <c r="BJ98" s="57">
        <f t="shared" ref="BJ98" si="667">BJ94/BJ84*100</f>
        <v>5.5851063829787231</v>
      </c>
      <c r="BK98" s="226">
        <f t="shared" si="635"/>
        <v>-41.87998670212766</v>
      </c>
      <c r="BL98" s="57">
        <f t="shared" ref="BL98" si="668">BL94/BL84*100</f>
        <v>0.75467775609756094</v>
      </c>
      <c r="BM98" s="226" t="str">
        <f t="shared" si="635"/>
        <v>NM</v>
      </c>
      <c r="BN98" s="57">
        <f t="shared" si="666"/>
        <v>0.52836878521751429</v>
      </c>
      <c r="BO98" s="226">
        <f t="shared" si="635"/>
        <v>-29.987497186917295</v>
      </c>
      <c r="BP98" s="57">
        <f t="shared" si="666"/>
        <v>0.34195400060039038</v>
      </c>
      <c r="BQ98" s="226">
        <f t="shared" si="635"/>
        <v>-35.281188032404728</v>
      </c>
      <c r="BR98" s="57">
        <f t="shared" ref="BR98:BT98" si="669">BR94/BR84*100</f>
        <v>0.18038126325740966</v>
      </c>
      <c r="BS98" s="226">
        <f t="shared" si="635"/>
        <v>-47.249845610607622</v>
      </c>
      <c r="BT98" s="57">
        <f t="shared" si="669"/>
        <v>3.9872295654915242E-2</v>
      </c>
      <c r="BU98" s="226" t="str">
        <f t="shared" si="653"/>
        <v>NM</v>
      </c>
      <c r="BV98" s="43" t="str">
        <f>IF(ISERROR(((BT98/BJ98)^0.2-1)*100),"NA",IF((((BT98/BJ98)^0.2-1)*100)&gt;100,"NM",IF((((BT98/BJ98)^0.2-1)*100)&lt;-50,"NM",((BT98/BJ98)^0.2-1)*100)))</f>
        <v>NM</v>
      </c>
      <c r="BW98" s="621"/>
      <c r="BX98" s="621"/>
      <c r="BY98"/>
      <c r="BZ98"/>
      <c r="CA98"/>
      <c r="CB98"/>
      <c r="CC98"/>
      <c r="CD98"/>
    </row>
    <row r="99" spans="2:82" s="616" customFormat="1" ht="12.75" customHeight="1" x14ac:dyDescent="0.2">
      <c r="B99" s="240" t="s">
        <v>77</v>
      </c>
      <c r="C99" s="15"/>
      <c r="D99" s="623"/>
      <c r="E99" s="15"/>
      <c r="F99" s="623"/>
      <c r="G99" s="15"/>
      <c r="H99" s="623"/>
      <c r="I99" s="15"/>
      <c r="J99" s="623"/>
      <c r="K99" s="15"/>
      <c r="L99" s="623"/>
      <c r="M99" s="15"/>
      <c r="N99" s="620"/>
      <c r="O99" s="57">
        <f>+O88/O84*400</f>
        <v>2.5806451612903225</v>
      </c>
      <c r="P99" s="9" t="str">
        <f>IF(ISERROR(O99/G99),"NA",IF(OR(O99/G99&gt;2,O99/G99&lt;0.5),"NM",O99/G99*100-100))</f>
        <v>NA</v>
      </c>
      <c r="Q99" s="57">
        <f>+Q88/Q84*400</f>
        <v>5.2287581699346406</v>
      </c>
      <c r="R99" s="9" t="str">
        <f>IF(ISERROR(Q99/I99),"NA",IF(OR(Q99/I99&gt;2,Q99/I99&lt;0.5),"NM",Q99/I99*100-100))</f>
        <v>NA</v>
      </c>
      <c r="S99" s="57">
        <f>+S88/S84*400</f>
        <v>3.8585209003215439</v>
      </c>
      <c r="T99" s="9" t="str">
        <f>IF(ISERROR(S99/K99),"NA",IF(OR(S99/K99&gt;2,S99/K99&lt;0.5),"NM",S99/K99*100-100))</f>
        <v>NA</v>
      </c>
      <c r="U99" s="57">
        <f>+U88/U84*400</f>
        <v>2.5889967637540456</v>
      </c>
      <c r="V99" s="9" t="str">
        <f>IF(ISERROR(U99/M99),"NA",IF(OR(U99/M99&gt;2,U99/M99&lt;0.5),"NM",U99/M99*100-100))</f>
        <v>NA</v>
      </c>
      <c r="W99" s="57">
        <f>+W88/W84*400</f>
        <v>3.7854889589905363</v>
      </c>
      <c r="X99" s="9">
        <f>IF(ISERROR(W99/O99),"NA",IF(OR(W99/O99&gt;2,W99/O99&lt;0.5),"NM",W99/O99*100-100))</f>
        <v>46.687697160883289</v>
      </c>
      <c r="Y99" s="57">
        <f>+Y88/Y84*400</f>
        <v>2.4767801857585141</v>
      </c>
      <c r="Z99" s="9" t="str">
        <f>IF(ISERROR(Y99/Q99),"NA",IF(OR(Y99/Q99&gt;2,Y99/Q99&lt;0.5),"NM",Y99/Q99*100-100))</f>
        <v>NM</v>
      </c>
      <c r="AA99" s="57">
        <f>+AA88/AA84*400</f>
        <v>2.4024024024024024</v>
      </c>
      <c r="AB99" s="9">
        <f>IF(ISERROR(AA99/S99),"NA",IF(OR(AA99/S99&gt;2,AA99/S99&lt;0.5),"NM",AA99/S99*100-100))</f>
        <v>-37.737737737737746</v>
      </c>
      <c r="AC99" s="57">
        <f>+AC88/AC84*400</f>
        <v>4.6109510086455332</v>
      </c>
      <c r="AD99" s="9">
        <f>IF(ISERROR(AC99/U99),"NA",IF(OR(AC99/U99&gt;2,AC99/U99&lt;0.5),"NM",AC99/U99*100-100))</f>
        <v>78.097982708933699</v>
      </c>
      <c r="AE99" s="57">
        <f>+AE88/AE84*400</f>
        <v>3.3149171270718232</v>
      </c>
      <c r="AF99" s="9">
        <f>IF(ISERROR(AE99/W99),"NA",IF(OR(AE99/W99&gt;2,AE99/W99&lt;0.5),"NM",AE99/W99*100-100))</f>
        <v>-12.430939226519328</v>
      </c>
      <c r="AG99" s="57">
        <f>+AG88/AG84*400</f>
        <v>2.197802197802198</v>
      </c>
      <c r="AH99" s="9">
        <f t="shared" si="639"/>
        <v>-11.263736263736263</v>
      </c>
      <c r="AI99" s="57">
        <f>+AI88/AI84*400</f>
        <v>3.1914893617021276</v>
      </c>
      <c r="AJ99" s="9">
        <f t="shared" si="640"/>
        <v>32.845744680851055</v>
      </c>
      <c r="AK99" s="57">
        <f>+AK88/AK84*400</f>
        <v>2.0779220779220777</v>
      </c>
      <c r="AL99" s="9" t="str">
        <f t="shared" si="641"/>
        <v>NM</v>
      </c>
      <c r="AM99" s="57">
        <f>+AM88/AM84*400</f>
        <v>4.0816326530612246</v>
      </c>
      <c r="AN99" s="9">
        <f t="shared" si="642"/>
        <v>23.129251700680271</v>
      </c>
      <c r="AO99" s="57">
        <f>+AO88/AO84*400</f>
        <v>2.9629629629629632</v>
      </c>
      <c r="AP99" s="9">
        <f t="shared" si="643"/>
        <v>34.81481481481481</v>
      </c>
      <c r="AQ99" s="57">
        <f t="shared" ref="AQ99:AW99" si="670">+AQ88/AQ84*400</f>
        <v>4</v>
      </c>
      <c r="AR99" s="9">
        <f t="shared" si="645"/>
        <v>25.333333333333343</v>
      </c>
      <c r="AS99" s="57">
        <f t="shared" si="670"/>
        <v>4</v>
      </c>
      <c r="AT99" s="9">
        <f t="shared" si="646"/>
        <v>92.500000000000028</v>
      </c>
      <c r="AU99" s="57">
        <f t="shared" si="670"/>
        <v>4</v>
      </c>
      <c r="AV99" s="9">
        <f t="shared" si="647"/>
        <v>-2</v>
      </c>
      <c r="AW99" s="57">
        <f t="shared" si="670"/>
        <v>4</v>
      </c>
      <c r="AX99" s="9">
        <f t="shared" si="648"/>
        <v>35</v>
      </c>
      <c r="AY99" s="356"/>
      <c r="AZ99" s="618"/>
      <c r="BA99" s="620"/>
      <c r="BB99" s="57"/>
      <c r="BC99" s="226" t="str">
        <f>IF(ISERROR(BB99/#REF!),"NA",IF(OR(BB99/#REF!&gt;2,BB99/#REF!&lt;0.5),"NM",BB99/#REF!*100-100))</f>
        <v>NA</v>
      </c>
      <c r="BD99" s="911"/>
      <c r="BE99" s="226" t="str">
        <f t="shared" si="635"/>
        <v>NA</v>
      </c>
      <c r="BF99" s="57">
        <f>BF88/BF84*100</f>
        <v>3.215434083601286</v>
      </c>
      <c r="BG99" s="226" t="str">
        <f t="shared" si="635"/>
        <v>NA</v>
      </c>
      <c r="BH99" s="57">
        <f t="shared" ref="BH99:BP99" si="671">BH88/BH84*100</f>
        <v>3.303303303303303</v>
      </c>
      <c r="BI99" s="226">
        <f t="shared" si="635"/>
        <v>2.7327327327327282</v>
      </c>
      <c r="BJ99" s="57">
        <f t="shared" ref="BJ99" si="672">BJ88/BJ84*100</f>
        <v>3.1914893617021276</v>
      </c>
      <c r="BK99" s="226">
        <f t="shared" si="635"/>
        <v>-3.3849129593810403</v>
      </c>
      <c r="BL99" s="57">
        <f t="shared" ref="BL99" si="673">BL88/BL84*100</f>
        <v>4.0736439999999998</v>
      </c>
      <c r="BM99" s="226">
        <f t="shared" si="635"/>
        <v>27.640845333333331</v>
      </c>
      <c r="BN99" s="57">
        <f t="shared" si="671"/>
        <v>4</v>
      </c>
      <c r="BO99" s="226">
        <f t="shared" si="635"/>
        <v>-1.8078162942073419</v>
      </c>
      <c r="BP99" s="57">
        <f t="shared" si="671"/>
        <v>4</v>
      </c>
      <c r="BQ99" s="226">
        <f t="shared" si="635"/>
        <v>0</v>
      </c>
      <c r="BR99" s="57">
        <f t="shared" ref="BR99:BT99" si="674">BR88/BR84*100</f>
        <v>4</v>
      </c>
      <c r="BS99" s="226">
        <f t="shared" si="635"/>
        <v>0</v>
      </c>
      <c r="BT99" s="57">
        <f t="shared" si="674"/>
        <v>4</v>
      </c>
      <c r="BU99" s="226">
        <f t="shared" si="653"/>
        <v>0</v>
      </c>
      <c r="BV99" s="43">
        <f>IF(ISERROR(((BT99/BJ99)^0.2-1)*100),"NA",IF((((BT99/BJ99)^0.2-1)*100)&gt;100,"NM",IF((((BT99/BJ99)^0.2-1)*100)&lt;-50,"NM",((BT99/BJ99)^0.2-1)*100)))</f>
        <v>4.6196633116589947</v>
      </c>
      <c r="BW99" s="621"/>
      <c r="BX99" s="621"/>
      <c r="BY99"/>
      <c r="BZ99"/>
      <c r="CA99"/>
      <c r="CB99"/>
      <c r="CC99"/>
      <c r="CD99"/>
    </row>
    <row r="100" spans="2:82" s="616" customFormat="1" ht="12.75" customHeight="1" x14ac:dyDescent="0.2">
      <c r="B100" s="240"/>
      <c r="C100" s="15"/>
      <c r="D100" s="623"/>
      <c r="E100" s="15"/>
      <c r="F100" s="623"/>
      <c r="G100" s="15"/>
      <c r="H100" s="623"/>
      <c r="I100" s="15"/>
      <c r="J100" s="623"/>
      <c r="K100" s="15"/>
      <c r="L100" s="623"/>
      <c r="M100" s="15"/>
      <c r="N100" s="620"/>
      <c r="O100" s="691"/>
      <c r="P100" s="40"/>
      <c r="Q100" s="691"/>
      <c r="R100" s="40"/>
      <c r="S100" s="691"/>
      <c r="T100" s="40"/>
      <c r="U100" s="691"/>
      <c r="V100" s="40"/>
      <c r="W100" s="691"/>
      <c r="X100" s="40"/>
      <c r="Y100" s="691"/>
      <c r="Z100" s="40"/>
      <c r="AA100" s="691"/>
      <c r="AB100" s="40"/>
      <c r="AC100" s="691"/>
      <c r="AD100" s="40"/>
      <c r="AE100" s="691"/>
      <c r="AF100" s="40"/>
      <c r="AG100" s="691"/>
      <c r="AH100" s="620"/>
      <c r="AI100" s="691"/>
      <c r="AJ100" s="620"/>
      <c r="AK100" s="691"/>
      <c r="AL100" s="620"/>
      <c r="AM100" s="691"/>
      <c r="AN100" s="620"/>
      <c r="AO100" s="691"/>
      <c r="AP100" s="620"/>
      <c r="AQ100" s="691"/>
      <c r="AR100" s="620"/>
      <c r="AS100" s="691"/>
      <c r="AT100" s="620"/>
      <c r="AU100" s="691"/>
      <c r="AV100" s="620"/>
      <c r="AW100" s="691"/>
      <c r="AX100" s="620"/>
      <c r="AY100" s="356"/>
      <c r="AZ100" s="618"/>
      <c r="BA100" s="620"/>
      <c r="BB100" s="55"/>
      <c r="BC100" s="55"/>
      <c r="BD100" s="908"/>
      <c r="BE100" s="55"/>
      <c r="BF100" s="55"/>
      <c r="BG100" s="626"/>
      <c r="BH100" s="55"/>
      <c r="BI100" s="626"/>
      <c r="BJ100" s="55"/>
      <c r="BK100" s="626"/>
      <c r="BL100" s="55"/>
      <c r="BM100" s="626"/>
      <c r="BN100" s="55"/>
      <c r="BO100" s="626"/>
      <c r="BP100" s="55"/>
      <c r="BQ100" s="623"/>
      <c r="BR100" s="55"/>
      <c r="BS100" s="623"/>
      <c r="BT100" s="55"/>
      <c r="BU100" s="623"/>
      <c r="BV100" s="43"/>
      <c r="BW100" s="621"/>
      <c r="BX100" s="621"/>
      <c r="BY100"/>
      <c r="BZ100"/>
      <c r="CA100"/>
      <c r="CB100"/>
      <c r="CC100"/>
      <c r="CD100"/>
    </row>
    <row r="101" spans="2:82" s="616" customFormat="1" ht="12.75" customHeight="1" x14ac:dyDescent="0.2">
      <c r="B101" s="62" t="s">
        <v>374</v>
      </c>
      <c r="C101" s="653">
        <f>166.1+3.3</f>
        <v>169.4</v>
      </c>
      <c r="D101" s="705" t="str">
        <f>IF(ISERROR(C101/#REF!),"NA",IF(OR(C101/#REF!&gt;2,C101/#REF!&lt;0.5),"NM",C101/#REF!*100-100))</f>
        <v>NA</v>
      </c>
      <c r="E101" s="653">
        <f>204+3.5</f>
        <v>207.5</v>
      </c>
      <c r="F101" s="705" t="str">
        <f>IF(ISERROR(E101/#REF!),"NA",IF(OR(E101/#REF!&gt;2,E101/#REF!&lt;0.5),"NM",E101/#REF!*100-100))</f>
        <v>NA</v>
      </c>
      <c r="G101" s="653">
        <f>181.4+3.9</f>
        <v>185.3</v>
      </c>
      <c r="H101" s="705" t="str">
        <f>IF(ISERROR(G101/#REF!),"NA",IF(OR(G101/#REF!&gt;2,G101/#REF!&lt;0.5),"NM",G101/#REF!*100-100))</f>
        <v>NA</v>
      </c>
      <c r="I101" s="653">
        <f>494+3.9</f>
        <v>497.9</v>
      </c>
      <c r="J101" s="9" t="str">
        <f>IF(ISERROR(I101/#REF!),"NA",IF(OR(I101/#REF!&gt;2,I101/#REF!&lt;0.5),"NM",I101/#REF!*100-100))</f>
        <v>NA</v>
      </c>
      <c r="K101" s="653">
        <f>284.3+4.7</f>
        <v>289</v>
      </c>
      <c r="L101" s="9">
        <f t="shared" ref="L101:L104" si="675">IF(ISERROR(K101/C101),"NA",IF(OR(K101/C101&gt;2,K101/C101&lt;0.5),"NM",K101/C101*100-100))</f>
        <v>70.602125147579699</v>
      </c>
      <c r="M101" s="653">
        <f>275.5+4.3</f>
        <v>279.8</v>
      </c>
      <c r="N101" s="9">
        <f t="shared" ref="N101:N104" si="676">IF(ISERROR(M101/E101),"NA",IF(OR(M101/E101&gt;2,M101/E101&lt;0.5),"NM",M101/E101*100-100))</f>
        <v>34.843373493975918</v>
      </c>
      <c r="O101" s="653">
        <f>343.1+4.6</f>
        <v>347.70000000000005</v>
      </c>
      <c r="P101" s="9">
        <f>IF(ISERROR(O101/G101),"NA",IF(OR(O101/G101&gt;2,O101/G101&lt;0.5),"NM",O101/G101*100-100))</f>
        <v>87.641662169454946</v>
      </c>
      <c r="Q101" s="653">
        <f>681.6+5.1</f>
        <v>686.7</v>
      </c>
      <c r="R101" s="9">
        <f>IF(ISERROR(Q101/I101),"NA",IF(OR(Q101/I101&gt;2,Q101/I101&lt;0.5),"NM",Q101/I101*100-100))</f>
        <v>37.919260895762221</v>
      </c>
      <c r="S101" s="653">
        <f>351.5+4.9</f>
        <v>356.4</v>
      </c>
      <c r="T101" s="9">
        <f>IF(ISERROR(S101/K101),"NA",IF(OR(S101/K101&gt;2,S101/K101&lt;0.5),"NM",S101/K101*100-100))</f>
        <v>23.321799307958486</v>
      </c>
      <c r="U101" s="653">
        <f>1101.5+5.3</f>
        <v>1106.8</v>
      </c>
      <c r="V101" s="9" t="str">
        <f>IF(ISERROR(U101/M101),"NA",IF(OR(U101/M101&gt;2,U101/M101&lt;0.5),"NM",U101/M101*100-100))</f>
        <v>NM</v>
      </c>
      <c r="W101" s="653">
        <f>976.1+4.4</f>
        <v>980.5</v>
      </c>
      <c r="X101" s="9" t="str">
        <f>IF(ISERROR(W101/O101),"NA",IF(OR(W101/O101&gt;2,W101/O101&lt;0.5),"NM",W101/O101*100-100))</f>
        <v>NM</v>
      </c>
      <c r="Y101" s="653">
        <f>582.3+4.6</f>
        <v>586.9</v>
      </c>
      <c r="Z101" s="9">
        <f>IF(ISERROR(Y101/Q101),"NA",IF(OR(Y101/Q101&gt;2,Y101/Q101&lt;0.5),"NM",Y101/Q101*100-100))</f>
        <v>-14.533275083733812</v>
      </c>
      <c r="AA101" s="653">
        <f>694.6+5.8</f>
        <v>700.4</v>
      </c>
      <c r="AB101" s="9">
        <f>IF(ISERROR(AA101/S101),"NA",IF(OR(AA101/S101&gt;2,AA101/S101&lt;0.5),"NM",AA101/S101*100-100))</f>
        <v>96.52076318742985</v>
      </c>
      <c r="AC101" s="653">
        <f>662.7+6.4</f>
        <v>669.1</v>
      </c>
      <c r="AD101" s="9">
        <f>IF(ISERROR(AC101/U101),"NA",IF(OR(AC101/U101&gt;2,AC101/U101&lt;0.5),"NM",AC101/U101*100-100))</f>
        <v>-39.546440187929164</v>
      </c>
      <c r="AE101" s="653">
        <f>390.9+6.3</f>
        <v>397.2</v>
      </c>
      <c r="AF101" s="9" t="str">
        <f>IF(ISERROR(AE101/W101),"NA",IF(OR(AE101/W101&gt;2,AE101/W101&lt;0.5),"NM",AE101/W101*100-100))</f>
        <v>NM</v>
      </c>
      <c r="AG101" s="653">
        <f>1112.4+5.6</f>
        <v>1118</v>
      </c>
      <c r="AH101" s="9">
        <f t="shared" ref="AH101:AH104" si="677">IF(ISERROR(AG101/Y101),"NA",IF(OR(AG101/Y101&gt;2,AG101/Y101&lt;0.5),"NM",AG101/Y101*100-100))</f>
        <v>90.492417788379612</v>
      </c>
      <c r="AI101" s="653">
        <f>623.6+6.3</f>
        <v>629.9</v>
      </c>
      <c r="AJ101" s="9">
        <f t="shared" ref="AJ101:AJ104" si="678">IF(ISERROR(AI101/AA101),"NA",IF(OR(AI101/AA101&gt;2,AI101/AA101&lt;0.5),"NM",AI101/AA101*100-100))</f>
        <v>-10.065676756139354</v>
      </c>
      <c r="AK101" s="653">
        <f>814+6.7</f>
        <v>820.7</v>
      </c>
      <c r="AL101" s="9">
        <f t="shared" ref="AL101:AL104" si="679">IF(ISERROR(AK101/AC101),"NA",IF(OR(AK101/AC101&gt;2,AK101/AC101&lt;0.5),"NM",AK101/AC101*100-100))</f>
        <v>22.657300851890597</v>
      </c>
      <c r="AM101" s="653">
        <f>1495.3+6.4</f>
        <v>1501.7</v>
      </c>
      <c r="AN101" s="9" t="str">
        <f t="shared" ref="AN101:AN104" si="680">IF(ISERROR(AM101/AE101),"NA",IF(OR(AM101/AE101&gt;2,AM101/AE101&lt;0.5),"NM",AM101/AE101*100-100))</f>
        <v>NM</v>
      </c>
      <c r="AO101" s="653">
        <f>734.4+5.8</f>
        <v>740.19999999999993</v>
      </c>
      <c r="AP101" s="9">
        <f t="shared" ref="AP101:AP104" si="681">IF(ISERROR(AO101/AG101),"NA",IF(OR(AO101/AG101&gt;2,AO101/AG101&lt;0.5),"NM",AO101/AG101*100-100))</f>
        <v>-33.792486583184271</v>
      </c>
      <c r="AQ101" s="691">
        <f t="shared" ref="AQ101:AW101" si="682">+AQ116*AQ92/400</f>
        <v>746.71550000000002</v>
      </c>
      <c r="AR101" s="9">
        <f t="shared" ref="AR101:AR104" si="683">IF(ISERROR(AQ101/AI101),"NA",IF(OR(AQ101/AI101&gt;2,AQ101/AI101&lt;0.5),"NM",AQ101/AI101*100-100))</f>
        <v>18.5450865216701</v>
      </c>
      <c r="AS101" s="691">
        <f t="shared" si="682"/>
        <v>755.8541899999999</v>
      </c>
      <c r="AT101" s="9">
        <f t="shared" ref="AT101:AT104" si="684">IF(ISERROR(AS101/AK101),"NA",IF(OR(AS101/AK101&gt;2,AS101/AK101&lt;0.5),"NM",AS101/AK101*100-100))</f>
        <v>-7.9012806141099219</v>
      </c>
      <c r="AU101" s="691">
        <f t="shared" si="682"/>
        <v>764.81010619999984</v>
      </c>
      <c r="AV101" s="9">
        <f t="shared" ref="AV101:AV104" si="685">IF(ISERROR(AU101/AM101),"NA",IF(OR(AU101/AM101&gt;2,AU101/AM101&lt;0.5),"NM",AU101/AM101*100-100))</f>
        <v>-49.07037982286743</v>
      </c>
      <c r="AW101" s="691">
        <f t="shared" si="682"/>
        <v>771.44992367799989</v>
      </c>
      <c r="AX101" s="9">
        <f t="shared" ref="AX101:AX104" si="686">IF(ISERROR(AW101/AO101),"NA",IF(OR(AW101/AO101&gt;2,AW101/AO101&lt;0.5),"NM",AW101/AO101*100-100))</f>
        <v>4.2218216263172081</v>
      </c>
      <c r="AY101" s="356"/>
      <c r="AZ101" s="618"/>
      <c r="BA101" s="620"/>
      <c r="BB101" s="55">
        <f>C101+E101+G101+I101</f>
        <v>1060.0999999999999</v>
      </c>
      <c r="BC101" s="226" t="str">
        <f>IF(ISERROR(BB101/#REF!),"NA",IF(OR(BB101/#REF!&gt;2,BB101/#REF!&lt;0.5),"NM",BB101/#REF!*100-100))</f>
        <v>NA</v>
      </c>
      <c r="BD101" s="908">
        <f>K101+M101+O101+Q101</f>
        <v>1603.2</v>
      </c>
      <c r="BE101" s="226">
        <f t="shared" ref="BE101:BS116" si="687">IF(ISERROR(BD101/BB101),"NA",IF(OR(BD101/BB101&gt;2,BD101/BB101&lt;0.5),"NM",BD101/BB101*100-100))</f>
        <v>51.231015941892309</v>
      </c>
      <c r="BF101" s="55">
        <f>S101+U101+W101+Y101</f>
        <v>3030.6</v>
      </c>
      <c r="BG101" s="226">
        <f t="shared" si="687"/>
        <v>89.034431137724539</v>
      </c>
      <c r="BH101" s="55">
        <f>AA101+AC101+AE101+AG101</f>
        <v>2884.7</v>
      </c>
      <c r="BI101" s="226">
        <f t="shared" si="687"/>
        <v>-4.8142282056358567</v>
      </c>
      <c r="BJ101" s="55">
        <f>AI101+AK101+AM101+AO101</f>
        <v>3692.5</v>
      </c>
      <c r="BK101" s="226">
        <f t="shared" si="687"/>
        <v>28.002911914583848</v>
      </c>
      <c r="BL101" s="55">
        <f>AQ101+AS101+AU101+AW101</f>
        <v>3038.8297198779997</v>
      </c>
      <c r="BM101" s="226">
        <f t="shared" si="687"/>
        <v>-17.702648073717015</v>
      </c>
      <c r="BN101" s="55">
        <f>BN116*BN92/100</f>
        <v>3184.3381302661669</v>
      </c>
      <c r="BO101" s="226">
        <f t="shared" si="687"/>
        <v>4.7883041763198548</v>
      </c>
      <c r="BP101" s="55">
        <f>BP116*BP92/100</f>
        <v>3325.5029516598374</v>
      </c>
      <c r="BQ101" s="226">
        <f t="shared" si="687"/>
        <v>4.4330977307950263</v>
      </c>
      <c r="BR101" s="55">
        <f>BR116*BR92/100</f>
        <v>3467.1511218908008</v>
      </c>
      <c r="BS101" s="226">
        <f t="shared" si="687"/>
        <v>4.2594510451498167</v>
      </c>
      <c r="BT101" s="55">
        <f>BT116*BT92/100</f>
        <v>3609.6055575641803</v>
      </c>
      <c r="BU101" s="226">
        <f t="shared" ref="BU101:BU104" si="688">IF(ISERROR(BT101/BR101),"NA",IF(OR(BT101/BR101&gt;2,BT101/BR101&lt;0.5),"NM",BT101/BR101*100-100))</f>
        <v>4.1086883918602553</v>
      </c>
      <c r="BV101" s="43">
        <f>IF(ISERROR(((BT101/BJ101)^0.2-1)*100),"NA",IF((((BT101/BJ101)^0.2-1)*100)&gt;100,"NM",IF((((BT101/BJ101)^0.2-1)*100)&lt;-50,"NM",((BT101/BJ101)^0.2-1)*100)))</f>
        <v>-0.45307516133881176</v>
      </c>
      <c r="BW101" s="621"/>
      <c r="BX101" s="621"/>
      <c r="BY101"/>
      <c r="BZ101"/>
      <c r="CA101"/>
      <c r="CB101"/>
      <c r="CC101"/>
      <c r="CD101"/>
    </row>
    <row r="102" spans="2:82" s="616" customFormat="1" ht="12.75" customHeight="1" x14ac:dyDescent="0.2">
      <c r="B102" s="65" t="s">
        <v>416</v>
      </c>
      <c r="C102" s="653">
        <v>392.8</v>
      </c>
      <c r="D102" s="705" t="str">
        <f>IF(ISERROR(C102/#REF!),"NA",IF(OR(C102/#REF!&gt;2,C102/#REF!&lt;0.5),"NM",C102/#REF!*100-100))</f>
        <v>NA</v>
      </c>
      <c r="E102" s="653">
        <v>375.7</v>
      </c>
      <c r="F102" s="705" t="str">
        <f>IF(ISERROR(E102/#REF!),"NA",IF(OR(E102/#REF!&gt;2,E102/#REF!&lt;0.5),"NM",E102/#REF!*100-100))</f>
        <v>NA</v>
      </c>
      <c r="G102" s="653">
        <v>374.4</v>
      </c>
      <c r="H102" s="705" t="str">
        <f>IF(ISERROR(G102/#REF!),"NA",IF(OR(G102/#REF!&gt;2,G102/#REF!&lt;0.5),"NM",G102/#REF!*100-100))</f>
        <v>NA</v>
      </c>
      <c r="I102" s="653">
        <v>363.7</v>
      </c>
      <c r="J102" s="9" t="str">
        <f>IF(ISERROR(I102/#REF!),"NA",IF(OR(I102/#REF!&gt;2,I102/#REF!&lt;0.5),"NM",I102/#REF!*100-100))</f>
        <v>NA</v>
      </c>
      <c r="K102" s="653">
        <v>365.5</v>
      </c>
      <c r="L102" s="9">
        <f t="shared" si="675"/>
        <v>-6.9501018329938944</v>
      </c>
      <c r="M102" s="653">
        <v>361.2</v>
      </c>
      <c r="N102" s="9">
        <f t="shared" si="676"/>
        <v>-3.8594623369709922</v>
      </c>
      <c r="O102" s="653">
        <v>343.7</v>
      </c>
      <c r="P102" s="9">
        <f>IF(ISERROR(O102/G102),"NA",IF(OR(O102/G102&gt;2,O102/G102&lt;0.5),"NM",O102/G102*100-100))</f>
        <v>-8.1997863247863165</v>
      </c>
      <c r="Q102" s="653">
        <v>347.2</v>
      </c>
      <c r="R102" s="9">
        <f>IF(ISERROR(Q102/I102),"NA",IF(OR(Q102/I102&gt;2,Q102/I102&lt;0.5),"NM",Q102/I102*100-100))</f>
        <v>-4.53670607643663</v>
      </c>
      <c r="S102" s="653">
        <v>330.4</v>
      </c>
      <c r="T102" s="9">
        <f>IF(ISERROR(S102/K102),"NA",IF(OR(S102/K102&gt;2,S102/K102&lt;0.5),"NM",S102/K102*100-100))</f>
        <v>-9.60328317373461</v>
      </c>
      <c r="U102" s="653">
        <v>344.1</v>
      </c>
      <c r="V102" s="9">
        <f>IF(ISERROR(U102/M102),"NA",IF(OR(U102/M102&gt;2,U102/M102&lt;0.5),"NM",U102/M102*100-100))</f>
        <v>-4.7342192691029794</v>
      </c>
      <c r="W102" s="653">
        <v>335.9</v>
      </c>
      <c r="X102" s="9">
        <f>IF(ISERROR(W102/O102),"NA",IF(OR(W102/O102&gt;2,W102/O102&lt;0.5),"NM",W102/O102*100-100))</f>
        <v>-2.2694210066918856</v>
      </c>
      <c r="Y102" s="653">
        <v>351.9</v>
      </c>
      <c r="Z102" s="9">
        <f>IF(ISERROR(Y102/Q102),"NA",IF(OR(Y102/Q102&gt;2,Y102/Q102&lt;0.5),"NM",Y102/Q102*100-100))</f>
        <v>1.3536866359447117</v>
      </c>
      <c r="AA102" s="653">
        <v>350.3</v>
      </c>
      <c r="AB102" s="9">
        <f>IF(ISERROR(AA102/S102),"NA",IF(OR(AA102/S102&gt;2,AA102/S102&lt;0.5),"NM",AA102/S102*100-100))</f>
        <v>6.0230024213075097</v>
      </c>
      <c r="AC102" s="653">
        <v>376.7</v>
      </c>
      <c r="AD102" s="9">
        <f>IF(ISERROR(AC102/U102),"NA",IF(OR(AC102/U102&gt;2,AC102/U102&lt;0.5),"NM",AC102/U102*100-100))</f>
        <v>9.4739901191513951</v>
      </c>
      <c r="AE102" s="653">
        <v>394.7</v>
      </c>
      <c r="AF102" s="9">
        <f>IF(ISERROR(AE102/W102),"NA",IF(OR(AE102/W102&gt;2,AE102/W102&lt;0.5),"NM",AE102/W102*100-100))</f>
        <v>17.505209883894011</v>
      </c>
      <c r="AG102" s="653">
        <v>401.1</v>
      </c>
      <c r="AH102" s="9">
        <f t="shared" si="677"/>
        <v>13.981244671781766</v>
      </c>
      <c r="AI102" s="653">
        <v>402.3</v>
      </c>
      <c r="AJ102" s="9">
        <f t="shared" si="678"/>
        <v>14.84441906936911</v>
      </c>
      <c r="AK102" s="653">
        <v>411.6</v>
      </c>
      <c r="AL102" s="9">
        <f t="shared" si="679"/>
        <v>9.2646668436421606</v>
      </c>
      <c r="AM102" s="653">
        <v>413.8</v>
      </c>
      <c r="AN102" s="9">
        <f t="shared" si="680"/>
        <v>4.8391183177096622</v>
      </c>
      <c r="AO102" s="653">
        <v>424.4</v>
      </c>
      <c r="AP102" s="9">
        <f t="shared" si="681"/>
        <v>5.8090251807529256</v>
      </c>
      <c r="AQ102" s="691">
        <f t="shared" ref="AQ102:AW102" si="689">AQ117*AQ92/400</f>
        <v>427.59668558282209</v>
      </c>
      <c r="AR102" s="9">
        <f t="shared" si="683"/>
        <v>6.2880153076863223</v>
      </c>
      <c r="AS102" s="691">
        <f t="shared" si="689"/>
        <v>432.82983469325148</v>
      </c>
      <c r="AT102" s="9">
        <f t="shared" si="684"/>
        <v>5.1578801489921062</v>
      </c>
      <c r="AU102" s="691">
        <f t="shared" si="689"/>
        <v>437.95832082147228</v>
      </c>
      <c r="AV102" s="9">
        <f t="shared" si="685"/>
        <v>5.8381635624630945</v>
      </c>
      <c r="AW102" s="691">
        <f t="shared" si="689"/>
        <v>442.98423722712874</v>
      </c>
      <c r="AX102" s="9">
        <f t="shared" si="686"/>
        <v>4.3789437387202526</v>
      </c>
      <c r="AY102" s="356"/>
      <c r="AZ102" s="618"/>
      <c r="BA102" s="620"/>
      <c r="BB102" s="55">
        <f>C102+E102+G102+I102</f>
        <v>1506.6000000000001</v>
      </c>
      <c r="BC102" s="226" t="str">
        <f>IF(ISERROR(BB102/#REF!),"NA",IF(OR(BB102/#REF!&gt;2,BB102/#REF!&lt;0.5),"NM",BB102/#REF!*100-100))</f>
        <v>NA</v>
      </c>
      <c r="BD102" s="908">
        <f>K102+M102+O102+Q102</f>
        <v>1417.6000000000001</v>
      </c>
      <c r="BE102" s="226">
        <f t="shared" si="687"/>
        <v>-5.9073410327890628</v>
      </c>
      <c r="BF102" s="55">
        <f>S102+U102+W102+Y102</f>
        <v>1362.3</v>
      </c>
      <c r="BG102" s="226">
        <f t="shared" si="687"/>
        <v>-3.9009593679458305</v>
      </c>
      <c r="BH102" s="55">
        <f>AA102+AC102+AE102+AG102</f>
        <v>1522.8000000000002</v>
      </c>
      <c r="BI102" s="226">
        <f t="shared" si="687"/>
        <v>11.781545914996713</v>
      </c>
      <c r="BJ102" s="55">
        <f>AI102+AK102+AM102+AO102</f>
        <v>1652.1</v>
      </c>
      <c r="BK102" s="226">
        <f t="shared" si="687"/>
        <v>8.4909377462568614</v>
      </c>
      <c r="BL102" s="55">
        <f>AQ102+AS102+AU102+AW102</f>
        <v>1741.3690783246745</v>
      </c>
      <c r="BM102" s="226">
        <f t="shared" si="687"/>
        <v>5.4033701546319719</v>
      </c>
      <c r="BN102" s="55">
        <f>BN117*BN92/100</f>
        <v>1817.8371860609068</v>
      </c>
      <c r="BO102" s="226">
        <f t="shared" si="687"/>
        <v>4.3912636722480443</v>
      </c>
      <c r="BP102" s="55">
        <f>BP117*BP92/100</f>
        <v>1893.8335633127633</v>
      </c>
      <c r="BQ102" s="226">
        <f t="shared" si="687"/>
        <v>4.1805931705321626</v>
      </c>
      <c r="BR102" s="55">
        <f>BR117*BR92/100</f>
        <v>1969.714841035046</v>
      </c>
      <c r="BS102" s="226">
        <f t="shared" si="687"/>
        <v>4.0067553554995641</v>
      </c>
      <c r="BT102" s="55">
        <f>BT117*BT92/100</f>
        <v>2045.6620234158408</v>
      </c>
      <c r="BU102" s="226">
        <f t="shared" si="688"/>
        <v>3.8557450448454915</v>
      </c>
      <c r="BV102" s="43">
        <f>IF(ISERROR(((BT102/BJ102)^0.2-1)*100),"NA",IF((((BT102/BJ102)^0.2-1)*100)&gt;100,"NM",IF((((BT102/BJ102)^0.2-1)*100)&lt;-50,"NM",((BT102/BJ102)^0.2-1)*100)))</f>
        <v>4.3661133286476472</v>
      </c>
      <c r="BW102" s="621"/>
      <c r="BX102" s="621"/>
      <c r="BY102"/>
      <c r="BZ102"/>
      <c r="CA102"/>
      <c r="CB102"/>
      <c r="CC102"/>
      <c r="CD102"/>
    </row>
    <row r="103" spans="2:82" s="616" customFormat="1" ht="12.75" customHeight="1" x14ac:dyDescent="0.2">
      <c r="B103" s="67" t="s">
        <v>417</v>
      </c>
      <c r="C103" s="695">
        <f>+C101+C102</f>
        <v>562.20000000000005</v>
      </c>
      <c r="D103" s="705" t="str">
        <f>IF(ISERROR(C103/#REF!),"NA",IF(OR(C103/#REF!&gt;2,C103/#REF!&lt;0.5),"NM",C103/#REF!*100-100))</f>
        <v>NA</v>
      </c>
      <c r="E103" s="695">
        <f t="shared" ref="E103:M103" si="690">+E101+E102</f>
        <v>583.20000000000005</v>
      </c>
      <c r="F103" s="705" t="str">
        <f>IF(ISERROR(E103/#REF!),"NA",IF(OR(E103/#REF!&gt;2,E103/#REF!&lt;0.5),"NM",E103/#REF!*100-100))</f>
        <v>NA</v>
      </c>
      <c r="G103" s="695">
        <f t="shared" si="690"/>
        <v>559.70000000000005</v>
      </c>
      <c r="H103" s="705" t="str">
        <f>IF(ISERROR(G103/#REF!),"NA",IF(OR(G103/#REF!&gt;2,G103/#REF!&lt;0.5),"NM",G103/#REF!*100-100))</f>
        <v>NA</v>
      </c>
      <c r="I103" s="695">
        <f t="shared" si="690"/>
        <v>861.59999999999991</v>
      </c>
      <c r="J103" s="9" t="str">
        <f>IF(ISERROR(I103/#REF!),"NA",IF(OR(I103/#REF!&gt;2,I103/#REF!&lt;0.5),"NM",I103/#REF!*100-100))</f>
        <v>NA</v>
      </c>
      <c r="K103" s="695">
        <f t="shared" si="690"/>
        <v>654.5</v>
      </c>
      <c r="L103" s="9">
        <f t="shared" si="675"/>
        <v>16.417644966204193</v>
      </c>
      <c r="M103" s="695">
        <f t="shared" si="690"/>
        <v>641</v>
      </c>
      <c r="N103" s="9">
        <f t="shared" si="676"/>
        <v>9.9108367626886036</v>
      </c>
      <c r="O103" s="695">
        <f>+O101+O102</f>
        <v>691.40000000000009</v>
      </c>
      <c r="P103" s="9">
        <f>IF(ISERROR(O103/G103),"NA",IF(OR(O103/G103&gt;2,O103/G103&lt;0.5),"NM",O103/G103*100-100))</f>
        <v>23.530462747900671</v>
      </c>
      <c r="Q103" s="695">
        <f>+Q101+Q102</f>
        <v>1033.9000000000001</v>
      </c>
      <c r="R103" s="9">
        <f>IF(ISERROR(Q103/I103),"NA",IF(OR(Q103/I103&gt;2,Q103/I103&lt;0.5),"NM",Q103/I103*100-100))</f>
        <v>19.997678737233088</v>
      </c>
      <c r="S103" s="695">
        <f>+S101+S102</f>
        <v>686.8</v>
      </c>
      <c r="T103" s="9">
        <f>IF(ISERROR(S103/K103),"NA",IF(OR(S103/K103&gt;2,S103/K103&lt;0.5),"NM",S103/K103*100-100))</f>
        <v>4.9350649350649292</v>
      </c>
      <c r="U103" s="695">
        <f>+U101+U102</f>
        <v>1450.9</v>
      </c>
      <c r="V103" s="9" t="str">
        <f>IF(ISERROR(U103/M103),"NA",IF(OR(U103/M103&gt;2,U103/M103&lt;0.5),"NM",U103/M103*100-100))</f>
        <v>NM</v>
      </c>
      <c r="W103" s="695">
        <f t="shared" ref="W103:Y103" si="691">+W101+W102</f>
        <v>1316.4</v>
      </c>
      <c r="X103" s="9">
        <f>IF(ISERROR(W103/O103),"NA",IF(OR(W103/O103&gt;2,W103/O103&lt;0.5),"NM",W103/O103*100-100))</f>
        <v>90.396297367659827</v>
      </c>
      <c r="Y103" s="695">
        <f t="shared" si="691"/>
        <v>938.8</v>
      </c>
      <c r="Z103" s="9">
        <f>IF(ISERROR(Y103/Q103),"NA",IF(OR(Y103/Q103&gt;2,Y103/Q103&lt;0.5),"NM",Y103/Q103*100-100))</f>
        <v>-9.1981816423251814</v>
      </c>
      <c r="AA103" s="695">
        <f t="shared" ref="AA103:AC103" si="692">+AA101+AA102</f>
        <v>1050.7</v>
      </c>
      <c r="AB103" s="9">
        <f>IF(ISERROR(AA103/S103),"NA",IF(OR(AA103/S103&gt;2,AA103/S103&lt;0.5),"NM",AA103/S103*100-100))</f>
        <v>52.984857309260349</v>
      </c>
      <c r="AC103" s="695">
        <f t="shared" si="692"/>
        <v>1045.8</v>
      </c>
      <c r="AD103" s="9">
        <f>IF(ISERROR(AC103/U103),"NA",IF(OR(AC103/U103&gt;2,AC103/U103&lt;0.5),"NM",AC103/U103*100-100))</f>
        <v>-27.920601006271966</v>
      </c>
      <c r="AE103" s="695">
        <f t="shared" ref="AE103:AG103" si="693">+AE101+AE102</f>
        <v>791.9</v>
      </c>
      <c r="AF103" s="9">
        <f>IF(ISERROR(AE103/W103),"NA",IF(OR(AE103/W103&gt;2,AE103/W103&lt;0.5),"NM",AE103/W103*100-100))</f>
        <v>-39.843512610148899</v>
      </c>
      <c r="AG103" s="695">
        <f t="shared" si="693"/>
        <v>1519.1</v>
      </c>
      <c r="AH103" s="9">
        <f t="shared" si="677"/>
        <v>61.81295270558158</v>
      </c>
      <c r="AI103" s="695">
        <f t="shared" ref="AI103:AK103" si="694">+AI101+AI102</f>
        <v>1032.2</v>
      </c>
      <c r="AJ103" s="9">
        <f t="shared" si="678"/>
        <v>-1.7607309412772452</v>
      </c>
      <c r="AK103" s="695">
        <f t="shared" si="694"/>
        <v>1232.3000000000002</v>
      </c>
      <c r="AL103" s="9">
        <f t="shared" si="679"/>
        <v>17.833237712755803</v>
      </c>
      <c r="AM103" s="695">
        <f t="shared" ref="AM103:AO103" si="695">+AM101+AM102</f>
        <v>1915.5</v>
      </c>
      <c r="AN103" s="9" t="str">
        <f t="shared" si="680"/>
        <v>NM</v>
      </c>
      <c r="AO103" s="695">
        <f t="shared" si="695"/>
        <v>1164.5999999999999</v>
      </c>
      <c r="AP103" s="9">
        <f t="shared" si="681"/>
        <v>-23.336185899545782</v>
      </c>
      <c r="AQ103" s="695">
        <f t="shared" ref="AQ103:AW103" si="696">AQ101+AQ102</f>
        <v>1174.3121855828222</v>
      </c>
      <c r="AR103" s="9">
        <f t="shared" si="683"/>
        <v>13.767892422284646</v>
      </c>
      <c r="AS103" s="695">
        <f t="shared" si="696"/>
        <v>1188.6840246932513</v>
      </c>
      <c r="AT103" s="9">
        <f t="shared" si="684"/>
        <v>-3.5393958700599626</v>
      </c>
      <c r="AU103" s="695">
        <f t="shared" si="696"/>
        <v>1202.7684270214722</v>
      </c>
      <c r="AV103" s="9">
        <f t="shared" si="685"/>
        <v>-37.208643851658984</v>
      </c>
      <c r="AW103" s="695">
        <f t="shared" si="696"/>
        <v>1214.4341609051287</v>
      </c>
      <c r="AX103" s="9">
        <f t="shared" si="686"/>
        <v>4.2790795899990428</v>
      </c>
      <c r="AY103" s="356"/>
      <c r="AZ103" s="618"/>
      <c r="BA103" s="620"/>
      <c r="BB103" s="81">
        <f>BB101+BB102</f>
        <v>2566.6999999999998</v>
      </c>
      <c r="BC103" s="226" t="str">
        <f>IF(ISERROR(BB103/#REF!),"NA",IF(OR(BB103/#REF!&gt;2,BB103/#REF!&lt;0.5),"NM",BB103/#REF!*100-100))</f>
        <v>NA</v>
      </c>
      <c r="BD103" s="913">
        <f>BD101+BD102</f>
        <v>3020.8</v>
      </c>
      <c r="BE103" s="226">
        <f t="shared" si="687"/>
        <v>17.69197802625942</v>
      </c>
      <c r="BF103" s="81">
        <f>BF101+BF102</f>
        <v>4392.8999999999996</v>
      </c>
      <c r="BG103" s="226">
        <f t="shared" si="687"/>
        <v>45.421742584745743</v>
      </c>
      <c r="BH103" s="81">
        <f>BH101+BH102</f>
        <v>4407.5</v>
      </c>
      <c r="BI103" s="226">
        <f t="shared" si="687"/>
        <v>0.33235448109449806</v>
      </c>
      <c r="BJ103" s="81">
        <f>BJ101+BJ102</f>
        <v>5344.6</v>
      </c>
      <c r="BK103" s="226">
        <f t="shared" si="687"/>
        <v>21.261486103233125</v>
      </c>
      <c r="BL103" s="81">
        <f>BL101+BL102</f>
        <v>4780.198798202674</v>
      </c>
      <c r="BM103" s="226">
        <f t="shared" si="687"/>
        <v>-10.560214081452798</v>
      </c>
      <c r="BN103" s="81">
        <f>BN101+BN102</f>
        <v>5002.1753163270732</v>
      </c>
      <c r="BO103" s="226">
        <f t="shared" si="687"/>
        <v>4.6436670836338578</v>
      </c>
      <c r="BP103" s="81">
        <f t="shared" ref="BP103:BR103" si="697">BP101+BP102</f>
        <v>5219.3365149726005</v>
      </c>
      <c r="BQ103" s="226">
        <f t="shared" si="687"/>
        <v>4.3413352174345903</v>
      </c>
      <c r="BR103" s="81">
        <f t="shared" si="697"/>
        <v>5436.8659629258473</v>
      </c>
      <c r="BS103" s="226">
        <f t="shared" si="687"/>
        <v>4.1677605444528183</v>
      </c>
      <c r="BT103" s="81">
        <f t="shared" ref="BT103" si="698">BT101+BT102</f>
        <v>5655.2675809800212</v>
      </c>
      <c r="BU103" s="226">
        <f t="shared" si="688"/>
        <v>4.0170498876275644</v>
      </c>
      <c r="BV103" s="43">
        <f>IF(ISERROR(((BT103/BJ103)^0.2-1)*100),"NA",IF((((BT103/BJ103)^0.2-1)*100)&gt;100,"NM",IF((((BT103/BJ103)^0.2-1)*100)&lt;-50,"NM",((BT103/BJ103)^0.2-1)*100)))</f>
        <v>1.1364231933498115</v>
      </c>
      <c r="BW103" s="621"/>
      <c r="BX103" s="621"/>
      <c r="BY103"/>
      <c r="BZ103"/>
      <c r="CA103"/>
      <c r="CB103"/>
      <c r="CC103"/>
      <c r="CD103"/>
    </row>
    <row r="104" spans="2:82" s="616" customFormat="1" ht="12.75" customHeight="1" x14ac:dyDescent="0.2">
      <c r="B104" s="67" t="s">
        <v>509</v>
      </c>
      <c r="C104" s="695">
        <f>C103-C106</f>
        <v>128.40000000000003</v>
      </c>
      <c r="D104" s="705" t="str">
        <f>IF(ISERROR(C104/#REF!),"NA",IF(OR(C104/#REF!&gt;2,C104/#REF!&lt;0.5),"NM",C104/#REF!*100-100))</f>
        <v>NA</v>
      </c>
      <c r="E104" s="695">
        <f t="shared" ref="E104:M104" si="699">E103-E106</f>
        <v>121.80000000000007</v>
      </c>
      <c r="F104" s="705" t="str">
        <f>IF(ISERROR(E104/#REF!),"NA",IF(OR(E104/#REF!&gt;2,E104/#REF!&lt;0.5),"NM",E104/#REF!*100-100))</f>
        <v>NA</v>
      </c>
      <c r="G104" s="695">
        <f t="shared" si="699"/>
        <v>121.90000000000003</v>
      </c>
      <c r="H104" s="705" t="str">
        <f>IF(ISERROR(G104/#REF!),"NA",IF(OR(G104/#REF!&gt;2,G104/#REF!&lt;0.5),"NM",G104/#REF!*100-100))</f>
        <v>NA</v>
      </c>
      <c r="I104" s="695">
        <f t="shared" si="699"/>
        <v>124.29999999999995</v>
      </c>
      <c r="J104" s="9" t="str">
        <f>IF(ISERROR(I104/#REF!),"NA",IF(OR(I104/#REF!&gt;2,I104/#REF!&lt;0.5),"NM",I104/#REF!*100-100))</f>
        <v>NA</v>
      </c>
      <c r="K104" s="695">
        <f t="shared" si="699"/>
        <v>132.20000000000005</v>
      </c>
      <c r="L104" s="9">
        <f t="shared" si="675"/>
        <v>2.9595015576324073</v>
      </c>
      <c r="M104" s="695">
        <f t="shared" si="699"/>
        <v>121</v>
      </c>
      <c r="N104" s="9">
        <f t="shared" si="676"/>
        <v>-0.65681444991795956</v>
      </c>
      <c r="O104" s="695">
        <f>O103-O106</f>
        <v>105.50000000000011</v>
      </c>
      <c r="P104" s="9">
        <f>IF(ISERROR(O104/G104),"NA",IF(OR(O104/G104&gt;2,O104/G104&lt;0.5),"NM",O104/G104*100-100))</f>
        <v>-13.453650533223879</v>
      </c>
      <c r="Q104" s="695">
        <f>Q103-Q106</f>
        <v>111.50000000000011</v>
      </c>
      <c r="R104" s="9">
        <f>IF(ISERROR(Q104/I104),"NA",IF(OR(Q104/I104&gt;2,Q104/I104&lt;0.5),"NM",Q104/I104*100-100))</f>
        <v>-10.29766693483495</v>
      </c>
      <c r="S104" s="695">
        <f>S103-S106</f>
        <v>106.69999999999993</v>
      </c>
      <c r="T104" s="9">
        <f>IF(ISERROR(S104/K104),"NA",IF(OR(S104/K104&gt;2,S104/K104&lt;0.5),"NM",S104/K104*100-100))</f>
        <v>-19.288956127080255</v>
      </c>
      <c r="U104" s="695">
        <f>U103-U106</f>
        <v>125.30000000000018</v>
      </c>
      <c r="V104" s="9">
        <f>IF(ISERROR(U104/M104),"NA",IF(OR(U104/M104&gt;2,U104/M104&lt;0.5),"NM",U104/M104*100-100))</f>
        <v>3.5537190082646219</v>
      </c>
      <c r="W104" s="695">
        <f t="shared" ref="W104:Y104" si="700">W103-W106</f>
        <v>97.200000000000045</v>
      </c>
      <c r="X104" s="9">
        <f>IF(ISERROR(W104/O104),"NA",IF(OR(W104/O104&gt;2,W104/O104&lt;0.5),"NM",W104/O104*100-100))</f>
        <v>-7.8672985781991116</v>
      </c>
      <c r="Y104" s="695">
        <f t="shared" si="700"/>
        <v>108.39999999999998</v>
      </c>
      <c r="Z104" s="9">
        <f>IF(ISERROR(Y104/Q104),"NA",IF(OR(Y104/Q104&gt;2,Y104/Q104&lt;0.5),"NM",Y104/Q104*100-100))</f>
        <v>-2.7802690582960849</v>
      </c>
      <c r="AA104" s="695">
        <f t="shared" ref="AA104:AC104" si="701">AA103-AA106</f>
        <v>114.70000000000005</v>
      </c>
      <c r="AB104" s="9">
        <f>IF(ISERROR(AA104/S104),"NA",IF(OR(AA104/S104&gt;2,AA104/S104&lt;0.5),"NM",AA104/S104*100-100))</f>
        <v>7.4976569821931776</v>
      </c>
      <c r="AC104" s="695">
        <f t="shared" si="701"/>
        <v>121.69999999999993</v>
      </c>
      <c r="AD104" s="9">
        <f>IF(ISERROR(AC104/U104),"NA",IF(OR(AC104/U104&gt;2,AC104/U104&lt;0.5),"NM",AC104/U104*100-100))</f>
        <v>-2.8731045490823988</v>
      </c>
      <c r="AE104" s="695">
        <f t="shared" ref="AE104:AG104" si="702">AE103-AE106</f>
        <v>122</v>
      </c>
      <c r="AF104" s="9">
        <f>IF(ISERROR(AE104/W104),"NA",IF(OR(AE104/W104&gt;2,AE104/W104&lt;0.5),"NM",AE104/W104*100-100))</f>
        <v>25.514403292181015</v>
      </c>
      <c r="AG104" s="695">
        <f t="shared" si="702"/>
        <v>133.09999999999991</v>
      </c>
      <c r="AH104" s="9">
        <f t="shared" si="677"/>
        <v>22.785977859778541</v>
      </c>
      <c r="AI104" s="695">
        <f t="shared" ref="AI104:AK104" si="703">AI103-AI106</f>
        <v>143.90000000000009</v>
      </c>
      <c r="AJ104" s="9">
        <f t="shared" si="678"/>
        <v>25.457715780296454</v>
      </c>
      <c r="AK104" s="695">
        <f t="shared" si="703"/>
        <v>145.10000000000014</v>
      </c>
      <c r="AL104" s="9">
        <f t="shared" si="679"/>
        <v>19.227608874281188</v>
      </c>
      <c r="AM104" s="695">
        <f t="shared" ref="AM104:AO104" si="704">AM103-AM106</f>
        <v>131</v>
      </c>
      <c r="AN104" s="9">
        <f t="shared" si="680"/>
        <v>7.377049180327873</v>
      </c>
      <c r="AO104" s="695">
        <f t="shared" si="704"/>
        <v>124.19999999999982</v>
      </c>
      <c r="AP104" s="9">
        <f t="shared" si="681"/>
        <v>-6.6867017280241186</v>
      </c>
      <c r="AQ104" s="695">
        <f t="shared" ref="AQ104:AW104" si="705">AQ103-AQ106</f>
        <v>138.20425</v>
      </c>
      <c r="AR104" s="9">
        <f t="shared" si="683"/>
        <v>-3.9581306462821999</v>
      </c>
      <c r="AS104" s="695">
        <f t="shared" si="705"/>
        <v>134.67567749999989</v>
      </c>
      <c r="AT104" s="9">
        <f t="shared" si="684"/>
        <v>-7.1842332873881674</v>
      </c>
      <c r="AU104" s="695">
        <f t="shared" si="705"/>
        <v>136.27141395000012</v>
      </c>
      <c r="AV104" s="9">
        <f t="shared" si="685"/>
        <v>4.0239801145039138</v>
      </c>
      <c r="AW104" s="695">
        <f t="shared" si="705"/>
        <v>135.69825527300009</v>
      </c>
      <c r="AX104" s="9">
        <f t="shared" si="686"/>
        <v>9.2578544871177826</v>
      </c>
      <c r="AY104" s="356"/>
      <c r="AZ104" s="618"/>
      <c r="BA104" s="620"/>
      <c r="BB104" s="81">
        <f>BB103-BB106</f>
        <v>496.39999999999964</v>
      </c>
      <c r="BC104" s="226" t="str">
        <f>IF(ISERROR(BB104/#REF!),"NA",IF(OR(BB104/#REF!&gt;2,BB104/#REF!&lt;0.5),"NM",BB104/#REF!*100-100))</f>
        <v>NA</v>
      </c>
      <c r="BD104" s="913">
        <f t="shared" ref="BD104" si="706">BD103-BD106</f>
        <v>470.20000000000027</v>
      </c>
      <c r="BE104" s="226">
        <f t="shared" si="687"/>
        <v>-5.278001611603429</v>
      </c>
      <c r="BF104" s="81">
        <f>BF103-BF106</f>
        <v>437.59999999999991</v>
      </c>
      <c r="BG104" s="226">
        <f t="shared" si="687"/>
        <v>-6.9332199064228774</v>
      </c>
      <c r="BH104" s="81">
        <f>BH103-BH106</f>
        <v>491.5</v>
      </c>
      <c r="BI104" s="226">
        <f t="shared" si="687"/>
        <v>12.317184643510075</v>
      </c>
      <c r="BJ104" s="81">
        <f>BJ103-BJ106</f>
        <v>544.20000000000073</v>
      </c>
      <c r="BK104" s="226">
        <f t="shared" si="687"/>
        <v>10.722278738555573</v>
      </c>
      <c r="BL104" s="81">
        <f>BL103-BL106</f>
        <v>544.8495967230001</v>
      </c>
      <c r="BM104" s="226">
        <f t="shared" si="687"/>
        <v>0.11936727728765106</v>
      </c>
      <c r="BN104" s="81">
        <f t="shared" ref="BN104" si="707">BN103-BN106</f>
        <v>565.75532314282827</v>
      </c>
      <c r="BO104" s="226">
        <f t="shared" si="687"/>
        <v>3.8369719910899676</v>
      </c>
      <c r="BP104" s="81">
        <f t="shared" ref="BP104:BR104" si="708">BP103-BP106</f>
        <v>590.83580953492492</v>
      </c>
      <c r="BQ104" s="226">
        <f t="shared" si="687"/>
        <v>4.4330977307950121</v>
      </c>
      <c r="BR104" s="81">
        <f t="shared" si="708"/>
        <v>616.0021715992807</v>
      </c>
      <c r="BS104" s="226">
        <f t="shared" si="687"/>
        <v>4.2594510451500014</v>
      </c>
      <c r="BT104" s="81">
        <f t="shared" ref="BT104" si="709">BT103-BT106</f>
        <v>641.31178131738761</v>
      </c>
      <c r="BU104" s="226">
        <f t="shared" si="688"/>
        <v>4.1086883918602979</v>
      </c>
      <c r="BV104" s="43">
        <f>IF(ISERROR(((BT104/BJ104)^0.2-1)*100),"NA",IF((((BT104/BJ104)^0.2-1)*100)&gt;100,"NM",IF((((BT104/BJ104)^0.2-1)*100)&lt;-50,"NM",((BT104/BJ104)^0.2-1)*100)))</f>
        <v>3.3384959235877254</v>
      </c>
      <c r="BW104" s="621"/>
      <c r="BX104" s="621"/>
      <c r="BY104"/>
      <c r="BZ104"/>
      <c r="CA104"/>
      <c r="CB104"/>
      <c r="CC104"/>
      <c r="CD104"/>
    </row>
    <row r="105" spans="2:82" s="616" customFormat="1" ht="12.75" customHeight="1" x14ac:dyDescent="0.2">
      <c r="B105" s="67"/>
      <c r="C105" s="15"/>
      <c r="D105" s="40"/>
      <c r="E105" s="15"/>
      <c r="F105" s="623"/>
      <c r="G105" s="15"/>
      <c r="H105" s="623"/>
      <c r="I105" s="15"/>
      <c r="J105" s="623"/>
      <c r="K105" s="15"/>
      <c r="L105" s="623"/>
      <c r="M105" s="15"/>
      <c r="N105" s="620"/>
      <c r="O105" s="695"/>
      <c r="P105" s="9"/>
      <c r="Q105" s="695"/>
      <c r="R105" s="9"/>
      <c r="S105" s="695"/>
      <c r="T105" s="9"/>
      <c r="U105" s="695"/>
      <c r="V105" s="9"/>
      <c r="W105" s="695"/>
      <c r="X105" s="9"/>
      <c r="Y105" s="695"/>
      <c r="Z105" s="9"/>
      <c r="AA105" s="695"/>
      <c r="AB105" s="9"/>
      <c r="AC105" s="695"/>
      <c r="AD105" s="9"/>
      <c r="AE105" s="695"/>
      <c r="AF105" s="9"/>
      <c r="AG105" s="695"/>
      <c r="AH105" s="620"/>
      <c r="AI105" s="695"/>
      <c r="AJ105" s="620"/>
      <c r="AK105" s="695"/>
      <c r="AL105" s="620"/>
      <c r="AM105" s="695"/>
      <c r="AN105" s="620"/>
      <c r="AO105" s="695"/>
      <c r="AP105" s="620"/>
      <c r="AQ105" s="695"/>
      <c r="AR105" s="620"/>
      <c r="AS105" s="695"/>
      <c r="AT105" s="620"/>
      <c r="AU105" s="695"/>
      <c r="AV105" s="620"/>
      <c r="AW105" s="695"/>
      <c r="AX105" s="620"/>
      <c r="AY105" s="356"/>
      <c r="AZ105" s="618"/>
      <c r="BA105" s="620"/>
      <c r="BB105" s="55"/>
      <c r="BC105" s="55"/>
      <c r="BD105" s="908"/>
      <c r="BE105" s="55"/>
      <c r="BF105" s="55"/>
      <c r="BG105" s="626"/>
      <c r="BH105" s="55"/>
      <c r="BI105" s="626"/>
      <c r="BJ105" s="55"/>
      <c r="BK105" s="626"/>
      <c r="BL105" s="55"/>
      <c r="BM105" s="626"/>
      <c r="BN105" s="55"/>
      <c r="BO105" s="626"/>
      <c r="BP105" s="55"/>
      <c r="BQ105" s="623"/>
      <c r="BR105" s="55"/>
      <c r="BS105" s="623"/>
      <c r="BT105" s="55"/>
      <c r="BU105" s="623"/>
      <c r="BV105" s="43"/>
      <c r="BW105" s="621"/>
      <c r="BX105" s="621"/>
      <c r="BY105"/>
      <c r="BZ105"/>
      <c r="CA105"/>
      <c r="CB105"/>
      <c r="CC105"/>
      <c r="CD105"/>
    </row>
    <row r="106" spans="2:82" s="616" customFormat="1" ht="12.75" customHeight="1" x14ac:dyDescent="0.2">
      <c r="B106" s="62" t="s">
        <v>434</v>
      </c>
      <c r="C106" s="70">
        <v>433.8</v>
      </c>
      <c r="D106" s="753" t="str">
        <f>IF(ISERROR(C106/#REF!),"NA",IF(OR(C106/#REF!&gt;2,C106/#REF!&lt;0.5),"NM",C106/#REF!*100-100))</f>
        <v>NA</v>
      </c>
      <c r="E106" s="70">
        <v>461.4</v>
      </c>
      <c r="F106" s="705" t="str">
        <f>IF(ISERROR(E106/#REF!),"NA",IF(OR(E106/#REF!&gt;2,E106/#REF!&lt;0.5),"NM",E106/#REF!*100-100))</f>
        <v>NA</v>
      </c>
      <c r="G106" s="70">
        <v>437.8</v>
      </c>
      <c r="H106" s="705" t="str">
        <f>IF(ISERROR(G106/#REF!),"NA",IF(OR(G106/#REF!&gt;2,G106/#REF!&lt;0.5),"NM",G106/#REF!*100-100))</f>
        <v>NA</v>
      </c>
      <c r="I106" s="70">
        <v>737.3</v>
      </c>
      <c r="J106" s="9" t="str">
        <f>IF(ISERROR(I106/#REF!),"NA",IF(OR(I106/#REF!&gt;2,I106/#REF!&lt;0.5),"NM",I106/#REF!*100-100))</f>
        <v>NA</v>
      </c>
      <c r="K106" s="70">
        <v>522.29999999999995</v>
      </c>
      <c r="L106" s="9">
        <f t="shared" ref="L106:L111" si="710">IF(ISERROR(K106/C106),"NA",IF(OR(K106/C106&gt;2,K106/C106&lt;0.5),"NM",K106/C106*100-100))</f>
        <v>20.401106500691554</v>
      </c>
      <c r="M106" s="70">
        <v>520</v>
      </c>
      <c r="N106" s="9">
        <f t="shared" ref="N106:N111" si="711">IF(ISERROR(M106/E106),"NA",IF(OR(M106/E106&gt;2,M106/E106&lt;0.5),"NM",M106/E106*100-100))</f>
        <v>12.700476809709585</v>
      </c>
      <c r="O106" s="70">
        <v>585.9</v>
      </c>
      <c r="P106" s="9">
        <f t="shared" ref="P106:P114" si="712">IF(ISERROR(O106/G106),"NA",IF(OR(O106/G106&gt;2,O106/G106&lt;0.5),"NM",O106/G106*100-100))</f>
        <v>33.828232069438087</v>
      </c>
      <c r="Q106" s="70">
        <v>922.4</v>
      </c>
      <c r="R106" s="9">
        <f t="shared" ref="R106:R114" si="713">IF(ISERROR(Q106/I106),"NA",IF(OR(Q106/I106&gt;2,Q106/I106&lt;0.5),"NM",Q106/I106*100-100))</f>
        <v>25.105113251051137</v>
      </c>
      <c r="S106" s="70">
        <v>580.1</v>
      </c>
      <c r="T106" s="9">
        <f t="shared" ref="T106:T114" si="714">IF(ISERROR(S106/K106),"NA",IF(OR(S106/K106&gt;2,S106/K106&lt;0.5),"NM",S106/K106*100-100))</f>
        <v>11.066436913651174</v>
      </c>
      <c r="U106" s="70">
        <v>1325.6</v>
      </c>
      <c r="V106" s="9" t="str">
        <f t="shared" ref="V106:V114" si="715">IF(ISERROR(U106/M106),"NA",IF(OR(U106/M106&gt;2,U106/M106&lt;0.5),"NM",U106/M106*100-100))</f>
        <v>NM</v>
      </c>
      <c r="W106" s="70">
        <v>1219.2</v>
      </c>
      <c r="X106" s="9" t="str">
        <f t="shared" ref="X106:X114" si="716">IF(ISERROR(W106/O106),"NA",IF(OR(W106/O106&gt;2,W106/O106&lt;0.5),"NM",W106/O106*100-100))</f>
        <v>NM</v>
      </c>
      <c r="Y106" s="70">
        <v>830.4</v>
      </c>
      <c r="Z106" s="9">
        <f t="shared" ref="Z106:Z114" si="717">IF(ISERROR(Y106/Q106),"NA",IF(OR(Y106/Q106&gt;2,Y106/Q106&lt;0.5),"NM",Y106/Q106*100-100))</f>
        <v>-9.9739809193408462</v>
      </c>
      <c r="AA106" s="70">
        <v>936</v>
      </c>
      <c r="AB106" s="9">
        <f t="shared" ref="AB106:AB114" si="718">IF(ISERROR(AA106/S106),"NA",IF(OR(AA106/S106&gt;2,AA106/S106&lt;0.5),"NM",AA106/S106*100-100))</f>
        <v>61.351491122220295</v>
      </c>
      <c r="AC106" s="70">
        <v>924.1</v>
      </c>
      <c r="AD106" s="9">
        <f t="shared" ref="AD106:AD114" si="719">IF(ISERROR(AC106/U106),"NA",IF(OR(AC106/U106&gt;2,AC106/U106&lt;0.5),"NM",AC106/U106*100-100))</f>
        <v>-30.288171394085694</v>
      </c>
      <c r="AE106" s="70">
        <v>669.9</v>
      </c>
      <c r="AF106" s="9">
        <f t="shared" ref="AF106:AF114" si="720">IF(ISERROR(AE106/W106),"NA",IF(OR(AE106/W106&gt;2,AE106/W106&lt;0.5),"NM",AE106/W106*100-100))</f>
        <v>-45.054133858267718</v>
      </c>
      <c r="AG106" s="70">
        <v>1386</v>
      </c>
      <c r="AH106" s="9">
        <f t="shared" ref="AH106:AH129" si="721">IF(ISERROR(AG106/Y106),"NA",IF(OR(AG106/Y106&gt;2,AG106/Y106&lt;0.5),"NM",AG106/Y106*100-100))</f>
        <v>66.907514450867069</v>
      </c>
      <c r="AI106" s="70">
        <v>888.3</v>
      </c>
      <c r="AJ106" s="9">
        <f t="shared" ref="AJ106:AJ111" si="722">IF(ISERROR(AI106/AA106),"NA",IF(OR(AI106/AA106&gt;2,AI106/AA106&lt;0.5),"NM",AI106/AA106*100-100))</f>
        <v>-5.0961538461538538</v>
      </c>
      <c r="AK106" s="70">
        <v>1087.2</v>
      </c>
      <c r="AL106" s="9">
        <f t="shared" ref="AL106:AL111" si="723">IF(ISERROR(AK106/AC106),"NA",IF(OR(AK106/AC106&gt;2,AK106/AC106&lt;0.5),"NM",AK106/AC106*100-100))</f>
        <v>17.649605021101621</v>
      </c>
      <c r="AM106" s="70">
        <v>1784.5</v>
      </c>
      <c r="AN106" s="9" t="str">
        <f t="shared" ref="AN106:AN111" si="724">IF(ISERROR(AM106/AE106),"NA",IF(OR(AM106/AE106&gt;2,AM106/AE106&lt;0.5),"NM",AM106/AE106*100-100))</f>
        <v>NM</v>
      </c>
      <c r="AO106" s="70">
        <v>1040.4000000000001</v>
      </c>
      <c r="AP106" s="9">
        <f t="shared" ref="AP106:AP111" si="725">IF(ISERROR(AO106/AG106),"NA",IF(OR(AO106/AG106&gt;2,AO106/AG106&lt;0.5),"NM",AO106/AG106*100-100))</f>
        <v>-24.935064935064929</v>
      </c>
      <c r="AQ106" s="55">
        <f t="shared" ref="AQ106:AW106" si="726">AQ118*AQ92/400</f>
        <v>1036.1079355828222</v>
      </c>
      <c r="AR106" s="9">
        <f t="shared" ref="AR106:AR111" si="727">IF(ISERROR(AQ106/AI106),"NA",IF(OR(AQ106/AI106&gt;2,AQ106/AI106&lt;0.5),"NM",AQ106/AI106*100-100))</f>
        <v>16.639416366410245</v>
      </c>
      <c r="AS106" s="55">
        <f t="shared" si="726"/>
        <v>1054.0083471932514</v>
      </c>
      <c r="AT106" s="9">
        <f t="shared" ref="AT106:AT111" si="728">IF(ISERROR(AS106/AK106),"NA",IF(OR(AS106/AK106&gt;2,AS106/AK106&lt;0.5),"NM",AS106/AK106*100-100))</f>
        <v>-3.0529481978245627</v>
      </c>
      <c r="AU106" s="55">
        <f t="shared" si="726"/>
        <v>1066.4970130714721</v>
      </c>
      <c r="AV106" s="9">
        <f t="shared" ref="AV106:AV111" si="729">IF(ISERROR(AU106/AM106),"NA",IF(OR(AU106/AM106&gt;2,AU106/AM106&lt;0.5),"NM",AU106/AM106*100-100))</f>
        <v>-40.235527426647678</v>
      </c>
      <c r="AW106" s="55">
        <f t="shared" si="726"/>
        <v>1078.7359056321286</v>
      </c>
      <c r="AX106" s="9">
        <f t="shared" ref="AX106:AX111" si="730">IF(ISERROR(AW106/AO106),"NA",IF(OR(AW106/AO106&gt;2,AW106/AO106&lt;0.5),"NM",AW106/AO106*100-100))</f>
        <v>3.6847275694087358</v>
      </c>
      <c r="AY106" s="356"/>
      <c r="AZ106" s="618"/>
      <c r="BA106" s="620"/>
      <c r="BB106" s="55">
        <f>C106+E106+G106+I106</f>
        <v>2070.3000000000002</v>
      </c>
      <c r="BC106" s="226" t="str">
        <f>IF(ISERROR(BB106/#REF!),"NA",IF(OR(BB106/#REF!&gt;2,BB106/#REF!&lt;0.5),"NM",BB106/#REF!*100-100))</f>
        <v>NA</v>
      </c>
      <c r="BD106" s="908">
        <f>K106+M106+O106+Q106</f>
        <v>2550.6</v>
      </c>
      <c r="BE106" s="226">
        <f t="shared" si="687"/>
        <v>23.199536299087072</v>
      </c>
      <c r="BF106" s="55">
        <f>S106+U106+W106+Y106</f>
        <v>3955.2999999999997</v>
      </c>
      <c r="BG106" s="226">
        <f t="shared" si="687"/>
        <v>55.073316082490408</v>
      </c>
      <c r="BH106" s="55">
        <f>AA106+AC106+AE106+AG106</f>
        <v>3916</v>
      </c>
      <c r="BI106" s="226">
        <f t="shared" si="687"/>
        <v>-0.99360351932848801</v>
      </c>
      <c r="BJ106" s="55">
        <f>AI106+AK106+AM106+AO106</f>
        <v>4800.3999999999996</v>
      </c>
      <c r="BK106" s="226">
        <f t="shared" si="687"/>
        <v>22.584269662921329</v>
      </c>
      <c r="BL106" s="55">
        <f>AQ106+AS106+AU106+AW106</f>
        <v>4235.3492014796739</v>
      </c>
      <c r="BM106" s="226">
        <f t="shared" si="687"/>
        <v>-11.770910726612911</v>
      </c>
      <c r="BN106" s="55">
        <f>BN118*BN92/100</f>
        <v>4436.419993184245</v>
      </c>
      <c r="BO106" s="226">
        <f t="shared" si="687"/>
        <v>4.7474430593426433</v>
      </c>
      <c r="BP106" s="55">
        <f>BP118*BP92/100</f>
        <v>4628.5007054376756</v>
      </c>
      <c r="BQ106" s="226">
        <f t="shared" si="687"/>
        <v>4.3296331850575029</v>
      </c>
      <c r="BR106" s="55">
        <f>BR118*BR92/100</f>
        <v>4820.8637913265666</v>
      </c>
      <c r="BS106" s="226">
        <f t="shared" si="687"/>
        <v>4.1560560996112201</v>
      </c>
      <c r="BT106" s="55">
        <f>BT118*BT92/100</f>
        <v>5013.9557996626336</v>
      </c>
      <c r="BU106" s="226">
        <f t="shared" ref="BU106:BU111" si="731">IF(ISERROR(BT106/BR106),"NA",IF(OR(BT106/BR106&gt;2,BT106/BR106&lt;0.5),"NM",BT106/BR106*100-100))</f>
        <v>4.0053404678943139</v>
      </c>
      <c r="BV106" s="43">
        <f t="shared" ref="BV106:BV111" si="732">IF(ISERROR(((BT106/BJ106)^0.2-1)*100),"NA",IF((((BT106/BJ106)^0.2-1)*100)&gt;100,"NM",IF((((BT106/BJ106)^0.2-1)*100)&lt;-50,"NM",((BT106/BJ106)^0.2-1)*100)))</f>
        <v>0.8743187637194838</v>
      </c>
      <c r="BW106" s="621"/>
      <c r="BX106" s="621"/>
      <c r="BY106"/>
      <c r="BZ106"/>
      <c r="CA106"/>
      <c r="CB106"/>
      <c r="CC106"/>
      <c r="CD106"/>
    </row>
    <row r="107" spans="2:82" s="616" customFormat="1" ht="12.75" customHeight="1" x14ac:dyDescent="0.2">
      <c r="B107" s="62" t="s">
        <v>421</v>
      </c>
      <c r="C107" s="70">
        <v>6.4</v>
      </c>
      <c r="D107" s="753" t="str">
        <f>IF(ISERROR(C107/#REF!),"NA",IF(OR(C107/#REF!&gt;2,C107/#REF!&lt;0.5),"NM",C107/#REF!*100-100))</f>
        <v>NA</v>
      </c>
      <c r="E107" s="70">
        <v>8.3000000000000007</v>
      </c>
      <c r="F107" s="705" t="str">
        <f>IF(ISERROR(E107/#REF!),"NA",IF(OR(E107/#REF!&gt;2,E107/#REF!&lt;0.5),"NM",E107/#REF!*100-100))</f>
        <v>NA</v>
      </c>
      <c r="G107" s="70">
        <v>12.4</v>
      </c>
      <c r="H107" s="705" t="str">
        <f>IF(ISERROR(G107/#REF!),"NA",IF(OR(G107/#REF!&gt;2,G107/#REF!&lt;0.5),"NM",G107/#REF!*100-100))</f>
        <v>NA</v>
      </c>
      <c r="I107" s="70">
        <v>18.3</v>
      </c>
      <c r="J107" s="9" t="str">
        <f>IF(ISERROR(I107/#REF!),"NA",IF(OR(I107/#REF!&gt;2,I107/#REF!&lt;0.5),"NM",I107/#REF!*100-100))</f>
        <v>NA</v>
      </c>
      <c r="K107" s="70">
        <v>11.9</v>
      </c>
      <c r="L107" s="9">
        <f t="shared" si="710"/>
        <v>85.9375</v>
      </c>
      <c r="M107" s="70">
        <v>8.9</v>
      </c>
      <c r="N107" s="9">
        <f t="shared" si="711"/>
        <v>7.228915662650607</v>
      </c>
      <c r="O107" s="70">
        <v>10.1</v>
      </c>
      <c r="P107" s="9">
        <f t="shared" si="712"/>
        <v>-18.548387096774206</v>
      </c>
      <c r="Q107" s="70">
        <v>12.5</v>
      </c>
      <c r="R107" s="9">
        <f t="shared" si="713"/>
        <v>-31.69398907103826</v>
      </c>
      <c r="S107" s="70">
        <v>13.4</v>
      </c>
      <c r="T107" s="9">
        <f t="shared" si="714"/>
        <v>12.605042016806721</v>
      </c>
      <c r="U107" s="70">
        <v>19.399999999999999</v>
      </c>
      <c r="V107" s="9" t="str">
        <f t="shared" si="715"/>
        <v>NM</v>
      </c>
      <c r="W107" s="70">
        <v>22.1</v>
      </c>
      <c r="X107" s="9" t="str">
        <f t="shared" si="716"/>
        <v>NM</v>
      </c>
      <c r="Y107" s="70">
        <v>20.399999999999999</v>
      </c>
      <c r="Z107" s="9">
        <f t="shared" si="717"/>
        <v>63.199999999999989</v>
      </c>
      <c r="AA107" s="70">
        <v>26.7</v>
      </c>
      <c r="AB107" s="9">
        <f t="shared" si="718"/>
        <v>99.253731343283562</v>
      </c>
      <c r="AC107" s="70">
        <v>21.1</v>
      </c>
      <c r="AD107" s="9">
        <f t="shared" si="719"/>
        <v>8.7628865979381629</v>
      </c>
      <c r="AE107" s="70">
        <v>11.6</v>
      </c>
      <c r="AF107" s="9">
        <f t="shared" si="720"/>
        <v>-47.511312217194579</v>
      </c>
      <c r="AG107" s="70">
        <v>17.7</v>
      </c>
      <c r="AH107" s="9">
        <f t="shared" si="721"/>
        <v>-13.235294117647058</v>
      </c>
      <c r="AI107" s="70">
        <v>17.899999999999999</v>
      </c>
      <c r="AJ107" s="9">
        <f t="shared" si="722"/>
        <v>-32.958801498127343</v>
      </c>
      <c r="AK107" s="70">
        <v>21.6</v>
      </c>
      <c r="AL107" s="9">
        <f t="shared" si="723"/>
        <v>2.3696682464454852</v>
      </c>
      <c r="AM107" s="70">
        <v>14.1</v>
      </c>
      <c r="AN107" s="9">
        <f t="shared" si="724"/>
        <v>21.551724137931032</v>
      </c>
      <c r="AO107" s="70">
        <v>14.2</v>
      </c>
      <c r="AP107" s="9">
        <f t="shared" si="725"/>
        <v>-19.774011299435017</v>
      </c>
      <c r="AQ107" s="55">
        <f t="shared" ref="AQ107:AW107" si="733">AQ121*AQ92/400</f>
        <v>14.375975460122698</v>
      </c>
      <c r="AR107" s="9">
        <f t="shared" si="727"/>
        <v>-19.687287932275424</v>
      </c>
      <c r="AS107" s="55">
        <f t="shared" si="733"/>
        <v>14.55191607361963</v>
      </c>
      <c r="AT107" s="9">
        <f t="shared" si="728"/>
        <v>-32.630018177686907</v>
      </c>
      <c r="AU107" s="55">
        <f t="shared" si="733"/>
        <v>14.724337874846622</v>
      </c>
      <c r="AV107" s="9">
        <f t="shared" si="729"/>
        <v>4.4279281904015875</v>
      </c>
      <c r="AW107" s="55">
        <f t="shared" si="733"/>
        <v>14.893311240049076</v>
      </c>
      <c r="AX107" s="9">
        <f t="shared" si="730"/>
        <v>4.8824735214723773</v>
      </c>
      <c r="AY107" s="356"/>
      <c r="AZ107" s="618"/>
      <c r="BA107" s="620"/>
      <c r="BB107" s="55">
        <f>C107+E107+G107+I107</f>
        <v>45.400000000000006</v>
      </c>
      <c r="BC107" s="226" t="str">
        <f>IF(ISERROR(BB107/#REF!),"NA",IF(OR(BB107/#REF!&gt;2,BB107/#REF!&lt;0.5),"NM",BB107/#REF!*100-100))</f>
        <v>NA</v>
      </c>
      <c r="BD107" s="908">
        <f>K107+M107+O107+Q107</f>
        <v>43.4</v>
      </c>
      <c r="BE107" s="226">
        <f t="shared" si="687"/>
        <v>-4.4052863436123459</v>
      </c>
      <c r="BF107" s="55">
        <f>S107+U107+W107+Y107</f>
        <v>75.3</v>
      </c>
      <c r="BG107" s="226">
        <f t="shared" si="687"/>
        <v>73.502304147465424</v>
      </c>
      <c r="BH107" s="55">
        <f>AA107+AC107+AE107+AG107</f>
        <v>77.099999999999994</v>
      </c>
      <c r="BI107" s="226">
        <f t="shared" si="687"/>
        <v>2.3904382470119572</v>
      </c>
      <c r="BJ107" s="55">
        <f>AI107+AK107+AM107+AO107</f>
        <v>67.8</v>
      </c>
      <c r="BK107" s="226">
        <f t="shared" si="687"/>
        <v>-12.062256809338521</v>
      </c>
      <c r="BL107" s="55">
        <f>AQ107+AS107+AU107+AW107</f>
        <v>58.545540648638024</v>
      </c>
      <c r="BM107" s="226">
        <f t="shared" si="687"/>
        <v>-13.649645061005856</v>
      </c>
      <c r="BN107" s="55">
        <f>BN121*BN92/100</f>
        <v>61.264200648674311</v>
      </c>
      <c r="BO107" s="226">
        <f t="shared" si="687"/>
        <v>4.6436670836338578</v>
      </c>
      <c r="BP107" s="55">
        <f>BP121*BP92/100</f>
        <v>63.980102537420414</v>
      </c>
      <c r="BQ107" s="226">
        <f t="shared" si="687"/>
        <v>4.4330977307950263</v>
      </c>
      <c r="BR107" s="55">
        <f>BR121*BR92/100</f>
        <v>66.705303683638505</v>
      </c>
      <c r="BS107" s="226">
        <f t="shared" si="687"/>
        <v>4.2594510451498451</v>
      </c>
      <c r="BT107" s="55">
        <f>BT121*BT92/100</f>
        <v>69.446016752843263</v>
      </c>
      <c r="BU107" s="226">
        <f t="shared" si="731"/>
        <v>4.1086883918601984</v>
      </c>
      <c r="BV107" s="43">
        <f t="shared" si="732"/>
        <v>0.48090301338610253</v>
      </c>
      <c r="BW107" s="621"/>
      <c r="BX107" s="621"/>
      <c r="BY107"/>
      <c r="BZ107"/>
      <c r="CA107"/>
      <c r="CB107"/>
      <c r="CC107"/>
      <c r="CD107"/>
    </row>
    <row r="108" spans="2:82" s="616" customFormat="1" ht="12.75" customHeight="1" x14ac:dyDescent="0.2">
      <c r="B108" s="71" t="s">
        <v>391</v>
      </c>
      <c r="C108" s="70">
        <f>-2.7+21.5</f>
        <v>18.8</v>
      </c>
      <c r="D108" s="753" t="str">
        <f>IF(ISERROR(C108/#REF!),"NA",IF(OR(C108/#REF!&gt;2,C108/#REF!&lt;0.5),"NM",C108/#REF!*100-100))</f>
        <v>NA</v>
      </c>
      <c r="E108" s="70">
        <f>-3.8+12.8</f>
        <v>9</v>
      </c>
      <c r="F108" s="705" t="str">
        <f>IF(ISERROR(E108/#REF!),"NA",IF(OR(E108/#REF!&gt;2,E108/#REF!&lt;0.5),"NM",E108/#REF!*100-100))</f>
        <v>NA</v>
      </c>
      <c r="G108" s="70">
        <f>-6.7+7.9</f>
        <v>1.2000000000000002</v>
      </c>
      <c r="H108" s="705" t="str">
        <f>IF(ISERROR(G108/#REF!),"NA",IF(OR(G108/#REF!&gt;2,G108/#REF!&lt;0.5),"NM",G108/#REF!*100-100))</f>
        <v>NA</v>
      </c>
      <c r="I108" s="70">
        <f>-6.7+16.5</f>
        <v>9.8000000000000007</v>
      </c>
      <c r="J108" s="9" t="str">
        <f>IF(ISERROR(I108/#REF!),"NA",IF(OR(I108/#REF!&gt;2,I108/#REF!&lt;0.5),"NM",I108/#REF!*100-100))</f>
        <v>NA</v>
      </c>
      <c r="K108" s="70">
        <f>-2.8+21.7</f>
        <v>18.899999999999999</v>
      </c>
      <c r="L108" s="9">
        <f t="shared" si="710"/>
        <v>0.53191489361701372</v>
      </c>
      <c r="M108" s="70">
        <f>-2.6+16.6</f>
        <v>14.000000000000002</v>
      </c>
      <c r="N108" s="9">
        <f t="shared" si="711"/>
        <v>55.555555555555571</v>
      </c>
      <c r="O108" s="70">
        <f>-3.4+12</f>
        <v>8.6</v>
      </c>
      <c r="P108" s="9" t="str">
        <f t="shared" si="712"/>
        <v>NM</v>
      </c>
      <c r="Q108" s="70">
        <f>-3.4+16.2</f>
        <v>12.799999999999999</v>
      </c>
      <c r="R108" s="9">
        <f t="shared" si="713"/>
        <v>30.612244897959187</v>
      </c>
      <c r="S108" s="70">
        <f>-3.1+9.2</f>
        <v>6.1</v>
      </c>
      <c r="T108" s="9" t="str">
        <f t="shared" si="714"/>
        <v>NM</v>
      </c>
      <c r="U108" s="70">
        <f>-3.4+8.7</f>
        <v>5.2999999999999989</v>
      </c>
      <c r="V108" s="9" t="str">
        <f t="shared" si="715"/>
        <v>NM</v>
      </c>
      <c r="W108" s="70">
        <f>-10.6+8.1</f>
        <v>-2.5</v>
      </c>
      <c r="X108" s="9" t="str">
        <f t="shared" si="716"/>
        <v>NM</v>
      </c>
      <c r="Y108" s="70">
        <f>-11.1+7.5</f>
        <v>-3.5999999999999996</v>
      </c>
      <c r="Z108" s="9" t="str">
        <f t="shared" si="717"/>
        <v>NM</v>
      </c>
      <c r="AA108" s="70">
        <f>-14+6.9</f>
        <v>-7.1</v>
      </c>
      <c r="AB108" s="9" t="str">
        <f t="shared" si="718"/>
        <v>NM</v>
      </c>
      <c r="AC108" s="70">
        <f>-10+10.4</f>
        <v>0.40000000000000036</v>
      </c>
      <c r="AD108" s="9" t="str">
        <f t="shared" si="719"/>
        <v>NM</v>
      </c>
      <c r="AE108" s="70">
        <f>-4.9+12.1</f>
        <v>7.1999999999999993</v>
      </c>
      <c r="AF108" s="9" t="str">
        <f t="shared" si="720"/>
        <v>NM</v>
      </c>
      <c r="AG108" s="70">
        <f>-10.9+9.7</f>
        <v>-1.2000000000000011</v>
      </c>
      <c r="AH108" s="9" t="str">
        <f t="shared" si="721"/>
        <v>NM</v>
      </c>
      <c r="AI108" s="70">
        <f>-10.3+9.3</f>
        <v>-1</v>
      </c>
      <c r="AJ108" s="9" t="str">
        <f t="shared" si="722"/>
        <v>NM</v>
      </c>
      <c r="AK108" s="70">
        <f>-10.5+9.6</f>
        <v>-0.90000000000000036</v>
      </c>
      <c r="AL108" s="9" t="str">
        <f t="shared" si="723"/>
        <v>NM</v>
      </c>
      <c r="AM108" s="70">
        <f>-3.1-9.4</f>
        <v>-12.5</v>
      </c>
      <c r="AN108" s="9" t="str">
        <f t="shared" si="724"/>
        <v>NM</v>
      </c>
      <c r="AO108" s="70">
        <f>-6.8+9.5</f>
        <v>2.7</v>
      </c>
      <c r="AP108" s="9" t="str">
        <f t="shared" si="725"/>
        <v>NM</v>
      </c>
      <c r="AQ108" s="55">
        <f t="shared" ref="AQ108:AW108" si="734">AQ122*AQ92/400</f>
        <v>2.7334601226993862</v>
      </c>
      <c r="AR108" s="9" t="str">
        <f t="shared" si="727"/>
        <v>NM</v>
      </c>
      <c r="AS108" s="55">
        <f t="shared" si="734"/>
        <v>2.7669136196319015</v>
      </c>
      <c r="AT108" s="9" t="str">
        <f t="shared" si="728"/>
        <v>NM</v>
      </c>
      <c r="AU108" s="55">
        <f t="shared" si="734"/>
        <v>2.7996980466257662</v>
      </c>
      <c r="AV108" s="9" t="str">
        <f t="shared" si="729"/>
        <v>NM</v>
      </c>
      <c r="AW108" s="55">
        <f t="shared" si="734"/>
        <v>2.831826785079754</v>
      </c>
      <c r="AX108" s="9">
        <f t="shared" si="730"/>
        <v>4.8824735214723773</v>
      </c>
      <c r="AY108" s="356"/>
      <c r="AZ108" s="618"/>
      <c r="BA108" s="620"/>
      <c r="BB108" s="55">
        <f>C108+E108+G108+I108</f>
        <v>38.799999999999997</v>
      </c>
      <c r="BC108" s="226" t="str">
        <f>IF(ISERROR(BB108/#REF!),"NA",IF(OR(BB108/#REF!&gt;2,BB108/#REF!&lt;0.5),"NM",BB108/#REF!*100-100))</f>
        <v>NA</v>
      </c>
      <c r="BD108" s="908">
        <f>K108+M108+O108+Q108</f>
        <v>54.3</v>
      </c>
      <c r="BE108" s="226">
        <f t="shared" si="687"/>
        <v>39.948453608247434</v>
      </c>
      <c r="BF108" s="55">
        <f>S108+U108+W108+Y108</f>
        <v>5.2999999999999989</v>
      </c>
      <c r="BG108" s="226" t="str">
        <f t="shared" si="687"/>
        <v>NM</v>
      </c>
      <c r="BH108" s="55">
        <f>AA108+AC108+AE108+AG108</f>
        <v>-0.70000000000000107</v>
      </c>
      <c r="BI108" s="226" t="str">
        <f t="shared" si="687"/>
        <v>NM</v>
      </c>
      <c r="BJ108" s="55">
        <f>AI108+AK108+AM108+AO108</f>
        <v>-11.7</v>
      </c>
      <c r="BK108" s="226" t="str">
        <f t="shared" si="687"/>
        <v>NM</v>
      </c>
      <c r="BL108" s="55">
        <f>AQ108+AS108+AU108+AW108</f>
        <v>11.131898574036807</v>
      </c>
      <c r="BM108" s="226" t="str">
        <f t="shared" si="687"/>
        <v>NM</v>
      </c>
      <c r="BN108" s="55">
        <f>BN122*BN92/100</f>
        <v>11.648826883902862</v>
      </c>
      <c r="BO108" s="226">
        <f t="shared" si="687"/>
        <v>4.6436670836338578</v>
      </c>
      <c r="BP108" s="55">
        <f>BP122*BP92/100</f>
        <v>12.165230764157402</v>
      </c>
      <c r="BQ108" s="226">
        <f t="shared" si="687"/>
        <v>4.4330977307950263</v>
      </c>
      <c r="BR108" s="55">
        <f>BR122*BR92/100</f>
        <v>12.683402813086193</v>
      </c>
      <c r="BS108" s="226">
        <f t="shared" si="687"/>
        <v>4.2594510451498451</v>
      </c>
      <c r="BT108" s="55">
        <f>BT122*BT92/100</f>
        <v>13.20452431216034</v>
      </c>
      <c r="BU108" s="226">
        <f t="shared" si="731"/>
        <v>4.1086883918602268</v>
      </c>
      <c r="BV108" s="43" t="str">
        <f t="shared" si="732"/>
        <v>NM</v>
      </c>
      <c r="BW108" s="621"/>
      <c r="BX108" s="621"/>
      <c r="BY108"/>
      <c r="BZ108"/>
      <c r="CA108"/>
      <c r="CB108"/>
      <c r="CC108"/>
      <c r="CD108"/>
    </row>
    <row r="109" spans="2:82" s="616" customFormat="1" ht="12.75" customHeight="1" x14ac:dyDescent="0.2">
      <c r="B109" s="73" t="s">
        <v>481</v>
      </c>
      <c r="C109" s="70">
        <f>0.8+25.7</f>
        <v>26.5</v>
      </c>
      <c r="D109" s="753" t="str">
        <f>IF(ISERROR(C109/#REF!),"NA",IF(OR(C109/#REF!&gt;2,C109/#REF!&lt;0.5),"NM",C109/#REF!*100-100))</f>
        <v>NA</v>
      </c>
      <c r="E109" s="70">
        <f>0.8+27</f>
        <v>27.8</v>
      </c>
      <c r="F109" s="705" t="str">
        <f>IF(ISERROR(E109/#REF!),"NA",IF(OR(E109/#REF!&gt;2,E109/#REF!&lt;0.5),"NM",E109/#REF!*100-100))</f>
        <v>NA</v>
      </c>
      <c r="G109" s="70">
        <f>0.9+27.2</f>
        <v>28.099999999999998</v>
      </c>
      <c r="H109" s="705" t="str">
        <f>IF(ISERROR(G109/#REF!),"NA",IF(OR(G109/#REF!&gt;2,G109/#REF!&lt;0.5),"NM",G109/#REF!*100-100))</f>
        <v>NA</v>
      </c>
      <c r="I109" s="70">
        <f>0.9+27.4</f>
        <v>28.299999999999997</v>
      </c>
      <c r="J109" s="9" t="str">
        <f>IF(ISERROR(I109/#REF!),"NA",IF(OR(I109/#REF!&gt;2,I109/#REF!&lt;0.5),"NM",I109/#REF!*100-100))</f>
        <v>NA</v>
      </c>
      <c r="K109" s="70">
        <f>1+23.5</f>
        <v>24.5</v>
      </c>
      <c r="L109" s="9">
        <f t="shared" si="710"/>
        <v>-7.5471698113207566</v>
      </c>
      <c r="M109" s="70">
        <f>1+23.1</f>
        <v>24.1</v>
      </c>
      <c r="N109" s="9">
        <f t="shared" si="711"/>
        <v>-13.309352517985602</v>
      </c>
      <c r="O109" s="70">
        <f>1.1+23.6</f>
        <v>24.700000000000003</v>
      </c>
      <c r="P109" s="9">
        <f t="shared" si="712"/>
        <v>-12.099644128113866</v>
      </c>
      <c r="Q109" s="70">
        <f>1+25.5</f>
        <v>26.5</v>
      </c>
      <c r="R109" s="9">
        <f t="shared" si="713"/>
        <v>-6.3604240282685396</v>
      </c>
      <c r="S109" s="70">
        <f>1.1+25</f>
        <v>26.1</v>
      </c>
      <c r="T109" s="9">
        <f t="shared" si="714"/>
        <v>6.5306122448979664</v>
      </c>
      <c r="U109" s="70">
        <f>1.1+26</f>
        <v>27.1</v>
      </c>
      <c r="V109" s="9">
        <f t="shared" si="715"/>
        <v>12.448132780082986</v>
      </c>
      <c r="W109" s="70">
        <f>1.1+26.6</f>
        <v>27.700000000000003</v>
      </c>
      <c r="X109" s="9">
        <f t="shared" si="716"/>
        <v>12.145748987854262</v>
      </c>
      <c r="Y109" s="70">
        <f>1+28.5</f>
        <v>29.5</v>
      </c>
      <c r="Z109" s="9">
        <f t="shared" si="717"/>
        <v>11.320754716981128</v>
      </c>
      <c r="AA109" s="70">
        <f>26.5+1.2</f>
        <v>27.7</v>
      </c>
      <c r="AB109" s="9">
        <f t="shared" si="718"/>
        <v>6.1302681992336971</v>
      </c>
      <c r="AC109" s="70">
        <f>1.2+28.8</f>
        <v>30</v>
      </c>
      <c r="AD109" s="9">
        <f t="shared" si="719"/>
        <v>10.701107011070093</v>
      </c>
      <c r="AE109" s="70">
        <f>1.2+26</f>
        <v>27.2</v>
      </c>
      <c r="AF109" s="9">
        <f t="shared" si="720"/>
        <v>-1.8050541516245602</v>
      </c>
      <c r="AG109" s="70">
        <f>1.2+27.9</f>
        <v>29.099999999999998</v>
      </c>
      <c r="AH109" s="9">
        <f t="shared" si="721"/>
        <v>-1.3559322033898411</v>
      </c>
      <c r="AI109" s="70">
        <f>1.2+26.3</f>
        <v>27.5</v>
      </c>
      <c r="AJ109" s="9">
        <f t="shared" si="722"/>
        <v>-0.72202166064981554</v>
      </c>
      <c r="AK109" s="70">
        <f>1.1+27</f>
        <v>28.1</v>
      </c>
      <c r="AL109" s="9">
        <f t="shared" si="723"/>
        <v>-6.3333333333333286</v>
      </c>
      <c r="AM109" s="70">
        <f>1.2+26.1</f>
        <v>27.3</v>
      </c>
      <c r="AN109" s="9">
        <f t="shared" si="724"/>
        <v>0.36764705882352189</v>
      </c>
      <c r="AO109" s="70">
        <f>1.2+0.1+30.9</f>
        <v>32.199999999999996</v>
      </c>
      <c r="AP109" s="9">
        <f t="shared" si="725"/>
        <v>10.652920962199303</v>
      </c>
      <c r="AQ109" s="55">
        <f t="shared" ref="AQ109:AW109" si="735">AQ123*AQ92/400</f>
        <v>31.567667944785264</v>
      </c>
      <c r="AR109" s="9">
        <f t="shared" si="727"/>
        <v>14.791519799219131</v>
      </c>
      <c r="AS109" s="55">
        <f t="shared" si="735"/>
        <v>31.954009371165625</v>
      </c>
      <c r="AT109" s="9">
        <f t="shared" si="728"/>
        <v>13.715335840447068</v>
      </c>
      <c r="AU109" s="55">
        <f t="shared" si="735"/>
        <v>32.332623969018385</v>
      </c>
      <c r="AV109" s="9">
        <f t="shared" si="729"/>
        <v>18.434520033034389</v>
      </c>
      <c r="AW109" s="55">
        <f t="shared" si="735"/>
        <v>32.703666274914092</v>
      </c>
      <c r="AX109" s="9">
        <f t="shared" si="730"/>
        <v>1.5641809779940843</v>
      </c>
      <c r="AY109" s="356"/>
      <c r="AZ109" s="618"/>
      <c r="BA109" s="620"/>
      <c r="BB109" s="55">
        <f>C109+E109+G109+I109</f>
        <v>110.69999999999999</v>
      </c>
      <c r="BC109" s="226" t="str">
        <f>IF(ISERROR(BB109/#REF!),"NA",IF(OR(BB109/#REF!&gt;2,BB109/#REF!&lt;0.5),"NM",BB109/#REF!*100-100))</f>
        <v>NA</v>
      </c>
      <c r="BD109" s="908">
        <f>K109+M109+O109+Q109</f>
        <v>99.800000000000011</v>
      </c>
      <c r="BE109" s="226">
        <f t="shared" si="687"/>
        <v>-9.8464317976512916</v>
      </c>
      <c r="BF109" s="55">
        <f>S109+U109+W109+Y109</f>
        <v>110.4</v>
      </c>
      <c r="BG109" s="226">
        <f t="shared" si="687"/>
        <v>10.62124248496994</v>
      </c>
      <c r="BH109" s="55">
        <f>AA109+AC109+AE109+AG109</f>
        <v>114</v>
      </c>
      <c r="BI109" s="226">
        <f t="shared" si="687"/>
        <v>3.2608695652173765</v>
      </c>
      <c r="BJ109" s="55">
        <f>AI109+AK109+AM109+AO109</f>
        <v>115.1</v>
      </c>
      <c r="BK109" s="226">
        <f t="shared" si="687"/>
        <v>0.96491228070175339</v>
      </c>
      <c r="BL109" s="55">
        <f>AQ109+AS109+AU109+AW109</f>
        <v>128.55796755988337</v>
      </c>
      <c r="BM109" s="226">
        <f t="shared" si="687"/>
        <v>11.692413171054184</v>
      </c>
      <c r="BN109" s="55">
        <f>BN123*BN92/100</f>
        <v>134.52777158285039</v>
      </c>
      <c r="BO109" s="226">
        <f t="shared" si="687"/>
        <v>4.6436670836338863</v>
      </c>
      <c r="BP109" s="55">
        <f>BP123*BP92/100</f>
        <v>135.90139737922129</v>
      </c>
      <c r="BQ109" s="226">
        <f t="shared" si="687"/>
        <v>1.021072288798706</v>
      </c>
      <c r="BR109" s="55">
        <f>BR123*BR92/100</f>
        <v>136.90441508662244</v>
      </c>
      <c r="BS109" s="226">
        <f t="shared" si="687"/>
        <v>0.73804811925685954</v>
      </c>
      <c r="BT109" s="55">
        <f>BT123*BT92/100</f>
        <v>137.54712825167016</v>
      </c>
      <c r="BU109" s="226">
        <f t="shared" si="731"/>
        <v>0.46946124026830205</v>
      </c>
      <c r="BV109" s="43">
        <f t="shared" si="732"/>
        <v>3.6275524444572049</v>
      </c>
      <c r="BW109" s="621"/>
      <c r="BX109" s="621"/>
      <c r="BY109"/>
      <c r="BZ109"/>
      <c r="CA109"/>
      <c r="CB109"/>
      <c r="CC109"/>
      <c r="CD109"/>
    </row>
    <row r="110" spans="2:82" s="616" customFormat="1" ht="12.75" customHeight="1" x14ac:dyDescent="0.2">
      <c r="B110" s="74" t="s">
        <v>484</v>
      </c>
      <c r="C110" s="695">
        <f>C109+C108+C106+C107</f>
        <v>485.5</v>
      </c>
      <c r="D110" s="705" t="str">
        <f>IF(ISERROR(C110/#REF!),"NA",IF(OR(C110/#REF!&gt;2,C110/#REF!&lt;0.5),"NM",C110/#REF!*100-100))</f>
        <v>NA</v>
      </c>
      <c r="E110" s="695">
        <f t="shared" ref="E110:M110" si="736">E109+E108+E106+E107</f>
        <v>506.5</v>
      </c>
      <c r="F110" s="705" t="str">
        <f>IF(ISERROR(E110/#REF!),"NA",IF(OR(E110/#REF!&gt;2,E110/#REF!&lt;0.5),"NM",E110/#REF!*100-100))</f>
        <v>NA</v>
      </c>
      <c r="G110" s="695">
        <f t="shared" si="736"/>
        <v>479.5</v>
      </c>
      <c r="H110" s="705" t="str">
        <f>IF(ISERROR(G110/#REF!),"NA",IF(OR(G110/#REF!&gt;2,G110/#REF!&lt;0.5),"NM",G110/#REF!*100-100))</f>
        <v>NA</v>
      </c>
      <c r="I110" s="695">
        <f t="shared" si="736"/>
        <v>793.69999999999993</v>
      </c>
      <c r="J110" s="9" t="str">
        <f>IF(ISERROR(I110/#REF!),"NA",IF(OR(I110/#REF!&gt;2,I110/#REF!&lt;0.5),"NM",I110/#REF!*100-100))</f>
        <v>NA</v>
      </c>
      <c r="K110" s="695">
        <f t="shared" si="736"/>
        <v>577.59999999999991</v>
      </c>
      <c r="L110" s="9">
        <f t="shared" si="710"/>
        <v>18.970133882595249</v>
      </c>
      <c r="M110" s="695">
        <f t="shared" si="736"/>
        <v>567</v>
      </c>
      <c r="N110" s="9">
        <f t="shared" si="711"/>
        <v>11.944718657453109</v>
      </c>
      <c r="O110" s="695">
        <f>O109+O108+O106+O107</f>
        <v>629.29999999999995</v>
      </c>
      <c r="P110" s="9">
        <f t="shared" si="712"/>
        <v>31.24087591240874</v>
      </c>
      <c r="Q110" s="695">
        <f t="shared" ref="Q110" si="737">Q109+Q108+Q106+Q107</f>
        <v>974.19999999999993</v>
      </c>
      <c r="R110" s="9">
        <f t="shared" si="713"/>
        <v>22.741590021418673</v>
      </c>
      <c r="S110" s="695">
        <f>S109+S108+S106+S107</f>
        <v>625.70000000000005</v>
      </c>
      <c r="T110" s="9">
        <f t="shared" si="714"/>
        <v>8.3275623268698382</v>
      </c>
      <c r="U110" s="695">
        <f>U109+U108+U106+U107</f>
        <v>1377.4</v>
      </c>
      <c r="V110" s="9" t="str">
        <f t="shared" si="715"/>
        <v>NM</v>
      </c>
      <c r="W110" s="695">
        <f t="shared" ref="W110:Y110" si="738">W109+W108+W106+W107</f>
        <v>1266.5</v>
      </c>
      <c r="X110" s="9" t="str">
        <f t="shared" si="716"/>
        <v>NM</v>
      </c>
      <c r="Y110" s="695">
        <f t="shared" si="738"/>
        <v>876.69999999999993</v>
      </c>
      <c r="Z110" s="9">
        <f t="shared" si="717"/>
        <v>-10.008211866146581</v>
      </c>
      <c r="AA110" s="695">
        <f t="shared" ref="AA110:AC110" si="739">AA109+AA108+AA106+AA107</f>
        <v>983.30000000000007</v>
      </c>
      <c r="AB110" s="9">
        <f t="shared" si="718"/>
        <v>57.151989771455959</v>
      </c>
      <c r="AC110" s="695">
        <f t="shared" si="739"/>
        <v>975.6</v>
      </c>
      <c r="AD110" s="9">
        <f t="shared" si="719"/>
        <v>-29.170901698852916</v>
      </c>
      <c r="AE110" s="695">
        <f t="shared" ref="AE110:AG110" si="740">AE109+AE108+AE106+AE107</f>
        <v>715.9</v>
      </c>
      <c r="AF110" s="9">
        <f t="shared" si="720"/>
        <v>-43.474141334386104</v>
      </c>
      <c r="AG110" s="695">
        <f t="shared" si="740"/>
        <v>1431.6000000000001</v>
      </c>
      <c r="AH110" s="9">
        <f t="shared" si="721"/>
        <v>63.294171324284264</v>
      </c>
      <c r="AI110" s="695">
        <f t="shared" ref="AI110:AK110" si="741">AI109+AI108+AI106+AI107</f>
        <v>932.69999999999993</v>
      </c>
      <c r="AJ110" s="9">
        <f t="shared" si="722"/>
        <v>-5.1459371504118963</v>
      </c>
      <c r="AK110" s="695">
        <f t="shared" si="741"/>
        <v>1136</v>
      </c>
      <c r="AL110" s="9">
        <f t="shared" si="723"/>
        <v>16.44116441164411</v>
      </c>
      <c r="AM110" s="695">
        <f t="shared" ref="AM110:AO110" si="742">AM109+AM108+AM106+AM107</f>
        <v>1813.3999999999999</v>
      </c>
      <c r="AN110" s="9" t="str">
        <f t="shared" si="724"/>
        <v>NM</v>
      </c>
      <c r="AO110" s="695">
        <f t="shared" si="742"/>
        <v>1089.5000000000002</v>
      </c>
      <c r="AP110" s="9">
        <f t="shared" si="725"/>
        <v>-23.896339759709406</v>
      </c>
      <c r="AQ110" s="695">
        <f t="shared" ref="AQ110:AW110" si="743">AQ106+AQ107+AQ108+AQ109</f>
        <v>1084.7850391104294</v>
      </c>
      <c r="AR110" s="9">
        <f t="shared" si="727"/>
        <v>16.305890330270117</v>
      </c>
      <c r="AS110" s="695">
        <f t="shared" si="743"/>
        <v>1103.2811862576687</v>
      </c>
      <c r="AT110" s="9">
        <f t="shared" si="728"/>
        <v>-2.8801772660502962</v>
      </c>
      <c r="AU110" s="695">
        <f t="shared" si="743"/>
        <v>1116.353672961963</v>
      </c>
      <c r="AV110" s="9">
        <f t="shared" si="729"/>
        <v>-38.43864161453827</v>
      </c>
      <c r="AW110" s="695">
        <f t="shared" si="743"/>
        <v>1129.1647099321715</v>
      </c>
      <c r="AX110" s="9">
        <f t="shared" si="730"/>
        <v>3.6406342296623393</v>
      </c>
      <c r="AY110" s="356"/>
      <c r="AZ110" s="618"/>
      <c r="BA110" s="620"/>
      <c r="BB110" s="81">
        <f>BB106+BB107+BB108+BB109</f>
        <v>2265.2000000000003</v>
      </c>
      <c r="BC110" s="226" t="str">
        <f>IF(ISERROR(BB110/#REF!),"NA",IF(OR(BB110/#REF!&gt;2,BB110/#REF!&lt;0.5),"NM",BB110/#REF!*100-100))</f>
        <v>NA</v>
      </c>
      <c r="BD110" s="913">
        <f>BD106+BD107+BD108+BD109</f>
        <v>2748.1000000000004</v>
      </c>
      <c r="BE110" s="226">
        <f t="shared" si="687"/>
        <v>21.318205897933964</v>
      </c>
      <c r="BF110" s="81">
        <f>BF106+BF107+BF108+BF109</f>
        <v>4146.3</v>
      </c>
      <c r="BG110" s="226">
        <f t="shared" si="687"/>
        <v>50.878788981478095</v>
      </c>
      <c r="BH110" s="81">
        <f>BH106+BH107+BH108+BH109</f>
        <v>4106.3999999999996</v>
      </c>
      <c r="BI110" s="226">
        <f t="shared" si="687"/>
        <v>-0.96230374068447588</v>
      </c>
      <c r="BJ110" s="81">
        <f>BJ106+BJ107+BJ108+BJ109</f>
        <v>4971.6000000000004</v>
      </c>
      <c r="BK110" s="226">
        <f t="shared" si="687"/>
        <v>21.069549970777345</v>
      </c>
      <c r="BL110" s="81">
        <f>BL106+BL107+BL108+BL109</f>
        <v>4433.5846082622329</v>
      </c>
      <c r="BM110" s="226">
        <f t="shared" si="687"/>
        <v>-10.821775519707288</v>
      </c>
      <c r="BN110" s="81">
        <f t="shared" ref="BN110:BP110" si="744">BN106+BN107+BN108+BN109</f>
        <v>4643.8607922996725</v>
      </c>
      <c r="BO110" s="226">
        <f t="shared" si="687"/>
        <v>4.7428030051705434</v>
      </c>
      <c r="BP110" s="81">
        <f t="shared" si="744"/>
        <v>4840.5474361184752</v>
      </c>
      <c r="BQ110" s="226">
        <f t="shared" si="687"/>
        <v>4.2354121412283376</v>
      </c>
      <c r="BR110" s="81">
        <f t="shared" ref="BR110:BT110" si="745">BR106+BR107+BR108+BR109</f>
        <v>5037.1569129099134</v>
      </c>
      <c r="BS110" s="226">
        <f t="shared" si="687"/>
        <v>4.0617198650798656</v>
      </c>
      <c r="BT110" s="81">
        <f t="shared" si="745"/>
        <v>5234.153468979307</v>
      </c>
      <c r="BU110" s="226">
        <f t="shared" si="731"/>
        <v>3.9108679653100324</v>
      </c>
      <c r="BV110" s="43">
        <f t="shared" si="732"/>
        <v>1.0345832910842123</v>
      </c>
      <c r="BW110" s="621"/>
      <c r="BX110" s="621"/>
      <c r="BY110"/>
      <c r="BZ110"/>
      <c r="CA110"/>
      <c r="CB110"/>
      <c r="CC110"/>
      <c r="CD110"/>
    </row>
    <row r="111" spans="2:82" s="616" customFormat="1" ht="12.75" customHeight="1" x14ac:dyDescent="0.2">
      <c r="B111" s="622" t="s">
        <v>485</v>
      </c>
      <c r="C111" s="81">
        <f>+C103-C110</f>
        <v>76.700000000000045</v>
      </c>
      <c r="D111" s="753" t="str">
        <f>IF(ISERROR(C111/#REF!),"NA",IF(OR(C111/#REF!&gt;2,C111/#REF!&lt;0.5),"NM",C111/#REF!*100-100))</f>
        <v>NA</v>
      </c>
      <c r="E111" s="81">
        <f t="shared" ref="E111:M111" si="746">+E103-E110</f>
        <v>76.700000000000045</v>
      </c>
      <c r="F111" s="705" t="str">
        <f>IF(ISERROR(E111/#REF!),"NA",IF(OR(E111/#REF!&gt;2,E111/#REF!&lt;0.5),"NM",E111/#REF!*100-100))</f>
        <v>NA</v>
      </c>
      <c r="G111" s="81">
        <f t="shared" si="746"/>
        <v>80.200000000000045</v>
      </c>
      <c r="H111" s="705" t="str">
        <f>IF(ISERROR(G111/#REF!),"NA",IF(OR(G111/#REF!&gt;2,G111/#REF!&lt;0.5),"NM",G111/#REF!*100-100))</f>
        <v>NA</v>
      </c>
      <c r="I111" s="81">
        <f t="shared" si="746"/>
        <v>67.899999999999977</v>
      </c>
      <c r="J111" s="9" t="str">
        <f>IF(ISERROR(I111/#REF!),"NA",IF(OR(I111/#REF!&gt;2,I111/#REF!&lt;0.5),"NM",I111/#REF!*100-100))</f>
        <v>NA</v>
      </c>
      <c r="K111" s="81">
        <f t="shared" si="746"/>
        <v>76.900000000000091</v>
      </c>
      <c r="L111" s="9">
        <f t="shared" si="710"/>
        <v>0.26075619295964714</v>
      </c>
      <c r="M111" s="81">
        <f t="shared" si="746"/>
        <v>74</v>
      </c>
      <c r="N111" s="9">
        <f t="shared" si="711"/>
        <v>-3.5202086049544192</v>
      </c>
      <c r="O111" s="81">
        <f>+O103-O110</f>
        <v>62.100000000000136</v>
      </c>
      <c r="P111" s="9">
        <f t="shared" si="712"/>
        <v>-22.568578553615836</v>
      </c>
      <c r="Q111" s="81">
        <f>+Q103-Q110</f>
        <v>59.700000000000159</v>
      </c>
      <c r="R111" s="9">
        <f t="shared" si="713"/>
        <v>-12.076583210603559</v>
      </c>
      <c r="S111" s="81">
        <f>+S103-S110</f>
        <v>61.099999999999909</v>
      </c>
      <c r="T111" s="9">
        <f t="shared" si="714"/>
        <v>-20.546163849154965</v>
      </c>
      <c r="U111" s="81">
        <f>+U103-U110</f>
        <v>73.5</v>
      </c>
      <c r="V111" s="9">
        <f t="shared" si="715"/>
        <v>-0.67567567567567721</v>
      </c>
      <c r="W111" s="81">
        <f t="shared" ref="W111:Y111" si="747">+W103-W110</f>
        <v>49.900000000000091</v>
      </c>
      <c r="X111" s="9">
        <f t="shared" si="716"/>
        <v>-19.645732689210988</v>
      </c>
      <c r="Y111" s="81">
        <f t="shared" si="747"/>
        <v>62.100000000000023</v>
      </c>
      <c r="Z111" s="9">
        <f t="shared" si="717"/>
        <v>4.0201005025123209</v>
      </c>
      <c r="AA111" s="81">
        <f t="shared" ref="AA111:AC111" si="748">+AA103-AA110</f>
        <v>67.399999999999977</v>
      </c>
      <c r="AB111" s="9">
        <f t="shared" si="718"/>
        <v>10.310965630114694</v>
      </c>
      <c r="AC111" s="81">
        <f t="shared" si="748"/>
        <v>70.199999999999932</v>
      </c>
      <c r="AD111" s="9">
        <f t="shared" si="719"/>
        <v>-4.4897959183674487</v>
      </c>
      <c r="AE111" s="81">
        <f t="shared" ref="AE111:AG111" si="749">+AE103-AE110</f>
        <v>76</v>
      </c>
      <c r="AF111" s="9">
        <f t="shared" si="720"/>
        <v>52.30460921843661</v>
      </c>
      <c r="AG111" s="81">
        <f t="shared" si="749"/>
        <v>87.499999999999773</v>
      </c>
      <c r="AH111" s="9">
        <f t="shared" si="721"/>
        <v>40.901771336553537</v>
      </c>
      <c r="AI111" s="81">
        <f t="shared" ref="AI111:AK111" si="750">+AI103-AI110</f>
        <v>99.500000000000114</v>
      </c>
      <c r="AJ111" s="9">
        <f t="shared" si="722"/>
        <v>47.626112759644144</v>
      </c>
      <c r="AK111" s="81">
        <f t="shared" si="750"/>
        <v>96.300000000000182</v>
      </c>
      <c r="AL111" s="9">
        <f t="shared" si="723"/>
        <v>37.17948717948758</v>
      </c>
      <c r="AM111" s="81">
        <f t="shared" ref="AM111:AO111" si="751">+AM103-AM110</f>
        <v>102.10000000000014</v>
      </c>
      <c r="AN111" s="9">
        <f t="shared" si="724"/>
        <v>34.342105263158089</v>
      </c>
      <c r="AO111" s="81">
        <f t="shared" si="751"/>
        <v>75.099999999999682</v>
      </c>
      <c r="AP111" s="9">
        <f t="shared" si="725"/>
        <v>-14.171428571428706</v>
      </c>
      <c r="AQ111" s="81">
        <f t="shared" ref="AQ111:AW111" si="752">+AQ103-AQ110</f>
        <v>89.527146472392815</v>
      </c>
      <c r="AR111" s="9">
        <f t="shared" si="727"/>
        <v>-10.02296836945456</v>
      </c>
      <c r="AS111" s="81">
        <f t="shared" si="752"/>
        <v>85.40283843558268</v>
      </c>
      <c r="AT111" s="9">
        <f t="shared" si="728"/>
        <v>-11.315847938128215</v>
      </c>
      <c r="AU111" s="81">
        <f t="shared" si="752"/>
        <v>86.414754059509278</v>
      </c>
      <c r="AV111" s="9">
        <f t="shared" si="729"/>
        <v>-15.362630695877414</v>
      </c>
      <c r="AW111" s="81">
        <f t="shared" si="752"/>
        <v>85.269450972957202</v>
      </c>
      <c r="AX111" s="9">
        <f t="shared" si="730"/>
        <v>13.541213013259082</v>
      </c>
      <c r="AY111" s="356"/>
      <c r="AZ111" s="618"/>
      <c r="BA111" s="620"/>
      <c r="BB111" s="81">
        <f>BB103-BB110</f>
        <v>301.49999999999955</v>
      </c>
      <c r="BC111" s="226" t="str">
        <f>IF(ISERROR(BB111/#REF!),"NA",IF(OR(BB111/#REF!&gt;2,BB111/#REF!&lt;0.5),"NM",BB111/#REF!*100-100))</f>
        <v>NA</v>
      </c>
      <c r="BD111" s="913">
        <f>BD103-BD110</f>
        <v>272.69999999999982</v>
      </c>
      <c r="BE111" s="226">
        <f t="shared" si="687"/>
        <v>-9.5522388059700631</v>
      </c>
      <c r="BF111" s="81">
        <f>BF103-BF110</f>
        <v>246.59999999999945</v>
      </c>
      <c r="BG111" s="226">
        <f t="shared" si="687"/>
        <v>-9.5709570957097156</v>
      </c>
      <c r="BH111" s="81">
        <f>BH103-BH110</f>
        <v>301.10000000000036</v>
      </c>
      <c r="BI111" s="226">
        <f t="shared" si="687"/>
        <v>22.100567721006101</v>
      </c>
      <c r="BJ111" s="81">
        <f>BJ103-BJ110</f>
        <v>373</v>
      </c>
      <c r="BK111" s="226">
        <f t="shared" si="687"/>
        <v>23.879109930255566</v>
      </c>
      <c r="BL111" s="81">
        <f>BL103-BL110</f>
        <v>346.61418994044107</v>
      </c>
      <c r="BM111" s="226">
        <f t="shared" si="687"/>
        <v>-7.0739437156994427</v>
      </c>
      <c r="BN111" s="81">
        <f t="shared" ref="BN111" si="753">BN103-BN110</f>
        <v>358.31452402740069</v>
      </c>
      <c r="BO111" s="226">
        <f t="shared" si="687"/>
        <v>3.3756073543815575</v>
      </c>
      <c r="BP111" s="81">
        <f t="shared" ref="BP111:BR111" si="754">BP103-BP110</f>
        <v>378.78907885412536</v>
      </c>
      <c r="BQ111" s="226">
        <f t="shared" si="687"/>
        <v>5.7141291948185113</v>
      </c>
      <c r="BR111" s="81">
        <f t="shared" si="754"/>
        <v>399.70905001593383</v>
      </c>
      <c r="BS111" s="226">
        <f t="shared" si="687"/>
        <v>5.5228548893472578</v>
      </c>
      <c r="BT111" s="81">
        <f t="shared" ref="BT111" si="755">BT103-BT110</f>
        <v>421.11411200071416</v>
      </c>
      <c r="BU111" s="226">
        <f t="shared" si="731"/>
        <v>5.3551607060002766</v>
      </c>
      <c r="BV111" s="43">
        <f t="shared" si="732"/>
        <v>2.4561878330790599</v>
      </c>
      <c r="BW111" s="621"/>
      <c r="BX111" s="621"/>
      <c r="BY111"/>
      <c r="BZ111"/>
      <c r="CA111"/>
      <c r="CB111"/>
      <c r="CC111"/>
      <c r="CD111"/>
    </row>
    <row r="112" spans="2:82" s="616" customFormat="1" ht="12.75" customHeight="1" x14ac:dyDescent="0.2">
      <c r="B112" s="67"/>
      <c r="C112" s="15"/>
      <c r="D112" s="40"/>
      <c r="E112" s="15"/>
      <c r="F112" s="623"/>
      <c r="G112" s="15"/>
      <c r="H112" s="623"/>
      <c r="I112" s="15"/>
      <c r="J112" s="623"/>
      <c r="K112" s="15"/>
      <c r="L112" s="623"/>
      <c r="M112" s="15"/>
      <c r="N112" s="620"/>
      <c r="O112" s="695"/>
      <c r="P112" s="9"/>
      <c r="Q112" s="695"/>
      <c r="R112" s="9"/>
      <c r="S112" s="695"/>
      <c r="T112" s="9"/>
      <c r="U112" s="695"/>
      <c r="V112" s="9"/>
      <c r="W112" s="695"/>
      <c r="X112" s="9"/>
      <c r="Y112" s="695"/>
      <c r="Z112" s="9"/>
      <c r="AA112" s="695"/>
      <c r="AB112" s="9"/>
      <c r="AC112" s="695"/>
      <c r="AD112" s="9"/>
      <c r="AE112" s="695"/>
      <c r="AF112" s="9"/>
      <c r="AG112" s="695"/>
      <c r="AH112" s="620"/>
      <c r="AI112" s="695"/>
      <c r="AJ112" s="620"/>
      <c r="AK112" s="695"/>
      <c r="AL112" s="620"/>
      <c r="AM112" s="695"/>
      <c r="AN112" s="620"/>
      <c r="AO112" s="695"/>
      <c r="AP112" s="620"/>
      <c r="AQ112" s="695"/>
      <c r="AR112" s="620"/>
      <c r="AS112" s="695"/>
      <c r="AT112" s="620"/>
      <c r="AU112" s="695"/>
      <c r="AV112" s="620"/>
      <c r="AW112" s="695"/>
      <c r="AX112" s="620"/>
      <c r="AY112" s="356"/>
      <c r="AZ112" s="618"/>
      <c r="BA112" s="620"/>
      <c r="BB112" s="55"/>
      <c r="BC112" s="55"/>
      <c r="BD112" s="908"/>
      <c r="BE112" s="55"/>
      <c r="BF112" s="55"/>
      <c r="BG112" s="626"/>
      <c r="BH112" s="55"/>
      <c r="BI112" s="626"/>
      <c r="BJ112" s="55"/>
      <c r="BK112" s="626"/>
      <c r="BL112" s="55"/>
      <c r="BM112" s="626"/>
      <c r="BN112" s="55"/>
      <c r="BO112" s="626"/>
      <c r="BP112" s="55"/>
      <c r="BQ112" s="623"/>
      <c r="BR112" s="55"/>
      <c r="BS112" s="623"/>
      <c r="BT112" s="55"/>
      <c r="BU112" s="623"/>
      <c r="BV112" s="43"/>
      <c r="BW112" s="621"/>
      <c r="BX112" s="621"/>
      <c r="BY112"/>
      <c r="BZ112"/>
      <c r="CA112"/>
      <c r="CB112"/>
      <c r="CC112"/>
      <c r="CD112"/>
    </row>
    <row r="113" spans="2:82" s="616" customFormat="1" ht="12.75" customHeight="1" x14ac:dyDescent="0.2">
      <c r="B113" s="62" t="s">
        <v>59</v>
      </c>
      <c r="C113" s="70">
        <v>0</v>
      </c>
      <c r="D113" s="753" t="str">
        <f>IF(ISERROR(C113/#REF!),"NA",IF(OR(C113/#REF!&gt;2,C113/#REF!&lt;0.5),"NM",C113/#REF!*100-100))</f>
        <v>NA</v>
      </c>
      <c r="E113" s="70">
        <v>0</v>
      </c>
      <c r="F113" s="705" t="str">
        <f>IF(ISERROR(E113/#REF!),"NA",IF(OR(E113/#REF!&gt;2,E113/#REF!&lt;0.5),"NM",E113/#REF!*100-100))</f>
        <v>NA</v>
      </c>
      <c r="G113" s="70">
        <v>0</v>
      </c>
      <c r="H113" s="705" t="str">
        <f>IF(ISERROR(G113/#REF!),"NA",IF(OR(G113/#REF!&gt;2,G113/#REF!&lt;0.5),"NM",G113/#REF!*100-100))</f>
        <v>NA</v>
      </c>
      <c r="I113" s="70">
        <v>0</v>
      </c>
      <c r="J113" s="9" t="str">
        <f>IF(ISERROR(I113/#REF!),"NA",IF(OR(I113/#REF!&gt;2,I113/#REF!&lt;0.5),"NM",I113/#REF!*100-100))</f>
        <v>NA</v>
      </c>
      <c r="K113" s="70">
        <f>6/0.65</f>
        <v>9.2307692307692299</v>
      </c>
      <c r="L113" s="9" t="str">
        <f t="shared" ref="L113:L114" si="756">IF(ISERROR(K113/C113),"NA",IF(OR(K113/C113&gt;2,K113/C113&lt;0.5),"NM",K113/C113*100-100))</f>
        <v>NA</v>
      </c>
      <c r="M113" s="70">
        <f>3/0.65</f>
        <v>4.615384615384615</v>
      </c>
      <c r="N113" s="9" t="str">
        <f t="shared" ref="N113:N114" si="757">IF(ISERROR(M113/E113),"NA",IF(OR(M113/E113&gt;2,M113/E113&lt;0.5),"NM",M113/E113*100-100))</f>
        <v>NA</v>
      </c>
      <c r="O113" s="70">
        <v>0</v>
      </c>
      <c r="P113" s="9" t="str">
        <f t="shared" si="712"/>
        <v>NA</v>
      </c>
      <c r="Q113" s="70">
        <v>0</v>
      </c>
      <c r="R113" s="9" t="str">
        <f t="shared" si="713"/>
        <v>NA</v>
      </c>
      <c r="S113" s="70">
        <f>3/0.65</f>
        <v>4.615384615384615</v>
      </c>
      <c r="T113" s="9">
        <f t="shared" si="714"/>
        <v>-50</v>
      </c>
      <c r="U113" s="70">
        <v>0</v>
      </c>
      <c r="V113" s="9" t="str">
        <f t="shared" si="715"/>
        <v>NM</v>
      </c>
      <c r="W113" s="70">
        <f>(4.9-12)/0.65</f>
        <v>-10.923076923076922</v>
      </c>
      <c r="X113" s="9" t="str">
        <f t="shared" si="716"/>
        <v>NA</v>
      </c>
      <c r="Y113" s="70">
        <v>0</v>
      </c>
      <c r="Z113" s="9" t="str">
        <f t="shared" si="717"/>
        <v>NA</v>
      </c>
      <c r="AA113" s="70">
        <v>0</v>
      </c>
      <c r="AB113" s="9" t="str">
        <f t="shared" si="718"/>
        <v>NM</v>
      </c>
      <c r="AC113" s="70">
        <v>0</v>
      </c>
      <c r="AD113" s="9" t="str">
        <f t="shared" si="719"/>
        <v>NA</v>
      </c>
      <c r="AE113" s="70">
        <v>9.6</v>
      </c>
      <c r="AF113" s="9" t="str">
        <f t="shared" si="720"/>
        <v>NM</v>
      </c>
      <c r="AG113" s="70">
        <v>12</v>
      </c>
      <c r="AH113" s="9" t="str">
        <f t="shared" si="721"/>
        <v>NA</v>
      </c>
      <c r="AI113" s="70">
        <v>5</v>
      </c>
      <c r="AJ113" s="9" t="str">
        <f t="shared" ref="AJ113:AJ114" si="758">IF(ISERROR(AI113/AA113),"NA",IF(OR(AI113/AA113&gt;2,AI113/AA113&lt;0.5),"NM",AI113/AA113*100-100))</f>
        <v>NA</v>
      </c>
      <c r="AK113" s="70">
        <v>7</v>
      </c>
      <c r="AL113" s="9" t="str">
        <f t="shared" ref="AL113:AL114" si="759">IF(ISERROR(AK113/AC113),"NA",IF(OR(AK113/AC113&gt;2,AK113/AC113&lt;0.5),"NM",AK113/AC113*100-100))</f>
        <v>NA</v>
      </c>
      <c r="AM113" s="70">
        <v>19</v>
      </c>
      <c r="AN113" s="9">
        <f t="shared" ref="AN113:AN114" si="760">IF(ISERROR(AM113/AE113),"NA",IF(OR(AM113/AE113&gt;2,AM113/AE113&lt;0.5),"NM",AM113/AE113*100-100))</f>
        <v>97.916666666666686</v>
      </c>
      <c r="AO113" s="70">
        <v>0</v>
      </c>
      <c r="AP113" s="9" t="str">
        <f t="shared" ref="AP113:AP114" si="761">IF(ISERROR(AO113/AG113),"NA",IF(OR(AO113/AG113&gt;2,AO113/AG113&lt;0.5),"NM",AO113/AG113*100-100))</f>
        <v>NM</v>
      </c>
      <c r="AQ113" s="70">
        <v>0</v>
      </c>
      <c r="AR113" s="9" t="str">
        <f t="shared" ref="AR113:AR114" si="762">IF(ISERROR(AQ113/AI113),"NA",IF(OR(AQ113/AI113&gt;2,AQ113/AI113&lt;0.5),"NM",AQ113/AI113*100-100))</f>
        <v>NM</v>
      </c>
      <c r="AS113" s="70">
        <v>0</v>
      </c>
      <c r="AT113" s="9" t="str">
        <f t="shared" ref="AT113:AT114" si="763">IF(ISERROR(AS113/AK113),"NA",IF(OR(AS113/AK113&gt;2,AS113/AK113&lt;0.5),"NM",AS113/AK113*100-100))</f>
        <v>NM</v>
      </c>
      <c r="AU113" s="70">
        <v>0</v>
      </c>
      <c r="AV113" s="9" t="str">
        <f t="shared" ref="AV113:AV114" si="764">IF(ISERROR(AU113/AM113),"NA",IF(OR(AU113/AM113&gt;2,AU113/AM113&lt;0.5),"NM",AU113/AM113*100-100))</f>
        <v>NM</v>
      </c>
      <c r="AW113" s="70">
        <v>0</v>
      </c>
      <c r="AX113" s="9" t="str">
        <f t="shared" ref="AX113:AX114" si="765">IF(ISERROR(AW113/AO113),"NA",IF(OR(AW113/AO113&gt;2,AW113/AO113&lt;0.5),"NM",AW113/AO113*100-100))</f>
        <v>NA</v>
      </c>
      <c r="AY113" s="356"/>
      <c r="AZ113" s="618"/>
      <c r="BA113" s="620"/>
      <c r="BB113" s="55">
        <f>C113+E113+G113+I113</f>
        <v>0</v>
      </c>
      <c r="BC113" s="226" t="str">
        <f>IF(ISERROR(BB113/#REF!),"NA",IF(OR(BB113/#REF!&gt;2,BB113/#REF!&lt;0.5),"NM",BB113/#REF!*100-100))</f>
        <v>NA</v>
      </c>
      <c r="BD113" s="908">
        <f>K113+M113+O113+Q113</f>
        <v>13.846153846153845</v>
      </c>
      <c r="BE113" s="226" t="str">
        <f t="shared" si="687"/>
        <v>NA</v>
      </c>
      <c r="BF113" s="55">
        <f>S113+U113+W113+Y113</f>
        <v>-6.3076923076923066</v>
      </c>
      <c r="BG113" s="226" t="str">
        <f t="shared" si="687"/>
        <v>NM</v>
      </c>
      <c r="BH113" s="55">
        <f>AA113+AC113+AE113+AG113</f>
        <v>21.6</v>
      </c>
      <c r="BI113" s="226" t="str">
        <f t="shared" si="687"/>
        <v>NM</v>
      </c>
      <c r="BJ113" s="55">
        <f>AI113+AK113+AM113+AO113</f>
        <v>31</v>
      </c>
      <c r="BK113" s="226">
        <f t="shared" si="687"/>
        <v>43.518518518518505</v>
      </c>
      <c r="BL113" s="55">
        <f>AQ113+AS113+AU113+AW113</f>
        <v>0</v>
      </c>
      <c r="BM113" s="226" t="str">
        <f t="shared" si="687"/>
        <v>NM</v>
      </c>
      <c r="BN113" s="665">
        <f>BL113</f>
        <v>0</v>
      </c>
      <c r="BO113" s="226" t="str">
        <f t="shared" si="687"/>
        <v>NA</v>
      </c>
      <c r="BP113" s="665">
        <f>BN113</f>
        <v>0</v>
      </c>
      <c r="BQ113" s="226" t="str">
        <f t="shared" si="687"/>
        <v>NA</v>
      </c>
      <c r="BR113" s="665">
        <f>BP113</f>
        <v>0</v>
      </c>
      <c r="BS113" s="226" t="str">
        <f t="shared" si="687"/>
        <v>NA</v>
      </c>
      <c r="BT113" s="665">
        <f>BR113</f>
        <v>0</v>
      </c>
      <c r="BU113" s="226" t="str">
        <f t="shared" ref="BU113:BU114" si="766">IF(ISERROR(BT113/BR113),"NA",IF(OR(BT113/BR113&gt;2,BT113/BR113&lt;0.5),"NM",BT113/BR113*100-100))</f>
        <v>NA</v>
      </c>
      <c r="BV113" s="43" t="str">
        <f>IF(ISERROR(((BT113/BJ113)^0.2-1)*100),"NA",IF((((BT113/BJ113)^0.2-1)*100)&gt;100,"NM",IF((((BT113/BJ113)^0.2-1)*100)&lt;-50,"NM",((BT113/BJ113)^0.2-1)*100)))</f>
        <v>NM</v>
      </c>
      <c r="BW113" s="621"/>
      <c r="BX113" s="621"/>
      <c r="BY113"/>
      <c r="BZ113"/>
      <c r="CA113"/>
      <c r="CB113"/>
      <c r="CC113"/>
      <c r="CD113"/>
    </row>
    <row r="114" spans="2:82" s="616" customFormat="1" ht="12.75" customHeight="1" x14ac:dyDescent="0.2">
      <c r="B114" s="67" t="s">
        <v>466</v>
      </c>
      <c r="C114" s="79">
        <f>C111-C113</f>
        <v>76.700000000000045</v>
      </c>
      <c r="D114" s="39" t="str">
        <f>IF(ISERROR(C114/#REF!),"NA",IF(OR(C114/#REF!&gt;2,C114/#REF!&lt;0.5),"NM",C114/#REF!*100-100))</f>
        <v>NA</v>
      </c>
      <c r="E114" s="79">
        <f t="shared" ref="E114:M114" si="767">E111-E113</f>
        <v>76.700000000000045</v>
      </c>
      <c r="F114" s="705" t="str">
        <f>IF(ISERROR(E114/#REF!),"NA",IF(OR(E114/#REF!&gt;2,E114/#REF!&lt;0.5),"NM",E114/#REF!*100-100))</f>
        <v>NA</v>
      </c>
      <c r="G114" s="79">
        <f t="shared" si="767"/>
        <v>80.200000000000045</v>
      </c>
      <c r="H114" s="705" t="str">
        <f>IF(ISERROR(G114/#REF!),"NA",IF(OR(G114/#REF!&gt;2,G114/#REF!&lt;0.5),"NM",G114/#REF!*100-100))</f>
        <v>NA</v>
      </c>
      <c r="I114" s="79">
        <f t="shared" si="767"/>
        <v>67.899999999999977</v>
      </c>
      <c r="J114" s="9" t="str">
        <f>IF(ISERROR(I114/#REF!),"NA",IF(OR(I114/#REF!&gt;2,I114/#REF!&lt;0.5),"NM",I114/#REF!*100-100))</f>
        <v>NA</v>
      </c>
      <c r="K114" s="79">
        <f t="shared" si="767"/>
        <v>67.669230769230865</v>
      </c>
      <c r="L114" s="9">
        <f t="shared" si="756"/>
        <v>-11.774145020559544</v>
      </c>
      <c r="M114" s="79">
        <f t="shared" si="767"/>
        <v>69.384615384615387</v>
      </c>
      <c r="N114" s="9">
        <f t="shared" si="757"/>
        <v>-9.5376592117140291</v>
      </c>
      <c r="O114" s="695">
        <f>O111-O113</f>
        <v>62.100000000000136</v>
      </c>
      <c r="P114" s="9">
        <f t="shared" si="712"/>
        <v>-22.568578553615836</v>
      </c>
      <c r="Q114" s="695">
        <f t="shared" ref="Q114:S114" si="768">Q111-Q113</f>
        <v>59.700000000000159</v>
      </c>
      <c r="R114" s="9">
        <f t="shared" si="713"/>
        <v>-12.076583210603559</v>
      </c>
      <c r="S114" s="695">
        <f t="shared" si="768"/>
        <v>56.484615384615296</v>
      </c>
      <c r="T114" s="9">
        <f t="shared" si="714"/>
        <v>-16.528361941571234</v>
      </c>
      <c r="U114" s="695">
        <f>U111-U113</f>
        <v>73.5</v>
      </c>
      <c r="V114" s="9">
        <f t="shared" si="715"/>
        <v>5.9312638580931321</v>
      </c>
      <c r="W114" s="695">
        <f t="shared" ref="W114:Y114" si="769">W111-W113</f>
        <v>60.823076923077011</v>
      </c>
      <c r="X114" s="9">
        <f t="shared" si="716"/>
        <v>-2.0562368388456065</v>
      </c>
      <c r="Y114" s="695">
        <f t="shared" si="769"/>
        <v>62.100000000000023</v>
      </c>
      <c r="Z114" s="9">
        <f t="shared" si="717"/>
        <v>4.0201005025123209</v>
      </c>
      <c r="AA114" s="695">
        <f t="shared" ref="AA114:AC114" si="770">AA111-AA113</f>
        <v>67.399999999999977</v>
      </c>
      <c r="AB114" s="9">
        <f t="shared" si="718"/>
        <v>19.324526760179907</v>
      </c>
      <c r="AC114" s="695">
        <f t="shared" si="770"/>
        <v>70.199999999999932</v>
      </c>
      <c r="AD114" s="9">
        <f t="shared" si="719"/>
        <v>-4.4897959183674487</v>
      </c>
      <c r="AE114" s="695">
        <f t="shared" ref="AE114:AG114" si="771">AE111-AE113</f>
        <v>66.400000000000006</v>
      </c>
      <c r="AF114" s="9">
        <f t="shared" si="720"/>
        <v>9.1690906791449152</v>
      </c>
      <c r="AG114" s="695">
        <f t="shared" si="771"/>
        <v>75.499999999999773</v>
      </c>
      <c r="AH114" s="9">
        <f t="shared" si="721"/>
        <v>21.578099838968996</v>
      </c>
      <c r="AI114" s="695">
        <f t="shared" ref="AI114:AK114" si="772">AI111-AI113</f>
        <v>94.500000000000114</v>
      </c>
      <c r="AJ114" s="9">
        <f t="shared" si="758"/>
        <v>40.207715133531366</v>
      </c>
      <c r="AK114" s="695">
        <f t="shared" si="772"/>
        <v>89.300000000000182</v>
      </c>
      <c r="AL114" s="9">
        <f t="shared" si="759"/>
        <v>27.207977207977592</v>
      </c>
      <c r="AM114" s="695">
        <f t="shared" ref="AM114:AO114" si="773">AM111-AM113</f>
        <v>83.100000000000136</v>
      </c>
      <c r="AN114" s="9">
        <f t="shared" si="760"/>
        <v>25.150602409638751</v>
      </c>
      <c r="AO114" s="695">
        <f t="shared" si="773"/>
        <v>75.099999999999682</v>
      </c>
      <c r="AP114" s="9">
        <f t="shared" si="761"/>
        <v>-0.52980132450343831</v>
      </c>
      <c r="AQ114" s="695">
        <f t="shared" ref="AQ114:AW114" si="774">AQ111-AQ113</f>
        <v>89.527146472392815</v>
      </c>
      <c r="AR114" s="9">
        <f t="shared" si="762"/>
        <v>-5.2622788651929113</v>
      </c>
      <c r="AS114" s="695">
        <f t="shared" si="774"/>
        <v>85.40283843558268</v>
      </c>
      <c r="AT114" s="9">
        <f t="shared" si="763"/>
        <v>-4.3641226925167871</v>
      </c>
      <c r="AU114" s="695">
        <f t="shared" si="774"/>
        <v>86.414754059509278</v>
      </c>
      <c r="AV114" s="9">
        <f t="shared" si="764"/>
        <v>3.9888737178208657</v>
      </c>
      <c r="AW114" s="695">
        <f t="shared" si="774"/>
        <v>85.269450972957202</v>
      </c>
      <c r="AX114" s="9">
        <f t="shared" si="765"/>
        <v>13.541213013259082</v>
      </c>
      <c r="AY114" s="356"/>
      <c r="AZ114" s="618"/>
      <c r="BA114" s="620"/>
      <c r="BB114" s="81">
        <f>BB111-BB113</f>
        <v>301.49999999999955</v>
      </c>
      <c r="BC114" s="226" t="str">
        <f>IF(ISERROR(BB114/#REF!),"NA",IF(OR(BB114/#REF!&gt;2,BB114/#REF!&lt;0.5),"NM",BB114/#REF!*100-100))</f>
        <v>NA</v>
      </c>
      <c r="BD114" s="913">
        <f>BD111-BD113</f>
        <v>258.85384615384595</v>
      </c>
      <c r="BE114" s="226">
        <f t="shared" si="687"/>
        <v>-14.144661308840355</v>
      </c>
      <c r="BF114" s="81">
        <f>BF111-BF113</f>
        <v>252.90769230769178</v>
      </c>
      <c r="BG114" s="226">
        <f t="shared" si="687"/>
        <v>-2.2971085554665365</v>
      </c>
      <c r="BH114" s="81">
        <f>BH111-BH113</f>
        <v>279.50000000000034</v>
      </c>
      <c r="BI114" s="226">
        <f t="shared" si="687"/>
        <v>10.514629843664821</v>
      </c>
      <c r="BJ114" s="81">
        <f>BJ111-BJ113</f>
        <v>342</v>
      </c>
      <c r="BK114" s="226">
        <f t="shared" si="687"/>
        <v>22.361359570661747</v>
      </c>
      <c r="BL114" s="81">
        <f>BL111-BL113</f>
        <v>346.61418994044107</v>
      </c>
      <c r="BM114" s="226">
        <f t="shared" si="687"/>
        <v>1.3491783451581938</v>
      </c>
      <c r="BN114" s="81">
        <f t="shared" ref="BN114:BP114" si="775">BN111-BN113</f>
        <v>358.31452402740069</v>
      </c>
      <c r="BO114" s="226">
        <f t="shared" si="687"/>
        <v>3.3756073543815575</v>
      </c>
      <c r="BP114" s="81">
        <f t="shared" si="775"/>
        <v>378.78907885412536</v>
      </c>
      <c r="BQ114" s="226">
        <f t="shared" si="687"/>
        <v>5.7141291948185113</v>
      </c>
      <c r="BR114" s="81">
        <f t="shared" ref="BR114:BT114" si="776">BR111-BR113</f>
        <v>399.70905001593383</v>
      </c>
      <c r="BS114" s="226">
        <f t="shared" si="687"/>
        <v>5.5228548893472578</v>
      </c>
      <c r="BT114" s="81">
        <f t="shared" si="776"/>
        <v>421.11411200071416</v>
      </c>
      <c r="BU114" s="226">
        <f t="shared" si="766"/>
        <v>5.3551607060002766</v>
      </c>
      <c r="BV114" s="43">
        <f>IF(ISERROR(((BT114/BJ114)^0.2-1)*100),"NA",IF((((BT114/BJ114)^0.2-1)*100)&gt;100,"NM",IF((((BT114/BJ114)^0.2-1)*100)&lt;-50,"NM",((BT114/BJ114)^0.2-1)*100)))</f>
        <v>4.2496817527833519</v>
      </c>
      <c r="BW114" s="621"/>
      <c r="BX114" s="621"/>
      <c r="BY114"/>
      <c r="BZ114"/>
      <c r="CA114"/>
      <c r="CB114"/>
      <c r="CC114"/>
      <c r="CD114"/>
    </row>
    <row r="115" spans="2:82" s="616" customFormat="1" ht="12.75" customHeight="1" x14ac:dyDescent="0.2">
      <c r="B115" s="67"/>
      <c r="C115" s="15"/>
      <c r="D115" s="623"/>
      <c r="E115" s="15"/>
      <c r="F115" s="623"/>
      <c r="G115" s="15"/>
      <c r="H115" s="623"/>
      <c r="I115" s="15"/>
      <c r="J115" s="623"/>
      <c r="K115" s="15"/>
      <c r="L115" s="623"/>
      <c r="M115" s="15"/>
      <c r="N115" s="620"/>
      <c r="O115" s="695"/>
      <c r="P115" s="9"/>
      <c r="Q115" s="695"/>
      <c r="R115" s="9"/>
      <c r="S115" s="695"/>
      <c r="T115" s="9"/>
      <c r="U115" s="695"/>
      <c r="V115" s="9"/>
      <c r="W115" s="695"/>
      <c r="X115" s="9"/>
      <c r="Y115" s="695"/>
      <c r="Z115" s="9"/>
      <c r="AA115" s="695"/>
      <c r="AB115" s="9"/>
      <c r="AC115" s="695"/>
      <c r="AD115" s="9"/>
      <c r="AE115" s="695"/>
      <c r="AF115" s="9"/>
      <c r="AG115" s="695"/>
      <c r="AH115" s="620"/>
      <c r="AI115" s="695"/>
      <c r="AJ115" s="620"/>
      <c r="AK115" s="695"/>
      <c r="AL115" s="620"/>
      <c r="AM115" s="695"/>
      <c r="AN115" s="620"/>
      <c r="AO115" s="695"/>
      <c r="AP115" s="620"/>
      <c r="AQ115" s="695"/>
      <c r="AR115" s="620"/>
      <c r="AS115" s="695"/>
      <c r="AT115" s="620"/>
      <c r="AU115" s="695"/>
      <c r="AV115" s="620"/>
      <c r="AW115" s="695"/>
      <c r="AX115" s="620"/>
      <c r="AY115" s="356"/>
      <c r="AZ115" s="618"/>
      <c r="BA115" s="620"/>
      <c r="BB115" s="55"/>
      <c r="BC115" s="55"/>
      <c r="BD115" s="908"/>
      <c r="BE115" s="55"/>
      <c r="BF115" s="55"/>
      <c r="BG115" s="626"/>
      <c r="BH115" s="55"/>
      <c r="BI115" s="626"/>
      <c r="BJ115" s="55"/>
      <c r="BK115" s="626"/>
      <c r="BL115" s="55"/>
      <c r="BM115" s="626"/>
      <c r="BN115" s="55"/>
      <c r="BO115" s="626"/>
      <c r="BP115" s="55"/>
      <c r="BQ115" s="623"/>
      <c r="BR115" s="55"/>
      <c r="BS115" s="623"/>
      <c r="BT115" s="55"/>
      <c r="BU115" s="623"/>
      <c r="BV115" s="43"/>
      <c r="BW115" s="621"/>
      <c r="BX115" s="621"/>
      <c r="BY115"/>
      <c r="BZ115"/>
      <c r="CA115"/>
      <c r="CB115"/>
      <c r="CC115"/>
      <c r="CD115"/>
    </row>
    <row r="116" spans="2:82" s="616" customFormat="1" ht="12.75" customHeight="1" x14ac:dyDescent="0.2">
      <c r="B116" s="7" t="s">
        <v>375</v>
      </c>
      <c r="C116" s="15"/>
      <c r="D116" s="623"/>
      <c r="E116" s="15"/>
      <c r="F116" s="623"/>
      <c r="G116" s="15"/>
      <c r="H116" s="623"/>
      <c r="I116" s="15"/>
      <c r="J116" s="623"/>
      <c r="K116" s="15"/>
      <c r="L116" s="623"/>
      <c r="M116" s="15"/>
      <c r="N116" s="620"/>
      <c r="O116" s="84">
        <f>+O101/O92*400</f>
        <v>4.5155844155844163</v>
      </c>
      <c r="P116" s="85" t="str">
        <f>IF(ISERROR(O116/G116),"NA",IF(OR(O116/G116&gt;2,O116/G116&lt;0.5),"NM",O116/G116*100-100))</f>
        <v>NA</v>
      </c>
      <c r="Q116" s="84">
        <f>+Q101/Q92*400</f>
        <v>8.9037277147487845</v>
      </c>
      <c r="R116" s="85" t="str">
        <f>IF(ISERROR(Q116/I116),"NA",IF(OR(Q116/I116&gt;2,Q116/I116&lt;0.5),"NM",Q116/I116*100-100))</f>
        <v>NA</v>
      </c>
      <c r="S116" s="84">
        <f>+S101/S92*400</f>
        <v>4.5987096774193548</v>
      </c>
      <c r="T116" s="85" t="str">
        <f>IF(ISERROR(S116/K116),"NA",IF(OR(S116/K116&gt;2,S116/K116&lt;0.5),"NM",S116/K116*100-100))</f>
        <v>NA</v>
      </c>
      <c r="U116" s="84">
        <f>+U101/U92*400</f>
        <v>14.144408945686902</v>
      </c>
      <c r="V116" s="85" t="str">
        <f>IF(ISERROR(U116/M116),"NA",IF(OR(U116/M116&gt;2,U116/M116&lt;0.5),"NM",U116/M116*100-100))</f>
        <v>NA</v>
      </c>
      <c r="W116" s="84">
        <f>+W101/W92*400</f>
        <v>12.25625</v>
      </c>
      <c r="X116" s="85" t="str">
        <f>IF(ISERROR(W116/O116),"NA",IF(OR(W116/O116&gt;2,W116/O116&lt;0.5),"NM",W116/O116*100-100))</f>
        <v>NM</v>
      </c>
      <c r="Y116" s="84">
        <f>+Y101/Y92*400</f>
        <v>7.1573170731707307</v>
      </c>
      <c r="Z116" s="9">
        <f>IF(ISERROR(Y116/Q116),"NA",IF(OR(Y116/Q116&gt;2,Y116/Q116&lt;0.5),"NM",Y116/Q116*100-100))</f>
        <v>-19.614376107719139</v>
      </c>
      <c r="AA116" s="84">
        <f>+AA101/AA92*400</f>
        <v>8.24</v>
      </c>
      <c r="AB116" s="9">
        <f>IF(ISERROR(AA116/S116),"NA",IF(OR(AA116/S116&gt;2,AA116/S116&lt;0.5),"NM",AA116/S116*100-100))</f>
        <v>79.180695847362529</v>
      </c>
      <c r="AC116" s="84">
        <f>+AC101/AC92*400</f>
        <v>7.5497884344146682</v>
      </c>
      <c r="AD116" s="9">
        <f>IF(ISERROR(AC116/U116),"NA",IF(OR(AC116/U116&gt;2,AC116/U116&lt;0.5),"NM",AC116/U116*100-100))</f>
        <v>-46.62351418567512</v>
      </c>
      <c r="AE116" s="84">
        <f>+AE101/AE92*400</f>
        <v>4.3768595041322316</v>
      </c>
      <c r="AF116" s="9" t="str">
        <f>IF(ISERROR(AE116/W116),"NA",IF(OR(AE116/W116&gt;2,AE116/W116&lt;0.5),"NM",AE116/W116*100-100))</f>
        <v>NM</v>
      </c>
      <c r="AG116" s="84">
        <f>+AG101/AG92*400</f>
        <v>12.086486486486486</v>
      </c>
      <c r="AH116" s="9">
        <f t="shared" si="721"/>
        <v>68.868954147536527</v>
      </c>
      <c r="AI116" s="84">
        <f>+AI101/AI92*400</f>
        <v>6.6218134034165574</v>
      </c>
      <c r="AJ116" s="9">
        <f t="shared" ref="AJ116:AJ119" si="777">IF(ISERROR(AI116/AA116),"NA",IF(OR(AI116/AA116&gt;2,AI116/AA116&lt;0.5),"NM",AI116/AA116*100-100))</f>
        <v>-19.638186851740812</v>
      </c>
      <c r="AK116" s="84">
        <f>+AK101/AK92*400</f>
        <v>8.4499356499356502</v>
      </c>
      <c r="AL116" s="9">
        <f t="shared" ref="AL116:AL119" si="778">IF(ISERROR(AK116/AC116),"NA",IF(OR(AK116/AC116&gt;2,AK116/AC116&lt;0.5),"NM",AK116/AC116*100-100))</f>
        <v>11.922813776049466</v>
      </c>
      <c r="AM116" s="84">
        <f>+AM101/AM92*400</f>
        <v>15.073525721455457</v>
      </c>
      <c r="AN116" s="9" t="str">
        <f t="shared" ref="AN116:AN119" si="779">IF(ISERROR(AM116/AE116),"NA",IF(OR(AM116/AE116&gt;2,AM116/AE116&lt;0.5),"NM",AM116/AE116*100-100))</f>
        <v>NM</v>
      </c>
      <c r="AO116" s="84">
        <f>+AO101/AO92*400</f>
        <v>7.2657668711656438</v>
      </c>
      <c r="AP116" s="9">
        <f t="shared" ref="AP116:AP119" si="780">IF(ISERROR(AO116/AG116),"NA",IF(OR(AO116/AG116&gt;2,AO116/AG116&lt;0.5),"NM",AO116/AG116*100-100))</f>
        <v>-39.885202541786938</v>
      </c>
      <c r="AQ116" s="566">
        <v>7.24</v>
      </c>
      <c r="AR116" s="9">
        <f t="shared" ref="AR116:AR119" si="781">IF(ISERROR(AQ116/AI116),"NA",IF(OR(AQ116/AI116&gt;2,AQ116/AI116&lt;0.5),"NM",AQ116/AI116*100-100))</f>
        <v>9.3356088267978947</v>
      </c>
      <c r="AS116" s="566">
        <f t="shared" ref="AS116:AS117" si="782">AQ116</f>
        <v>7.24</v>
      </c>
      <c r="AT116" s="9">
        <f t="shared" ref="AT116:AT119" si="783">IF(ISERROR(AS116/AK116),"NA",IF(OR(AS116/AK116&gt;2,AS116/AK116&lt;0.5),"NM",AS116/AK116*100-100))</f>
        <v>-14.318874131838683</v>
      </c>
      <c r="AU116" s="566">
        <f>AS116</f>
        <v>7.24</v>
      </c>
      <c r="AV116" s="9" t="str">
        <f t="shared" ref="AV116:AV119" si="784">IF(ISERROR(AU116/AM116),"NA",IF(OR(AU116/AM116&gt;2,AU116/AM116&lt;0.5),"NM",AU116/AM116*100-100))</f>
        <v>NM</v>
      </c>
      <c r="AW116" s="566">
        <f>AU116-0.02</f>
        <v>7.2200000000000006</v>
      </c>
      <c r="AX116" s="9">
        <f t="shared" ref="AX116:AX119" si="785">IF(ISERROR(AW116/AO116),"NA",IF(OR(AW116/AO116&gt;2,AW116/AO116&lt;0.5),"NM",AW116/AO116*100-100))</f>
        <v>-0.62989732504726703</v>
      </c>
      <c r="AY116" s="356"/>
      <c r="AZ116" s="618"/>
      <c r="BA116" s="620"/>
      <c r="BB116" s="60"/>
      <c r="BC116" s="226" t="str">
        <f>IF(ISERROR(BB116/#REF!),"NA",IF(OR(BB116/#REF!&gt;2,BB116/#REF!&lt;0.5),"NM",BB116/#REF!*100-100))</f>
        <v>NA</v>
      </c>
      <c r="BD116" s="914"/>
      <c r="BE116" s="226" t="str">
        <f t="shared" si="687"/>
        <v>NA</v>
      </c>
      <c r="BF116" s="60">
        <f>BF101/BF92*100</f>
        <v>9.5376868607395746</v>
      </c>
      <c r="BG116" s="226" t="str">
        <f t="shared" si="687"/>
        <v>NA</v>
      </c>
      <c r="BH116" s="60">
        <f>BH101/BH92*100</f>
        <v>8.0832224168126086</v>
      </c>
      <c r="BI116" s="226">
        <f t="shared" si="687"/>
        <v>-15.249656076611672</v>
      </c>
      <c r="BJ116" s="60">
        <f>BJ101/BJ92*100</f>
        <v>9.3777777777777782</v>
      </c>
      <c r="BK116" s="226">
        <f t="shared" si="687"/>
        <v>16.015337624170442</v>
      </c>
      <c r="BL116" s="60">
        <f>BL101/BL92*100</f>
        <v>7.2349122303509219</v>
      </c>
      <c r="BM116" s="226">
        <f t="shared" si="687"/>
        <v>-22.850461998627608</v>
      </c>
      <c r="BN116" s="566">
        <f>BL116+0.01</f>
        <v>7.2449122303509217</v>
      </c>
      <c r="BO116" s="226">
        <f t="shared" si="687"/>
        <v>0.1382186774574734</v>
      </c>
      <c r="BP116" s="566">
        <f>BN116</f>
        <v>7.2449122303509217</v>
      </c>
      <c r="BQ116" s="226">
        <f t="shared" si="687"/>
        <v>0</v>
      </c>
      <c r="BR116" s="566">
        <f>BP116</f>
        <v>7.2449122303509217</v>
      </c>
      <c r="BS116" s="226">
        <f t="shared" si="687"/>
        <v>0</v>
      </c>
      <c r="BT116" s="566">
        <f>BR116</f>
        <v>7.2449122303509217</v>
      </c>
      <c r="BU116" s="226">
        <f t="shared" ref="BU116:BU119" si="786">IF(ISERROR(BT116/BR116),"NA",IF(OR(BT116/BR116&gt;2,BT116/BR116&lt;0.5),"NM",BT116/BR116*100-100))</f>
        <v>0</v>
      </c>
      <c r="BV116" s="43">
        <f>IF(ISERROR(((BT116/BJ116)^0.2-1)*100),"NA",IF((((BT116/BJ116)^0.2-1)*100)&gt;100,"NM",IF((((BT116/BJ116)^0.2-1)*100)&lt;-50,"NM",((BT116/BJ116)^0.2-1)*100)))</f>
        <v>-5.029956207681952</v>
      </c>
      <c r="BW116" s="621"/>
      <c r="BX116" s="621"/>
      <c r="BY116"/>
      <c r="BZ116"/>
      <c r="CA116"/>
      <c r="CB116"/>
      <c r="CC116"/>
      <c r="CD116"/>
    </row>
    <row r="117" spans="2:82" s="616" customFormat="1" ht="12.75" customHeight="1" x14ac:dyDescent="0.2">
      <c r="B117" s="62" t="s">
        <v>30</v>
      </c>
      <c r="C117" s="15"/>
      <c r="D117" s="623"/>
      <c r="E117" s="15"/>
      <c r="F117" s="623"/>
      <c r="G117" s="15"/>
      <c r="H117" s="623"/>
      <c r="I117" s="15"/>
      <c r="J117" s="623"/>
      <c r="K117" s="15"/>
      <c r="L117" s="623"/>
      <c r="M117" s="15"/>
      <c r="N117" s="620"/>
      <c r="O117" s="697">
        <f>+O102/O92*400</f>
        <v>4.463636363636363</v>
      </c>
      <c r="P117" s="9" t="str">
        <f>IF(ISERROR(O117/G117),"NA",IF(OR(O117/G117&gt;2,O117/G117&lt;0.5),"NM",O117/G117*100-100))</f>
        <v>NA</v>
      </c>
      <c r="Q117" s="697">
        <f>+Q102/Q92*400</f>
        <v>4.5017828200972438</v>
      </c>
      <c r="R117" s="9" t="str">
        <f>IF(ISERROR(Q117/I117),"NA",IF(OR(Q117/I117&gt;2,Q117/I117&lt;0.5),"NM",Q117/I117*100-100))</f>
        <v>NA</v>
      </c>
      <c r="S117" s="697">
        <f>+S102/S92*400</f>
        <v>4.2632258064516124</v>
      </c>
      <c r="T117" s="9" t="str">
        <f>IF(ISERROR(S117/K117),"NA",IF(OR(S117/K117&gt;2,S117/K117&lt;0.5),"NM",S117/K117*100-100))</f>
        <v>NA</v>
      </c>
      <c r="U117" s="697">
        <f>+U102/U92*400</f>
        <v>4.3974440894568696</v>
      </c>
      <c r="V117" s="9" t="str">
        <f>IF(ISERROR(U117/M117),"NA",IF(OR(U117/M117&gt;2,U117/M117&lt;0.5),"NM",U117/M117*100-100))</f>
        <v>NA</v>
      </c>
      <c r="W117" s="697">
        <f>+W102/W92*400</f>
        <v>4.1987499999999995</v>
      </c>
      <c r="X117" s="9">
        <f>IF(ISERROR(W117/O117),"NA",IF(OR(W117/O117&gt;2,W117/O117&lt;0.5),"NM",W117/O117*100-100))</f>
        <v>-5.9343177189409317</v>
      </c>
      <c r="Y117" s="697">
        <f>+Y102/Y92*400</f>
        <v>4.2914634146341459</v>
      </c>
      <c r="Z117" s="9">
        <f>IF(ISERROR(Y117/Q117),"NA",IF(OR(Y117/Q117&gt;2,Y117/Q117&lt;0.5),"NM",Y117/Q117*100-100))</f>
        <v>-4.671913636619081</v>
      </c>
      <c r="AA117" s="697">
        <f>+AA102/AA92*400</f>
        <v>4.1211764705882361</v>
      </c>
      <c r="AB117" s="9">
        <f>IF(ISERROR(AA117/S117),"NA",IF(OR(AA117/S117&gt;2,AA117/S117&lt;0.5),"NM",AA117/S117*100-100))</f>
        <v>-3.3319683805725333</v>
      </c>
      <c r="AC117" s="697">
        <f>+AC102/AC92*400</f>
        <v>4.2504936530324402</v>
      </c>
      <c r="AD117" s="9">
        <f>IF(ISERROR(AC117/U117),"NA",IF(OR(AC117/U117&gt;2,AC117/U117&lt;0.5),"NM",AC117/U117*100-100))</f>
        <v>-3.3417238158127276</v>
      </c>
      <c r="AE117" s="697">
        <f>+AE102/AE92*400</f>
        <v>4.3493112947658403</v>
      </c>
      <c r="AF117" s="9">
        <f>IF(ISERROR(AE117/W117),"NA",IF(OR(AE117/W117&gt;2,AE117/W117&lt;0.5),"NM",AE117/W117*100-100))</f>
        <v>3.5858599527440589</v>
      </c>
      <c r="AG117" s="697">
        <f>+AG102/AG92*400</f>
        <v>4.3362162162162159</v>
      </c>
      <c r="AH117" s="9">
        <f t="shared" si="721"/>
        <v>1.0428331144443774</v>
      </c>
      <c r="AI117" s="697">
        <f>+AI102/AI92*400</f>
        <v>4.2291721419185277</v>
      </c>
      <c r="AJ117" s="9">
        <f t="shared" si="777"/>
        <v>2.6205058701326749</v>
      </c>
      <c r="AK117" s="697">
        <f>+AK102/AK92*400</f>
        <v>4.2378378378378381</v>
      </c>
      <c r="AL117" s="9">
        <f t="shared" si="778"/>
        <v>-0.29774930226217577</v>
      </c>
      <c r="AM117" s="697">
        <f>+AM102/AM92*400</f>
        <v>4.1535759096612299</v>
      </c>
      <c r="AN117" s="9">
        <f t="shared" si="779"/>
        <v>-4.5003765386986032</v>
      </c>
      <c r="AO117" s="697">
        <f>+AO102/AO92*400</f>
        <v>4.1658895705521468</v>
      </c>
      <c r="AP117" s="9">
        <f t="shared" si="780"/>
        <v>-3.9280016763715793</v>
      </c>
      <c r="AQ117" s="698">
        <f>AO117-0.02</f>
        <v>4.1458895705521472</v>
      </c>
      <c r="AR117" s="9">
        <f t="shared" si="781"/>
        <v>-1.9692405173320822</v>
      </c>
      <c r="AS117" s="698">
        <f t="shared" si="782"/>
        <v>4.1458895705521472</v>
      </c>
      <c r="AT117" s="9">
        <f t="shared" si="783"/>
        <v>-2.1696976336546925</v>
      </c>
      <c r="AU117" s="698">
        <f t="shared" ref="AU117" si="787">AS117</f>
        <v>4.1458895705521472</v>
      </c>
      <c r="AV117" s="9">
        <f t="shared" si="784"/>
        <v>-0.18505353642879641</v>
      </c>
      <c r="AW117" s="698">
        <f t="shared" ref="AW117" si="788">AU117</f>
        <v>4.1458895705521472</v>
      </c>
      <c r="AX117" s="9">
        <f t="shared" si="785"/>
        <v>-0.48008953817152644</v>
      </c>
      <c r="AY117" s="356"/>
      <c r="AZ117" s="618"/>
      <c r="BA117" s="620"/>
      <c r="BB117" s="60"/>
      <c r="BC117" s="226" t="str">
        <f>IF(ISERROR(BB117/#REF!),"NA",IF(OR(BB117/#REF!&gt;2,BB117/#REF!&lt;0.5),"NM",BB117/#REF!*100-100))</f>
        <v>NA</v>
      </c>
      <c r="BD117" s="914"/>
      <c r="BE117" s="226" t="str">
        <f t="shared" ref="BE117:BS119" si="789">IF(ISERROR(BD117/BB117),"NA",IF(OR(BD117/BB117&gt;2,BD117/BB117&lt;0.5),"NM",BD117/BB117*100-100))</f>
        <v>NA</v>
      </c>
      <c r="BF117" s="60">
        <f>BF102/BF92*100</f>
        <v>4.2873328088119589</v>
      </c>
      <c r="BG117" s="226" t="str">
        <f t="shared" si="789"/>
        <v>NA</v>
      </c>
      <c r="BH117" s="60">
        <f>BH102/BH92*100</f>
        <v>4.2670402802101579</v>
      </c>
      <c r="BI117" s="226">
        <f t="shared" si="789"/>
        <v>-0.47331358461588025</v>
      </c>
      <c r="BJ117" s="60">
        <f>BJ102/BJ92*100</f>
        <v>4.1958095238095243</v>
      </c>
      <c r="BK117" s="226">
        <f t="shared" si="789"/>
        <v>-1.6693246775989081</v>
      </c>
      <c r="BL117" s="60">
        <f>BL102/BL92*100</f>
        <v>4.1458895705521472</v>
      </c>
      <c r="BM117" s="226">
        <f t="shared" si="789"/>
        <v>-1.1897573751644757</v>
      </c>
      <c r="BN117" s="566">
        <f>BL117-0.01</f>
        <v>4.1358895705521475</v>
      </c>
      <c r="BO117" s="226">
        <f t="shared" si="789"/>
        <v>-0.24120275829410787</v>
      </c>
      <c r="BP117" s="566">
        <f>BN117-0.01</f>
        <v>4.1258895705521477</v>
      </c>
      <c r="BQ117" s="226">
        <f t="shared" si="789"/>
        <v>-0.24178595268115544</v>
      </c>
      <c r="BR117" s="566">
        <f>BP117-0.01</f>
        <v>4.1158895705521479</v>
      </c>
      <c r="BS117" s="226">
        <f t="shared" si="789"/>
        <v>-0.24237197406768018</v>
      </c>
      <c r="BT117" s="566">
        <f>BR117-0.01</f>
        <v>4.1058895705521481</v>
      </c>
      <c r="BU117" s="226">
        <f t="shared" si="786"/>
        <v>-0.24296084305920829</v>
      </c>
      <c r="BV117" s="43">
        <f>IF(ISERROR(((BT117/BJ117)^0.2-1)*100),"NA",IF((((BT117/BJ117)^0.2-1)*100)&gt;100,"NM",IF((((BT117/BJ117)^0.2-1)*100)&lt;-50,"NM",((BT117/BJ117)^0.2-1)*100)))</f>
        <v>-0.43234013185415865</v>
      </c>
      <c r="BW117" s="621"/>
      <c r="BX117" s="621"/>
      <c r="BY117"/>
      <c r="BZ117"/>
      <c r="CA117"/>
      <c r="CB117"/>
      <c r="CC117"/>
      <c r="CD117"/>
    </row>
    <row r="118" spans="2:82" s="616" customFormat="1" ht="12.75" customHeight="1" x14ac:dyDescent="0.2">
      <c r="B118" s="62" t="s">
        <v>433</v>
      </c>
      <c r="C118" s="15"/>
      <c r="D118" s="623"/>
      <c r="E118" s="15"/>
      <c r="F118" s="623"/>
      <c r="G118" s="15"/>
      <c r="H118" s="623"/>
      <c r="I118" s="15"/>
      <c r="J118" s="623"/>
      <c r="K118" s="15"/>
      <c r="L118" s="623"/>
      <c r="M118" s="15"/>
      <c r="N118" s="620"/>
      <c r="O118" s="697">
        <f>+O106/O92*400</f>
        <v>7.6090909090909085</v>
      </c>
      <c r="P118" s="9" t="str">
        <f>IF(ISERROR(O118/G118),"NA",IF(OR(O118/G118&gt;2,O118/G118&lt;0.5),"NM",O118/G118*100-100))</f>
        <v>NA</v>
      </c>
      <c r="Q118" s="697">
        <f>+Q106/Q92*400</f>
        <v>11.959805510534846</v>
      </c>
      <c r="R118" s="9" t="str">
        <f>IF(ISERROR(Q118/I118),"NA",IF(OR(Q118/I118&gt;2,Q118/I118&lt;0.5),"NM",Q118/I118*100-100))</f>
        <v>NA</v>
      </c>
      <c r="S118" s="697">
        <f>+S106/S92*400</f>
        <v>7.4851612903225808</v>
      </c>
      <c r="T118" s="9" t="str">
        <f>IF(ISERROR(S118/K118),"NA",IF(OR(S118/K118&gt;2,S118/K118&lt;0.5),"NM",S118/K118*100-100))</f>
        <v>NA</v>
      </c>
      <c r="U118" s="697">
        <f>+U106/U92*400</f>
        <v>16.940575079872204</v>
      </c>
      <c r="V118" s="9" t="str">
        <f>IF(ISERROR(U118/M118),"NA",IF(OR(U118/M118&gt;2,U118/M118&lt;0.5),"NM",U118/M118*100-100))</f>
        <v>NA</v>
      </c>
      <c r="W118" s="697">
        <f>+W106/W92*400</f>
        <v>15.24</v>
      </c>
      <c r="X118" s="9" t="str">
        <f>IF(ISERROR(W118/O118),"NA",IF(OR(W118/O118&gt;2,W118/O118&lt;0.5),"NM",W118/O118*100-100))</f>
        <v>NM</v>
      </c>
      <c r="Y118" s="697">
        <f>+Y106/Y92*400</f>
        <v>10.126829268292683</v>
      </c>
      <c r="Z118" s="9">
        <f>IF(ISERROR(Y118/Q118),"NA",IF(OR(Y118/Q118&gt;2,Y118/Q118&lt;0.5),"NM",Y118/Q118*100-100))</f>
        <v>-15.326137541514186</v>
      </c>
      <c r="AA118" s="697">
        <f>+AA106/AA92*400</f>
        <v>11.011764705882353</v>
      </c>
      <c r="AB118" s="9">
        <f>IF(ISERROR(AA118/S118),"NA",IF(OR(AA118/S118&gt;2,AA118/S118&lt;0.5),"NM",AA118/S118*100-100))</f>
        <v>47.114594846730284</v>
      </c>
      <c r="AC118" s="697">
        <f>+AC106/AC92*400</f>
        <v>10.427080394922426</v>
      </c>
      <c r="AD118" s="9">
        <f>IF(ISERROR(AC118/U118),"NA",IF(OR(AC118/U118&gt;2,AC118/U118&lt;0.5),"NM",AC118/U118*100-100))</f>
        <v>-38.449076576442373</v>
      </c>
      <c r="AE118" s="697">
        <f>+AE106/AE92*400</f>
        <v>7.3818181818181809</v>
      </c>
      <c r="AF118" s="9" t="str">
        <f>IF(ISERROR(AE118/W118),"NA",IF(OR(AE118/W118&gt;2,AE118/W118&lt;0.5),"NM",AE118/W118*100-100))</f>
        <v>NM</v>
      </c>
      <c r="AG118" s="697">
        <f>+AG106/AG92*400</f>
        <v>14.983783783783784</v>
      </c>
      <c r="AH118" s="9">
        <f t="shared" si="721"/>
        <v>47.961256053741607</v>
      </c>
      <c r="AI118" s="697">
        <f>+AI106/AI92*400</f>
        <v>9.3382391590013132</v>
      </c>
      <c r="AJ118" s="9">
        <f t="shared" si="777"/>
        <v>-15.197614474881235</v>
      </c>
      <c r="AK118" s="697">
        <f>+AK106/AK92*400</f>
        <v>11.193822393822394</v>
      </c>
      <c r="AL118" s="9">
        <f t="shared" si="778"/>
        <v>7.3533718918417605</v>
      </c>
      <c r="AM118" s="697">
        <f>+AM106/AM92*400</f>
        <v>17.912170639899625</v>
      </c>
      <c r="AN118" s="9" t="str">
        <f t="shared" si="779"/>
        <v>NM</v>
      </c>
      <c r="AO118" s="697">
        <f>+AO106/AO92*400</f>
        <v>10.212515337423314</v>
      </c>
      <c r="AP118" s="9">
        <f t="shared" si="780"/>
        <v>-31.84288104533502</v>
      </c>
      <c r="AQ118" s="697">
        <f t="shared" ref="AQ118:AW118" si="790">AQ117-AQ119</f>
        <v>10.045889570552148</v>
      </c>
      <c r="AR118" s="9">
        <f t="shared" si="781"/>
        <v>7.577985522770831</v>
      </c>
      <c r="AS118" s="697">
        <f t="shared" si="790"/>
        <v>10.095889570552147</v>
      </c>
      <c r="AT118" s="9">
        <f t="shared" si="783"/>
        <v>-9.8083816648383646</v>
      </c>
      <c r="AU118" s="697">
        <f t="shared" si="790"/>
        <v>10.095889570552147</v>
      </c>
      <c r="AV118" s="9">
        <f t="shared" si="784"/>
        <v>-43.63670504532039</v>
      </c>
      <c r="AW118" s="697">
        <f t="shared" si="790"/>
        <v>10.095889570552147</v>
      </c>
      <c r="AX118" s="9">
        <f t="shared" si="785"/>
        <v>-1.1419886582083905</v>
      </c>
      <c r="AY118" s="356"/>
      <c r="AZ118" s="618"/>
      <c r="BA118" s="620"/>
      <c r="BB118" s="60"/>
      <c r="BC118" s="226" t="str">
        <f>IF(ISERROR(BB118/#REF!),"NA",IF(OR(BB118/#REF!&gt;2,BB118/#REF!&lt;0.5),"NM",BB118/#REF!*100-100))</f>
        <v>NA</v>
      </c>
      <c r="BD118" s="914"/>
      <c r="BE118" s="226" t="str">
        <f t="shared" si="789"/>
        <v>NA</v>
      </c>
      <c r="BF118" s="60">
        <f>BF106/BF92*100</f>
        <v>12.447836349331235</v>
      </c>
      <c r="BG118" s="226" t="str">
        <f t="shared" si="789"/>
        <v>NA</v>
      </c>
      <c r="BH118" s="60">
        <f>BH106/BH92*100</f>
        <v>10.973029772329248</v>
      </c>
      <c r="BI118" s="226">
        <f t="shared" si="789"/>
        <v>-11.847894972375826</v>
      </c>
      <c r="BJ118" s="60">
        <f>BJ106/BJ92*100</f>
        <v>12.191492063492063</v>
      </c>
      <c r="BK118" s="226">
        <f t="shared" si="789"/>
        <v>11.104155519885836</v>
      </c>
      <c r="BL118" s="60">
        <f>BL106/BL92*100</f>
        <v>10.08361196981531</v>
      </c>
      <c r="BM118" s="226">
        <f t="shared" si="789"/>
        <v>-17.289763079852122</v>
      </c>
      <c r="BN118" s="60">
        <f t="shared" ref="BN118:BP118" si="791">BN117-BN119</f>
        <v>10.09361196981531</v>
      </c>
      <c r="BO118" s="226">
        <f t="shared" si="789"/>
        <v>9.9170813295216931E-2</v>
      </c>
      <c r="BP118" s="60">
        <f t="shared" si="791"/>
        <v>10.08361196981531</v>
      </c>
      <c r="BQ118" s="226">
        <f t="shared" si="789"/>
        <v>-9.9072562229508776E-2</v>
      </c>
      <c r="BR118" s="60">
        <f t="shared" ref="BR118:BT118" si="792">BR117-BR119</f>
        <v>10.07361196981531</v>
      </c>
      <c r="BS118" s="226">
        <f t="shared" si="789"/>
        <v>-9.9170813295216931E-2</v>
      </c>
      <c r="BT118" s="60">
        <f t="shared" si="792"/>
        <v>10.063611969815311</v>
      </c>
      <c r="BU118" s="226">
        <f t="shared" si="786"/>
        <v>-9.9269259427146039E-2</v>
      </c>
      <c r="BV118" s="43">
        <f>IF(ISERROR(((BT118/BJ118)^0.2-1)*100),"NA",IF((((BT118/BJ118)^0.2-1)*100)&gt;100,"NM",IF((((BT118/BJ118)^0.2-1)*100)&lt;-50,"NM",((BT118/BJ118)^0.2-1)*100)))</f>
        <v>-3.7635920342355522</v>
      </c>
      <c r="BW118" s="621"/>
      <c r="BX118" s="621"/>
      <c r="BY118"/>
      <c r="BZ118"/>
      <c r="CA118"/>
      <c r="CB118"/>
      <c r="CC118"/>
      <c r="CD118"/>
    </row>
    <row r="119" spans="2:82" s="616" customFormat="1" ht="12.75" customHeight="1" x14ac:dyDescent="0.2">
      <c r="B119" s="62" t="s">
        <v>424</v>
      </c>
      <c r="C119" s="15"/>
      <c r="D119" s="623"/>
      <c r="E119" s="15"/>
      <c r="F119" s="623"/>
      <c r="G119" s="15"/>
      <c r="H119" s="623"/>
      <c r="I119" s="15"/>
      <c r="J119" s="623"/>
      <c r="K119" s="15"/>
      <c r="L119" s="623"/>
      <c r="M119" s="15"/>
      <c r="N119" s="620"/>
      <c r="O119" s="697">
        <f>O117-O118</f>
        <v>-3.1454545454545455</v>
      </c>
      <c r="P119" s="9" t="str">
        <f>IF(ISERROR(O119/G119),"NA",IF(OR(O119/G119&gt;2,O119/G119&lt;0.5),"NM",O119/G119*100-100))</f>
        <v>NA</v>
      </c>
      <c r="Q119" s="697">
        <f>Q117-Q118</f>
        <v>-7.4580226904376019</v>
      </c>
      <c r="R119" s="9" t="str">
        <f>IF(ISERROR(Q119/I119),"NA",IF(OR(Q119/I119&gt;2,Q119/I119&lt;0.5),"NM",Q119/I119*100-100))</f>
        <v>NA</v>
      </c>
      <c r="S119" s="697">
        <f>S117-S118</f>
        <v>-3.2219354838709684</v>
      </c>
      <c r="T119" s="9" t="str">
        <f>IF(ISERROR(S119/K119),"NA",IF(OR(S119/K119&gt;2,S119/K119&lt;0.5),"NM",S119/K119*100-100))</f>
        <v>NA</v>
      </c>
      <c r="U119" s="697">
        <f>U117-U118</f>
        <v>-12.543130990415335</v>
      </c>
      <c r="V119" s="9" t="str">
        <f>IF(ISERROR(U119/M119),"NA",IF(OR(U119/M119&gt;2,U119/M119&lt;0.5),"NM",U119/M119*100-100))</f>
        <v>NA</v>
      </c>
      <c r="W119" s="697">
        <f>W117-W118</f>
        <v>-11.041250000000002</v>
      </c>
      <c r="X119" s="9" t="str">
        <f>IF(ISERROR(W119/O119),"NA",IF(OR(W119/O119&gt;2,W119/O119&lt;0.5),"NM",W119/O119*100-100))</f>
        <v>NM</v>
      </c>
      <c r="Y119" s="697">
        <f>Y117-Y118</f>
        <v>-5.8353658536585371</v>
      </c>
      <c r="Z119" s="9">
        <f>IF(ISERROR(Y119/Q119),"NA",IF(OR(Y119/Q119&gt;2,Y119/Q119&lt;0.5),"NM",Y119/Q119*100-100))</f>
        <v>-21.757198980630278</v>
      </c>
      <c r="AA119" s="697">
        <f>AA117-AA118</f>
        <v>-6.8905882352941168</v>
      </c>
      <c r="AB119" s="698">
        <f t="shared" ref="AB119:AF119" si="793">Z119</f>
        <v>-21.757198980630278</v>
      </c>
      <c r="AC119" s="697">
        <f>AC117-AC118</f>
        <v>-6.1765867418899854</v>
      </c>
      <c r="AD119" s="698">
        <f t="shared" si="793"/>
        <v>-21.757198980630278</v>
      </c>
      <c r="AE119" s="697">
        <f>AE117-AE118</f>
        <v>-3.0325068870523406</v>
      </c>
      <c r="AF119" s="698">
        <f t="shared" si="793"/>
        <v>-21.757198980630278</v>
      </c>
      <c r="AG119" s="697">
        <f>AG117-AG118</f>
        <v>-10.647567567567567</v>
      </c>
      <c r="AH119" s="9">
        <f t="shared" si="721"/>
        <v>82.466152673049208</v>
      </c>
      <c r="AI119" s="697">
        <f>AI117-AI118</f>
        <v>-5.1090670170827854</v>
      </c>
      <c r="AJ119" s="9">
        <f t="shared" si="777"/>
        <v>-25.854414128045619</v>
      </c>
      <c r="AK119" s="697">
        <f>AK117-AK118</f>
        <v>-6.9559845559845561</v>
      </c>
      <c r="AL119" s="9">
        <f t="shared" si="778"/>
        <v>12.618584449055774</v>
      </c>
      <c r="AM119" s="697">
        <f>AM117-AM118</f>
        <v>-13.758594730238395</v>
      </c>
      <c r="AN119" s="9" t="str">
        <f t="shared" si="779"/>
        <v>NM</v>
      </c>
      <c r="AO119" s="697">
        <f>AO117-AO118</f>
        <v>-6.0466257668711672</v>
      </c>
      <c r="AP119" s="9">
        <f t="shared" si="780"/>
        <v>-43.211200788345714</v>
      </c>
      <c r="AQ119" s="698">
        <v>-5.9</v>
      </c>
      <c r="AR119" s="9">
        <f t="shared" si="781"/>
        <v>15.480967078189309</v>
      </c>
      <c r="AS119" s="698">
        <v>-5.95</v>
      </c>
      <c r="AT119" s="9">
        <f t="shared" si="783"/>
        <v>-14.46214476021315</v>
      </c>
      <c r="AU119" s="698">
        <f>AS119</f>
        <v>-5.95</v>
      </c>
      <c r="AV119" s="9" t="str">
        <f t="shared" si="784"/>
        <v>NM</v>
      </c>
      <c r="AW119" s="698">
        <f>AU119</f>
        <v>-5.95</v>
      </c>
      <c r="AX119" s="9">
        <f t="shared" si="785"/>
        <v>-1.5980113636363882</v>
      </c>
      <c r="AY119" s="356"/>
      <c r="AZ119" s="618"/>
      <c r="BA119" s="620"/>
      <c r="BB119" s="60"/>
      <c r="BC119" s="226" t="str">
        <f>IF(ISERROR(BB119/#REF!),"NA",IF(OR(BB119/#REF!&gt;2,BB119/#REF!&lt;0.5),"NM",BB119/#REF!*100-100))</f>
        <v>NA</v>
      </c>
      <c r="BD119" s="914"/>
      <c r="BE119" s="226" t="str">
        <f t="shared" si="789"/>
        <v>NA</v>
      </c>
      <c r="BF119" s="60">
        <f>BF117-BF118</f>
        <v>-8.1605035405192758</v>
      </c>
      <c r="BG119" s="226" t="str">
        <f t="shared" si="789"/>
        <v>NA</v>
      </c>
      <c r="BH119" s="60">
        <f t="shared" ref="BH119" si="794">BH117-BH118</f>
        <v>-6.7059894921190901</v>
      </c>
      <c r="BI119" s="226">
        <f t="shared" si="789"/>
        <v>-17.823827183924379</v>
      </c>
      <c r="BJ119" s="60">
        <f t="shared" ref="BJ119" si="795">BJ117-BJ118</f>
        <v>-7.9956825396825391</v>
      </c>
      <c r="BK119" s="226">
        <f t="shared" si="789"/>
        <v>19.231957477402872</v>
      </c>
      <c r="BL119" s="60">
        <f t="shared" ref="BL119" si="796">BL117-BL118</f>
        <v>-5.9377223992631629</v>
      </c>
      <c r="BM119" s="226">
        <f t="shared" si="789"/>
        <v>-25.738392316174739</v>
      </c>
      <c r="BN119" s="566">
        <f>BL119-0.02</f>
        <v>-5.9577223992631625</v>
      </c>
      <c r="BO119" s="226">
        <f t="shared" si="789"/>
        <v>0.3368294887359724</v>
      </c>
      <c r="BP119" s="566">
        <f>BN119</f>
        <v>-5.9577223992631625</v>
      </c>
      <c r="BQ119" s="226">
        <f t="shared" si="789"/>
        <v>0</v>
      </c>
      <c r="BR119" s="566">
        <f>BP119</f>
        <v>-5.9577223992631625</v>
      </c>
      <c r="BS119" s="226">
        <f t="shared" si="789"/>
        <v>0</v>
      </c>
      <c r="BT119" s="566">
        <f>BR119</f>
        <v>-5.9577223992631625</v>
      </c>
      <c r="BU119" s="226">
        <f t="shared" si="786"/>
        <v>0</v>
      </c>
      <c r="BV119" s="43">
        <f>IF(ISERROR(((BT119/BJ119)^0.2-1)*100),"NA",IF((((BT119/BJ119)^0.2-1)*100)&gt;100,"NM",IF((((BT119/BJ119)^0.2-1)*100)&lt;-50,"NM",((BT119/BJ119)^0.2-1)*100)))</f>
        <v>-5.7144922578329371</v>
      </c>
      <c r="BW119" s="621"/>
      <c r="BX119" s="621"/>
      <c r="BY119"/>
      <c r="BZ119"/>
      <c r="CA119"/>
      <c r="CB119"/>
      <c r="CC119"/>
      <c r="CD119"/>
    </row>
    <row r="120" spans="2:82" s="616" customFormat="1" ht="12.75" customHeight="1" x14ac:dyDescent="0.2">
      <c r="B120" s="62"/>
      <c r="C120" s="15"/>
      <c r="D120" s="623"/>
      <c r="E120" s="15"/>
      <c r="F120" s="623"/>
      <c r="G120" s="15"/>
      <c r="H120" s="623"/>
      <c r="I120" s="15"/>
      <c r="J120" s="623"/>
      <c r="K120" s="15"/>
      <c r="L120" s="623"/>
      <c r="M120" s="15"/>
      <c r="N120" s="620"/>
      <c r="O120" s="697"/>
      <c r="P120" s="9"/>
      <c r="Q120" s="697"/>
      <c r="R120" s="9"/>
      <c r="S120" s="697"/>
      <c r="T120" s="9"/>
      <c r="U120" s="697"/>
      <c r="V120" s="9"/>
      <c r="W120" s="697"/>
      <c r="X120" s="9"/>
      <c r="Y120" s="697"/>
      <c r="Z120" s="9"/>
      <c r="AA120" s="697"/>
      <c r="AB120" s="9"/>
      <c r="AC120" s="697"/>
      <c r="AD120" s="9"/>
      <c r="AE120" s="697"/>
      <c r="AF120" s="9"/>
      <c r="AG120" s="697"/>
      <c r="AH120" s="620"/>
      <c r="AI120" s="697"/>
      <c r="AJ120" s="620"/>
      <c r="AK120" s="697"/>
      <c r="AL120" s="620"/>
      <c r="AM120" s="697"/>
      <c r="AN120" s="620"/>
      <c r="AO120" s="697"/>
      <c r="AP120" s="620"/>
      <c r="AQ120" s="697"/>
      <c r="AR120" s="620"/>
      <c r="AS120" s="697"/>
      <c r="AT120" s="620"/>
      <c r="AU120" s="697"/>
      <c r="AV120" s="620"/>
      <c r="AW120" s="697"/>
      <c r="AX120" s="620"/>
      <c r="AY120" s="356"/>
      <c r="AZ120" s="618"/>
      <c r="BA120" s="620"/>
      <c r="BB120" s="55"/>
      <c r="BC120" s="55"/>
      <c r="BD120" s="908"/>
      <c r="BE120" s="55"/>
      <c r="BF120" s="55"/>
      <c r="BG120" s="626"/>
      <c r="BH120" s="55"/>
      <c r="BI120" s="626"/>
      <c r="BJ120" s="55"/>
      <c r="BK120" s="626"/>
      <c r="BL120" s="55"/>
      <c r="BM120" s="626"/>
      <c r="BN120" s="55"/>
      <c r="BO120" s="626"/>
      <c r="BP120" s="55"/>
      <c r="BQ120" s="623"/>
      <c r="BR120" s="55"/>
      <c r="BS120" s="623"/>
      <c r="BT120" s="55"/>
      <c r="BU120" s="623"/>
      <c r="BV120" s="43"/>
      <c r="BW120" s="621"/>
      <c r="BX120" s="621"/>
      <c r="BY120"/>
      <c r="BZ120"/>
      <c r="CA120"/>
      <c r="CB120"/>
      <c r="CC120"/>
      <c r="CD120"/>
    </row>
    <row r="121" spans="2:82" s="616" customFormat="1" ht="12.75" customHeight="1" x14ac:dyDescent="0.2">
      <c r="B121" s="62" t="s">
        <v>384</v>
      </c>
      <c r="C121" s="15"/>
      <c r="D121" s="623"/>
      <c r="E121" s="15"/>
      <c r="F121" s="623"/>
      <c r="G121" s="15"/>
      <c r="H121" s="623"/>
      <c r="I121" s="15"/>
      <c r="J121" s="623"/>
      <c r="K121" s="15"/>
      <c r="L121" s="623"/>
      <c r="M121" s="15"/>
      <c r="N121" s="620"/>
      <c r="O121" s="697">
        <f>+O107/O$92*400</f>
        <v>0.13116883116883116</v>
      </c>
      <c r="P121" s="9" t="str">
        <f t="shared" ref="P121" si="797">IF(ISERROR(O121/G121),"NA",IF(OR(O121/G121&gt;2,O121/G121&lt;0.5),"NM",O121/G121*100-100))</f>
        <v>NA</v>
      </c>
      <c r="Q121" s="697">
        <f t="shared" ref="Q121:W122" si="798">+Q107/Q$92*400</f>
        <v>0.16207455429497569</v>
      </c>
      <c r="R121" s="9" t="str">
        <f t="shared" ref="R121:R123" si="799">IF(ISERROR(Q121/I121),"NA",IF(OR(Q121/I121&gt;2,Q121/I121&lt;0.5),"NM",Q121/I121*100-100))</f>
        <v>NA</v>
      </c>
      <c r="S121" s="697">
        <f t="shared" si="798"/>
        <v>0.17290322580645162</v>
      </c>
      <c r="T121" s="9" t="str">
        <f t="shared" ref="T121:T123" si="800">IF(ISERROR(S121/K121),"NA",IF(OR(S121/K121&gt;2,S121/K121&lt;0.5),"NM",S121/K121*100-100))</f>
        <v>NA</v>
      </c>
      <c r="U121" s="697">
        <f t="shared" si="798"/>
        <v>0.24792332268370604</v>
      </c>
      <c r="V121" s="9" t="str">
        <f t="shared" ref="V121:V123" si="801">IF(ISERROR(U121/M121),"NA",IF(OR(U121/M121&gt;2,U121/M121&lt;0.5),"NM",U121/M121*100-100))</f>
        <v>NA</v>
      </c>
      <c r="W121" s="697">
        <f>+W107/W$92*400</f>
        <v>0.27625</v>
      </c>
      <c r="X121" s="9" t="str">
        <f>IF(ISERROR(W121/O121),"NA",IF(OR(W121/O121&gt;2,W121/O121&lt;0.5),"NM",W121/O121*100-100))</f>
        <v>NM</v>
      </c>
      <c r="Y121" s="697">
        <f>+Y107/Y$92*400</f>
        <v>0.24878048780487805</v>
      </c>
      <c r="Z121" s="9">
        <f>IF(ISERROR(Y121/Q121),"NA",IF(OR(Y121/Q121&gt;2,Y121/Q121&lt;0.5),"NM",Y121/Q121*100-100))</f>
        <v>53.497560975609758</v>
      </c>
      <c r="AA121" s="697">
        <f>+AA107/AA$92*400</f>
        <v>0.31411764705882356</v>
      </c>
      <c r="AB121" s="9">
        <f>IF(ISERROR(AA121/S121),"NA",IF(OR(AA121/S121&gt;2,AA121/S121&lt;0.5),"NM",AA121/S121*100-100))</f>
        <v>81.672519754170338</v>
      </c>
      <c r="AC121" s="697">
        <f>+AC107/AC$92*400</f>
        <v>0.23808180535966153</v>
      </c>
      <c r="AD121" s="9">
        <f>IF(ISERROR(AC121/U121),"NA",IF(OR(AC121/U121&gt;2,AC121/U121&lt;0.5),"NM",AC121/U121*100-100))</f>
        <v>-3.9695810856004243</v>
      </c>
      <c r="AE121" s="697">
        <f>+AE107/AE$92*400</f>
        <v>0.12782369146005509</v>
      </c>
      <c r="AF121" s="9" t="str">
        <f>IF(ISERROR(AE121/W121),"NA",IF(OR(AE121/W121&gt;2,AE121/W121&lt;0.5),"NM",AE121/W121*100-100))</f>
        <v>NM</v>
      </c>
      <c r="AG121" s="697">
        <f>+AG107/AG$92*400</f>
        <v>0.19135135135135134</v>
      </c>
      <c r="AH121" s="9">
        <f t="shared" si="721"/>
        <v>-23.08426073131956</v>
      </c>
      <c r="AI121" s="697">
        <f>+AI107/AI$92*400</f>
        <v>0.18817345597897503</v>
      </c>
      <c r="AJ121" s="9">
        <f t="shared" ref="AJ121:AJ125" si="802">IF(ISERROR(AI121/AA121),"NA",IF(OR(AI121/AA121&gt;2,AI121/AA121&lt;0.5),"NM",AI121/AA121*100-100))</f>
        <v>-40.094592665869378</v>
      </c>
      <c r="AK121" s="697">
        <f>+AK107/AK$92*400</f>
        <v>0.22239382239382244</v>
      </c>
      <c r="AL121" s="9">
        <f t="shared" ref="AL121:AL125" si="803">IF(ISERROR(AK121/AC121),"NA",IF(OR(AK121/AC121&gt;2,AK121/AC121&lt;0.5),"NM",AK121/AC121*100-100))</f>
        <v>-6.5893245988032731</v>
      </c>
      <c r="AM121" s="697">
        <f>+AM107/AM$92*400</f>
        <v>0.14153074027603513</v>
      </c>
      <c r="AN121" s="9">
        <f t="shared" ref="AN121:AN125" si="804">IF(ISERROR(AM121/AE121),"NA",IF(OR(AM121/AE121&gt;2,AM121/AE121&lt;0.5),"NM",AM121/AE121*100-100))</f>
        <v>10.72340241422576</v>
      </c>
      <c r="AO121" s="697">
        <f>+AO107/AO$92*400</f>
        <v>0.13938650306748465</v>
      </c>
      <c r="AP121" s="9">
        <f t="shared" ref="AP121:AP125" si="805">IF(ISERROR(AO121/AG121),"NA",IF(OR(AO121/AG121&gt;2,AO121/AG121&lt;0.5),"NM",AO121/AG121*100-100))</f>
        <v>-27.156770995806028</v>
      </c>
      <c r="AQ121" s="698">
        <f t="shared" ref="AQ121" si="806">AO121</f>
        <v>0.13938650306748465</v>
      </c>
      <c r="AR121" s="9">
        <f t="shared" ref="AR121:AR125" si="807">IF(ISERROR(AQ121/AI121),"NA",IF(OR(AQ121/AI121&gt;2,AQ121/AI121&lt;0.5),"NM",AQ121/AI121*100-100))</f>
        <v>-25.926586009528052</v>
      </c>
      <c r="AS121" s="698">
        <f t="shared" ref="AS121" si="808">AQ121</f>
        <v>0.13938650306748465</v>
      </c>
      <c r="AT121" s="9">
        <f t="shared" ref="AT121:AT125" si="809">IF(ISERROR(AS121/AK121),"NA",IF(OR(AS121/AK121&gt;2,AS121/AK121&lt;0.5),"NM",AS121/AK121*100-100))</f>
        <v>-37.324471710974791</v>
      </c>
      <c r="AU121" s="698">
        <f t="shared" ref="AU121" si="810">AS121</f>
        <v>0.13938650306748465</v>
      </c>
      <c r="AV121" s="9">
        <f t="shared" ref="AV121:AV125" si="811">IF(ISERROR(AU121/AM121),"NA",IF(OR(AU121/AM121&gt;2,AU121/AM121&lt;0.5),"NM",AU121/AM121*100-100))</f>
        <v>-1.5150328503676747</v>
      </c>
      <c r="AW121" s="698">
        <f t="shared" ref="AW121" si="812">AU121</f>
        <v>0.13938650306748465</v>
      </c>
      <c r="AX121" s="9">
        <f t="shared" ref="AX121:AX125" si="813">IF(ISERROR(AW121/AO121),"NA",IF(OR(AW121/AO121&gt;2,AW121/AO121&lt;0.5),"NM",AW121/AO121*100-100))</f>
        <v>0</v>
      </c>
      <c r="AY121" s="356"/>
      <c r="AZ121" s="618"/>
      <c r="BA121" s="620"/>
      <c r="BB121" s="60"/>
      <c r="BC121" s="226" t="str">
        <f>IF(ISERROR(BB121/#REF!),"NA",IF(OR(BB121/#REF!&gt;2,BB121/#REF!&lt;0.5),"NM",BB121/#REF!*100-100))</f>
        <v>NA</v>
      </c>
      <c r="BD121" s="914"/>
      <c r="BE121" s="226" t="str">
        <f t="shared" ref="BE121:BE124" si="814">IF(ISERROR(BD121/BB121),"NA",IF(OR(BD121/BB121&gt;2,BD121/BB121&lt;0.5),"NM",BD121/BB121*100-100))</f>
        <v>NA</v>
      </c>
      <c r="BF121" s="60">
        <f>BF107/BF92*100</f>
        <v>0.23697875688434303</v>
      </c>
      <c r="BG121" s="226" t="str">
        <f t="shared" ref="BG121:BG124" si="815">IF(ISERROR(BF121/BD121),"NA",IF(OR(BF121/BD121&gt;2,BF121/BD121&lt;0.5),"NM",BF121/BD121*100-100))</f>
        <v>NA</v>
      </c>
      <c r="BH121" s="60">
        <f>BH107/BH92*100</f>
        <v>0.21604203152364274</v>
      </c>
      <c r="BI121" s="226">
        <f t="shared" ref="BI121:BS124" si="816">IF(ISERROR(BH121/BF121),"NA",IF(OR(BH121/BF121&gt;2,BH121/BF121&lt;0.5),"NM",BH121/BF121*100-100))</f>
        <v>-8.8348532315571333</v>
      </c>
      <c r="BJ121" s="60">
        <f>BJ107/BJ92*100</f>
        <v>0.17219047619047617</v>
      </c>
      <c r="BK121" s="226">
        <f t="shared" si="816"/>
        <v>-20.297696251003643</v>
      </c>
      <c r="BL121" s="60">
        <f>BL107/BL92*100</f>
        <v>0.13938650306748465</v>
      </c>
      <c r="BM121" s="226">
        <f t="shared" si="816"/>
        <v>-19.050979966339099</v>
      </c>
      <c r="BN121" s="566">
        <f>BL121</f>
        <v>0.13938650306748465</v>
      </c>
      <c r="BO121" s="226">
        <f t="shared" si="816"/>
        <v>0</v>
      </c>
      <c r="BP121" s="566">
        <f t="shared" ref="BP121:BP122" si="817">BN121</f>
        <v>0.13938650306748465</v>
      </c>
      <c r="BQ121" s="226">
        <f t="shared" si="816"/>
        <v>0</v>
      </c>
      <c r="BR121" s="566">
        <f t="shared" ref="BR121:BR122" si="818">BP121</f>
        <v>0.13938650306748465</v>
      </c>
      <c r="BS121" s="226">
        <f t="shared" si="816"/>
        <v>0</v>
      </c>
      <c r="BT121" s="566">
        <f t="shared" ref="BT121:BT122" si="819">BR121</f>
        <v>0.13938650306748465</v>
      </c>
      <c r="BU121" s="226">
        <f t="shared" ref="BU121:BU124" si="820">IF(ISERROR(BT121/BR121),"NA",IF(OR(BT121/BR121&gt;2,BT121/BR121&lt;0.5),"NM",BT121/BR121*100-100))</f>
        <v>0</v>
      </c>
      <c r="BV121" s="226" t="str">
        <f>IF(ISERROR(BQ121/BO121),"NA",IF(OR(BQ121/BO121&gt;2,BQ121/BO121&lt;0.5),"NM",BQ121/BO121*100-100))</f>
        <v>NA</v>
      </c>
      <c r="BW121" s="621"/>
      <c r="BX121" s="621"/>
      <c r="BY121"/>
      <c r="BZ121"/>
      <c r="CA121"/>
      <c r="CB121"/>
      <c r="CC121"/>
      <c r="CD121"/>
    </row>
    <row r="122" spans="2:82" s="616" customFormat="1" ht="12.75" customHeight="1" x14ac:dyDescent="0.2">
      <c r="B122" s="62" t="s">
        <v>385</v>
      </c>
      <c r="C122" s="15"/>
      <c r="D122" s="623"/>
      <c r="E122" s="15"/>
      <c r="F122" s="623"/>
      <c r="G122" s="15"/>
      <c r="H122" s="623"/>
      <c r="I122" s="15"/>
      <c r="J122" s="623"/>
      <c r="K122" s="15"/>
      <c r="L122" s="623"/>
      <c r="M122" s="15"/>
      <c r="N122" s="620"/>
      <c r="O122" s="697">
        <f>+O108/O$161*400</f>
        <v>1.0215293244246474E-2</v>
      </c>
      <c r="P122" s="9" t="str">
        <f>IF(ISERROR(O122/G122),"NA",IF(OR(O122/G122&gt;2,O122/G122&lt;0.5),"NM",O122/G122*100-100))</f>
        <v>NA</v>
      </c>
      <c r="Q122" s="697">
        <f>+Q108/Q$92*400</f>
        <v>0.16596434359805509</v>
      </c>
      <c r="R122" s="9" t="str">
        <f t="shared" si="799"/>
        <v>NA</v>
      </c>
      <c r="S122" s="697">
        <f t="shared" si="798"/>
        <v>7.8709677419354834E-2</v>
      </c>
      <c r="T122" s="9" t="str">
        <f t="shared" si="800"/>
        <v>NA</v>
      </c>
      <c r="U122" s="697">
        <f t="shared" si="798"/>
        <v>6.773162939297124E-2</v>
      </c>
      <c r="V122" s="9" t="str">
        <f t="shared" si="801"/>
        <v>NA</v>
      </c>
      <c r="W122" s="697">
        <f t="shared" si="798"/>
        <v>-3.125E-2</v>
      </c>
      <c r="X122" s="9" t="str">
        <f>IF(ISERROR(W122/O122),"NA",IF(OR(W122/O122&gt;2,W122/O122&lt;0.5),"NM",W122/O122*100-100))</f>
        <v>NM</v>
      </c>
      <c r="Y122" s="697">
        <f t="shared" ref="Y122:AA122" si="821">+Y108/Y$92*400</f>
        <v>-4.3902439024390241E-2</v>
      </c>
      <c r="Z122" s="9" t="str">
        <f>IF(ISERROR(Y122/Q122),"NA",IF(OR(Y122/Q122&gt;2,Y122/Q122&lt;0.5),"NM",Y122/Q122*100-100))</f>
        <v>NM</v>
      </c>
      <c r="AA122" s="697">
        <f t="shared" si="821"/>
        <v>-8.352941176470588E-2</v>
      </c>
      <c r="AB122" s="9" t="str">
        <f>IF(ISERROR(AA122/S122),"NA",IF(OR(AA122/S122&gt;2,AA122/S122&lt;0.5),"NM",AA122/S122*100-100))</f>
        <v>NM</v>
      </c>
      <c r="AC122" s="697">
        <f t="shared" ref="AC122:AE122" si="822">+AC108/AC$92*400</f>
        <v>4.5133991537376628E-3</v>
      </c>
      <c r="AD122" s="9" t="str">
        <f>IF(ISERROR(AC122/U122),"NA",IF(OR(AC122/U122&gt;2,AC122/U122&lt;0.5),"NM",AC122/U122*100-100))</f>
        <v>NM</v>
      </c>
      <c r="AE122" s="697">
        <f t="shared" si="822"/>
        <v>7.9338842975206603E-2</v>
      </c>
      <c r="AF122" s="9" t="str">
        <f>IF(ISERROR(AE122/W122),"NA",IF(OR(AE122/W122&gt;2,AE122/W122&lt;0.5),"NM",AE122/W122*100-100))</f>
        <v>NM</v>
      </c>
      <c r="AG122" s="697">
        <f t="shared" ref="AG122:AI122" si="823">+AG108/AG$92*400</f>
        <v>-1.2972972972972986E-2</v>
      </c>
      <c r="AH122" s="9" t="str">
        <f t="shared" si="721"/>
        <v>NM</v>
      </c>
      <c r="AI122" s="697">
        <f t="shared" si="823"/>
        <v>-1.0512483574244415E-2</v>
      </c>
      <c r="AJ122" s="9" t="str">
        <f t="shared" si="802"/>
        <v>NM</v>
      </c>
      <c r="AK122" s="697">
        <f t="shared" ref="AK122:AM122" si="824">+AK108/AK$92*400</f>
        <v>-9.2664092664092694E-3</v>
      </c>
      <c r="AL122" s="9" t="str">
        <f t="shared" si="803"/>
        <v>NM</v>
      </c>
      <c r="AM122" s="697">
        <f t="shared" si="824"/>
        <v>-0.12547051442910914</v>
      </c>
      <c r="AN122" s="9" t="str">
        <f t="shared" si="804"/>
        <v>NM</v>
      </c>
      <c r="AO122" s="697">
        <f t="shared" ref="AO122" si="825">+AO108/AO$92*400</f>
        <v>2.6503067484662576E-2</v>
      </c>
      <c r="AP122" s="9" t="str">
        <f t="shared" si="805"/>
        <v>NM</v>
      </c>
      <c r="AQ122" s="698">
        <f t="shared" ref="AQ122" si="826">+AO122</f>
        <v>2.6503067484662576E-2</v>
      </c>
      <c r="AR122" s="9" t="str">
        <f t="shared" si="807"/>
        <v>NM</v>
      </c>
      <c r="AS122" s="698">
        <f t="shared" ref="AS122" si="827">+AQ122</f>
        <v>2.6503067484662576E-2</v>
      </c>
      <c r="AT122" s="9" t="str">
        <f t="shared" si="809"/>
        <v>NM</v>
      </c>
      <c r="AU122" s="698">
        <f t="shared" ref="AU122" si="828">+AS122</f>
        <v>2.6503067484662576E-2</v>
      </c>
      <c r="AV122" s="9" t="str">
        <f t="shared" si="811"/>
        <v>NM</v>
      </c>
      <c r="AW122" s="698">
        <f t="shared" ref="AW122" si="829">+AU122</f>
        <v>2.6503067484662576E-2</v>
      </c>
      <c r="AX122" s="9">
        <f t="shared" si="813"/>
        <v>0</v>
      </c>
      <c r="AY122" s="356"/>
      <c r="AZ122" s="618"/>
      <c r="BA122" s="620"/>
      <c r="BB122" s="60"/>
      <c r="BC122" s="226" t="str">
        <f>IF(ISERROR(BB122/#REF!),"NA",IF(OR(BB122/#REF!&gt;2,BB122/#REF!&lt;0.5),"NM",BB122/#REF!*100-100))</f>
        <v>NA</v>
      </c>
      <c r="BD122" s="914"/>
      <c r="BE122" s="226" t="str">
        <f t="shared" si="814"/>
        <v>NA</v>
      </c>
      <c r="BF122" s="60">
        <f>BF108/BF92*100</f>
        <v>1.6679779701022811E-2</v>
      </c>
      <c r="BG122" s="226" t="str">
        <f t="shared" si="815"/>
        <v>NA</v>
      </c>
      <c r="BH122" s="60">
        <f>BH108/BH92*100</f>
        <v>-1.9614711033274987E-3</v>
      </c>
      <c r="BI122" s="226" t="str">
        <f t="shared" si="816"/>
        <v>NM</v>
      </c>
      <c r="BJ122" s="60">
        <f>BJ108/BJ92*100</f>
        <v>-2.9714285714285714E-2</v>
      </c>
      <c r="BK122" s="226" t="str">
        <f t="shared" si="816"/>
        <v>NM</v>
      </c>
      <c r="BL122" s="60">
        <f>BL108/BL92*100</f>
        <v>2.6503067484662572E-2</v>
      </c>
      <c r="BM122" s="226" t="str">
        <f t="shared" si="816"/>
        <v>NM</v>
      </c>
      <c r="BN122" s="566">
        <f>BL122</f>
        <v>2.6503067484662572E-2</v>
      </c>
      <c r="BO122" s="226">
        <f t="shared" si="816"/>
        <v>0</v>
      </c>
      <c r="BP122" s="566">
        <f t="shared" si="817"/>
        <v>2.6503067484662572E-2</v>
      </c>
      <c r="BQ122" s="226">
        <f t="shared" si="816"/>
        <v>0</v>
      </c>
      <c r="BR122" s="566">
        <f t="shared" si="818"/>
        <v>2.6503067484662572E-2</v>
      </c>
      <c r="BS122" s="226">
        <f t="shared" si="816"/>
        <v>0</v>
      </c>
      <c r="BT122" s="566">
        <f t="shared" si="819"/>
        <v>2.6503067484662572E-2</v>
      </c>
      <c r="BU122" s="226">
        <f t="shared" si="820"/>
        <v>0</v>
      </c>
      <c r="BV122" s="226" t="str">
        <f>IF(ISERROR(BQ122/BO122),"NA",IF(OR(BQ122/BO122&gt;2,BQ122/BO122&lt;0.5),"NM",BQ122/BO122*100-100))</f>
        <v>NA</v>
      </c>
      <c r="BW122" s="621"/>
      <c r="BX122" s="621"/>
      <c r="BY122"/>
      <c r="BZ122"/>
      <c r="CA122"/>
      <c r="CB122"/>
      <c r="CC122"/>
      <c r="CD122"/>
    </row>
    <row r="123" spans="2:82" s="616" customFormat="1" ht="12.75" customHeight="1" x14ac:dyDescent="0.2">
      <c r="B123" s="62" t="s">
        <v>264</v>
      </c>
      <c r="C123" s="15"/>
      <c r="D123" s="623"/>
      <c r="E123" s="15"/>
      <c r="F123" s="623"/>
      <c r="G123" s="15"/>
      <c r="H123" s="623"/>
      <c r="I123" s="15"/>
      <c r="J123" s="623"/>
      <c r="K123" s="15"/>
      <c r="L123" s="623"/>
      <c r="M123" s="15"/>
      <c r="N123" s="620"/>
      <c r="O123" s="697">
        <f>+O109/O92*400</f>
        <v>0.32077922077922083</v>
      </c>
      <c r="P123" s="9" t="str">
        <f t="shared" ref="P123" si="830">IF(ISERROR(O123/G123),"NA",IF(OR(O123/G123&gt;2,O123/G123&lt;0.5),"NM",O123/G123*100-100))</f>
        <v>NA</v>
      </c>
      <c r="Q123" s="697">
        <f>+Q109/Q92*400</f>
        <v>0.34359805510534847</v>
      </c>
      <c r="R123" s="9" t="str">
        <f t="shared" si="799"/>
        <v>NA</v>
      </c>
      <c r="S123" s="697">
        <f>+S109/S92*400</f>
        <v>0.33677419354838711</v>
      </c>
      <c r="T123" s="9" t="str">
        <f t="shared" si="800"/>
        <v>NA</v>
      </c>
      <c r="U123" s="697">
        <f>+U109/U92*400</f>
        <v>0.34632587859424924</v>
      </c>
      <c r="V123" s="9" t="str">
        <f t="shared" si="801"/>
        <v>NA</v>
      </c>
      <c r="W123" s="697">
        <f>+W109/W92*400</f>
        <v>0.34625000000000006</v>
      </c>
      <c r="X123" s="9">
        <f>IF(ISERROR(W123/O123),"NA",IF(OR(W123/O123&gt;2,W123/O123&lt;0.5),"NM",W123/O123*100-100))</f>
        <v>7.9402834008097187</v>
      </c>
      <c r="Y123" s="697">
        <f>+Y109/Y92*400</f>
        <v>0.35975609756097565</v>
      </c>
      <c r="Z123" s="9">
        <f>IF(ISERROR(Y123/Q123),"NA",IF(OR(Y123/Q123&gt;2,Y123/Q123&lt;0.5),"NM",Y123/Q123*100-100))</f>
        <v>4.702600092038665</v>
      </c>
      <c r="AA123" s="697">
        <f>+AA109/AA92*400</f>
        <v>0.32588235294117646</v>
      </c>
      <c r="AB123" s="9">
        <f>IF(ISERROR(AA123/S123),"NA",IF(OR(AA123/S123&gt;2,AA123/S123&lt;0.5),"NM",AA123/S123*100-100))</f>
        <v>-3.2341672301104438</v>
      </c>
      <c r="AC123" s="697">
        <f>+AC109/AC92*400</f>
        <v>0.33850493653032443</v>
      </c>
      <c r="AD123" s="9">
        <f>IF(ISERROR(AC123/U123),"NA",IF(OR(AC123/U123&gt;2,AC123/U123&lt;0.5),"NM",AC123/U123*100-100))</f>
        <v>-2.2582609465022756</v>
      </c>
      <c r="AE123" s="697">
        <f>+AE109/AE92*400</f>
        <v>0.29972451790633609</v>
      </c>
      <c r="AF123" s="9">
        <f>IF(ISERROR(AE123/W123),"NA",IF(OR(AE123/W123&gt;2,AE123/W123&lt;0.5),"NM",AE123/W123*100-100))</f>
        <v>-13.436962337520271</v>
      </c>
      <c r="AG123" s="697">
        <f>+AG109/AG92*400</f>
        <v>0.31459459459459455</v>
      </c>
      <c r="AH123" s="9">
        <f t="shared" si="721"/>
        <v>-12.553366926248316</v>
      </c>
      <c r="AI123" s="697">
        <f>+AI109/AI92*400</f>
        <v>0.28909329829172142</v>
      </c>
      <c r="AJ123" s="9">
        <f t="shared" si="802"/>
        <v>-11.289060090988016</v>
      </c>
      <c r="AK123" s="697">
        <f>+AK109/AK92*400</f>
        <v>0.28931788931788932</v>
      </c>
      <c r="AL123" s="9">
        <f t="shared" si="803"/>
        <v>-14.530673530673539</v>
      </c>
      <c r="AM123" s="697">
        <f>+AM109/AM92*400</f>
        <v>0.2740276035131744</v>
      </c>
      <c r="AN123" s="9">
        <f t="shared" si="804"/>
        <v>-8.5735109602184707</v>
      </c>
      <c r="AO123" s="697">
        <f>+AO109/AO92*400</f>
        <v>0.31607361963190178</v>
      </c>
      <c r="AP123" s="9">
        <f t="shared" si="805"/>
        <v>0.47013682457360062</v>
      </c>
      <c r="AQ123" s="697">
        <f t="shared" ref="AQ123:AW123" si="831">AQ125-AQ122-AQ121</f>
        <v>0.30607361963190172</v>
      </c>
      <c r="AR123" s="9">
        <f t="shared" si="807"/>
        <v>5.8736475181260062</v>
      </c>
      <c r="AS123" s="697">
        <f t="shared" si="831"/>
        <v>0.30607361963190172</v>
      </c>
      <c r="AT123" s="9">
        <f t="shared" si="809"/>
        <v>5.791460166364601</v>
      </c>
      <c r="AU123" s="697">
        <f t="shared" si="831"/>
        <v>0.30607361963190172</v>
      </c>
      <c r="AV123" s="9">
        <f t="shared" si="811"/>
        <v>11.694448189846923</v>
      </c>
      <c r="AW123" s="697">
        <f t="shared" si="831"/>
        <v>0.30607361963190172</v>
      </c>
      <c r="AX123" s="9">
        <f t="shared" si="813"/>
        <v>-3.1638198757764258</v>
      </c>
      <c r="AY123" s="356"/>
      <c r="AZ123" s="618"/>
      <c r="BA123" s="620"/>
      <c r="BB123" s="60"/>
      <c r="BC123" s="226" t="str">
        <f>IF(ISERROR(BB123/#REF!),"NA",IF(OR(BB123/#REF!&gt;2,BB123/#REF!&lt;0.5),"NM",BB123/#REF!*100-100))</f>
        <v>NA</v>
      </c>
      <c r="BD123" s="914"/>
      <c r="BE123" s="226" t="str">
        <f t="shared" si="814"/>
        <v>NA</v>
      </c>
      <c r="BF123" s="60">
        <f>BF109/BF92*100</f>
        <v>0.34744295830055077</v>
      </c>
      <c r="BG123" s="226" t="str">
        <f t="shared" si="815"/>
        <v>NA</v>
      </c>
      <c r="BH123" s="60">
        <f>BH109/BH92*100</f>
        <v>0.31943957968476355</v>
      </c>
      <c r="BI123" s="226">
        <f t="shared" si="816"/>
        <v>-8.0598492347521642</v>
      </c>
      <c r="BJ123" s="60">
        <f>BJ109/BJ92*100</f>
        <v>0.29231746031746031</v>
      </c>
      <c r="BK123" s="226">
        <f t="shared" si="816"/>
        <v>-8.490531885268723</v>
      </c>
      <c r="BL123" s="60">
        <f>BL109/BL92*100</f>
        <v>0.30607361963190172</v>
      </c>
      <c r="BM123" s="226">
        <f t="shared" si="816"/>
        <v>4.7058972459264083</v>
      </c>
      <c r="BN123" s="60">
        <f t="shared" ref="BN123:BP123" si="832">BN125-BN121-BN122</f>
        <v>0.30607361963190172</v>
      </c>
      <c r="BO123" s="226">
        <f t="shared" si="816"/>
        <v>0</v>
      </c>
      <c r="BP123" s="60">
        <f t="shared" si="832"/>
        <v>0.29607361963190171</v>
      </c>
      <c r="BQ123" s="226">
        <f t="shared" si="816"/>
        <v>-3.2671878131890253</v>
      </c>
      <c r="BR123" s="60">
        <f t="shared" ref="BR123:BT123" si="833">BR125-BR121-BR122</f>
        <v>0.2860736196319017</v>
      </c>
      <c r="BS123" s="226">
        <f t="shared" si="816"/>
        <v>-3.3775383340240381</v>
      </c>
      <c r="BT123" s="60">
        <f t="shared" si="833"/>
        <v>0.27607361963190169</v>
      </c>
      <c r="BU123" s="226">
        <f t="shared" si="820"/>
        <v>-3.4956036886124764</v>
      </c>
      <c r="BV123" s="226" t="str">
        <f>IF(ISERROR(BQ123/BO123),"NA",IF(OR(BQ123/BO123&gt;2,BQ123/BO123&lt;0.5),"NM",BQ123/BO123*100-100))</f>
        <v>NA</v>
      </c>
      <c r="BW123" s="621"/>
      <c r="BX123" s="621"/>
      <c r="BY123"/>
      <c r="BZ123"/>
      <c r="CA123"/>
      <c r="CB123"/>
      <c r="CC123"/>
      <c r="CD123"/>
    </row>
    <row r="124" spans="2:82" s="616" customFormat="1" ht="12.75" customHeight="1" x14ac:dyDescent="0.2">
      <c r="B124" s="62" t="s">
        <v>425</v>
      </c>
      <c r="C124" s="15"/>
      <c r="D124" s="623"/>
      <c r="E124" s="15"/>
      <c r="F124" s="623"/>
      <c r="G124" s="15"/>
      <c r="H124" s="623"/>
      <c r="I124" s="15"/>
      <c r="J124" s="623"/>
      <c r="K124" s="15"/>
      <c r="L124" s="623"/>
      <c r="M124" s="15"/>
      <c r="N124" s="620"/>
      <c r="O124" s="699">
        <f>O123+O122+O121</f>
        <v>0.46216334519229846</v>
      </c>
      <c r="P124" s="9" t="str">
        <f>IF(ISERROR(O124/G124),"NA",IF(OR(O124/G124&gt;2,O124/G124&lt;0.5),"NM",O124/G124*100-100))</f>
        <v>NA</v>
      </c>
      <c r="Q124" s="699">
        <f>Q123+Q122+Q121</f>
        <v>0.67163695299837922</v>
      </c>
      <c r="R124" s="9" t="str">
        <f>IF(ISERROR(Q124/I124),"NA",IF(OR(Q124/I124&gt;2,Q124/I124&lt;0.5),"NM",Q124/I124*100-100))</f>
        <v>NA</v>
      </c>
      <c r="S124" s="699">
        <f>S123+S122+S121</f>
        <v>0.58838709677419354</v>
      </c>
      <c r="T124" s="9" t="str">
        <f>IF(ISERROR(S124/K124),"NA",IF(OR(S124/K124&gt;2,S124/K124&lt;0.5),"NM",S124/K124*100-100))</f>
        <v>NA</v>
      </c>
      <c r="U124" s="699">
        <f>U123+U122+U121</f>
        <v>0.6619808306709265</v>
      </c>
      <c r="V124" s="9" t="str">
        <f>IF(ISERROR(U124/M124),"NA",IF(OR(U124/M124&gt;2,U124/M124&lt;0.5),"NM",U124/M124*100-100))</f>
        <v>NA</v>
      </c>
      <c r="W124" s="699">
        <f t="shared" ref="W124:Y124" si="834">W123+W122+W121</f>
        <v>0.59125000000000005</v>
      </c>
      <c r="X124" s="9">
        <f>IF(ISERROR(W124/O124),"NA",IF(OR(W124/O124&gt;2,W124/O124&lt;0.5),"NM",W124/O124*100-100))</f>
        <v>27.93095907551708</v>
      </c>
      <c r="Y124" s="699">
        <f t="shared" si="834"/>
        <v>0.56463414634146347</v>
      </c>
      <c r="Z124" s="9">
        <f>IF(ISERROR(Y124/Q124),"NA",IF(OR(Y124/Q124&gt;2,Y124/Q124&lt;0.5),"NM",Y124/Q124*100-100))</f>
        <v>-15.931643751765691</v>
      </c>
      <c r="AA124" s="699">
        <f t="shared" ref="AA124:AC124" si="835">AA123+AA122+AA121</f>
        <v>0.55647058823529416</v>
      </c>
      <c r="AB124" s="9">
        <f>IF(ISERROR(AA124/S124),"NA",IF(OR(AA124/S124&gt;2,AA124/S124&lt;0.5),"NM",AA124/S124*100-100))</f>
        <v>-5.424406604747162</v>
      </c>
      <c r="AC124" s="699">
        <f t="shared" si="835"/>
        <v>0.58110014104372365</v>
      </c>
      <c r="AD124" s="9">
        <f>IF(ISERROR(AC124/U124),"NA",IF(OR(AC124/U124&gt;2,AC124/U124&lt;0.5),"NM",AC124/U124*100-100))</f>
        <v>-12.217980624186538</v>
      </c>
      <c r="AE124" s="699">
        <f t="shared" ref="AE124:AG124" si="836">AE123+AE122+AE121</f>
        <v>0.50688705234159781</v>
      </c>
      <c r="AF124" s="9">
        <f>IF(ISERROR(AE124/W124),"NA",IF(OR(AE124/W124&gt;2,AE124/W124&lt;0.5),"NM",AE124/W124*100-100))</f>
        <v>-14.26857465681222</v>
      </c>
      <c r="AG124" s="699">
        <f t="shared" si="836"/>
        <v>0.49297297297297288</v>
      </c>
      <c r="AH124" s="9">
        <f t="shared" si="721"/>
        <v>-12.691611698091208</v>
      </c>
      <c r="AI124" s="699">
        <f t="shared" ref="AI124:AK124" si="837">AI123+AI122+AI121</f>
        <v>0.46675427069645203</v>
      </c>
      <c r="AJ124" s="9">
        <f t="shared" si="802"/>
        <v>-16.122382644400801</v>
      </c>
      <c r="AK124" s="699">
        <f t="shared" si="837"/>
        <v>0.5024453024453025</v>
      </c>
      <c r="AL124" s="9">
        <f t="shared" si="803"/>
        <v>-13.535504991815671</v>
      </c>
      <c r="AM124" s="699">
        <f t="shared" ref="AM124:AO124" si="838">AM123+AM122+AM121</f>
        <v>0.29008782936010036</v>
      </c>
      <c r="AN124" s="9">
        <f t="shared" si="804"/>
        <v>-42.770716272980202</v>
      </c>
      <c r="AO124" s="699">
        <f t="shared" si="838"/>
        <v>0.48196319018404898</v>
      </c>
      <c r="AP124" s="9">
        <f t="shared" si="805"/>
        <v>-2.2333440964374205</v>
      </c>
      <c r="AQ124" s="700">
        <f>AO124-0.01</f>
        <v>0.47196319018404898</v>
      </c>
      <c r="AR124" s="9">
        <f t="shared" si="807"/>
        <v>1.1159875366163448</v>
      </c>
      <c r="AS124" s="700">
        <f t="shared" ref="AS124" si="839">AQ124</f>
        <v>0.47196319018404898</v>
      </c>
      <c r="AT124" s="9">
        <f t="shared" si="809"/>
        <v>-6.0667523634718208</v>
      </c>
      <c r="AU124" s="700">
        <f t="shared" ref="AU124" si="840">AS124</f>
        <v>0.47196319018404898</v>
      </c>
      <c r="AV124" s="9">
        <f t="shared" si="811"/>
        <v>62.696653363618964</v>
      </c>
      <c r="AW124" s="700">
        <f t="shared" ref="AW124" si="841">AU124</f>
        <v>0.47196319018404898</v>
      </c>
      <c r="AX124" s="9">
        <f t="shared" si="813"/>
        <v>-2.0748472505091655</v>
      </c>
      <c r="AY124" s="356"/>
      <c r="AZ124" s="618"/>
      <c r="BA124" s="620"/>
      <c r="BB124" s="60"/>
      <c r="BC124" s="226" t="str">
        <f>IF(ISERROR(BB124/#REF!),"NA",IF(OR(BB124/#REF!&gt;2,BB124/#REF!&lt;0.5),"NM",BB124/#REF!*100-100))</f>
        <v>NA</v>
      </c>
      <c r="BD124" s="914"/>
      <c r="BE124" s="226" t="str">
        <f t="shared" si="814"/>
        <v>NA</v>
      </c>
      <c r="BF124" s="60">
        <f>BF121+BF122+BF123</f>
        <v>0.60110149488591658</v>
      </c>
      <c r="BG124" s="226" t="str">
        <f t="shared" si="815"/>
        <v>NA</v>
      </c>
      <c r="BH124" s="60">
        <f t="shared" ref="BH124" si="842">BH121+BH122+BH123</f>
        <v>0.53352014010507876</v>
      </c>
      <c r="BI124" s="226">
        <f t="shared" si="816"/>
        <v>-11.242919100320009</v>
      </c>
      <c r="BJ124" s="60">
        <f t="shared" ref="BJ124" si="843">BJ121+BJ122+BJ123</f>
        <v>0.43479365079365073</v>
      </c>
      <c r="BK124" s="226">
        <f t="shared" si="816"/>
        <v>-18.504735227424305</v>
      </c>
      <c r="BL124" s="60">
        <f t="shared" ref="BL124" si="844">BL121+BL122+BL123</f>
        <v>0.47196319018404898</v>
      </c>
      <c r="BM124" s="226">
        <f t="shared" si="816"/>
        <v>8.5487769479960889</v>
      </c>
      <c r="BN124" s="566">
        <f>BL124</f>
        <v>0.47196319018404898</v>
      </c>
      <c r="BO124" s="226">
        <f t="shared" si="816"/>
        <v>0</v>
      </c>
      <c r="BP124" s="566">
        <f>BN124-0.01</f>
        <v>0.46196319018404897</v>
      </c>
      <c r="BQ124" s="226">
        <f t="shared" si="816"/>
        <v>-2.1188093071623655</v>
      </c>
      <c r="BR124" s="566">
        <f>BP124-0.01</f>
        <v>0.45196319018404896</v>
      </c>
      <c r="BS124" s="226">
        <f t="shared" si="816"/>
        <v>-2.1646746347941672</v>
      </c>
      <c r="BT124" s="566">
        <f>BR124-0.01</f>
        <v>0.44196319018404895</v>
      </c>
      <c r="BU124" s="226">
        <f t="shared" si="820"/>
        <v>-2.2125695669879235</v>
      </c>
      <c r="BV124" s="226" t="str">
        <f>IF(ISERROR(BQ124/BO124),"NA",IF(OR(BQ124/BO124&gt;2,BQ124/BO124&lt;0.5),"NM",BQ124/BO124*100-100))</f>
        <v>NA</v>
      </c>
      <c r="BW124" s="621"/>
      <c r="BX124" s="621"/>
      <c r="BY124"/>
      <c r="BZ124"/>
      <c r="CA124"/>
      <c r="CB124"/>
      <c r="CC124"/>
      <c r="CD124"/>
    </row>
    <row r="125" spans="2:82" s="616" customFormat="1" ht="12.75" hidden="1" customHeight="1" outlineLevel="1" x14ac:dyDescent="0.2">
      <c r="B125" s="301" t="s">
        <v>64</v>
      </c>
      <c r="C125" s="15"/>
      <c r="D125" s="623"/>
      <c r="E125" s="15"/>
      <c r="F125" s="623"/>
      <c r="G125" s="15"/>
      <c r="H125" s="623"/>
      <c r="I125" s="15"/>
      <c r="J125" s="623"/>
      <c r="K125" s="15"/>
      <c r="L125" s="623"/>
      <c r="M125" s="15"/>
      <c r="N125" s="620"/>
      <c r="O125" s="302"/>
      <c r="P125" s="46"/>
      <c r="Q125" s="302"/>
      <c r="R125" s="46"/>
      <c r="S125" s="302"/>
      <c r="T125" s="46"/>
      <c r="U125" s="302"/>
      <c r="V125" s="46"/>
      <c r="W125" s="302"/>
      <c r="X125" s="46"/>
      <c r="Y125" s="302"/>
      <c r="Z125" s="46"/>
      <c r="AA125" s="302"/>
      <c r="AB125" s="46"/>
      <c r="AC125" s="302"/>
      <c r="AD125" s="46"/>
      <c r="AE125" s="302"/>
      <c r="AF125" s="46"/>
      <c r="AG125" s="302"/>
      <c r="AH125" s="9" t="str">
        <f t="shared" si="721"/>
        <v>NA</v>
      </c>
      <c r="AI125" s="302"/>
      <c r="AJ125" s="9" t="str">
        <f t="shared" si="802"/>
        <v>NA</v>
      </c>
      <c r="AK125" s="302"/>
      <c r="AL125" s="9" t="str">
        <f t="shared" si="803"/>
        <v>NA</v>
      </c>
      <c r="AM125" s="302"/>
      <c r="AN125" s="9" t="str">
        <f t="shared" si="804"/>
        <v>NA</v>
      </c>
      <c r="AO125" s="302"/>
      <c r="AP125" s="9" t="str">
        <f t="shared" si="805"/>
        <v>NA</v>
      </c>
      <c r="AQ125" s="302">
        <f>IF($B$6=1,AQ124,IF($B$6=2,AQ124+AQ1002,IF($B$6=3,AQ124+AQ1003)))</f>
        <v>0.47196319018404898</v>
      </c>
      <c r="AR125" s="9" t="str">
        <f t="shared" si="807"/>
        <v>NA</v>
      </c>
      <c r="AS125" s="302">
        <f>IF($B$6=1,AS124,IF($B$6=2,AS124+AS1002,IF($B$6=3,AS124+AS1003)))</f>
        <v>0.47196319018404898</v>
      </c>
      <c r="AT125" s="9" t="str">
        <f t="shared" si="809"/>
        <v>NA</v>
      </c>
      <c r="AU125" s="302">
        <f>IF($B$6=1,AU124,IF($B$6=2,AU124+AU1002,IF($B$6=3,AU124+AU1003)))</f>
        <v>0.47196319018404898</v>
      </c>
      <c r="AV125" s="9" t="str">
        <f t="shared" si="811"/>
        <v>NA</v>
      </c>
      <c r="AW125" s="302">
        <f>IF($B$6=1,AW124,IF($B$6=2,AW124+AW1002,IF($B$6=3,AW124+AW1003)))</f>
        <v>0.47196319018404898</v>
      </c>
      <c r="AX125" s="9" t="str">
        <f t="shared" si="813"/>
        <v>NA</v>
      </c>
      <c r="AY125" s="356"/>
      <c r="AZ125" s="618"/>
      <c r="BA125" s="620"/>
      <c r="BB125" s="302"/>
      <c r="BC125" s="302" t="str">
        <f>IF($B$6=1,BC124,IF($B$6=2,BC124+BC1002,IF($B$6=3,BC124+BC1003)))</f>
        <v>NA</v>
      </c>
      <c r="BD125" s="919"/>
      <c r="BE125" s="302" t="str">
        <f t="shared" ref="BE125:BU125" si="845">IF($B$6=1,BE124,IF($B$6=2,BE124+BE1002,IF($B$6=3,BE124+BE1003)))</f>
        <v>NA</v>
      </c>
      <c r="BF125" s="302">
        <f t="shared" si="845"/>
        <v>0.60110149488591658</v>
      </c>
      <c r="BG125" s="302" t="str">
        <f t="shared" si="845"/>
        <v>NA</v>
      </c>
      <c r="BH125" s="302">
        <f t="shared" si="845"/>
        <v>0.53352014010507876</v>
      </c>
      <c r="BI125" s="302">
        <f t="shared" si="845"/>
        <v>-11.242919100320009</v>
      </c>
      <c r="BJ125" s="302">
        <f t="shared" si="845"/>
        <v>0.43479365079365073</v>
      </c>
      <c r="BK125" s="302">
        <f t="shared" si="845"/>
        <v>-18.504735227424305</v>
      </c>
      <c r="BL125" s="302">
        <f t="shared" si="845"/>
        <v>0.47196319018404898</v>
      </c>
      <c r="BM125" s="302">
        <f t="shared" si="845"/>
        <v>8.5487769479960889</v>
      </c>
      <c r="BN125" s="302">
        <f t="shared" si="845"/>
        <v>0.47196319018404898</v>
      </c>
      <c r="BO125" s="302">
        <f t="shared" si="845"/>
        <v>0</v>
      </c>
      <c r="BP125" s="302">
        <f t="shared" si="845"/>
        <v>0.46196319018404897</v>
      </c>
      <c r="BQ125" s="623">
        <f t="shared" si="845"/>
        <v>-2.1188093071623655</v>
      </c>
      <c r="BR125" s="302">
        <f t="shared" si="845"/>
        <v>0.45196319018404896</v>
      </c>
      <c r="BS125" s="623">
        <f t="shared" si="845"/>
        <v>-2.1646746347941672</v>
      </c>
      <c r="BT125" s="302">
        <f t="shared" si="845"/>
        <v>0.44196319018404895</v>
      </c>
      <c r="BU125" s="623">
        <f t="shared" si="845"/>
        <v>-2.2125695669879235</v>
      </c>
      <c r="BV125" s="43">
        <f>IF(ISERROR(((BT125/BJ125)^0.2-1)*100),"NA",IF((((BT125/BJ125)^0.2-1)*100)&gt;100,"NM",IF((((BT125/BJ125)^0.2-1)*100)&lt;-50,"NM",((BT125/BJ125)^0.2-1)*100)))</f>
        <v>0.327636477498916</v>
      </c>
      <c r="BW125" s="621"/>
      <c r="BX125" s="621"/>
      <c r="BY125"/>
      <c r="BZ125"/>
      <c r="CA125"/>
      <c r="CB125"/>
      <c r="CC125"/>
      <c r="CD125"/>
    </row>
    <row r="126" spans="2:82" s="616" customFormat="1" ht="12.75" customHeight="1" collapsed="1" x14ac:dyDescent="0.2">
      <c r="B126" s="67"/>
      <c r="C126" s="15"/>
      <c r="D126" s="623"/>
      <c r="E126" s="15"/>
      <c r="F126" s="623"/>
      <c r="G126" s="15"/>
      <c r="H126" s="623"/>
      <c r="I126" s="15"/>
      <c r="J126" s="623"/>
      <c r="K126" s="15"/>
      <c r="L126" s="623"/>
      <c r="M126" s="15"/>
      <c r="N126" s="620"/>
      <c r="O126" s="696"/>
      <c r="P126" s="9"/>
      <c r="Q126" s="696"/>
      <c r="R126" s="9"/>
      <c r="S126" s="696"/>
      <c r="T126" s="9"/>
      <c r="U126" s="696"/>
      <c r="V126" s="9"/>
      <c r="W126" s="696"/>
      <c r="X126" s="9"/>
      <c r="Y126" s="696"/>
      <c r="Z126" s="9"/>
      <c r="AA126" s="696"/>
      <c r="AB126" s="9"/>
      <c r="AC126" s="696"/>
      <c r="AD126" s="9"/>
      <c r="AE126" s="696"/>
      <c r="AF126" s="9"/>
      <c r="AG126" s="696"/>
      <c r="AH126" s="620"/>
      <c r="AI126" s="696"/>
      <c r="AJ126" s="620"/>
      <c r="AK126" s="696"/>
      <c r="AL126" s="620"/>
      <c r="AM126" s="696"/>
      <c r="AN126" s="620"/>
      <c r="AO126" s="696"/>
      <c r="AP126" s="620"/>
      <c r="AQ126" s="696"/>
      <c r="AR126" s="620"/>
      <c r="AS126" s="696"/>
      <c r="AT126" s="620"/>
      <c r="AU126" s="696"/>
      <c r="AV126" s="620"/>
      <c r="AW126" s="696"/>
      <c r="AX126" s="620"/>
      <c r="AY126" s="356"/>
      <c r="AZ126" s="618"/>
      <c r="BA126" s="620"/>
      <c r="BB126" s="55"/>
      <c r="BC126" s="55"/>
      <c r="BD126" s="908"/>
      <c r="BE126" s="55"/>
      <c r="BF126" s="55"/>
      <c r="BG126" s="626"/>
      <c r="BH126" s="55"/>
      <c r="BI126" s="626"/>
      <c r="BJ126" s="55"/>
      <c r="BK126" s="626"/>
      <c r="BL126" s="55"/>
      <c r="BM126" s="626"/>
      <c r="BN126" s="55"/>
      <c r="BO126" s="626"/>
      <c r="BP126" s="55"/>
      <c r="BQ126" s="623"/>
      <c r="BR126" s="55"/>
      <c r="BS126" s="623"/>
      <c r="BT126" s="55"/>
      <c r="BU126" s="623"/>
      <c r="BV126" s="43"/>
      <c r="BW126" s="621"/>
      <c r="BX126" s="621"/>
      <c r="BY126"/>
      <c r="BZ126"/>
      <c r="CA126"/>
      <c r="CB126"/>
      <c r="CC126"/>
      <c r="CD126"/>
    </row>
    <row r="127" spans="2:82" s="616" customFormat="1" ht="12.75" customHeight="1" x14ac:dyDescent="0.2">
      <c r="B127" s="62" t="s">
        <v>365</v>
      </c>
      <c r="C127" s="15"/>
      <c r="D127" s="623"/>
      <c r="E127" s="15"/>
      <c r="F127" s="623"/>
      <c r="G127" s="15"/>
      <c r="H127" s="623"/>
      <c r="I127" s="15"/>
      <c r="J127" s="623"/>
      <c r="K127" s="15"/>
      <c r="L127" s="623"/>
      <c r="M127" s="15"/>
      <c r="N127" s="620"/>
      <c r="O127" s="697">
        <f>+O111/O92*400</f>
        <v>0.80649350649350826</v>
      </c>
      <c r="P127" s="9" t="str">
        <f>IF(ISERROR(O127/G127),"NA",IF(OR(O127/G127&gt;2,O127/G127&lt;0.5),"NM",O127/G127*100-100))</f>
        <v>NA</v>
      </c>
      <c r="Q127" s="697">
        <f>+Q111/Q92*400</f>
        <v>0.77406807131280597</v>
      </c>
      <c r="R127" s="9" t="str">
        <f>IF(ISERROR(Q127/I127),"NA",IF(OR(Q127/I127&gt;2,Q127/I127&lt;0.5),"NM",Q127/I127*100-100))</f>
        <v>NA</v>
      </c>
      <c r="S127" s="697">
        <f>+S111/S92*400</f>
        <v>0.78838709677419239</v>
      </c>
      <c r="T127" s="9" t="str">
        <f>IF(ISERROR(S127/K127),"NA",IF(OR(S127/K127&gt;2,S127/K127&lt;0.5),"NM",S127/K127*100-100))</f>
        <v>NA</v>
      </c>
      <c r="U127" s="697">
        <f>+U111/U92*400</f>
        <v>0.93929712460063908</v>
      </c>
      <c r="V127" s="9" t="str">
        <f>IF(ISERROR(U127/M127),"NA",IF(OR(U127/M127&gt;2,U127/M127&lt;0.5),"NM",U127/M127*100-100))</f>
        <v>NA</v>
      </c>
      <c r="W127" s="697">
        <f>+W111/W92*400</f>
        <v>0.62375000000000114</v>
      </c>
      <c r="X127" s="9">
        <f>IF(ISERROR(W127/O127),"NA",IF(OR(W127/O127&gt;2,W127/O127&lt;0.5),"NM",W127/O127*100-100))</f>
        <v>-22.659017713365571</v>
      </c>
      <c r="Y127" s="697">
        <f>+Y111/Y92*400</f>
        <v>0.75731707317073194</v>
      </c>
      <c r="Z127" s="9">
        <f>IF(ISERROR(Y127/Q127),"NA",IF(OR(Y127/Q127&gt;2,Y127/Q127&lt;0.5),"NM",Y127/Q127*100-100))</f>
        <v>-2.1640213261431427</v>
      </c>
      <c r="AA127" s="697">
        <f>+AA111/AA92*400</f>
        <v>0.79294117647058793</v>
      </c>
      <c r="AB127" s="9">
        <f>IF(ISERROR(AA127/S127),"NA",IF(OR(AA127/S127&gt;2,AA127/S127&lt;0.5),"NM",AA127/S127*100-100))</f>
        <v>0.57764513333987111</v>
      </c>
      <c r="AC127" s="697">
        <f>+AC111/AC92*400</f>
        <v>0.7921015514809584</v>
      </c>
      <c r="AD127" s="9">
        <f>IF(ISERROR(AC127/U127),"NA",IF(OR(AC127/U127&gt;2,AC127/U127&lt;0.5),"NM",AC127/U127*100-100))</f>
        <v>-15.670821219884374</v>
      </c>
      <c r="AE127" s="697">
        <f>+AE111/AE92*400</f>
        <v>0.83746556473829203</v>
      </c>
      <c r="AF127" s="9">
        <f>IF(ISERROR(AE127/W127),"NA",IF(OR(AE127/W127&gt;2,AE127/W127&lt;0.5),"NM",AE127/W127*100-100))</f>
        <v>34.263016390908291</v>
      </c>
      <c r="AG127" s="697">
        <f>+AG111/AG92*400</f>
        <v>0.94594594594594361</v>
      </c>
      <c r="AH127" s="9">
        <f t="shared" si="721"/>
        <v>24.907516211863694</v>
      </c>
      <c r="AI127" s="697">
        <f>+AI111/AI92*400</f>
        <v>1.0459921156373204</v>
      </c>
      <c r="AJ127" s="9">
        <f t="shared" ref="AJ127:AJ129" si="846">IF(ISERROR(AI127/AA127),"NA",IF(OR(AI127/AA127&gt;2,AI127/AA127&lt;0.5),"NM",AI127/AA127*100-100))</f>
        <v>31.912952268801604</v>
      </c>
      <c r="AK127" s="697">
        <f>+AK111/AK92*400</f>
        <v>0.99150579150579332</v>
      </c>
      <c r="AL127" s="9">
        <f t="shared" ref="AL127:AL129" si="847">IF(ISERROR(AK127/AC127),"NA",IF(OR(AK127/AC127&gt;2,AK127/AC127&lt;0.5),"NM",AK127/AC127*100-100))</f>
        <v>25.174075174075512</v>
      </c>
      <c r="AM127" s="697">
        <f>+AM111/AM92*400</f>
        <v>1.0248431618569649</v>
      </c>
      <c r="AN127" s="9">
        <f t="shared" ref="AN127:AN129" si="848">IF(ISERROR(AM127/AE127),"NA",IF(OR(AM127/AE127&gt;2,AM127/AE127&lt;0.5),"NM",AM127/AE127*100-100))</f>
        <v>22.374364392788905</v>
      </c>
      <c r="AO127" s="697">
        <f>+AO111/AO92*400</f>
        <v>0.73717791411042632</v>
      </c>
      <c r="AP127" s="9">
        <f t="shared" ref="AP127:AP129" si="849">IF(ISERROR(AO127/AG127),"NA",IF(OR(AO127/AG127&gt;2,AO127/AG127&lt;0.5),"NM",AO127/AG127*100-100))</f>
        <v>-22.069763365469015</v>
      </c>
      <c r="AQ127" s="697">
        <f t="shared" ref="AQ127:AW127" si="850">+AQ111/AQ92*400</f>
        <v>0.86803680981595266</v>
      </c>
      <c r="AR127" s="9">
        <f t="shared" ref="AR127:AR129" si="851">IF(ISERROR(AQ127/AI127),"NA",IF(OR(AQ127/AI127&gt;2,AQ127/AI127&lt;0.5),"NM",AQ127/AI127*100-100))</f>
        <v>-17.013063785183519</v>
      </c>
      <c r="AS127" s="697">
        <f t="shared" si="850"/>
        <v>0.81803680981594962</v>
      </c>
      <c r="AT127" s="9">
        <f t="shared" ref="AT127:AT129" si="852">IF(ISERROR(AS127/AK127),"NA",IF(OR(AS127/AK127&gt;2,AS127/AK127&lt;0.5),"NM",AS127/AK127*100-100))</f>
        <v>-17.495508667316756</v>
      </c>
      <c r="AU127" s="697">
        <f t="shared" si="850"/>
        <v>0.81803680981595195</v>
      </c>
      <c r="AV127" s="9">
        <f t="shared" ref="AV127:AV129" si="853">IF(ISERROR(AU127/AM127),"NA",IF(OR(AU127/AM127&gt;2,AU127/AM127&lt;0.5),"NM",AU127/AM127*100-100))</f>
        <v>-20.179317161690392</v>
      </c>
      <c r="AW127" s="697">
        <f t="shared" si="850"/>
        <v>0.79803680981595237</v>
      </c>
      <c r="AX127" s="9">
        <f t="shared" ref="AX127:AX129" si="854">IF(ISERROR(AW127/AO127),"NA",IF(OR(AW127/AO127&gt;2,AW127/AO127&lt;0.5),"NM",AW127/AO127*100-100))</f>
        <v>8.2556591211724282</v>
      </c>
      <c r="AY127" s="356"/>
      <c r="AZ127" s="618"/>
      <c r="BA127" s="620"/>
      <c r="BB127" s="60"/>
      <c r="BC127" s="226" t="str">
        <f>IF(ISERROR(BB127/#REF!),"NA",IF(OR(BB127/#REF!&gt;2,BB127/#REF!&lt;0.5),"NM",BB127/#REF!*100-100))</f>
        <v>NA</v>
      </c>
      <c r="BD127" s="914"/>
      <c r="BE127" s="226" t="str">
        <f t="shared" ref="BE127:BS129" si="855">IF(ISERROR(BD127/BB127),"NA",IF(OR(BD127/BB127&gt;2,BD127/BB127&lt;0.5),"NM",BD127/BB127*100-100))</f>
        <v>NA</v>
      </c>
      <c r="BF127" s="60">
        <f>BF111/BF92*100</f>
        <v>0.77608182533438064</v>
      </c>
      <c r="BG127" s="226" t="str">
        <f t="shared" si="855"/>
        <v>NA</v>
      </c>
      <c r="BH127" s="60">
        <f>BH111/BH92*100</f>
        <v>0.84371278458844245</v>
      </c>
      <c r="BI127" s="226">
        <f t="shared" si="855"/>
        <v>8.7144109095613089</v>
      </c>
      <c r="BJ127" s="60">
        <f>BJ111/BJ92*100</f>
        <v>0.94730158730158731</v>
      </c>
      <c r="BK127" s="226">
        <f t="shared" si="855"/>
        <v>12.277732968533229</v>
      </c>
      <c r="BL127" s="60">
        <f>BL111/BL92*100</f>
        <v>0.82522664090370712</v>
      </c>
      <c r="BM127" s="226">
        <f t="shared" si="855"/>
        <v>-12.886597893878104</v>
      </c>
      <c r="BN127" s="60">
        <f>BN111/BN92*100</f>
        <v>0.81522664090370889</v>
      </c>
      <c r="BO127" s="226">
        <f t="shared" si="855"/>
        <v>-1.2117883141832664</v>
      </c>
      <c r="BP127" s="60">
        <f>BP111/BP92*100</f>
        <v>0.82522664090370768</v>
      </c>
      <c r="BQ127" s="226">
        <f t="shared" si="855"/>
        <v>1.2266527488495029</v>
      </c>
      <c r="BR127" s="60">
        <f>BR111/BR92*100</f>
        <v>0.83522664090371124</v>
      </c>
      <c r="BS127" s="226">
        <f t="shared" si="855"/>
        <v>1.2117883141839201</v>
      </c>
      <c r="BT127" s="60">
        <f>BT111/BT92*100</f>
        <v>0.8452266409037118</v>
      </c>
      <c r="BU127" s="226">
        <f t="shared" ref="BU127:BU129" si="856">IF(ISERROR(BT127/BR127),"NA",IF(OR(BT127/BR127&gt;2,BT127/BR127&lt;0.5),"NM",BT127/BR127*100-100))</f>
        <v>1.1972798172697878</v>
      </c>
      <c r="BV127" s="43">
        <f>IF(ISERROR(((BT127/BJ127)^0.2-1)*100),"NA",IF((((BT127/BJ127)^0.2-1)*100)&gt;100,"NM",IF((((BT127/BJ127)^0.2-1)*100)&lt;-50,"NM",((BT127/BJ127)^0.2-1)*100)))</f>
        <v>-2.2544527510856671</v>
      </c>
      <c r="BW127" s="621"/>
      <c r="BX127" s="621"/>
      <c r="BY127"/>
      <c r="BZ127"/>
      <c r="CA127"/>
      <c r="CB127"/>
      <c r="CC127"/>
      <c r="CD127"/>
    </row>
    <row r="128" spans="2:82" s="616" customFormat="1" ht="12.75" customHeight="1" x14ac:dyDescent="0.2">
      <c r="B128" s="62" t="s">
        <v>94</v>
      </c>
      <c r="C128" s="694">
        <f t="shared" ref="C128:O129" si="857">C111/(C103-C106)*100</f>
        <v>59.735202492211862</v>
      </c>
      <c r="D128" s="623"/>
      <c r="E128" s="694">
        <f t="shared" si="857"/>
        <v>62.972085385878493</v>
      </c>
      <c r="F128" s="623"/>
      <c r="G128" s="694">
        <f t="shared" si="857"/>
        <v>65.791632485643987</v>
      </c>
      <c r="H128" s="623"/>
      <c r="I128" s="694">
        <f t="shared" si="857"/>
        <v>54.625905068382949</v>
      </c>
      <c r="J128" s="623"/>
      <c r="K128" s="694">
        <f t="shared" si="857"/>
        <v>58.169440242057533</v>
      </c>
      <c r="L128" s="623"/>
      <c r="M128" s="694">
        <f t="shared" si="857"/>
        <v>61.157024793388423</v>
      </c>
      <c r="N128" s="620"/>
      <c r="O128" s="694">
        <f t="shared" si="857"/>
        <v>58.862559241706222</v>
      </c>
      <c r="P128" s="9">
        <f>IF(ISERROR(O128/G128),"NA",IF(OR(O128/G128&gt;2,O128/G128&lt;0.5),"NM",O128/G128*100-100))</f>
        <v>-10.531845741097428</v>
      </c>
      <c r="Q128" s="694">
        <f>Q111/(Q103-Q106)*100</f>
        <v>53.542600896861067</v>
      </c>
      <c r="R128" s="9">
        <f>IF(ISERROR(Q128/I128),"NA",IF(OR(Q128/I128&gt;2,Q128/I128&lt;0.5),"NM",Q128/I128*100-100))</f>
        <v>-1.9831326733456507</v>
      </c>
      <c r="S128" s="694">
        <f>S114/(S103-S106)*100</f>
        <v>52.937783865618869</v>
      </c>
      <c r="T128" s="9">
        <f>IF(ISERROR(S128/K128),"NA",IF(OR(S128/K128&gt;2,S128/K128&lt;0.5),"NM",S128/K128*100-100))</f>
        <v>-8.9938227953860945</v>
      </c>
      <c r="U128" s="694">
        <f>U114/(U103-U106)*100</f>
        <v>58.659217877094882</v>
      </c>
      <c r="V128" s="9">
        <f>IF(ISERROR(U128/M128),"NA",IF(OR(U128/M128&gt;2,U128/M128&lt;0.5),"NM",U128/M128*100-100))</f>
        <v>-4.0842518496151143</v>
      </c>
      <c r="W128" s="694">
        <f>W114/(W103-W106)*100</f>
        <v>62.575182019626531</v>
      </c>
      <c r="X128" s="9">
        <f>IF(ISERROR(W128/O128),"NA",IF(OR(W128/O128&gt;2,W128/O128&lt;0.5),"NM",W128/O128*100-100))</f>
        <v>6.3072738014588197</v>
      </c>
      <c r="Y128" s="694">
        <f>Y114/(Y103-Y106)*100</f>
        <v>57.287822878228809</v>
      </c>
      <c r="Z128" s="9">
        <f>IF(ISERROR(Y128/Q128),"NA",IF(OR(Y128/Q128&gt;2,Y128/Q128&lt;0.5),"NM",Y128/Q128*100-100))</f>
        <v>6.9948450740787678</v>
      </c>
      <c r="AA128" s="694">
        <f>AA114/(AA103-AA106)*100</f>
        <v>58.761987794245819</v>
      </c>
      <c r="AB128" s="9">
        <f>IF(ISERROR(AA128/S128),"NA",IF(OR(AA128/S128&gt;2,AA128/S128&lt;0.5),"NM",AA128/S128*100-100))</f>
        <v>11.001979122155035</v>
      </c>
      <c r="AC128" s="694">
        <f>AC114/(AC103-AC106)*100</f>
        <v>57.682826622843031</v>
      </c>
      <c r="AD128" s="9">
        <f>IF(ISERROR(AC128/U128),"NA",IF(OR(AC128/U128&gt;2,AC128/U128&lt;0.5),"NM",AC128/U128*100-100))</f>
        <v>-1.6645146143912513</v>
      </c>
      <c r="AE128" s="694">
        <f>AE114/(AE103-AE106)*100</f>
        <v>54.42622950819672</v>
      </c>
      <c r="AF128" s="9">
        <f>IF(ISERROR(AE128/W128),"NA",IF(OR(AE128/W128&gt;2,AE128/W128&lt;0.5),"NM",AE128/W128*100-100))</f>
        <v>-13.022658901533703</v>
      </c>
      <c r="AG128" s="694">
        <f>AG114/(AG103-AG106)*100</f>
        <v>56.724267468068987</v>
      </c>
      <c r="AH128" s="9">
        <f t="shared" si="721"/>
        <v>-0.98372635203421055</v>
      </c>
      <c r="AI128" s="694">
        <f>AI114/(AI103-AI106)*100</f>
        <v>65.670604586518451</v>
      </c>
      <c r="AJ128" s="9">
        <f t="shared" si="846"/>
        <v>11.756948754802238</v>
      </c>
      <c r="AK128" s="694">
        <f>AK114/(AK103-AK106)*100</f>
        <v>61.543762922122745</v>
      </c>
      <c r="AL128" s="9">
        <f t="shared" si="847"/>
        <v>6.6933895672698185</v>
      </c>
      <c r="AM128" s="694">
        <f>AM114/(AM103-AM106)*100</f>
        <v>63.435114503816905</v>
      </c>
      <c r="AN128" s="9">
        <f t="shared" si="848"/>
        <v>16.552469419663595</v>
      </c>
      <c r="AO128" s="694">
        <f>AO114/(AO103-AO106)*100</f>
        <v>60.46698872785813</v>
      </c>
      <c r="AP128" s="9">
        <f t="shared" si="849"/>
        <v>6.5980953599726604</v>
      </c>
      <c r="AQ128" s="694">
        <f>AQ114/(AQ103-AQ106)*100</f>
        <v>64.778866404175574</v>
      </c>
      <c r="AR128" s="9">
        <f t="shared" si="851"/>
        <v>-1.3578954967104693</v>
      </c>
      <c r="AS128" s="694">
        <f>AS114/(AS103-AS106)*100</f>
        <v>63.413706187282962</v>
      </c>
      <c r="AT128" s="9">
        <f t="shared" si="852"/>
        <v>3.0383960557082617</v>
      </c>
      <c r="AU128" s="694">
        <f>AU114/(AU103-AU106)*100</f>
        <v>63.413706187283012</v>
      </c>
      <c r="AV128" s="9">
        <f t="shared" si="853"/>
        <v>-3.3748369024550584E-2</v>
      </c>
      <c r="AW128" s="694">
        <f>AW114/(AW103-AW106)*100</f>
        <v>62.837544079996199</v>
      </c>
      <c r="AX128" s="9">
        <f t="shared" si="854"/>
        <v>3.9204124465452566</v>
      </c>
      <c r="AY128" s="356"/>
      <c r="AZ128" s="618"/>
      <c r="BA128" s="620"/>
      <c r="BB128" s="694">
        <f t="shared" ref="BB128:BD129" si="858">BB111/(BB103-BB106)*100</f>
        <v>60.73730862207892</v>
      </c>
      <c r="BC128" s="226" t="str">
        <f>IF(ISERROR(BB128/#REF!),"NA",IF(OR(BB128/#REF!&gt;2,BB128/#REF!&lt;0.5),"NM",BB128/#REF!*100-100))</f>
        <v>NA</v>
      </c>
      <c r="BD128" s="916">
        <f t="shared" si="858"/>
        <v>57.996597192683893</v>
      </c>
      <c r="BE128" s="226">
        <f t="shared" si="855"/>
        <v>-4.5124018359923497</v>
      </c>
      <c r="BF128" s="694">
        <f>BF114/(BF103-BF106)*100</f>
        <v>57.794262410350051</v>
      </c>
      <c r="BG128" s="754">
        <f t="shared" si="855"/>
        <v>-0.34887354108313673</v>
      </c>
      <c r="BH128" s="57">
        <f>BH114/(BH103-BH106)*100</f>
        <v>56.866734486266601</v>
      </c>
      <c r="BI128" s="754">
        <f t="shared" si="855"/>
        <v>-1.6048789021613032</v>
      </c>
      <c r="BJ128" s="57">
        <f>BJ114/(BJ103-BJ106)*100</f>
        <v>62.844542447629458</v>
      </c>
      <c r="BK128" s="754">
        <f t="shared" si="855"/>
        <v>10.511959259426988</v>
      </c>
      <c r="BL128" s="57">
        <f>BL114/(BL103-BL106)*100</f>
        <v>63.616490133268591</v>
      </c>
      <c r="BM128" s="754">
        <f t="shared" si="855"/>
        <v>1.2283448260959489</v>
      </c>
      <c r="BN128" s="694">
        <f>BN114/(BN103-BN106)*100</f>
        <v>63.333831670717146</v>
      </c>
      <c r="BO128" s="754">
        <f t="shared" si="855"/>
        <v>-0.44431634307285606</v>
      </c>
      <c r="BP128" s="694">
        <f>BP114/(BP103-BP106)*100</f>
        <v>64.110717857857722</v>
      </c>
      <c r="BQ128" s="226">
        <f t="shared" si="855"/>
        <v>1.2266527488495171</v>
      </c>
      <c r="BR128" s="694">
        <f>BR114/(BR103-BR106)*100</f>
        <v>64.887604044998554</v>
      </c>
      <c r="BS128" s="226">
        <f t="shared" si="855"/>
        <v>1.2117883141837353</v>
      </c>
      <c r="BT128" s="694">
        <f>BT114/(BT103-BT106)*100</f>
        <v>65.664490232139244</v>
      </c>
      <c r="BU128" s="226">
        <f t="shared" si="856"/>
        <v>1.1972798172697594</v>
      </c>
      <c r="BV128" s="43">
        <f>IF(ISERROR(((BT128/BJ128)^0.2-1)*100),"NA",IF((((BT128/BJ128)^0.2-1)*100)&gt;100,"NM",IF((((BT128/BJ128)^0.2-1)*100)&lt;-50,"NM",((BT128/BJ128)^0.2-1)*100)))</f>
        <v>0.88174868528123618</v>
      </c>
      <c r="BW128" s="621"/>
      <c r="BX128" s="621"/>
      <c r="BY128"/>
      <c r="BZ128"/>
      <c r="CA128"/>
      <c r="CB128"/>
      <c r="CC128"/>
      <c r="CD128"/>
    </row>
    <row r="129" spans="2:82" s="616" customFormat="1" ht="12.75" customHeight="1" x14ac:dyDescent="0.2">
      <c r="B129" s="62" t="s">
        <v>656</v>
      </c>
      <c r="C129" s="694">
        <f t="shared" si="857"/>
        <v>0</v>
      </c>
      <c r="D129" s="623"/>
      <c r="E129" s="694">
        <f t="shared" si="857"/>
        <v>0</v>
      </c>
      <c r="F129" s="623"/>
      <c r="G129" s="694">
        <f t="shared" si="857"/>
        <v>0</v>
      </c>
      <c r="H129" s="623"/>
      <c r="I129" s="694">
        <f t="shared" si="857"/>
        <v>0</v>
      </c>
      <c r="J129" s="623"/>
      <c r="K129" s="694"/>
      <c r="L129" s="623"/>
      <c r="M129" s="694"/>
      <c r="N129" s="620"/>
      <c r="O129" s="694"/>
      <c r="P129" s="9" t="str">
        <f>IF(ISERROR(O129/G129),"NA",IF(OR(O129/G129&gt;2,O129/G129&lt;0.5),"NM",O129/G129*100-100))</f>
        <v>NA</v>
      </c>
      <c r="Q129" s="694"/>
      <c r="R129" s="9" t="str">
        <f>IF(ISERROR(Q129/I129),"NA",IF(OR(Q129/I129&gt;2,Q129/I129&lt;0.5),"NM",Q129/I129*100-100))</f>
        <v>NA</v>
      </c>
      <c r="S129" s="694"/>
      <c r="T129" s="9" t="str">
        <f>IF(ISERROR(S129/K129),"NA",IF(OR(S129/K129&gt;2,S129/K129&lt;0.5),"NM",S129/K129*100-100))</f>
        <v>NA</v>
      </c>
      <c r="U129" s="694"/>
      <c r="V129" s="9" t="str">
        <f>IF(ISERROR(U129/M129),"NA",IF(OR(U129/M129&gt;2,U129/M129&lt;0.5),"NM",U129/M129*100-100))</f>
        <v>NA</v>
      </c>
      <c r="W129" s="694"/>
      <c r="X129" s="9" t="str">
        <f>IF(ISERROR(W129/O129),"NA",IF(OR(W129/O129&gt;2,W129/O129&lt;0.5),"NM",W129/O129*100-100))</f>
        <v>NA</v>
      </c>
      <c r="Y129" s="694"/>
      <c r="Z129" s="9" t="str">
        <f>IF(ISERROR(Y129/Q129),"NA",IF(OR(Y129/Q129&gt;2,Y129/Q129&lt;0.5),"NM",Y129/Q129*100-100))</f>
        <v>NA</v>
      </c>
      <c r="AA129" s="694"/>
      <c r="AB129" s="9" t="str">
        <f>IF(ISERROR(AA129/S129),"NA",IF(OR(AA129/S129&gt;2,AA129/S129&lt;0.5),"NM",AA129/S129*100-100))</f>
        <v>NA</v>
      </c>
      <c r="AC129" s="694"/>
      <c r="AD129" s="9" t="str">
        <f>IF(ISERROR(AC129/U129),"NA",IF(OR(AC129/U129&gt;2,AC129/U129&lt;0.5),"NM",AC129/U129*100-100))</f>
        <v>NA</v>
      </c>
      <c r="AE129" s="694">
        <f>(AE111+AC111+AA111+Y111)/(AE104+AC104+AA104+Y104)*100</f>
        <v>59.061696658097674</v>
      </c>
      <c r="AF129" s="9" t="str">
        <f>IF(ISERROR(AE129/W129),"NA",IF(OR(AE129/W129&gt;2,AE129/W129&lt;0.5),"NM",AE129/W129*100-100))</f>
        <v>NA</v>
      </c>
      <c r="AG129" s="694">
        <f>(AG111+AE111+AC111+AA111)/(AG104+AE104+AC104+AA104)*100</f>
        <v>61.261444557477063</v>
      </c>
      <c r="AH129" s="9" t="str">
        <f t="shared" si="721"/>
        <v>NA</v>
      </c>
      <c r="AI129" s="694">
        <f>(AI111+AG111+AE111+AC111)/(AI104+AG104+AE104+AC104)*100</f>
        <v>63.99078164009984</v>
      </c>
      <c r="AJ129" s="9" t="str">
        <f t="shared" si="846"/>
        <v>NA</v>
      </c>
      <c r="AK129" s="694">
        <f>(AK111+AI111+AG111+AE111)/(AK104+AI104+AG104+AE104)*100</f>
        <v>66.035655210439245</v>
      </c>
      <c r="AL129" s="9" t="str">
        <f t="shared" si="847"/>
        <v>NA</v>
      </c>
      <c r="AM129" s="694">
        <f>(AM111+AK111+AI111+AG111)/(AM104+AK104+AI104+AG104)*100</f>
        <v>69.679985536069438</v>
      </c>
      <c r="AN129" s="9">
        <f t="shared" si="848"/>
        <v>17.978299775978314</v>
      </c>
      <c r="AO129" s="694">
        <f>(AO111+AM111+AK111+AI111)/(AO104+AM104+AK104+AI104)*100</f>
        <v>68.540977581771429</v>
      </c>
      <c r="AP129" s="9">
        <f t="shared" si="849"/>
        <v>11.882731588976043</v>
      </c>
      <c r="AQ129" s="694">
        <f t="shared" ref="AQ129" si="859">(AQ111+AO111+AM111+AK111)/(AQ104+AO104+AM104+AK104)*100</f>
        <v>67.413979828830108</v>
      </c>
      <c r="AR129" s="9">
        <f t="shared" si="851"/>
        <v>5.3495176976946226</v>
      </c>
      <c r="AS129" s="694">
        <f t="shared" ref="AS129" si="860">(AS111+AQ111+AO111+AM111)/(AS104+AQ104+AO104+AM104)*100</f>
        <v>66.681190965732256</v>
      </c>
      <c r="AT129" s="9">
        <f t="shared" si="852"/>
        <v>0.97755637198699219</v>
      </c>
      <c r="AU129" s="694">
        <f t="shared" ref="AU129" si="861">(AU111+AS111+AQ111+AO111)/(AU104+AS104+AQ104+AO104)*100</f>
        <v>63.081258603907564</v>
      </c>
      <c r="AV129" s="9">
        <f t="shared" si="853"/>
        <v>-9.4700463574954057</v>
      </c>
      <c r="AW129" s="694">
        <f t="shared" ref="AW129" si="862">(AW111+AU111+AS111+AQ111)/(AW104+AU104+AS104+AQ104)*100</f>
        <v>63.616490133268755</v>
      </c>
      <c r="AX129" s="9">
        <f t="shared" si="854"/>
        <v>-7.1847347707108611</v>
      </c>
      <c r="AY129" s="356"/>
      <c r="AZ129" s="618"/>
      <c r="BA129" s="620"/>
      <c r="BB129" s="694">
        <f t="shared" si="858"/>
        <v>0</v>
      </c>
      <c r="BC129" s="226" t="str">
        <f>IF(ISERROR(BB129/#REF!),"NA",IF(OR(BB129/#REF!&gt;2,BB129/#REF!&lt;0.5),"NM",BB129/#REF!*100-100))</f>
        <v>NA</v>
      </c>
      <c r="BD129" s="916">
        <f t="shared" si="858"/>
        <v>0</v>
      </c>
      <c r="BE129" s="226" t="str">
        <f t="shared" si="855"/>
        <v>NA</v>
      </c>
      <c r="BF129" s="57"/>
      <c r="BG129" s="754" t="str">
        <f t="shared" si="855"/>
        <v>NA</v>
      </c>
      <c r="BH129" s="57"/>
      <c r="BI129" s="754" t="str">
        <f t="shared" si="855"/>
        <v>NA</v>
      </c>
      <c r="BJ129" s="57"/>
      <c r="BK129" s="754" t="str">
        <f t="shared" si="855"/>
        <v>NA</v>
      </c>
      <c r="BL129" s="57"/>
      <c r="BM129" s="754" t="str">
        <f t="shared" si="855"/>
        <v>NA</v>
      </c>
      <c r="BN129" s="57"/>
      <c r="BO129" s="754" t="str">
        <f t="shared" si="855"/>
        <v>NA</v>
      </c>
      <c r="BP129" s="57"/>
      <c r="BQ129" s="226" t="str">
        <f t="shared" si="855"/>
        <v>NA</v>
      </c>
      <c r="BR129" s="57"/>
      <c r="BS129" s="226" t="str">
        <f t="shared" si="855"/>
        <v>NA</v>
      </c>
      <c r="BT129" s="57"/>
      <c r="BU129" s="226" t="str">
        <f t="shared" si="856"/>
        <v>NA</v>
      </c>
      <c r="BV129" s="43" t="str">
        <f>IF(ISERROR(((BT129/BJ129)^0.2-1)*100),"NA",IF((((BT129/BJ129)^0.2-1)*100)&gt;100,"NM",IF((((BT129/BJ129)^0.2-1)*100)&lt;-50,"NM",((BT129/BJ129)^0.2-1)*100)))</f>
        <v>NA</v>
      </c>
      <c r="BW129" s="621"/>
      <c r="BX129" s="621"/>
      <c r="BY129"/>
      <c r="BZ129"/>
      <c r="CA129"/>
      <c r="CB129"/>
      <c r="CC129"/>
      <c r="CD129"/>
    </row>
    <row r="130" spans="2:82" s="616" customFormat="1" ht="12.75" customHeight="1" x14ac:dyDescent="0.2">
      <c r="B130" s="62"/>
      <c r="C130" s="15"/>
      <c r="D130" s="623"/>
      <c r="E130" s="15"/>
      <c r="F130" s="623"/>
      <c r="G130" s="15"/>
      <c r="H130" s="623"/>
      <c r="I130" s="15"/>
      <c r="J130" s="623"/>
      <c r="K130" s="15"/>
      <c r="L130" s="623"/>
      <c r="M130" s="15"/>
      <c r="N130" s="620"/>
      <c r="O130" s="694"/>
      <c r="P130" s="9"/>
      <c r="Q130" s="694"/>
      <c r="R130" s="9"/>
      <c r="S130" s="694"/>
      <c r="T130" s="9"/>
      <c r="U130" s="694"/>
      <c r="V130" s="9"/>
      <c r="W130" s="694"/>
      <c r="X130" s="9"/>
      <c r="Y130" s="694"/>
      <c r="Z130" s="9"/>
      <c r="AA130" s="694"/>
      <c r="AB130" s="9"/>
      <c r="AC130" s="694"/>
      <c r="AD130" s="9"/>
      <c r="AE130" s="694"/>
      <c r="AF130" s="9"/>
      <c r="AG130" s="694"/>
      <c r="AH130" s="620"/>
      <c r="AI130" s="694"/>
      <c r="AJ130" s="620"/>
      <c r="AK130" s="694"/>
      <c r="AL130" s="620"/>
      <c r="AM130" s="694"/>
      <c r="AN130" s="620"/>
      <c r="AO130" s="694"/>
      <c r="AP130" s="620"/>
      <c r="AQ130" s="694"/>
      <c r="AR130" s="620"/>
      <c r="AS130" s="694"/>
      <c r="AT130" s="620"/>
      <c r="AU130" s="694"/>
      <c r="AV130" s="620"/>
      <c r="AW130" s="694"/>
      <c r="AX130" s="620"/>
      <c r="AY130" s="356"/>
      <c r="AZ130" s="618"/>
      <c r="BA130" s="620"/>
      <c r="BB130" s="55"/>
      <c r="BC130" s="55"/>
      <c r="BD130" s="908"/>
      <c r="BE130" s="55"/>
      <c r="BF130" s="55"/>
      <c r="BG130" s="626"/>
      <c r="BH130" s="55"/>
      <c r="BI130" s="626"/>
      <c r="BJ130" s="55"/>
      <c r="BK130" s="626"/>
      <c r="BL130" s="55"/>
      <c r="BM130" s="626"/>
      <c r="BN130" s="55"/>
      <c r="BO130" s="626"/>
      <c r="BP130" s="55"/>
      <c r="BQ130" s="623"/>
      <c r="BR130" s="55"/>
      <c r="BS130" s="623"/>
      <c r="BT130" s="55"/>
      <c r="BU130" s="623"/>
      <c r="BV130" s="39"/>
      <c r="BW130" s="621"/>
      <c r="BX130" s="621"/>
      <c r="BY130"/>
      <c r="BZ130"/>
      <c r="CA130"/>
      <c r="CB130"/>
      <c r="CC130"/>
      <c r="CD130"/>
    </row>
    <row r="131" spans="2:82" s="265" customFormat="1" ht="12.75" customHeight="1" collapsed="1" x14ac:dyDescent="0.2">
      <c r="B131" s="266" t="s">
        <v>552</v>
      </c>
      <c r="C131" s="657"/>
      <c r="D131" s="624"/>
      <c r="E131" s="657"/>
      <c r="F131" s="624"/>
      <c r="G131" s="657"/>
      <c r="H131" s="624"/>
      <c r="I131" s="657"/>
      <c r="J131" s="624"/>
      <c r="K131" s="657"/>
      <c r="L131" s="624"/>
      <c r="M131" s="657"/>
      <c r="N131" s="269"/>
      <c r="O131" s="268"/>
      <c r="P131" s="269"/>
      <c r="Q131" s="268"/>
      <c r="R131" s="269"/>
      <c r="S131" s="268"/>
      <c r="T131" s="269"/>
      <c r="U131" s="268"/>
      <c r="V131" s="269"/>
      <c r="W131" s="268"/>
      <c r="X131" s="269"/>
      <c r="Y131" s="268"/>
      <c r="Z131" s="269"/>
      <c r="AA131" s="268"/>
      <c r="AB131" s="269"/>
      <c r="AC131" s="268"/>
      <c r="AD131" s="269"/>
      <c r="AE131" s="268"/>
      <c r="AF131" s="269"/>
      <c r="AG131" s="268"/>
      <c r="AH131" s="269"/>
      <c r="AI131" s="268"/>
      <c r="AJ131" s="269"/>
      <c r="AK131" s="268"/>
      <c r="AL131" s="269"/>
      <c r="AM131" s="268"/>
      <c r="AN131" s="269"/>
      <c r="AO131" s="268"/>
      <c r="AP131" s="269"/>
      <c r="AQ131" s="268"/>
      <c r="AR131" s="269"/>
      <c r="AS131" s="268"/>
      <c r="AT131" s="269"/>
      <c r="AU131" s="268"/>
      <c r="AV131" s="269"/>
      <c r="AW131" s="268"/>
      <c r="AX131" s="269"/>
      <c r="AY131" s="268"/>
      <c r="AZ131" s="267"/>
      <c r="BA131" s="269"/>
      <c r="BB131" s="627"/>
      <c r="BC131" s="627"/>
      <c r="BD131" s="917"/>
      <c r="BE131" s="627"/>
      <c r="BF131" s="627"/>
      <c r="BG131" s="628"/>
      <c r="BH131" s="627"/>
      <c r="BI131" s="628"/>
      <c r="BJ131" s="627"/>
      <c r="BK131" s="628"/>
      <c r="BL131" s="627"/>
      <c r="BM131" s="628"/>
      <c r="BN131" s="627"/>
      <c r="BO131" s="628"/>
      <c r="BP131" s="627"/>
      <c r="BQ131" s="624"/>
      <c r="BR131" s="627"/>
      <c r="BS131" s="624"/>
      <c r="BT131" s="627"/>
      <c r="BU131" s="624"/>
      <c r="BV131" s="625"/>
      <c r="BW131" s="270"/>
      <c r="BX131" s="270"/>
      <c r="BY131"/>
      <c r="BZ131"/>
      <c r="CA131"/>
      <c r="CB131"/>
      <c r="CC131"/>
      <c r="CD131"/>
    </row>
    <row r="132" spans="2:82" s="616" customFormat="1" ht="12.75" customHeight="1" x14ac:dyDescent="0.2">
      <c r="B132" s="62"/>
      <c r="C132" s="15"/>
      <c r="D132" s="623"/>
      <c r="E132" s="15"/>
      <c r="F132" s="623"/>
      <c r="G132" s="15"/>
      <c r="H132" s="623"/>
      <c r="I132" s="15"/>
      <c r="J132" s="623"/>
      <c r="K132" s="15"/>
      <c r="L132" s="623"/>
      <c r="M132" s="15"/>
      <c r="N132" s="620"/>
      <c r="O132" s="694"/>
      <c r="P132" s="9"/>
      <c r="Q132" s="694"/>
      <c r="R132" s="9"/>
      <c r="S132" s="694"/>
      <c r="T132" s="9"/>
      <c r="U132" s="694"/>
      <c r="V132" s="9"/>
      <c r="W132" s="694"/>
      <c r="X132" s="9"/>
      <c r="Y132" s="694"/>
      <c r="Z132" s="9"/>
      <c r="AA132" s="694"/>
      <c r="AB132" s="9"/>
      <c r="AC132" s="694"/>
      <c r="AD132" s="9"/>
      <c r="AE132" s="694"/>
      <c r="AF132" s="9"/>
      <c r="AG132" s="694"/>
      <c r="AH132" s="620"/>
      <c r="AI132" s="694"/>
      <c r="AJ132" s="620"/>
      <c r="AK132" s="694"/>
      <c r="AL132" s="620"/>
      <c r="AM132" s="694"/>
      <c r="AN132" s="620"/>
      <c r="AO132" s="694"/>
      <c r="AP132" s="620"/>
      <c r="AQ132" s="694"/>
      <c r="AR132" s="620"/>
      <c r="AS132" s="694"/>
      <c r="AT132" s="620"/>
      <c r="AU132" s="694"/>
      <c r="AV132" s="620"/>
      <c r="AW132" s="694"/>
      <c r="AX132" s="620"/>
      <c r="AY132" s="356"/>
      <c r="AZ132" s="618"/>
      <c r="BA132" s="620"/>
      <c r="BB132" s="55"/>
      <c r="BC132" s="55"/>
      <c r="BD132" s="908"/>
      <c r="BE132" s="55"/>
      <c r="BF132" s="55"/>
      <c r="BG132" s="626"/>
      <c r="BH132" s="55"/>
      <c r="BI132" s="626"/>
      <c r="BJ132" s="55"/>
      <c r="BK132" s="626"/>
      <c r="BL132" s="55"/>
      <c r="BM132" s="626"/>
      <c r="BN132" s="55"/>
      <c r="BO132" s="626"/>
      <c r="BP132" s="55"/>
      <c r="BQ132" s="623"/>
      <c r="BR132" s="55"/>
      <c r="BS132" s="623"/>
      <c r="BT132" s="55"/>
      <c r="BU132" s="623"/>
      <c r="BV132" s="39"/>
      <c r="BW132" s="621"/>
      <c r="BX132" s="621"/>
      <c r="BY132"/>
      <c r="BZ132"/>
      <c r="CA132"/>
      <c r="CB132"/>
      <c r="CC132"/>
      <c r="CD132"/>
    </row>
    <row r="133" spans="2:82" s="616" customFormat="1" ht="12.75" customHeight="1" x14ac:dyDescent="0.2">
      <c r="B133" s="62" t="s">
        <v>271</v>
      </c>
      <c r="C133" s="647">
        <f>C52+C101</f>
        <v>436.5</v>
      </c>
      <c r="D133" s="743" t="str">
        <f>IF(ISERROR(C133/#REF!),"NA",IF(OR(C133/#REF!&gt;2,C133/#REF!&lt;0.5),"NM",C133/#REF!*100-100))</f>
        <v>NA</v>
      </c>
      <c r="E133" s="647">
        <f>E52+E101</f>
        <v>492.9</v>
      </c>
      <c r="F133" s="705" t="str">
        <f>IF(ISERROR(E133/#REF!),"NA",IF(OR(E133/#REF!&gt;2,E133/#REF!&lt;0.5),"NM",E133/#REF!*100-100))</f>
        <v>NA</v>
      </c>
      <c r="G133" s="647">
        <f>G52+G101</f>
        <v>480.90000000000003</v>
      </c>
      <c r="H133" s="705" t="str">
        <f>IF(ISERROR(G133/#REF!),"NA",IF(OR(G133/#REF!&gt;2,G133/#REF!&lt;0.5),"NM",G133/#REF!*100-100))</f>
        <v>NA</v>
      </c>
      <c r="I133" s="647">
        <f>I52+I101</f>
        <v>806.3</v>
      </c>
      <c r="J133" s="9" t="str">
        <f>IF(ISERROR(I133/#REF!),"NA",IF(OR(I133/#REF!&gt;2,I133/#REF!&lt;0.5),"NM",I133/#REF!*100-100))</f>
        <v>NA</v>
      </c>
      <c r="K133" s="647">
        <f>K52+K101</f>
        <v>600.4</v>
      </c>
      <c r="L133" s="9">
        <f t="shared" ref="L133:L145" si="863">IF(ISERROR(K133/C133),"NA",IF(OR(K133/C133&gt;2,K133/C133&lt;0.5),"NM",K133/C133*100-100))</f>
        <v>37.548682703321873</v>
      </c>
      <c r="M133" s="647">
        <f>M52+M101</f>
        <v>600.6</v>
      </c>
      <c r="N133" s="9">
        <f t="shared" ref="N133:N135" si="864">IF(ISERROR(M133/E133),"NA",IF(OR(M133/E133&gt;2,M133/E133&lt;0.5),"NM",M133/E133*100-100))</f>
        <v>21.850273889227026</v>
      </c>
      <c r="O133" s="647">
        <f>O52+O101</f>
        <v>677.40000000000009</v>
      </c>
      <c r="P133" s="9">
        <f t="shared" ref="P133:Z145" si="865">IF(ISERROR(O133/G133),"NA",IF(OR(O133/G133&gt;2,O133/G133&lt;0.5),"NM",O133/G133*100-100))</f>
        <v>40.860885839051775</v>
      </c>
      <c r="Q133" s="647">
        <f>Q52+Q101</f>
        <v>1015.8000000000001</v>
      </c>
      <c r="R133" s="9">
        <f t="shared" si="865"/>
        <v>25.982884782339099</v>
      </c>
      <c r="S133" s="647">
        <f>S52+S101</f>
        <v>686.2</v>
      </c>
      <c r="T133" s="9">
        <f t="shared" si="865"/>
        <v>14.29047301798802</v>
      </c>
      <c r="U133" s="647">
        <f>U52+U101</f>
        <v>1441.3</v>
      </c>
      <c r="V133" s="9" t="str">
        <f t="shared" si="865"/>
        <v>NM</v>
      </c>
      <c r="W133" s="647">
        <f>W52+W101</f>
        <v>1308.3</v>
      </c>
      <c r="X133" s="9">
        <f t="shared" si="865"/>
        <v>93.135518157661608</v>
      </c>
      <c r="Y133" s="647">
        <f>Y52+Y101</f>
        <v>914.4</v>
      </c>
      <c r="Z133" s="9">
        <f t="shared" si="865"/>
        <v>-9.9822799763733059</v>
      </c>
      <c r="AA133" s="647">
        <f>AA52+AA101</f>
        <v>1005.5999999999999</v>
      </c>
      <c r="AB133" s="9">
        <f t="shared" ref="AB133:AB145" si="866">IF(ISERROR(AA133/S133),"NA",IF(OR(AA133/S133&gt;2,AA133/S133&lt;0.5),"NM",AA133/S133*100-100))</f>
        <v>46.546196444185341</v>
      </c>
      <c r="AC133" s="647">
        <f>AC52+AC101</f>
        <v>987.90000000000009</v>
      </c>
      <c r="AD133" s="9">
        <f t="shared" ref="AD133:AD145" si="867">IF(ISERROR(AC133/U133),"NA",IF(OR(AC133/U133&gt;2,AC133/U133&lt;0.5),"NM",AC133/U133*100-100))</f>
        <v>-31.457711787969188</v>
      </c>
      <c r="AE133" s="647">
        <f>AE52+AE101</f>
        <v>726.4</v>
      </c>
      <c r="AF133" s="9">
        <f t="shared" ref="AF133:AF145" si="868">IF(ISERROR(AE133/W133),"NA",IF(OR(AE133/W133&gt;2,AE133/W133&lt;0.5),"NM",AE133/W133*100-100))</f>
        <v>-44.477566307421846</v>
      </c>
      <c r="AG133" s="647">
        <f>AG52+AG101</f>
        <v>1445.7</v>
      </c>
      <c r="AH133" s="9">
        <f t="shared" ref="AH133:AH135" si="869">IF(ISERROR(AG133/Y133),"NA",IF(OR(AG133/Y133&gt;2,AG133/Y133&lt;0.5),"NM",AG133/Y133*100-100))</f>
        <v>58.10367454068242</v>
      </c>
      <c r="AI133" s="647">
        <f>AI52+AI101</f>
        <v>960.7</v>
      </c>
      <c r="AJ133" s="9">
        <f t="shared" ref="AJ133:AJ135" si="870">IF(ISERROR(AI133/AA133),"NA",IF(OR(AI133/AA133&gt;2,AI133/AA133&lt;0.5),"NM",AI133/AA133*100-100))</f>
        <v>-4.4649960222752441</v>
      </c>
      <c r="AK133" s="647">
        <f>AK52+AK101</f>
        <v>1158.4000000000001</v>
      </c>
      <c r="AL133" s="9">
        <f t="shared" ref="AL133:AL135" si="871">IF(ISERROR(AK133/AC133),"NA",IF(OR(AK133/AC133&gt;2,AK133/AC133&lt;0.5),"NM",AK133/AC133*100-100))</f>
        <v>17.258831865573441</v>
      </c>
      <c r="AM133" s="647">
        <f>AM52+AM101</f>
        <v>1848.4</v>
      </c>
      <c r="AN133" s="9" t="str">
        <f t="shared" ref="AN133:AN135" si="872">IF(ISERROR(AM133/AE133),"NA",IF(OR(AM133/AE133&gt;2,AM133/AE133&lt;0.5),"NM",AM133/AE133*100-100))</f>
        <v>NM</v>
      </c>
      <c r="AO133" s="647">
        <f>AO52+AO101</f>
        <v>1098</v>
      </c>
      <c r="AP133" s="9">
        <f t="shared" ref="AP133:AP135" si="873">IF(ISERROR(AO133/AG133),"NA",IF(OR(AO133/AG133&gt;2,AO133/AG133&lt;0.5),"NM",AO133/AG133*100-100))</f>
        <v>-24.050632911392412</v>
      </c>
      <c r="AQ133" s="647">
        <f t="shared" ref="AQ133:AW134" si="874">AQ52+AQ101</f>
        <v>1108.2538371998189</v>
      </c>
      <c r="AR133" s="9">
        <f t="shared" ref="AR133:AR135" si="875">IF(ISERROR(AQ133/AI133),"NA",IF(OR(AQ133/AI133&gt;2,AQ133/AI133&lt;0.5),"NM",AQ133/AI133*100-100))</f>
        <v>15.358992109900996</v>
      </c>
      <c r="AS133" s="647">
        <f t="shared" si="874"/>
        <v>1117.7378960354486</v>
      </c>
      <c r="AT133" s="9">
        <f t="shared" ref="AT133:AT135" si="876">IF(ISERROR(AS133/AK133),"NA",IF(OR(AS133/AK133&gt;2,AS133/AK133&lt;0.5),"NM",AS133/AK133*100-100))</f>
        <v>-3.5101954389288323</v>
      </c>
      <c r="AU133" s="647">
        <f t="shared" si="874"/>
        <v>1130.3562176498647</v>
      </c>
      <c r="AV133" s="9">
        <f t="shared" ref="AV133:AV135" si="877">IF(ISERROR(AU133/AM133),"NA",IF(OR(AU133/AM133&gt;2,AU133/AM133&lt;0.5),"NM",AU133/AM133*100-100))</f>
        <v>-38.84677463482663</v>
      </c>
      <c r="AW133" s="647">
        <f t="shared" si="874"/>
        <v>1140.0103051223107</v>
      </c>
      <c r="AX133" s="9">
        <f t="shared" ref="AX133:AX135" si="878">IF(ISERROR(AW133/AO133),"NA",IF(OR(AW133/AO133&gt;2,AW133/AO133&lt;0.5),"NM",AW133/AO133*100-100))</f>
        <v>3.8260751477514248</v>
      </c>
      <c r="AY133" s="661"/>
      <c r="AZ133" s="660"/>
      <c r="BA133" s="659"/>
      <c r="BB133" s="76">
        <f>BB52+BB101</f>
        <v>2216.6</v>
      </c>
      <c r="BC133" s="226" t="str">
        <f>IF(ISERROR(BB133/#REF!),"NA",IF(OR(BB133/#REF!&gt;2,BB133/#REF!&lt;0.5),"NM",BB133/#REF!*100-100))</f>
        <v>NA</v>
      </c>
      <c r="BD133" s="920">
        <f>BD52+BD101</f>
        <v>2894.2</v>
      </c>
      <c r="BE133" s="226">
        <f t="shared" ref="BE133:BS145" si="879">IF(ISERROR(BD133/BB133),"NA",IF(OR(BD133/BB133&gt;2,BD133/BB133&lt;0.5),"NM",BD133/BB133*100-100))</f>
        <v>30.569340431291153</v>
      </c>
      <c r="BF133" s="76">
        <f>BF52+BF101</f>
        <v>4350.2</v>
      </c>
      <c r="BG133" s="226">
        <f t="shared" si="879"/>
        <v>50.307511574873899</v>
      </c>
      <c r="BH133" s="76">
        <f>BH52+BH101</f>
        <v>4165.6000000000004</v>
      </c>
      <c r="BI133" s="226">
        <f t="shared" si="879"/>
        <v>-4.2434830582501917</v>
      </c>
      <c r="BJ133" s="76">
        <f>BJ52+BJ101</f>
        <v>5065.5</v>
      </c>
      <c r="BK133" s="226">
        <f t="shared" si="879"/>
        <v>21.603130401382757</v>
      </c>
      <c r="BL133" s="76">
        <f>BL52+BL101</f>
        <v>4496.3582560074428</v>
      </c>
      <c r="BM133" s="226">
        <f t="shared" si="879"/>
        <v>-11.235647892459923</v>
      </c>
      <c r="BN133" s="76">
        <f>BN52+BN101</f>
        <v>4694.1411103762457</v>
      </c>
      <c r="BO133" s="226">
        <f t="shared" si="879"/>
        <v>4.3987343336032296</v>
      </c>
      <c r="BP133" s="76">
        <f>BP52+BP101</f>
        <v>4896.0610917993745</v>
      </c>
      <c r="BQ133" s="226">
        <f t="shared" si="879"/>
        <v>4.3015319879666833</v>
      </c>
      <c r="BR133" s="76">
        <f>BR52+BR101</f>
        <v>5098.7607262402125</v>
      </c>
      <c r="BS133" s="226">
        <f t="shared" si="879"/>
        <v>4.1400552534025508</v>
      </c>
      <c r="BT133" s="76">
        <f>BT52+BT101</f>
        <v>5302.7359482015154</v>
      </c>
      <c r="BU133" s="226">
        <f t="shared" ref="BU133:BU135" si="880">IF(ISERROR(BT133/BR133),"NA",IF(OR(BT133/BR133&gt;2,BT133/BR133&lt;0.5),"NM",BT133/BR133*100-100))</f>
        <v>4.0004862536805632</v>
      </c>
      <c r="BV133" s="43">
        <f>IF(ISERROR(((BT133/BJ133)^0.2-1)*100),"NA",IF((((BT133/BJ133)^0.2-1)*100)&gt;100,"NM",IF((((BT133/BJ133)^0.2-1)*100)&lt;-50,"NM",((BT133/BJ133)^0.2-1)*100)))</f>
        <v>0.9196036994525647</v>
      </c>
      <c r="BW133" s="621"/>
      <c r="BX133" s="621"/>
      <c r="BY133"/>
      <c r="BZ133"/>
      <c r="CA133"/>
      <c r="CB133"/>
      <c r="CC133"/>
      <c r="CD133"/>
    </row>
    <row r="134" spans="2:82" s="616" customFormat="1" ht="12.75" customHeight="1" x14ac:dyDescent="0.2">
      <c r="B134" s="62" t="s">
        <v>416</v>
      </c>
      <c r="C134" s="647">
        <f>C53+C102</f>
        <v>515.70000000000005</v>
      </c>
      <c r="D134" s="743" t="str">
        <f>IF(ISERROR(C134/#REF!),"NA",IF(OR(C134/#REF!&gt;2,C134/#REF!&lt;0.5),"NM",C134/#REF!*100-100))</f>
        <v>NA</v>
      </c>
      <c r="E134" s="647">
        <f>E53+E102</f>
        <v>498</v>
      </c>
      <c r="F134" s="705" t="str">
        <f>IF(ISERROR(E134/#REF!),"NA",IF(OR(E134/#REF!&gt;2,E134/#REF!&lt;0.5),"NM",E134/#REF!*100-100))</f>
        <v>NA</v>
      </c>
      <c r="G134" s="647">
        <f>G53+G102</f>
        <v>494.9</v>
      </c>
      <c r="H134" s="705" t="str">
        <f>IF(ISERROR(G134/#REF!),"NA",IF(OR(G134/#REF!&gt;2,G134/#REF!&lt;0.5),"NM",G134/#REF!*100-100))</f>
        <v>NA</v>
      </c>
      <c r="I134" s="647">
        <f>I53+I102</f>
        <v>487.29999999999995</v>
      </c>
      <c r="J134" s="9" t="str">
        <f>IF(ISERROR(I134/#REF!),"NA",IF(OR(I134/#REF!&gt;2,I134/#REF!&lt;0.5),"NM",I134/#REF!*100-100))</f>
        <v>NA</v>
      </c>
      <c r="K134" s="647">
        <f>K53+K102</f>
        <v>490.4</v>
      </c>
      <c r="L134" s="9">
        <f t="shared" si="863"/>
        <v>-4.9059530734923555</v>
      </c>
      <c r="M134" s="647">
        <f>M53+M102</f>
        <v>485.9</v>
      </c>
      <c r="N134" s="9">
        <f t="shared" si="864"/>
        <v>-2.4297188755020045</v>
      </c>
      <c r="O134" s="647">
        <f>O53+O102</f>
        <v>462.1</v>
      </c>
      <c r="P134" s="9">
        <f t="shared" si="865"/>
        <v>-6.6276015356637572</v>
      </c>
      <c r="Q134" s="647">
        <f>Q53+Q102</f>
        <v>467.1</v>
      </c>
      <c r="R134" s="9">
        <f t="shared" si="865"/>
        <v>-4.1452903755386643</v>
      </c>
      <c r="S134" s="647">
        <f>S53+S102</f>
        <v>438.29999999999995</v>
      </c>
      <c r="T134" s="9">
        <f t="shared" si="865"/>
        <v>-10.623980424143568</v>
      </c>
      <c r="U134" s="647">
        <f>U53+U102</f>
        <v>463.90000000000003</v>
      </c>
      <c r="V134" s="9">
        <f t="shared" si="865"/>
        <v>-4.5276805927145318</v>
      </c>
      <c r="W134" s="647">
        <f>W53+W102</f>
        <v>450</v>
      </c>
      <c r="X134" s="9">
        <f t="shared" si="865"/>
        <v>-2.6184808483012461</v>
      </c>
      <c r="Y134" s="647">
        <f>Y53+Y102</f>
        <v>464.5</v>
      </c>
      <c r="Z134" s="9">
        <f t="shared" si="865"/>
        <v>-0.55662599015199987</v>
      </c>
      <c r="AA134" s="647">
        <f>AA53+AA102</f>
        <v>458.4</v>
      </c>
      <c r="AB134" s="9">
        <f t="shared" si="866"/>
        <v>4.5859000684462785</v>
      </c>
      <c r="AC134" s="647">
        <f>AC53+AC102</f>
        <v>486.7</v>
      </c>
      <c r="AD134" s="9">
        <f t="shared" si="867"/>
        <v>4.914852338866126</v>
      </c>
      <c r="AE134" s="647">
        <f>AE53+AE102</f>
        <v>518</v>
      </c>
      <c r="AF134" s="9">
        <f t="shared" si="868"/>
        <v>15.111111111111114</v>
      </c>
      <c r="AG134" s="647">
        <f>AG53+AG102</f>
        <v>522</v>
      </c>
      <c r="AH134" s="9">
        <f t="shared" si="869"/>
        <v>12.378902045209912</v>
      </c>
      <c r="AI134" s="647">
        <f>AI53+AI102</f>
        <v>521.9</v>
      </c>
      <c r="AJ134" s="9">
        <f t="shared" si="870"/>
        <v>13.852530541012214</v>
      </c>
      <c r="AK134" s="647">
        <f>AK53+AK102</f>
        <v>525.4</v>
      </c>
      <c r="AL134" s="9">
        <f t="shared" si="871"/>
        <v>7.9515101705362525</v>
      </c>
      <c r="AM134" s="647">
        <f>AM53+AM102</f>
        <v>522.4</v>
      </c>
      <c r="AN134" s="9">
        <f t="shared" si="872"/>
        <v>0.84942084942083795</v>
      </c>
      <c r="AO134" s="647">
        <f>AO53+AO102</f>
        <v>530.4</v>
      </c>
      <c r="AP134" s="9">
        <f t="shared" si="873"/>
        <v>1.6091954022988517</v>
      </c>
      <c r="AQ134" s="647">
        <f t="shared" si="874"/>
        <v>539.09963558282209</v>
      </c>
      <c r="AR134" s="9">
        <f t="shared" si="875"/>
        <v>3.2955806826637541</v>
      </c>
      <c r="AS134" s="647">
        <f t="shared" si="874"/>
        <v>544.43930076650963</v>
      </c>
      <c r="AT134" s="9">
        <f t="shared" si="876"/>
        <v>3.6237725098038993</v>
      </c>
      <c r="AU134" s="647">
        <f t="shared" si="874"/>
        <v>550.69731858137334</v>
      </c>
      <c r="AV134" s="9">
        <f t="shared" si="877"/>
        <v>5.4167914589152701</v>
      </c>
      <c r="AW134" s="647">
        <f t="shared" si="874"/>
        <v>556.65287359487525</v>
      </c>
      <c r="AX134" s="9">
        <f t="shared" si="878"/>
        <v>4.9496368014470704</v>
      </c>
      <c r="AY134" s="661"/>
      <c r="AZ134" s="660"/>
      <c r="BA134" s="659"/>
      <c r="BB134" s="76">
        <f>BB53+BB102</f>
        <v>1995.9</v>
      </c>
      <c r="BC134" s="226" t="str">
        <f>IF(ISERROR(BB134/#REF!),"NA",IF(OR(BB134/#REF!&gt;2,BB134/#REF!&lt;0.5),"NM",BB134/#REF!*100-100))</f>
        <v>NA</v>
      </c>
      <c r="BD134" s="920">
        <f>BD53+BD102</f>
        <v>1905.5</v>
      </c>
      <c r="BE134" s="226">
        <f t="shared" si="879"/>
        <v>-4.5292850343203668</v>
      </c>
      <c r="BF134" s="76">
        <f>BF53+BF102</f>
        <v>1816.6999999999998</v>
      </c>
      <c r="BG134" s="226">
        <f t="shared" si="879"/>
        <v>-4.6601941747572937</v>
      </c>
      <c r="BH134" s="76">
        <f>BH53+BH102</f>
        <v>1985.1000000000001</v>
      </c>
      <c r="BI134" s="226">
        <f t="shared" si="879"/>
        <v>9.2695546870699843</v>
      </c>
      <c r="BJ134" s="76">
        <f>BJ53+BJ102</f>
        <v>2100.1</v>
      </c>
      <c r="BK134" s="226">
        <f t="shared" si="879"/>
        <v>5.7931590348093209</v>
      </c>
      <c r="BL134" s="76">
        <f>BL53+BL102</f>
        <v>2190.88912852558</v>
      </c>
      <c r="BM134" s="226">
        <f t="shared" si="879"/>
        <v>4.3230859733146048</v>
      </c>
      <c r="BN134" s="76">
        <f>BN53+BN102</f>
        <v>2260.1972221491956</v>
      </c>
      <c r="BO134" s="226">
        <f t="shared" si="879"/>
        <v>3.163468781747909</v>
      </c>
      <c r="BP134" s="76">
        <f>BP53+BP102</f>
        <v>2329.7753790980014</v>
      </c>
      <c r="BQ134" s="226">
        <f t="shared" si="879"/>
        <v>3.0784108690587999</v>
      </c>
      <c r="BR134" s="76">
        <f>BR53+BR102</f>
        <v>2397.4423476419884</v>
      </c>
      <c r="BS134" s="226">
        <f t="shared" si="879"/>
        <v>2.9044417393656659</v>
      </c>
      <c r="BT134" s="76">
        <f>BT53+BT102</f>
        <v>2463.4081130901391</v>
      </c>
      <c r="BU134" s="226">
        <f t="shared" si="880"/>
        <v>2.7515058083891688</v>
      </c>
      <c r="BV134" s="43">
        <f>IF(ISERROR(((BT134/BJ134)^0.2-1)*100),"NA",IF((((BT134/BJ134)^0.2-1)*100)&gt;100,"NM",IF((((BT134/BJ134)^0.2-1)*100)&lt;-50,"NM",((BT134/BJ134)^0.2-1)*100)))</f>
        <v>3.2426821278020546</v>
      </c>
      <c r="BW134" s="621"/>
      <c r="BX134" s="621"/>
      <c r="BY134"/>
      <c r="BZ134"/>
      <c r="CA134"/>
      <c r="CB134"/>
      <c r="CC134"/>
      <c r="CD134"/>
    </row>
    <row r="135" spans="2:82" s="616" customFormat="1" ht="12.75" customHeight="1" x14ac:dyDescent="0.2">
      <c r="B135" s="67" t="s">
        <v>417</v>
      </c>
      <c r="C135" s="663">
        <f>C133+C134</f>
        <v>952.2</v>
      </c>
      <c r="D135" s="743" t="str">
        <f>IF(ISERROR(C135/#REF!),"NA",IF(OR(C135/#REF!&gt;2,C135/#REF!&lt;0.5),"NM",C135/#REF!*100-100))</f>
        <v>NA</v>
      </c>
      <c r="E135" s="663">
        <f t="shared" ref="E135:M135" si="881">E133+E134</f>
        <v>990.9</v>
      </c>
      <c r="F135" s="705" t="str">
        <f>IF(ISERROR(E135/#REF!),"NA",IF(OR(E135/#REF!&gt;2,E135/#REF!&lt;0.5),"NM",E135/#REF!*100-100))</f>
        <v>NA</v>
      </c>
      <c r="G135" s="663">
        <f t="shared" si="881"/>
        <v>975.8</v>
      </c>
      <c r="H135" s="705" t="str">
        <f>IF(ISERROR(G135/#REF!),"NA",IF(OR(G135/#REF!&gt;2,G135/#REF!&lt;0.5),"NM",G135/#REF!*100-100))</f>
        <v>NA</v>
      </c>
      <c r="I135" s="663">
        <f>I133+I134</f>
        <v>1293.5999999999999</v>
      </c>
      <c r="J135" s="9" t="str">
        <f>IF(ISERROR(I135/#REF!),"NA",IF(OR(I135/#REF!&gt;2,I135/#REF!&lt;0.5),"NM",I135/#REF!*100-100))</f>
        <v>NA</v>
      </c>
      <c r="K135" s="663">
        <f t="shared" si="881"/>
        <v>1090.8</v>
      </c>
      <c r="L135" s="9">
        <f t="shared" si="863"/>
        <v>14.555765595463129</v>
      </c>
      <c r="M135" s="663">
        <f t="shared" si="881"/>
        <v>1086.5</v>
      </c>
      <c r="N135" s="9">
        <f t="shared" si="864"/>
        <v>9.6477949338984672</v>
      </c>
      <c r="O135" s="663">
        <f>O133+O134</f>
        <v>1139.5</v>
      </c>
      <c r="P135" s="9">
        <f t="shared" si="865"/>
        <v>16.775978684156584</v>
      </c>
      <c r="Q135" s="663">
        <f t="shared" ref="Q135:W135" si="882">Q133+Q134</f>
        <v>1482.9</v>
      </c>
      <c r="R135" s="9">
        <f t="shared" si="865"/>
        <v>14.63358070500928</v>
      </c>
      <c r="S135" s="663">
        <f t="shared" si="882"/>
        <v>1124.5</v>
      </c>
      <c r="T135" s="9">
        <f t="shared" si="865"/>
        <v>3.0894756142280926</v>
      </c>
      <c r="U135" s="663">
        <f t="shared" si="882"/>
        <v>1905.2</v>
      </c>
      <c r="V135" s="9">
        <f t="shared" si="865"/>
        <v>75.352047860101266</v>
      </c>
      <c r="W135" s="663">
        <f t="shared" si="882"/>
        <v>1758.3</v>
      </c>
      <c r="X135" s="9">
        <f t="shared" si="865"/>
        <v>54.304519526107924</v>
      </c>
      <c r="Y135" s="663">
        <f t="shared" ref="Y135:AA135" si="883">Y133+Y134</f>
        <v>1378.9</v>
      </c>
      <c r="Z135" s="9">
        <f t="shared" si="865"/>
        <v>-7.0132847798233087</v>
      </c>
      <c r="AA135" s="663">
        <f t="shared" si="883"/>
        <v>1464</v>
      </c>
      <c r="AB135" s="9">
        <f t="shared" si="866"/>
        <v>30.191196087149848</v>
      </c>
      <c r="AC135" s="663">
        <f t="shared" ref="AC135:AE135" si="884">AC133+AC134</f>
        <v>1474.6000000000001</v>
      </c>
      <c r="AD135" s="9">
        <f t="shared" si="867"/>
        <v>-22.601301700608857</v>
      </c>
      <c r="AE135" s="663">
        <f t="shared" si="884"/>
        <v>1244.4000000000001</v>
      </c>
      <c r="AF135" s="9">
        <f t="shared" si="868"/>
        <v>-29.227094352499577</v>
      </c>
      <c r="AG135" s="663">
        <f t="shared" ref="AG135:AI135" si="885">AG133+AG134</f>
        <v>1967.7</v>
      </c>
      <c r="AH135" s="9">
        <f t="shared" si="869"/>
        <v>42.700703459279111</v>
      </c>
      <c r="AI135" s="663">
        <f t="shared" si="885"/>
        <v>1482.6</v>
      </c>
      <c r="AJ135" s="9">
        <f t="shared" si="870"/>
        <v>1.2704918032786736</v>
      </c>
      <c r="AK135" s="663">
        <f t="shared" ref="AK135:AM135" si="886">AK133+AK134</f>
        <v>1683.8000000000002</v>
      </c>
      <c r="AL135" s="9">
        <f t="shared" si="871"/>
        <v>14.18689814186898</v>
      </c>
      <c r="AM135" s="663">
        <f t="shared" si="886"/>
        <v>2370.8000000000002</v>
      </c>
      <c r="AN135" s="9">
        <f t="shared" si="872"/>
        <v>90.517518482802956</v>
      </c>
      <c r="AO135" s="663">
        <f t="shared" ref="AO135" si="887">AO133+AO134</f>
        <v>1628.4</v>
      </c>
      <c r="AP135" s="9">
        <f t="shared" si="873"/>
        <v>-17.243482238146058</v>
      </c>
      <c r="AQ135" s="663">
        <f t="shared" ref="AQ135:AW135" si="888">AQ133+AQ134</f>
        <v>1647.3534727826409</v>
      </c>
      <c r="AR135" s="9">
        <f t="shared" si="875"/>
        <v>11.112469498357001</v>
      </c>
      <c r="AS135" s="663">
        <f t="shared" si="888"/>
        <v>1662.1771968019582</v>
      </c>
      <c r="AT135" s="9">
        <f t="shared" si="876"/>
        <v>-1.2841669555791668</v>
      </c>
      <c r="AU135" s="663">
        <f t="shared" si="888"/>
        <v>1681.053536231238</v>
      </c>
      <c r="AV135" s="9">
        <f t="shared" si="877"/>
        <v>-29.09340576045058</v>
      </c>
      <c r="AW135" s="663">
        <f t="shared" si="888"/>
        <v>1696.6631787171859</v>
      </c>
      <c r="AX135" s="9">
        <f t="shared" si="878"/>
        <v>4.1920399605247951</v>
      </c>
      <c r="AY135" s="661"/>
      <c r="AZ135" s="660"/>
      <c r="BA135" s="659"/>
      <c r="BB135" s="622">
        <f>BB133+BB134</f>
        <v>4212.5</v>
      </c>
      <c r="BC135" s="226" t="str">
        <f>IF(ISERROR(BB135/#REF!),"NA",IF(OR(BB135/#REF!&gt;2,BB135/#REF!&lt;0.5),"NM",BB135/#REF!*100-100))</f>
        <v>NA</v>
      </c>
      <c r="BD135" s="921">
        <f t="shared" ref="BD135" si="889">BD133+BD134</f>
        <v>4799.7</v>
      </c>
      <c r="BE135" s="226">
        <f t="shared" si="879"/>
        <v>13.939465875370914</v>
      </c>
      <c r="BF135" s="622">
        <f>BF133+BF134</f>
        <v>6166.9</v>
      </c>
      <c r="BG135" s="226">
        <f t="shared" si="879"/>
        <v>28.485113652936633</v>
      </c>
      <c r="BH135" s="622">
        <f t="shared" ref="BH135:BP135" si="890">BH133+BH134</f>
        <v>6150.7000000000007</v>
      </c>
      <c r="BI135" s="226">
        <f t="shared" si="879"/>
        <v>-0.26269276297651345</v>
      </c>
      <c r="BJ135" s="622">
        <f t="shared" ref="BJ135" si="891">BJ133+BJ134</f>
        <v>7165.6</v>
      </c>
      <c r="BK135" s="226">
        <f t="shared" si="879"/>
        <v>16.500560911766129</v>
      </c>
      <c r="BL135" s="622">
        <f t="shared" ref="BL135" si="892">BL133+BL134</f>
        <v>6687.2473845330223</v>
      </c>
      <c r="BM135" s="226">
        <f t="shared" si="879"/>
        <v>-6.6756812474458229</v>
      </c>
      <c r="BN135" s="622">
        <f t="shared" si="890"/>
        <v>6954.3383325254417</v>
      </c>
      <c r="BO135" s="226">
        <f t="shared" si="879"/>
        <v>3.9940342062142946</v>
      </c>
      <c r="BP135" s="622">
        <f t="shared" si="890"/>
        <v>7225.8364708973759</v>
      </c>
      <c r="BQ135" s="226">
        <f t="shared" si="879"/>
        <v>3.9040110703578677</v>
      </c>
      <c r="BR135" s="622">
        <f t="shared" ref="BR135:BT135" si="893">BR133+BR134</f>
        <v>7496.2030738822014</v>
      </c>
      <c r="BS135" s="226">
        <f t="shared" si="879"/>
        <v>3.7416651217301791</v>
      </c>
      <c r="BT135" s="622">
        <f t="shared" si="893"/>
        <v>7766.144061291654</v>
      </c>
      <c r="BU135" s="226">
        <f t="shared" si="880"/>
        <v>3.6010362145865997</v>
      </c>
      <c r="BV135" s="43">
        <f>IF(ISERROR(((BT135/BJ135)^0.2-1)*100),"NA",IF((((BT135/BJ135)^0.2-1)*100)&gt;100,"NM",IF((((BT135/BJ135)^0.2-1)*100)&lt;-50,"NM",((BT135/BJ135)^0.2-1)*100)))</f>
        <v>1.6226641521474905</v>
      </c>
      <c r="BW135" s="621"/>
      <c r="BX135" s="621"/>
      <c r="BY135"/>
      <c r="BZ135"/>
      <c r="CA135"/>
      <c r="CB135"/>
      <c r="CC135"/>
      <c r="CD135"/>
    </row>
    <row r="136" spans="2:82" s="616" customFormat="1" ht="12.75" customHeight="1" x14ac:dyDescent="0.2">
      <c r="B136" s="67"/>
      <c r="C136" s="76"/>
      <c r="D136" s="662"/>
      <c r="E136" s="76"/>
      <c r="F136" s="662"/>
      <c r="G136" s="76"/>
      <c r="H136" s="662"/>
      <c r="I136" s="76"/>
      <c r="J136" s="662"/>
      <c r="K136" s="76"/>
      <c r="L136" s="662"/>
      <c r="M136" s="76"/>
      <c r="N136" s="659"/>
      <c r="O136" s="647"/>
      <c r="P136" s="9"/>
      <c r="Q136" s="647"/>
      <c r="R136" s="9"/>
      <c r="S136" s="647"/>
      <c r="T136" s="9"/>
      <c r="U136" s="647"/>
      <c r="V136" s="9"/>
      <c r="W136" s="647"/>
      <c r="X136" s="9"/>
      <c r="Y136" s="647"/>
      <c r="Z136" s="9"/>
      <c r="AA136" s="647"/>
      <c r="AB136" s="9"/>
      <c r="AC136" s="647"/>
      <c r="AD136" s="9"/>
      <c r="AE136" s="647"/>
      <c r="AF136" s="9"/>
      <c r="AG136" s="647"/>
      <c r="AH136" s="659"/>
      <c r="AI136" s="647"/>
      <c r="AJ136" s="659"/>
      <c r="AK136" s="647"/>
      <c r="AL136" s="659"/>
      <c r="AM136" s="647"/>
      <c r="AN136" s="659"/>
      <c r="AO136" s="647"/>
      <c r="AP136" s="659"/>
      <c r="AQ136" s="647"/>
      <c r="AR136" s="659"/>
      <c r="AS136" s="647"/>
      <c r="AT136" s="659"/>
      <c r="AU136" s="647"/>
      <c r="AV136" s="659"/>
      <c r="AW136" s="647"/>
      <c r="AX136" s="659"/>
      <c r="AY136" s="661"/>
      <c r="AZ136" s="660"/>
      <c r="BA136" s="659"/>
      <c r="BB136" s="76"/>
      <c r="BC136" s="76"/>
      <c r="BD136" s="920"/>
      <c r="BE136" s="76"/>
      <c r="BF136" s="76"/>
      <c r="BG136" s="662"/>
      <c r="BH136" s="76"/>
      <c r="BI136" s="662"/>
      <c r="BJ136" s="76"/>
      <c r="BK136" s="662"/>
      <c r="BL136" s="76"/>
      <c r="BM136" s="662"/>
      <c r="BN136" s="76"/>
      <c r="BO136" s="662"/>
      <c r="BP136" s="76"/>
      <c r="BQ136" s="623"/>
      <c r="BR136" s="76"/>
      <c r="BS136" s="623"/>
      <c r="BT136" s="76"/>
      <c r="BU136" s="623"/>
      <c r="BV136" s="43"/>
      <c r="BW136" s="621"/>
      <c r="BX136" s="621"/>
      <c r="BY136"/>
      <c r="BZ136"/>
      <c r="CA136"/>
      <c r="CB136"/>
      <c r="CC136"/>
      <c r="CD136"/>
    </row>
    <row r="137" spans="2:82" s="616" customFormat="1" ht="12.75" customHeight="1" x14ac:dyDescent="0.2">
      <c r="B137" s="116" t="s">
        <v>434</v>
      </c>
      <c r="C137" s="647">
        <f>C57+C106</f>
        <v>493.7</v>
      </c>
      <c r="D137" s="743" t="str">
        <f>IF(ISERROR(C137/#REF!),"NA",IF(OR(C137/#REF!&gt;2,C137/#REF!&lt;0.5),"NM",C137/#REF!*100-100))</f>
        <v>NA</v>
      </c>
      <c r="E137" s="647">
        <f>E57+E106</f>
        <v>521.69999999999993</v>
      </c>
      <c r="F137" s="705" t="str">
        <f>IF(ISERROR(E137/#REF!),"NA",IF(OR(E137/#REF!&gt;2,E137/#REF!&lt;0.5),"NM",E137/#REF!*100-100))</f>
        <v>NA</v>
      </c>
      <c r="G137" s="647">
        <f>G57+G106</f>
        <v>515.4</v>
      </c>
      <c r="H137" s="705" t="str">
        <f>IF(ISERROR(G137/#REF!),"NA",IF(OR(G137/#REF!&gt;2,G137/#REF!&lt;0.5),"NM",G137/#REF!*100-100))</f>
        <v>NA</v>
      </c>
      <c r="I137" s="647">
        <f>I57+I106</f>
        <v>796.5</v>
      </c>
      <c r="J137" s="9" t="str">
        <f>IF(ISERROR(I137/#REF!),"NA",IF(OR(I137/#REF!&gt;2,I137/#REF!&lt;0.5),"NM",I137/#REF!*100-100))</f>
        <v>NA</v>
      </c>
      <c r="K137" s="647">
        <f>K57+K106</f>
        <v>578.4</v>
      </c>
      <c r="L137" s="9">
        <f t="shared" si="863"/>
        <v>17.15616771318615</v>
      </c>
      <c r="M137" s="647">
        <f>M57+M106</f>
        <v>574.9</v>
      </c>
      <c r="N137" s="9">
        <f t="shared" ref="N137:N141" si="894">IF(ISERROR(M137/E137),"NA",IF(OR(M137/E137&gt;2,M137/E137&lt;0.5),"NM",M137/E137*100-100))</f>
        <v>10.197431474027226</v>
      </c>
      <c r="O137" s="647">
        <f>O57+O106</f>
        <v>638.1</v>
      </c>
      <c r="P137" s="9">
        <f t="shared" si="865"/>
        <v>23.806752037252622</v>
      </c>
      <c r="Q137" s="647">
        <f>Q57+Q106</f>
        <v>974.4</v>
      </c>
      <c r="R137" s="9">
        <f t="shared" si="865"/>
        <v>22.335216572504706</v>
      </c>
      <c r="S137" s="647">
        <f>S57+S106</f>
        <v>627.30000000000007</v>
      </c>
      <c r="T137" s="9">
        <f t="shared" si="865"/>
        <v>8.454356846473047</v>
      </c>
      <c r="U137" s="647">
        <f>U57+U106</f>
        <v>1378</v>
      </c>
      <c r="V137" s="9" t="str">
        <f t="shared" si="865"/>
        <v>NM</v>
      </c>
      <c r="W137" s="647">
        <f>W57+W106</f>
        <v>1269.6000000000001</v>
      </c>
      <c r="X137" s="9">
        <f t="shared" si="865"/>
        <v>98.965679360601797</v>
      </c>
      <c r="Y137" s="647">
        <f>Y57+Y106</f>
        <v>880.9</v>
      </c>
      <c r="Z137" s="9">
        <f t="shared" si="865"/>
        <v>-9.5956486042692859</v>
      </c>
      <c r="AA137" s="647">
        <f>AA57+AA106</f>
        <v>985.6</v>
      </c>
      <c r="AB137" s="9">
        <f t="shared" si="866"/>
        <v>57.117806472182366</v>
      </c>
      <c r="AC137" s="647">
        <f>AC57+AC106</f>
        <v>971.4</v>
      </c>
      <c r="AD137" s="9">
        <f t="shared" si="867"/>
        <v>-29.506531204644418</v>
      </c>
      <c r="AE137" s="647">
        <f>AE57+AE106</f>
        <v>757.59999999999991</v>
      </c>
      <c r="AF137" s="9">
        <f t="shared" si="868"/>
        <v>-40.327662255828621</v>
      </c>
      <c r="AG137" s="647">
        <f>AG57+AG106</f>
        <v>1433.5</v>
      </c>
      <c r="AH137" s="9">
        <f t="shared" ref="AH137:AH140" si="895">IF(ISERROR(AG137/Y137),"NA",IF(OR(AG137/Y137&gt;2,AG137/Y137&lt;0.5),"NM",AG137/Y137*100-100))</f>
        <v>62.731297536610299</v>
      </c>
      <c r="AI137" s="647">
        <f>AI57+AI106</f>
        <v>935.19999999999993</v>
      </c>
      <c r="AJ137" s="9">
        <f t="shared" ref="AJ137:AJ140" si="896">IF(ISERROR(AI137/AA137),"NA",IF(OR(AI137/AA137&gt;2,AI137/AA137&lt;0.5),"NM",AI137/AA137*100-100))</f>
        <v>-5.113636363636374</v>
      </c>
      <c r="AK137" s="647">
        <f>AK57+AK106</f>
        <v>1132.6000000000001</v>
      </c>
      <c r="AL137" s="9">
        <f t="shared" ref="AL137:AL140" si="897">IF(ISERROR(AK137/AC137),"NA",IF(OR(AK137/AC137&gt;2,AK137/AC137&lt;0.5),"NM",AK137/AC137*100-100))</f>
        <v>16.594605723697782</v>
      </c>
      <c r="AM137" s="647">
        <f>AM57+AM106</f>
        <v>1867.7</v>
      </c>
      <c r="AN137" s="9" t="str">
        <f t="shared" ref="AN137:AN140" si="898">IF(ISERROR(AM137/AE137),"NA",IF(OR(AM137/AE137&gt;2,AM137/AE137&lt;0.5),"NM",AM137/AE137*100-100))</f>
        <v>NM</v>
      </c>
      <c r="AO137" s="647">
        <f>AO57+AO106</f>
        <v>1091.6000000000001</v>
      </c>
      <c r="AP137" s="9">
        <f t="shared" ref="AP137:AP140" si="899">IF(ISERROR(AO137/AG137),"NA",IF(OR(AO137/AG137&gt;2,AO137/AG137&lt;0.5),"NM",AO137/AG137*100-100))</f>
        <v>-23.850715033135671</v>
      </c>
      <c r="AQ137" s="647">
        <f t="shared" ref="AQ137:AW140" si="900">AQ57+AQ106</f>
        <v>1086.6631811276795</v>
      </c>
      <c r="AR137" s="9">
        <f t="shared" ref="AR137:AR140" si="901">IF(ISERROR(AQ137/AI137),"NA",IF(OR(AQ137/AI137&gt;2,AQ137/AI137&lt;0.5),"NM",AQ137/AI137*100-100))</f>
        <v>16.195806365235214</v>
      </c>
      <c r="AS137" s="647">
        <f t="shared" si="900"/>
        <v>1104.6118869423251</v>
      </c>
      <c r="AT137" s="9">
        <f t="shared" ref="AT137:AT140" si="902">IF(ISERROR(AS137/AK137),"NA",IF(OR(AS137/AK137&gt;2,AS137/AK137&lt;0.5),"NM",AS137/AK137*100-100))</f>
        <v>-2.471138359321472</v>
      </c>
      <c r="AU137" s="647">
        <f t="shared" si="900"/>
        <v>1117.6126805424485</v>
      </c>
      <c r="AV137" s="9">
        <f t="shared" ref="AV137:AV140" si="903">IF(ISERROR(AU137/AM137),"NA",IF(OR(AU137/AM137&gt;2,AU137/AM137&lt;0.5),"NM",AU137/AM137*100-100))</f>
        <v>-40.161017264954303</v>
      </c>
      <c r="AW137" s="647">
        <f t="shared" si="900"/>
        <v>1121.7479219196748</v>
      </c>
      <c r="AX137" s="9">
        <f t="shared" ref="AX137:AX140" si="904">IF(ISERROR(AW137/AO137),"NA",IF(OR(AW137/AO137&gt;2,AW137/AO137&lt;0.5),"NM",AW137/AO137*100-100))</f>
        <v>2.7618103627404338</v>
      </c>
      <c r="AY137" s="661"/>
      <c r="AZ137" s="660"/>
      <c r="BA137" s="659"/>
      <c r="BB137" s="76">
        <f>BB57+BB106</f>
        <v>2327.3000000000002</v>
      </c>
      <c r="BC137" s="226" t="str">
        <f>IF(ISERROR(BB137/#REF!),"NA",IF(OR(BB137/#REF!&gt;2,BB137/#REF!&lt;0.5),"NM",BB137/#REF!*100-100))</f>
        <v>NA</v>
      </c>
      <c r="BD137" s="920">
        <f>BD57+BD106</f>
        <v>2765.7999999999997</v>
      </c>
      <c r="BE137" s="226">
        <f t="shared" si="879"/>
        <v>18.841576075280344</v>
      </c>
      <c r="BF137" s="76">
        <f>BF57+BF106</f>
        <v>4155.7999999999993</v>
      </c>
      <c r="BG137" s="226">
        <f t="shared" si="879"/>
        <v>50.256706920240077</v>
      </c>
      <c r="BH137" s="76">
        <f>BH57+BH106</f>
        <v>4148.1000000000004</v>
      </c>
      <c r="BI137" s="226">
        <f t="shared" si="879"/>
        <v>-0.18528321863416863</v>
      </c>
      <c r="BJ137" s="76">
        <f>BJ57+BJ106</f>
        <v>5027.0999999999995</v>
      </c>
      <c r="BK137" s="226">
        <f t="shared" si="879"/>
        <v>21.19042453171329</v>
      </c>
      <c r="BL137" s="76">
        <f>BL57+BL106</f>
        <v>4430.6356705321277</v>
      </c>
      <c r="BM137" s="226">
        <f t="shared" si="879"/>
        <v>-11.864978406394783</v>
      </c>
      <c r="BN137" s="76">
        <f>BN57+BN106</f>
        <v>4613.1001180939975</v>
      </c>
      <c r="BO137" s="226">
        <f t="shared" si="879"/>
        <v>4.118245351912563</v>
      </c>
      <c r="BP137" s="76">
        <f>BP57+BP106</f>
        <v>4788.0715293319199</v>
      </c>
      <c r="BQ137" s="226">
        <f t="shared" si="879"/>
        <v>3.7929246441374715</v>
      </c>
      <c r="BR137" s="76">
        <f>BR57+BR106</f>
        <v>4961.4770847068303</v>
      </c>
      <c r="BS137" s="226">
        <f t="shared" si="879"/>
        <v>3.621615807379257</v>
      </c>
      <c r="BT137" s="76">
        <f>BT57+BT106</f>
        <v>5133.7618682055581</v>
      </c>
      <c r="BU137" s="226">
        <f t="shared" ref="BU137:BU141" si="905">IF(ISERROR(BT137/BR137),"NA",IF(OR(BT137/BR137&gt;2,BT137/BR137&lt;0.5),"NM",BT137/BR137*100-100))</f>
        <v>3.4724494451415637</v>
      </c>
      <c r="BV137" s="43">
        <f>IF(ISERROR(((BT137/BJ137)^0.2-1)*100),"NA",IF((((BT137/BJ137)^0.2-1)*100)&gt;100,"NM",IF((((BT137/BJ137)^0.2-1)*100)&lt;-50,"NM",((BT137/BJ137)^0.2-1)*100)))</f>
        <v>0.42079127056950938</v>
      </c>
      <c r="BW137" s="621"/>
      <c r="BX137" s="621"/>
      <c r="BY137"/>
      <c r="BZ137"/>
      <c r="CA137"/>
      <c r="CB137"/>
      <c r="CC137"/>
      <c r="CD137"/>
    </row>
    <row r="138" spans="2:82" s="616" customFormat="1" ht="12.75" customHeight="1" x14ac:dyDescent="0.2">
      <c r="B138" s="65" t="s">
        <v>421</v>
      </c>
      <c r="C138" s="647">
        <f>C58+C107</f>
        <v>55</v>
      </c>
      <c r="D138" s="743" t="str">
        <f>IF(ISERROR(C138/#REF!),"NA",IF(OR(C138/#REF!&gt;2,C138/#REF!&lt;0.5),"NM",C138/#REF!*100-100))</f>
        <v>NA</v>
      </c>
      <c r="E138" s="647">
        <f>E58+E107</f>
        <v>58.400000000000006</v>
      </c>
      <c r="F138" s="705" t="str">
        <f>IF(ISERROR(E138/#REF!),"NA",IF(OR(E138/#REF!&gt;2,E138/#REF!&lt;0.5),"NM",E138/#REF!*100-100))</f>
        <v>NA</v>
      </c>
      <c r="G138" s="647">
        <f>G58+G107</f>
        <v>64.7</v>
      </c>
      <c r="H138" s="705" t="str">
        <f>IF(ISERROR(G138/#REF!),"NA",IF(OR(G138/#REF!&gt;2,G138/#REF!&lt;0.5),"NM",G138/#REF!*100-100))</f>
        <v>NA</v>
      </c>
      <c r="I138" s="647">
        <f>I58+I107</f>
        <v>70.2</v>
      </c>
      <c r="J138" s="9" t="str">
        <f>IF(ISERROR(I138/#REF!),"NA",IF(OR(I138/#REF!&gt;2,I138/#REF!&lt;0.5),"NM",I138/#REF!*100-100))</f>
        <v>NA</v>
      </c>
      <c r="K138" s="647">
        <f>K58+K107</f>
        <v>66.600000000000009</v>
      </c>
      <c r="L138" s="9">
        <f t="shared" si="863"/>
        <v>21.090909090909122</v>
      </c>
      <c r="M138" s="647">
        <f>M58+M107</f>
        <v>63.1</v>
      </c>
      <c r="N138" s="9">
        <f t="shared" si="894"/>
        <v>8.0479452054794507</v>
      </c>
      <c r="O138" s="647">
        <f>O58+O107</f>
        <v>62.6</v>
      </c>
      <c r="P138" s="9">
        <f t="shared" si="865"/>
        <v>-3.2457496136012338</v>
      </c>
      <c r="Q138" s="647">
        <f>Q58+Q107</f>
        <v>66.3</v>
      </c>
      <c r="R138" s="9">
        <f t="shared" si="865"/>
        <v>-5.5555555555555571</v>
      </c>
      <c r="S138" s="647">
        <f>S58+S107</f>
        <v>69.5</v>
      </c>
      <c r="T138" s="9">
        <f t="shared" si="865"/>
        <v>4.3543543543543421</v>
      </c>
      <c r="U138" s="647">
        <f>U58+U107</f>
        <v>75.5</v>
      </c>
      <c r="V138" s="9">
        <f t="shared" si="865"/>
        <v>19.651347068145796</v>
      </c>
      <c r="W138" s="647">
        <f>W58+W107</f>
        <v>74.400000000000006</v>
      </c>
      <c r="X138" s="9">
        <f t="shared" si="865"/>
        <v>18.849840255591062</v>
      </c>
      <c r="Y138" s="647">
        <f>Y58+Y107</f>
        <v>71.199999999999989</v>
      </c>
      <c r="Z138" s="9">
        <f t="shared" si="865"/>
        <v>7.3906485671191575</v>
      </c>
      <c r="AA138" s="647">
        <f>AA58+AA107</f>
        <v>78.599999999999994</v>
      </c>
      <c r="AB138" s="9">
        <f t="shared" si="866"/>
        <v>13.093525179856115</v>
      </c>
      <c r="AC138" s="647">
        <f>AC58+AC107</f>
        <v>72.2</v>
      </c>
      <c r="AD138" s="9">
        <f t="shared" si="867"/>
        <v>-4.3708609271523073</v>
      </c>
      <c r="AE138" s="647">
        <f>AE58+AE107</f>
        <v>64.2</v>
      </c>
      <c r="AF138" s="9">
        <f t="shared" si="868"/>
        <v>-13.709677419354833</v>
      </c>
      <c r="AG138" s="647">
        <f>AG58+AG107</f>
        <v>71.400000000000006</v>
      </c>
      <c r="AH138" s="9">
        <f t="shared" si="895"/>
        <v>0.28089887640452105</v>
      </c>
      <c r="AI138" s="647">
        <f>AI58+AI107</f>
        <v>81.699999999999989</v>
      </c>
      <c r="AJ138" s="9">
        <f t="shared" si="896"/>
        <v>3.9440203562340912</v>
      </c>
      <c r="AK138" s="647">
        <f>AK58+AK107</f>
        <v>74.800000000000011</v>
      </c>
      <c r="AL138" s="9">
        <f t="shared" si="897"/>
        <v>3.6011080332410046</v>
      </c>
      <c r="AM138" s="647">
        <f>AM58+AM107</f>
        <v>67.599999999999994</v>
      </c>
      <c r="AN138" s="9">
        <f t="shared" si="898"/>
        <v>5.2959501557632223</v>
      </c>
      <c r="AO138" s="647">
        <f>AO58+AO107</f>
        <v>68.099999999999994</v>
      </c>
      <c r="AP138" s="9">
        <f t="shared" si="899"/>
        <v>-4.6218487394958174</v>
      </c>
      <c r="AQ138" s="647">
        <f t="shared" si="900"/>
        <v>68.839129107607974</v>
      </c>
      <c r="AR138" s="9">
        <f t="shared" si="901"/>
        <v>-15.741580039647502</v>
      </c>
      <c r="AS138" s="647">
        <f t="shared" si="900"/>
        <v>69.06709705548289</v>
      </c>
      <c r="AT138" s="9">
        <f t="shared" si="902"/>
        <v>-7.6643087493544471</v>
      </c>
      <c r="AU138" s="647">
        <f t="shared" si="900"/>
        <v>69.791233926125869</v>
      </c>
      <c r="AV138" s="9">
        <f t="shared" si="903"/>
        <v>3.2414703049199289</v>
      </c>
      <c r="AW138" s="647">
        <f t="shared" si="900"/>
        <v>70.414285415142288</v>
      </c>
      <c r="AX138" s="9">
        <f t="shared" si="904"/>
        <v>3.3983633115158369</v>
      </c>
      <c r="AY138" s="661"/>
      <c r="AZ138" s="660"/>
      <c r="BA138" s="659"/>
      <c r="BB138" s="76">
        <f>BB58+BB107</f>
        <v>248.3</v>
      </c>
      <c r="BC138" s="226" t="str">
        <f>IF(ISERROR(BB138/#REF!),"NA",IF(OR(BB138/#REF!&gt;2,BB138/#REF!&lt;0.5),"NM",BB138/#REF!*100-100))</f>
        <v>NA</v>
      </c>
      <c r="BD138" s="920">
        <f>BD58+BD107</f>
        <v>258.59999999999997</v>
      </c>
      <c r="BE138" s="226">
        <f t="shared" si="879"/>
        <v>4.148207813129261</v>
      </c>
      <c r="BF138" s="76">
        <f>BF58+BF107</f>
        <v>290.60000000000002</v>
      </c>
      <c r="BG138" s="226">
        <f t="shared" si="879"/>
        <v>12.374323279195693</v>
      </c>
      <c r="BH138" s="76">
        <f>BH58+BH107</f>
        <v>286.39999999999998</v>
      </c>
      <c r="BI138" s="226">
        <f t="shared" si="879"/>
        <v>-1.4452856159669807</v>
      </c>
      <c r="BJ138" s="76">
        <f>BJ58+BJ107</f>
        <v>292.2</v>
      </c>
      <c r="BK138" s="226">
        <f t="shared" si="879"/>
        <v>2.0251396648044704</v>
      </c>
      <c r="BL138" s="76">
        <f>BL58+BL107</f>
        <v>278.11174550435896</v>
      </c>
      <c r="BM138" s="226">
        <f t="shared" si="879"/>
        <v>-4.8214423325260185</v>
      </c>
      <c r="BN138" s="76">
        <f>BN58+BN107</f>
        <v>288.70517501405499</v>
      </c>
      <c r="BO138" s="226">
        <f t="shared" si="879"/>
        <v>3.8090550582409577</v>
      </c>
      <c r="BP138" s="76">
        <f>BP58+BP107</f>
        <v>300.57340537006729</v>
      </c>
      <c r="BQ138" s="226">
        <f t="shared" si="879"/>
        <v>4.1108478070871257</v>
      </c>
      <c r="BR138" s="76">
        <f>BR58+BR107</f>
        <v>312.4955710800424</v>
      </c>
      <c r="BS138" s="226">
        <f t="shared" si="879"/>
        <v>3.9664739118540808</v>
      </c>
      <c r="BT138" s="76">
        <f>BT58+BT107</f>
        <v>324.50394871302308</v>
      </c>
      <c r="BU138" s="226">
        <f t="shared" si="905"/>
        <v>3.8427353038884746</v>
      </c>
      <c r="BV138" s="43">
        <f>IF(ISERROR(((BT138/BJ138)^0.2-1)*100),"NA",IF((((BT138/BJ138)^0.2-1)*100)&gt;100,"NM",IF((((BT138/BJ138)^0.2-1)*100)&lt;-50,"NM",((BT138/BJ138)^0.2-1)*100)))</f>
        <v>2.1193295524313482</v>
      </c>
      <c r="BW138" s="621"/>
      <c r="BX138" s="621"/>
      <c r="BY138"/>
      <c r="BZ138"/>
      <c r="CA138"/>
      <c r="CB138"/>
      <c r="CC138"/>
      <c r="CD138"/>
    </row>
    <row r="139" spans="2:82" s="616" customFormat="1" ht="12.75" customHeight="1" x14ac:dyDescent="0.2">
      <c r="B139" s="65" t="s">
        <v>391</v>
      </c>
      <c r="C139" s="647">
        <f>C59+C108</f>
        <v>1.5000000000000036</v>
      </c>
      <c r="D139" s="743" t="str">
        <f>IF(ISERROR(C139/#REF!),"NA",IF(OR(C139/#REF!&gt;2,C139/#REF!&lt;0.5),"NM",C139/#REF!*100-100))</f>
        <v>NA</v>
      </c>
      <c r="E139" s="647">
        <f>E59+E108</f>
        <v>-3.5000000000000018</v>
      </c>
      <c r="F139" s="705" t="str">
        <f>IF(ISERROR(E139/#REF!),"NA",IF(OR(E139/#REF!&gt;2,E139/#REF!&lt;0.5),"NM",E139/#REF!*100-100))</f>
        <v>NA</v>
      </c>
      <c r="G139" s="647">
        <f>G59+G108</f>
        <v>-10.400000000000002</v>
      </c>
      <c r="H139" s="705" t="str">
        <f>IF(ISERROR(G139/#REF!),"NA",IF(OR(G139/#REF!&gt;2,G139/#REF!&lt;0.5),"NM",G139/#REF!*100-100))</f>
        <v>NA</v>
      </c>
      <c r="I139" s="647">
        <f>I59+I108</f>
        <v>-4.1999999999999993</v>
      </c>
      <c r="J139" s="9" t="str">
        <f>IF(ISERROR(I139/#REF!),"NA",IF(OR(I139/#REF!&gt;2,I139/#REF!&lt;0.5),"NM",I139/#REF!*100-100))</f>
        <v>NA</v>
      </c>
      <c r="K139" s="647">
        <f>K59+K108</f>
        <v>9.6999999999999993</v>
      </c>
      <c r="L139" s="9" t="str">
        <f t="shared" si="863"/>
        <v>NM</v>
      </c>
      <c r="M139" s="647">
        <f>M59+M108</f>
        <v>3.0999999999999996</v>
      </c>
      <c r="N139" s="9" t="str">
        <f t="shared" si="894"/>
        <v>NM</v>
      </c>
      <c r="O139" s="647">
        <f>O59+O108</f>
        <v>3.3000000000000025</v>
      </c>
      <c r="P139" s="9" t="str">
        <f t="shared" si="865"/>
        <v>NM</v>
      </c>
      <c r="Q139" s="647">
        <f>Q59+Q108</f>
        <v>3.6999999999999975</v>
      </c>
      <c r="R139" s="9" t="str">
        <f t="shared" si="865"/>
        <v>NM</v>
      </c>
      <c r="S139" s="647">
        <f>S59+S108</f>
        <v>-10.199999999999998</v>
      </c>
      <c r="T139" s="9" t="str">
        <f t="shared" si="865"/>
        <v>NM</v>
      </c>
      <c r="U139" s="647">
        <f>U59+U108</f>
        <v>-4.2000000000000011</v>
      </c>
      <c r="V139" s="9" t="str">
        <f t="shared" si="865"/>
        <v>NM</v>
      </c>
      <c r="W139" s="647">
        <f>W59+W108</f>
        <v>46.5</v>
      </c>
      <c r="X139" s="9" t="str">
        <f t="shared" si="865"/>
        <v>NM</v>
      </c>
      <c r="Y139" s="647">
        <f>Y59+Y108</f>
        <v>-8.1999999999999975</v>
      </c>
      <c r="Z139" s="9" t="str">
        <f t="shared" si="865"/>
        <v>NM</v>
      </c>
      <c r="AA139" s="647">
        <f>AA59+AA108</f>
        <v>-17.899999999999999</v>
      </c>
      <c r="AB139" s="9">
        <f t="shared" si="866"/>
        <v>75.490196078431381</v>
      </c>
      <c r="AC139" s="647">
        <f>AC59+AC108</f>
        <v>1.7999999999999989</v>
      </c>
      <c r="AD139" s="9" t="str">
        <f t="shared" si="867"/>
        <v>NM</v>
      </c>
      <c r="AE139" s="647">
        <f>AE59+AE108</f>
        <v>-14.3</v>
      </c>
      <c r="AF139" s="9" t="str">
        <f t="shared" si="868"/>
        <v>NM</v>
      </c>
      <c r="AG139" s="647">
        <f>AG59+AG108</f>
        <v>2.7999999999999989</v>
      </c>
      <c r="AH139" s="9" t="str">
        <f t="shared" si="895"/>
        <v>NM</v>
      </c>
      <c r="AI139" s="647">
        <f>AI59+AI108</f>
        <v>-10.8</v>
      </c>
      <c r="AJ139" s="9">
        <f t="shared" si="896"/>
        <v>-39.664804469273726</v>
      </c>
      <c r="AK139" s="647">
        <f>AK59+AK108</f>
        <v>-5.8000000000000007</v>
      </c>
      <c r="AL139" s="9" t="str">
        <f t="shared" si="897"/>
        <v>NM</v>
      </c>
      <c r="AM139" s="647">
        <f>AM59+AM108</f>
        <v>-12.3</v>
      </c>
      <c r="AN139" s="9">
        <f t="shared" si="898"/>
        <v>-13.986013986013987</v>
      </c>
      <c r="AO139" s="647">
        <f>AO59+AO108</f>
        <v>0.3000000000000016</v>
      </c>
      <c r="AP139" s="9" t="str">
        <f t="shared" si="899"/>
        <v>NM</v>
      </c>
      <c r="AQ139" s="647">
        <f t="shared" si="900"/>
        <v>4.9635191226993864</v>
      </c>
      <c r="AR139" s="9" t="str">
        <f t="shared" si="901"/>
        <v>NM</v>
      </c>
      <c r="AS139" s="647">
        <f t="shared" si="900"/>
        <v>4.999102941097064</v>
      </c>
      <c r="AT139" s="9" t="str">
        <f t="shared" si="902"/>
        <v>NM</v>
      </c>
      <c r="AU139" s="647">
        <f t="shared" si="900"/>
        <v>5.0544780018237869</v>
      </c>
      <c r="AV139" s="9" t="str">
        <f t="shared" si="903"/>
        <v>NM</v>
      </c>
      <c r="AW139" s="647">
        <f t="shared" si="900"/>
        <v>5.1051995124346838</v>
      </c>
      <c r="AX139" s="9" t="str">
        <f t="shared" si="904"/>
        <v>NM</v>
      </c>
      <c r="AY139" s="661"/>
      <c r="AZ139" s="660"/>
      <c r="BA139" s="659"/>
      <c r="BB139" s="76">
        <f>BB59+BB108</f>
        <v>-16.600000000000001</v>
      </c>
      <c r="BC139" s="226" t="str">
        <f>IF(ISERROR(BB139/#REF!),"NA",IF(OR(BB139/#REF!&gt;2,BB139/#REF!&lt;0.5),"NM",BB139/#REF!*100-100))</f>
        <v>NA</v>
      </c>
      <c r="BD139" s="920">
        <f>BD59+BD108</f>
        <v>19.799999999999997</v>
      </c>
      <c r="BE139" s="226" t="str">
        <f t="shared" si="879"/>
        <v>NM</v>
      </c>
      <c r="BF139" s="76">
        <f>BF59+BF108</f>
        <v>23.900000000000006</v>
      </c>
      <c r="BG139" s="226">
        <f t="shared" si="879"/>
        <v>20.707070707070756</v>
      </c>
      <c r="BH139" s="76">
        <f>BH59+BH108</f>
        <v>-27.6</v>
      </c>
      <c r="BI139" s="226" t="str">
        <f t="shared" si="879"/>
        <v>NM</v>
      </c>
      <c r="BJ139" s="76">
        <f>BJ59+BJ108</f>
        <v>-28.599999999999998</v>
      </c>
      <c r="BK139" s="226">
        <f t="shared" si="879"/>
        <v>3.6231884057970944</v>
      </c>
      <c r="BL139" s="76">
        <f>BL59+BL108</f>
        <v>20.122299578054921</v>
      </c>
      <c r="BM139" s="226" t="str">
        <f t="shared" si="879"/>
        <v>NM</v>
      </c>
      <c r="BN139" s="76">
        <f>BN59+BN108</f>
        <v>20.961669748919476</v>
      </c>
      <c r="BO139" s="226">
        <f t="shared" si="879"/>
        <v>4.1713431787883763</v>
      </c>
      <c r="BP139" s="76">
        <f>BP59+BP108</f>
        <v>21.852826670496025</v>
      </c>
      <c r="BQ139" s="226">
        <f t="shared" si="879"/>
        <v>4.2513641911684203</v>
      </c>
      <c r="BR139" s="76">
        <f>BR59+BR108</f>
        <v>22.747579439131897</v>
      </c>
      <c r="BS139" s="226">
        <f t="shared" si="879"/>
        <v>4.094448659330169</v>
      </c>
      <c r="BT139" s="76">
        <f>BT59+BT108</f>
        <v>23.648176554017802</v>
      </c>
      <c r="BU139" s="226">
        <f t="shared" si="905"/>
        <v>3.9590898772140974</v>
      </c>
      <c r="BV139" s="43" t="str">
        <f>IF(ISERROR(((BT139/BJ139)^0.2-1)*100),"NA",IF((((BT139/BJ139)^0.2-1)*100)&gt;100,"NM",IF((((BT139/BJ139)^0.2-1)*100)&lt;-50,"NM",((BT139/BJ139)^0.2-1)*100)))</f>
        <v>NM</v>
      </c>
      <c r="BW139" s="621"/>
      <c r="BX139" s="621"/>
      <c r="BY139"/>
      <c r="BZ139"/>
      <c r="CA139"/>
      <c r="CB139"/>
      <c r="CC139"/>
      <c r="CD139"/>
    </row>
    <row r="140" spans="2:82" s="616" customFormat="1" ht="12.75" customHeight="1" x14ac:dyDescent="0.2">
      <c r="B140" s="116" t="s">
        <v>481</v>
      </c>
      <c r="C140" s="647">
        <f>C60+C109</f>
        <v>220</v>
      </c>
      <c r="D140" s="743" t="str">
        <f>IF(ISERROR(C140/#REF!),"NA",IF(OR(C140/#REF!&gt;2,C140/#REF!&lt;0.5),"NM",C140/#REF!*100-100))</f>
        <v>NA</v>
      </c>
      <c r="E140" s="647">
        <f>E60+E109</f>
        <v>217.8</v>
      </c>
      <c r="F140" s="705" t="str">
        <f>IF(ISERROR(E140/#REF!),"NA",IF(OR(E140/#REF!&gt;2,E140/#REF!&lt;0.5),"NM",E140/#REF!*100-100))</f>
        <v>NA</v>
      </c>
      <c r="G140" s="647">
        <f>G60+G109</f>
        <v>223</v>
      </c>
      <c r="H140" s="705" t="str">
        <f>IF(ISERROR(G140/#REF!),"NA",IF(OR(G140/#REF!&gt;2,G140/#REF!&lt;0.5),"NM",G140/#REF!*100-100))</f>
        <v>NA</v>
      </c>
      <c r="I140" s="647">
        <f>I60+I109</f>
        <v>240.2</v>
      </c>
      <c r="J140" s="9" t="str">
        <f>IF(ISERROR(I140/#REF!),"NA",IF(OR(I140/#REF!&gt;2,I140/#REF!&lt;0.5),"NM",I140/#REF!*100-100))</f>
        <v>NA</v>
      </c>
      <c r="K140" s="647">
        <f>K60+K109</f>
        <v>218.2</v>
      </c>
      <c r="L140" s="9">
        <f t="shared" si="863"/>
        <v>-0.81818181818181301</v>
      </c>
      <c r="M140" s="647">
        <f>M60+M109</f>
        <v>218.1</v>
      </c>
      <c r="N140" s="9">
        <f t="shared" si="894"/>
        <v>0.13774104683194821</v>
      </c>
      <c r="O140" s="647">
        <f>O60+O109</f>
        <v>227.90000000000003</v>
      </c>
      <c r="P140" s="9">
        <f t="shared" si="865"/>
        <v>2.1973094170403726</v>
      </c>
      <c r="Q140" s="647">
        <f>Q60+Q109</f>
        <v>240.10000000000002</v>
      </c>
      <c r="R140" s="9">
        <f t="shared" si="865"/>
        <v>-4.1631973355521268E-2</v>
      </c>
      <c r="S140" s="647">
        <f>S60+S109</f>
        <v>235</v>
      </c>
      <c r="T140" s="9">
        <f t="shared" si="865"/>
        <v>7.6993583868011086</v>
      </c>
      <c r="U140" s="647">
        <f>U60+U109</f>
        <v>239</v>
      </c>
      <c r="V140" s="9">
        <f t="shared" si="865"/>
        <v>9.5827602017423175</v>
      </c>
      <c r="W140" s="647">
        <f>W60+W109</f>
        <v>234.3</v>
      </c>
      <c r="X140" s="9">
        <f t="shared" si="865"/>
        <v>2.8082492321193371</v>
      </c>
      <c r="Y140" s="647">
        <f>Y60+Y109</f>
        <v>248.20000000000002</v>
      </c>
      <c r="Z140" s="9">
        <f t="shared" si="865"/>
        <v>3.3735943356934683</v>
      </c>
      <c r="AA140" s="647">
        <f>AA60+AA109</f>
        <v>236.29999999999998</v>
      </c>
      <c r="AB140" s="9">
        <f t="shared" si="866"/>
        <v>0.55319148936170848</v>
      </c>
      <c r="AC140" s="647">
        <f>AC60+AC109</f>
        <v>234.5</v>
      </c>
      <c r="AD140" s="9">
        <f t="shared" si="867"/>
        <v>-1.8828451882845201</v>
      </c>
      <c r="AE140" s="647">
        <f>AE60+AE109</f>
        <v>230</v>
      </c>
      <c r="AF140" s="9">
        <f t="shared" si="868"/>
        <v>-1.8352539479299992</v>
      </c>
      <c r="AG140" s="647">
        <f>AG60+AG109</f>
        <v>248.5</v>
      </c>
      <c r="AH140" s="9">
        <f t="shared" si="895"/>
        <v>0.12087026591458994</v>
      </c>
      <c r="AI140" s="647">
        <f>AI60+AI109</f>
        <v>232.29999999999998</v>
      </c>
      <c r="AJ140" s="9">
        <f t="shared" si="896"/>
        <v>-1.6927634363097752</v>
      </c>
      <c r="AK140" s="647">
        <f>AK60+AK109</f>
        <v>238.39999999999998</v>
      </c>
      <c r="AL140" s="9">
        <f t="shared" si="897"/>
        <v>1.6631130063965855</v>
      </c>
      <c r="AM140" s="647">
        <f>AM60+AM109</f>
        <v>237.7</v>
      </c>
      <c r="AN140" s="9">
        <f t="shared" si="898"/>
        <v>3.3478260869565162</v>
      </c>
      <c r="AO140" s="647">
        <f>AO60+AO109</f>
        <v>266.7</v>
      </c>
      <c r="AP140" s="9">
        <f t="shared" si="899"/>
        <v>7.3239436619718248</v>
      </c>
      <c r="AQ140" s="647">
        <f t="shared" si="900"/>
        <v>255.30437454729997</v>
      </c>
      <c r="AR140" s="9">
        <f t="shared" si="901"/>
        <v>9.9028732446405456</v>
      </c>
      <c r="AS140" s="647">
        <f t="shared" si="900"/>
        <v>255.90444624208132</v>
      </c>
      <c r="AT140" s="9">
        <f t="shared" si="902"/>
        <v>7.342469061275736</v>
      </c>
      <c r="AU140" s="647">
        <f t="shared" si="900"/>
        <v>258.54952732869219</v>
      </c>
      <c r="AV140" s="9">
        <f t="shared" si="903"/>
        <v>8.7713619388692479</v>
      </c>
      <c r="AW140" s="647">
        <f t="shared" si="900"/>
        <v>260.78593983734834</v>
      </c>
      <c r="AX140" s="9">
        <f t="shared" si="904"/>
        <v>-2.2174953740726124</v>
      </c>
      <c r="AY140" s="661"/>
      <c r="AZ140" s="660"/>
      <c r="BA140" s="659"/>
      <c r="BB140" s="76">
        <f>BB60+BB109</f>
        <v>901</v>
      </c>
      <c r="BC140" s="226" t="str">
        <f>IF(ISERROR(BB140/#REF!),"NA",IF(OR(BB140/#REF!&gt;2,BB140/#REF!&lt;0.5),"NM",BB140/#REF!*100-100))</f>
        <v>NA</v>
      </c>
      <c r="BD140" s="920">
        <f>BD60+BD109</f>
        <v>904.3</v>
      </c>
      <c r="BE140" s="226">
        <f t="shared" si="879"/>
        <v>0.36625971143173786</v>
      </c>
      <c r="BF140" s="76">
        <f>BF60+BF109</f>
        <v>956.5</v>
      </c>
      <c r="BG140" s="226">
        <f t="shared" si="879"/>
        <v>5.7724206568616694</v>
      </c>
      <c r="BH140" s="76">
        <f>BH60+BH109</f>
        <v>949.30000000000007</v>
      </c>
      <c r="BI140" s="226">
        <f t="shared" si="879"/>
        <v>-0.75274438055409121</v>
      </c>
      <c r="BJ140" s="76">
        <f>BJ60+BJ109</f>
        <v>975.1</v>
      </c>
      <c r="BK140" s="226">
        <f t="shared" si="879"/>
        <v>2.717792057305374</v>
      </c>
      <c r="BL140" s="76">
        <f>BL60+BL109</f>
        <v>1030.5442879554219</v>
      </c>
      <c r="BM140" s="226">
        <f t="shared" si="879"/>
        <v>5.6860104558939355</v>
      </c>
      <c r="BN140" s="76">
        <f>BN60+BN109</f>
        <v>1071.1921553445459</v>
      </c>
      <c r="BO140" s="226">
        <f t="shared" si="879"/>
        <v>3.9443105807484073</v>
      </c>
      <c r="BP140" s="76">
        <f>BP60+BP109</f>
        <v>1112.679481815487</v>
      </c>
      <c r="BQ140" s="226">
        <f t="shared" si="879"/>
        <v>3.8730050686001078</v>
      </c>
      <c r="BR140" s="76">
        <f>BR60+BR109</f>
        <v>1151.652270102443</v>
      </c>
      <c r="BS140" s="226">
        <f t="shared" si="879"/>
        <v>3.5026068983825098</v>
      </c>
      <c r="BT140" s="76">
        <f>BT60+BT109</f>
        <v>1190.556639584137</v>
      </c>
      <c r="BU140" s="226">
        <f t="shared" si="905"/>
        <v>3.3781350926554694</v>
      </c>
      <c r="BV140" s="43">
        <f>IF(ISERROR(((BT140/BJ140)^0.2-1)*100),"NA",IF((((BT140/BJ140)^0.2-1)*100)&gt;100,"NM",IF((((BT140/BJ140)^0.2-1)*100)&lt;-50,"NM",((BT140/BJ140)^0.2-1)*100)))</f>
        <v>4.0735049897762332</v>
      </c>
      <c r="BW140" s="621"/>
      <c r="BX140" s="621"/>
      <c r="BY140"/>
      <c r="BZ140"/>
      <c r="CA140"/>
      <c r="CB140"/>
      <c r="CC140"/>
      <c r="CD140"/>
    </row>
    <row r="141" spans="2:82" s="616" customFormat="1" ht="12.75" customHeight="1" x14ac:dyDescent="0.2">
      <c r="B141" s="67" t="s">
        <v>484</v>
      </c>
      <c r="C141" s="663">
        <f>SUM(C137:C140)</f>
        <v>770.2</v>
      </c>
      <c r="D141" s="743" t="str">
        <f>IF(ISERROR(C141/#REF!),"NA",IF(OR(C141/#REF!&gt;2,C141/#REF!&lt;0.5),"NM",C141/#REF!*100-100))</f>
        <v>NA</v>
      </c>
      <c r="E141" s="663">
        <f t="shared" ref="E141:M141" si="906">SUM(E137:E140)</f>
        <v>794.39999999999986</v>
      </c>
      <c r="F141" s="705" t="str">
        <f>IF(ISERROR(E141/#REF!),"NA",IF(OR(E141/#REF!&gt;2,E141/#REF!&lt;0.5),"NM",E141/#REF!*100-100))</f>
        <v>NA</v>
      </c>
      <c r="G141" s="663">
        <f t="shared" si="906"/>
        <v>792.7</v>
      </c>
      <c r="H141" s="705" t="str">
        <f>IF(ISERROR(G141/#REF!),"NA",IF(OR(G141/#REF!&gt;2,G141/#REF!&lt;0.5),"NM",G141/#REF!*100-100))</f>
        <v>NA</v>
      </c>
      <c r="I141" s="663">
        <f>SUM(I137:I140)</f>
        <v>1102.7</v>
      </c>
      <c r="J141" s="9" t="str">
        <f>IF(ISERROR(I141/#REF!),"NA",IF(OR(I141/#REF!&gt;2,I141/#REF!&lt;0.5),"NM",I141/#REF!*100-100))</f>
        <v>NA</v>
      </c>
      <c r="K141" s="663">
        <f t="shared" si="906"/>
        <v>872.90000000000009</v>
      </c>
      <c r="L141" s="9">
        <f t="shared" si="863"/>
        <v>13.334198909374194</v>
      </c>
      <c r="M141" s="663">
        <f t="shared" si="906"/>
        <v>859.2</v>
      </c>
      <c r="N141" s="9">
        <f t="shared" si="894"/>
        <v>8.1570996978852293</v>
      </c>
      <c r="O141" s="663">
        <f>SUM(O137:O140)</f>
        <v>931.90000000000009</v>
      </c>
      <c r="P141" s="9">
        <f t="shared" si="865"/>
        <v>17.560237164122626</v>
      </c>
      <c r="Q141" s="663">
        <f t="shared" ref="Q141:W141" si="907">SUM(Q137:Q140)</f>
        <v>1284.5</v>
      </c>
      <c r="R141" s="9">
        <f t="shared" si="865"/>
        <v>16.486805114718408</v>
      </c>
      <c r="S141" s="663">
        <f t="shared" si="907"/>
        <v>921.6</v>
      </c>
      <c r="T141" s="9">
        <f t="shared" si="865"/>
        <v>5.5791041356398239</v>
      </c>
      <c r="U141" s="663">
        <f t="shared" si="907"/>
        <v>1688.3</v>
      </c>
      <c r="V141" s="9">
        <f t="shared" si="865"/>
        <v>96.496741154562358</v>
      </c>
      <c r="W141" s="663">
        <f t="shared" si="907"/>
        <v>1624.8000000000002</v>
      </c>
      <c r="X141" s="9">
        <f t="shared" si="865"/>
        <v>74.353471402511019</v>
      </c>
      <c r="Y141" s="663">
        <f t="shared" ref="Y141:AA141" si="908">SUM(Y137:Y140)</f>
        <v>1192.0999999999999</v>
      </c>
      <c r="Z141" s="9">
        <f t="shared" si="865"/>
        <v>-7.1934604904632238</v>
      </c>
      <c r="AA141" s="663">
        <f t="shared" si="908"/>
        <v>1282.5999999999999</v>
      </c>
      <c r="AB141" s="9">
        <f t="shared" si="866"/>
        <v>39.171006944444429</v>
      </c>
      <c r="AC141" s="663">
        <f t="shared" ref="AC141:AE141" si="909">SUM(AC137:AC140)</f>
        <v>1279.8999999999999</v>
      </c>
      <c r="AD141" s="9">
        <f t="shared" si="867"/>
        <v>-24.190013623171254</v>
      </c>
      <c r="AE141" s="663">
        <f t="shared" si="909"/>
        <v>1037.5</v>
      </c>
      <c r="AF141" s="9">
        <f t="shared" si="868"/>
        <v>-36.145987198424436</v>
      </c>
      <c r="AG141" s="663">
        <f t="shared" ref="AG141:AI141" si="910">SUM(AG137:AG140)</f>
        <v>1756.2</v>
      </c>
      <c r="AH141" s="659"/>
      <c r="AI141" s="663">
        <f t="shared" si="910"/>
        <v>1238.3999999999999</v>
      </c>
      <c r="AJ141" s="659"/>
      <c r="AK141" s="663">
        <f t="shared" ref="AK141:AM141" si="911">SUM(AK137:AK140)</f>
        <v>1440</v>
      </c>
      <c r="AL141" s="659"/>
      <c r="AM141" s="663">
        <f t="shared" si="911"/>
        <v>2160.6999999999998</v>
      </c>
      <c r="AN141" s="659"/>
      <c r="AO141" s="663">
        <f t="shared" ref="AO141" si="912">SUM(AO137:AO140)</f>
        <v>1426.7</v>
      </c>
      <c r="AP141" s="659"/>
      <c r="AQ141" s="663">
        <f t="shared" ref="AQ141:AW141" si="913">SUM(AQ137:AQ140)</f>
        <v>1415.770203905287</v>
      </c>
      <c r="AR141" s="659"/>
      <c r="AS141" s="663">
        <f t="shared" si="913"/>
        <v>1434.5825331809865</v>
      </c>
      <c r="AT141" s="659"/>
      <c r="AU141" s="663">
        <f t="shared" si="913"/>
        <v>1451.0079197990904</v>
      </c>
      <c r="AV141" s="659"/>
      <c r="AW141" s="663">
        <f t="shared" si="913"/>
        <v>1458.0533466846</v>
      </c>
      <c r="AX141" s="659"/>
      <c r="AY141" s="661"/>
      <c r="AZ141" s="660"/>
      <c r="BA141" s="659"/>
      <c r="BB141" s="622">
        <f>SUM(BB137:BB140)</f>
        <v>3460.0000000000005</v>
      </c>
      <c r="BC141" s="226" t="str">
        <f>IF(ISERROR(BB141/#REF!),"NA",IF(OR(BB141/#REF!&gt;2,BB141/#REF!&lt;0.5),"NM",BB141/#REF!*100-100))</f>
        <v>NA</v>
      </c>
      <c r="BD141" s="921">
        <f t="shared" ref="BD141" si="914">SUM(BD137:BD140)</f>
        <v>3948.5</v>
      </c>
      <c r="BE141" s="226">
        <f t="shared" si="879"/>
        <v>14.118497109826578</v>
      </c>
      <c r="BF141" s="622">
        <f>SUM(BF137:BF140)</f>
        <v>5426.7999999999993</v>
      </c>
      <c r="BG141" s="226">
        <f t="shared" si="879"/>
        <v>37.439534000253246</v>
      </c>
      <c r="BH141" s="622">
        <f>SUM(BH137:BH140)</f>
        <v>5356.2</v>
      </c>
      <c r="BI141" s="226">
        <f t="shared" si="879"/>
        <v>-1.3009508365887825</v>
      </c>
      <c r="BJ141" s="622">
        <f>SUM(BJ137:BJ140)</f>
        <v>6265.7999999999993</v>
      </c>
      <c r="BK141" s="226">
        <f t="shared" si="879"/>
        <v>16.982188865240275</v>
      </c>
      <c r="BL141" s="622">
        <f>SUM(BL137:BL140)</f>
        <v>5759.4140035699629</v>
      </c>
      <c r="BM141" s="226">
        <f t="shared" si="879"/>
        <v>-8.0817452907854772</v>
      </c>
      <c r="BN141" s="622">
        <f t="shared" ref="BN141:BP141" si="915">SUM(BN137:BN140)</f>
        <v>5993.9591182015174</v>
      </c>
      <c r="BO141" s="226">
        <f t="shared" si="879"/>
        <v>4.0723781010736815</v>
      </c>
      <c r="BP141" s="622">
        <f t="shared" si="915"/>
        <v>6223.1772431879699</v>
      </c>
      <c r="BQ141" s="226">
        <f t="shared" si="879"/>
        <v>3.8241522917698632</v>
      </c>
      <c r="BR141" s="622">
        <f t="shared" ref="BR141:BT141" si="916">SUM(BR137:BR140)</f>
        <v>6448.3725053284479</v>
      </c>
      <c r="BS141" s="226">
        <f t="shared" si="879"/>
        <v>3.618654159127189</v>
      </c>
      <c r="BT141" s="622">
        <f t="shared" si="916"/>
        <v>6672.470633056736</v>
      </c>
      <c r="BU141" s="226">
        <f t="shared" si="905"/>
        <v>3.4752664729450657</v>
      </c>
      <c r="BV141" s="43">
        <f>IF(ISERROR(((BT141/BJ141)^0.2-1)*100),"NA",IF((((BT141/BJ141)^0.2-1)*100)&gt;100,"NM",IF((((BT141/BJ141)^0.2-1)*100)&lt;-50,"NM",((BT141/BJ141)^0.2-1)*100)))</f>
        <v>1.265620584114524</v>
      </c>
      <c r="BW141" s="621"/>
      <c r="BX141" s="621"/>
      <c r="BY141"/>
      <c r="BZ141"/>
      <c r="CA141"/>
      <c r="CB141"/>
      <c r="CC141"/>
      <c r="CD141"/>
    </row>
    <row r="142" spans="2:82" s="616" customFormat="1" ht="12.75" customHeight="1" x14ac:dyDescent="0.2">
      <c r="B142" s="117"/>
      <c r="C142" s="647"/>
      <c r="D142" s="662"/>
      <c r="E142" s="76"/>
      <c r="F142" s="662"/>
      <c r="G142" s="76"/>
      <c r="H142" s="662"/>
      <c r="I142" s="76"/>
      <c r="J142" s="662"/>
      <c r="K142" s="76"/>
      <c r="L142" s="662"/>
      <c r="M142" s="76"/>
      <c r="N142" s="659"/>
      <c r="O142" s="647"/>
      <c r="P142" s="9"/>
      <c r="Q142" s="647"/>
      <c r="R142" s="9"/>
      <c r="S142" s="647"/>
      <c r="T142" s="9"/>
      <c r="U142" s="647"/>
      <c r="V142" s="9"/>
      <c r="W142" s="647"/>
      <c r="X142" s="9"/>
      <c r="Y142" s="647"/>
      <c r="Z142" s="9"/>
      <c r="AA142" s="647"/>
      <c r="AB142" s="9"/>
      <c r="AC142" s="647"/>
      <c r="AD142" s="9"/>
      <c r="AE142" s="647"/>
      <c r="AF142" s="9"/>
      <c r="AG142" s="647"/>
      <c r="AH142" s="659"/>
      <c r="AI142" s="647"/>
      <c r="AJ142" s="659"/>
      <c r="AK142" s="647"/>
      <c r="AL142" s="659"/>
      <c r="AM142" s="647"/>
      <c r="AN142" s="659"/>
      <c r="AO142" s="647"/>
      <c r="AP142" s="659"/>
      <c r="AQ142" s="647"/>
      <c r="AR142" s="659"/>
      <c r="AS142" s="647"/>
      <c r="AT142" s="659"/>
      <c r="AU142" s="647"/>
      <c r="AV142" s="659"/>
      <c r="AW142" s="647"/>
      <c r="AX142" s="659"/>
      <c r="AY142" s="661"/>
      <c r="AZ142" s="660"/>
      <c r="BA142" s="659"/>
      <c r="BB142" s="76"/>
      <c r="BC142" s="76"/>
      <c r="BD142" s="920"/>
      <c r="BE142" s="76"/>
      <c r="BF142" s="76"/>
      <c r="BG142" s="662"/>
      <c r="BH142" s="76"/>
      <c r="BI142" s="662"/>
      <c r="BJ142" s="76"/>
      <c r="BK142" s="662"/>
      <c r="BL142" s="76"/>
      <c r="BM142" s="662"/>
      <c r="BN142" s="76"/>
      <c r="BO142" s="662"/>
      <c r="BP142" s="76"/>
      <c r="BQ142" s="623"/>
      <c r="BR142" s="76"/>
      <c r="BS142" s="623"/>
      <c r="BT142" s="76"/>
      <c r="BU142" s="623"/>
      <c r="BV142" s="43"/>
      <c r="BW142" s="621"/>
      <c r="BX142" s="621"/>
      <c r="BY142"/>
      <c r="BZ142"/>
      <c r="CA142"/>
      <c r="CB142"/>
      <c r="CC142"/>
      <c r="CD142"/>
    </row>
    <row r="143" spans="2:82" s="616" customFormat="1" ht="12.75" customHeight="1" x14ac:dyDescent="0.2">
      <c r="B143" s="649" t="s">
        <v>485</v>
      </c>
      <c r="C143" s="663">
        <f>C62+C111</f>
        <v>182.00000000000006</v>
      </c>
      <c r="D143" s="743" t="str">
        <f>IF(ISERROR(C143/#REF!),"NA",IF(OR(C143/#REF!&gt;2,C143/#REF!&lt;0.5),"NM",C143/#REF!*100-100))</f>
        <v>NA</v>
      </c>
      <c r="E143" s="663">
        <f>E62+E111</f>
        <v>196.5</v>
      </c>
      <c r="F143" s="705" t="str">
        <f>IF(ISERROR(E143/#REF!),"NA",IF(OR(E143/#REF!&gt;2,E143/#REF!&lt;0.5),"NM",E143/#REF!*100-100))</f>
        <v>NA</v>
      </c>
      <c r="G143" s="663">
        <f>G62+G111</f>
        <v>183.10000000000008</v>
      </c>
      <c r="H143" s="705" t="str">
        <f>IF(ISERROR(G143/#REF!),"NA",IF(OR(G143/#REF!&gt;2,G143/#REF!&lt;0.5),"NM",G143/#REF!*100-100))</f>
        <v>NA</v>
      </c>
      <c r="I143" s="663">
        <f>I62+I111</f>
        <v>190.89999999999998</v>
      </c>
      <c r="J143" s="9" t="str">
        <f>IF(ISERROR(I143/#REF!),"NA",IF(OR(I143/#REF!&gt;2,I143/#REF!&lt;0.5),"NM",I143/#REF!*100-100))</f>
        <v>NA</v>
      </c>
      <c r="K143" s="663">
        <f>K62+K111</f>
        <v>217.90000000000003</v>
      </c>
      <c r="L143" s="9">
        <f t="shared" si="863"/>
        <v>19.725274725274701</v>
      </c>
      <c r="M143" s="663">
        <f>M62+M111</f>
        <v>227.3</v>
      </c>
      <c r="N143" s="9">
        <f t="shared" ref="N143" si="917">IF(ISERROR(M143/E143),"NA",IF(OR(M143/E143&gt;2,M143/E143&lt;0.5),"NM",M143/E143*100-100))</f>
        <v>15.67430025445293</v>
      </c>
      <c r="O143" s="663">
        <f>O62+O111</f>
        <v>207.60000000000014</v>
      </c>
      <c r="P143" s="9">
        <f t="shared" si="865"/>
        <v>13.380666302566937</v>
      </c>
      <c r="Q143" s="663">
        <f>Q62+Q111</f>
        <v>198.40000000000015</v>
      </c>
      <c r="R143" s="9">
        <f t="shared" si="865"/>
        <v>3.9287585123102104</v>
      </c>
      <c r="S143" s="663">
        <f>S62+S111</f>
        <v>202.89999999999992</v>
      </c>
      <c r="T143" s="9">
        <f t="shared" si="865"/>
        <v>-6.8838916934374055</v>
      </c>
      <c r="U143" s="663">
        <f>U62+U111</f>
        <v>216.89999999999998</v>
      </c>
      <c r="V143" s="9">
        <f t="shared" si="865"/>
        <v>-4.5754509458865016</v>
      </c>
      <c r="W143" s="663">
        <f>W62+W111</f>
        <v>133.50000000000006</v>
      </c>
      <c r="X143" s="9">
        <f t="shared" si="865"/>
        <v>-35.693641618497125</v>
      </c>
      <c r="Y143" s="663">
        <f>Y62+Y111</f>
        <v>186.8</v>
      </c>
      <c r="Z143" s="9">
        <f t="shared" si="865"/>
        <v>-5.8467741935484554</v>
      </c>
      <c r="AA143" s="663">
        <f>AA62+AA111</f>
        <v>181.39999999999998</v>
      </c>
      <c r="AB143" s="9">
        <f t="shared" si="866"/>
        <v>-10.596352883193674</v>
      </c>
      <c r="AC143" s="663">
        <f>AC62+AC111</f>
        <v>194.69999999999993</v>
      </c>
      <c r="AD143" s="9">
        <f t="shared" si="867"/>
        <v>-10.235131396957144</v>
      </c>
      <c r="AE143" s="663">
        <f>AE62+AE111</f>
        <v>206.89999999999998</v>
      </c>
      <c r="AF143" s="9">
        <f t="shared" si="868"/>
        <v>54.981273408239616</v>
      </c>
      <c r="AG143" s="663">
        <f>AG62+AG111</f>
        <v>211.49999999999983</v>
      </c>
      <c r="AH143" s="9">
        <f t="shared" ref="AH143" si="918">IF(ISERROR(AG143/Y143),"NA",IF(OR(AG143/Y143&gt;2,AG143/Y143&lt;0.5),"NM",AG143/Y143*100-100))</f>
        <v>13.222698072805045</v>
      </c>
      <c r="AI143" s="663">
        <f>AI62+AI111</f>
        <v>244.2000000000001</v>
      </c>
      <c r="AJ143" s="9">
        <f t="shared" ref="AJ143" si="919">IF(ISERROR(AI143/AA143),"NA",IF(OR(AI143/AA143&gt;2,AI143/AA143&lt;0.5),"NM",AI143/AA143*100-100))</f>
        <v>34.619625137817053</v>
      </c>
      <c r="AK143" s="663">
        <f>AK62+AK111</f>
        <v>243.80000000000018</v>
      </c>
      <c r="AL143" s="9">
        <f t="shared" ref="AL143" si="920">IF(ISERROR(AK143/AC143),"NA",IF(OR(AK143/AC143&gt;2,AK143/AC143&lt;0.5),"NM",AK143/AC143*100-100))</f>
        <v>25.218284540318578</v>
      </c>
      <c r="AM143" s="663">
        <f>AM62+AM111</f>
        <v>210.10000000000014</v>
      </c>
      <c r="AN143" s="9">
        <f t="shared" ref="AN143" si="921">IF(ISERROR(AM143/AE143),"NA",IF(OR(AM143/AE143&gt;2,AM143/AE143&lt;0.5),"NM",AM143/AE143*100-100))</f>
        <v>1.5466408893185957</v>
      </c>
      <c r="AO143" s="663">
        <f>AO62+AO111</f>
        <v>201.6999999999997</v>
      </c>
      <c r="AP143" s="9">
        <f t="shared" ref="AP143" si="922">IF(ISERROR(AO143/AG143),"NA",IF(OR(AO143/AG143&gt;2,AO143/AG143&lt;0.5),"NM",AO143/AG143*100-100))</f>
        <v>-4.633569739952776</v>
      </c>
      <c r="AQ143" s="663">
        <f t="shared" ref="AQ143:AW143" si="923">AQ62+AQ111</f>
        <v>231.58326887735433</v>
      </c>
      <c r="AR143" s="9">
        <f t="shared" ref="AR143" si="924">IF(ISERROR(AQ143/AI143),"NA",IF(OR(AQ143/AI143&gt;2,AQ143/AI143&lt;0.5),"NM",AQ143/AI143*100-100))</f>
        <v>-5.1665565612800037</v>
      </c>
      <c r="AS143" s="663">
        <f t="shared" si="923"/>
        <v>227.59466362097146</v>
      </c>
      <c r="AT143" s="9">
        <f t="shared" ref="AT143" si="925">IF(ISERROR(AS143/AK143),"NA",IF(OR(AS143/AK143&gt;2,AS143/AK143&lt;0.5),"NM",AS143/AK143*100-100))</f>
        <v>-6.6469796468534526</v>
      </c>
      <c r="AU143" s="663">
        <f t="shared" si="923"/>
        <v>230.04561643214765</v>
      </c>
      <c r="AV143" s="9">
        <f t="shared" ref="AV143" si="926">IF(ISERROR(AU143/AM143),"NA",IF(OR(AU143/AM143&gt;2,AU143/AM143&lt;0.5),"NM",AU143/AM143*100-100))</f>
        <v>9.4933919239159792</v>
      </c>
      <c r="AW143" s="663">
        <f t="shared" si="923"/>
        <v>238.60983203258598</v>
      </c>
      <c r="AX143" s="9">
        <f t="shared" ref="AX143" si="927">IF(ISERROR(AW143/AO143),"NA",IF(OR(AW143/AO143&gt;2,AW143/AO143&lt;0.5),"NM",AW143/AO143*100-100))</f>
        <v>18.299371359735403</v>
      </c>
      <c r="AY143" s="661"/>
      <c r="AZ143" s="660"/>
      <c r="BA143" s="659"/>
      <c r="BB143" s="622">
        <f>BB135-BB141</f>
        <v>752.49999999999955</v>
      </c>
      <c r="BC143" s="226" t="str">
        <f>IF(ISERROR(BB143/#REF!),"NA",IF(OR(BB143/#REF!&gt;2,BB143/#REF!&lt;0.5),"NM",BB143/#REF!*100-100))</f>
        <v>NA</v>
      </c>
      <c r="BD143" s="921">
        <f t="shared" ref="BD143" si="928">BD135-BD141</f>
        <v>851.19999999999982</v>
      </c>
      <c r="BE143" s="226">
        <f t="shared" si="879"/>
        <v>13.116279069767486</v>
      </c>
      <c r="BF143" s="622">
        <f>BF135-BF141</f>
        <v>740.10000000000036</v>
      </c>
      <c r="BG143" s="226">
        <f t="shared" si="879"/>
        <v>-13.052161654135276</v>
      </c>
      <c r="BH143" s="622">
        <f t="shared" ref="BH143:BP143" si="929">BH135-BH141</f>
        <v>794.50000000000091</v>
      </c>
      <c r="BI143" s="226">
        <f t="shared" si="879"/>
        <v>7.350358059721728</v>
      </c>
      <c r="BJ143" s="622">
        <f t="shared" ref="BJ143" si="930">BJ135-BJ141</f>
        <v>899.80000000000109</v>
      </c>
      <c r="BK143" s="226">
        <f t="shared" si="879"/>
        <v>13.253618628067983</v>
      </c>
      <c r="BL143" s="622">
        <f t="shared" ref="BL143" si="931">BL135-BL141</f>
        <v>927.83338096305943</v>
      </c>
      <c r="BM143" s="226">
        <f t="shared" si="879"/>
        <v>3.1155124431049472</v>
      </c>
      <c r="BN143" s="622">
        <f t="shared" si="929"/>
        <v>960.37921432392432</v>
      </c>
      <c r="BO143" s="226">
        <f t="shared" si="879"/>
        <v>3.5077239112784895</v>
      </c>
      <c r="BP143" s="622">
        <f t="shared" si="929"/>
        <v>1002.659227709406</v>
      </c>
      <c r="BQ143" s="226">
        <f t="shared" si="879"/>
        <v>4.4024290358309486</v>
      </c>
      <c r="BR143" s="622">
        <f t="shared" ref="BR143:BT143" si="932">BR135-BR141</f>
        <v>1047.8305685537534</v>
      </c>
      <c r="BS143" s="226">
        <f t="shared" si="879"/>
        <v>4.5051538544698104</v>
      </c>
      <c r="BT143" s="622">
        <f t="shared" si="932"/>
        <v>1093.673428234918</v>
      </c>
      <c r="BU143" s="226">
        <f t="shared" ref="BU143" si="933">IF(ISERROR(BT143/BR143),"NA",IF(OR(BT143/BR143&gt;2,BT143/BR143&lt;0.5),"NM",BT143/BR143*100-100))</f>
        <v>4.3750259876878914</v>
      </c>
      <c r="BV143" s="43">
        <f>IF(ISERROR(((BT143/BJ143)^0.2-1)*100),"NA",IF((((BT143/BJ143)^0.2-1)*100)&gt;100,"NM",IF((((BT143/BJ143)^0.2-1)*100)&lt;-50,"NM",((BT143/BJ143)^0.2-1)*100)))</f>
        <v>3.9796459592196909</v>
      </c>
      <c r="BW143" s="621"/>
      <c r="BX143" s="621"/>
      <c r="BY143"/>
      <c r="BZ143"/>
      <c r="CA143"/>
      <c r="CB143"/>
      <c r="CC143"/>
      <c r="CD143"/>
    </row>
    <row r="144" spans="2:82" s="616" customFormat="1" ht="12.75" customHeight="1" x14ac:dyDescent="0.2">
      <c r="B144" s="67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659"/>
      <c r="O144" s="647"/>
      <c r="P144" s="9"/>
      <c r="Q144" s="647"/>
      <c r="R144" s="9"/>
      <c r="S144" s="647"/>
      <c r="T144" s="9"/>
      <c r="U144" s="647"/>
      <c r="V144" s="9"/>
      <c r="W144" s="647"/>
      <c r="X144" s="9"/>
      <c r="Y144" s="647"/>
      <c r="Z144" s="9"/>
      <c r="AA144" s="647"/>
      <c r="AB144" s="9"/>
      <c r="AC144" s="647"/>
      <c r="AD144" s="9"/>
      <c r="AE144" s="647"/>
      <c r="AF144" s="9"/>
      <c r="AG144" s="647"/>
      <c r="AH144" s="659"/>
      <c r="AI144" s="647"/>
      <c r="AJ144" s="659"/>
      <c r="AK144" s="647"/>
      <c r="AL144" s="659"/>
      <c r="AM144" s="647"/>
      <c r="AN144" s="659"/>
      <c r="AO144" s="647"/>
      <c r="AP144" s="659"/>
      <c r="AQ144" s="647"/>
      <c r="AR144" s="659"/>
      <c r="AS144" s="647"/>
      <c r="AT144" s="659"/>
      <c r="AU144" s="647"/>
      <c r="AV144" s="659"/>
      <c r="AW144" s="647"/>
      <c r="AX144" s="659"/>
      <c r="AY144" s="661"/>
      <c r="AZ144" s="660"/>
      <c r="BA144" s="659"/>
      <c r="BB144" s="76"/>
      <c r="BC144" s="76"/>
      <c r="BD144" s="920"/>
      <c r="BE144" s="76"/>
      <c r="BF144" s="76"/>
      <c r="BG144" s="662"/>
      <c r="BH144" s="76"/>
      <c r="BI144" s="662"/>
      <c r="BJ144" s="76"/>
      <c r="BK144" s="662"/>
      <c r="BL144" s="76"/>
      <c r="BM144" s="662"/>
      <c r="BN144" s="76"/>
      <c r="BO144" s="662"/>
      <c r="BP144" s="76"/>
      <c r="BQ144" s="623"/>
      <c r="BR144" s="76"/>
      <c r="BS144" s="623"/>
      <c r="BT144" s="76"/>
      <c r="BU144" s="623"/>
      <c r="BV144" s="43"/>
      <c r="BW144" s="621"/>
      <c r="BX144" s="621"/>
      <c r="BY144"/>
      <c r="BZ144"/>
      <c r="CA144"/>
      <c r="CB144"/>
      <c r="CC144"/>
      <c r="CD144"/>
    </row>
    <row r="145" spans="2:82" s="616" customFormat="1" ht="12.75" customHeight="1" x14ac:dyDescent="0.2">
      <c r="B145" s="119" t="s">
        <v>59</v>
      </c>
      <c r="C145" s="647">
        <f>C64+C113</f>
        <v>12.307692307692307</v>
      </c>
      <c r="D145" s="743" t="str">
        <f>IF(ISERROR(C145/#REF!),"NA",IF(OR(C145/#REF!&gt;2,C145/#REF!&lt;0.5),"NM",C145/#REF!*100-100))</f>
        <v>NA</v>
      </c>
      <c r="E145" s="647">
        <f>E64+E113</f>
        <v>0</v>
      </c>
      <c r="F145" s="705" t="str">
        <f>IF(ISERROR(E145/#REF!),"NA",IF(OR(E145/#REF!&gt;2,E145/#REF!&lt;0.5),"NM",E145/#REF!*100-100))</f>
        <v>NA</v>
      </c>
      <c r="G145" s="647">
        <f>G64+G113</f>
        <v>0</v>
      </c>
      <c r="H145" s="705" t="str">
        <f>IF(ISERROR(G145/#REF!),"NA",IF(OR(G145/#REF!&gt;2,G145/#REF!&lt;0.5),"NM",G145/#REF!*100-100))</f>
        <v>NA</v>
      </c>
      <c r="I145" s="647">
        <f>I64+I113</f>
        <v>4.615384615384615</v>
      </c>
      <c r="J145" s="9" t="str">
        <f>IF(ISERROR(I145/#REF!),"NA",IF(OR(I145/#REF!&gt;2,I145/#REF!&lt;0.5),"NM",I145/#REF!*100-100))</f>
        <v>NA</v>
      </c>
      <c r="K145" s="647">
        <f>K64+K113</f>
        <v>32.307692307692307</v>
      </c>
      <c r="L145" s="9" t="str">
        <f t="shared" si="863"/>
        <v>NM</v>
      </c>
      <c r="M145" s="647">
        <f>M64+M113</f>
        <v>13.846153846153845</v>
      </c>
      <c r="N145" s="9" t="str">
        <f t="shared" ref="N145" si="934">IF(ISERROR(M145/E145),"NA",IF(OR(M145/E145&gt;2,M145/E145&lt;0.5),"NM",M145/E145*100-100))</f>
        <v>NA</v>
      </c>
      <c r="O145" s="647">
        <f>O64+O113</f>
        <v>0</v>
      </c>
      <c r="P145" s="9" t="str">
        <f t="shared" si="865"/>
        <v>NA</v>
      </c>
      <c r="Q145" s="647">
        <f>Q64+Q113</f>
        <v>0</v>
      </c>
      <c r="R145" s="9" t="str">
        <f t="shared" si="865"/>
        <v>NM</v>
      </c>
      <c r="S145" s="647">
        <f>S64+S113</f>
        <v>13.846153846153845</v>
      </c>
      <c r="T145" s="9" t="str">
        <f t="shared" si="865"/>
        <v>NM</v>
      </c>
      <c r="U145" s="647">
        <f>U64+U113</f>
        <v>4.615384615384615</v>
      </c>
      <c r="V145" s="9" t="str">
        <f t="shared" si="865"/>
        <v>NM</v>
      </c>
      <c r="W145" s="647">
        <f>W64+W113</f>
        <v>-56.46153846153846</v>
      </c>
      <c r="X145" s="9" t="str">
        <f t="shared" si="865"/>
        <v>NA</v>
      </c>
      <c r="Y145" s="647">
        <f>Y64+Y113</f>
        <v>0</v>
      </c>
      <c r="Z145" s="9" t="str">
        <f t="shared" si="865"/>
        <v>NA</v>
      </c>
      <c r="AA145" s="647">
        <f>AA64+AA113</f>
        <v>0</v>
      </c>
      <c r="AB145" s="9" t="str">
        <f t="shared" si="866"/>
        <v>NM</v>
      </c>
      <c r="AC145" s="647">
        <f>AC64+AC113</f>
        <v>0</v>
      </c>
      <c r="AD145" s="9" t="str">
        <f t="shared" si="867"/>
        <v>NM</v>
      </c>
      <c r="AE145" s="647">
        <f>AE64+AE113</f>
        <v>-4.7999999999999989</v>
      </c>
      <c r="AF145" s="9" t="str">
        <f t="shared" si="868"/>
        <v>NM</v>
      </c>
      <c r="AG145" s="647">
        <f>AG64+AG113</f>
        <v>12</v>
      </c>
      <c r="AH145" s="9" t="str">
        <f t="shared" ref="AH145" si="935">IF(ISERROR(AG145/Y145),"NA",IF(OR(AG145/Y145&gt;2,AG145/Y145&lt;0.5),"NM",AG145/Y145*100-100))</f>
        <v>NA</v>
      </c>
      <c r="AI145" s="647">
        <f>AI64+AI113</f>
        <v>11</v>
      </c>
      <c r="AJ145" s="9" t="str">
        <f t="shared" ref="AJ145:AJ146" si="936">IF(ISERROR(AI145/AA145),"NA",IF(OR(AI145/AA145&gt;2,AI145/AA145&lt;0.5),"NM",AI145/AA145*100-100))</f>
        <v>NA</v>
      </c>
      <c r="AK145" s="647">
        <f>AK64+AK113</f>
        <v>7</v>
      </c>
      <c r="AL145" s="9" t="str">
        <f t="shared" ref="AL145:AL146" si="937">IF(ISERROR(AK145/AC145),"NA",IF(OR(AK145/AC145&gt;2,AK145/AC145&lt;0.5),"NM",AK145/AC145*100-100))</f>
        <v>NA</v>
      </c>
      <c r="AM145" s="647">
        <f>AM64+AM113</f>
        <v>-22</v>
      </c>
      <c r="AN145" s="9" t="str">
        <f t="shared" ref="AN145:AN146" si="938">IF(ISERROR(AM145/AE145),"NA",IF(OR(AM145/AE145&gt;2,AM145/AE145&lt;0.5),"NM",AM145/AE145*100-100))</f>
        <v>NM</v>
      </c>
      <c r="AO145" s="647">
        <f>AO64+AO113</f>
        <v>0</v>
      </c>
      <c r="AP145" s="9" t="str">
        <f t="shared" ref="AP145:AP146" si="939">IF(ISERROR(AO145/AG145),"NA",IF(OR(AO145/AG145&gt;2,AO145/AG145&lt;0.5),"NM",AO145/AG145*100-100))</f>
        <v>NM</v>
      </c>
      <c r="AQ145" s="647">
        <f t="shared" ref="AQ145:AW145" si="940">AQ64+AQ113</f>
        <v>0</v>
      </c>
      <c r="AR145" s="9" t="str">
        <f t="shared" ref="AR145:AR146" si="941">IF(ISERROR(AQ145/AI145),"NA",IF(OR(AQ145/AI145&gt;2,AQ145/AI145&lt;0.5),"NM",AQ145/AI145*100-100))</f>
        <v>NM</v>
      </c>
      <c r="AS145" s="647">
        <f t="shared" si="940"/>
        <v>0</v>
      </c>
      <c r="AT145" s="9" t="str">
        <f t="shared" ref="AT145:AT146" si="942">IF(ISERROR(AS145/AK145),"NA",IF(OR(AS145/AK145&gt;2,AS145/AK145&lt;0.5),"NM",AS145/AK145*100-100))</f>
        <v>NM</v>
      </c>
      <c r="AU145" s="647">
        <f t="shared" si="940"/>
        <v>0</v>
      </c>
      <c r="AV145" s="9" t="str">
        <f t="shared" ref="AV145:AV146" si="943">IF(ISERROR(AU145/AM145),"NA",IF(OR(AU145/AM145&gt;2,AU145/AM145&lt;0.5),"NM",AU145/AM145*100-100))</f>
        <v>NM</v>
      </c>
      <c r="AW145" s="647">
        <f t="shared" si="940"/>
        <v>0</v>
      </c>
      <c r="AX145" s="9" t="str">
        <f t="shared" ref="AX145:AX146" si="944">IF(ISERROR(AW145/AO145),"NA",IF(OR(AW145/AO145&gt;2,AW145/AO145&lt;0.5),"NM",AW145/AO145*100-100))</f>
        <v>NA</v>
      </c>
      <c r="AY145" s="661"/>
      <c r="AZ145" s="660"/>
      <c r="BA145" s="659"/>
      <c r="BB145" s="55">
        <f>C145+E145+G145+I145</f>
        <v>16.92307692307692</v>
      </c>
      <c r="BC145" s="226" t="str">
        <f>IF(ISERROR(BB145/#REF!),"NA",IF(OR(BB145/#REF!&gt;2,BB145/#REF!&lt;0.5),"NM",BB145/#REF!*100-100))</f>
        <v>NA</v>
      </c>
      <c r="BD145" s="908">
        <f>K145+M145+O145+Q145</f>
        <v>46.153846153846153</v>
      </c>
      <c r="BE145" s="226" t="str">
        <f t="shared" si="879"/>
        <v>NM</v>
      </c>
      <c r="BF145" s="55">
        <f>S145+U145+W145+Y145</f>
        <v>-38</v>
      </c>
      <c r="BG145" s="226" t="str">
        <f t="shared" si="879"/>
        <v>NM</v>
      </c>
      <c r="BH145" s="55">
        <f>AA145+AC145+AE145+AG145</f>
        <v>7.2000000000000011</v>
      </c>
      <c r="BI145" s="226" t="str">
        <f t="shared" si="879"/>
        <v>NM</v>
      </c>
      <c r="BJ145" s="55">
        <f>AI145+AK145+AM145+AO145</f>
        <v>-4</v>
      </c>
      <c r="BK145" s="226" t="str">
        <f t="shared" si="879"/>
        <v>NM</v>
      </c>
      <c r="BL145" s="55">
        <f>AQ145+AS145+AU145+AW145</f>
        <v>0</v>
      </c>
      <c r="BM145" s="226" t="str">
        <f t="shared" si="879"/>
        <v>NM</v>
      </c>
      <c r="BN145" s="76">
        <f>BL145</f>
        <v>0</v>
      </c>
      <c r="BO145" s="226" t="str">
        <f t="shared" si="879"/>
        <v>NA</v>
      </c>
      <c r="BP145" s="76">
        <f t="shared" ref="BP145" si="945">BN145</f>
        <v>0</v>
      </c>
      <c r="BQ145" s="226" t="str">
        <f t="shared" si="879"/>
        <v>NA</v>
      </c>
      <c r="BR145" s="76">
        <f t="shared" ref="BR145" si="946">BP145</f>
        <v>0</v>
      </c>
      <c r="BS145" s="226" t="str">
        <f t="shared" si="879"/>
        <v>NA</v>
      </c>
      <c r="BT145" s="76">
        <f t="shared" ref="BT145" si="947">BR145</f>
        <v>0</v>
      </c>
      <c r="BU145" s="226" t="str">
        <f t="shared" ref="BU145" si="948">IF(ISERROR(BT145/BR145),"NA",IF(OR(BT145/BR145&gt;2,BT145/BR145&lt;0.5),"NM",BT145/BR145*100-100))</f>
        <v>NA</v>
      </c>
      <c r="BV145" s="43" t="str">
        <f>IF(ISERROR(((BT145/BJ145)^0.2-1)*100),"NA",IF((((BT145/BJ145)^0.2-1)*100)&gt;100,"NM",IF((((BT145/BJ145)^0.2-1)*100)&lt;-50,"NM",((BT145/BJ145)^0.2-1)*100)))</f>
        <v>NM</v>
      </c>
      <c r="BW145" s="621"/>
      <c r="BX145" s="621"/>
      <c r="BY145"/>
      <c r="BZ145"/>
      <c r="CA145"/>
      <c r="CB145"/>
      <c r="CC145"/>
      <c r="CD145"/>
    </row>
    <row r="146" spans="2:82" ht="12.75" customHeight="1" x14ac:dyDescent="0.2">
      <c r="B146" s="80" t="s">
        <v>558</v>
      </c>
      <c r="C146" s="622">
        <f>C143-C145</f>
        <v>169.69230769230774</v>
      </c>
      <c r="D146" s="753" t="str">
        <f>IF(ISERROR(C146/#REF!),"NA",IF(OR(C146/#REF!&gt;2,C146/#REF!&lt;0.5),"NM",C146/#REF!*100-100))</f>
        <v>NA</v>
      </c>
      <c r="E146" s="622">
        <f>E143-E145</f>
        <v>196.5</v>
      </c>
      <c r="F146" s="705" t="str">
        <f>IF(ISERROR(E146/#REF!),"NA",IF(OR(E146/#REF!&gt;2,E146/#REF!&lt;0.5),"NM",E146/#REF!*100-100))</f>
        <v>NA</v>
      </c>
      <c r="G146" s="622">
        <f>G143-G145</f>
        <v>183.10000000000008</v>
      </c>
      <c r="H146" s="705" t="str">
        <f>IF(ISERROR(G146/#REF!),"NA",IF(OR(G146/#REF!&gt;2,G146/#REF!&lt;0.5),"NM",G146/#REF!*100-100))</f>
        <v>NA</v>
      </c>
      <c r="I146" s="622">
        <f>I143-I145</f>
        <v>186.28461538461536</v>
      </c>
      <c r="J146" s="9" t="str">
        <f>IF(ISERROR(I146/#REF!),"NA",IF(OR(I146/#REF!&gt;2,I146/#REF!&lt;0.5),"NM",I146/#REF!*100-100))</f>
        <v>NA</v>
      </c>
      <c r="K146" s="622">
        <f>K143-K145</f>
        <v>185.59230769230771</v>
      </c>
      <c r="L146" s="9">
        <f>IF(ISERROR(K146/C146),"NA",IF(OR(K146/C146&gt;2,K146/C146&lt;0.5),"NM",K146/C146*100-100))</f>
        <v>9.3699002719854718</v>
      </c>
      <c r="M146" s="622">
        <f>M143-M145</f>
        <v>213.45384615384617</v>
      </c>
      <c r="N146" s="9">
        <f>IF(ISERROR(M146/E146),"NA",IF(OR(M146/E146&gt;2,M146/E146&lt;0.5),"NM",M146/E146*100-100))</f>
        <v>8.6279115286749004</v>
      </c>
      <c r="O146" s="622">
        <f>O143-O145</f>
        <v>207.60000000000014</v>
      </c>
      <c r="P146" s="9">
        <f>IF(ISERROR(O146/G146),"NA",IF(OR(O146/G146&gt;2,O146/G146&lt;0.5),"NM",O146/G146*100-100))</f>
        <v>13.380666302566937</v>
      </c>
      <c r="Q146" s="622">
        <f>Q143-Q145</f>
        <v>198.40000000000015</v>
      </c>
      <c r="R146" s="9">
        <f>IF(ISERROR(Q146/I146),"NA",IF(OR(Q146/I146&gt;2,Q146/I146&lt;0.5),"NM",Q146/I146*100-100))</f>
        <v>6.5036957509188653</v>
      </c>
      <c r="S146" s="622">
        <f>S143-S145</f>
        <v>189.05384615384608</v>
      </c>
      <c r="T146" s="9">
        <f>IF(ISERROR(S146/K146),"NA",IF(OR(S146/K146&gt;2,S146/K146&lt;0.5),"NM",S146/K146*100-100))</f>
        <v>1.8651303518878706</v>
      </c>
      <c r="U146" s="622">
        <f>U143-U145</f>
        <v>212.28461538461536</v>
      </c>
      <c r="V146" s="9">
        <f>IF(ISERROR(U146/M146),"NA",IF(OR(U146/M146&gt;2,U146/M146&lt;0.5),"NM",U146/M146*100-100))</f>
        <v>-0.54776748711667267</v>
      </c>
      <c r="W146" s="622">
        <f>W143-W145</f>
        <v>189.96153846153851</v>
      </c>
      <c r="X146" s="9">
        <f>IF(ISERROR(W146/O146),"NA",IF(OR(W146/O146&gt;2,W146/O146&lt;0.5),"NM",W146/O146*100-100))</f>
        <v>-8.4963687564844008</v>
      </c>
      <c r="Y146" s="622">
        <f>Y143-Y145</f>
        <v>186.8</v>
      </c>
      <c r="Z146" s="9">
        <f>IF(ISERROR(Y146/Q146),"NA",IF(OR(Y146/Q146&gt;2,Y146/Q146&lt;0.5),"NM",Y146/Q146*100-100))</f>
        <v>-5.8467741935484554</v>
      </c>
      <c r="AA146" s="622">
        <f>AA143-AA145</f>
        <v>181.39999999999998</v>
      </c>
      <c r="AB146" s="9">
        <f>IF(ISERROR(AA146/S146),"NA",IF(OR(AA146/S146&gt;2,AA146/S146&lt;0.5),"NM",AA146/S146*100-100))</f>
        <v>-4.0485006306709295</v>
      </c>
      <c r="AC146" s="622">
        <f>AC143-AC145</f>
        <v>194.69999999999993</v>
      </c>
      <c r="AD146" s="9">
        <f>IF(ISERROR(AC146/U146),"NA",IF(OR(AC146/U146&gt;2,AC146/U146&lt;0.5),"NM",AC146/U146*100-100))</f>
        <v>-8.2835090770736173</v>
      </c>
      <c r="AE146" s="622">
        <f>AE143-AE145</f>
        <v>211.7</v>
      </c>
      <c r="AF146" s="9">
        <f>IF(ISERROR(AE146/W146),"NA",IF(OR(AE146/W146&gt;2,AE146/W146&lt;0.5),"NM",AE146/W146*100-100))</f>
        <v>11.443612067220045</v>
      </c>
      <c r="AG146" s="622">
        <f>AG143-AG145</f>
        <v>199.49999999999983</v>
      </c>
      <c r="AH146" s="9">
        <f>IF(ISERROR(AG146/Y146),"NA",IF(OR(AG146/Y146&gt;2,AG146/Y146&lt;0.5),"NM",AG146/Y146*100-100))</f>
        <v>6.7987152034260276</v>
      </c>
      <c r="AI146" s="622">
        <f>AI143-AI145</f>
        <v>233.2000000000001</v>
      </c>
      <c r="AJ146" s="9">
        <f t="shared" si="936"/>
        <v>28.555678059537001</v>
      </c>
      <c r="AK146" s="622">
        <f>AK143-AK145</f>
        <v>236.80000000000018</v>
      </c>
      <c r="AL146" s="9">
        <f t="shared" si="937"/>
        <v>21.623009758603118</v>
      </c>
      <c r="AM146" s="622">
        <f>AM143-AM145</f>
        <v>232.10000000000014</v>
      </c>
      <c r="AN146" s="9">
        <f t="shared" si="938"/>
        <v>9.6362777515352604</v>
      </c>
      <c r="AO146" s="622">
        <f>AO143-AO145</f>
        <v>201.6999999999997</v>
      </c>
      <c r="AP146" s="9">
        <f t="shared" si="939"/>
        <v>1.1027568922305164</v>
      </c>
      <c r="AQ146" s="622">
        <f t="shared" ref="AQ146:AW146" si="949">AQ143-AQ145</f>
        <v>231.58326887735433</v>
      </c>
      <c r="AR146" s="9">
        <f t="shared" si="941"/>
        <v>-0.69328092737811176</v>
      </c>
      <c r="AS146" s="622">
        <f t="shared" si="949"/>
        <v>227.59466362097146</v>
      </c>
      <c r="AT146" s="9">
        <f t="shared" si="942"/>
        <v>-3.887388673576325</v>
      </c>
      <c r="AU146" s="622">
        <f t="shared" si="949"/>
        <v>230.04561643214765</v>
      </c>
      <c r="AV146" s="9">
        <f t="shared" si="943"/>
        <v>-0.88512863759262927</v>
      </c>
      <c r="AW146" s="622">
        <f t="shared" si="949"/>
        <v>238.60983203258598</v>
      </c>
      <c r="AX146" s="9">
        <f t="shared" si="944"/>
        <v>18.299371359735403</v>
      </c>
      <c r="AY146" s="664"/>
      <c r="AZ146" s="76"/>
      <c r="BA146" s="662"/>
      <c r="BB146" s="622">
        <f>BB143-BB145</f>
        <v>735.57692307692264</v>
      </c>
      <c r="BC146" s="226" t="str">
        <f>IF(ISERROR(BB146/#REF!),"NA",IF(OR(BB146/#REF!&gt;2,BB146/#REF!&lt;0.5),"NM",BB146/#REF!*100-100))</f>
        <v>NA</v>
      </c>
      <c r="BD146" s="921">
        <f>BD143-BD145</f>
        <v>805.04615384615363</v>
      </c>
      <c r="BE146" s="226">
        <f>IF(ISERROR(BD146/BB146),"NA",IF(OR(BD146/BB146&gt;2,BD146/BB146&lt;0.5),"NM",BD146/BB146*100-100))</f>
        <v>9.4441830065359795</v>
      </c>
      <c r="BF146" s="622">
        <f>BF143-BF145</f>
        <v>778.10000000000036</v>
      </c>
      <c r="BG146" s="226">
        <f>IF(ISERROR(BF146/BD146),"NA",IF(OR(BF146/BD146&gt;2,BF146/BD146&lt;0.5),"NM",BF146/BD146*100-100))</f>
        <v>-3.3471563981041896</v>
      </c>
      <c r="BH146" s="622">
        <f>BH143-BH145</f>
        <v>787.30000000000086</v>
      </c>
      <c r="BI146" s="226">
        <f>IF(ISERROR(BH146/BF146),"NA",IF(OR(BH146/BF146&gt;2,BH146/BF146&lt;0.5),"NM",BH146/BF146*100-100))</f>
        <v>1.1823673049737238</v>
      </c>
      <c r="BJ146" s="622">
        <f>BJ143-BJ145</f>
        <v>903.80000000000109</v>
      </c>
      <c r="BK146" s="226">
        <f>IF(ISERROR(BJ146/BH146),"NA",IF(OR(BJ146/BH146&gt;2,BJ146/BH146&lt;0.5),"NM",BJ146/BH146*100-100))</f>
        <v>14.797408865743705</v>
      </c>
      <c r="BL146" s="622">
        <f>BL143-BL145</f>
        <v>927.83338096305943</v>
      </c>
      <c r="BM146" s="226">
        <f>IF(ISERROR(BL146/BJ146),"NA",IF(OR(BL146/BJ146&gt;2,BL146/BJ146&lt;0.5),"NM",BL146/BJ146*100-100))</f>
        <v>2.6591481481587067</v>
      </c>
      <c r="BN146" s="622">
        <f>BN143-BN145</f>
        <v>960.37921432392432</v>
      </c>
      <c r="BO146" s="226">
        <f>IF(ISERROR(BN146/BL146),"NA",IF(OR(BN146/BL146&gt;2,BN146/BL146&lt;0.5),"NM",BN146/BL146*100-100))</f>
        <v>3.5077239112784895</v>
      </c>
      <c r="BP146" s="622">
        <f>BP143-BP145</f>
        <v>1002.659227709406</v>
      </c>
      <c r="BQ146" s="226">
        <f>IF(ISERROR(BP146/BN146),"NA",IF(OR(BP146/BN146&gt;2,BP146/BN146&lt;0.5),"NM",BP146/BN146*100-100))</f>
        <v>4.4024290358309486</v>
      </c>
      <c r="BR146" s="622">
        <f>BR143-BR145</f>
        <v>1047.8305685537534</v>
      </c>
      <c r="BS146" s="226">
        <f>IF(ISERROR(BR146/BP146),"NA",IF(OR(BR146/BP146&gt;2,BR146/BP146&lt;0.5),"NM",BR146/BP146*100-100))</f>
        <v>4.5051538544698104</v>
      </c>
      <c r="BT146" s="622">
        <f>BT143-BT145</f>
        <v>1093.673428234918</v>
      </c>
      <c r="BU146" s="226">
        <f>IF(ISERROR(BT146/BR146),"NA",IF(OR(BT146/BR146&gt;2,BT146/BR146&lt;0.5),"NM",BT146/BR146*100-100))</f>
        <v>4.3750259876878914</v>
      </c>
      <c r="BV146" s="43">
        <f>IF(ISERROR(((BT146/BJ146)^0.2-1)*100),"NA",IF((((BT146/BJ146)^0.2-1)*100)&gt;100,"NM",IF((((BT146/BJ146)^0.2-1)*100)&lt;-50,"NM",((BT146/BJ146)^0.2-1)*100)))</f>
        <v>3.8874448423539265</v>
      </c>
    </row>
    <row r="147" spans="2:82" ht="12.75" customHeight="1" x14ac:dyDescent="0.2">
      <c r="B147" s="80"/>
      <c r="C147" s="622"/>
      <c r="D147" s="753"/>
      <c r="E147" s="622"/>
      <c r="F147" s="705"/>
      <c r="G147" s="622"/>
      <c r="H147" s="705"/>
      <c r="I147" s="622"/>
      <c r="J147" s="9"/>
      <c r="K147" s="622"/>
      <c r="L147" s="9"/>
      <c r="M147" s="622"/>
      <c r="N147" s="9"/>
      <c r="O147" s="622"/>
      <c r="P147" s="9"/>
      <c r="Q147" s="622"/>
      <c r="R147" s="9"/>
      <c r="S147" s="622"/>
      <c r="T147" s="9"/>
      <c r="U147" s="622"/>
      <c r="V147" s="9"/>
      <c r="W147" s="622"/>
      <c r="X147" s="9"/>
      <c r="Y147" s="622"/>
      <c r="Z147" s="9"/>
      <c r="AA147" s="622"/>
      <c r="AB147" s="9"/>
      <c r="AC147" s="622"/>
      <c r="AD147" s="9"/>
      <c r="AE147" s="622"/>
      <c r="AF147" s="9"/>
      <c r="AG147" s="622"/>
      <c r="AH147" s="9"/>
      <c r="AI147" s="622"/>
      <c r="AJ147" s="9"/>
      <c r="AK147" s="622"/>
      <c r="AL147" s="9"/>
      <c r="AM147" s="622"/>
      <c r="AN147" s="9"/>
      <c r="AO147" s="622"/>
      <c r="AP147" s="9"/>
      <c r="AQ147" s="622"/>
      <c r="AR147" s="9"/>
      <c r="AS147" s="622"/>
      <c r="AT147" s="9"/>
      <c r="AU147" s="622"/>
      <c r="AV147" s="9"/>
      <c r="AW147" s="622"/>
      <c r="AX147" s="9"/>
      <c r="AY147" s="664"/>
      <c r="AZ147" s="76"/>
      <c r="BA147" s="662"/>
      <c r="BB147" s="622"/>
      <c r="BC147" s="226"/>
      <c r="BD147" s="921"/>
      <c r="BE147" s="226"/>
      <c r="BF147" s="622"/>
      <c r="BG147" s="226"/>
      <c r="BH147" s="622"/>
      <c r="BI147" s="226"/>
      <c r="BJ147" s="622"/>
      <c r="BK147" s="226"/>
      <c r="BL147" s="622"/>
      <c r="BM147" s="226"/>
      <c r="BN147" s="622"/>
      <c r="BO147" s="226"/>
      <c r="BP147" s="622"/>
      <c r="BQ147" s="226"/>
      <c r="BR147" s="622"/>
      <c r="BS147" s="226"/>
      <c r="BT147" s="622"/>
      <c r="BU147" s="226"/>
      <c r="BV147" s="43"/>
    </row>
    <row r="148" spans="2:82" ht="12.75" customHeight="1" x14ac:dyDescent="0.2">
      <c r="B148" s="42" t="s">
        <v>638</v>
      </c>
      <c r="C148" s="52">
        <f>C146/(C135-C137)*100</f>
        <v>37.010317926348471</v>
      </c>
      <c r="E148" s="52">
        <f>E146/(E135-E137)*100</f>
        <v>41.879795396419432</v>
      </c>
      <c r="G148" s="52">
        <f>G146/(G135-G137)*100</f>
        <v>39.769765421372739</v>
      </c>
      <c r="I148" s="52">
        <f>I146/(I135-I137)*100</f>
        <v>37.474273865342063</v>
      </c>
      <c r="K148" s="52">
        <f>K146/(K135-K137)*100</f>
        <v>36.220200564462871</v>
      </c>
      <c r="M148" s="52">
        <f>M146/(M135-M137)*100</f>
        <v>41.722800264629825</v>
      </c>
      <c r="O148" s="52">
        <f>O146/(O135-O137)*100</f>
        <v>41.404068607897912</v>
      </c>
      <c r="Q148" s="52">
        <f>Q146/(Q135-Q137)*100</f>
        <v>39.016715830875143</v>
      </c>
      <c r="S148" s="52">
        <f>S146/(S135-S137)*100</f>
        <v>38.023701961755052</v>
      </c>
      <c r="U148" s="52">
        <f>U146/(U135-U137)*100</f>
        <v>40.266429321816268</v>
      </c>
      <c r="W148" s="52">
        <f>W146/(W135-W137)*100</f>
        <v>38.870787489572045</v>
      </c>
      <c r="Y148" s="52">
        <f>Y146/(Y135-Y137)*100</f>
        <v>37.510040160642568</v>
      </c>
      <c r="AA148" s="52">
        <f>AA146/(AA135-AA137)*100</f>
        <v>37.918060200668897</v>
      </c>
      <c r="AC148" s="52">
        <f>AC146/(AC135-AC137)*100</f>
        <v>38.692368839427637</v>
      </c>
      <c r="AE148" s="52">
        <f>AE146/(AE135-AE137)*100</f>
        <v>43.488085456039421</v>
      </c>
      <c r="AG148" s="52">
        <f>AG146/(AG135-AG137)*100</f>
        <v>37.345563459378475</v>
      </c>
      <c r="AI148" s="52">
        <f>AI146/(AI135-AI137)*100</f>
        <v>42.601388381439556</v>
      </c>
      <c r="AK148" s="52">
        <f>AK146/(AK135-AK137)*100</f>
        <v>42.960812772133558</v>
      </c>
      <c r="AM148" s="52">
        <f>AM146/(AM135-AM137)*100</f>
        <v>46.13396938978336</v>
      </c>
      <c r="AO148" s="52">
        <f>AO146/(AO135-AO137)*100</f>
        <v>37.574515648286088</v>
      </c>
      <c r="AQ148" s="52">
        <f t="shared" ref="AQ148:AW148" si="950">AQ146/(AQ135-AQ137)*100</f>
        <v>41.303242150635718</v>
      </c>
      <c r="AS148" s="52">
        <f t="shared" si="950"/>
        <v>40.819373012691258</v>
      </c>
      <c r="AU148" s="52">
        <f t="shared" si="950"/>
        <v>40.828707061173937</v>
      </c>
      <c r="AW148" s="52">
        <f t="shared" si="950"/>
        <v>41.503478853862788</v>
      </c>
      <c r="BB148" s="52">
        <f>BB146/(BB135-BB137)*100</f>
        <v>39.018508544288281</v>
      </c>
      <c r="BD148" s="52">
        <f>BD146/(BD135-BD137)*100</f>
        <v>39.581402912933456</v>
      </c>
      <c r="BF148" s="52">
        <f>BF146/(BF135-BF137)*100</f>
        <v>38.690269007011103</v>
      </c>
      <c r="BH148" s="52">
        <f>BH146/(BH135-BH137)*100</f>
        <v>39.313891940477411</v>
      </c>
      <c r="BJ148" s="52">
        <f>BJ146/(BJ135-BJ137)*100</f>
        <v>42.263268646247404</v>
      </c>
      <c r="BL148" s="52">
        <f>BL146/(BL135-BL137)*100</f>
        <v>41.116217522333201</v>
      </c>
      <c r="BN148" s="52">
        <f>BN146/(BN135-BN137)*100</f>
        <v>41.02014089827022</v>
      </c>
      <c r="BP148" s="52">
        <f>BP146/(BP135-BP137)*100</f>
        <v>41.130266934823084</v>
      </c>
      <c r="BR148" s="52">
        <f>BR146/(BR135-BR137)*100</f>
        <v>41.339007570386208</v>
      </c>
      <c r="BT148" s="52">
        <f>BT146/(BT135-BT137)*100</f>
        <v>41.546908769837124</v>
      </c>
      <c r="BV148" s="43">
        <f>IF(ISERROR(((BT148/BJ148)^0.2-1)*100),"NA",IF((((BT148/BJ148)^0.2-1)*100)&gt;100,"NM",IF((((BT148/BJ148)^0.2-1)*100)&lt;-50,"NM",((BT148/BJ148)^0.2-1)*100)))</f>
        <v>-0.34132086352360869</v>
      </c>
    </row>
    <row r="149" spans="2:82" s="616" customFormat="1" ht="12.75" hidden="1" customHeight="1" outlineLevel="1" x14ac:dyDescent="0.2">
      <c r="B149" s="67" t="s">
        <v>60</v>
      </c>
      <c r="C149" s="15"/>
      <c r="D149" s="623"/>
      <c r="E149" s="15"/>
      <c r="F149" s="623"/>
      <c r="G149" s="15"/>
      <c r="H149" s="623"/>
      <c r="I149" s="15"/>
      <c r="J149" s="623"/>
      <c r="K149" s="15"/>
      <c r="L149" s="623"/>
      <c r="M149" s="15"/>
      <c r="N149" s="620"/>
      <c r="O149" s="704"/>
      <c r="P149" s="704"/>
      <c r="Q149" s="704"/>
      <c r="R149" s="693"/>
      <c r="S149" s="704"/>
      <c r="T149" s="704"/>
      <c r="U149" s="704"/>
      <c r="V149" s="704"/>
      <c r="W149" s="704"/>
      <c r="X149" s="704"/>
      <c r="Y149" s="704"/>
      <c r="Z149" s="704"/>
      <c r="AA149" s="704"/>
      <c r="AB149" s="704"/>
      <c r="AC149" s="704"/>
      <c r="AD149" s="704"/>
      <c r="AE149" s="704"/>
      <c r="AF149" s="704"/>
      <c r="AG149" s="704"/>
      <c r="AH149" s="620"/>
      <c r="AI149" s="704"/>
      <c r="AJ149" s="620"/>
      <c r="AK149" s="704"/>
      <c r="AL149" s="620"/>
      <c r="AM149" s="704"/>
      <c r="AN149" s="620"/>
      <c r="AO149" s="704"/>
      <c r="AP149" s="620"/>
      <c r="AQ149" s="704"/>
      <c r="AR149" s="620"/>
      <c r="AS149" s="704"/>
      <c r="AT149" s="620"/>
      <c r="AU149" s="704"/>
      <c r="AV149" s="620"/>
      <c r="AW149" s="704"/>
      <c r="AX149" s="620"/>
      <c r="AY149" s="356"/>
      <c r="AZ149" s="618"/>
      <c r="BA149" s="620"/>
      <c r="BB149" s="81"/>
      <c r="BC149" s="226" t="str">
        <f>IF(ISERROR(BB149/#REF!),"NA",IF(OR(BB149/#REF!&gt;2,BB149/#REF!&lt;0.5),"NM",BB149/#REF!*100-100))</f>
        <v>NA</v>
      </c>
      <c r="BD149" s="913"/>
      <c r="BE149" s="226" t="str">
        <f t="shared" ref="BE149" si="951">IF(ISERROR(BD149/BB149),"NA",IF(OR(BD149/BB149&gt;2,BD149/BB149&lt;0.5),"NM",BD149/BB149*100-100))</f>
        <v>NA</v>
      </c>
      <c r="BF149" s="81"/>
      <c r="BG149" s="81"/>
      <c r="BH149" s="81"/>
      <c r="BI149" s="81"/>
      <c r="BJ149" s="81"/>
      <c r="BK149" s="81"/>
      <c r="BL149" s="81"/>
      <c r="BM149" s="81"/>
      <c r="BN149" s="81"/>
      <c r="BO149" s="81"/>
      <c r="BP149" s="81"/>
      <c r="BQ149" s="623"/>
      <c r="BR149" s="81"/>
      <c r="BS149" s="623"/>
      <c r="BT149" s="81"/>
      <c r="BU149" s="623"/>
      <c r="BV149" s="43"/>
      <c r="BW149" s="621"/>
      <c r="BX149" s="621"/>
      <c r="BY149"/>
      <c r="BZ149"/>
      <c r="CA149"/>
      <c r="CB149"/>
      <c r="CC149"/>
      <c r="CD149"/>
    </row>
    <row r="150" spans="2:82" s="616" customFormat="1" ht="12.75" customHeight="1" collapsed="1" x14ac:dyDescent="0.2">
      <c r="B150" s="67"/>
      <c r="C150" s="15"/>
      <c r="D150" s="623"/>
      <c r="E150" s="15"/>
      <c r="F150" s="623"/>
      <c r="G150" s="15"/>
      <c r="H150" s="623"/>
      <c r="I150" s="15"/>
      <c r="J150" s="623"/>
      <c r="K150" s="15"/>
      <c r="L150" s="623"/>
      <c r="M150" s="15"/>
      <c r="N150" s="620"/>
      <c r="O150" s="694"/>
      <c r="P150" s="694"/>
      <c r="Q150" s="694"/>
      <c r="R150" s="694"/>
      <c r="S150" s="694"/>
      <c r="T150" s="694"/>
      <c r="U150" s="694"/>
      <c r="V150" s="694"/>
      <c r="W150" s="694"/>
      <c r="X150" s="694"/>
      <c r="Y150" s="694"/>
      <c r="Z150" s="694"/>
      <c r="AA150" s="694"/>
      <c r="AB150" s="694"/>
      <c r="AC150" s="694"/>
      <c r="AD150" s="694"/>
      <c r="AE150" s="694"/>
      <c r="AF150" s="694"/>
      <c r="AG150" s="694"/>
      <c r="AH150" s="620"/>
      <c r="AI150" s="694"/>
      <c r="AJ150" s="620"/>
      <c r="AK150" s="694"/>
      <c r="AL150" s="620"/>
      <c r="AM150" s="694"/>
      <c r="AN150" s="620"/>
      <c r="AO150" s="694"/>
      <c r="AP150" s="620"/>
      <c r="AQ150" s="694"/>
      <c r="AR150" s="620"/>
      <c r="AS150" s="694"/>
      <c r="AT150" s="620"/>
      <c r="AU150" s="694"/>
      <c r="AV150" s="620"/>
      <c r="AW150" s="694"/>
      <c r="AX150" s="620"/>
      <c r="AY150" s="356"/>
      <c r="AZ150" s="618"/>
      <c r="BA150" s="620"/>
      <c r="BB150" s="55"/>
      <c r="BC150" s="55"/>
      <c r="BD150" s="908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623"/>
      <c r="BR150" s="55"/>
      <c r="BS150" s="623"/>
      <c r="BT150" s="55"/>
      <c r="BU150" s="623"/>
      <c r="BV150" s="39"/>
      <c r="BW150" s="621"/>
      <c r="BX150" s="621"/>
      <c r="BY150"/>
      <c r="BZ150"/>
      <c r="CA150"/>
      <c r="CB150"/>
      <c r="CC150"/>
      <c r="CD150"/>
    </row>
    <row r="151" spans="2:82" s="265" customFormat="1" ht="12.75" customHeight="1" collapsed="1" x14ac:dyDescent="0.2">
      <c r="B151" s="266" t="s">
        <v>553</v>
      </c>
      <c r="C151" s="657"/>
      <c r="D151" s="624"/>
      <c r="E151" s="657"/>
      <c r="F151" s="624"/>
      <c r="G151" s="657"/>
      <c r="H151" s="624"/>
      <c r="I151" s="657"/>
      <c r="J151" s="624"/>
      <c r="K151" s="657"/>
      <c r="L151" s="624"/>
      <c r="M151" s="657"/>
      <c r="N151" s="269"/>
      <c r="O151" s="268"/>
      <c r="P151" s="269"/>
      <c r="Q151" s="268"/>
      <c r="R151" s="269"/>
      <c r="S151" s="268"/>
      <c r="T151" s="269"/>
      <c r="U151" s="268"/>
      <c r="V151" s="269"/>
      <c r="W151" s="268"/>
      <c r="X151" s="269"/>
      <c r="Y151" s="268"/>
      <c r="Z151" s="269"/>
      <c r="AA151" s="268"/>
      <c r="AB151" s="269"/>
      <c r="AC151" s="268"/>
      <c r="AD151" s="269"/>
      <c r="AE151" s="268"/>
      <c r="AF151" s="269"/>
      <c r="AG151" s="268"/>
      <c r="AH151" s="269"/>
      <c r="AI151" s="268"/>
      <c r="AJ151" s="269"/>
      <c r="AK151" s="268"/>
      <c r="AL151" s="269"/>
      <c r="AM151" s="268"/>
      <c r="AN151" s="269"/>
      <c r="AO151" s="268"/>
      <c r="AP151" s="269"/>
      <c r="AQ151" s="268"/>
      <c r="AR151" s="269"/>
      <c r="AS151" s="268"/>
      <c r="AT151" s="269"/>
      <c r="AU151" s="268"/>
      <c r="AV151" s="269"/>
      <c r="AW151" s="268"/>
      <c r="AX151" s="269"/>
      <c r="AY151" s="268"/>
      <c r="AZ151" s="267"/>
      <c r="BA151" s="269"/>
      <c r="BB151" s="627"/>
      <c r="BC151" s="627"/>
      <c r="BD151" s="917"/>
      <c r="BE151" s="627"/>
      <c r="BF151" s="627"/>
      <c r="BG151" s="628"/>
      <c r="BH151" s="627"/>
      <c r="BI151" s="628"/>
      <c r="BJ151" s="627"/>
      <c r="BK151" s="628"/>
      <c r="BL151" s="627"/>
      <c r="BM151" s="628"/>
      <c r="BN151" s="627"/>
      <c r="BO151" s="628"/>
      <c r="BP151" s="627"/>
      <c r="BQ151" s="624"/>
      <c r="BR151" s="627"/>
      <c r="BS151" s="624"/>
      <c r="BT151" s="627"/>
      <c r="BU151" s="624"/>
      <c r="BV151" s="625"/>
      <c r="BW151" s="270"/>
      <c r="BX151" s="270"/>
      <c r="BY151"/>
      <c r="BZ151"/>
      <c r="CA151"/>
      <c r="CB151"/>
      <c r="CC151"/>
      <c r="CD151"/>
    </row>
    <row r="152" spans="2:82" s="616" customFormat="1" ht="12.75" customHeight="1" x14ac:dyDescent="0.2">
      <c r="B152" s="67"/>
      <c r="C152" s="15"/>
      <c r="D152" s="623"/>
      <c r="E152" s="15"/>
      <c r="F152" s="623"/>
      <c r="G152" s="15"/>
      <c r="H152" s="623"/>
      <c r="I152" s="15"/>
      <c r="J152" s="623"/>
      <c r="K152" s="15"/>
      <c r="L152" s="623"/>
      <c r="M152" s="15"/>
      <c r="N152" s="620"/>
      <c r="O152" s="694"/>
      <c r="P152" s="694"/>
      <c r="Q152" s="694"/>
      <c r="R152" s="694"/>
      <c r="S152" s="694"/>
      <c r="T152" s="694"/>
      <c r="U152" s="694"/>
      <c r="V152" s="694"/>
      <c r="W152" s="694"/>
      <c r="X152" s="694"/>
      <c r="Y152" s="694"/>
      <c r="Z152" s="694"/>
      <c r="AA152" s="694"/>
      <c r="AB152" s="694"/>
      <c r="AC152" s="694"/>
      <c r="AD152" s="694"/>
      <c r="AE152" s="694"/>
      <c r="AF152" s="694"/>
      <c r="AG152" s="694"/>
      <c r="AH152" s="620"/>
      <c r="AI152" s="694"/>
      <c r="AJ152" s="620"/>
      <c r="AK152" s="694"/>
      <c r="AL152" s="620"/>
      <c r="AM152" s="694"/>
      <c r="AN152" s="620"/>
      <c r="AO152" s="694"/>
      <c r="AP152" s="620"/>
      <c r="AQ152" s="694"/>
      <c r="AR152" s="620"/>
      <c r="AS152" s="694"/>
      <c r="AT152" s="620"/>
      <c r="AU152" s="694"/>
      <c r="AV152" s="620"/>
      <c r="AW152" s="694"/>
      <c r="AX152" s="620"/>
      <c r="AY152" s="356"/>
      <c r="AZ152" s="618"/>
      <c r="BA152" s="620"/>
      <c r="BB152" s="55"/>
      <c r="BC152" s="55"/>
      <c r="BD152" s="908"/>
      <c r="BE152" s="55"/>
      <c r="BF152" s="55"/>
      <c r="BG152" s="55"/>
      <c r="BH152" s="55"/>
      <c r="BI152" s="55"/>
      <c r="BJ152" s="55"/>
      <c r="BK152" s="55"/>
      <c r="BL152" s="55"/>
      <c r="BM152" s="55"/>
      <c r="BN152" s="55"/>
      <c r="BO152" s="55"/>
      <c r="BP152" s="55"/>
      <c r="BQ152" s="623"/>
      <c r="BR152" s="55"/>
      <c r="BS152" s="623"/>
      <c r="BT152" s="55"/>
      <c r="BU152" s="623"/>
      <c r="BV152" s="39"/>
      <c r="BW152" s="621"/>
      <c r="BX152" s="621"/>
      <c r="BY152"/>
      <c r="BZ152"/>
      <c r="CA152"/>
      <c r="CB152"/>
      <c r="CC152"/>
      <c r="CD152"/>
    </row>
    <row r="153" spans="2:82" s="616" customFormat="1" ht="12.75" customHeight="1" x14ac:dyDescent="0.2">
      <c r="B153" s="67"/>
      <c r="C153" s="15"/>
      <c r="D153" s="623"/>
      <c r="E153" s="15"/>
      <c r="F153" s="623"/>
      <c r="G153" s="15"/>
      <c r="H153" s="623"/>
      <c r="I153" s="15"/>
      <c r="J153" s="623"/>
      <c r="K153" s="15"/>
      <c r="L153" s="623"/>
      <c r="M153" s="15"/>
      <c r="N153" s="620"/>
      <c r="O153" s="694"/>
      <c r="P153" s="694"/>
      <c r="Q153" s="694"/>
      <c r="R153" s="694"/>
      <c r="S153" s="694"/>
      <c r="T153" s="694"/>
      <c r="U153" s="694"/>
      <c r="V153" s="694"/>
      <c r="W153" s="694"/>
      <c r="X153" s="694"/>
      <c r="Y153" s="694"/>
      <c r="Z153" s="694"/>
      <c r="AA153" s="694"/>
      <c r="AB153" s="694"/>
      <c r="AC153" s="694"/>
      <c r="AD153" s="694"/>
      <c r="AE153" s="694"/>
      <c r="AF153" s="694"/>
      <c r="AG153" s="694"/>
      <c r="AH153" s="620"/>
      <c r="AI153" s="694"/>
      <c r="AJ153" s="620"/>
      <c r="AK153" s="694"/>
      <c r="AL153" s="620"/>
      <c r="AM153" s="694"/>
      <c r="AN153" s="620"/>
      <c r="AO153" s="694"/>
      <c r="AP153" s="620"/>
      <c r="AQ153" s="694"/>
      <c r="AR153" s="620"/>
      <c r="AS153" s="694"/>
      <c r="AT153" s="620"/>
      <c r="AU153" s="694"/>
      <c r="AV153" s="620"/>
      <c r="AW153" s="694"/>
      <c r="AX153" s="620"/>
      <c r="AY153" s="356"/>
      <c r="AZ153" s="618"/>
      <c r="BA153" s="620"/>
      <c r="BB153" s="55"/>
      <c r="BC153" s="55"/>
      <c r="BD153" s="908"/>
      <c r="BE153" s="55"/>
      <c r="BF153" s="55"/>
      <c r="BG153" s="55"/>
      <c r="BH153" s="55"/>
      <c r="BI153" s="55"/>
      <c r="BJ153" s="55"/>
      <c r="BK153" s="55"/>
      <c r="BL153" s="55"/>
      <c r="BM153" s="55"/>
      <c r="BN153" s="55"/>
      <c r="BO153" s="55"/>
      <c r="BP153" s="55"/>
      <c r="BQ153" s="623"/>
      <c r="BR153" s="55"/>
      <c r="BS153" s="623"/>
      <c r="BT153" s="55"/>
      <c r="BU153" s="623"/>
      <c r="BV153" s="39"/>
      <c r="BW153" s="621"/>
      <c r="BX153" s="621"/>
      <c r="BY153"/>
      <c r="BZ153"/>
      <c r="CA153"/>
      <c r="CB153"/>
      <c r="CC153"/>
      <c r="CD153"/>
    </row>
    <row r="154" spans="2:82" s="616" customFormat="1" ht="12.75" customHeight="1" x14ac:dyDescent="0.2">
      <c r="B154" s="42" t="s">
        <v>463</v>
      </c>
      <c r="C154" s="15"/>
      <c r="D154" s="623"/>
      <c r="E154" s="15"/>
      <c r="F154" s="623"/>
      <c r="G154" s="15"/>
      <c r="H154" s="623"/>
      <c r="I154" s="15"/>
      <c r="J154" s="623"/>
      <c r="K154" s="15"/>
      <c r="L154" s="623"/>
      <c r="M154" s="15"/>
      <c r="N154" s="620"/>
      <c r="O154" s="653">
        <v>337300</v>
      </c>
      <c r="P154" s="9" t="str">
        <f t="shared" ref="P154:P161" si="952">IF(ISERROR(O154/G154),"NA",IF(OR(O154/G154&gt;2,O154/G154&lt;0.5),"NM",O154/G154*100-100))</f>
        <v>NA</v>
      </c>
      <c r="Q154" s="691">
        <f>O159</f>
        <v>336200</v>
      </c>
      <c r="R154" s="9" t="str">
        <f t="shared" ref="R154:R161" si="953">IF(ISERROR(Q154/I154),"NA",IF(OR(Q154/I154&gt;2,Q154/I154&lt;0.5),"NM",Q154/I154*100-100))</f>
        <v>NA</v>
      </c>
      <c r="S154" s="691">
        <f>Q159</f>
        <v>342700</v>
      </c>
      <c r="T154" s="9" t="str">
        <f t="shared" ref="T154:T161" si="954">IF(ISERROR(S154/K154),"NA",IF(OR(S154/K154&gt;2,S154/K154&lt;0.5),"NM",S154/K154*100-100))</f>
        <v>NA</v>
      </c>
      <c r="U154" s="691">
        <f>S159</f>
        <v>355200</v>
      </c>
      <c r="V154" s="9" t="str">
        <f t="shared" ref="V154:V161" si="955">IF(ISERROR(U154/M154),"NA",IF(OR(U154/M154&gt;2,U154/M154&lt;0.5),"NM",U154/M154*100-100))</f>
        <v>NA</v>
      </c>
      <c r="W154" s="691">
        <f t="shared" ref="W154:AO154" si="956">U159</f>
        <v>359600</v>
      </c>
      <c r="X154" s="9">
        <f t="shared" ref="X154:X161" si="957">IF(ISERROR(W154/O154),"NA",IF(OR(W154/O154&gt;2,W154/O154&lt;0.5),"NM",W154/O154*100-100))</f>
        <v>6.6113252297657965</v>
      </c>
      <c r="Y154" s="691">
        <f t="shared" si="956"/>
        <v>354000</v>
      </c>
      <c r="Z154" s="9">
        <f t="shared" ref="Z154:Z161" si="958">IF(ISERROR(Y154/Q154),"NA",IF(OR(Y154/Q154&gt;2,Y154/Q154&lt;0.5),"NM",Y154/Q154*100-100))</f>
        <v>5.2944675788221218</v>
      </c>
      <c r="AA154" s="691">
        <f t="shared" si="956"/>
        <v>360800</v>
      </c>
      <c r="AB154" s="9">
        <f t="shared" ref="AB154:AB161" si="959">IF(ISERROR(AA154/S154),"NA",IF(OR(AA154/S154&gt;2,AA154/S154&lt;0.5),"NM",AA154/S154*100-100))</f>
        <v>5.2815873942223561</v>
      </c>
      <c r="AC154" s="691">
        <f t="shared" si="956"/>
        <v>368300</v>
      </c>
      <c r="AD154" s="9">
        <f t="shared" ref="AD154:AD161" si="960">IF(ISERROR(AC154/U154),"NA",IF(OR(AC154/U154&gt;2,AC154/U154&lt;0.5),"NM",AC154/U154*100-100))</f>
        <v>3.6880630630630691</v>
      </c>
      <c r="AE154" s="691">
        <f t="shared" si="956"/>
        <v>382800</v>
      </c>
      <c r="AF154" s="9">
        <f t="shared" ref="AF154:AF161" si="961">IF(ISERROR(AE154/W154),"NA",IF(OR(AE154/W154&gt;2,AE154/W154&lt;0.5),"NM",AE154/W154*100-100))</f>
        <v>6.4516129032257936</v>
      </c>
      <c r="AG154" s="691">
        <f t="shared" si="956"/>
        <v>397300</v>
      </c>
      <c r="AH154" s="9">
        <f t="shared" ref="AH154:AH161" si="962">IF(ISERROR(AG154/Y154),"NA",IF(OR(AG154/Y154&gt;2,AG154/Y154&lt;0.5),"NM",AG154/Y154*100-100))</f>
        <v>12.2316384180791</v>
      </c>
      <c r="AI154" s="691">
        <f t="shared" si="956"/>
        <v>390500</v>
      </c>
      <c r="AJ154" s="9">
        <f t="shared" ref="AJ154:AJ159" si="963">IF(ISERROR(AI154/AA154),"NA",IF(OR(AI154/AA154&gt;2,AI154/AA154&lt;0.5),"NM",AI154/AA154*100-100))</f>
        <v>8.2317073170731732</v>
      </c>
      <c r="AK154" s="691">
        <f t="shared" si="956"/>
        <v>403000</v>
      </c>
      <c r="AL154" s="9">
        <f t="shared" ref="AL154:AL159" si="964">IF(ISERROR(AK154/AC154),"NA",IF(OR(AK154/AC154&gt;2,AK154/AC154&lt;0.5),"NM",AK154/AC154*100-100))</f>
        <v>9.4216671191963002</v>
      </c>
      <c r="AM154" s="691">
        <f t="shared" si="956"/>
        <v>410400</v>
      </c>
      <c r="AN154" s="9">
        <f t="shared" ref="AN154:AN159" si="965">IF(ISERROR(AM154/AE154),"NA",IF(OR(AM154/AE154&gt;2,AM154/AE154&lt;0.5),"NM",AM154/AE154*100-100))</f>
        <v>7.210031347962385</v>
      </c>
      <c r="AO154" s="691">
        <f t="shared" si="956"/>
        <v>423300</v>
      </c>
      <c r="AP154" s="9">
        <f t="shared" ref="AP154:AP159" si="966">IF(ISERROR(AO154/AG154),"NA",IF(OR(AO154/AG154&gt;2,AO154/AG154&lt;0.5),"NM",AO154/AG154*100-100))</f>
        <v>6.5441731688899978</v>
      </c>
      <c r="AQ154" s="691">
        <f t="shared" ref="AQ154" si="967">+AO159</f>
        <v>430900</v>
      </c>
      <c r="AR154" s="9">
        <f t="shared" ref="AR154:AR159" si="968">IF(ISERROR(AQ154/AI154),"NA",IF(OR(AQ154/AI154&gt;2,AQ154/AI154&lt;0.5),"NM",AQ154/AI154*100-100))</f>
        <v>10.345710627400777</v>
      </c>
      <c r="AS154" s="691">
        <f t="shared" ref="AS154" si="969">+AQ159</f>
        <v>428436.43</v>
      </c>
      <c r="AT154" s="9">
        <f t="shared" ref="AT154:AT159" si="970">IF(ISERROR(AS154/AK154),"NA",IF(OR(AS154/AK154&gt;2,AS154/AK154&lt;0.5),"NM",AS154/AK154*100-100))</f>
        <v>6.3117692307692437</v>
      </c>
      <c r="AU154" s="691">
        <f t="shared" ref="AU154" si="971">+AS159</f>
        <v>435155.562163</v>
      </c>
      <c r="AV154" s="9">
        <f t="shared" ref="AV154:AV159" si="972">IF(ISERROR(AU154/AM154),"NA",IF(OR(AU154/AM154&gt;2,AU154/AM154&lt;0.5),"NM",AU154/AM154*100-100))</f>
        <v>6.0320570572611985</v>
      </c>
      <c r="AW154" s="691">
        <f t="shared" ref="AW154" si="973">+AU159</f>
        <v>442013.47748134832</v>
      </c>
      <c r="AX154" s="9">
        <f t="shared" ref="AX154:AX159" si="974">IF(ISERROR(AW154/AO154),"NA",IF(OR(AW154/AO154&gt;2,AW154/AO154&lt;0.5),"NM",AW154/AO154*100-100))</f>
        <v>4.4208545904437244</v>
      </c>
      <c r="AY154" s="356"/>
      <c r="AZ154" s="618"/>
      <c r="BA154" s="620"/>
      <c r="BB154" s="55"/>
      <c r="BC154" s="226" t="str">
        <f>IF(ISERROR(BB154/#REF!),"NA",IF(OR(BB154/#REF!&gt;2,BB154/#REF!&lt;0.5),"NM",BB154/#REF!*100-100))</f>
        <v>NA</v>
      </c>
      <c r="BD154" s="908"/>
      <c r="BE154" s="226" t="str">
        <f t="shared" ref="BE154:BS172" si="975">IF(ISERROR(BD154/BB154),"NA",IF(OR(BD154/BB154&gt;2,BD154/BB154&lt;0.5),"NM",BD154/BB154*100-100))</f>
        <v>NA</v>
      </c>
      <c r="BF154" s="55">
        <f>BD159</f>
        <v>342700</v>
      </c>
      <c r="BG154" s="226" t="str">
        <f t="shared" si="975"/>
        <v>NA</v>
      </c>
      <c r="BH154" s="55">
        <f>BF159</f>
        <v>360800</v>
      </c>
      <c r="BI154" s="226">
        <f t="shared" si="975"/>
        <v>5.2815873942223561</v>
      </c>
      <c r="BJ154" s="55">
        <f>BH159</f>
        <v>390500</v>
      </c>
      <c r="BK154" s="226">
        <f t="shared" si="975"/>
        <v>8.2317073170731732</v>
      </c>
      <c r="BL154" s="55">
        <f>BJ159</f>
        <v>430900</v>
      </c>
      <c r="BM154" s="226">
        <f t="shared" si="975"/>
        <v>10.345710627400777</v>
      </c>
      <c r="BN154" s="55">
        <f>BL159</f>
        <v>448200.19363976788</v>
      </c>
      <c r="BO154" s="226">
        <f t="shared" si="975"/>
        <v>4.0148975724687546</v>
      </c>
      <c r="BP154" s="55">
        <f t="shared" ref="BP154" si="976">BN159</f>
        <v>474495.83581947623</v>
      </c>
      <c r="BQ154" s="226">
        <f t="shared" si="975"/>
        <v>5.8669412804499927</v>
      </c>
      <c r="BR154" s="55">
        <f t="shared" ref="BR154" si="977">BP159</f>
        <v>503091.79249286512</v>
      </c>
      <c r="BS154" s="226">
        <f t="shared" si="975"/>
        <v>6.0265980256712481</v>
      </c>
      <c r="BT154" s="55">
        <f t="shared" ref="BT154" si="978">BR159</f>
        <v>534074.02687139949</v>
      </c>
      <c r="BU154" s="226">
        <f t="shared" ref="BU154:BU159" si="979">IF(ISERROR(BT154/BR154),"NA",IF(OR(BT154/BR154&gt;2,BT154/BR154&lt;0.5),"NM",BT154/BR154*100-100))</f>
        <v>6.1583660955815986</v>
      </c>
      <c r="BV154" s="43">
        <f t="shared" ref="BV154:BV159" si="980">IF(ISERROR(((BT154/BJ154)^0.2-1)*100),"NA",IF((((BT154/BJ154)^0.2-1)*100)&gt;100,"NM",IF((((BT154/BJ154)^0.2-1)*100)&lt;-50,"NM",((BT154/BJ154)^0.2-1)*100)))</f>
        <v>6.4623587196094068</v>
      </c>
      <c r="BW154" s="621"/>
      <c r="BX154" s="621"/>
      <c r="BY154"/>
      <c r="BZ154"/>
      <c r="CA154"/>
      <c r="CB154"/>
      <c r="CC154"/>
      <c r="CD154"/>
    </row>
    <row r="155" spans="2:82" s="616" customFormat="1" ht="12.75" customHeight="1" x14ac:dyDescent="0.2">
      <c r="B155" s="5" t="s">
        <v>135</v>
      </c>
      <c r="C155" s="15"/>
      <c r="D155" s="623"/>
      <c r="E155" s="15"/>
      <c r="F155" s="623"/>
      <c r="G155" s="15"/>
      <c r="H155" s="623"/>
      <c r="I155" s="15"/>
      <c r="J155" s="623"/>
      <c r="K155" s="15"/>
      <c r="L155" s="623"/>
      <c r="M155" s="15"/>
      <c r="N155" s="620"/>
      <c r="O155" s="653">
        <v>16100</v>
      </c>
      <c r="P155" s="9" t="str">
        <f t="shared" si="952"/>
        <v>NA</v>
      </c>
      <c r="Q155" s="653">
        <v>17800</v>
      </c>
      <c r="R155" s="9" t="str">
        <f t="shared" si="953"/>
        <v>NA</v>
      </c>
      <c r="S155" s="653">
        <v>20600</v>
      </c>
      <c r="T155" s="9" t="str">
        <f t="shared" si="954"/>
        <v>NA</v>
      </c>
      <c r="U155" s="653">
        <v>19500</v>
      </c>
      <c r="V155" s="9" t="str">
        <f t="shared" si="955"/>
        <v>NA</v>
      </c>
      <c r="W155" s="653">
        <v>18800</v>
      </c>
      <c r="X155" s="9">
        <f t="shared" si="957"/>
        <v>16.770186335403722</v>
      </c>
      <c r="Y155" s="653">
        <v>17800</v>
      </c>
      <c r="Z155" s="9">
        <f t="shared" si="958"/>
        <v>0</v>
      </c>
      <c r="AA155" s="653">
        <v>19800</v>
      </c>
      <c r="AB155" s="9">
        <f t="shared" si="959"/>
        <v>-3.8834951456310591</v>
      </c>
      <c r="AC155" s="653">
        <v>20100</v>
      </c>
      <c r="AD155" s="9">
        <f t="shared" si="960"/>
        <v>3.076923076923066</v>
      </c>
      <c r="AE155" s="653">
        <v>19600</v>
      </c>
      <c r="AF155" s="9">
        <f t="shared" si="961"/>
        <v>4.2553191489361808</v>
      </c>
      <c r="AG155" s="653">
        <v>17700</v>
      </c>
      <c r="AH155" s="9">
        <f t="shared" si="962"/>
        <v>-0.56179775280898525</v>
      </c>
      <c r="AI155" s="653">
        <v>20400</v>
      </c>
      <c r="AJ155" s="9">
        <f t="shared" si="963"/>
        <v>3.0303030303030312</v>
      </c>
      <c r="AK155" s="653">
        <v>16800</v>
      </c>
      <c r="AL155" s="9">
        <f t="shared" si="964"/>
        <v>-16.417910447761201</v>
      </c>
      <c r="AM155" s="653">
        <v>19600</v>
      </c>
      <c r="AN155" s="9">
        <f t="shared" si="965"/>
        <v>0</v>
      </c>
      <c r="AO155" s="653">
        <v>19100</v>
      </c>
      <c r="AP155" s="9">
        <f t="shared" si="966"/>
        <v>7.9096045197740068</v>
      </c>
      <c r="AQ155" s="653">
        <f t="shared" ref="AQ155" si="981">AI155*1.05</f>
        <v>21420</v>
      </c>
      <c r="AR155" s="9">
        <f t="shared" si="968"/>
        <v>5</v>
      </c>
      <c r="AS155" s="653">
        <v>20000</v>
      </c>
      <c r="AT155" s="9">
        <f t="shared" si="970"/>
        <v>19.047619047619051</v>
      </c>
      <c r="AU155" s="653">
        <f t="shared" ref="AU155" si="982">AM155*1.05</f>
        <v>20580</v>
      </c>
      <c r="AV155" s="9">
        <f t="shared" si="972"/>
        <v>5</v>
      </c>
      <c r="AW155" s="653">
        <f t="shared" ref="AW155" si="983">AO155*1.05</f>
        <v>20055</v>
      </c>
      <c r="AX155" s="9">
        <f t="shared" si="974"/>
        <v>5</v>
      </c>
      <c r="AY155" s="356"/>
      <c r="AZ155" s="618"/>
      <c r="BA155" s="620"/>
      <c r="BB155" s="55"/>
      <c r="BC155" s="226" t="str">
        <f>IF(ISERROR(BB155/#REF!),"NA",IF(OR(BB155/#REF!&gt;2,BB155/#REF!&lt;0.5),"NM",BB155/#REF!*100-100))</f>
        <v>NA</v>
      </c>
      <c r="BD155" s="908"/>
      <c r="BE155" s="226" t="str">
        <f t="shared" si="975"/>
        <v>NA</v>
      </c>
      <c r="BF155" s="55">
        <f>S155+U155+W155+Y155</f>
        <v>76700</v>
      </c>
      <c r="BG155" s="226" t="str">
        <f t="shared" si="975"/>
        <v>NA</v>
      </c>
      <c r="BH155" s="55">
        <f>AA155+AC155+AE155+AG155</f>
        <v>77200</v>
      </c>
      <c r="BI155" s="226">
        <f t="shared" si="975"/>
        <v>0.65189048239895442</v>
      </c>
      <c r="BJ155" s="55">
        <f>AI155+AK155+AM155+AO155</f>
        <v>75900</v>
      </c>
      <c r="BK155" s="226">
        <f t="shared" si="975"/>
        <v>-1.6839378238341851</v>
      </c>
      <c r="BL155" s="55">
        <f>AQ155+AS155+AU155+AW155</f>
        <v>82055</v>
      </c>
      <c r="BM155" s="226">
        <f t="shared" si="975"/>
        <v>8.1093544137022349</v>
      </c>
      <c r="BN155" s="653">
        <f>BL155*1.07</f>
        <v>87798.85</v>
      </c>
      <c r="BO155" s="226">
        <f t="shared" si="975"/>
        <v>7</v>
      </c>
      <c r="BP155" s="653">
        <f>BN155*1.07</f>
        <v>93944.769500000009</v>
      </c>
      <c r="BQ155" s="226">
        <f t="shared" si="975"/>
        <v>7</v>
      </c>
      <c r="BR155" s="653">
        <f>BP155*1.07</f>
        <v>100520.90336500002</v>
      </c>
      <c r="BS155" s="226">
        <f t="shared" si="975"/>
        <v>7</v>
      </c>
      <c r="BT155" s="653">
        <f>BR155*1.07</f>
        <v>107557.36660055003</v>
      </c>
      <c r="BU155" s="226">
        <f t="shared" si="979"/>
        <v>7</v>
      </c>
      <c r="BV155" s="43">
        <f t="shared" si="980"/>
        <v>7.2209564403064697</v>
      </c>
      <c r="BW155" s="621"/>
      <c r="BX155" s="621"/>
      <c r="BY155"/>
      <c r="BZ155"/>
      <c r="CA155"/>
      <c r="CB155"/>
      <c r="CC155"/>
      <c r="CD155"/>
    </row>
    <row r="156" spans="2:82" s="616" customFormat="1" ht="12.75" customHeight="1" x14ac:dyDescent="0.2">
      <c r="B156" s="5" t="s">
        <v>136</v>
      </c>
      <c r="C156" s="15"/>
      <c r="D156" s="623"/>
      <c r="E156" s="15"/>
      <c r="F156" s="623"/>
      <c r="G156" s="15"/>
      <c r="H156" s="623"/>
      <c r="I156" s="15"/>
      <c r="J156" s="623"/>
      <c r="K156" s="15"/>
      <c r="L156" s="623"/>
      <c r="M156" s="15"/>
      <c r="N156" s="620"/>
      <c r="O156" s="653">
        <v>-14400</v>
      </c>
      <c r="P156" s="9" t="str">
        <f t="shared" si="952"/>
        <v>NA</v>
      </c>
      <c r="Q156" s="653">
        <v>-16500</v>
      </c>
      <c r="R156" s="9" t="str">
        <f t="shared" si="953"/>
        <v>NA</v>
      </c>
      <c r="S156" s="653">
        <v>-13700</v>
      </c>
      <c r="T156" s="9" t="str">
        <f t="shared" si="954"/>
        <v>NA</v>
      </c>
      <c r="U156" s="653">
        <v>-14800</v>
      </c>
      <c r="V156" s="9" t="str">
        <f t="shared" si="955"/>
        <v>NA</v>
      </c>
      <c r="W156" s="653">
        <v>-15600</v>
      </c>
      <c r="X156" s="9">
        <f t="shared" si="957"/>
        <v>8.3333333333333286</v>
      </c>
      <c r="Y156" s="653">
        <v>-17100</v>
      </c>
      <c r="Z156" s="9">
        <f t="shared" si="958"/>
        <v>3.6363636363636402</v>
      </c>
      <c r="AA156" s="653">
        <v>-19100</v>
      </c>
      <c r="AB156" s="9">
        <f t="shared" si="959"/>
        <v>39.416058394160586</v>
      </c>
      <c r="AC156" s="653">
        <v>-14400</v>
      </c>
      <c r="AD156" s="9">
        <f t="shared" si="960"/>
        <v>-2.7027027027026946</v>
      </c>
      <c r="AE156" s="653">
        <v>-15400</v>
      </c>
      <c r="AF156" s="9">
        <f t="shared" si="961"/>
        <v>-1.2820512820512704</v>
      </c>
      <c r="AG156" s="653">
        <v>-19300</v>
      </c>
      <c r="AH156" s="9">
        <f t="shared" si="962"/>
        <v>12.865497076023402</v>
      </c>
      <c r="AI156" s="653">
        <v>-20400</v>
      </c>
      <c r="AJ156" s="9">
        <f t="shared" si="963"/>
        <v>6.8062827225130889</v>
      </c>
      <c r="AK156" s="653">
        <v>-19800</v>
      </c>
      <c r="AL156" s="9">
        <f t="shared" si="964"/>
        <v>37.5</v>
      </c>
      <c r="AM156" s="653">
        <v>-17100</v>
      </c>
      <c r="AN156" s="9">
        <f t="shared" si="965"/>
        <v>11.038961038961048</v>
      </c>
      <c r="AO156" s="653">
        <v>-21300</v>
      </c>
      <c r="AP156" s="9">
        <f t="shared" si="966"/>
        <v>10.362694300518129</v>
      </c>
      <c r="AQ156" s="691">
        <f>+(AQ170/100/4)*AQ154</f>
        <v>-20467.75</v>
      </c>
      <c r="AR156" s="9">
        <f t="shared" si="968"/>
        <v>0.33210784313726549</v>
      </c>
      <c r="AS156" s="691">
        <f>+(AS170/100/4)*AS154</f>
        <v>-20350.730425000002</v>
      </c>
      <c r="AT156" s="9">
        <f t="shared" si="970"/>
        <v>2.7814667929292938</v>
      </c>
      <c r="AU156" s="691">
        <f>+(AU170/100/4)*AU154</f>
        <v>-20669.889202742499</v>
      </c>
      <c r="AV156" s="9">
        <f t="shared" si="972"/>
        <v>20.876545045277766</v>
      </c>
      <c r="AW156" s="691">
        <f>+(AW170/100/4)*AW154</f>
        <v>-20995.640180364047</v>
      </c>
      <c r="AX156" s="9">
        <f t="shared" si="974"/>
        <v>-1.4289193410138523</v>
      </c>
      <c r="AY156" s="356"/>
      <c r="AZ156" s="618"/>
      <c r="BA156" s="620"/>
      <c r="BB156" s="55"/>
      <c r="BC156" s="226" t="str">
        <f>IF(ISERROR(BB156/#REF!),"NA",IF(OR(BB156/#REF!&gt;2,BB156/#REF!&lt;0.5),"NM",BB156/#REF!*100-100))</f>
        <v>NA</v>
      </c>
      <c r="BD156" s="908"/>
      <c r="BE156" s="226" t="str">
        <f t="shared" si="975"/>
        <v>NA</v>
      </c>
      <c r="BF156" s="55">
        <f>S156+U156+W156+Y156</f>
        <v>-61200</v>
      </c>
      <c r="BG156" s="226" t="str">
        <f t="shared" si="975"/>
        <v>NA</v>
      </c>
      <c r="BH156" s="55">
        <f>AA156+AC156+AE156+AG156</f>
        <v>-68200</v>
      </c>
      <c r="BI156" s="226">
        <f t="shared" si="975"/>
        <v>11.437908496732035</v>
      </c>
      <c r="BJ156" s="55">
        <f>AI156+AK156+AM156+AO156</f>
        <v>-78600</v>
      </c>
      <c r="BK156" s="226">
        <f t="shared" si="975"/>
        <v>15.249266862170103</v>
      </c>
      <c r="BL156" s="55">
        <f>AQ156+AS156+AU156+AW156</f>
        <v>-82484.009808106552</v>
      </c>
      <c r="BM156" s="226">
        <f t="shared" si="975"/>
        <v>4.9414883054790693</v>
      </c>
      <c r="BN156" s="55">
        <f>(BN170/100)*BN154</f>
        <v>-81313.656379169435</v>
      </c>
      <c r="BO156" s="226">
        <f t="shared" si="975"/>
        <v>-1.4188852259484719</v>
      </c>
      <c r="BP156" s="55">
        <f>(BP170/100)*BP154</f>
        <v>-86321.52876983193</v>
      </c>
      <c r="BQ156" s="226">
        <f t="shared" si="975"/>
        <v>6.1587101277435323</v>
      </c>
      <c r="BR156" s="55">
        <f>(BR170/100)*BR154</f>
        <v>-91775.326214650311</v>
      </c>
      <c r="BS156" s="226">
        <f t="shared" si="975"/>
        <v>6.3180037732654313</v>
      </c>
      <c r="BT156" s="55">
        <f>(BT170/100)*BT154</f>
        <v>-97694.223801798449</v>
      </c>
      <c r="BU156" s="226">
        <f t="shared" si="979"/>
        <v>6.4493342941703418</v>
      </c>
      <c r="BV156" s="43">
        <f t="shared" si="980"/>
        <v>4.4453881331754541</v>
      </c>
      <c r="BW156" s="621"/>
      <c r="BX156" s="621"/>
      <c r="BY156"/>
      <c r="BZ156"/>
      <c r="CA156"/>
      <c r="CB156"/>
      <c r="CC156"/>
      <c r="CD156"/>
    </row>
    <row r="157" spans="2:82" s="616" customFormat="1" ht="12.75" customHeight="1" x14ac:dyDescent="0.2">
      <c r="B157" s="5" t="s">
        <v>68</v>
      </c>
      <c r="C157" s="15"/>
      <c r="D157" s="623"/>
      <c r="E157" s="15"/>
      <c r="F157" s="623"/>
      <c r="G157" s="15"/>
      <c r="H157" s="623"/>
      <c r="I157" s="15"/>
      <c r="J157" s="623"/>
      <c r="K157" s="15"/>
      <c r="L157" s="623"/>
      <c r="M157" s="15"/>
      <c r="N157" s="620"/>
      <c r="O157" s="331">
        <v>-2100</v>
      </c>
      <c r="P157" s="9" t="str">
        <f t="shared" si="952"/>
        <v>NA</v>
      </c>
      <c r="Q157" s="331">
        <v>6300</v>
      </c>
      <c r="R157" s="9" t="str">
        <f t="shared" si="953"/>
        <v>NA</v>
      </c>
      <c r="S157" s="331">
        <v>6900</v>
      </c>
      <c r="T157" s="9" t="str">
        <f t="shared" si="954"/>
        <v>NA</v>
      </c>
      <c r="U157" s="331">
        <v>-800</v>
      </c>
      <c r="V157" s="9" t="str">
        <f t="shared" si="955"/>
        <v>NA</v>
      </c>
      <c r="W157" s="331">
        <v>-10300</v>
      </c>
      <c r="X157" s="9" t="str">
        <f t="shared" si="957"/>
        <v>NM</v>
      </c>
      <c r="Y157" s="331">
        <v>4800</v>
      </c>
      <c r="Z157" s="9">
        <f t="shared" si="958"/>
        <v>-23.80952380952381</v>
      </c>
      <c r="AA157" s="331">
        <v>5400</v>
      </c>
      <c r="AB157" s="9">
        <f t="shared" si="959"/>
        <v>-21.739130434782609</v>
      </c>
      <c r="AC157" s="331">
        <v>9500</v>
      </c>
      <c r="AD157" s="9" t="str">
        <f t="shared" si="960"/>
        <v>NM</v>
      </c>
      <c r="AE157" s="331">
        <v>10200</v>
      </c>
      <c r="AF157" s="9" t="str">
        <f t="shared" si="961"/>
        <v>NM</v>
      </c>
      <c r="AG157" s="331">
        <v>-3400</v>
      </c>
      <c r="AH157" s="9" t="str">
        <f t="shared" si="962"/>
        <v>NM</v>
      </c>
      <c r="AI157" s="331">
        <v>12700</v>
      </c>
      <c r="AJ157" s="9" t="str">
        <f t="shared" si="963"/>
        <v>NM</v>
      </c>
      <c r="AK157" s="331">
        <v>10300</v>
      </c>
      <c r="AL157" s="9">
        <f t="shared" si="964"/>
        <v>8.4210526315789451</v>
      </c>
      <c r="AM157" s="331">
        <v>10400</v>
      </c>
      <c r="AN157" s="9">
        <f t="shared" si="965"/>
        <v>1.9607843137254832</v>
      </c>
      <c r="AO157" s="331">
        <v>9700</v>
      </c>
      <c r="AP157" s="9" t="str">
        <f t="shared" si="966"/>
        <v>NM</v>
      </c>
      <c r="AQ157" s="241">
        <f>(AO163+AO165)*(AQ173/100*AQ$31/100)+(AQ28/100*AO164)+1900</f>
        <v>-3415.8199999999997</v>
      </c>
      <c r="AR157" s="9" t="str">
        <f t="shared" si="968"/>
        <v>NM</v>
      </c>
      <c r="AS157" s="241">
        <f>(AQ163+AQ165)*(AS173/100*AS$31/100)+(AS28/100*AQ164)+2100</f>
        <v>7069.862588</v>
      </c>
      <c r="AT157" s="9">
        <f t="shared" si="970"/>
        <v>-31.360557398058248</v>
      </c>
      <c r="AU157" s="241">
        <f>(AS163+AS165)*(AU173/100*AU$31/100)+(AU28/100*AS164)+1900</f>
        <v>6947.8045210908003</v>
      </c>
      <c r="AV157" s="9">
        <f t="shared" si="972"/>
        <v>-33.194187297203854</v>
      </c>
      <c r="AW157" s="241">
        <f>(AU163+AU165)*(AW173/100*AW$31/100)+(AW28/100*AU164)+2000</f>
        <v>7127.3563387836402</v>
      </c>
      <c r="AX157" s="9">
        <f t="shared" si="974"/>
        <v>-26.522099600168659</v>
      </c>
      <c r="AY157" s="356"/>
      <c r="AZ157" s="618"/>
      <c r="BA157" s="620"/>
      <c r="BB157" s="55"/>
      <c r="BC157" s="226" t="str">
        <f>IF(ISERROR(BB157/#REF!),"NA",IF(OR(BB157/#REF!&gt;2,BB157/#REF!&lt;0.5),"NM",BB157/#REF!*100-100))</f>
        <v>NA</v>
      </c>
      <c r="BD157" s="908"/>
      <c r="BE157" s="226" t="str">
        <f t="shared" si="975"/>
        <v>NA</v>
      </c>
      <c r="BF157" s="55">
        <f>S157+U157+W157+Y157</f>
        <v>600</v>
      </c>
      <c r="BG157" s="226" t="str">
        <f t="shared" si="975"/>
        <v>NA</v>
      </c>
      <c r="BH157" s="55">
        <f>AA157+AC157+AE157+AG157</f>
        <v>21700</v>
      </c>
      <c r="BI157" s="226" t="str">
        <f t="shared" si="975"/>
        <v>NM</v>
      </c>
      <c r="BJ157" s="55">
        <f>AI157+AK157+AM157+AO157</f>
        <v>43100</v>
      </c>
      <c r="BK157" s="226">
        <f t="shared" si="975"/>
        <v>98.61751152073731</v>
      </c>
      <c r="BL157" s="55">
        <f>AQ157+AS157+AU157+AW157</f>
        <v>17729.203447874439</v>
      </c>
      <c r="BM157" s="226" t="str">
        <f t="shared" si="975"/>
        <v>NM</v>
      </c>
      <c r="BN157" s="241">
        <f>(BL163+BL165)*(BN173/100*BN$31/100)+(BN28/100*BL164)</f>
        <v>19810.448558877742</v>
      </c>
      <c r="BO157" s="226">
        <f t="shared" si="975"/>
        <v>11.739078504696309</v>
      </c>
      <c r="BP157" s="241">
        <f>(BN163+BN165)*(BP173/100*BP$31/100)+(BP28/100*BN164)</f>
        <v>20972.71594322085</v>
      </c>
      <c r="BQ157" s="226">
        <f t="shared" si="975"/>
        <v>5.8669412804499785</v>
      </c>
      <c r="BR157" s="241">
        <f>(BP163+BP165)*(BR173/100*BR$31/100)+(BR28/100*BP164)</f>
        <v>22236.657228184638</v>
      </c>
      <c r="BS157" s="226">
        <f t="shared" si="975"/>
        <v>6.0265980256712481</v>
      </c>
      <c r="BT157" s="241">
        <f>(BR163+BR165)*(BT173/100*BT$31/100)+(BT28/100*BR164)</f>
        <v>23606.071987715855</v>
      </c>
      <c r="BU157" s="226">
        <f t="shared" si="979"/>
        <v>6.1583660955815986</v>
      </c>
      <c r="BV157" s="43">
        <f t="shared" si="980"/>
        <v>-11.343763487469483</v>
      </c>
      <c r="BW157" s="621"/>
      <c r="BX157" s="621"/>
      <c r="BY157"/>
      <c r="BZ157"/>
      <c r="CA157"/>
      <c r="CB157"/>
      <c r="CC157"/>
      <c r="CD157"/>
    </row>
    <row r="158" spans="2:82" s="616" customFormat="1" ht="12.75" customHeight="1" x14ac:dyDescent="0.2">
      <c r="B158" s="5" t="s">
        <v>69</v>
      </c>
      <c r="C158" s="15"/>
      <c r="D158" s="623"/>
      <c r="E158" s="15"/>
      <c r="F158" s="623"/>
      <c r="G158" s="15"/>
      <c r="H158" s="623"/>
      <c r="I158" s="15"/>
      <c r="J158" s="623"/>
      <c r="K158" s="15"/>
      <c r="L158" s="623"/>
      <c r="M158" s="15"/>
      <c r="N158" s="620"/>
      <c r="O158" s="653">
        <f>-100-600</f>
        <v>-700</v>
      </c>
      <c r="P158" s="9" t="str">
        <f t="shared" si="952"/>
        <v>NA</v>
      </c>
      <c r="Q158" s="653">
        <f>-600-500</f>
        <v>-1100</v>
      </c>
      <c r="R158" s="9" t="str">
        <f t="shared" si="953"/>
        <v>NA</v>
      </c>
      <c r="S158" s="653">
        <f>-700-600</f>
        <v>-1300</v>
      </c>
      <c r="T158" s="9" t="str">
        <f t="shared" si="954"/>
        <v>NA</v>
      </c>
      <c r="U158" s="653">
        <f>300+200</f>
        <v>500</v>
      </c>
      <c r="V158" s="9" t="str">
        <f t="shared" si="955"/>
        <v>NA</v>
      </c>
      <c r="W158" s="653">
        <f>300+1900-700</f>
        <v>1500</v>
      </c>
      <c r="X158" s="9" t="str">
        <f t="shared" si="957"/>
        <v>NM</v>
      </c>
      <c r="Y158" s="653">
        <v>1300</v>
      </c>
      <c r="Z158" s="9" t="str">
        <f t="shared" si="958"/>
        <v>NM</v>
      </c>
      <c r="AA158" s="653">
        <f>1200+200</f>
        <v>1400</v>
      </c>
      <c r="AB158" s="9" t="str">
        <f t="shared" si="959"/>
        <v>NM</v>
      </c>
      <c r="AC158" s="653">
        <f>-400-300</f>
        <v>-700</v>
      </c>
      <c r="AD158" s="9" t="str">
        <f t="shared" si="960"/>
        <v>NM</v>
      </c>
      <c r="AE158" s="653">
        <f>200-100</f>
        <v>100</v>
      </c>
      <c r="AF158" s="9" t="str">
        <f t="shared" si="961"/>
        <v>NM</v>
      </c>
      <c r="AG158" s="653">
        <f>-1600-200</f>
        <v>-1800</v>
      </c>
      <c r="AH158" s="9" t="str">
        <f t="shared" si="962"/>
        <v>NM</v>
      </c>
      <c r="AI158" s="653">
        <f>-500+300</f>
        <v>-200</v>
      </c>
      <c r="AJ158" s="9" t="str">
        <f t="shared" si="963"/>
        <v>NM</v>
      </c>
      <c r="AK158" s="653">
        <v>100</v>
      </c>
      <c r="AL158" s="9" t="str">
        <f t="shared" si="964"/>
        <v>NM</v>
      </c>
      <c r="AM158" s="653">
        <f>-200+200</f>
        <v>0</v>
      </c>
      <c r="AN158" s="9" t="str">
        <f t="shared" si="965"/>
        <v>NM</v>
      </c>
      <c r="AO158" s="653">
        <v>100</v>
      </c>
      <c r="AP158" s="9" t="str">
        <f t="shared" si="966"/>
        <v>NM</v>
      </c>
      <c r="AQ158" s="653">
        <v>0</v>
      </c>
      <c r="AR158" s="9" t="str">
        <f t="shared" si="968"/>
        <v>NM</v>
      </c>
      <c r="AS158" s="653">
        <v>0</v>
      </c>
      <c r="AT158" s="9" t="str">
        <f t="shared" si="970"/>
        <v>NM</v>
      </c>
      <c r="AU158" s="653">
        <v>0</v>
      </c>
      <c r="AV158" s="9" t="str">
        <f t="shared" si="972"/>
        <v>NA</v>
      </c>
      <c r="AW158" s="653">
        <v>0</v>
      </c>
      <c r="AX158" s="9" t="str">
        <f t="shared" si="974"/>
        <v>NM</v>
      </c>
      <c r="AY158" s="356"/>
      <c r="AZ158" s="618"/>
      <c r="BA158" s="620"/>
      <c r="BB158" s="55"/>
      <c r="BC158" s="226" t="str">
        <f>IF(ISERROR(BB158/#REF!),"NA",IF(OR(BB158/#REF!&gt;2,BB158/#REF!&lt;0.5),"NM",BB158/#REF!*100-100))</f>
        <v>NA</v>
      </c>
      <c r="BD158" s="908"/>
      <c r="BE158" s="226" t="str">
        <f t="shared" si="975"/>
        <v>NA</v>
      </c>
      <c r="BF158" s="55">
        <f>S158+U158+W158+Y158</f>
        <v>2000</v>
      </c>
      <c r="BG158" s="226" t="str">
        <f t="shared" si="975"/>
        <v>NA</v>
      </c>
      <c r="BH158" s="55">
        <f>AA158+AC158+AE158+AG158</f>
        <v>-1000</v>
      </c>
      <c r="BI158" s="226" t="str">
        <f t="shared" si="975"/>
        <v>NM</v>
      </c>
      <c r="BJ158" s="55">
        <f>AI158+AK158+AM158+AO158</f>
        <v>0</v>
      </c>
      <c r="BK158" s="226" t="str">
        <f t="shared" si="975"/>
        <v>NM</v>
      </c>
      <c r="BL158" s="55">
        <f>AQ158+AS158+AU158+AW158</f>
        <v>0</v>
      </c>
      <c r="BM158" s="226" t="str">
        <f t="shared" si="975"/>
        <v>NA</v>
      </c>
      <c r="BN158" s="55">
        <f>BL158</f>
        <v>0</v>
      </c>
      <c r="BO158" s="226" t="str">
        <f t="shared" si="975"/>
        <v>NA</v>
      </c>
      <c r="BP158" s="55">
        <f t="shared" ref="BP158" si="984">BN158</f>
        <v>0</v>
      </c>
      <c r="BQ158" s="226" t="str">
        <f t="shared" si="975"/>
        <v>NA</v>
      </c>
      <c r="BR158" s="55">
        <f t="shared" ref="BR158" si="985">BP158</f>
        <v>0</v>
      </c>
      <c r="BS158" s="226" t="str">
        <f t="shared" si="975"/>
        <v>NA</v>
      </c>
      <c r="BT158" s="55">
        <f t="shared" ref="BT158" si="986">BR158</f>
        <v>0</v>
      </c>
      <c r="BU158" s="226" t="str">
        <f t="shared" si="979"/>
        <v>NA</v>
      </c>
      <c r="BV158" s="43" t="str">
        <f t="shared" si="980"/>
        <v>NA</v>
      </c>
      <c r="BW158" s="621"/>
      <c r="BX158" s="621"/>
      <c r="BY158"/>
      <c r="BZ158"/>
      <c r="CA158"/>
      <c r="CB158"/>
      <c r="CC158"/>
      <c r="CD158"/>
    </row>
    <row r="159" spans="2:82" s="616" customFormat="1" ht="12.75" customHeight="1" x14ac:dyDescent="0.2">
      <c r="B159" s="42" t="s">
        <v>70</v>
      </c>
      <c r="C159" s="15"/>
      <c r="D159" s="623"/>
      <c r="E159" s="15"/>
      <c r="F159" s="623"/>
      <c r="G159" s="15"/>
      <c r="H159" s="623"/>
      <c r="I159" s="15"/>
      <c r="J159" s="623"/>
      <c r="K159" s="15"/>
      <c r="L159" s="623"/>
      <c r="M159" s="15"/>
      <c r="N159" s="620"/>
      <c r="O159" s="691">
        <f>SUM(O154:O158)</f>
        <v>336200</v>
      </c>
      <c r="P159" s="9" t="str">
        <f t="shared" si="952"/>
        <v>NA</v>
      </c>
      <c r="Q159" s="691">
        <f>SUM(Q154:Q158)</f>
        <v>342700</v>
      </c>
      <c r="R159" s="9" t="str">
        <f t="shared" si="953"/>
        <v>NA</v>
      </c>
      <c r="S159" s="691">
        <f>SUM(S154:S158)</f>
        <v>355200</v>
      </c>
      <c r="T159" s="9" t="str">
        <f t="shared" si="954"/>
        <v>NA</v>
      </c>
      <c r="U159" s="691">
        <f>SUM(U154:U158)</f>
        <v>359600</v>
      </c>
      <c r="V159" s="9" t="str">
        <f t="shared" si="955"/>
        <v>NA</v>
      </c>
      <c r="W159" s="691">
        <f>SUM(W154:W158)</f>
        <v>354000</v>
      </c>
      <c r="X159" s="9">
        <f t="shared" si="957"/>
        <v>5.2944675788221218</v>
      </c>
      <c r="Y159" s="691">
        <f>SUM(Y154:Y158)</f>
        <v>360800</v>
      </c>
      <c r="Z159" s="9">
        <f t="shared" si="958"/>
        <v>5.2815873942223561</v>
      </c>
      <c r="AA159" s="691">
        <f>SUM(AA154:AA158)</f>
        <v>368300</v>
      </c>
      <c r="AB159" s="9">
        <f t="shared" si="959"/>
        <v>3.6880630630630691</v>
      </c>
      <c r="AC159" s="691">
        <f>SUM(AC154:AC158)</f>
        <v>382800</v>
      </c>
      <c r="AD159" s="9">
        <f t="shared" si="960"/>
        <v>6.4516129032257936</v>
      </c>
      <c r="AE159" s="691">
        <f>SUM(AE154:AE158)</f>
        <v>397300</v>
      </c>
      <c r="AF159" s="9">
        <f t="shared" si="961"/>
        <v>12.2316384180791</v>
      </c>
      <c r="AG159" s="691">
        <f>SUM(AG154:AG158)</f>
        <v>390500</v>
      </c>
      <c r="AH159" s="9">
        <f t="shared" si="962"/>
        <v>8.2317073170731732</v>
      </c>
      <c r="AI159" s="691">
        <f>SUM(AI154:AI158)</f>
        <v>403000</v>
      </c>
      <c r="AJ159" s="9">
        <f t="shared" si="963"/>
        <v>9.4216671191963002</v>
      </c>
      <c r="AK159" s="691">
        <f>SUM(AK154:AK158)</f>
        <v>410400</v>
      </c>
      <c r="AL159" s="9">
        <f t="shared" si="964"/>
        <v>7.210031347962385</v>
      </c>
      <c r="AM159" s="691">
        <f>SUM(AM154:AM158)</f>
        <v>423300</v>
      </c>
      <c r="AN159" s="9">
        <f t="shared" si="965"/>
        <v>6.5441731688899978</v>
      </c>
      <c r="AO159" s="691">
        <f>SUM(AO154:AO158)</f>
        <v>430900</v>
      </c>
      <c r="AP159" s="9">
        <f t="shared" si="966"/>
        <v>10.345710627400777</v>
      </c>
      <c r="AQ159" s="691">
        <f>SUM(AQ154:AQ158)</f>
        <v>428436.43</v>
      </c>
      <c r="AR159" s="9">
        <f t="shared" si="968"/>
        <v>6.3117692307692437</v>
      </c>
      <c r="AS159" s="691">
        <f>SUM(AS154:AS158)</f>
        <v>435155.562163</v>
      </c>
      <c r="AT159" s="9">
        <f t="shared" si="970"/>
        <v>6.0320570572611985</v>
      </c>
      <c r="AU159" s="691">
        <f>SUM(AU154:AU158)</f>
        <v>442013.47748134832</v>
      </c>
      <c r="AV159" s="9">
        <f t="shared" si="972"/>
        <v>4.4208545904437244</v>
      </c>
      <c r="AW159" s="691">
        <f>SUM(AW154:AW158)</f>
        <v>448200.19363976794</v>
      </c>
      <c r="AX159" s="9">
        <f t="shared" si="974"/>
        <v>4.014897572468783</v>
      </c>
      <c r="AY159" s="356"/>
      <c r="AZ159" s="618"/>
      <c r="BA159" s="620"/>
      <c r="BB159" s="55"/>
      <c r="BC159" s="226" t="str">
        <f>IF(ISERROR(BB159/#REF!),"NA",IF(OR(BB159/#REF!&gt;2,BB159/#REF!&lt;0.5),"NM",BB159/#REF!*100-100))</f>
        <v>NA</v>
      </c>
      <c r="BD159" s="908">
        <f>Q159</f>
        <v>342700</v>
      </c>
      <c r="BE159" s="226" t="str">
        <f t="shared" si="975"/>
        <v>NA</v>
      </c>
      <c r="BF159" s="55">
        <f>BF154+BF155+BF156+BF157+BF158</f>
        <v>360800</v>
      </c>
      <c r="BG159" s="226">
        <f t="shared" si="975"/>
        <v>5.2815873942223561</v>
      </c>
      <c r="BH159" s="55">
        <f>BH154+BH155+BH156+BH157+BH158</f>
        <v>390500</v>
      </c>
      <c r="BI159" s="226">
        <f t="shared" si="975"/>
        <v>8.2317073170731732</v>
      </c>
      <c r="BJ159" s="55">
        <f>BJ154+BJ155+BJ156+BJ157+BJ158</f>
        <v>430900</v>
      </c>
      <c r="BK159" s="226">
        <f t="shared" si="975"/>
        <v>10.345710627400777</v>
      </c>
      <c r="BL159" s="55">
        <f>BL154+BL155+BL156+BL157+BL158</f>
        <v>448200.19363976788</v>
      </c>
      <c r="BM159" s="226">
        <f t="shared" si="975"/>
        <v>4.0148975724687546</v>
      </c>
      <c r="BN159" s="55">
        <f>SUM(BN154:BN158)</f>
        <v>474495.83581947623</v>
      </c>
      <c r="BO159" s="226">
        <f t="shared" si="975"/>
        <v>5.8669412804499927</v>
      </c>
      <c r="BP159" s="55">
        <f>SUM(BP154:BP158)</f>
        <v>503091.79249286512</v>
      </c>
      <c r="BQ159" s="226">
        <f t="shared" si="975"/>
        <v>6.0265980256712481</v>
      </c>
      <c r="BR159" s="55">
        <f>SUM(BR154:BR158)</f>
        <v>534074.02687139949</v>
      </c>
      <c r="BS159" s="226">
        <f t="shared" si="975"/>
        <v>6.1583660955815986</v>
      </c>
      <c r="BT159" s="55">
        <f>SUM(BT154:BT158)</f>
        <v>567543.24165786698</v>
      </c>
      <c r="BU159" s="226">
        <f t="shared" si="979"/>
        <v>6.2667744736679651</v>
      </c>
      <c r="BV159" s="43">
        <f t="shared" si="980"/>
        <v>5.663378423564458</v>
      </c>
      <c r="BW159" s="621"/>
      <c r="BX159" s="621"/>
      <c r="BY159"/>
      <c r="BZ159"/>
      <c r="CA159"/>
      <c r="CB159"/>
      <c r="CC159"/>
      <c r="CD159"/>
    </row>
    <row r="160" spans="2:82" s="616" customFormat="1" ht="12.75" hidden="1" customHeight="1" outlineLevel="1" x14ac:dyDescent="0.2">
      <c r="B160" s="819" t="s">
        <v>648</v>
      </c>
      <c r="C160" s="15"/>
      <c r="D160" s="623"/>
      <c r="E160" s="15"/>
      <c r="F160" s="623"/>
      <c r="G160" s="15"/>
      <c r="H160" s="623"/>
      <c r="I160" s="15"/>
      <c r="J160" s="623"/>
      <c r="K160" s="15"/>
      <c r="L160" s="623"/>
      <c r="M160" s="15"/>
      <c r="N160" s="620"/>
      <c r="O160" s="691"/>
      <c r="P160" s="9"/>
      <c r="Q160" s="691"/>
      <c r="R160" s="9"/>
      <c r="S160" s="691"/>
      <c r="T160" s="9"/>
      <c r="U160" s="691"/>
      <c r="V160" s="9"/>
      <c r="W160" s="691"/>
      <c r="X160" s="9"/>
      <c r="Y160" s="820">
        <f>Y159-(SUM(Y154:Y158))</f>
        <v>0</v>
      </c>
      <c r="Z160" s="9"/>
      <c r="AA160" s="820">
        <f>AA159-(SUM(AA154:AA158))</f>
        <v>0</v>
      </c>
      <c r="AB160" s="9"/>
      <c r="AC160" s="820">
        <f>AC159-(SUM(AC154:AC158))</f>
        <v>0</v>
      </c>
      <c r="AD160" s="9"/>
      <c r="AE160" s="820">
        <f>AE159-(SUM(AE154:AE158))</f>
        <v>0</v>
      </c>
      <c r="AF160" s="9"/>
      <c r="AG160" s="820">
        <f>AG159-(SUM(AG154:AG158))</f>
        <v>0</v>
      </c>
      <c r="AH160" s="9"/>
      <c r="AI160" s="820">
        <f>AI159-(SUM(AI154:AI158))</f>
        <v>0</v>
      </c>
      <c r="AJ160" s="9"/>
      <c r="AK160" s="820">
        <f>AK159-(SUM(AK154:AK158))</f>
        <v>0</v>
      </c>
      <c r="AL160" s="9"/>
      <c r="AM160" s="820">
        <f>AM159-(SUM(AM154:AM158))</f>
        <v>0</v>
      </c>
      <c r="AN160" s="9"/>
      <c r="AO160" s="820">
        <f>AO159-(SUM(AO154:AO158))</f>
        <v>0</v>
      </c>
      <c r="AP160" s="9"/>
      <c r="AQ160" s="820">
        <f>AQ159-(SUM(AQ154:AQ158))</f>
        <v>0</v>
      </c>
      <c r="AR160" s="9"/>
      <c r="AS160" s="820">
        <f>AS159-(SUM(AS154:AS158))</f>
        <v>0</v>
      </c>
      <c r="AT160" s="9"/>
      <c r="AU160" s="820">
        <f>AU159-(SUM(AU154:AU158))</f>
        <v>0</v>
      </c>
      <c r="AV160" s="9"/>
      <c r="AW160" s="820">
        <f>AW159-(SUM(AW154:AW158))</f>
        <v>0</v>
      </c>
      <c r="AX160" s="9"/>
      <c r="AY160" s="356"/>
      <c r="AZ160" s="618"/>
      <c r="BA160" s="620"/>
      <c r="BB160" s="55"/>
      <c r="BC160" s="226"/>
      <c r="BD160" s="820">
        <f>PGI_EoPAUM _4Q14-BD159</f>
        <v>0</v>
      </c>
      <c r="BE160" s="226"/>
      <c r="BF160" s="820">
        <f>PGI_EoPAUM _4Q15-BF159</f>
        <v>0</v>
      </c>
      <c r="BG160" s="226"/>
      <c r="BH160" s="820">
        <f>PGI_EoPAUM _4Q16-BH159</f>
        <v>0</v>
      </c>
      <c r="BI160" s="226"/>
      <c r="BJ160" s="820">
        <f>PGI_EoPAUM _4Q17-BJ159</f>
        <v>0</v>
      </c>
      <c r="BK160" s="226"/>
      <c r="BL160" s="820">
        <f>PGI_EoPAUM _4Q17-BL159</f>
        <v>-17300.19363976788</v>
      </c>
      <c r="BM160" s="226"/>
      <c r="BN160" s="55"/>
      <c r="BO160" s="226"/>
      <c r="BP160" s="55"/>
      <c r="BQ160" s="226"/>
      <c r="BR160" s="55"/>
      <c r="BS160" s="226"/>
      <c r="BT160" s="55"/>
      <c r="BU160" s="226"/>
      <c r="BV160" s="43"/>
      <c r="BW160" s="621"/>
      <c r="BX160" s="621"/>
      <c r="BY160"/>
      <c r="BZ160"/>
      <c r="CA160"/>
      <c r="CB160"/>
      <c r="CC160"/>
      <c r="CD160"/>
    </row>
    <row r="161" spans="2:82" s="616" customFormat="1" ht="12.75" customHeight="1" collapsed="1" x14ac:dyDescent="0.2">
      <c r="B161" s="42" t="s">
        <v>71</v>
      </c>
      <c r="C161" s="15"/>
      <c r="D161" s="623"/>
      <c r="E161" s="15"/>
      <c r="F161" s="623"/>
      <c r="G161" s="15"/>
      <c r="H161" s="623"/>
      <c r="I161" s="15"/>
      <c r="J161" s="623"/>
      <c r="K161" s="15"/>
      <c r="L161" s="623"/>
      <c r="M161" s="15"/>
      <c r="N161" s="620"/>
      <c r="O161" s="691">
        <f>AVERAGE(O159,O154)</f>
        <v>336750</v>
      </c>
      <c r="P161" s="9" t="str">
        <f t="shared" si="952"/>
        <v>NA</v>
      </c>
      <c r="Q161" s="691">
        <f>AVERAGE(Q159,Q154)</f>
        <v>339450</v>
      </c>
      <c r="R161" s="9" t="str">
        <f t="shared" si="953"/>
        <v>NA</v>
      </c>
      <c r="S161" s="691">
        <f>AVERAGE(S159,S154)</f>
        <v>348950</v>
      </c>
      <c r="T161" s="9" t="str">
        <f t="shared" si="954"/>
        <v>NA</v>
      </c>
      <c r="U161" s="691">
        <f>AVERAGE(U159,U154)</f>
        <v>357400</v>
      </c>
      <c r="V161" s="9" t="str">
        <f t="shared" si="955"/>
        <v>NA</v>
      </c>
      <c r="W161" s="691">
        <f>AVERAGE(W159,W154)</f>
        <v>356800</v>
      </c>
      <c r="X161" s="9">
        <f t="shared" si="957"/>
        <v>5.9539717891611019</v>
      </c>
      <c r="Y161" s="691">
        <f>AVERAGE(Y159,Y154)</f>
        <v>357400</v>
      </c>
      <c r="Z161" s="9">
        <f t="shared" si="958"/>
        <v>5.2879658270732079</v>
      </c>
      <c r="AA161" s="691">
        <f>(0.95*AA154)+(0.5*(AA155+AA156))</f>
        <v>343110</v>
      </c>
      <c r="AB161" s="9">
        <f t="shared" si="959"/>
        <v>-1.673592205186992</v>
      </c>
      <c r="AC161" s="691">
        <f>AVERAGE(AC159,AC154)</f>
        <v>375550</v>
      </c>
      <c r="AD161" s="9">
        <f t="shared" si="960"/>
        <v>5.0783435926133222</v>
      </c>
      <c r="AE161" s="691">
        <f>AVERAGE(AE159,AE154)</f>
        <v>390050</v>
      </c>
      <c r="AF161" s="9">
        <f t="shared" si="961"/>
        <v>9.3189461883408171</v>
      </c>
      <c r="AG161" s="691">
        <f>AVERAGE(AG159,AG154)</f>
        <v>393900</v>
      </c>
      <c r="AH161" s="9">
        <f t="shared" si="962"/>
        <v>10.212646894236158</v>
      </c>
      <c r="AI161" s="691">
        <f>AVERAGE(AI159,AI154)</f>
        <v>396750</v>
      </c>
      <c r="AJ161" s="9">
        <f t="shared" ref="AJ161" si="987">IF(ISERROR(AI161/AA161),"NA",IF(OR(AI161/AA161&gt;2,AI161/AA161&lt;0.5),"NM",AI161/AA161*100-100))</f>
        <v>15.633470315642214</v>
      </c>
      <c r="AK161" s="691">
        <f>AVERAGE(AK159,AK154)</f>
        <v>406700</v>
      </c>
      <c r="AL161" s="9">
        <f t="shared" ref="AL161" si="988">IF(ISERROR(AK161/AC161),"NA",IF(OR(AK161/AC161&gt;2,AK161/AC161&lt;0.5),"NM",AK161/AC161*100-100))</f>
        <v>8.2945013979496736</v>
      </c>
      <c r="AM161" s="691">
        <f>AVERAGE(AM159,AM154)</f>
        <v>416850</v>
      </c>
      <c r="AN161" s="9">
        <f t="shared" ref="AN161" si="989">IF(ISERROR(AM161/AE161),"NA",IF(OR(AM161/AE161&gt;2,AM161/AE161&lt;0.5),"NM",AM161/AE161*100-100))</f>
        <v>6.8709139853864798</v>
      </c>
      <c r="AO161" s="691">
        <f>AVERAGE(AO159,AO154)</f>
        <v>427100</v>
      </c>
      <c r="AP161" s="9">
        <f t="shared" ref="AP161" si="990">IF(ISERROR(AO161/AG161),"NA",IF(OR(AO161/AG161&gt;2,AO161/AG161&lt;0.5),"NM",AO161/AG161*100-100))</f>
        <v>8.4285351612084298</v>
      </c>
      <c r="AQ161" s="691">
        <f>AVERAGE(AQ159,AQ154)</f>
        <v>429668.21499999997</v>
      </c>
      <c r="AR161" s="9">
        <f t="shared" ref="AR161" si="991">IF(ISERROR(AQ161/AI161),"NA",IF(OR(AQ161/AI161&gt;2,AQ161/AI161&lt;0.5),"NM",AQ161/AI161*100-100))</f>
        <v>8.2969666036546812</v>
      </c>
      <c r="AS161" s="691">
        <f>AVERAGE(AS159,AS154)</f>
        <v>431795.99608149996</v>
      </c>
      <c r="AT161" s="9">
        <f t="shared" ref="AT161" si="992">IF(ISERROR(AS161/AK161),"NA",IF(OR(AS161/AK161&gt;2,AS161/AK161&lt;0.5),"NM",AS161/AK161*100-100))</f>
        <v>6.1706407871895692</v>
      </c>
      <c r="AU161" s="691">
        <f>AVERAGE(AU159,AU154)</f>
        <v>438584.51982217416</v>
      </c>
      <c r="AV161" s="9">
        <f t="shared" ref="AV161" si="993">IF(ISERROR(AU161/AM161),"NA",IF(OR(AU161/AM161&gt;2,AU161/AM161&lt;0.5),"NM",AU161/AM161*100-100))</f>
        <v>5.2139906014571551</v>
      </c>
      <c r="AW161" s="691">
        <f>AVERAGE(AW159,AW154)</f>
        <v>445106.83556055813</v>
      </c>
      <c r="AX161" s="9">
        <f t="shared" ref="AX161" si="994">IF(ISERROR(AW161/AO161),"NA",IF(OR(AW161/AO161&gt;2,AW161/AO161&lt;0.5),"NM",AW161/AO161*100-100))</f>
        <v>4.2160701382716326</v>
      </c>
      <c r="AY161" s="356"/>
      <c r="AZ161" s="618"/>
      <c r="BA161" s="620"/>
      <c r="BB161" s="55"/>
      <c r="BC161" s="226" t="str">
        <f>IF(ISERROR(BB161/#REF!),"NA",IF(OR(BB161/#REF!&gt;2,BB161/#REF!&lt;0.5),"NM",BB161/#REF!*100-100))</f>
        <v>NA</v>
      </c>
      <c r="BD161" s="908"/>
      <c r="BE161" s="226" t="str">
        <f t="shared" si="975"/>
        <v>NA</v>
      </c>
      <c r="BF161" s="55">
        <f>AVERAGE(S161,U161,W161,Y161)</f>
        <v>355137.5</v>
      </c>
      <c r="BG161" s="226" t="str">
        <f t="shared" si="975"/>
        <v>NA</v>
      </c>
      <c r="BH161" s="55">
        <f>AVERAGE(AA161,AC161,AE161,AG161)</f>
        <v>375652.5</v>
      </c>
      <c r="BI161" s="226">
        <f t="shared" si="975"/>
        <v>5.7766358100735715</v>
      </c>
      <c r="BJ161" s="55">
        <f>AVERAGE(AI161,AK161,AM161,AO161)</f>
        <v>411850</v>
      </c>
      <c r="BK161" s="226">
        <f t="shared" si="975"/>
        <v>9.6359002003181047</v>
      </c>
      <c r="BL161" s="55">
        <f>AVERAGE(AQ161,AS161,AU161,AW161)</f>
        <v>436288.89161605807</v>
      </c>
      <c r="BM161" s="226">
        <f t="shared" si="975"/>
        <v>5.933930221211142</v>
      </c>
      <c r="BN161" s="55">
        <f>AVERAGE(BN154,BN159)</f>
        <v>461348.01472962205</v>
      </c>
      <c r="BO161" s="226">
        <f t="shared" si="975"/>
        <v>5.7436995520886285</v>
      </c>
      <c r="BP161" s="55">
        <f>AVERAGE(BP154,BP159)</f>
        <v>488793.8141561707</v>
      </c>
      <c r="BQ161" s="226">
        <f t="shared" si="975"/>
        <v>5.9490446583223076</v>
      </c>
      <c r="BR161" s="55">
        <f>AVERAGE(BR154,BR159)</f>
        <v>518582.9096821323</v>
      </c>
      <c r="BS161" s="226">
        <f t="shared" si="975"/>
        <v>6.094409270990468</v>
      </c>
      <c r="BT161" s="55">
        <f>AVERAGE(BT154,BT159)</f>
        <v>550808.63426463329</v>
      </c>
      <c r="BU161" s="226">
        <f t="shared" ref="BU161" si="995">IF(ISERROR(BT161/BR161),"NA",IF(OR(BT161/BR161&gt;2,BT161/BR161&lt;0.5),"NM",BT161/BR161*100-100))</f>
        <v>6.2141894730495295</v>
      </c>
      <c r="BV161" s="43">
        <f>IF(ISERROR(((BT161/BJ161)^0.2-1)*100),"NA",IF((((BT161/BJ161)^0.2-1)*100)&gt;100,"NM",IF((((BT161/BJ161)^0.2-1)*100)&lt;-50,"NM",((BT161/BJ161)^0.2-1)*100)))</f>
        <v>5.9869351728340403</v>
      </c>
      <c r="BW161" s="621"/>
      <c r="BX161" s="621"/>
      <c r="BY161"/>
      <c r="BZ161"/>
      <c r="CA161"/>
      <c r="CB161"/>
      <c r="CC161"/>
      <c r="CD161"/>
    </row>
    <row r="162" spans="2:82" s="616" customFormat="1" ht="12.75" customHeight="1" x14ac:dyDescent="0.2">
      <c r="B162" s="42"/>
      <c r="C162" s="15"/>
      <c r="D162" s="623"/>
      <c r="E162" s="15"/>
      <c r="F162" s="623"/>
      <c r="G162" s="15"/>
      <c r="H162" s="623"/>
      <c r="I162" s="15"/>
      <c r="J162" s="623"/>
      <c r="K162" s="15"/>
      <c r="L162" s="623"/>
      <c r="M162" s="15"/>
      <c r="N162" s="620"/>
      <c r="O162" s="52"/>
      <c r="P162" s="40"/>
      <c r="Q162" s="52"/>
      <c r="R162" s="40"/>
      <c r="S162" s="52"/>
      <c r="T162" s="40"/>
      <c r="U162" s="52"/>
      <c r="V162" s="40"/>
      <c r="W162" s="52"/>
      <c r="X162" s="40"/>
      <c r="Y162" s="52"/>
      <c r="Z162" s="40"/>
      <c r="AA162" s="52"/>
      <c r="AB162" s="40"/>
      <c r="AC162" s="52"/>
      <c r="AD162" s="40"/>
      <c r="AE162" s="52"/>
      <c r="AF162" s="40"/>
      <c r="AG162" s="52"/>
      <c r="AH162" s="620"/>
      <c r="AI162" s="52"/>
      <c r="AJ162" s="620"/>
      <c r="AK162" s="52"/>
      <c r="AL162" s="620"/>
      <c r="AM162" s="52"/>
      <c r="AN162" s="620"/>
      <c r="AO162" s="52"/>
      <c r="AP162" s="620"/>
      <c r="AQ162" s="52"/>
      <c r="AR162" s="620"/>
      <c r="AS162" s="52"/>
      <c r="AT162" s="620"/>
      <c r="AU162" s="52"/>
      <c r="AV162" s="620"/>
      <c r="AW162" s="52"/>
      <c r="AX162" s="620"/>
      <c r="AY162" s="356"/>
      <c r="AZ162" s="618"/>
      <c r="BA162" s="620"/>
      <c r="BB162" s="55"/>
      <c r="BC162" s="55"/>
      <c r="BD162" s="908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43"/>
      <c r="BW162" s="621"/>
      <c r="BX162" s="621"/>
      <c r="BY162"/>
      <c r="BZ162"/>
      <c r="CA162"/>
      <c r="CB162"/>
      <c r="CC162"/>
      <c r="CD162"/>
    </row>
    <row r="163" spans="2:82" s="616" customFormat="1" ht="12.75" customHeight="1" x14ac:dyDescent="0.2">
      <c r="B163" s="42" t="s">
        <v>721</v>
      </c>
      <c r="C163" s="15"/>
      <c r="D163" s="623"/>
      <c r="E163" s="15"/>
      <c r="F163" s="623"/>
      <c r="G163" s="15"/>
      <c r="H163" s="623"/>
      <c r="I163" s="15"/>
      <c r="J163" s="623"/>
      <c r="K163" s="15"/>
      <c r="L163" s="623"/>
      <c r="M163" s="15"/>
      <c r="N163" s="620"/>
      <c r="O163" s="52"/>
      <c r="P163" s="40"/>
      <c r="Q163" s="52"/>
      <c r="R163" s="40"/>
      <c r="S163" s="52"/>
      <c r="T163" s="40"/>
      <c r="U163" s="653"/>
      <c r="V163" s="653"/>
      <c r="W163" s="653"/>
      <c r="X163" s="653"/>
      <c r="Y163" s="653"/>
      <c r="Z163" s="653"/>
      <c r="AA163" s="653"/>
      <c r="AB163" s="653"/>
      <c r="AC163" s="653"/>
      <c r="AD163" s="653"/>
      <c r="AE163" s="653"/>
      <c r="AF163" s="653"/>
      <c r="AG163" s="653">
        <v>143100</v>
      </c>
      <c r="AH163" s="653"/>
      <c r="AI163" s="653">
        <v>152900</v>
      </c>
      <c r="AJ163" s="653"/>
      <c r="AK163" s="653">
        <v>158400</v>
      </c>
      <c r="AL163" s="653"/>
      <c r="AM163" s="653">
        <v>166700</v>
      </c>
      <c r="AN163" s="620"/>
      <c r="AO163" s="653">
        <v>173900</v>
      </c>
      <c r="AP163" s="620"/>
      <c r="AQ163" s="653">
        <f>0.4*AQ159</f>
        <v>171374.57200000001</v>
      </c>
      <c r="AR163" s="620"/>
      <c r="AS163" s="653">
        <f>0.4*AS159</f>
        <v>174062.2248652</v>
      </c>
      <c r="AT163" s="620"/>
      <c r="AU163" s="653">
        <f>0.4*AU159</f>
        <v>176805.39099253935</v>
      </c>
      <c r="AV163" s="620"/>
      <c r="AW163" s="653">
        <f>0.4*AW159</f>
        <v>179280.07745590719</v>
      </c>
      <c r="AX163" s="620"/>
      <c r="AY163" s="356"/>
      <c r="AZ163" s="618"/>
      <c r="BA163" s="620"/>
      <c r="BB163" s="55"/>
      <c r="BC163" s="55"/>
      <c r="BD163" s="908"/>
      <c r="BE163" s="55"/>
      <c r="BF163" s="55"/>
      <c r="BG163" s="55"/>
      <c r="BH163" s="55">
        <f>AG163</f>
        <v>143100</v>
      </c>
      <c r="BI163" s="55"/>
      <c r="BJ163" s="55">
        <f>AO163</f>
        <v>173900</v>
      </c>
      <c r="BK163" s="55"/>
      <c r="BL163" s="55">
        <f>AW163</f>
        <v>179280.07745590719</v>
      </c>
      <c r="BM163" s="55"/>
      <c r="BN163" s="653">
        <f>0.4*BN159</f>
        <v>189798.33432779051</v>
      </c>
      <c r="BO163" s="55"/>
      <c r="BP163" s="653">
        <f>0.4*BP159</f>
        <v>201236.71699714605</v>
      </c>
      <c r="BQ163" s="55"/>
      <c r="BR163" s="653">
        <f>0.4*BR159</f>
        <v>213629.61074855982</v>
      </c>
      <c r="BS163" s="55"/>
      <c r="BT163" s="653">
        <f>0.4*BT159</f>
        <v>227017.29666314682</v>
      </c>
      <c r="BU163" s="55"/>
      <c r="BV163" s="43"/>
      <c r="BW163" s="621"/>
      <c r="BX163" s="621"/>
      <c r="BY163"/>
      <c r="BZ163"/>
      <c r="CA163"/>
      <c r="CB163"/>
      <c r="CC163"/>
      <c r="CD163"/>
    </row>
    <row r="164" spans="2:82" s="616" customFormat="1" ht="12.75" customHeight="1" x14ac:dyDescent="0.2">
      <c r="B164" s="42" t="s">
        <v>722</v>
      </c>
      <c r="C164" s="15"/>
      <c r="D164" s="623"/>
      <c r="E164" s="15"/>
      <c r="F164" s="623"/>
      <c r="G164" s="15"/>
      <c r="H164" s="623"/>
      <c r="I164" s="15"/>
      <c r="J164" s="623"/>
      <c r="K164" s="15"/>
      <c r="L164" s="623"/>
      <c r="M164" s="15"/>
      <c r="N164" s="620"/>
      <c r="O164" s="52"/>
      <c r="P164" s="40"/>
      <c r="Q164" s="52"/>
      <c r="R164" s="40"/>
      <c r="S164" s="52"/>
      <c r="T164" s="40"/>
      <c r="U164" s="653"/>
      <c r="V164" s="653"/>
      <c r="W164" s="653"/>
      <c r="X164" s="653"/>
      <c r="Y164" s="653"/>
      <c r="Z164" s="653"/>
      <c r="AA164" s="653"/>
      <c r="AB164" s="653"/>
      <c r="AC164" s="653"/>
      <c r="AD164" s="653"/>
      <c r="AE164" s="653"/>
      <c r="AF164" s="653"/>
      <c r="AG164" s="653">
        <v>184300</v>
      </c>
      <c r="AH164" s="653"/>
      <c r="AI164" s="653">
        <v>184400</v>
      </c>
      <c r="AJ164" s="653"/>
      <c r="AK164" s="653">
        <v>184600</v>
      </c>
      <c r="AL164" s="653"/>
      <c r="AM164" s="653">
        <v>190500</v>
      </c>
      <c r="AN164" s="620"/>
      <c r="AO164" s="653">
        <v>191800</v>
      </c>
      <c r="AP164" s="620"/>
      <c r="AQ164" s="653">
        <f>0.45*AQ159</f>
        <v>192796.39350000001</v>
      </c>
      <c r="AR164" s="620"/>
      <c r="AS164" s="653">
        <f>0.45*AS159</f>
        <v>195820.00297335</v>
      </c>
      <c r="AT164" s="620"/>
      <c r="AU164" s="653">
        <f>0.45*AU159</f>
        <v>198906.06486660676</v>
      </c>
      <c r="AV164" s="620"/>
      <c r="AW164" s="653">
        <f>0.45*AW159</f>
        <v>201690.08713789558</v>
      </c>
      <c r="AX164" s="620"/>
      <c r="AY164" s="356"/>
      <c r="AZ164" s="618"/>
      <c r="BA164" s="620"/>
      <c r="BB164" s="55"/>
      <c r="BC164" s="55"/>
      <c r="BD164" s="908"/>
      <c r="BE164" s="55"/>
      <c r="BF164" s="55"/>
      <c r="BG164" s="55"/>
      <c r="BH164" s="55">
        <f>AG164</f>
        <v>184300</v>
      </c>
      <c r="BI164" s="55"/>
      <c r="BJ164" s="55">
        <f>AO164</f>
        <v>191800</v>
      </c>
      <c r="BK164" s="55"/>
      <c r="BL164" s="55">
        <f>AW164</f>
        <v>201690.08713789558</v>
      </c>
      <c r="BM164" s="55"/>
      <c r="BN164" s="653">
        <f>0.45*BN159</f>
        <v>213523.12611876431</v>
      </c>
      <c r="BO164" s="55"/>
      <c r="BP164" s="653">
        <f>0.45*BP159</f>
        <v>226391.30662178932</v>
      </c>
      <c r="BQ164" s="55"/>
      <c r="BR164" s="653">
        <f>0.45*BR159</f>
        <v>240333.31209212978</v>
      </c>
      <c r="BS164" s="55"/>
      <c r="BT164" s="653">
        <f>0.45*BT159</f>
        <v>255394.45874604015</v>
      </c>
      <c r="BU164" s="55"/>
      <c r="BV164" s="43"/>
      <c r="BW164" s="621"/>
      <c r="BX164" s="621"/>
      <c r="BY164"/>
      <c r="BZ164"/>
      <c r="CA164"/>
      <c r="CB164"/>
      <c r="CC164"/>
      <c r="CD164"/>
    </row>
    <row r="165" spans="2:82" s="616" customFormat="1" ht="12.75" customHeight="1" x14ac:dyDescent="0.2">
      <c r="B165" s="42" t="s">
        <v>723</v>
      </c>
      <c r="C165" s="15"/>
      <c r="D165" s="623"/>
      <c r="E165" s="15"/>
      <c r="F165" s="623"/>
      <c r="G165" s="15"/>
      <c r="H165" s="623"/>
      <c r="I165" s="15"/>
      <c r="J165" s="623"/>
      <c r="K165" s="15"/>
      <c r="L165" s="623"/>
      <c r="M165" s="15"/>
      <c r="N165" s="620"/>
      <c r="O165" s="52"/>
      <c r="P165" s="40"/>
      <c r="Q165" s="52"/>
      <c r="R165" s="40"/>
      <c r="S165" s="52"/>
      <c r="T165" s="40"/>
      <c r="U165" s="653"/>
      <c r="V165" s="653"/>
      <c r="W165" s="653"/>
      <c r="X165" s="653"/>
      <c r="Y165" s="653"/>
      <c r="Z165" s="653"/>
      <c r="AA165" s="653"/>
      <c r="AB165" s="653"/>
      <c r="AC165" s="653"/>
      <c r="AD165" s="653"/>
      <c r="AE165" s="653"/>
      <c r="AF165" s="653"/>
      <c r="AG165" s="653">
        <f>59100+4000</f>
        <v>63100</v>
      </c>
      <c r="AH165" s="653"/>
      <c r="AI165" s="653">
        <f>62000+3700</f>
        <v>65700</v>
      </c>
      <c r="AJ165" s="653"/>
      <c r="AK165" s="653">
        <f>63000+4400</f>
        <v>67400</v>
      </c>
      <c r="AL165" s="653"/>
      <c r="AM165" s="653">
        <f>62000+4100</f>
        <v>66100</v>
      </c>
      <c r="AN165" s="620"/>
      <c r="AO165" s="653">
        <f>61000+4200</f>
        <v>65200</v>
      </c>
      <c r="AP165" s="620"/>
      <c r="AQ165" s="653">
        <f>AQ159-AQ164-AQ163</f>
        <v>64265.464499999973</v>
      </c>
      <c r="AR165" s="620"/>
      <c r="AS165" s="653">
        <f>AS159-AS164-AS163</f>
        <v>65273.334324449999</v>
      </c>
      <c r="AT165" s="620"/>
      <c r="AU165" s="653">
        <f>AU159-AU164-AU163</f>
        <v>66302.021622202214</v>
      </c>
      <c r="AV165" s="620"/>
      <c r="AW165" s="653">
        <f>AW159-AW164-AW163</f>
        <v>67230.029045965173</v>
      </c>
      <c r="AX165" s="620"/>
      <c r="AY165" s="356"/>
      <c r="AZ165" s="618"/>
      <c r="BA165" s="620"/>
      <c r="BB165" s="55"/>
      <c r="BC165" s="55"/>
      <c r="BD165" s="908"/>
      <c r="BE165" s="55"/>
      <c r="BF165" s="55"/>
      <c r="BG165" s="55"/>
      <c r="BH165" s="55">
        <f>AG165</f>
        <v>63100</v>
      </c>
      <c r="BI165" s="55"/>
      <c r="BJ165" s="55">
        <f>AO165</f>
        <v>65200</v>
      </c>
      <c r="BK165" s="55"/>
      <c r="BL165" s="55">
        <f>AW165</f>
        <v>67230.029045965173</v>
      </c>
      <c r="BM165" s="55"/>
      <c r="BN165" s="653">
        <f>BN159-BN164-BN163</f>
        <v>71174.375372921408</v>
      </c>
      <c r="BO165" s="55"/>
      <c r="BP165" s="653">
        <f>BP159-BP164-BP163</f>
        <v>75463.768873929715</v>
      </c>
      <c r="BQ165" s="55"/>
      <c r="BR165" s="653">
        <f>BR159-BR164-BR163</f>
        <v>80111.104030709888</v>
      </c>
      <c r="BS165" s="55"/>
      <c r="BT165" s="653">
        <f>BT159-BT164-BT163</f>
        <v>85131.486248680041</v>
      </c>
      <c r="BU165" s="55"/>
      <c r="BV165" s="43"/>
      <c r="BW165" s="621"/>
      <c r="BX165" s="621"/>
      <c r="BY165"/>
      <c r="BZ165"/>
      <c r="CA165"/>
      <c r="CB165"/>
      <c r="CC165"/>
      <c r="CD165"/>
    </row>
    <row r="166" spans="2:82" s="616" customFormat="1" ht="12.75" customHeight="1" x14ac:dyDescent="0.2">
      <c r="B166" s="42"/>
      <c r="C166" s="15"/>
      <c r="D166" s="623"/>
      <c r="E166" s="15"/>
      <c r="F166" s="623"/>
      <c r="G166" s="15"/>
      <c r="H166" s="623"/>
      <c r="I166" s="15"/>
      <c r="J166" s="623"/>
      <c r="K166" s="15"/>
      <c r="L166" s="623"/>
      <c r="M166" s="15"/>
      <c r="N166" s="620"/>
      <c r="O166" s="52"/>
      <c r="P166" s="40"/>
      <c r="Q166" s="52"/>
      <c r="R166" s="40"/>
      <c r="S166" s="52"/>
      <c r="T166" s="40"/>
      <c r="U166" s="52"/>
      <c r="V166" s="40"/>
      <c r="W166" s="52"/>
      <c r="X166" s="40"/>
      <c r="Y166" s="52"/>
      <c r="Z166" s="40"/>
      <c r="AA166" s="52"/>
      <c r="AB166" s="40"/>
      <c r="AC166" s="52"/>
      <c r="AD166" s="40"/>
      <c r="AE166" s="52"/>
      <c r="AF166" s="40"/>
      <c r="AG166" s="52"/>
      <c r="AH166" s="620"/>
      <c r="AI166" s="52"/>
      <c r="AJ166" s="620"/>
      <c r="AK166" s="52"/>
      <c r="AL166" s="620"/>
      <c r="AM166" s="52"/>
      <c r="AN166" s="620"/>
      <c r="AO166" s="52"/>
      <c r="AP166" s="620"/>
      <c r="AQ166" s="52"/>
      <c r="AR166" s="620"/>
      <c r="AS166" s="52"/>
      <c r="AT166" s="620"/>
      <c r="AU166" s="52"/>
      <c r="AV166" s="620"/>
      <c r="AW166" s="52"/>
      <c r="AX166" s="620"/>
      <c r="AY166" s="356"/>
      <c r="AZ166" s="618"/>
      <c r="BA166" s="620"/>
      <c r="BB166" s="55"/>
      <c r="BC166" s="55"/>
      <c r="BD166" s="908"/>
      <c r="BE166" s="55"/>
      <c r="BF166" s="55"/>
      <c r="BG166" s="55"/>
      <c r="BH166" s="55"/>
      <c r="BI166" s="55"/>
      <c r="BJ166" s="55"/>
      <c r="BK166" s="55"/>
      <c r="BL166" s="55"/>
      <c r="BM166" s="55"/>
      <c r="BN166" s="55"/>
      <c r="BO166" s="55"/>
      <c r="BP166" s="55"/>
      <c r="BQ166" s="55"/>
      <c r="BR166" s="55"/>
      <c r="BS166" s="55"/>
      <c r="BT166" s="55"/>
      <c r="BU166" s="55"/>
      <c r="BV166" s="43"/>
      <c r="BW166" s="621"/>
      <c r="BX166" s="621"/>
      <c r="BY166"/>
      <c r="BZ166"/>
      <c r="CA166"/>
      <c r="CB166"/>
      <c r="CC166"/>
      <c r="CD166"/>
    </row>
    <row r="167" spans="2:82" s="616" customFormat="1" ht="12.75" customHeight="1" x14ac:dyDescent="0.2">
      <c r="B167" s="42" t="s">
        <v>72</v>
      </c>
      <c r="C167" s="15"/>
      <c r="D167" s="623"/>
      <c r="E167" s="15"/>
      <c r="F167" s="623"/>
      <c r="G167" s="15"/>
      <c r="H167" s="623"/>
      <c r="I167" s="15"/>
      <c r="J167" s="623"/>
      <c r="K167" s="15"/>
      <c r="L167" s="623"/>
      <c r="M167" s="15"/>
      <c r="N167" s="620"/>
      <c r="O167" s="55">
        <f>+O155+O156</f>
        <v>1700</v>
      </c>
      <c r="P167" s="9" t="str">
        <f>IF(ISERROR(O167/G167),"NA",IF(OR(O167/G167&gt;2,O167/G167&lt;0.5),"NM",O167/G167*100-100))</f>
        <v>NA</v>
      </c>
      <c r="Q167" s="55">
        <f>+Q155+Q156</f>
        <v>1300</v>
      </c>
      <c r="R167" s="9" t="str">
        <f>IF(ISERROR(Q167/I167),"NA",IF(OR(Q167/I167&gt;2,Q167/I167&lt;0.5),"NM",Q167/I167*100-100))</f>
        <v>NA</v>
      </c>
      <c r="S167" s="55">
        <f>+S155+S156</f>
        <v>6900</v>
      </c>
      <c r="T167" s="9" t="str">
        <f>IF(ISERROR(S167/K167),"NA",IF(OR(S167/K167&gt;2,S167/K167&lt;0.5),"NM",S167/K167*100-100))</f>
        <v>NA</v>
      </c>
      <c r="U167" s="55">
        <f>+U155+U156</f>
        <v>4700</v>
      </c>
      <c r="V167" s="9" t="str">
        <f>IF(ISERROR(U167/M167),"NA",IF(OR(U167/M167&gt;2,U167/M167&lt;0.5),"NM",U167/M167*100-100))</f>
        <v>NA</v>
      </c>
      <c r="W167" s="55">
        <f t="shared" ref="W167:Y167" si="996">+W155+W156</f>
        <v>3200</v>
      </c>
      <c r="X167" s="9">
        <f>IF(ISERROR(W167/O167),"NA",IF(OR(W167/O167&gt;2,W167/O167&lt;0.5),"NM",W167/O167*100-100))</f>
        <v>88.235294117647044</v>
      </c>
      <c r="Y167" s="55">
        <f t="shared" si="996"/>
        <v>700</v>
      </c>
      <c r="Z167" s="9">
        <f>IF(ISERROR(Y167/Q167),"NA",IF(OR(Y167/Q167&gt;2,Y167/Q167&lt;0.5),"NM",Y167/Q167*100-100))</f>
        <v>-46.153846153846153</v>
      </c>
      <c r="AA167" s="55">
        <f t="shared" ref="AA167:AC167" si="997">+AA155+AA156</f>
        <v>700</v>
      </c>
      <c r="AB167" s="9" t="str">
        <f>IF(ISERROR(AA167/S167),"NA",IF(OR(AA167/S167&gt;2,AA167/S167&lt;0.5),"NM",AA167/S167*100-100))</f>
        <v>NM</v>
      </c>
      <c r="AC167" s="55">
        <f t="shared" si="997"/>
        <v>5700</v>
      </c>
      <c r="AD167" s="9">
        <f>IF(ISERROR(AC167/U167),"NA",IF(OR(AC167/U167&gt;2,AC167/U167&lt;0.5),"NM",AC167/U167*100-100))</f>
        <v>21.276595744680861</v>
      </c>
      <c r="AE167" s="55">
        <f t="shared" ref="AE167:AG167" si="998">+AE155+AE156</f>
        <v>4200</v>
      </c>
      <c r="AF167" s="9">
        <f t="shared" ref="AF167" si="999">IF(ISERROR(AE167/W167),"NA",IF(OR(AE167/W167&gt;2,AE167/W167&lt;0.5),"NM",AE167/W167*100-100))</f>
        <v>31.25</v>
      </c>
      <c r="AG167" s="55">
        <f t="shared" si="998"/>
        <v>-1600</v>
      </c>
      <c r="AH167" s="9" t="str">
        <f t="shared" ref="AH167" si="1000">IF(ISERROR(AG167/Y167),"NA",IF(OR(AG167/Y167&gt;2,AG167/Y167&lt;0.5),"NM",AG167/Y167*100-100))</f>
        <v>NM</v>
      </c>
      <c r="AI167" s="55">
        <f t="shared" ref="AI167:AK167" si="1001">+AI155+AI156</f>
        <v>0</v>
      </c>
      <c r="AJ167" s="9" t="str">
        <f t="shared" ref="AJ167" si="1002">IF(ISERROR(AI167/AA167),"NA",IF(OR(AI167/AA167&gt;2,AI167/AA167&lt;0.5),"NM",AI167/AA167*100-100))</f>
        <v>NM</v>
      </c>
      <c r="AK167" s="55">
        <f t="shared" si="1001"/>
        <v>-3000</v>
      </c>
      <c r="AL167" s="9" t="str">
        <f t="shared" ref="AL167" si="1003">IF(ISERROR(AK167/AC167),"NA",IF(OR(AK167/AC167&gt;2,AK167/AC167&lt;0.5),"NM",AK167/AC167*100-100))</f>
        <v>NM</v>
      </c>
      <c r="AM167" s="55">
        <f t="shared" ref="AM167:AO167" si="1004">+AM155+AM156</f>
        <v>2500</v>
      </c>
      <c r="AN167" s="9">
        <f t="shared" ref="AN167" si="1005">IF(ISERROR(AM167/AE167),"NA",IF(OR(AM167/AE167&gt;2,AM167/AE167&lt;0.5),"NM",AM167/AE167*100-100))</f>
        <v>-40.476190476190474</v>
      </c>
      <c r="AO167" s="55">
        <f t="shared" si="1004"/>
        <v>-2200</v>
      </c>
      <c r="AP167" s="9">
        <f t="shared" ref="AP167" si="1006">IF(ISERROR(AO167/AG167),"NA",IF(OR(AO167/AG167&gt;2,AO167/AG167&lt;0.5),"NM",AO167/AG167*100-100))</f>
        <v>37.5</v>
      </c>
      <c r="AQ167" s="55">
        <f t="shared" ref="AQ167:AW167" si="1007">+AQ155+AQ156</f>
        <v>952.25</v>
      </c>
      <c r="AR167" s="9" t="str">
        <f t="shared" ref="AR167" si="1008">IF(ISERROR(AQ167/AI167),"NA",IF(OR(AQ167/AI167&gt;2,AQ167/AI167&lt;0.5),"NM",AQ167/AI167*100-100))</f>
        <v>NA</v>
      </c>
      <c r="AS167" s="55">
        <f t="shared" si="1007"/>
        <v>-350.73042500000156</v>
      </c>
      <c r="AT167" s="9" t="str">
        <f t="shared" ref="AT167" si="1009">IF(ISERROR(AS167/AK167),"NA",IF(OR(AS167/AK167&gt;2,AS167/AK167&lt;0.5),"NM",AS167/AK167*100-100))</f>
        <v>NM</v>
      </c>
      <c r="AU167" s="55">
        <f t="shared" si="1007"/>
        <v>-89.889202742499037</v>
      </c>
      <c r="AV167" s="9" t="str">
        <f t="shared" ref="AV167" si="1010">IF(ISERROR(AU167/AM167),"NA",IF(OR(AU167/AM167&gt;2,AU167/AM167&lt;0.5),"NM",AU167/AM167*100-100))</f>
        <v>NM</v>
      </c>
      <c r="AW167" s="55">
        <f t="shared" si="1007"/>
        <v>-940.64018036404741</v>
      </c>
      <c r="AX167" s="9" t="str">
        <f t="shared" ref="AX167" si="1011">IF(ISERROR(AW167/AO167),"NA",IF(OR(AW167/AO167&gt;2,AW167/AO167&lt;0.5),"NM",AW167/AO167*100-100))</f>
        <v>NM</v>
      </c>
      <c r="AY167" s="356"/>
      <c r="AZ167" s="618"/>
      <c r="BA167" s="620"/>
      <c r="BB167" s="55"/>
      <c r="BC167" s="226" t="str">
        <f>IF(ISERROR(BB167/#REF!),"NA",IF(OR(BB167/#REF!&gt;2,BB167/#REF!&lt;0.5),"NM",BB167/#REF!*100-100))</f>
        <v>NA</v>
      </c>
      <c r="BD167" s="908"/>
      <c r="BE167" s="226" t="str">
        <f t="shared" si="975"/>
        <v>NA</v>
      </c>
      <c r="BF167" s="55">
        <f>BF155+BF156</f>
        <v>15500</v>
      </c>
      <c r="BG167" s="226" t="str">
        <f t="shared" si="975"/>
        <v>NA</v>
      </c>
      <c r="BH167" s="55">
        <f t="shared" ref="BH167:BP167" si="1012">BH155+BH156</f>
        <v>9000</v>
      </c>
      <c r="BI167" s="226">
        <f t="shared" si="975"/>
        <v>-41.935483870967737</v>
      </c>
      <c r="BJ167" s="55">
        <f t="shared" ref="BJ167" si="1013">BJ155+BJ156</f>
        <v>-2700</v>
      </c>
      <c r="BK167" s="226" t="str">
        <f t="shared" si="975"/>
        <v>NM</v>
      </c>
      <c r="BL167" s="55">
        <f t="shared" ref="BL167" si="1014">BL155+BL156</f>
        <v>-429.00980810655165</v>
      </c>
      <c r="BM167" s="226" t="str">
        <f t="shared" si="975"/>
        <v>NM</v>
      </c>
      <c r="BN167" s="55">
        <f t="shared" si="1012"/>
        <v>6485.1936208305706</v>
      </c>
      <c r="BO167" s="226" t="str">
        <f t="shared" si="975"/>
        <v>NM</v>
      </c>
      <c r="BP167" s="55">
        <f t="shared" si="1012"/>
        <v>7623.2407301680796</v>
      </c>
      <c r="BQ167" s="226">
        <f t="shared" si="975"/>
        <v>17.548390624484654</v>
      </c>
      <c r="BR167" s="55">
        <f t="shared" ref="BR167:BT167" si="1015">BR155+BR156</f>
        <v>8745.577150349709</v>
      </c>
      <c r="BS167" s="226">
        <f t="shared" si="975"/>
        <v>14.722563013655261</v>
      </c>
      <c r="BT167" s="55">
        <f t="shared" si="1015"/>
        <v>9863.1427987515781</v>
      </c>
      <c r="BU167" s="226">
        <f t="shared" ref="BU167" si="1016">IF(ISERROR(BT167/BR167),"NA",IF(OR(BT167/BR167&gt;2,BT167/BR167&lt;0.5),"NM",BT167/BR167*100-100))</f>
        <v>12.778638038281784</v>
      </c>
      <c r="BV167" s="43" t="str">
        <f>IF(ISERROR(((BT167/BJ167)^0.2-1)*100),"NA",IF((((BT167/BJ167)^0.2-1)*100)&gt;100,"NM",IF((((BT167/BJ167)^0.2-1)*100)&lt;-50,"NM",((BT167/BJ167)^0.2-1)*100)))</f>
        <v>NM</v>
      </c>
      <c r="BW167" s="621"/>
      <c r="BX167" s="621"/>
      <c r="BY167"/>
      <c r="BZ167"/>
      <c r="CA167"/>
      <c r="CB167"/>
      <c r="CC167"/>
      <c r="CD167"/>
    </row>
    <row r="168" spans="2:82" s="616" customFormat="1" ht="12.75" customHeight="1" x14ac:dyDescent="0.2">
      <c r="B168" s="42"/>
      <c r="C168" s="15"/>
      <c r="D168" s="623"/>
      <c r="E168" s="15"/>
      <c r="F168" s="623"/>
      <c r="G168" s="15"/>
      <c r="H168" s="623"/>
      <c r="I168" s="15"/>
      <c r="J168" s="623"/>
      <c r="K168" s="15"/>
      <c r="L168" s="623"/>
      <c r="M168" s="15"/>
      <c r="N168" s="620"/>
      <c r="O168" s="55"/>
      <c r="P168" s="9"/>
      <c r="Q168" s="55"/>
      <c r="R168" s="9"/>
      <c r="S168" s="55"/>
      <c r="T168" s="9"/>
      <c r="U168" s="55"/>
      <c r="V168" s="9"/>
      <c r="W168" s="55"/>
      <c r="X168" s="9"/>
      <c r="Y168" s="55"/>
      <c r="Z168" s="9"/>
      <c r="AA168" s="55"/>
      <c r="AB168" s="9"/>
      <c r="AC168" s="55"/>
      <c r="AD168" s="9"/>
      <c r="AE168" s="55"/>
      <c r="AF168" s="9"/>
      <c r="AG168" s="55"/>
      <c r="AH168" s="620"/>
      <c r="AI168" s="55"/>
      <c r="AJ168" s="620"/>
      <c r="AK168" s="55"/>
      <c r="AL168" s="620"/>
      <c r="AM168" s="55"/>
      <c r="AN168" s="620"/>
      <c r="AO168" s="55"/>
      <c r="AP168" s="620"/>
      <c r="AQ168" s="55"/>
      <c r="AR168" s="620"/>
      <c r="AS168" s="55"/>
      <c r="AT168" s="620"/>
      <c r="AU168" s="55"/>
      <c r="AV168" s="620"/>
      <c r="AW168" s="55"/>
      <c r="AX168" s="620"/>
      <c r="AY168" s="356"/>
      <c r="AZ168" s="618"/>
      <c r="BA168" s="620"/>
      <c r="BB168" s="55"/>
      <c r="BC168" s="55"/>
      <c r="BD168" s="908"/>
      <c r="BE168" s="55"/>
      <c r="BF168" s="55"/>
      <c r="BG168" s="55"/>
      <c r="BH168" s="55"/>
      <c r="BI168" s="55"/>
      <c r="BJ168" s="55"/>
      <c r="BK168" s="55"/>
      <c r="BL168" s="55"/>
      <c r="BM168" s="55"/>
      <c r="BN168" s="55"/>
      <c r="BO168" s="55"/>
      <c r="BP168" s="55"/>
      <c r="BQ168" s="55"/>
      <c r="BR168" s="55"/>
      <c r="BS168" s="55"/>
      <c r="BT168" s="55"/>
      <c r="BU168" s="55"/>
      <c r="BV168" s="43"/>
      <c r="BW168" s="621"/>
      <c r="BX168" s="621"/>
      <c r="BY168"/>
      <c r="BZ168"/>
      <c r="CA168"/>
      <c r="CB168"/>
      <c r="CC168"/>
      <c r="CD168"/>
    </row>
    <row r="169" spans="2:82" s="616" customFormat="1" ht="12.75" customHeight="1" x14ac:dyDescent="0.2">
      <c r="B169" s="42" t="s">
        <v>106</v>
      </c>
      <c r="C169" s="15"/>
      <c r="D169" s="623"/>
      <c r="E169" s="15"/>
      <c r="F169" s="623"/>
      <c r="G169" s="15"/>
      <c r="H169" s="623"/>
      <c r="I169" s="15"/>
      <c r="J169" s="623"/>
      <c r="K169" s="15"/>
      <c r="L169" s="623"/>
      <c r="M169" s="15"/>
      <c r="N169" s="620"/>
      <c r="O169" s="57">
        <f>+O155/O154*400</f>
        <v>19.092795730803438</v>
      </c>
      <c r="P169" s="9" t="str">
        <f t="shared" ref="P169:P173" si="1017">IF(ISERROR(O169/G169),"NA",IF(OR(O169/G169&gt;2,O169/G169&lt;0.5),"NM",O169/G169*100-100))</f>
        <v>NA</v>
      </c>
      <c r="Q169" s="57">
        <f>+Q155/Q154*400</f>
        <v>21.177870315288519</v>
      </c>
      <c r="R169" s="9" t="str">
        <f t="shared" ref="R169:R173" si="1018">IF(ISERROR(Q169/I169),"NA",IF(OR(Q169/I169&gt;2,Q169/I169&lt;0.5),"NM",Q169/I169*100-100))</f>
        <v>NA</v>
      </c>
      <c r="S169" s="57">
        <f>+S155/S154*400</f>
        <v>24.044353662095126</v>
      </c>
      <c r="T169" s="9" t="str">
        <f t="shared" ref="T169:T173" si="1019">IF(ISERROR(S169/K169),"NA",IF(OR(S169/K169&gt;2,S169/K169&lt;0.5),"NM",S169/K169*100-100))</f>
        <v>NA</v>
      </c>
      <c r="U169" s="57">
        <f>+U155/U154*400</f>
        <v>21.95945945945946</v>
      </c>
      <c r="V169" s="9" t="str">
        <f t="shared" ref="V169:V173" si="1020">IF(ISERROR(U169/M169),"NA",IF(OR(U169/M169&gt;2,U169/M169&lt;0.5),"NM",U169/M169*100-100))</f>
        <v>NA</v>
      </c>
      <c r="W169" s="57">
        <f>+W155/W154*400</f>
        <v>20.912124582869858</v>
      </c>
      <c r="X169" s="9">
        <f t="shared" ref="X169:X173" si="1021">IF(ISERROR(W169/O169),"NA",IF(OR(W169/O169&gt;2,W169/O169&lt;0.5),"NM",W169/O169*100-100))</f>
        <v>9.5288761149379297</v>
      </c>
      <c r="Y169" s="57">
        <f>+Y155/Y154*400</f>
        <v>20.112994350282488</v>
      </c>
      <c r="Z169" s="9">
        <f t="shared" ref="Z169:Z173" si="1022">IF(ISERROR(Y169/Q169),"NA",IF(OR(Y169/Q169&gt;2,Y169/Q169&lt;0.5),"NM",Y169/Q169*100-100))</f>
        <v>-5.0282485875706158</v>
      </c>
      <c r="AA169" s="57">
        <f>+AA155/AA154*400</f>
        <v>21.951219512195124</v>
      </c>
      <c r="AB169" s="9">
        <f t="shared" ref="AB169:AB173" si="1023">IF(ISERROR(AA169/S169),"NA",IF(OR(AA169/S169&gt;2,AA169/S169&lt;0.5),"NM",AA169/S169*100-100))</f>
        <v>-8.7053042860525665</v>
      </c>
      <c r="AC169" s="57">
        <f>+AC155/AC154*400</f>
        <v>21.830029866956284</v>
      </c>
      <c r="AD169" s="9">
        <f t="shared" ref="AD169:AD173" si="1024">IF(ISERROR(AC169/U169),"NA",IF(OR(AC169/U169&gt;2,AC169/U169&lt;0.5),"NM",AC169/U169*100-100))</f>
        <v>-0.58940245201446828</v>
      </c>
      <c r="AE169" s="57">
        <f>+AE155/AE154*400</f>
        <v>20.480668756530825</v>
      </c>
      <c r="AF169" s="9">
        <f t="shared" ref="AF169:AF173" si="1025">IF(ISERROR(AE169/W169),"NA",IF(OR(AE169/W169&gt;2,AE169/W169&lt;0.5),"NM",AE169/W169*100-100))</f>
        <v>-2.0631850419084543</v>
      </c>
      <c r="AG169" s="57">
        <f>+AG155/AG154*400</f>
        <v>17.82028693682356</v>
      </c>
      <c r="AH169" s="9">
        <f t="shared" ref="AH169:AH173" si="1026">IF(ISERROR(AG169/Y169),"NA",IF(OR(AG169/Y169&gt;2,AG169/Y169&lt;0.5),"NM",AG169/Y169*100-100))</f>
        <v>-11.399135173658152</v>
      </c>
      <c r="AI169" s="57">
        <f>+AI155/AI154*400</f>
        <v>20.896286811779767</v>
      </c>
      <c r="AJ169" s="9">
        <f t="shared" ref="AJ169:AJ173" si="1027">IF(ISERROR(AI169/AA169),"NA",IF(OR(AI169/AA169&gt;2,AI169/AA169&lt;0.5),"NM",AI169/AA169*100-100))</f>
        <v>-4.805804524114393</v>
      </c>
      <c r="AK169" s="57">
        <f>+AK155/AK154*400</f>
        <v>16.674937965260547</v>
      </c>
      <c r="AL169" s="9">
        <f t="shared" ref="AL169:AL173" si="1028">IF(ISERROR(AK169/AC169),"NA",IF(OR(AK169/AC169&gt;2,AK169/AC169&lt;0.5),"NM",AK169/AC169*100-100))</f>
        <v>-23.614680937743032</v>
      </c>
      <c r="AM169" s="57">
        <f>+AM155/AM154*400</f>
        <v>19.103313840155945</v>
      </c>
      <c r="AN169" s="9">
        <f t="shared" ref="AN169:AN173" si="1029">IF(ISERROR(AM169/AE169),"NA",IF(OR(AM169/AE169&gt;2,AM169/AE169&lt;0.5),"NM",AM169/AE169*100-100))</f>
        <v>-6.7251461988304158</v>
      </c>
      <c r="AO169" s="57">
        <f>+AO155/AO154*400</f>
        <v>18.048665249232222</v>
      </c>
      <c r="AP169" s="9">
        <f t="shared" ref="AP169:AP173" si="1030">IF(ISERROR(AO169/AG169),"NA",IF(OR(AO169/AG169&gt;2,AO169/AG169&lt;0.5),"NM",AO169/AG169*100-100))</f>
        <v>1.2815636090389972</v>
      </c>
      <c r="AQ169" s="57">
        <f>+AQ155/AQ154*100*4</f>
        <v>19.88396379670457</v>
      </c>
      <c r="AR169" s="9">
        <f t="shared" ref="AR169:AR173" si="1031">IF(ISERROR(AQ169/AI169),"NA",IF(OR(AQ169/AI169&gt;2,AQ169/AI169&lt;0.5),"NM",AQ169/AI169*100-100))</f>
        <v>-4.8445114875841284</v>
      </c>
      <c r="AS169" s="57">
        <f>+AS155/AS154*100*4</f>
        <v>18.672548457188853</v>
      </c>
      <c r="AT169" s="9">
        <f t="shared" ref="AT169:AT173" si="1032">IF(ISERROR(AS169/AK169),"NA",IF(OR(AS169/AK169&gt;2,AS169/AK169&lt;0.5),"NM",AS169/AK169*100-100))</f>
        <v>11.979717682248619</v>
      </c>
      <c r="AU169" s="57">
        <f>+AU155/AU154*100*4</f>
        <v>18.91737281049959</v>
      </c>
      <c r="AV169" s="9">
        <f t="shared" ref="AV169:AV173" si="1033">IF(ISERROR(AU169/AM169),"NA",IF(OR(AU169/AM169&gt;2,AU169/AM169&lt;0.5),"NM",AU169/AM169*100-100))</f>
        <v>-0.97334436952765202</v>
      </c>
      <c r="AW169" s="57">
        <f>+AW155/AW154*100*4</f>
        <v>18.148767874025978</v>
      </c>
      <c r="AX169" s="9">
        <f t="shared" ref="AX169:AX173" si="1034">IF(ISERROR(AW169/AO169),"NA",IF(OR(AW169/AO169&gt;2,AW169/AO169&lt;0.5),"NM",AW169/AO169*100-100))</f>
        <v>0.55462619208373098</v>
      </c>
      <c r="AY169" s="356"/>
      <c r="AZ169" s="618"/>
      <c r="BA169" s="620"/>
      <c r="BB169" s="643"/>
      <c r="BC169" s="226" t="str">
        <f>IF(ISERROR(BB169/#REF!),"NA",IF(OR(BB169/#REF!&gt;2,BB169/#REF!&lt;0.5),"NM",BB169/#REF!*100-100))</f>
        <v>NA</v>
      </c>
      <c r="BD169" s="922"/>
      <c r="BE169" s="226" t="str">
        <f t="shared" si="975"/>
        <v>NA</v>
      </c>
      <c r="BF169" s="643">
        <f>BF155/BF154*100</f>
        <v>22.381091333527866</v>
      </c>
      <c r="BG169" s="226" t="str">
        <f t="shared" si="975"/>
        <v>NA</v>
      </c>
      <c r="BH169" s="643">
        <f>BH155/BH154*100</f>
        <v>21.396895787139687</v>
      </c>
      <c r="BI169" s="226">
        <f t="shared" si="975"/>
        <v>-4.3974421609808303</v>
      </c>
      <c r="BJ169" s="643">
        <f>BJ155/BJ154*100</f>
        <v>19.43661971830986</v>
      </c>
      <c r="BK169" s="226">
        <f t="shared" si="975"/>
        <v>-9.1614974823031332</v>
      </c>
      <c r="BL169" s="643">
        <f>BL155/BL154*100</f>
        <v>19.042701322812718</v>
      </c>
      <c r="BM169" s="226">
        <f t="shared" si="975"/>
        <v>-2.0266816000215329</v>
      </c>
      <c r="BN169" s="643">
        <f>BN155/BN154*100</f>
        <v>19.589203941881074</v>
      </c>
      <c r="BO169" s="226">
        <f t="shared" si="975"/>
        <v>2.8698796972342251</v>
      </c>
      <c r="BP169" s="643">
        <f>BP155/BP154*100</f>
        <v>19.798860687102355</v>
      </c>
      <c r="BQ169" s="226">
        <f t="shared" si="975"/>
        <v>1.070266795135268</v>
      </c>
      <c r="BR169" s="643">
        <f>BR155/BR154*100</f>
        <v>19.980628757012692</v>
      </c>
      <c r="BS169" s="226">
        <f t="shared" si="975"/>
        <v>0.91807338201408584</v>
      </c>
      <c r="BT169" s="643">
        <f>BT155/BT154*100</f>
        <v>20.139037135099048</v>
      </c>
      <c r="BU169" s="226">
        <f t="shared" ref="BU169:BU172" si="1035">IF(ISERROR(BT169/BR169),"NA",IF(OR(BT169/BR169&gt;2,BT169/BR169&lt;0.5),"NM",BT169/BR169*100-100))</f>
        <v>0.79280977597244373</v>
      </c>
      <c r="BV169" s="43">
        <f>IF(ISERROR(((BT169/BJ169)^0.2-1)*100),"NA",IF((((BT169/BJ169)^0.2-1)*100)&gt;100,"NM",IF((((BT169/BJ169)^0.2-1)*100)&lt;-50,"NM",((BT169/BJ169)^0.2-1)*100)))</f>
        <v>0.71255017249334252</v>
      </c>
      <c r="BW169" s="621"/>
      <c r="BX169" s="621"/>
      <c r="BY169"/>
      <c r="BZ169"/>
      <c r="CA169"/>
      <c r="CB169"/>
      <c r="CC169"/>
      <c r="CD169"/>
    </row>
    <row r="170" spans="2:82" s="616" customFormat="1" ht="12.75" customHeight="1" x14ac:dyDescent="0.2">
      <c r="B170" s="42" t="s">
        <v>107</v>
      </c>
      <c r="C170" s="15"/>
      <c r="D170" s="623"/>
      <c r="E170" s="15"/>
      <c r="F170" s="623"/>
      <c r="G170" s="15"/>
      <c r="H170" s="623"/>
      <c r="I170" s="15"/>
      <c r="J170" s="623"/>
      <c r="K170" s="15"/>
      <c r="L170" s="623"/>
      <c r="M170" s="15"/>
      <c r="N170" s="620"/>
      <c r="O170" s="57">
        <f>+O156/O154*400</f>
        <v>-17.076786243699971</v>
      </c>
      <c r="P170" s="9" t="str">
        <f t="shared" si="1017"/>
        <v>NA</v>
      </c>
      <c r="Q170" s="57">
        <f>+Q156/Q154*400</f>
        <v>-19.631171921475314</v>
      </c>
      <c r="R170" s="9" t="str">
        <f t="shared" si="1018"/>
        <v>NA</v>
      </c>
      <c r="S170" s="57">
        <f>+S156/S154*400</f>
        <v>-15.990662386927342</v>
      </c>
      <c r="T170" s="9" t="str">
        <f t="shared" si="1019"/>
        <v>NA</v>
      </c>
      <c r="U170" s="57">
        <f>+U156/U154*400</f>
        <v>-16.666666666666664</v>
      </c>
      <c r="V170" s="9" t="str">
        <f t="shared" si="1020"/>
        <v>NA</v>
      </c>
      <c r="W170" s="57">
        <f>+W156/W154*400</f>
        <v>-17.352614015572858</v>
      </c>
      <c r="X170" s="9">
        <f t="shared" si="1021"/>
        <v>1.6152206154986999</v>
      </c>
      <c r="Y170" s="57">
        <f>+Y156/Y154*400</f>
        <v>-19.322033898305087</v>
      </c>
      <c r="Z170" s="9">
        <f t="shared" si="1022"/>
        <v>-1.5747303543913773</v>
      </c>
      <c r="AA170" s="57">
        <f>+AA156/AA154*400</f>
        <v>-21.175166297117517</v>
      </c>
      <c r="AB170" s="9">
        <f t="shared" si="1023"/>
        <v>32.422070985806073</v>
      </c>
      <c r="AC170" s="57">
        <f>+AC156/AC154*400</f>
        <v>-15.63942438229704</v>
      </c>
      <c r="AD170" s="9">
        <f t="shared" si="1024"/>
        <v>-6.1634537062177515</v>
      </c>
      <c r="AE170" s="57">
        <f>+AE156/AE154*400</f>
        <v>-16.091954022988507</v>
      </c>
      <c r="AF170" s="9">
        <f t="shared" si="1025"/>
        <v>-7.2649572649572463</v>
      </c>
      <c r="AG170" s="57">
        <f>+AG156/AG154*400</f>
        <v>-19.431160332242641</v>
      </c>
      <c r="AH170" s="9">
        <f t="shared" si="1026"/>
        <v>0.56477715809786844</v>
      </c>
      <c r="AI170" s="57">
        <f>+AI156/AI154*400</f>
        <v>-20.896286811779767</v>
      </c>
      <c r="AJ170" s="9">
        <f t="shared" si="1027"/>
        <v>-1.3170120197625579</v>
      </c>
      <c r="AK170" s="57">
        <f>+AK156/AK154*400</f>
        <v>-19.652605459057071</v>
      </c>
      <c r="AL170" s="9">
        <f t="shared" si="1028"/>
        <v>25.660669975186096</v>
      </c>
      <c r="AM170" s="57">
        <f>+AM156/AM154*400</f>
        <v>-16.666666666666664</v>
      </c>
      <c r="AN170" s="9">
        <f t="shared" si="1029"/>
        <v>3.5714285714285552</v>
      </c>
      <c r="AO170" s="57">
        <f>+AO156/AO154*400</f>
        <v>-20.127569099929129</v>
      </c>
      <c r="AP170" s="9">
        <f t="shared" si="1030"/>
        <v>3.583979318676711</v>
      </c>
      <c r="AQ170" s="91">
        <v>-19</v>
      </c>
      <c r="AR170" s="9">
        <f t="shared" si="1031"/>
        <v>-9.0747549019607732</v>
      </c>
      <c r="AS170" s="91">
        <f>AQ170</f>
        <v>-19</v>
      </c>
      <c r="AT170" s="9">
        <f t="shared" si="1032"/>
        <v>-3.3207070707070585</v>
      </c>
      <c r="AU170" s="91">
        <f>AS170</f>
        <v>-19</v>
      </c>
      <c r="AV170" s="9">
        <f t="shared" si="1033"/>
        <v>14.000000000000014</v>
      </c>
      <c r="AW170" s="91">
        <f>AU170</f>
        <v>-19</v>
      </c>
      <c r="AX170" s="9">
        <f t="shared" si="1034"/>
        <v>-5.6021126760563504</v>
      </c>
      <c r="AY170" s="356"/>
      <c r="AZ170" s="618"/>
      <c r="BA170" s="620"/>
      <c r="BB170" s="643"/>
      <c r="BC170" s="226" t="str">
        <f>IF(ISERROR(BB170/#REF!),"NA",IF(OR(BB170/#REF!&gt;2,BB170/#REF!&lt;0.5),"NM",BB170/#REF!*100-100))</f>
        <v>NA</v>
      </c>
      <c r="BD170" s="922"/>
      <c r="BE170" s="226" t="str">
        <f t="shared" si="975"/>
        <v>NA</v>
      </c>
      <c r="BF170" s="643">
        <f>BF156/BF154*100</f>
        <v>-17.858185001459002</v>
      </c>
      <c r="BG170" s="226" t="str">
        <f t="shared" si="975"/>
        <v>NA</v>
      </c>
      <c r="BH170" s="643">
        <f>BH156/BH154*100</f>
        <v>-18.902439024390244</v>
      </c>
      <c r="BI170" s="226">
        <f t="shared" si="975"/>
        <v>5.8474812689303377</v>
      </c>
      <c r="BJ170" s="643">
        <f>BJ156/BJ154*100</f>
        <v>-20.128040973111396</v>
      </c>
      <c r="BK170" s="226">
        <f t="shared" si="975"/>
        <v>6.4838296642022186</v>
      </c>
      <c r="BL170" s="643">
        <f>BL156/BL154*100</f>
        <v>-19.142262661431086</v>
      </c>
      <c r="BM170" s="226">
        <f t="shared" si="975"/>
        <v>-4.8975372864015441</v>
      </c>
      <c r="BN170" s="686">
        <f>BL170+1</f>
        <v>-18.142262661431086</v>
      </c>
      <c r="BO170" s="226">
        <f t="shared" si="975"/>
        <v>-5.2240428296643131</v>
      </c>
      <c r="BP170" s="686">
        <f t="shared" ref="BP170" si="1036">BN170-0.05</f>
        <v>-18.192262661431087</v>
      </c>
      <c r="BQ170" s="226">
        <f t="shared" si="975"/>
        <v>0.27559958166791887</v>
      </c>
      <c r="BR170" s="686">
        <f t="shared" ref="BR170" si="1037">BP170-0.05</f>
        <v>-18.242262661431088</v>
      </c>
      <c r="BS170" s="226">
        <f t="shared" si="975"/>
        <v>0.2748421179406364</v>
      </c>
      <c r="BT170" s="686">
        <f t="shared" ref="BT170" si="1038">BR170-0.05</f>
        <v>-18.292262661431089</v>
      </c>
      <c r="BU170" s="226">
        <f t="shared" si="1035"/>
        <v>0.27408880645991474</v>
      </c>
      <c r="BV170" s="43">
        <f>IF(ISERROR(((BT170/BJ170)^0.2-1)*100),"NA",IF((((BT170/BJ170)^0.2-1)*100)&gt;100,"NM",IF((((BT170/BJ170)^0.2-1)*100)&lt;-50,"NM",((BT170/BJ170)^0.2-1)*100)))</f>
        <v>-1.8945386995849467</v>
      </c>
      <c r="BW170" s="621"/>
      <c r="BX170" s="621"/>
      <c r="BY170"/>
      <c r="BZ170"/>
      <c r="CA170"/>
      <c r="CB170"/>
      <c r="CC170"/>
      <c r="CD170"/>
    </row>
    <row r="171" spans="2:82" s="616" customFormat="1" ht="12.75" customHeight="1" x14ac:dyDescent="0.2">
      <c r="B171" s="42" t="s">
        <v>39</v>
      </c>
      <c r="C171" s="15"/>
      <c r="D171" s="623"/>
      <c r="E171" s="15"/>
      <c r="F171" s="623"/>
      <c r="G171" s="15"/>
      <c r="H171" s="623"/>
      <c r="I171" s="15"/>
      <c r="J171" s="623"/>
      <c r="K171" s="15"/>
      <c r="L171" s="623"/>
      <c r="M171" s="15"/>
      <c r="N171" s="620"/>
      <c r="O171" s="57">
        <f>O167/O154*400</f>
        <v>2.0160094871034691</v>
      </c>
      <c r="P171" s="9" t="str">
        <f t="shared" si="1017"/>
        <v>NA</v>
      </c>
      <c r="Q171" s="57">
        <f>Q167/Q154*400</f>
        <v>1.5466983938132064</v>
      </c>
      <c r="R171" s="9" t="str">
        <f t="shared" si="1018"/>
        <v>NA</v>
      </c>
      <c r="S171" s="57">
        <f>S167/S154*400</f>
        <v>8.0536912751677843</v>
      </c>
      <c r="T171" s="9" t="str">
        <f t="shared" si="1019"/>
        <v>NA</v>
      </c>
      <c r="U171" s="57">
        <f>U167/U154*400</f>
        <v>5.2927927927927927</v>
      </c>
      <c r="V171" s="9" t="str">
        <f t="shared" si="1020"/>
        <v>NA</v>
      </c>
      <c r="W171" s="57">
        <f>W167/W154*400</f>
        <v>3.5595105672969964</v>
      </c>
      <c r="X171" s="9">
        <f t="shared" si="1021"/>
        <v>76.562193286658328</v>
      </c>
      <c r="Y171" s="57">
        <f>Y167/Y154*400</f>
        <v>0.79096045197740106</v>
      </c>
      <c r="Z171" s="9">
        <f t="shared" si="1022"/>
        <v>-48.861364624076501</v>
      </c>
      <c r="AA171" s="57">
        <f>AA167/AA154*400</f>
        <v>0.77605321507760539</v>
      </c>
      <c r="AB171" s="9" t="str">
        <f t="shared" si="1023"/>
        <v>NM</v>
      </c>
      <c r="AC171" s="57">
        <f>AC167/AC154*400</f>
        <v>6.1906054846592449</v>
      </c>
      <c r="AD171" s="9">
        <f t="shared" si="1024"/>
        <v>16.962929156966155</v>
      </c>
      <c r="AE171" s="57">
        <f>AE167/AE154*400</f>
        <v>4.3887147335423196</v>
      </c>
      <c r="AF171" s="9">
        <f t="shared" si="1025"/>
        <v>23.295454545454547</v>
      </c>
      <c r="AG171" s="57">
        <f>AG167/AG154*400</f>
        <v>-1.6108733954190788</v>
      </c>
      <c r="AH171" s="9" t="str">
        <f t="shared" si="1026"/>
        <v>NM</v>
      </c>
      <c r="AI171" s="57">
        <f>AI167/AI154*400</f>
        <v>0</v>
      </c>
      <c r="AJ171" s="9" t="str">
        <f t="shared" si="1027"/>
        <v>NM</v>
      </c>
      <c r="AK171" s="57">
        <f>AK167/AK154*400</f>
        <v>-2.9776674937965262</v>
      </c>
      <c r="AL171" s="9" t="str">
        <f t="shared" si="1028"/>
        <v>NM</v>
      </c>
      <c r="AM171" s="57">
        <f>AM167/AM154*400</f>
        <v>2.4366471734892787</v>
      </c>
      <c r="AN171" s="9">
        <f t="shared" si="1029"/>
        <v>-44.479253689780009</v>
      </c>
      <c r="AO171" s="57">
        <f>AO167/AO154*400</f>
        <v>-2.0789038506969053</v>
      </c>
      <c r="AP171" s="9">
        <f t="shared" si="1030"/>
        <v>29.054453106543832</v>
      </c>
      <c r="AQ171" s="57">
        <f>AQ167/AQ154*400</f>
        <v>0.88396379670457192</v>
      </c>
      <c r="AR171" s="9" t="str">
        <f t="shared" si="1031"/>
        <v>NA</v>
      </c>
      <c r="AS171" s="57">
        <f>AS167/AS154*400</f>
        <v>-0.32745154281114852</v>
      </c>
      <c r="AT171" s="9" t="str">
        <f t="shared" si="1032"/>
        <v>NM</v>
      </c>
      <c r="AU171" s="57">
        <f>AU167/AU154*400</f>
        <v>-8.2627189500409925E-2</v>
      </c>
      <c r="AV171" s="9" t="str">
        <f t="shared" si="1033"/>
        <v>NM</v>
      </c>
      <c r="AW171" s="57">
        <f>AW167/AW154*400</f>
        <v>-0.85123212597402276</v>
      </c>
      <c r="AX171" s="9" t="str">
        <f t="shared" si="1034"/>
        <v>NM</v>
      </c>
      <c r="AY171" s="356"/>
      <c r="AZ171" s="618"/>
      <c r="BA171" s="620"/>
      <c r="BB171" s="643"/>
      <c r="BC171" s="226" t="str">
        <f>IF(ISERROR(BB171/#REF!),"NA",IF(OR(BB171/#REF!&gt;2,BB171/#REF!&lt;0.5),"NM",BB171/#REF!*100-100))</f>
        <v>NA</v>
      </c>
      <c r="BD171" s="922"/>
      <c r="BE171" s="226" t="str">
        <f t="shared" si="975"/>
        <v>NA</v>
      </c>
      <c r="BF171" s="643">
        <f>BF167/BF154*100</f>
        <v>4.5229063320688647</v>
      </c>
      <c r="BG171" s="226" t="str">
        <f t="shared" si="975"/>
        <v>NA</v>
      </c>
      <c r="BH171" s="643">
        <f>BH167/BH154*100</f>
        <v>2.4944567627494458</v>
      </c>
      <c r="BI171" s="226">
        <f t="shared" si="975"/>
        <v>-44.848365639081599</v>
      </c>
      <c r="BJ171" s="643">
        <f>BJ167/BJ154*100</f>
        <v>-0.69142125480153649</v>
      </c>
      <c r="BK171" s="226" t="str">
        <f t="shared" si="975"/>
        <v>NM</v>
      </c>
      <c r="BL171" s="643">
        <f>BL167/BL154*100</f>
        <v>-9.9561338618368925E-2</v>
      </c>
      <c r="BM171" s="226" t="str">
        <f t="shared" si="975"/>
        <v>NM</v>
      </c>
      <c r="BN171" s="643">
        <f>BN167/BN154*100</f>
        <v>1.446941280449985</v>
      </c>
      <c r="BO171" s="226" t="str">
        <f t="shared" si="975"/>
        <v>NM</v>
      </c>
      <c r="BP171" s="643">
        <f>BP167/BP154*100</f>
        <v>1.6065980256712666</v>
      </c>
      <c r="BQ171" s="226">
        <f t="shared" si="975"/>
        <v>11.034085997714428</v>
      </c>
      <c r="BR171" s="643">
        <f>BR167/BR154*100</f>
        <v>1.7383660955816009</v>
      </c>
      <c r="BS171" s="226">
        <f t="shared" si="975"/>
        <v>8.2016825493905969</v>
      </c>
      <c r="BT171" s="643">
        <f>BT167/BT154*100</f>
        <v>1.8467744736679621</v>
      </c>
      <c r="BU171" s="226">
        <f t="shared" si="1035"/>
        <v>6.23622252883915</v>
      </c>
      <c r="BV171" s="43" t="str">
        <f>IF(ISERROR(((BT171/BJ171)^0.2-1)*100),"NA",IF((((BT171/BJ171)^0.2-1)*100)&gt;100,"NM",IF((((BT171/BJ171)^0.2-1)*100)&lt;-50,"NM",((BT171/BJ171)^0.2-1)*100)))</f>
        <v>NM</v>
      </c>
      <c r="BW171" s="621"/>
      <c r="BX171" s="621"/>
      <c r="BY171"/>
      <c r="BZ171"/>
      <c r="CA171"/>
      <c r="CB171"/>
      <c r="CC171"/>
      <c r="CD171"/>
    </row>
    <row r="172" spans="2:82" s="616" customFormat="1" ht="12.75" customHeight="1" x14ac:dyDescent="0.2">
      <c r="B172" s="240" t="s">
        <v>77</v>
      </c>
      <c r="C172" s="15"/>
      <c r="D172" s="623"/>
      <c r="E172" s="15"/>
      <c r="F172" s="623"/>
      <c r="G172" s="15"/>
      <c r="H172" s="623"/>
      <c r="I172" s="15"/>
      <c r="J172" s="623"/>
      <c r="K172" s="15"/>
      <c r="L172" s="623"/>
      <c r="M172" s="15"/>
      <c r="N172" s="620"/>
      <c r="O172" s="57">
        <f>O157/O154*400</f>
        <v>-2.4903646605395791</v>
      </c>
      <c r="P172" s="9" t="str">
        <f t="shared" si="1017"/>
        <v>NA</v>
      </c>
      <c r="Q172" s="57">
        <f>Q157/Q154*400</f>
        <v>7.4955383700178473</v>
      </c>
      <c r="R172" s="9" t="str">
        <f t="shared" si="1018"/>
        <v>NA</v>
      </c>
      <c r="S172" s="57">
        <f>S157/S154*400</f>
        <v>8.0536912751677843</v>
      </c>
      <c r="T172" s="9" t="str">
        <f t="shared" si="1019"/>
        <v>NA</v>
      </c>
      <c r="U172" s="57">
        <f>U157/U154*400</f>
        <v>-0.90090090090090091</v>
      </c>
      <c r="V172" s="9" t="str">
        <f t="shared" si="1020"/>
        <v>NA</v>
      </c>
      <c r="W172" s="57">
        <f>W157/W154*400</f>
        <v>-11.457174638487208</v>
      </c>
      <c r="X172" s="9" t="str">
        <f t="shared" si="1021"/>
        <v>NM</v>
      </c>
      <c r="Y172" s="57">
        <f>Y157/Y154*400</f>
        <v>5.4237288135593218</v>
      </c>
      <c r="Z172" s="9">
        <f t="shared" si="1022"/>
        <v>-27.640570352434764</v>
      </c>
      <c r="AA172" s="57">
        <f>AA157/AA154*400</f>
        <v>5.9866962305986693</v>
      </c>
      <c r="AB172" s="9">
        <f t="shared" si="1023"/>
        <v>-25.665188470066511</v>
      </c>
      <c r="AC172" s="57">
        <f>AC157/AC154*400</f>
        <v>10.317675807765408</v>
      </c>
      <c r="AD172" s="9" t="str">
        <f t="shared" si="1024"/>
        <v>NM</v>
      </c>
      <c r="AE172" s="57">
        <f>AE157/AE154*400</f>
        <v>10.658307210031348</v>
      </c>
      <c r="AF172" s="9" t="str">
        <f t="shared" si="1025"/>
        <v>NM</v>
      </c>
      <c r="AG172" s="57">
        <f>AG157/AG154*400</f>
        <v>-3.4231059652655422</v>
      </c>
      <c r="AH172" s="9" t="str">
        <f t="shared" si="1026"/>
        <v>NM</v>
      </c>
      <c r="AI172" s="57">
        <f>AI157/AI154*400</f>
        <v>13.008962868117798</v>
      </c>
      <c r="AJ172" s="9" t="str">
        <f t="shared" si="1027"/>
        <v>NM</v>
      </c>
      <c r="AK172" s="57">
        <f>AK157/AK154*400</f>
        <v>10.223325062034739</v>
      </c>
      <c r="AL172" s="9">
        <f t="shared" si="1028"/>
        <v>-0.91445735927908345</v>
      </c>
      <c r="AM172" s="57">
        <f>AM157/AM154*400</f>
        <v>10.1364522417154</v>
      </c>
      <c r="AN172" s="9">
        <f t="shared" si="1029"/>
        <v>-4.8962274968466772</v>
      </c>
      <c r="AO172" s="57">
        <f>AO157/AO154*400</f>
        <v>9.166076068981809</v>
      </c>
      <c r="AP172" s="9" t="str">
        <f t="shared" si="1030"/>
        <v>NM</v>
      </c>
      <c r="AQ172" s="57">
        <f>AQ157/AQ154*400</f>
        <v>-3.170870271524715</v>
      </c>
      <c r="AR172" s="9" t="str">
        <f t="shared" si="1031"/>
        <v>NM</v>
      </c>
      <c r="AS172" s="57">
        <f>AS157/AS154*400</f>
        <v>6.6006175880048295</v>
      </c>
      <c r="AT172" s="9">
        <f t="shared" si="1032"/>
        <v>-35.435706602768292</v>
      </c>
      <c r="AU172" s="57">
        <f>AU157/AU154*400</f>
        <v>6.3865018629712944</v>
      </c>
      <c r="AV172" s="9">
        <f t="shared" si="1033"/>
        <v>-36.994702774917812</v>
      </c>
      <c r="AW172" s="57">
        <f>AW157/AW154*400</f>
        <v>6.4498995636026901</v>
      </c>
      <c r="AX172" s="9">
        <f t="shared" si="1034"/>
        <v>-29.632925637293326</v>
      </c>
      <c r="AY172" s="356"/>
      <c r="AZ172" s="618"/>
      <c r="BA172" s="620"/>
      <c r="BB172" s="643"/>
      <c r="BC172" s="226" t="str">
        <f>IF(ISERROR(BB172/#REF!),"NA",IF(OR(BB172/#REF!&gt;2,BB172/#REF!&lt;0.5),"NM",BB172/#REF!*100-100))</f>
        <v>NA</v>
      </c>
      <c r="BD172" s="922"/>
      <c r="BE172" s="226" t="str">
        <f t="shared" si="975"/>
        <v>NA</v>
      </c>
      <c r="BF172" s="643">
        <f>BF157/BF154*100</f>
        <v>0.17508024511234316</v>
      </c>
      <c r="BG172" s="226" t="str">
        <f t="shared" si="975"/>
        <v>NA</v>
      </c>
      <c r="BH172" s="643">
        <f>BH157/BH154*100</f>
        <v>6.0144124168514415</v>
      </c>
      <c r="BI172" s="226" t="str">
        <f t="shared" si="975"/>
        <v>NM</v>
      </c>
      <c r="BJ172" s="643">
        <f>BJ157/BJ154*100</f>
        <v>11.037131882202305</v>
      </c>
      <c r="BK172" s="226">
        <f t="shared" si="975"/>
        <v>83.511390926202353</v>
      </c>
      <c r="BL172" s="643">
        <f>BL157/BL154*100</f>
        <v>4.1144589110871292</v>
      </c>
      <c r="BM172" s="226" t="str">
        <f t="shared" si="975"/>
        <v>NM</v>
      </c>
      <c r="BN172" s="643">
        <f>BN157/BN154*100</f>
        <v>4.42</v>
      </c>
      <c r="BO172" s="226">
        <f t="shared" si="975"/>
        <v>7.4260333014758402</v>
      </c>
      <c r="BP172" s="643">
        <f>BP157/BP154*100</f>
        <v>4.42</v>
      </c>
      <c r="BQ172" s="226">
        <f t="shared" si="975"/>
        <v>0</v>
      </c>
      <c r="BR172" s="643">
        <f>BR157/BR154*100</f>
        <v>4.42</v>
      </c>
      <c r="BS172" s="226">
        <f t="shared" si="975"/>
        <v>0</v>
      </c>
      <c r="BT172" s="643">
        <f>BT157/BT154*100</f>
        <v>4.42</v>
      </c>
      <c r="BU172" s="226">
        <f t="shared" si="1035"/>
        <v>0</v>
      </c>
      <c r="BV172" s="43">
        <f>IF(ISERROR(((BT172/BJ172)^0.2-1)*100),"NA",IF((((BT172/BJ172)^0.2-1)*100)&gt;100,"NM",IF((((BT172/BJ172)^0.2-1)*100)&lt;-50,"NM",((BT172/BJ172)^0.2-1)*100)))</f>
        <v>-16.725274943395707</v>
      </c>
      <c r="BW172" s="621"/>
      <c r="BX172" s="621"/>
      <c r="BY172"/>
      <c r="BZ172"/>
      <c r="CA172"/>
      <c r="CB172"/>
      <c r="CC172"/>
      <c r="CD172"/>
    </row>
    <row r="173" spans="2:82" s="616" customFormat="1" ht="12.75" customHeight="1" x14ac:dyDescent="0.2">
      <c r="B173" s="240" t="s">
        <v>105</v>
      </c>
      <c r="C173" s="15"/>
      <c r="D173" s="623"/>
      <c r="E173" s="15"/>
      <c r="F173" s="623"/>
      <c r="G173" s="15"/>
      <c r="H173" s="623"/>
      <c r="I173" s="15"/>
      <c r="J173" s="623"/>
      <c r="K173" s="15"/>
      <c r="L173" s="623"/>
      <c r="M173" s="15"/>
      <c r="N173" s="620"/>
      <c r="O173" s="57">
        <f>(O172/4)/O$31*100</f>
        <v>-103.76519418914913</v>
      </c>
      <c r="P173" s="9" t="str">
        <f t="shared" si="1017"/>
        <v>NA</v>
      </c>
      <c r="Q173" s="57">
        <f>(Q172/4)/Q$31*100</f>
        <v>42.588286193283217</v>
      </c>
      <c r="R173" s="9" t="str">
        <f t="shared" si="1018"/>
        <v>NA</v>
      </c>
      <c r="S173" s="57">
        <f>(S172/4)/S$31*100</f>
        <v>503.35570469798643</v>
      </c>
      <c r="T173" s="9" t="str">
        <f t="shared" si="1019"/>
        <v>NA</v>
      </c>
      <c r="U173" s="57">
        <f>(U172/4)/U$31*100</f>
        <v>-56.306306306306311</v>
      </c>
      <c r="V173" s="9" t="str">
        <f t="shared" si="1020"/>
        <v>NA</v>
      </c>
      <c r="W173" s="57">
        <f t="shared" ref="W173:Y173" si="1039">(W172/4)/W$31*100</f>
        <v>37.806298831639609</v>
      </c>
      <c r="X173" s="9" t="str">
        <f t="shared" si="1021"/>
        <v>NM</v>
      </c>
      <c r="Y173" s="57">
        <f t="shared" si="1039"/>
        <v>21.716343525623092</v>
      </c>
      <c r="Z173" s="9">
        <f t="shared" si="1022"/>
        <v>-49.008646586375036</v>
      </c>
      <c r="AA173" s="57">
        <f t="shared" ref="AA173:AC173" si="1040">(AA172/4)/AA$31*100</f>
        <v>193.61468186028327</v>
      </c>
      <c r="AB173" s="9" t="str">
        <f t="shared" si="1023"/>
        <v>NM</v>
      </c>
      <c r="AC173" s="57">
        <f t="shared" si="1040"/>
        <v>205.00563645542823</v>
      </c>
      <c r="AD173" s="9" t="str">
        <f t="shared" si="1024"/>
        <v>NM</v>
      </c>
      <c r="AE173" s="57">
        <f t="shared" ref="AE173:AG173" si="1041">(AE172/4)/AE$31*100</f>
        <v>85.785195099094665</v>
      </c>
      <c r="AF173" s="9" t="str">
        <f t="shared" si="1025"/>
        <v>NM</v>
      </c>
      <c r="AG173" s="57">
        <f t="shared" si="1041"/>
        <v>-26.297501302737423</v>
      </c>
      <c r="AH173" s="9" t="str">
        <f t="shared" si="1026"/>
        <v>NM</v>
      </c>
      <c r="AI173" s="57">
        <f t="shared" ref="AI173:AK173" si="1042">(AI172/4)/AI$31*100</f>
        <v>58.771554460630718</v>
      </c>
      <c r="AJ173" s="9" t="str">
        <f t="shared" si="1027"/>
        <v>NM</v>
      </c>
      <c r="AK173" s="57">
        <f t="shared" si="1042"/>
        <v>98.301202519564796</v>
      </c>
      <c r="AL173" s="9" t="str">
        <f t="shared" si="1028"/>
        <v>NM</v>
      </c>
      <c r="AM173" s="57">
        <f t="shared" ref="AM173:AO173" si="1043">(AM172/4)/AM$31*100</f>
        <v>70.392029456356937</v>
      </c>
      <c r="AN173" s="9">
        <f t="shared" si="1029"/>
        <v>-17.943848731656246</v>
      </c>
      <c r="AO173" s="57">
        <f t="shared" si="1043"/>
        <v>35.804984644460191</v>
      </c>
      <c r="AP173" s="9" t="str">
        <f t="shared" si="1030"/>
        <v>NM</v>
      </c>
      <c r="AQ173" s="91">
        <v>85</v>
      </c>
      <c r="AR173" s="9">
        <f t="shared" si="1031"/>
        <v>44.627789378854885</v>
      </c>
      <c r="AS173" s="91">
        <f>AQ173</f>
        <v>85</v>
      </c>
      <c r="AT173" s="9">
        <f t="shared" si="1032"/>
        <v>-13.53106796116505</v>
      </c>
      <c r="AU173" s="91">
        <f>AS173</f>
        <v>85</v>
      </c>
      <c r="AV173" s="9">
        <f t="shared" si="1033"/>
        <v>20.752307692307696</v>
      </c>
      <c r="AW173" s="91">
        <f>AU173</f>
        <v>85</v>
      </c>
      <c r="AX173" s="9" t="str">
        <f t="shared" si="1034"/>
        <v>NM</v>
      </c>
      <c r="AY173" s="356"/>
      <c r="AZ173" s="618"/>
      <c r="BA173" s="620"/>
      <c r="BB173" s="55"/>
      <c r="BC173" s="55"/>
      <c r="BD173" s="908"/>
      <c r="BE173" s="55"/>
      <c r="BF173" s="55"/>
      <c r="BG173" s="55"/>
      <c r="BH173" s="55"/>
      <c r="BI173" s="55"/>
      <c r="BJ173" s="55"/>
      <c r="BK173" s="55"/>
      <c r="BL173" s="55"/>
      <c r="BM173" s="55"/>
      <c r="BN173" s="91">
        <v>80</v>
      </c>
      <c r="BO173" s="55"/>
      <c r="BP173" s="91">
        <v>80</v>
      </c>
      <c r="BQ173" s="623"/>
      <c r="BR173" s="91">
        <v>80</v>
      </c>
      <c r="BS173" s="623"/>
      <c r="BT173" s="91">
        <v>80</v>
      </c>
      <c r="BU173" s="623"/>
      <c r="BV173" s="43"/>
      <c r="BW173" s="621"/>
      <c r="BX173" s="621"/>
      <c r="BY173"/>
      <c r="BZ173"/>
      <c r="CA173"/>
      <c r="CB173"/>
      <c r="CC173"/>
      <c r="CD173"/>
    </row>
    <row r="174" spans="2:82" s="616" customFormat="1" ht="12.75" customHeight="1" x14ac:dyDescent="0.2">
      <c r="B174" s="42"/>
      <c r="C174" s="15"/>
      <c r="D174" s="623"/>
      <c r="E174" s="15"/>
      <c r="F174" s="623"/>
      <c r="G174" s="15"/>
      <c r="H174" s="623"/>
      <c r="I174" s="15"/>
      <c r="J174" s="623"/>
      <c r="K174" s="15"/>
      <c r="L174" s="623"/>
      <c r="M174" s="15"/>
      <c r="N174" s="620"/>
      <c r="O174" s="52"/>
      <c r="P174" s="40"/>
      <c r="Q174" s="52"/>
      <c r="R174" s="40"/>
      <c r="S174" s="52"/>
      <c r="T174" s="40"/>
      <c r="U174" s="52"/>
      <c r="V174" s="40"/>
      <c r="W174" s="52"/>
      <c r="X174" s="40"/>
      <c r="Y174" s="52"/>
      <c r="Z174" s="40"/>
      <c r="AA174" s="52"/>
      <c r="AB174" s="40"/>
      <c r="AC174" s="52"/>
      <c r="AD174" s="40"/>
      <c r="AE174" s="52"/>
      <c r="AF174" s="40"/>
      <c r="AG174" s="52"/>
      <c r="AH174" s="620"/>
      <c r="AI174" s="52"/>
      <c r="AJ174" s="620"/>
      <c r="AK174" s="52"/>
      <c r="AL174" s="620"/>
      <c r="AM174" s="52"/>
      <c r="AN174" s="620"/>
      <c r="AO174" s="52"/>
      <c r="AP174" s="620"/>
      <c r="AQ174" s="52"/>
      <c r="AR174" s="620"/>
      <c r="AS174" s="52"/>
      <c r="AT174" s="620"/>
      <c r="AU174" s="52"/>
      <c r="AV174" s="620"/>
      <c r="AW174" s="52"/>
      <c r="AX174" s="620"/>
      <c r="AY174" s="356"/>
      <c r="AZ174" s="618"/>
      <c r="BA174" s="620"/>
      <c r="BB174" s="55"/>
      <c r="BC174" s="55"/>
      <c r="BD174" s="908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623"/>
      <c r="BR174" s="55"/>
      <c r="BS174" s="623"/>
      <c r="BT174" s="55"/>
      <c r="BU174" s="623"/>
      <c r="BV174" s="43"/>
      <c r="BW174" s="621"/>
      <c r="BX174" s="621"/>
      <c r="BY174"/>
      <c r="BZ174"/>
      <c r="CA174"/>
      <c r="CB174"/>
      <c r="CC174"/>
      <c r="CD174"/>
    </row>
    <row r="175" spans="2:82" s="616" customFormat="1" ht="12.75" customHeight="1" x14ac:dyDescent="0.2">
      <c r="B175" s="103" t="s">
        <v>492</v>
      </c>
      <c r="C175" s="15"/>
      <c r="D175" s="623"/>
      <c r="E175" s="15"/>
      <c r="F175" s="623"/>
      <c r="G175" s="15"/>
      <c r="H175" s="623"/>
      <c r="I175" s="15"/>
      <c r="J175" s="623"/>
      <c r="K175" s="15"/>
      <c r="L175" s="623"/>
      <c r="M175" s="15"/>
      <c r="N175" s="620"/>
      <c r="O175" s="104"/>
      <c r="P175" s="9"/>
      <c r="Q175" s="104"/>
      <c r="R175" s="9"/>
      <c r="S175" s="104"/>
      <c r="T175" s="9"/>
      <c r="U175" s="104"/>
      <c r="V175" s="9"/>
      <c r="W175" s="104"/>
      <c r="X175" s="9"/>
      <c r="Y175" s="104"/>
      <c r="Z175" s="9"/>
      <c r="AA175" s="104"/>
      <c r="AB175" s="9"/>
      <c r="AC175" s="104"/>
      <c r="AD175" s="9"/>
      <c r="AE175" s="104"/>
      <c r="AF175" s="9"/>
      <c r="AG175" s="104"/>
      <c r="AH175" s="620"/>
      <c r="AI175" s="104"/>
      <c r="AJ175" s="620"/>
      <c r="AK175" s="104"/>
      <c r="AL175" s="620"/>
      <c r="AM175" s="104"/>
      <c r="AN175" s="620"/>
      <c r="AO175" s="104"/>
      <c r="AP175" s="620"/>
      <c r="AQ175" s="104"/>
      <c r="AR175" s="620"/>
      <c r="AS175" s="104"/>
      <c r="AT175" s="620"/>
      <c r="AU175" s="104"/>
      <c r="AV175" s="620"/>
      <c r="AW175" s="104"/>
      <c r="AX175" s="620"/>
      <c r="AY175" s="356"/>
      <c r="AZ175" s="618"/>
      <c r="BA175" s="620"/>
      <c r="BB175" s="55"/>
      <c r="BC175" s="55"/>
      <c r="BD175" s="908"/>
      <c r="BE175" s="55"/>
      <c r="BF175" s="55"/>
      <c r="BG175" s="55"/>
      <c r="BH175" s="55"/>
      <c r="BI175" s="55"/>
      <c r="BJ175" s="55"/>
      <c r="BK175" s="55"/>
      <c r="BL175" s="55"/>
      <c r="BM175" s="55"/>
      <c r="BN175" s="55"/>
      <c r="BO175" s="55"/>
      <c r="BP175" s="55"/>
      <c r="BQ175" s="623"/>
      <c r="BR175" s="55"/>
      <c r="BS175" s="623"/>
      <c r="BT175" s="55"/>
      <c r="BU175" s="623"/>
      <c r="BV175" s="43"/>
      <c r="BW175" s="621"/>
      <c r="BX175" s="621"/>
      <c r="BY175"/>
      <c r="BZ175"/>
      <c r="CA175"/>
      <c r="CB175"/>
      <c r="CC175"/>
      <c r="CD175"/>
    </row>
    <row r="176" spans="2:82" s="616" customFormat="1" ht="12.75" customHeight="1" x14ac:dyDescent="0.2">
      <c r="B176" s="62" t="s">
        <v>374</v>
      </c>
      <c r="C176" s="653">
        <v>259.3</v>
      </c>
      <c r="D176" s="705" t="str">
        <f>IF(ISERROR(C176/#REF!),"NA",IF(OR(C176/#REF!&gt;2,C176/#REF!&lt;0.5),"NM",C176/#REF!*100-100))</f>
        <v>NA</v>
      </c>
      <c r="E176" s="653">
        <v>282.89999999999998</v>
      </c>
      <c r="F176" s="705" t="str">
        <f>IF(ISERROR(E176/#REF!),"NA",IF(OR(E176/#REF!&gt;2,E176/#REF!&lt;0.5),"NM",E176/#REF!*100-100))</f>
        <v>NA</v>
      </c>
      <c r="G176" s="653">
        <v>278.7</v>
      </c>
      <c r="H176" s="705" t="str">
        <f>IF(ISERROR(G176/#REF!),"NA",IF(OR(G176/#REF!&gt;2,G176/#REF!&lt;0.5),"NM",G176/#REF!*100-100))</f>
        <v>NA</v>
      </c>
      <c r="I176" s="653">
        <v>351.6</v>
      </c>
      <c r="J176" s="9" t="str">
        <f>IF(ISERROR(I176/#REF!),"NA",IF(OR(I176/#REF!&gt;2,I176/#REF!&lt;0.5),"NM",I176/#REF!*100-100))</f>
        <v>NA</v>
      </c>
      <c r="K176" s="653">
        <v>293.8</v>
      </c>
      <c r="L176" s="9">
        <f t="shared" ref="L176:L184" si="1044">IF(ISERROR(K176/C176),"NA",IF(OR(K176/C176&gt;2,K176/C176&lt;0.5),"NM",K176/C176*100-100))</f>
        <v>13.305052063247217</v>
      </c>
      <c r="M176" s="653">
        <v>302.89999999999998</v>
      </c>
      <c r="N176" s="9">
        <f t="shared" ref="N176:N184" si="1045">IF(ISERROR(M176/E176),"NA",IF(OR(M176/E176&gt;2,M176/E176&lt;0.5),"NM",M176/E176*100-100))</f>
        <v>7.0696359137504459</v>
      </c>
      <c r="O176" s="653">
        <v>310.60000000000002</v>
      </c>
      <c r="P176" s="9">
        <f t="shared" ref="P176:P182" si="1046">IF(ISERROR(O176/G176),"NA",IF(OR(O176/G176&gt;2,O176/G176&lt;0.5),"NM",O176/G176*100-100))</f>
        <v>11.445999282382502</v>
      </c>
      <c r="Q176" s="653">
        <v>339.6</v>
      </c>
      <c r="R176" s="9">
        <f t="shared" ref="R176:R182" si="1047">IF(ISERROR(Q176/I176),"NA",IF(OR(Q176/I176&gt;2,Q176/I176&lt;0.5),"NM",Q176/I176*100-100))</f>
        <v>-3.4129692832764391</v>
      </c>
      <c r="S176" s="653">
        <v>327.5</v>
      </c>
      <c r="T176" s="9">
        <f t="shared" ref="T176:T182" si="1048">IF(ISERROR(S176/K176),"NA",IF(OR(S176/K176&gt;2,S176/K176&lt;0.5),"NM",S176/K176*100-100))</f>
        <v>11.470388019060579</v>
      </c>
      <c r="U176" s="653">
        <v>336.8</v>
      </c>
      <c r="V176" s="9">
        <f t="shared" ref="V176:V182" si="1049">IF(ISERROR(U176/M176),"NA",IF(OR(U176/M176&gt;2,U176/M176&lt;0.5),"NM",U176/M176*100-100))</f>
        <v>11.191812479366135</v>
      </c>
      <c r="W176" s="653">
        <v>330.5</v>
      </c>
      <c r="X176" s="9">
        <f t="shared" ref="X176:X182" si="1050">IF(ISERROR(W176/O176),"NA",IF(OR(W176/O176&gt;2,W176/O176&lt;0.5),"NM",W176/O176*100-100))</f>
        <v>6.4069542820347749</v>
      </c>
      <c r="Y176" s="653">
        <v>340.6</v>
      </c>
      <c r="Z176" s="9">
        <f t="shared" ref="Z176:Z182" si="1051">IF(ISERROR(Y176/Q176),"NA",IF(OR(Y176/Q176&gt;2,Y176/Q176&lt;0.5),"NM",Y176/Q176*100-100))</f>
        <v>0.29446407538280539</v>
      </c>
      <c r="AA176" s="653">
        <v>311.10000000000002</v>
      </c>
      <c r="AB176" s="9">
        <f t="shared" ref="AB176:AB182" si="1052">IF(ISERROR(AA176/S176),"NA",IF(OR(AA176/S176&gt;2,AA176/S176&lt;0.5),"NM",AA176/S176*100-100))</f>
        <v>-5.007633587786259</v>
      </c>
      <c r="AC176" s="653">
        <v>348.9</v>
      </c>
      <c r="AD176" s="9">
        <f t="shared" ref="AD176:AD182" si="1053">IF(ISERROR(AC176/U176),"NA",IF(OR(AC176/U176&gt;2,AC176/U176&lt;0.5),"NM",AC176/U176*100-100))</f>
        <v>3.592636579572428</v>
      </c>
      <c r="AE176" s="653">
        <v>344.3</v>
      </c>
      <c r="AF176" s="9">
        <f t="shared" ref="AF176:AF182" si="1054">IF(ISERROR(AE176/W176),"NA",IF(OR(AE176/W176&gt;2,AE176/W176&lt;0.5),"NM",AE176/W176*100-100))</f>
        <v>4.1754916792738186</v>
      </c>
      <c r="AG176" s="653">
        <v>368.8</v>
      </c>
      <c r="AH176" s="9">
        <f t="shared" ref="AH176:AH184" si="1055">IF(ISERROR(AG176/Y176),"NA",IF(OR(AG176/Y176&gt;2,AG176/Y176&lt;0.5),"NM",AG176/Y176*100-100))</f>
        <v>8.2795067527891888</v>
      </c>
      <c r="AI176" s="653">
        <v>344.7</v>
      </c>
      <c r="AJ176" s="9">
        <f t="shared" ref="AJ176:AJ178" si="1056">IF(ISERROR(AI176/AA176),"NA",IF(OR(AI176/AA176&gt;2,AI176/AA176&lt;0.5),"NM",AI176/AA176*100-100))</f>
        <v>10.800385728061698</v>
      </c>
      <c r="AK176" s="653">
        <v>354.2</v>
      </c>
      <c r="AL176" s="9">
        <f t="shared" ref="AL176:AL178" si="1057">IF(ISERROR(AK176/AC176),"NA",IF(OR(AK176/AC176&gt;2,AK176/AC176&lt;0.5),"NM",AK176/AC176*100-100))</f>
        <v>1.5190599025508789</v>
      </c>
      <c r="AM176" s="653">
        <v>366.7</v>
      </c>
      <c r="AN176" s="9">
        <f t="shared" ref="AN176:AN178" si="1058">IF(ISERROR(AM176/AE176),"NA",IF(OR(AM176/AE176&gt;2,AM176/AE176&lt;0.5),"NM",AM176/AE176*100-100))</f>
        <v>6.5059541097879645</v>
      </c>
      <c r="AO176" s="653">
        <v>368.6</v>
      </c>
      <c r="AP176" s="9">
        <f t="shared" ref="AP176:AP178" si="1059">IF(ISERROR(AO176/AG176),"NA",IF(OR(AO176/AG176&gt;2,AO176/AG176&lt;0.5),"NM",AO176/AG176*100-100))</f>
        <v>-5.4229934924080681E-2</v>
      </c>
      <c r="AQ176" s="691">
        <f t="shared" ref="AQ176" si="1060">AQ189*AQ161/400</f>
        <v>375.95968812499996</v>
      </c>
      <c r="AR176" s="9">
        <f t="shared" ref="AR176:AR178" si="1061">IF(ISERROR(AQ176/AI176),"NA",IF(OR(AQ176/AI176&gt;2,AQ176/AI176&lt;0.5),"NM",AQ176/AI176*100-100))</f>
        <v>9.06866496228605</v>
      </c>
      <c r="AS176" s="691">
        <f t="shared" ref="AS176" si="1062">AS189*AS161/400</f>
        <v>377.82149657131248</v>
      </c>
      <c r="AT176" s="9">
        <f t="shared" ref="AT176:AT178" si="1063">IF(ISERROR(AS176/AK176),"NA",IF(OR(AS176/AK176&gt;2,AS176/AK176&lt;0.5),"NM",AS176/AK176*100-100))</f>
        <v>6.6689713640069073</v>
      </c>
      <c r="AU176" s="691">
        <f t="shared" ref="AU176" si="1064">AU189*AU161/400</f>
        <v>383.76145484440241</v>
      </c>
      <c r="AV176" s="9">
        <f t="shared" ref="AV176:AV178" si="1065">IF(ISERROR(AU176/AM176),"NA",IF(OR(AU176/AM176&gt;2,AU176/AM176&lt;0.5),"NM",AU176/AM176*100-100))</f>
        <v>4.6527010756483236</v>
      </c>
      <c r="AW176" s="691">
        <f t="shared" ref="AW176" si="1066">AW189*AW161/400</f>
        <v>389.46848111548832</v>
      </c>
      <c r="AX176" s="9">
        <f t="shared" ref="AX176:AX178" si="1067">IF(ISERROR(AW176/AO176),"NA",IF(OR(AW176/AO176&gt;2,AW176/AO176&lt;0.5),"NM",AW176/AO176*100-100))</f>
        <v>5.661552120316955</v>
      </c>
      <c r="AY176" s="356"/>
      <c r="AZ176" s="618"/>
      <c r="BA176" s="620"/>
      <c r="BB176" s="55">
        <f>C176+E176+G176+I176</f>
        <v>1172.5</v>
      </c>
      <c r="BC176" s="226" t="str">
        <f>IF(ISERROR(BB176/#REF!),"NA",IF(OR(BB176/#REF!&gt;2,BB176/#REF!&lt;0.5),"NM",BB176/#REF!*100-100))</f>
        <v>NA</v>
      </c>
      <c r="BD176" s="908">
        <f>K176+M176+O176+Q176</f>
        <v>1246.9000000000001</v>
      </c>
      <c r="BE176" s="226">
        <f t="shared" ref="BE176:BS193" si="1068">IF(ISERROR(BD176/BB176),"NA",IF(OR(BD176/BB176&gt;2,BD176/BB176&lt;0.5),"NM",BD176/BB176*100-100))</f>
        <v>6.3454157782516063</v>
      </c>
      <c r="BF176" s="55">
        <f>S176+U176+W176+Y176</f>
        <v>1335.4</v>
      </c>
      <c r="BG176" s="226">
        <f t="shared" si="1068"/>
        <v>7.0976020530916628</v>
      </c>
      <c r="BH176" s="55">
        <f>AA176+AC176+AE176+AG176</f>
        <v>1373.1</v>
      </c>
      <c r="BI176" s="226">
        <f t="shared" si="1068"/>
        <v>2.8231241575557675</v>
      </c>
      <c r="BJ176" s="55">
        <f>AI176+AK176+AM176+AO176</f>
        <v>1434.1999999999998</v>
      </c>
      <c r="BK176" s="226">
        <f t="shared" si="1068"/>
        <v>4.4497851576724088</v>
      </c>
      <c r="BL176" s="55">
        <f>AQ176+AS176+AU176+AW176</f>
        <v>1527.0111206562033</v>
      </c>
      <c r="BM176" s="226">
        <f t="shared" si="1068"/>
        <v>6.4712815964442569</v>
      </c>
      <c r="BN176" s="55">
        <f t="shared" ref="BN176:BP176" si="1069">BN189*BN161/100</f>
        <v>1614.7180515536775</v>
      </c>
      <c r="BO176" s="226">
        <f t="shared" si="1068"/>
        <v>5.7436995520886427</v>
      </c>
      <c r="BP176" s="55">
        <f t="shared" si="1069"/>
        <v>1686.3386588387889</v>
      </c>
      <c r="BQ176" s="226">
        <f t="shared" si="1068"/>
        <v>4.4354868774891116</v>
      </c>
      <c r="BR176" s="55">
        <f t="shared" ref="BR176:BT176" si="1070">BR189*BR161/100</f>
        <v>1789.1110384033566</v>
      </c>
      <c r="BS176" s="226">
        <f t="shared" si="1068"/>
        <v>6.094409270990468</v>
      </c>
      <c r="BT176" s="55">
        <f t="shared" si="1070"/>
        <v>1900.2897882129851</v>
      </c>
      <c r="BU176" s="226">
        <f t="shared" ref="BU176:BU184" si="1071">IF(ISERROR(BT176/BR176),"NA",IF(OR(BT176/BR176&gt;2,BT176/BR176&lt;0.5),"NM",BT176/BR176*100-100))</f>
        <v>6.2141894730495295</v>
      </c>
      <c r="BV176" s="43">
        <f t="shared" ref="BV176:BV184" si="1072">IF(ISERROR(((BT176/BJ176)^0.2-1)*100),"NA",IF((((BT176/BJ176)^0.2-1)*100)&gt;100,"NM",IF((((BT176/BJ176)^0.2-1)*100)&lt;-50,"NM",((BT176/BJ176)^0.2-1)*100)))</f>
        <v>5.7893681633931049</v>
      </c>
      <c r="BW176" s="621"/>
      <c r="BX176" s="621"/>
      <c r="BY176"/>
      <c r="BZ176"/>
      <c r="CA176"/>
      <c r="CB176"/>
      <c r="CC176"/>
      <c r="CD176"/>
    </row>
    <row r="177" spans="2:82" s="616" customFormat="1" ht="12.75" customHeight="1" x14ac:dyDescent="0.2">
      <c r="B177" s="62" t="s">
        <v>416</v>
      </c>
      <c r="C177" s="653">
        <v>5.5</v>
      </c>
      <c r="D177" s="705" t="str">
        <f>IF(ISERROR(C177/#REF!),"NA",IF(OR(C177/#REF!&gt;2,C177/#REF!&lt;0.5),"NM",C177/#REF!*100-100))</f>
        <v>NA</v>
      </c>
      <c r="E177" s="653">
        <v>1.3</v>
      </c>
      <c r="F177" s="705" t="str">
        <f>IF(ISERROR(E177/#REF!),"NA",IF(OR(E177/#REF!&gt;2,E177/#REF!&lt;0.5),"NM",E177/#REF!*100-100))</f>
        <v>NA</v>
      </c>
      <c r="G177" s="653">
        <v>2.2000000000000002</v>
      </c>
      <c r="H177" s="705" t="str">
        <f>IF(ISERROR(G177/#REF!),"NA",IF(OR(G177/#REF!&gt;2,G177/#REF!&lt;0.5),"NM",G177/#REF!*100-100))</f>
        <v>NA</v>
      </c>
      <c r="I177" s="653">
        <v>8.1999999999999993</v>
      </c>
      <c r="J177" s="9" t="str">
        <f>IF(ISERROR(I177/#REF!),"NA",IF(OR(I177/#REF!&gt;2,I177/#REF!&lt;0.5),"NM",I177/#REF!*100-100))</f>
        <v>NA</v>
      </c>
      <c r="K177" s="653">
        <v>1.4</v>
      </c>
      <c r="L177" s="9" t="str">
        <f t="shared" si="1044"/>
        <v>NM</v>
      </c>
      <c r="M177" s="653">
        <v>1.2</v>
      </c>
      <c r="N177" s="9">
        <f t="shared" si="1045"/>
        <v>-7.6923076923076934</v>
      </c>
      <c r="O177" s="653">
        <v>0.4</v>
      </c>
      <c r="P177" s="9" t="str">
        <f t="shared" si="1046"/>
        <v>NM</v>
      </c>
      <c r="Q177" s="653">
        <v>7.5</v>
      </c>
      <c r="R177" s="9">
        <f t="shared" si="1047"/>
        <v>-8.5365853658536537</v>
      </c>
      <c r="S177" s="653">
        <v>1.4</v>
      </c>
      <c r="T177" s="9">
        <f t="shared" si="1048"/>
        <v>0</v>
      </c>
      <c r="U177" s="653">
        <v>1</v>
      </c>
      <c r="V177" s="9">
        <f t="shared" si="1049"/>
        <v>-16.666666666666657</v>
      </c>
      <c r="W177" s="653">
        <v>-1</v>
      </c>
      <c r="X177" s="9" t="str">
        <f t="shared" si="1050"/>
        <v>NM</v>
      </c>
      <c r="Y177" s="653">
        <v>6.7</v>
      </c>
      <c r="Z177" s="9">
        <f t="shared" si="1051"/>
        <v>-10.666666666666671</v>
      </c>
      <c r="AA177" s="653">
        <v>-1.6</v>
      </c>
      <c r="AB177" s="9" t="str">
        <f t="shared" si="1052"/>
        <v>NM</v>
      </c>
      <c r="AC177" s="653">
        <v>2.4</v>
      </c>
      <c r="AD177" s="9" t="str">
        <f t="shared" si="1053"/>
        <v>NM</v>
      </c>
      <c r="AE177" s="653">
        <v>1.9</v>
      </c>
      <c r="AF177" s="9" t="str">
        <f t="shared" si="1054"/>
        <v>NM</v>
      </c>
      <c r="AG177" s="653">
        <v>11.3</v>
      </c>
      <c r="AH177" s="9">
        <f t="shared" si="1055"/>
        <v>68.656716417910445</v>
      </c>
      <c r="AI177" s="653">
        <v>1.2</v>
      </c>
      <c r="AJ177" s="9" t="str">
        <f t="shared" si="1056"/>
        <v>NM</v>
      </c>
      <c r="AK177" s="653">
        <v>1.3</v>
      </c>
      <c r="AL177" s="9">
        <f t="shared" si="1057"/>
        <v>-45.833333333333329</v>
      </c>
      <c r="AM177" s="653">
        <v>0.8</v>
      </c>
      <c r="AN177" s="9" t="str">
        <f t="shared" si="1058"/>
        <v>NM</v>
      </c>
      <c r="AO177" s="653">
        <v>6.9</v>
      </c>
      <c r="AP177" s="9">
        <f t="shared" si="1059"/>
        <v>-38.93805309734514</v>
      </c>
      <c r="AQ177" s="691">
        <f t="shared" ref="AQ177:AW177" si="1073">AQ190*AQ161/400</f>
        <v>2.1483410749999998</v>
      </c>
      <c r="AR177" s="9">
        <f t="shared" si="1061"/>
        <v>79.028422916666642</v>
      </c>
      <c r="AS177" s="691">
        <f t="shared" si="1073"/>
        <v>2.1589799804075001</v>
      </c>
      <c r="AT177" s="9">
        <f t="shared" si="1063"/>
        <v>66.07538310826925</v>
      </c>
      <c r="AU177" s="691">
        <f t="shared" si="1073"/>
        <v>2.192922599110871</v>
      </c>
      <c r="AV177" s="9" t="str">
        <f t="shared" si="1065"/>
        <v>NM</v>
      </c>
      <c r="AW177" s="691">
        <f t="shared" si="1073"/>
        <v>2.2255341778027908</v>
      </c>
      <c r="AX177" s="9" t="str">
        <f t="shared" si="1067"/>
        <v>NM</v>
      </c>
      <c r="AY177" s="356"/>
      <c r="AZ177" s="618"/>
      <c r="BA177" s="620"/>
      <c r="BB177" s="55">
        <f>C177+E177+G177+I177</f>
        <v>17.2</v>
      </c>
      <c r="BC177" s="226" t="str">
        <f>IF(ISERROR(BB177/#REF!),"NA",IF(OR(BB177/#REF!&gt;2,BB177/#REF!&lt;0.5),"NM",BB177/#REF!*100-100))</f>
        <v>NA</v>
      </c>
      <c r="BD177" s="908">
        <f>K177+M177+O177+Q177</f>
        <v>10.5</v>
      </c>
      <c r="BE177" s="226">
        <f t="shared" si="1068"/>
        <v>-38.953488372093027</v>
      </c>
      <c r="BF177" s="55">
        <f>S177+U177+W177+Y177</f>
        <v>8.1</v>
      </c>
      <c r="BG177" s="226">
        <f t="shared" si="1068"/>
        <v>-22.857142857142861</v>
      </c>
      <c r="BH177" s="55">
        <f>AA177+AC177+AE177+AG177</f>
        <v>14</v>
      </c>
      <c r="BI177" s="226">
        <f t="shared" si="1068"/>
        <v>72.839506172839521</v>
      </c>
      <c r="BJ177" s="55">
        <f>AI177+AK177+AM177+AO177</f>
        <v>10.199999999999999</v>
      </c>
      <c r="BK177" s="226">
        <f t="shared" si="1068"/>
        <v>-27.142857142857153</v>
      </c>
      <c r="BL177" s="55">
        <f>AQ177+AS177+AU177+AW177</f>
        <v>8.7257778323211621</v>
      </c>
      <c r="BM177" s="226">
        <f t="shared" si="1068"/>
        <v>-14.453158506655271</v>
      </c>
      <c r="BN177" s="55">
        <f t="shared" ref="BN177:BP177" si="1074">BN190*BN161/100</f>
        <v>9.2269602945924412</v>
      </c>
      <c r="BO177" s="226">
        <f t="shared" si="1068"/>
        <v>5.7436995520886285</v>
      </c>
      <c r="BP177" s="55">
        <f t="shared" si="1074"/>
        <v>9.7758762831234147</v>
      </c>
      <c r="BQ177" s="226">
        <f t="shared" si="1068"/>
        <v>5.949044658322336</v>
      </c>
      <c r="BR177" s="55">
        <f t="shared" ref="BR177:BT177" si="1075">BR190*BR161/100</f>
        <v>10.371658193642647</v>
      </c>
      <c r="BS177" s="226">
        <f t="shared" si="1068"/>
        <v>6.094409270990468</v>
      </c>
      <c r="BT177" s="55">
        <f t="shared" si="1075"/>
        <v>11.016172685292666</v>
      </c>
      <c r="BU177" s="226">
        <f t="shared" si="1071"/>
        <v>6.2141894730495295</v>
      </c>
      <c r="BV177" s="43">
        <f t="shared" si="1072"/>
        <v>1.551446218039243</v>
      </c>
      <c r="BW177" s="621"/>
      <c r="BX177" s="621"/>
      <c r="BY177"/>
      <c r="BZ177"/>
      <c r="CA177"/>
      <c r="CB177"/>
      <c r="CC177"/>
      <c r="CD177"/>
    </row>
    <row r="178" spans="2:82" s="616" customFormat="1" ht="12.75" customHeight="1" x14ac:dyDescent="0.2">
      <c r="B178" s="67" t="s">
        <v>95</v>
      </c>
      <c r="C178" s="695">
        <f t="shared" ref="C178:M178" si="1076">C176+C177</f>
        <v>264.8</v>
      </c>
      <c r="D178" s="705" t="str">
        <f>IF(ISERROR(C178/#REF!),"NA",IF(OR(C178/#REF!&gt;2,C178/#REF!&lt;0.5),"NM",C178/#REF!*100-100))</f>
        <v>NA</v>
      </c>
      <c r="E178" s="695">
        <f t="shared" si="1076"/>
        <v>284.2</v>
      </c>
      <c r="F178" s="705" t="str">
        <f>IF(ISERROR(E178/#REF!),"NA",IF(OR(E178/#REF!&gt;2,E178/#REF!&lt;0.5),"NM",E178/#REF!*100-100))</f>
        <v>NA</v>
      </c>
      <c r="G178" s="695">
        <f t="shared" si="1076"/>
        <v>280.89999999999998</v>
      </c>
      <c r="H178" s="705" t="str">
        <f>IF(ISERROR(G178/#REF!),"NA",IF(OR(G178/#REF!&gt;2,G178/#REF!&lt;0.5),"NM",G178/#REF!*100-100))</f>
        <v>NA</v>
      </c>
      <c r="I178" s="695">
        <f t="shared" si="1076"/>
        <v>359.8</v>
      </c>
      <c r="J178" s="9" t="str">
        <f>IF(ISERROR(I178/#REF!),"NA",IF(OR(I178/#REF!&gt;2,I178/#REF!&lt;0.5),"NM",I178/#REF!*100-100))</f>
        <v>NA</v>
      </c>
      <c r="K178" s="695">
        <f t="shared" si="1076"/>
        <v>295.2</v>
      </c>
      <c r="L178" s="9">
        <f t="shared" si="1044"/>
        <v>11.48036253776435</v>
      </c>
      <c r="M178" s="695">
        <f t="shared" si="1076"/>
        <v>304.09999999999997</v>
      </c>
      <c r="N178" s="9">
        <f t="shared" si="1045"/>
        <v>7.0021111893032923</v>
      </c>
      <c r="O178" s="695">
        <f>O176+O177</f>
        <v>311</v>
      </c>
      <c r="P178" s="9">
        <f t="shared" si="1046"/>
        <v>10.715557137771455</v>
      </c>
      <c r="Q178" s="695">
        <f>Q176+Q177</f>
        <v>347.1</v>
      </c>
      <c r="R178" s="9">
        <f t="shared" si="1047"/>
        <v>-3.5297387437465204</v>
      </c>
      <c r="S178" s="695">
        <f>S176+S177</f>
        <v>328.9</v>
      </c>
      <c r="T178" s="9">
        <f t="shared" si="1048"/>
        <v>11.415989159891595</v>
      </c>
      <c r="U178" s="695">
        <f>U176+U177</f>
        <v>337.8</v>
      </c>
      <c r="V178" s="9">
        <f t="shared" si="1049"/>
        <v>11.081880960210484</v>
      </c>
      <c r="W178" s="695">
        <f t="shared" ref="W178:Y178" si="1077">W176+W177</f>
        <v>329.5</v>
      </c>
      <c r="X178" s="9">
        <f t="shared" si="1050"/>
        <v>5.9485530546623693</v>
      </c>
      <c r="Y178" s="695">
        <f t="shared" si="1077"/>
        <v>347.3</v>
      </c>
      <c r="Z178" s="9">
        <f t="shared" si="1051"/>
        <v>5.7620282339371443E-2</v>
      </c>
      <c r="AA178" s="695">
        <f t="shared" ref="AA178:AC178" si="1078">AA176+AA177</f>
        <v>309.5</v>
      </c>
      <c r="AB178" s="9">
        <f t="shared" si="1052"/>
        <v>-5.8984493767102322</v>
      </c>
      <c r="AC178" s="695">
        <f t="shared" si="1078"/>
        <v>351.29999999999995</v>
      </c>
      <c r="AD178" s="9">
        <f t="shared" si="1053"/>
        <v>3.9964476021314255</v>
      </c>
      <c r="AE178" s="695">
        <f t="shared" ref="AE178:AG178" si="1079">AE176+AE177</f>
        <v>346.2</v>
      </c>
      <c r="AF178" s="9">
        <f t="shared" si="1054"/>
        <v>5.0682852807283751</v>
      </c>
      <c r="AG178" s="695">
        <f t="shared" si="1079"/>
        <v>380.1</v>
      </c>
      <c r="AH178" s="9">
        <f t="shared" si="1055"/>
        <v>9.4442844802764085</v>
      </c>
      <c r="AI178" s="695">
        <f t="shared" ref="AI178:AK178" si="1080">AI176+AI177</f>
        <v>345.9</v>
      </c>
      <c r="AJ178" s="9">
        <f t="shared" si="1056"/>
        <v>11.76090468497577</v>
      </c>
      <c r="AK178" s="695">
        <f t="shared" si="1080"/>
        <v>355.5</v>
      </c>
      <c r="AL178" s="9">
        <f t="shared" si="1057"/>
        <v>1.1955593509820801</v>
      </c>
      <c r="AM178" s="695">
        <f t="shared" ref="AM178:AO178" si="1081">AM176+AM177</f>
        <v>367.5</v>
      </c>
      <c r="AN178" s="9">
        <f t="shared" si="1058"/>
        <v>6.1525129982668858</v>
      </c>
      <c r="AO178" s="695">
        <f t="shared" si="1081"/>
        <v>375.5</v>
      </c>
      <c r="AP178" s="9">
        <f t="shared" si="1059"/>
        <v>-1.2102078400421021</v>
      </c>
      <c r="AQ178" s="695">
        <f t="shared" ref="AQ178:AW178" si="1082">AQ176+AQ177</f>
        <v>378.10802919999998</v>
      </c>
      <c r="AR178" s="9">
        <f t="shared" si="1061"/>
        <v>9.3113701069673454</v>
      </c>
      <c r="AS178" s="695">
        <f t="shared" si="1082"/>
        <v>379.98047655171996</v>
      </c>
      <c r="AT178" s="9">
        <f t="shared" si="1063"/>
        <v>6.886210000483814</v>
      </c>
      <c r="AU178" s="695">
        <f t="shared" si="1082"/>
        <v>385.95437744351329</v>
      </c>
      <c r="AV178" s="9">
        <f t="shared" si="1065"/>
        <v>5.0215993043573519</v>
      </c>
      <c r="AW178" s="695">
        <f t="shared" si="1082"/>
        <v>391.6940152932911</v>
      </c>
      <c r="AX178" s="9">
        <f t="shared" si="1067"/>
        <v>4.3126538730468837</v>
      </c>
      <c r="AY178" s="356"/>
      <c r="AZ178" s="618"/>
      <c r="BA178" s="620"/>
      <c r="BB178" s="81">
        <f>SUM(BB176:BB177)</f>
        <v>1189.7</v>
      </c>
      <c r="BC178" s="226" t="str">
        <f>IF(ISERROR(BB178/#REF!),"NA",IF(OR(BB178/#REF!&gt;2,BB178/#REF!&lt;0.5),"NM",BB178/#REF!*100-100))</f>
        <v>NA</v>
      </c>
      <c r="BD178" s="913">
        <f>SUM(BD176:BD177)</f>
        <v>1257.4000000000001</v>
      </c>
      <c r="BE178" s="226">
        <f t="shared" si="1068"/>
        <v>5.6905102126586513</v>
      </c>
      <c r="BF178" s="81">
        <f>SUM(BF176:BF177)</f>
        <v>1343.5</v>
      </c>
      <c r="BG178" s="226">
        <f t="shared" si="1068"/>
        <v>6.8474630189279395</v>
      </c>
      <c r="BH178" s="81">
        <f>SUM(BH176:BH177)</f>
        <v>1387.1</v>
      </c>
      <c r="BI178" s="226">
        <f t="shared" si="1068"/>
        <v>3.2452549311499723</v>
      </c>
      <c r="BJ178" s="81">
        <f>SUM(BJ176:BJ177)</f>
        <v>1444.3999999999999</v>
      </c>
      <c r="BK178" s="226">
        <f t="shared" si="1068"/>
        <v>4.130920625765981</v>
      </c>
      <c r="BL178" s="81">
        <f>SUM(BL176:BL177)</f>
        <v>1535.7368984885245</v>
      </c>
      <c r="BM178" s="226">
        <f t="shared" si="1068"/>
        <v>6.3235183113074385</v>
      </c>
      <c r="BN178" s="81">
        <f t="shared" ref="BN178" si="1083">SUM(BN176:BN177)</f>
        <v>1623.9450118482698</v>
      </c>
      <c r="BO178" s="226">
        <f t="shared" si="1068"/>
        <v>5.7436995520886427</v>
      </c>
      <c r="BP178" s="81">
        <f t="shared" ref="BP178:BR178" si="1084">SUM(BP176:BP177)</f>
        <v>1696.1145351219122</v>
      </c>
      <c r="BQ178" s="226">
        <f t="shared" si="1068"/>
        <v>4.4440866376074979</v>
      </c>
      <c r="BR178" s="81">
        <f t="shared" si="1084"/>
        <v>1799.4826965969992</v>
      </c>
      <c r="BS178" s="226">
        <f t="shared" si="1068"/>
        <v>6.094409270990468</v>
      </c>
      <c r="BT178" s="81">
        <f t="shared" ref="BT178" si="1085">SUM(BT176:BT177)</f>
        <v>1911.3059608982778</v>
      </c>
      <c r="BU178" s="226">
        <f t="shared" si="1071"/>
        <v>6.2141894730495295</v>
      </c>
      <c r="BV178" s="43">
        <f t="shared" si="1072"/>
        <v>5.761730175251456</v>
      </c>
      <c r="BW178" s="621"/>
      <c r="BX178" s="621"/>
      <c r="BY178"/>
      <c r="BZ178"/>
      <c r="CA178"/>
      <c r="CB178"/>
      <c r="CC178"/>
      <c r="CD178"/>
    </row>
    <row r="179" spans="2:82" s="616" customFormat="1" ht="12.75" customHeight="1" x14ac:dyDescent="0.2">
      <c r="B179" s="67" t="s">
        <v>623</v>
      </c>
      <c r="C179" s="695">
        <f>C178-C180</f>
        <v>226.70000000000002</v>
      </c>
      <c r="D179" s="705"/>
      <c r="E179" s="695">
        <f>E178-E180</f>
        <v>243.89999999999998</v>
      </c>
      <c r="F179" s="705"/>
      <c r="G179" s="695">
        <f>G178-G180</f>
        <v>239.49999999999997</v>
      </c>
      <c r="H179" s="705"/>
      <c r="I179" s="695">
        <f>I178-I180</f>
        <v>317.90000000000003</v>
      </c>
      <c r="J179" s="9"/>
      <c r="K179" s="695">
        <f>K178-K180</f>
        <v>253.2</v>
      </c>
      <c r="L179" s="9"/>
      <c r="M179" s="695">
        <f>M178-M180</f>
        <v>260.59999999999997</v>
      </c>
      <c r="N179" s="9"/>
      <c r="O179" s="695">
        <f>O178-O180</f>
        <v>267.2</v>
      </c>
      <c r="P179" s="9"/>
      <c r="Q179" s="695">
        <f>Q178-Q180</f>
        <v>303.40000000000003</v>
      </c>
      <c r="R179" s="9"/>
      <c r="S179" s="695">
        <f>S178-S180</f>
        <v>283.59999999999997</v>
      </c>
      <c r="T179" s="9"/>
      <c r="U179" s="695">
        <f>U178-U180</f>
        <v>291.2</v>
      </c>
      <c r="V179" s="9"/>
      <c r="W179" s="695">
        <f>W178-W180</f>
        <v>284.2</v>
      </c>
      <c r="X179" s="9"/>
      <c r="Y179" s="695">
        <f>Y178-Y180</f>
        <v>302.2</v>
      </c>
      <c r="Z179" s="9"/>
      <c r="AA179" s="695">
        <f>AA178-AA180</f>
        <v>269.7</v>
      </c>
      <c r="AB179" s="9"/>
      <c r="AC179" s="695">
        <f>AC178-AC180</f>
        <v>310.69999999999993</v>
      </c>
      <c r="AD179" s="9"/>
      <c r="AE179" s="695">
        <f>AE178-AE180</f>
        <v>304.59999999999997</v>
      </c>
      <c r="AF179" s="9"/>
      <c r="AG179" s="695">
        <f>AG178-AG180</f>
        <v>339.1</v>
      </c>
      <c r="AH179" s="9"/>
      <c r="AI179" s="695">
        <f>AI178-AI180</f>
        <v>306.29999999999995</v>
      </c>
      <c r="AJ179" s="9"/>
      <c r="AK179" s="695">
        <f>AK178-AK180</f>
        <v>315.7</v>
      </c>
      <c r="AL179" s="9"/>
      <c r="AM179" s="695">
        <f>AM178-AM180</f>
        <v>327.5</v>
      </c>
      <c r="AN179" s="9"/>
      <c r="AO179" s="695">
        <f>AO178-AO180</f>
        <v>335.3</v>
      </c>
      <c r="AP179" s="9"/>
      <c r="AQ179" s="695">
        <f t="shared" ref="AQ179:AW179" si="1086">AQ178-AQ180</f>
        <v>337.6663006984781</v>
      </c>
      <c r="AR179" s="9"/>
      <c r="AS179" s="695">
        <f t="shared" si="1086"/>
        <v>339.33847457916949</v>
      </c>
      <c r="AT179" s="9"/>
      <c r="AU179" s="695">
        <f t="shared" si="1086"/>
        <v>344.67341819075892</v>
      </c>
      <c r="AV179" s="9"/>
      <c r="AW179" s="695">
        <f t="shared" si="1086"/>
        <v>349.79915509770592</v>
      </c>
      <c r="AX179" s="9"/>
      <c r="AY179" s="356"/>
      <c r="AZ179" s="618"/>
      <c r="BA179" s="620"/>
      <c r="BB179" s="695">
        <f>BB178-BB180</f>
        <v>1028</v>
      </c>
      <c r="BC179" s="226"/>
      <c r="BD179" s="695">
        <f>BD178-BD180</f>
        <v>1084.4000000000001</v>
      </c>
      <c r="BE179" s="226"/>
      <c r="BF179" s="695">
        <f>BF178-BF180</f>
        <v>1161.2</v>
      </c>
      <c r="BG179" s="226"/>
      <c r="BH179" s="695">
        <f>BH178-BH180</f>
        <v>1224.0999999999999</v>
      </c>
      <c r="BI179" s="226">
        <f t="shared" si="1068"/>
        <v>5.4168101963485924</v>
      </c>
      <c r="BJ179" s="695">
        <f>BJ178-BJ180</f>
        <v>1284.7999999999997</v>
      </c>
      <c r="BK179" s="226">
        <f t="shared" si="1068"/>
        <v>4.9587452005554979</v>
      </c>
      <c r="BL179" s="695">
        <f>BL178-BL180</f>
        <v>1371.4773485661126</v>
      </c>
      <c r="BM179" s="226">
        <f t="shared" si="1068"/>
        <v>6.7463689730785177</v>
      </c>
      <c r="BN179" s="695">
        <f>BN178-BN180</f>
        <v>1450.2508868927014</v>
      </c>
      <c r="BO179" s="226">
        <f t="shared" si="1068"/>
        <v>5.7436995520886285</v>
      </c>
      <c r="BP179" s="695">
        <f>BP178-BP180</f>
        <v>1512.0872691038549</v>
      </c>
      <c r="BQ179" s="226">
        <f t="shared" si="1068"/>
        <v>4.2638403306646921</v>
      </c>
      <c r="BR179" s="695">
        <f>BR178-BR180</f>
        <v>1604.2400558175871</v>
      </c>
      <c r="BS179" s="226">
        <f t="shared" si="1068"/>
        <v>6.0944092709904965</v>
      </c>
      <c r="BT179" s="695">
        <f>BT178-BT180</f>
        <v>1703.9305724886476</v>
      </c>
      <c r="BU179" s="226">
        <f t="shared" si="1071"/>
        <v>6.2141894730495437</v>
      </c>
      <c r="BV179" s="43">
        <f t="shared" si="1072"/>
        <v>5.8091616681966052</v>
      </c>
      <c r="BW179" s="621"/>
      <c r="BX179" s="621"/>
      <c r="BY179"/>
      <c r="BZ179"/>
      <c r="CA179"/>
      <c r="CB179"/>
      <c r="CC179"/>
      <c r="CD179"/>
    </row>
    <row r="180" spans="2:82" s="616" customFormat="1" ht="12.75" customHeight="1" x14ac:dyDescent="0.2">
      <c r="B180" s="62" t="s">
        <v>617</v>
      </c>
      <c r="C180" s="95">
        <v>38.1</v>
      </c>
      <c r="D180" s="95"/>
      <c r="E180" s="95">
        <v>40.299999999999997</v>
      </c>
      <c r="F180" s="705"/>
      <c r="G180" s="95">
        <v>41.4</v>
      </c>
      <c r="H180" s="95"/>
      <c r="I180" s="95">
        <v>41.9</v>
      </c>
      <c r="J180" s="95"/>
      <c r="K180" s="95">
        <v>42</v>
      </c>
      <c r="L180" s="95"/>
      <c r="M180" s="95">
        <v>43.5</v>
      </c>
      <c r="N180" s="95"/>
      <c r="O180" s="95">
        <v>43.8</v>
      </c>
      <c r="P180" s="95"/>
      <c r="Q180" s="95">
        <v>43.7</v>
      </c>
      <c r="R180" s="95"/>
      <c r="S180" s="95">
        <v>45.3</v>
      </c>
      <c r="T180" s="95"/>
      <c r="U180" s="95">
        <v>46.6</v>
      </c>
      <c r="V180" s="95"/>
      <c r="W180" s="95">
        <v>45.3</v>
      </c>
      <c r="X180" s="9"/>
      <c r="Y180" s="95">
        <v>45.1</v>
      </c>
      <c r="Z180" s="9"/>
      <c r="AA180" s="95">
        <v>39.799999999999997</v>
      </c>
      <c r="AB180" s="9"/>
      <c r="AC180" s="95">
        <v>40.6</v>
      </c>
      <c r="AD180" s="9"/>
      <c r="AE180" s="95">
        <v>41.6</v>
      </c>
      <c r="AF180" s="9"/>
      <c r="AG180" s="95">
        <v>41</v>
      </c>
      <c r="AH180" s="9"/>
      <c r="AI180" s="95">
        <v>39.6</v>
      </c>
      <c r="AJ180" s="9"/>
      <c r="AK180" s="95">
        <v>39.799999999999997</v>
      </c>
      <c r="AL180" s="9"/>
      <c r="AM180" s="95">
        <v>40</v>
      </c>
      <c r="AN180" s="9"/>
      <c r="AO180" s="95">
        <v>40.200000000000003</v>
      </c>
      <c r="AP180" s="9"/>
      <c r="AQ180" s="96">
        <f t="shared" ref="AQ180:AW181" si="1087">AQ191*AQ$161/400</f>
        <v>40.441728501521894</v>
      </c>
      <c r="AR180" s="9"/>
      <c r="AS180" s="96">
        <f t="shared" si="1087"/>
        <v>40.642001972550453</v>
      </c>
      <c r="AT180" s="9"/>
      <c r="AU180" s="96">
        <f t="shared" si="1087"/>
        <v>41.280959252754393</v>
      </c>
      <c r="AV180" s="9"/>
      <c r="AW180" s="96">
        <f t="shared" si="1087"/>
        <v>41.894860195585196</v>
      </c>
      <c r="AX180" s="9"/>
      <c r="AY180" s="356"/>
      <c r="AZ180" s="618"/>
      <c r="BA180" s="620"/>
      <c r="BB180" s="55">
        <f>C180+E180+G180+I180</f>
        <v>161.70000000000002</v>
      </c>
      <c r="BC180" s="226" t="str">
        <f>IF(ISERROR(BB180/#REF!),"NA",IF(OR(BB180/#REF!&gt;2,BB180/#REF!&lt;0.5),"NM",BB180/#REF!*100-100))</f>
        <v>NA</v>
      </c>
      <c r="BD180" s="908">
        <f>K180+M180+O180+Q180</f>
        <v>173</v>
      </c>
      <c r="BE180" s="226">
        <f t="shared" ref="BE180" si="1088">IF(ISERROR(BD180/BB180),"NA",IF(OR(BD180/BB180&gt;2,BD180/BB180&lt;0.5),"NM",BD180/BB180*100-100))</f>
        <v>6.9882498453927013</v>
      </c>
      <c r="BF180" s="55">
        <f>S180+U180+W180+Y180</f>
        <v>182.29999999999998</v>
      </c>
      <c r="BG180" s="226">
        <f t="shared" ref="BG180" si="1089">IF(ISERROR(BF180/BD180),"NA",IF(OR(BF180/BD180&gt;2,BF180/BD180&lt;0.5),"NM",BF180/BD180*100-100))</f>
        <v>5.3757225433525946</v>
      </c>
      <c r="BH180" s="55">
        <f>AA180+AC180+AE180+AG180</f>
        <v>163</v>
      </c>
      <c r="BI180" s="226">
        <f t="shared" si="1068"/>
        <v>-10.586944596818427</v>
      </c>
      <c r="BJ180" s="55">
        <f>AI180+AK180+AM180+AO180</f>
        <v>159.60000000000002</v>
      </c>
      <c r="BK180" s="226">
        <f t="shared" si="1068"/>
        <v>-2.0858895705521405</v>
      </c>
      <c r="BL180" s="55">
        <f>AQ180+AS180+AU180+AW180</f>
        <v>164.25954992241196</v>
      </c>
      <c r="BM180" s="226">
        <f t="shared" si="1068"/>
        <v>2.9195174952455716</v>
      </c>
      <c r="BN180" s="96">
        <f>BN191*BN$161/100</f>
        <v>173.69412495556836</v>
      </c>
      <c r="BO180" s="226">
        <f t="shared" si="1068"/>
        <v>5.7436995520886427</v>
      </c>
      <c r="BP180" s="96">
        <f>BP191*BP$161/100</f>
        <v>184.0272660180573</v>
      </c>
      <c r="BQ180" s="226">
        <f t="shared" si="1068"/>
        <v>5.949044658322336</v>
      </c>
      <c r="BR180" s="96">
        <f>BR191*BR$161/100</f>
        <v>195.24264077941206</v>
      </c>
      <c r="BS180" s="226">
        <f t="shared" si="1068"/>
        <v>6.0944092709904538</v>
      </c>
      <c r="BT180" s="96">
        <f>BT191*BT$161/100</f>
        <v>207.37538840963018</v>
      </c>
      <c r="BU180" s="226">
        <f t="shared" si="1071"/>
        <v>6.2141894730495295</v>
      </c>
      <c r="BV180" s="43">
        <f t="shared" si="1072"/>
        <v>5.3767657795693147</v>
      </c>
      <c r="BW180" s="621"/>
      <c r="BX180" s="621"/>
      <c r="BY180"/>
      <c r="BZ180"/>
      <c r="CA180"/>
      <c r="CB180"/>
      <c r="CC180"/>
      <c r="CD180"/>
    </row>
    <row r="181" spans="2:82" s="616" customFormat="1" ht="12.75" customHeight="1" x14ac:dyDescent="0.2">
      <c r="B181" s="62" t="s">
        <v>481</v>
      </c>
      <c r="C181" s="653">
        <f>3.6+158.9</f>
        <v>162.5</v>
      </c>
      <c r="D181" s="705" t="str">
        <f>IF(ISERROR(C181/#REF!),"NA",IF(OR(C181/#REF!&gt;2,C181/#REF!&lt;0.5),"NM",C181/#REF!*100-100))</f>
        <v>NA</v>
      </c>
      <c r="E181" s="653">
        <f>3.5+163.7</f>
        <v>167.2</v>
      </c>
      <c r="F181" s="705" t="str">
        <f>IF(ISERROR(E181/#REF!),"NA",IF(OR(E181/#REF!&gt;2,E181/#REF!&lt;0.5),"NM",E181/#REF!*100-100))</f>
        <v>NA</v>
      </c>
      <c r="G181" s="653">
        <f>3.5+159.7</f>
        <v>163.19999999999999</v>
      </c>
      <c r="H181" s="705" t="str">
        <f>IF(ISERROR(G181/#REF!),"NA",IF(OR(G181/#REF!&gt;2,G181/#REF!&lt;0.5),"NM",G181/#REF!*100-100))</f>
        <v>NA</v>
      </c>
      <c r="I181" s="653">
        <f>3.7+225.2</f>
        <v>228.89999999999998</v>
      </c>
      <c r="J181" s="9" t="str">
        <f>IF(ISERROR(I181/#REF!),"NA",IF(OR(I181/#REF!&gt;2,I181/#REF!&lt;0.5),"NM",I181/#REF!*100-100))</f>
        <v>NA</v>
      </c>
      <c r="K181" s="653">
        <f>3.7+165.3</f>
        <v>169</v>
      </c>
      <c r="L181" s="9">
        <f t="shared" si="1044"/>
        <v>4</v>
      </c>
      <c r="M181" s="653">
        <f>4.4+168.7</f>
        <v>173.1</v>
      </c>
      <c r="N181" s="9">
        <f t="shared" si="1045"/>
        <v>3.5287081339713069</v>
      </c>
      <c r="O181" s="95">
        <f>4.6+172.9</f>
        <v>177.5</v>
      </c>
      <c r="P181" s="9">
        <f t="shared" si="1046"/>
        <v>8.7622549019607874</v>
      </c>
      <c r="Q181" s="95">
        <f>4.4+197.9</f>
        <v>202.3</v>
      </c>
      <c r="R181" s="9">
        <f t="shared" si="1047"/>
        <v>-11.620795107033615</v>
      </c>
      <c r="S181" s="95">
        <f>3.9+186</f>
        <v>189.9</v>
      </c>
      <c r="T181" s="9">
        <f t="shared" si="1048"/>
        <v>12.366863905325445</v>
      </c>
      <c r="U181" s="95">
        <f>4.1+187.6</f>
        <v>191.7</v>
      </c>
      <c r="V181" s="9">
        <f t="shared" si="1049"/>
        <v>10.745233968804158</v>
      </c>
      <c r="W181" s="95">
        <f>4.3+183.2</f>
        <v>187.5</v>
      </c>
      <c r="X181" s="9">
        <f t="shared" si="1050"/>
        <v>5.6338028169014081</v>
      </c>
      <c r="Y181" s="95">
        <f>4.2+195</f>
        <v>199.2</v>
      </c>
      <c r="Z181" s="9">
        <f t="shared" si="1051"/>
        <v>-1.5323776569451439</v>
      </c>
      <c r="AA181" s="95">
        <f>4.7+184.1</f>
        <v>188.79999999999998</v>
      </c>
      <c r="AB181" s="9">
        <f t="shared" si="1052"/>
        <v>-0.57925223802001824</v>
      </c>
      <c r="AC181" s="95">
        <f>4.8+187.1</f>
        <v>191.9</v>
      </c>
      <c r="AD181" s="9">
        <f t="shared" si="1053"/>
        <v>0.1043296817944821</v>
      </c>
      <c r="AE181" s="95">
        <f>4.6+185.5</f>
        <v>190.1</v>
      </c>
      <c r="AF181" s="9">
        <f t="shared" si="1054"/>
        <v>1.3866666666666703</v>
      </c>
      <c r="AG181" s="95">
        <f>4.7+198.9</f>
        <v>203.6</v>
      </c>
      <c r="AH181" s="9">
        <f t="shared" si="1055"/>
        <v>2.2088353413654715</v>
      </c>
      <c r="AI181" s="95">
        <f>5.2+199.6</f>
        <v>204.79999999999998</v>
      </c>
      <c r="AJ181" s="9">
        <f t="shared" ref="AJ181:AJ184" si="1090">IF(ISERROR(AI181/AA181),"NA",IF(OR(AI181/AA181&gt;2,AI181/AA181&lt;0.5),"NM",AI181/AA181*100-100))</f>
        <v>8.4745762711864359</v>
      </c>
      <c r="AK181" s="95">
        <f>5+193.7</f>
        <v>198.7</v>
      </c>
      <c r="AL181" s="9">
        <f t="shared" ref="AL181:AL184" si="1091">IF(ISERROR(AK181/AC181),"NA",IF(OR(AK181/AC181&gt;2,AK181/AC181&lt;0.5),"NM",AK181/AC181*100-100))</f>
        <v>3.5435122459614377</v>
      </c>
      <c r="AM181" s="95">
        <f>5+190.7</f>
        <v>195.7</v>
      </c>
      <c r="AN181" s="9">
        <f t="shared" ref="AN181:AN184" si="1092">IF(ISERROR(AM181/AE181),"NA",IF(OR(AM181/AE181&gt;2,AM181/AE181&lt;0.5),"NM",AM181/AE181*100-100))</f>
        <v>2.9458179905312818</v>
      </c>
      <c r="AO181" s="95">
        <f>4.6+205.6</f>
        <v>210.2</v>
      </c>
      <c r="AP181" s="9">
        <f t="shared" ref="AP181:AP184" si="1093">IF(ISERROR(AO181/AG181),"NA",IF(OR(AO181/AG181&gt;2,AO181/AG181&lt;0.5),"NM",AO181/AG181*100-100))</f>
        <v>3.2416502946954751</v>
      </c>
      <c r="AQ181" s="96">
        <f t="shared" si="1087"/>
        <v>207.69166566097806</v>
      </c>
      <c r="AR181" s="9">
        <f t="shared" ref="AR181:AR184" si="1094">IF(ISERROR(AQ181/AI181),"NA",IF(OR(AQ181/AI181&gt;2,AQ181/AI181&lt;0.5),"NM",AQ181/AI181*100-100))</f>
        <v>1.4119461235244444</v>
      </c>
      <c r="AS181" s="96">
        <f t="shared" si="1087"/>
        <v>208.72018576451575</v>
      </c>
      <c r="AT181" s="9">
        <f t="shared" ref="AT181:AT184" si="1095">IF(ISERROR(AS181/AK181),"NA",IF(OR(AS181/AK181&gt;2,AS181/AK181&lt;0.5),"NM",AS181/AK181*100-100))</f>
        <v>5.0428715473154142</v>
      </c>
      <c r="AU181" s="96">
        <f t="shared" si="1087"/>
        <v>212.00160094455114</v>
      </c>
      <c r="AV181" s="9">
        <f t="shared" ref="AV181:AV184" si="1096">IF(ISERROR(AU181/AM181),"NA",IF(OR(AU181/AM181&gt;2,AU181/AM181&lt;0.5),"NM",AU181/AM181*100-100))</f>
        <v>8.3298931755499126</v>
      </c>
      <c r="AW181" s="96">
        <f t="shared" si="1087"/>
        <v>214.04157025173569</v>
      </c>
      <c r="AX181" s="9">
        <f t="shared" ref="AX181:AX184" si="1097">IF(ISERROR(AW181/AO181),"NA",IF(OR(AW181/AO181&gt;2,AW181/AO181&lt;0.5),"NM",AW181/AO181*100-100))</f>
        <v>1.8275786164299319</v>
      </c>
      <c r="AY181" s="356"/>
      <c r="AZ181" s="618"/>
      <c r="BA181" s="620"/>
      <c r="BB181" s="55">
        <f>C181+E181+G181+I181</f>
        <v>721.8</v>
      </c>
      <c r="BC181" s="226" t="str">
        <f>IF(ISERROR(BB181/#REF!),"NA",IF(OR(BB181/#REF!&gt;2,BB181/#REF!&lt;0.5),"NM",BB181/#REF!*100-100))</f>
        <v>NA</v>
      </c>
      <c r="BD181" s="908">
        <f>K181+M181+O181+Q181</f>
        <v>721.90000000000009</v>
      </c>
      <c r="BE181" s="226">
        <f t="shared" si="1068"/>
        <v>1.3854253255772164E-2</v>
      </c>
      <c r="BF181" s="55">
        <f>S181+U181+W181+Y181</f>
        <v>768.3</v>
      </c>
      <c r="BG181" s="226">
        <f t="shared" si="1068"/>
        <v>6.4274830308906843</v>
      </c>
      <c r="BH181" s="55">
        <f>AA181+AC181+AE181+AG181</f>
        <v>774.4</v>
      </c>
      <c r="BI181" s="226">
        <f t="shared" si="1068"/>
        <v>0.7939606924378495</v>
      </c>
      <c r="BJ181" s="55">
        <f>AI181+AK181+AM181+AO181</f>
        <v>809.40000000000009</v>
      </c>
      <c r="BK181" s="226">
        <f t="shared" si="1068"/>
        <v>4.5196280991735733</v>
      </c>
      <c r="BL181" s="55">
        <f>AQ181+AS181+AU181+AW181</f>
        <v>842.4550226217807</v>
      </c>
      <c r="BM181" s="226">
        <f t="shared" si="1068"/>
        <v>4.0838920955992677</v>
      </c>
      <c r="BN181" s="55">
        <f t="shared" ref="BN181:BP181" si="1098">BN192*BN161/100</f>
        <v>895.31479286602973</v>
      </c>
      <c r="BO181" s="226">
        <f t="shared" si="1068"/>
        <v>6.2744916731276135</v>
      </c>
      <c r="BP181" s="55">
        <f t="shared" si="1098"/>
        <v>943.6895315846341</v>
      </c>
      <c r="BQ181" s="226">
        <f t="shared" si="1068"/>
        <v>5.4030983408360811</v>
      </c>
      <c r="BR181" s="55">
        <f t="shared" ref="BR181:BT181" si="1099">BR192*BR161/100</f>
        <v>1001.2018338868946</v>
      </c>
      <c r="BS181" s="226">
        <f t="shared" si="1068"/>
        <v>6.094409270990468</v>
      </c>
      <c r="BT181" s="55">
        <f t="shared" si="1099"/>
        <v>1079.9426718802119</v>
      </c>
      <c r="BU181" s="226">
        <f t="shared" si="1071"/>
        <v>7.8646318183045452</v>
      </c>
      <c r="BV181" s="43">
        <f t="shared" si="1072"/>
        <v>5.936958591726138</v>
      </c>
      <c r="BW181" s="621"/>
      <c r="BX181" s="621"/>
      <c r="BY181"/>
      <c r="BZ181"/>
      <c r="CA181"/>
      <c r="CB181"/>
      <c r="CC181"/>
      <c r="CD181"/>
    </row>
    <row r="182" spans="2:82" s="616" customFormat="1" ht="12.75" customHeight="1" x14ac:dyDescent="0.2">
      <c r="B182" s="62" t="s">
        <v>485</v>
      </c>
      <c r="C182" s="15">
        <f>C176+C177-C181-C180</f>
        <v>64.200000000000017</v>
      </c>
      <c r="D182" s="39" t="str">
        <f>IF(ISERROR(C182/#REF!),"NA",IF(OR(C182/#REF!&gt;2,C182/#REF!&lt;0.5),"NM",C182/#REF!*100-100))</f>
        <v>NA</v>
      </c>
      <c r="E182" s="15">
        <f>E176+E177-E181-E180</f>
        <v>76.7</v>
      </c>
      <c r="F182" s="705" t="str">
        <f>IF(ISERROR(E182/#REF!),"NA",IF(OR(E182/#REF!&gt;2,E182/#REF!&lt;0.5),"NM",E182/#REF!*100-100))</f>
        <v>NA</v>
      </c>
      <c r="G182" s="15">
        <f>G176+G177-G181-G180</f>
        <v>76.299999999999983</v>
      </c>
      <c r="H182" s="705" t="str">
        <f>IF(ISERROR(G182/#REF!),"NA",IF(OR(G182/#REF!&gt;2,G182/#REF!&lt;0.5),"NM",G182/#REF!*100-100))</f>
        <v>NA</v>
      </c>
      <c r="I182" s="15">
        <f>I176+I177-I181-I180</f>
        <v>89.000000000000028</v>
      </c>
      <c r="J182" s="9" t="str">
        <f>IF(ISERROR(I182/#REF!),"NA",IF(OR(I182/#REF!&gt;2,I182/#REF!&lt;0.5),"NM",I182/#REF!*100-100))</f>
        <v>NA</v>
      </c>
      <c r="K182" s="15">
        <f>K176+K177-K181-K180</f>
        <v>84.199999999999989</v>
      </c>
      <c r="L182" s="9">
        <f t="shared" si="1044"/>
        <v>31.152647975077826</v>
      </c>
      <c r="M182" s="15">
        <f>M176+M177-M181-M180</f>
        <v>87.499999999999972</v>
      </c>
      <c r="N182" s="9">
        <f t="shared" si="1045"/>
        <v>14.080834419817421</v>
      </c>
      <c r="O182" s="15">
        <f>O176+O177-O181-O180</f>
        <v>89.7</v>
      </c>
      <c r="P182" s="9">
        <f t="shared" si="1046"/>
        <v>17.562254259501998</v>
      </c>
      <c r="Q182" s="15">
        <f>Q176+Q177-Q181-Q180</f>
        <v>101.10000000000001</v>
      </c>
      <c r="R182" s="9">
        <f t="shared" si="1047"/>
        <v>13.595505617977508</v>
      </c>
      <c r="S182" s="15">
        <f>S176+S177-S181-S180</f>
        <v>93.699999999999974</v>
      </c>
      <c r="T182" s="9">
        <f t="shared" si="1048"/>
        <v>11.282660332541553</v>
      </c>
      <c r="U182" s="15">
        <f>U176+U177-U181-U180</f>
        <v>99.500000000000028</v>
      </c>
      <c r="V182" s="9">
        <f t="shared" si="1049"/>
        <v>13.714285714285793</v>
      </c>
      <c r="W182" s="15">
        <f>W176+W177-W181-W180</f>
        <v>96.7</v>
      </c>
      <c r="X182" s="9">
        <f t="shared" si="1050"/>
        <v>7.803790412486066</v>
      </c>
      <c r="Y182" s="15">
        <f>Y176+Y177-Y181-Y180</f>
        <v>103.00000000000003</v>
      </c>
      <c r="Z182" s="9">
        <f t="shared" si="1051"/>
        <v>1.8793273986152457</v>
      </c>
      <c r="AA182" s="15">
        <f>AA176+AA177-AA181-AA180</f>
        <v>80.90000000000002</v>
      </c>
      <c r="AB182" s="9">
        <f t="shared" si="1052"/>
        <v>-13.660618996798249</v>
      </c>
      <c r="AC182" s="15">
        <f>AC176+AC177-AC181-AC180</f>
        <v>118.79999999999995</v>
      </c>
      <c r="AD182" s="9">
        <f t="shared" si="1053"/>
        <v>19.396984924623027</v>
      </c>
      <c r="AE182" s="15">
        <f>AE176+AE177-AE181-AE180</f>
        <v>114.5</v>
      </c>
      <c r="AF182" s="9">
        <f t="shared" si="1054"/>
        <v>18.407445708376429</v>
      </c>
      <c r="AG182" s="15">
        <f>AG176+AG177-AG181-AG180</f>
        <v>135.50000000000003</v>
      </c>
      <c r="AH182" s="9">
        <f t="shared" si="1055"/>
        <v>31.553398058252412</v>
      </c>
      <c r="AI182" s="15">
        <f>AI176+AI177-AI181-AI180</f>
        <v>101.5</v>
      </c>
      <c r="AJ182" s="9">
        <f t="shared" si="1090"/>
        <v>25.463535228677344</v>
      </c>
      <c r="AK182" s="15">
        <f>AK176+AK177-AK181-AK180</f>
        <v>117.00000000000001</v>
      </c>
      <c r="AL182" s="9">
        <f t="shared" si="1091"/>
        <v>-1.5151515151514729</v>
      </c>
      <c r="AM182" s="15">
        <f>AM176+AM177-AM181-AM180</f>
        <v>131.80000000000001</v>
      </c>
      <c r="AN182" s="9">
        <f t="shared" si="1092"/>
        <v>15.109170305676869</v>
      </c>
      <c r="AO182" s="15">
        <f>AO176+AO177-AO181-AO180</f>
        <v>125.10000000000001</v>
      </c>
      <c r="AP182" s="9">
        <f t="shared" si="1093"/>
        <v>-7.6752767527675445</v>
      </c>
      <c r="AQ182" s="15">
        <f t="shared" ref="AQ182:AW182" si="1100">AQ176+AQ177-AQ181-AQ180</f>
        <v>129.97463503750004</v>
      </c>
      <c r="AR182" s="9">
        <f t="shared" si="1094"/>
        <v>28.053827623152728</v>
      </c>
      <c r="AS182" s="15">
        <f t="shared" si="1100"/>
        <v>130.61828881465377</v>
      </c>
      <c r="AT182" s="9">
        <f t="shared" si="1095"/>
        <v>11.639563089447648</v>
      </c>
      <c r="AU182" s="15">
        <f t="shared" si="1100"/>
        <v>132.67181724620775</v>
      </c>
      <c r="AV182" s="9">
        <f t="shared" si="1096"/>
        <v>0.66146983779037782</v>
      </c>
      <c r="AW182" s="15">
        <f t="shared" si="1100"/>
        <v>135.7575848459702</v>
      </c>
      <c r="AX182" s="9">
        <f t="shared" si="1097"/>
        <v>8.5192524747963176</v>
      </c>
      <c r="AY182" s="356"/>
      <c r="AZ182" s="618"/>
      <c r="BA182" s="620"/>
      <c r="BB182" s="55">
        <f>C182+E182+G182+I182</f>
        <v>306.20000000000005</v>
      </c>
      <c r="BC182" s="226" t="str">
        <f>IF(ISERROR(BB182/#REF!),"NA",IF(OR(BB182/#REF!&gt;2,BB182/#REF!&lt;0.5),"NM",BB182/#REF!*100-100))</f>
        <v>NA</v>
      </c>
      <c r="BD182" s="908">
        <f>K182+M182+O182+Q182</f>
        <v>362.5</v>
      </c>
      <c r="BE182" s="226">
        <f t="shared" si="1068"/>
        <v>18.3866753755715</v>
      </c>
      <c r="BF182" s="55">
        <f>S182+U182+W182+Y182</f>
        <v>392.9</v>
      </c>
      <c r="BG182" s="226">
        <f t="shared" si="1068"/>
        <v>8.3862068965517125</v>
      </c>
      <c r="BH182" s="55">
        <f>AA182+AC182+AE182+AG182</f>
        <v>449.70000000000005</v>
      </c>
      <c r="BI182" s="226">
        <f t="shared" si="1068"/>
        <v>14.456604734029028</v>
      </c>
      <c r="BJ182" s="55">
        <f>AI182+AK182+AM182+AO182</f>
        <v>475.40000000000003</v>
      </c>
      <c r="BK182" s="226">
        <f t="shared" si="1068"/>
        <v>5.7149210584834407</v>
      </c>
      <c r="BL182" s="55">
        <f>AQ182+AS182+AU182+AW182</f>
        <v>529.02232594433178</v>
      </c>
      <c r="BM182" s="226">
        <f t="shared" si="1068"/>
        <v>11.279412272682322</v>
      </c>
      <c r="BN182" s="55">
        <f>BN178-BN181-BN180</f>
        <v>554.93609402667175</v>
      </c>
      <c r="BO182" s="226">
        <f t="shared" si="1068"/>
        <v>4.8984261743741229</v>
      </c>
      <c r="BP182" s="55">
        <f>BP178-BP181-BP180</f>
        <v>568.39773751922087</v>
      </c>
      <c r="BQ182" s="226">
        <f t="shared" si="1068"/>
        <v>2.42580067100522</v>
      </c>
      <c r="BR182" s="55">
        <f>BR178-BR181-BR180</f>
        <v>603.03822193069254</v>
      </c>
      <c r="BS182" s="226">
        <f t="shared" si="1068"/>
        <v>6.0944092709904965</v>
      </c>
      <c r="BT182" s="55">
        <f>BT178-BT181-BT180</f>
        <v>623.98790060843567</v>
      </c>
      <c r="BU182" s="226">
        <f t="shared" si="1071"/>
        <v>3.4740216981057159</v>
      </c>
      <c r="BV182" s="43">
        <f t="shared" si="1072"/>
        <v>5.5901479116970076</v>
      </c>
      <c r="BW182" s="621"/>
      <c r="BX182" s="621"/>
      <c r="BY182"/>
      <c r="BZ182"/>
      <c r="CA182"/>
      <c r="CB182"/>
      <c r="CC182"/>
      <c r="CD182"/>
    </row>
    <row r="183" spans="2:82" s="616" customFormat="1" ht="12.75" customHeight="1" x14ac:dyDescent="0.2">
      <c r="B183" s="62" t="s">
        <v>554</v>
      </c>
      <c r="C183" s="106">
        <v>2.6</v>
      </c>
      <c r="D183" s="770" t="str">
        <f>IF(ISERROR(C183/#REF!),"NA",IF(OR(C183/#REF!&gt;2,C183/#REF!&lt;0.5),"NM",C183/#REF!*100-100))</f>
        <v>NA</v>
      </c>
      <c r="E183" s="106">
        <v>3.3</v>
      </c>
      <c r="F183" s="705" t="str">
        <f>IF(ISERROR(E183/#REF!),"NA",IF(OR(E183/#REF!&gt;2,E183/#REF!&lt;0.5),"NM",E183/#REF!*100-100))</f>
        <v>NA</v>
      </c>
      <c r="G183" s="106">
        <v>4.0999999999999996</v>
      </c>
      <c r="H183" s="705" t="str">
        <f>IF(ISERROR(G183/#REF!),"NA",IF(OR(G183/#REF!&gt;2,G183/#REF!&lt;0.5),"NM",G183/#REF!*100-100))</f>
        <v>NA</v>
      </c>
      <c r="I183" s="106">
        <v>6.6</v>
      </c>
      <c r="J183" s="9" t="str">
        <f>IF(ISERROR(I183/#REF!),"NA",IF(OR(I183/#REF!&gt;2,I183/#REF!&lt;0.5),"NM",I183/#REF!*100-100))</f>
        <v>NA</v>
      </c>
      <c r="K183" s="106">
        <v>3.6</v>
      </c>
      <c r="L183" s="9">
        <f t="shared" si="1044"/>
        <v>38.461538461538453</v>
      </c>
      <c r="M183" s="106">
        <v>3.8</v>
      </c>
      <c r="N183" s="9">
        <f t="shared" si="1045"/>
        <v>15.151515151515156</v>
      </c>
      <c r="O183" s="106">
        <v>4</v>
      </c>
      <c r="P183" s="9">
        <f>IF(ISERROR(O183/G183),"NA",IF(OR(O183/G183&gt;2,O183/G183&lt;0.5),"NM",O183/G183*100-100))</f>
        <v>-2.4390243902438868</v>
      </c>
      <c r="Q183" s="106">
        <v>1</v>
      </c>
      <c r="R183" s="9" t="str">
        <f>IF(ISERROR(Q183/I183),"NA",IF(OR(Q183/I183&gt;2,Q183/I183&lt;0.5),"NM",Q183/I183*100-100))</f>
        <v>NM</v>
      </c>
      <c r="S183" s="106">
        <v>1.1000000000000001</v>
      </c>
      <c r="T183" s="9" t="str">
        <f>IF(ISERROR(S183/K183),"NA",IF(OR(S183/K183&gt;2,S183/K183&lt;0.5),"NM",S183/K183*100-100))</f>
        <v>NM</v>
      </c>
      <c r="U183" s="106">
        <v>1</v>
      </c>
      <c r="V183" s="9" t="str">
        <f>IF(ISERROR(U183/M183),"NA",IF(OR(U183/M183&gt;2,U183/M183&lt;0.5),"NM",U183/M183*100-100))</f>
        <v>NM</v>
      </c>
      <c r="W183" s="106">
        <v>1.3</v>
      </c>
      <c r="X183" s="9" t="str">
        <f>IF(ISERROR(W183/O183),"NA",IF(OR(W183/O183&gt;2,W183/O183&lt;0.5),"NM",W183/O183*100-100))</f>
        <v>NM</v>
      </c>
      <c r="Y183" s="106">
        <v>1</v>
      </c>
      <c r="Z183" s="9">
        <f>IF(ISERROR(Y183/Q183),"NA",IF(OR(Y183/Q183&gt;2,Y183/Q183&lt;0.5),"NM",Y183/Q183*100-100))</f>
        <v>0</v>
      </c>
      <c r="AA183" s="106">
        <v>1.2</v>
      </c>
      <c r="AB183" s="9">
        <f>IF(ISERROR(AA183/S183),"NA",IF(OR(AA183/S183&gt;2,AA183/S183&lt;0.5),"NM",AA183/S183*100-100))</f>
        <v>9.0909090909090793</v>
      </c>
      <c r="AC183" s="106">
        <v>1.3</v>
      </c>
      <c r="AD183" s="9">
        <f>IF(ISERROR(AC183/U183),"NA",IF(OR(AC183/U183&gt;2,AC183/U183&lt;0.5),"NM",AC183/U183*100-100))</f>
        <v>30</v>
      </c>
      <c r="AE183" s="106">
        <v>1.6</v>
      </c>
      <c r="AF183" s="9">
        <f>IF(ISERROR(AE183/W183),"NA",IF(OR(AE183/W183&gt;2,AE183/W183&lt;0.5),"NM",AE183/W183*100-100))</f>
        <v>23.07692307692308</v>
      </c>
      <c r="AG183" s="106">
        <v>1.8</v>
      </c>
      <c r="AH183" s="9">
        <f t="shared" si="1055"/>
        <v>80</v>
      </c>
      <c r="AI183" s="106">
        <v>1.5</v>
      </c>
      <c r="AJ183" s="9">
        <f t="shared" si="1090"/>
        <v>25</v>
      </c>
      <c r="AK183" s="106">
        <v>1.6</v>
      </c>
      <c r="AL183" s="9">
        <f t="shared" si="1091"/>
        <v>23.07692307692308</v>
      </c>
      <c r="AM183" s="106">
        <v>1.6</v>
      </c>
      <c r="AN183" s="9">
        <f t="shared" si="1092"/>
        <v>0</v>
      </c>
      <c r="AO183" s="106">
        <v>1</v>
      </c>
      <c r="AP183" s="9">
        <f t="shared" si="1093"/>
        <v>-44.444444444444443</v>
      </c>
      <c r="AQ183" s="106">
        <f t="shared" ref="AQ183" si="1101">AO183/AO182*AQ182</f>
        <v>1.0389659075739412</v>
      </c>
      <c r="AR183" s="9">
        <f t="shared" si="1094"/>
        <v>-30.735606161737252</v>
      </c>
      <c r="AS183" s="106">
        <f t="shared" ref="AS183" si="1102">AQ183/AQ182*AS182</f>
        <v>1.0441110216998701</v>
      </c>
      <c r="AT183" s="9">
        <f t="shared" si="1095"/>
        <v>-34.743061143758126</v>
      </c>
      <c r="AU183" s="106">
        <f t="shared" ref="AU183" si="1103">AS183/AS182*AU182</f>
        <v>1.0605261170760012</v>
      </c>
      <c r="AV183" s="9">
        <f t="shared" si="1096"/>
        <v>-33.717117682749929</v>
      </c>
      <c r="AW183" s="106">
        <f t="shared" ref="AW183" si="1104">AU183/AU182*AW182</f>
        <v>1.0851925247479632</v>
      </c>
      <c r="AX183" s="9">
        <f t="shared" si="1097"/>
        <v>8.5192524747963176</v>
      </c>
      <c r="AY183" s="356"/>
      <c r="AZ183" s="618"/>
      <c r="BA183" s="620"/>
      <c r="BB183" s="55">
        <f>C183+E183+G183+I183</f>
        <v>16.600000000000001</v>
      </c>
      <c r="BC183" s="226" t="str">
        <f>IF(ISERROR(BB183/#REF!),"NA",IF(OR(BB183/#REF!&gt;2,BB183/#REF!&lt;0.5),"NM",BB183/#REF!*100-100))</f>
        <v>NA</v>
      </c>
      <c r="BD183" s="908">
        <f>K183+M183+O183+Q183</f>
        <v>12.4</v>
      </c>
      <c r="BE183" s="226">
        <f t="shared" si="1068"/>
        <v>-25.301204819277118</v>
      </c>
      <c r="BF183" s="55">
        <f>S183+U183+W183+Y183</f>
        <v>4.4000000000000004</v>
      </c>
      <c r="BG183" s="226" t="str">
        <f t="shared" si="1068"/>
        <v>NM</v>
      </c>
      <c r="BH183" s="55">
        <f>AA183+AC183+AE183+AG183</f>
        <v>5.8999999999999995</v>
      </c>
      <c r="BI183" s="226">
        <f t="shared" si="1068"/>
        <v>34.090909090909065</v>
      </c>
      <c r="BJ183" s="55">
        <f>AI183+AK183+AM183+AO183</f>
        <v>5.7</v>
      </c>
      <c r="BK183" s="226">
        <f t="shared" si="1068"/>
        <v>-3.3898305084745743</v>
      </c>
      <c r="BL183" s="55">
        <f>AQ183+AS183+AU183+AW183</f>
        <v>4.228795571097776</v>
      </c>
      <c r="BM183" s="226">
        <f t="shared" si="1068"/>
        <v>-25.810604015828503</v>
      </c>
      <c r="BN183" s="55">
        <f>BL183/BL182*BN182</f>
        <v>4.4359400002132032</v>
      </c>
      <c r="BO183" s="226">
        <f t="shared" si="1068"/>
        <v>4.8984261743741229</v>
      </c>
      <c r="BP183" s="55">
        <f t="shared" ref="BP183" si="1105">BN183/BN182*BP182</f>
        <v>4.5435470625037642</v>
      </c>
      <c r="BQ183" s="226">
        <f t="shared" si="1068"/>
        <v>2.42580067100522</v>
      </c>
      <c r="BR183" s="55">
        <f t="shared" ref="BR183" si="1106">BP183/BP182*BR182</f>
        <v>4.82044941591281</v>
      </c>
      <c r="BS183" s="226">
        <f t="shared" si="1068"/>
        <v>6.0944092709904965</v>
      </c>
      <c r="BT183" s="55">
        <f t="shared" ref="BT183" si="1107">BR183/BR182*BT182</f>
        <v>4.9879128745678312</v>
      </c>
      <c r="BU183" s="226">
        <f t="shared" si="1071"/>
        <v>3.4740216981057159</v>
      </c>
      <c r="BV183" s="43">
        <f t="shared" si="1072"/>
        <v>-2.6336699852062107</v>
      </c>
      <c r="BW183" s="621"/>
      <c r="BX183" s="621"/>
      <c r="BY183"/>
      <c r="BZ183"/>
      <c r="CA183"/>
      <c r="CB183"/>
      <c r="CC183"/>
      <c r="CD183"/>
    </row>
    <row r="184" spans="2:82" s="616" customFormat="1" ht="12.75" customHeight="1" x14ac:dyDescent="0.2">
      <c r="B184" s="622" t="s">
        <v>555</v>
      </c>
      <c r="C184" s="98">
        <f t="shared" ref="C184:M184" si="1108">C182-C183</f>
        <v>61.600000000000016</v>
      </c>
      <c r="D184" s="776" t="str">
        <f>IF(ISERROR(C184/#REF!),"NA",IF(OR(C184/#REF!&gt;2,C184/#REF!&lt;0.5),"NM",C184/#REF!*100-100))</f>
        <v>NA</v>
      </c>
      <c r="E184" s="98">
        <f t="shared" si="1108"/>
        <v>73.400000000000006</v>
      </c>
      <c r="F184" s="705" t="str">
        <f>IF(ISERROR(E184/#REF!),"NA",IF(OR(E184/#REF!&gt;2,E184/#REF!&lt;0.5),"NM",E184/#REF!*100-100))</f>
        <v>NA</v>
      </c>
      <c r="G184" s="98">
        <f t="shared" si="1108"/>
        <v>72.199999999999989</v>
      </c>
      <c r="H184" s="705" t="str">
        <f>IF(ISERROR(G184/#REF!),"NA",IF(OR(G184/#REF!&gt;2,G184/#REF!&lt;0.5),"NM",G184/#REF!*100-100))</f>
        <v>NA</v>
      </c>
      <c r="I184" s="98">
        <f t="shared" si="1108"/>
        <v>82.400000000000034</v>
      </c>
      <c r="J184" s="9" t="str">
        <f>IF(ISERROR(I184/#REF!),"NA",IF(OR(I184/#REF!&gt;2,I184/#REF!&lt;0.5),"NM",I184/#REF!*100-100))</f>
        <v>NA</v>
      </c>
      <c r="K184" s="98">
        <f t="shared" si="1108"/>
        <v>80.599999999999994</v>
      </c>
      <c r="L184" s="9">
        <f t="shared" si="1044"/>
        <v>30.844155844155807</v>
      </c>
      <c r="M184" s="98">
        <f t="shared" si="1108"/>
        <v>83.699999999999974</v>
      </c>
      <c r="N184" s="9">
        <f t="shared" si="1045"/>
        <v>14.032697547683881</v>
      </c>
      <c r="O184" s="98">
        <f>O182-O183</f>
        <v>85.7</v>
      </c>
      <c r="P184" s="9">
        <f>IF(ISERROR(O184/G184),"NA",IF(OR(O184/G184&gt;2,O184/G184&lt;0.5),"NM",O184/G184*100-100))</f>
        <v>18.698060941828288</v>
      </c>
      <c r="Q184" s="98">
        <f t="shared" ref="Q184:W184" si="1109">Q182-Q183</f>
        <v>100.10000000000001</v>
      </c>
      <c r="R184" s="43">
        <f>IF(ISERROR(Q184/I184),"NA",IF(OR(Q184/I184&gt;2,Q184/I184&lt;0.5),"NM",Q184/I184*100-100))</f>
        <v>21.48058252427181</v>
      </c>
      <c r="S184" s="98">
        <f t="shared" si="1109"/>
        <v>92.59999999999998</v>
      </c>
      <c r="T184" s="43">
        <f>IF(ISERROR(S184/K184),"NA",IF(OR(S184/K184&gt;2,S184/K184&lt;0.5),"NM",S184/K184*100-100))</f>
        <v>14.888337468982613</v>
      </c>
      <c r="U184" s="98">
        <f t="shared" si="1109"/>
        <v>98.500000000000028</v>
      </c>
      <c r="V184" s="43">
        <f>IF(ISERROR(U184/M184),"NA",IF(OR(U184/M184&gt;2,U184/M184&lt;0.5),"NM",U184/M184*100-100))</f>
        <v>17.682198327359686</v>
      </c>
      <c r="W184" s="98">
        <f t="shared" si="1109"/>
        <v>95.4</v>
      </c>
      <c r="X184" s="43">
        <f>IF(ISERROR(W184/O184),"NA",IF(OR(W184/O184&gt;2,W184/O184&lt;0.5),"NM",W184/O184*100-100))</f>
        <v>11.318553092182043</v>
      </c>
      <c r="Y184" s="98">
        <f>Y182-Y183</f>
        <v>102.00000000000003</v>
      </c>
      <c r="Z184" s="9">
        <f>IF(ISERROR(Y184/Q184),"NA",IF(OR(Y184/Q184&gt;2,Y184/Q184&lt;0.5),"NM",Y184/Q184*100-100))</f>
        <v>1.8981018981019133</v>
      </c>
      <c r="AA184" s="98">
        <f>AA182-AA183</f>
        <v>79.700000000000017</v>
      </c>
      <c r="AB184" s="9">
        <f>IF(ISERROR(AA184/S184),"NA",IF(OR(AA184/S184&gt;2,AA184/S184&lt;0.5),"NM",AA184/S184*100-100))</f>
        <v>-13.930885529157635</v>
      </c>
      <c r="AC184" s="98">
        <f>AC182-AC183</f>
        <v>117.49999999999996</v>
      </c>
      <c r="AD184" s="9">
        <f>IF(ISERROR(AC184/U184),"NA",IF(OR(AC184/U184&gt;2,AC184/U184&lt;0.5),"NM",AC184/U184*100-100))</f>
        <v>19.289340101522768</v>
      </c>
      <c r="AE184" s="98">
        <f>AE182-AE183</f>
        <v>112.9</v>
      </c>
      <c r="AF184" s="9">
        <f>IF(ISERROR(AE184/W184),"NA",IF(OR(AE184/W184&gt;2,AE184/W184&lt;0.5),"NM",AE184/W184*100-100))</f>
        <v>18.343815513626822</v>
      </c>
      <c r="AG184" s="98">
        <f>AG182-AG183</f>
        <v>133.70000000000002</v>
      </c>
      <c r="AH184" s="9">
        <f t="shared" si="1055"/>
        <v>31.078431372549005</v>
      </c>
      <c r="AI184" s="98">
        <f>AI182-AI183</f>
        <v>100</v>
      </c>
      <c r="AJ184" s="9">
        <f t="shared" si="1090"/>
        <v>25.47051442910913</v>
      </c>
      <c r="AK184" s="98">
        <f>AK182-AK183</f>
        <v>115.40000000000002</v>
      </c>
      <c r="AL184" s="9">
        <f t="shared" si="1091"/>
        <v>-1.7872340425531377</v>
      </c>
      <c r="AM184" s="98">
        <f>AM182-AM183</f>
        <v>130.20000000000002</v>
      </c>
      <c r="AN184" s="9">
        <f t="shared" si="1092"/>
        <v>15.323294951284325</v>
      </c>
      <c r="AO184" s="98">
        <f>AO182-AO183</f>
        <v>124.10000000000001</v>
      </c>
      <c r="AP184" s="9">
        <f t="shared" si="1093"/>
        <v>-7.1802543006731554</v>
      </c>
      <c r="AQ184" s="98">
        <f t="shared" ref="AQ184:AW184" si="1110">AQ182-AQ183</f>
        <v>128.93566912992608</v>
      </c>
      <c r="AR184" s="9">
        <f t="shared" si="1094"/>
        <v>28.935669129926083</v>
      </c>
      <c r="AS184" s="98">
        <f t="shared" si="1110"/>
        <v>129.57417779295389</v>
      </c>
      <c r="AT184" s="9">
        <f t="shared" si="1095"/>
        <v>12.282649733928835</v>
      </c>
      <c r="AU184" s="98">
        <f t="shared" si="1110"/>
        <v>131.61129112913176</v>
      </c>
      <c r="AV184" s="9">
        <f t="shared" si="1096"/>
        <v>1.0839409593945675</v>
      </c>
      <c r="AW184" s="98">
        <f t="shared" si="1110"/>
        <v>134.67239232122225</v>
      </c>
      <c r="AX184" s="9">
        <f t="shared" si="1097"/>
        <v>8.5192524747963176</v>
      </c>
      <c r="AY184" s="356"/>
      <c r="AZ184" s="618"/>
      <c r="BA184" s="620"/>
      <c r="BB184" s="81">
        <f t="shared" ref="BB184:BD184" si="1111">BB182-BB183</f>
        <v>289.60000000000002</v>
      </c>
      <c r="BC184" s="226" t="str">
        <f>IF(ISERROR(BB184/#REF!),"NA",IF(OR(BB184/#REF!&gt;2,BB184/#REF!&lt;0.5),"NM",BB184/#REF!*100-100))</f>
        <v>NA</v>
      </c>
      <c r="BD184" s="913">
        <f t="shared" si="1111"/>
        <v>350.1</v>
      </c>
      <c r="BE184" s="226">
        <f t="shared" si="1068"/>
        <v>20.890883977900558</v>
      </c>
      <c r="BF184" s="81">
        <f>BF182-BF183</f>
        <v>388.5</v>
      </c>
      <c r="BG184" s="226">
        <f t="shared" si="1068"/>
        <v>10.968294772922007</v>
      </c>
      <c r="BH184" s="81">
        <f>BH182-BH183</f>
        <v>443.80000000000007</v>
      </c>
      <c r="BI184" s="226">
        <f t="shared" si="1068"/>
        <v>14.23423423423425</v>
      </c>
      <c r="BJ184" s="81">
        <f>BJ182-BJ183</f>
        <v>469.70000000000005</v>
      </c>
      <c r="BK184" s="226">
        <f t="shared" si="1068"/>
        <v>5.8359621451104005</v>
      </c>
      <c r="BL184" s="81">
        <f>BL182-BL183</f>
        <v>524.79353037323403</v>
      </c>
      <c r="BM184" s="226">
        <f t="shared" si="1068"/>
        <v>11.729514663239087</v>
      </c>
      <c r="BN184" s="81">
        <f t="shared" ref="BN184" si="1112">BN182-BN183</f>
        <v>550.50015402645852</v>
      </c>
      <c r="BO184" s="226">
        <f t="shared" si="1068"/>
        <v>4.8984261743741229</v>
      </c>
      <c r="BP184" s="81">
        <f t="shared" ref="BP184:BR184" si="1113">BP182-BP183</f>
        <v>563.85419045671711</v>
      </c>
      <c r="BQ184" s="226">
        <f t="shared" si="1068"/>
        <v>2.42580067100522</v>
      </c>
      <c r="BR184" s="81">
        <f t="shared" si="1113"/>
        <v>598.21777251477977</v>
      </c>
      <c r="BS184" s="226">
        <f t="shared" si="1068"/>
        <v>6.0944092709905249</v>
      </c>
      <c r="BT184" s="81">
        <f t="shared" ref="BT184" si="1114">BT182-BT183</f>
        <v>618.99998773386778</v>
      </c>
      <c r="BU184" s="226">
        <f t="shared" si="1071"/>
        <v>3.4740216981056875</v>
      </c>
      <c r="BV184" s="43">
        <f t="shared" si="1072"/>
        <v>5.6754281433789799</v>
      </c>
      <c r="BW184" s="621"/>
      <c r="BX184" s="621"/>
      <c r="BY184"/>
      <c r="BZ184"/>
      <c r="CA184"/>
      <c r="CB184"/>
      <c r="CC184"/>
      <c r="CD184"/>
    </row>
    <row r="185" spans="2:82" s="616" customFormat="1" ht="12.75" customHeight="1" x14ac:dyDescent="0.2">
      <c r="B185" s="67"/>
      <c r="C185" s="15"/>
      <c r="D185" s="40"/>
      <c r="E185" s="15"/>
      <c r="F185" s="623"/>
      <c r="G185" s="15"/>
      <c r="H185" s="623"/>
      <c r="I185" s="15"/>
      <c r="J185" s="623"/>
      <c r="K185" s="15"/>
      <c r="L185" s="623"/>
      <c r="M185" s="15"/>
      <c r="N185" s="620"/>
      <c r="O185" s="107"/>
      <c r="P185" s="9"/>
      <c r="Q185" s="107"/>
      <c r="R185" s="9"/>
      <c r="S185" s="107"/>
      <c r="T185" s="9"/>
      <c r="U185" s="107"/>
      <c r="V185" s="9"/>
      <c r="W185" s="107"/>
      <c r="X185" s="9"/>
      <c r="Y185" s="107"/>
      <c r="Z185" s="9"/>
      <c r="AA185" s="107"/>
      <c r="AB185" s="9"/>
      <c r="AC185" s="107"/>
      <c r="AD185" s="9"/>
      <c r="AE185" s="107"/>
      <c r="AF185" s="9"/>
      <c r="AG185" s="107"/>
      <c r="AH185" s="620"/>
      <c r="AI185" s="107"/>
      <c r="AJ185" s="620"/>
      <c r="AK185" s="107"/>
      <c r="AL185" s="620"/>
      <c r="AM185" s="107"/>
      <c r="AN185" s="620"/>
      <c r="AO185" s="107"/>
      <c r="AP185" s="620"/>
      <c r="AQ185" s="107"/>
      <c r="AR185" s="620"/>
      <c r="AS185" s="107"/>
      <c r="AT185" s="620"/>
      <c r="AU185" s="107"/>
      <c r="AV185" s="620"/>
      <c r="AW185" s="107"/>
      <c r="AX185" s="620"/>
      <c r="AY185" s="356"/>
      <c r="AZ185" s="618"/>
      <c r="BA185" s="620"/>
      <c r="BB185" s="55"/>
      <c r="BC185" s="626"/>
      <c r="BD185" s="908"/>
      <c r="BE185" s="626"/>
      <c r="BF185" s="55"/>
      <c r="BG185" s="626"/>
      <c r="BH185" s="55"/>
      <c r="BI185" s="626"/>
      <c r="BJ185" s="55"/>
      <c r="BK185" s="626"/>
      <c r="BL185" s="55"/>
      <c r="BM185" s="626"/>
      <c r="BN185" s="55"/>
      <c r="BO185" s="626"/>
      <c r="BP185" s="55"/>
      <c r="BQ185" s="626"/>
      <c r="BR185" s="55"/>
      <c r="BS185" s="626"/>
      <c r="BT185" s="55"/>
      <c r="BU185" s="626"/>
      <c r="BV185" s="43"/>
      <c r="BW185" s="621"/>
      <c r="BX185" s="621"/>
      <c r="BY185"/>
      <c r="BZ185"/>
      <c r="CA185"/>
      <c r="CB185"/>
      <c r="CC185"/>
      <c r="CD185"/>
    </row>
    <row r="186" spans="2:82" s="616" customFormat="1" ht="12.75" customHeight="1" x14ac:dyDescent="0.2">
      <c r="B186" s="62" t="s">
        <v>59</v>
      </c>
      <c r="C186" s="70">
        <f>3/0.65</f>
        <v>4.615384615384615</v>
      </c>
      <c r="D186" s="753" t="str">
        <f>IF(ISERROR(C186/#REF!),"NA",IF(OR(C186/#REF!&gt;2,C186/#REF!&lt;0.5),"NM",C186/#REF!*100-100))</f>
        <v>NA</v>
      </c>
      <c r="E186" s="70">
        <f>4/0.65</f>
        <v>6.1538461538461533</v>
      </c>
      <c r="F186" s="705" t="str">
        <f>IF(ISERROR(E186/#REF!),"NA",IF(OR(E186/#REF!&gt;2,E186/#REF!&lt;0.5),"NM",E186/#REF!*100-100))</f>
        <v>NA</v>
      </c>
      <c r="G186" s="70">
        <v>0</v>
      </c>
      <c r="H186" s="705" t="str">
        <f>IF(ISERROR(G186/#REF!),"NA",IF(OR(G186/#REF!&gt;2,G186/#REF!&lt;0.5),"NM",G186/#REF!*100-100))</f>
        <v>NA</v>
      </c>
      <c r="I186" s="70">
        <v>0</v>
      </c>
      <c r="J186" s="9" t="str">
        <f>IF(ISERROR(I186/#REF!),"NA",IF(OR(I186/#REF!&gt;2,I186/#REF!&lt;0.5),"NM",I186/#REF!*100-100))</f>
        <v>NA</v>
      </c>
      <c r="K186" s="70">
        <v>0</v>
      </c>
      <c r="L186" s="9" t="str">
        <f t="shared" ref="L186:L187" si="1115">IF(ISERROR(K186/C186),"NA",IF(OR(K186/C186&gt;2,K186/C186&lt;0.5),"NM",K186/C186*100-100))</f>
        <v>NM</v>
      </c>
      <c r="M186" s="70">
        <v>0</v>
      </c>
      <c r="N186" s="9" t="str">
        <f t="shared" ref="N186:N187" si="1116">IF(ISERROR(M186/E186),"NA",IF(OR(M186/E186&gt;2,M186/E186&lt;0.5),"NM",M186/E186*100-100))</f>
        <v>NM</v>
      </c>
      <c r="O186" s="70">
        <v>0</v>
      </c>
      <c r="P186" s="9" t="str">
        <f>IF(ISERROR(O186/G186),"NA",IF(OR(O186/G186&gt;2,O186/G186&lt;0.5),"NM",O186/G186*100-100))</f>
        <v>NA</v>
      </c>
      <c r="Q186" s="70">
        <v>0</v>
      </c>
      <c r="R186" s="9" t="str">
        <f>IF(ISERROR(Q186/I186),"NA",IF(OR(Q186/I186&gt;2,Q186/I186&lt;0.5),"NM",Q186/I186*100-100))</f>
        <v>NA</v>
      </c>
      <c r="S186" s="70">
        <v>0</v>
      </c>
      <c r="T186" s="9" t="str">
        <f>IF(ISERROR(S186/K186),"NA",IF(OR(S186/K186&gt;2,S186/K186&lt;0.5),"NM",S186/K186*100-100))</f>
        <v>NA</v>
      </c>
      <c r="U186" s="70">
        <v>0</v>
      </c>
      <c r="V186" s="9" t="str">
        <f>IF(ISERROR(U186/M186),"NA",IF(OR(U186/M186&gt;2,U186/M186&lt;0.5),"NM",U186/M186*100-100))</f>
        <v>NA</v>
      </c>
      <c r="W186" s="70">
        <v>0</v>
      </c>
      <c r="X186" s="9" t="str">
        <f>IF(ISERROR(W186/O186),"NA",IF(OR(W186/O186&gt;2,W186/O186&lt;0.5),"NM",W186/O186*100-100))</f>
        <v>NA</v>
      </c>
      <c r="Y186" s="70">
        <v>0</v>
      </c>
      <c r="Z186" s="9" t="str">
        <f>IF(ISERROR(Y186/Q186),"NA",IF(OR(Y186/Q186&gt;2,Y186/Q186&lt;0.5),"NM",Y186/Q186*100-100))</f>
        <v>NA</v>
      </c>
      <c r="AA186" s="70">
        <v>0</v>
      </c>
      <c r="AB186" s="9" t="str">
        <f>IF(ISERROR(AA186/S186),"NA",IF(OR(AA186/S186&gt;2,AA186/S186&lt;0.5),"NM",AA186/S186*100-100))</f>
        <v>NA</v>
      </c>
      <c r="AC186" s="70">
        <v>0</v>
      </c>
      <c r="AD186" s="9" t="str">
        <f>IF(ISERROR(AC186/U186),"NA",IF(OR(AC186/U186&gt;2,AC186/U186&lt;0.5),"NM",AC186/U186*100-100))</f>
        <v>NA</v>
      </c>
      <c r="AE186" s="70">
        <v>0</v>
      </c>
      <c r="AF186" s="9" t="str">
        <f>IF(ISERROR(AE186/W186),"NA",IF(OR(AE186/W186&gt;2,AE186/W186&lt;0.5),"NM",AE186/W186*100-100))</f>
        <v>NA</v>
      </c>
      <c r="AG186" s="70">
        <v>0</v>
      </c>
      <c r="AH186" s="9" t="str">
        <f t="shared" ref="AH186:AH187" si="1117">IF(ISERROR(AG186/Y186),"NA",IF(OR(AG186/Y186&gt;2,AG186/Y186&lt;0.5),"NM",AG186/Y186*100-100))</f>
        <v>NA</v>
      </c>
      <c r="AI186" s="70">
        <v>0</v>
      </c>
      <c r="AJ186" s="9" t="str">
        <f t="shared" ref="AJ186:AJ187" si="1118">IF(ISERROR(AI186/AA186),"NA",IF(OR(AI186/AA186&gt;2,AI186/AA186&lt;0.5),"NM",AI186/AA186*100-100))</f>
        <v>NA</v>
      </c>
      <c r="AK186" s="70">
        <v>0</v>
      </c>
      <c r="AL186" s="9" t="str">
        <f t="shared" ref="AL186:AL187" si="1119">IF(ISERROR(AK186/AC186),"NA",IF(OR(AK186/AC186&gt;2,AK186/AC186&lt;0.5),"NM",AK186/AC186*100-100))</f>
        <v>NA</v>
      </c>
      <c r="AM186" s="70">
        <v>0</v>
      </c>
      <c r="AN186" s="9" t="str">
        <f t="shared" ref="AN186:AN187" si="1120">IF(ISERROR(AM186/AE186),"NA",IF(OR(AM186/AE186&gt;2,AM186/AE186&lt;0.5),"NM",AM186/AE186*100-100))</f>
        <v>NA</v>
      </c>
      <c r="AO186" s="70">
        <v>0</v>
      </c>
      <c r="AP186" s="9" t="str">
        <f t="shared" ref="AP186:AP187" si="1121">IF(ISERROR(AO186/AG186),"NA",IF(OR(AO186/AG186&gt;2,AO186/AG186&lt;0.5),"NM",AO186/AG186*100-100))</f>
        <v>NA</v>
      </c>
      <c r="AQ186" s="70">
        <v>0</v>
      </c>
      <c r="AR186" s="9" t="str">
        <f t="shared" ref="AR186:AR187" si="1122">IF(ISERROR(AQ186/AI186),"NA",IF(OR(AQ186/AI186&gt;2,AQ186/AI186&lt;0.5),"NM",AQ186/AI186*100-100))</f>
        <v>NA</v>
      </c>
      <c r="AS186" s="70">
        <v>0</v>
      </c>
      <c r="AT186" s="9" t="str">
        <f t="shared" ref="AT186:AT187" si="1123">IF(ISERROR(AS186/AK186),"NA",IF(OR(AS186/AK186&gt;2,AS186/AK186&lt;0.5),"NM",AS186/AK186*100-100))</f>
        <v>NA</v>
      </c>
      <c r="AU186" s="70">
        <v>0</v>
      </c>
      <c r="AV186" s="9" t="str">
        <f t="shared" ref="AV186:AV187" si="1124">IF(ISERROR(AU186/AM186),"NA",IF(OR(AU186/AM186&gt;2,AU186/AM186&lt;0.5),"NM",AU186/AM186*100-100))</f>
        <v>NA</v>
      </c>
      <c r="AW186" s="70">
        <v>0</v>
      </c>
      <c r="AX186" s="9" t="str">
        <f t="shared" ref="AX186:AX187" si="1125">IF(ISERROR(AW186/AO186),"NA",IF(OR(AW186/AO186&gt;2,AW186/AO186&lt;0.5),"NM",AW186/AO186*100-100))</f>
        <v>NA</v>
      </c>
      <c r="AY186" s="356"/>
      <c r="AZ186" s="618"/>
      <c r="BA186" s="620"/>
      <c r="BB186" s="55">
        <f>C186+E186+G186+I186</f>
        <v>10.769230769230768</v>
      </c>
      <c r="BC186" s="226" t="str">
        <f>IF(ISERROR(BB186/#REF!),"NA",IF(OR(BB186/#REF!&gt;2,BB186/#REF!&lt;0.5),"NM",BB186/#REF!*100-100))</f>
        <v>NA</v>
      </c>
      <c r="BD186" s="908">
        <f>K186+M186+O186+Q186</f>
        <v>0</v>
      </c>
      <c r="BE186" s="226" t="str">
        <f t="shared" si="1068"/>
        <v>NM</v>
      </c>
      <c r="BF186" s="55">
        <f>S186+U186+W186+Y186</f>
        <v>0</v>
      </c>
      <c r="BG186" s="226" t="str">
        <f t="shared" si="1068"/>
        <v>NA</v>
      </c>
      <c r="BH186" s="55">
        <f>AA186+AC186+AE186+AG186</f>
        <v>0</v>
      </c>
      <c r="BI186" s="226" t="str">
        <f t="shared" si="1068"/>
        <v>NA</v>
      </c>
      <c r="BJ186" s="55">
        <f>AI186+AK186+AM186+AO186</f>
        <v>0</v>
      </c>
      <c r="BK186" s="226" t="str">
        <f t="shared" si="1068"/>
        <v>NA</v>
      </c>
      <c r="BL186" s="55">
        <f>AQ186+AS186+AU186+AW186</f>
        <v>0</v>
      </c>
      <c r="BM186" s="226" t="str">
        <f t="shared" si="1068"/>
        <v>NA</v>
      </c>
      <c r="BN186" s="55">
        <f>BL186</f>
        <v>0</v>
      </c>
      <c r="BO186" s="226" t="str">
        <f t="shared" si="1068"/>
        <v>NA</v>
      </c>
      <c r="BP186" s="55">
        <f>BN186</f>
        <v>0</v>
      </c>
      <c r="BQ186" s="226" t="str">
        <f t="shared" si="1068"/>
        <v>NA</v>
      </c>
      <c r="BR186" s="55">
        <f>BP186</f>
        <v>0</v>
      </c>
      <c r="BS186" s="226" t="str">
        <f t="shared" si="1068"/>
        <v>NA</v>
      </c>
      <c r="BT186" s="55">
        <f>BR186</f>
        <v>0</v>
      </c>
      <c r="BU186" s="226" t="str">
        <f t="shared" ref="BU186:BU187" si="1126">IF(ISERROR(BT186/BR186),"NA",IF(OR(BT186/BR186&gt;2,BT186/BR186&lt;0.5),"NM",BT186/BR186*100-100))</f>
        <v>NA</v>
      </c>
      <c r="BV186" s="43" t="str">
        <f>IF(ISERROR(((BT186/BJ186)^0.2-1)*100),"NA",IF((((BT186/BJ186)^0.2-1)*100)&gt;100,"NM",IF((((BT186/BJ186)^0.2-1)*100)&lt;-50,"NM",((BT186/BJ186)^0.2-1)*100)))</f>
        <v>NA</v>
      </c>
      <c r="BW186" s="621"/>
      <c r="BX186" s="621"/>
      <c r="BY186"/>
      <c r="BZ186"/>
      <c r="CA186"/>
      <c r="CB186"/>
      <c r="CC186"/>
      <c r="CD186"/>
    </row>
    <row r="187" spans="2:82" s="639" customFormat="1" ht="12.75" customHeight="1" x14ac:dyDescent="0.2">
      <c r="B187" s="67" t="s">
        <v>466</v>
      </c>
      <c r="C187" s="695">
        <f>C184-C186</f>
        <v>56.984615384615402</v>
      </c>
      <c r="D187" s="705" t="str">
        <f>IF(ISERROR(C187/#REF!),"NA",IF(OR(C187/#REF!&gt;2,C187/#REF!&lt;0.5),"NM",C187/#REF!*100-100))</f>
        <v>NA</v>
      </c>
      <c r="E187" s="695">
        <f t="shared" ref="E187:M187" si="1127">E184-E186</f>
        <v>67.246153846153845</v>
      </c>
      <c r="F187" s="705" t="str">
        <f>IF(ISERROR(E187/#REF!),"NA",IF(OR(E187/#REF!&gt;2,E187/#REF!&lt;0.5),"NM",E187/#REF!*100-100))</f>
        <v>NA</v>
      </c>
      <c r="G187" s="695">
        <f t="shared" si="1127"/>
        <v>72.199999999999989</v>
      </c>
      <c r="H187" s="705" t="str">
        <f>IF(ISERROR(G187/#REF!),"NA",IF(OR(G187/#REF!&gt;2,G187/#REF!&lt;0.5),"NM",G187/#REF!*100-100))</f>
        <v>NA</v>
      </c>
      <c r="I187" s="695">
        <f t="shared" si="1127"/>
        <v>82.400000000000034</v>
      </c>
      <c r="J187" s="9" t="str">
        <f>IF(ISERROR(I187/#REF!),"NA",IF(OR(I187/#REF!&gt;2,I187/#REF!&lt;0.5),"NM",I187/#REF!*100-100))</f>
        <v>NA</v>
      </c>
      <c r="K187" s="695">
        <f t="shared" si="1127"/>
        <v>80.599999999999994</v>
      </c>
      <c r="L187" s="9">
        <f t="shared" si="1115"/>
        <v>41.441684665226717</v>
      </c>
      <c r="M187" s="695">
        <f t="shared" si="1127"/>
        <v>83.699999999999974</v>
      </c>
      <c r="N187" s="9">
        <f t="shared" si="1116"/>
        <v>24.468085106382944</v>
      </c>
      <c r="O187" s="695">
        <f>O184-O186</f>
        <v>85.7</v>
      </c>
      <c r="P187" s="43">
        <f>IF(ISERROR(O187/G187),"NA",IF(OR(O187/G187&gt;2,O187/G187&lt;0.5),"NM",O187/G187*100-100))</f>
        <v>18.698060941828288</v>
      </c>
      <c r="Q187" s="695">
        <f t="shared" ref="Q187:W187" si="1128">Q184-Q186</f>
        <v>100.10000000000001</v>
      </c>
      <c r="R187" s="43">
        <f>IF(ISERROR(Q187/I187),"NA",IF(OR(Q187/I187&gt;2,Q187/I187&lt;0.5),"NM",Q187/I187*100-100))</f>
        <v>21.48058252427181</v>
      </c>
      <c r="S187" s="695">
        <f t="shared" si="1128"/>
        <v>92.59999999999998</v>
      </c>
      <c r="T187" s="43">
        <f>IF(ISERROR(S187/K187),"NA",IF(OR(S187/K187&gt;2,S187/K187&lt;0.5),"NM",S187/K187*100-100))</f>
        <v>14.888337468982613</v>
      </c>
      <c r="U187" s="695">
        <f t="shared" si="1128"/>
        <v>98.500000000000028</v>
      </c>
      <c r="V187" s="43">
        <f>IF(ISERROR(U187/M187),"NA",IF(OR(U187/M187&gt;2,U187/M187&lt;0.5),"NM",U187/M187*100-100))</f>
        <v>17.682198327359686</v>
      </c>
      <c r="W187" s="695">
        <f t="shared" si="1128"/>
        <v>95.4</v>
      </c>
      <c r="X187" s="43">
        <f>IF(ISERROR(W187/O187),"NA",IF(OR(W187/O187&gt;2,W187/O187&lt;0.5),"NM",W187/O187*100-100))</f>
        <v>11.318553092182043</v>
      </c>
      <c r="Y187" s="695">
        <f t="shared" ref="Y187:AA187" si="1129">Y184-Y186</f>
        <v>102.00000000000003</v>
      </c>
      <c r="Z187" s="43">
        <f>IF(ISERROR(Y187/Q187),"NA",IF(OR(Y187/Q187&gt;2,Y187/Q187&lt;0.5),"NM",Y187/Q187*100-100))</f>
        <v>1.8981018981019133</v>
      </c>
      <c r="AA187" s="695">
        <f t="shared" si="1129"/>
        <v>79.700000000000017</v>
      </c>
      <c r="AB187" s="43">
        <f>IF(ISERROR(AA187/S187),"NA",IF(OR(AA187/S187&gt;2,AA187/S187&lt;0.5),"NM",AA187/S187*100-100))</f>
        <v>-13.930885529157635</v>
      </c>
      <c r="AC187" s="695">
        <f t="shared" ref="AC187:AE187" si="1130">AC184-AC186</f>
        <v>117.49999999999996</v>
      </c>
      <c r="AD187" s="43">
        <f>IF(ISERROR(AC187/U187),"NA",IF(OR(AC187/U187&gt;2,AC187/U187&lt;0.5),"NM",AC187/U187*100-100))</f>
        <v>19.289340101522768</v>
      </c>
      <c r="AE187" s="695">
        <f t="shared" si="1130"/>
        <v>112.9</v>
      </c>
      <c r="AF187" s="43">
        <f>IF(ISERROR(AE187/W187),"NA",IF(OR(AE187/W187&gt;2,AE187/W187&lt;0.5),"NM",AE187/W187*100-100))</f>
        <v>18.343815513626822</v>
      </c>
      <c r="AG187" s="695">
        <f t="shared" ref="AG187" si="1131">AG184-AG186</f>
        <v>133.70000000000002</v>
      </c>
      <c r="AH187" s="9">
        <f t="shared" si="1117"/>
        <v>31.078431372549005</v>
      </c>
      <c r="AI187" s="695">
        <f t="shared" ref="AI187:AK187" si="1132">AI184-AI186</f>
        <v>100</v>
      </c>
      <c r="AJ187" s="9">
        <f t="shared" si="1118"/>
        <v>25.47051442910913</v>
      </c>
      <c r="AK187" s="695">
        <f t="shared" si="1132"/>
        <v>115.40000000000002</v>
      </c>
      <c r="AL187" s="9">
        <f t="shared" si="1119"/>
        <v>-1.7872340425531377</v>
      </c>
      <c r="AM187" s="695">
        <f t="shared" ref="AM187:AO187" si="1133">AM184-AM186</f>
        <v>130.20000000000002</v>
      </c>
      <c r="AN187" s="9">
        <f t="shared" si="1120"/>
        <v>15.323294951284325</v>
      </c>
      <c r="AO187" s="695">
        <f t="shared" si="1133"/>
        <v>124.10000000000001</v>
      </c>
      <c r="AP187" s="9">
        <f t="shared" si="1121"/>
        <v>-7.1802543006731554</v>
      </c>
      <c r="AQ187" s="695">
        <f t="shared" ref="AQ187" si="1134">AQ184-AQ186</f>
        <v>128.93566912992608</v>
      </c>
      <c r="AR187" s="9">
        <f t="shared" si="1122"/>
        <v>28.935669129926083</v>
      </c>
      <c r="AS187" s="695">
        <f t="shared" ref="AS187" si="1135">AS184-AS186</f>
        <v>129.57417779295389</v>
      </c>
      <c r="AT187" s="9">
        <f t="shared" si="1123"/>
        <v>12.282649733928835</v>
      </c>
      <c r="AU187" s="695">
        <f t="shared" ref="AU187" si="1136">AU184-AU186</f>
        <v>131.61129112913176</v>
      </c>
      <c r="AV187" s="9">
        <f t="shared" si="1124"/>
        <v>1.0839409593945675</v>
      </c>
      <c r="AW187" s="695">
        <f t="shared" ref="AW187" si="1137">AW184-AW186</f>
        <v>134.67239232122225</v>
      </c>
      <c r="AX187" s="9">
        <f t="shared" si="1125"/>
        <v>8.5192524747963176</v>
      </c>
      <c r="AY187" s="356"/>
      <c r="AZ187" s="640"/>
      <c r="BA187" s="641"/>
      <c r="BB187" s="81">
        <f t="shared" ref="BB187" si="1138">BB184-BB186</f>
        <v>278.83076923076925</v>
      </c>
      <c r="BC187" s="638"/>
      <c r="BD187" s="913">
        <f>BD184-BD186</f>
        <v>350.1</v>
      </c>
      <c r="BE187" s="638"/>
      <c r="BF187" s="81">
        <f>BF184-BF186</f>
        <v>388.5</v>
      </c>
      <c r="BG187" s="226">
        <f t="shared" si="1068"/>
        <v>10.968294772922007</v>
      </c>
      <c r="BH187" s="81">
        <f t="shared" ref="BH187" si="1139">BH184-BH186</f>
        <v>443.80000000000007</v>
      </c>
      <c r="BI187" s="226">
        <f t="shared" si="1068"/>
        <v>14.23423423423425</v>
      </c>
      <c r="BJ187" s="81">
        <f t="shared" ref="BJ187" si="1140">BJ184-BJ186</f>
        <v>469.70000000000005</v>
      </c>
      <c r="BK187" s="226">
        <f t="shared" si="1068"/>
        <v>5.8359621451104005</v>
      </c>
      <c r="BL187" s="81">
        <f t="shared" ref="BL187" si="1141">BL184-BL186</f>
        <v>524.79353037323403</v>
      </c>
      <c r="BM187" s="226">
        <f t="shared" si="1068"/>
        <v>11.729514663239087</v>
      </c>
      <c r="BN187" s="81">
        <f t="shared" ref="BN187" si="1142">BN184-BN186</f>
        <v>550.50015402645852</v>
      </c>
      <c r="BO187" s="226">
        <f t="shared" si="1068"/>
        <v>4.8984261743741229</v>
      </c>
      <c r="BP187" s="81">
        <f t="shared" ref="BP187:BR187" si="1143">BP184-BP186</f>
        <v>563.85419045671711</v>
      </c>
      <c r="BQ187" s="226">
        <f t="shared" si="1068"/>
        <v>2.42580067100522</v>
      </c>
      <c r="BR187" s="81">
        <f t="shared" si="1143"/>
        <v>598.21777251477977</v>
      </c>
      <c r="BS187" s="226">
        <f t="shared" si="1068"/>
        <v>6.0944092709905249</v>
      </c>
      <c r="BT187" s="81">
        <f t="shared" ref="BT187" si="1144">BT184-BT186</f>
        <v>618.99998773386778</v>
      </c>
      <c r="BU187" s="226">
        <f t="shared" si="1126"/>
        <v>3.4740216981056875</v>
      </c>
      <c r="BV187" s="43">
        <f>IF(ISERROR(((BT187/BJ187)^0.2-1)*100),"NA",IF((((BT187/BJ187)^0.2-1)*100)&gt;100,"NM",IF((((BT187/BJ187)^0.2-1)*100)&lt;-50,"NM",((BT187/BJ187)^0.2-1)*100)))</f>
        <v>5.6754281433789799</v>
      </c>
      <c r="BW187" s="642"/>
      <c r="BX187" s="642"/>
      <c r="BY187"/>
      <c r="BZ187"/>
      <c r="CA187"/>
      <c r="CB187"/>
      <c r="CC187"/>
      <c r="CD187"/>
    </row>
    <row r="188" spans="2:82" s="616" customFormat="1" ht="12.75" customHeight="1" x14ac:dyDescent="0.2">
      <c r="B188" s="62"/>
      <c r="C188" s="15"/>
      <c r="D188" s="623"/>
      <c r="E188" s="15"/>
      <c r="F188" s="623"/>
      <c r="G188" s="15"/>
      <c r="H188" s="623"/>
      <c r="I188" s="15"/>
      <c r="J188" s="623"/>
      <c r="K188" s="15"/>
      <c r="L188" s="623"/>
      <c r="M188" s="15"/>
      <c r="N188" s="620"/>
      <c r="O188" s="698"/>
      <c r="P188" s="9"/>
      <c r="Q188" s="698"/>
      <c r="R188" s="9"/>
      <c r="S188" s="698"/>
      <c r="T188" s="9"/>
      <c r="U188" s="698"/>
      <c r="V188" s="9"/>
      <c r="W188" s="698"/>
      <c r="X188" s="9"/>
      <c r="Y188" s="698"/>
      <c r="Z188" s="9"/>
      <c r="AA188" s="698"/>
      <c r="AB188" s="9"/>
      <c r="AC188" s="698"/>
      <c r="AD188" s="9"/>
      <c r="AE188" s="698"/>
      <c r="AF188" s="9"/>
      <c r="AG188" s="698"/>
      <c r="AH188" s="620"/>
      <c r="AI188" s="698"/>
      <c r="AJ188" s="620"/>
      <c r="AK188" s="698"/>
      <c r="AL188" s="620"/>
      <c r="AM188" s="698"/>
      <c r="AN188" s="620"/>
      <c r="AO188" s="698"/>
      <c r="AP188" s="620"/>
      <c r="AQ188" s="653"/>
      <c r="AR188" s="620"/>
      <c r="AS188" s="653"/>
      <c r="AT188" s="620"/>
      <c r="AU188" s="653"/>
      <c r="AV188" s="620"/>
      <c r="AW188" s="653"/>
      <c r="AX188" s="620"/>
      <c r="AY188" s="356"/>
      <c r="AZ188" s="618"/>
      <c r="BA188" s="620"/>
      <c r="BB188" s="55"/>
      <c r="BC188" s="626"/>
      <c r="BD188" s="908"/>
      <c r="BE188" s="626"/>
      <c r="BF188" s="55"/>
      <c r="BG188" s="55"/>
      <c r="BH188" s="55"/>
      <c r="BI188" s="55"/>
      <c r="BJ188" s="55"/>
      <c r="BK188" s="55"/>
      <c r="BL188" s="55"/>
      <c r="BM188" s="55"/>
      <c r="BN188" s="55"/>
      <c r="BO188" s="55"/>
      <c r="BP188" s="55"/>
      <c r="BQ188" s="623"/>
      <c r="BR188" s="55"/>
      <c r="BS188" s="623"/>
      <c r="BT188" s="55"/>
      <c r="BU188" s="623"/>
      <c r="BV188" s="43"/>
      <c r="BW188" s="621"/>
      <c r="BX188" s="621"/>
      <c r="BY188"/>
      <c r="BZ188"/>
      <c r="CA188"/>
      <c r="CB188"/>
      <c r="CC188"/>
      <c r="CD188"/>
    </row>
    <row r="189" spans="2:82" s="616" customFormat="1" ht="12.75" customHeight="1" x14ac:dyDescent="0.2">
      <c r="B189" s="2" t="s">
        <v>375</v>
      </c>
      <c r="C189" s="15"/>
      <c r="D189" s="623"/>
      <c r="E189" s="15"/>
      <c r="F189" s="623"/>
      <c r="G189" s="15"/>
      <c r="H189" s="623"/>
      <c r="I189" s="15"/>
      <c r="J189" s="623"/>
      <c r="K189" s="15"/>
      <c r="L189" s="623"/>
      <c r="M189" s="15"/>
      <c r="N189" s="620"/>
      <c r="O189" s="83">
        <f>+O176/O161*400</f>
        <v>0.36893838158871567</v>
      </c>
      <c r="P189" s="9" t="str">
        <f>IF(ISERROR(O189/G189),"NA",IF(OR(O189/G189&gt;2,O189/G189&lt;0.5),"NM",O189/G189*100-100))</f>
        <v>NA</v>
      </c>
      <c r="Q189" s="83">
        <f>+Q176/Q161*400</f>
        <v>0.40017675651789658</v>
      </c>
      <c r="R189" s="9" t="str">
        <f>IF(ISERROR(Q189/I189),"NA",IF(OR(Q189/I189&gt;2,Q189/I189&lt;0.5),"NM",Q189/I189*100-100))</f>
        <v>NA</v>
      </c>
      <c r="S189" s="83">
        <f>+S176/S161*400</f>
        <v>0.37541195013612266</v>
      </c>
      <c r="T189" s="9" t="str">
        <f>IF(ISERROR(S189/K189),"NA",IF(OR(S189/K189&gt;2,S189/K189&lt;0.5),"NM",S189/K189*100-100))</f>
        <v>NA</v>
      </c>
      <c r="U189" s="83">
        <f>+U176/U161*400</f>
        <v>0.3769445998880806</v>
      </c>
      <c r="V189" s="9" t="str">
        <f>IF(ISERROR(U189/M189),"NA",IF(OR(U189/M189&gt;2,U189/M189&lt;0.5),"NM",U189/M189*100-100))</f>
        <v>NA</v>
      </c>
      <c r="W189" s="83">
        <f>+W176/W161*400</f>
        <v>0.37051569506726456</v>
      </c>
      <c r="X189" s="9">
        <f>IF(ISERROR(W189/O189),"NA",IF(OR(W189/O189&gt;2,W189/O189&lt;0.5),"NM",W189/O189*100-100))</f>
        <v>0.42752761904485226</v>
      </c>
      <c r="Y189" s="83">
        <f>+Y176/Y161*400</f>
        <v>0.38119753777280357</v>
      </c>
      <c r="Z189" s="9">
        <f>IF(ISERROR(Y189/Q189),"NA",IF(OR(Y189/Q189&gt;2,Y189/Q189&lt;0.5),"NM",Y189/Q189*100-100))</f>
        <v>-4.7427089244860241</v>
      </c>
      <c r="AA189" s="83">
        <f>+AA176/AA161*400</f>
        <v>0.3626825216402903</v>
      </c>
      <c r="AB189" s="9">
        <f>IF(ISERROR(AA189/S189),"NA",IF(OR(AA189/S189&gt;2,AA189/S189&lt;0.5),"NM",AA189/S189*100-100))</f>
        <v>-3.3907893691761046</v>
      </c>
      <c r="AC189" s="83">
        <f>+AC176/AC161*400</f>
        <v>0.37161496471841299</v>
      </c>
      <c r="AD189" s="9">
        <f>IF(ISERROR(AC189/U189),"NA",IF(OR(AC189/U189&gt;2,AC189/U189&lt;0.5),"NM",AC189/U189*100-100))</f>
        <v>-1.4139041045421692</v>
      </c>
      <c r="AE189" s="83">
        <f>+AE176/AE161*400</f>
        <v>0.35308293808486091</v>
      </c>
      <c r="AF189" s="9">
        <f>IF(ISERROR(AE189/W189),"NA",IF(OR(AE189/W189&gt;2,AE189/W189&lt;0.5),"NM",AE189/W189*100-100))</f>
        <v>-4.7049982536472186</v>
      </c>
      <c r="AG189" s="83">
        <f>+AG176/AG161*400</f>
        <v>0.37451129728357452</v>
      </c>
      <c r="AH189" s="9">
        <f t="shared" ref="AH189:AH193" si="1145">IF(ISERROR(AG189/Y189),"NA",IF(OR(AG189/Y189&gt;2,AG189/Y189&lt;0.5),"NM",AG189/Y189*100-100))</f>
        <v>-1.7540093591092614</v>
      </c>
      <c r="AI189" s="83">
        <f>+AI176/AI161*400</f>
        <v>0.34752362948960297</v>
      </c>
      <c r="AJ189" s="9">
        <f t="shared" ref="AJ189:AJ193" si="1146">IF(ISERROR(AI189/AA189),"NA",IF(OR(AI189/AA189&gt;2,AI189/AA189&lt;0.5),"NM",AI189/AA189*100-100))</f>
        <v>-4.179658860352248</v>
      </c>
      <c r="AK189" s="83">
        <f>+AK176/AK161*400</f>
        <v>0.34836488812392424</v>
      </c>
      <c r="AL189" s="9">
        <f t="shared" ref="AL189:AL193" si="1147">IF(ISERROR(AK189/AC189),"NA",IF(OR(AK189/AC189&gt;2,AK189/AC189&lt;0.5),"NM",AK189/AC189*100-100))</f>
        <v>-6.2564963206221336</v>
      </c>
      <c r="AM189" s="83">
        <f>+AM176/AM161*400</f>
        <v>0.35187717404342089</v>
      </c>
      <c r="AN189" s="9">
        <f t="shared" ref="AN189:AN193" si="1148">IF(ISERROR(AM189/AE189),"NA",IF(OR(AM189/AE189&gt;2,AM189/AE189&lt;0.5),"NM",AM189/AE189*100-100))</f>
        <v>-0.3414959805138551</v>
      </c>
      <c r="AO189" s="83">
        <f>+AO176/AO161*400</f>
        <v>0.3452118941699836</v>
      </c>
      <c r="AP189" s="9">
        <f t="shared" ref="AP189:AP193" si="1149">IF(ISERROR(AO189/AG189),"NA",IF(OR(AO189/AG189&gt;2,AO189/AG189&lt;0.5),"NM",AO189/AG189*100-100))</f>
        <v>-7.8233696356042941</v>
      </c>
      <c r="AQ189" s="102">
        <v>0.35</v>
      </c>
      <c r="AR189" s="9">
        <f t="shared" ref="AR189:AR193" si="1150">IF(ISERROR(AQ189/AI189),"NA",IF(OR(AQ189/AI189&gt;2,AQ189/AI189&lt;0.5),"NM",AQ189/AI189*100-100))</f>
        <v>0.7125761531766841</v>
      </c>
      <c r="AS189" s="102">
        <f>AQ189</f>
        <v>0.35</v>
      </c>
      <c r="AT189" s="9">
        <f t="shared" ref="AT189:AT193" si="1151">IF(ISERROR(AS189/AK189),"NA",IF(OR(AS189/AK189&gt;2,AS189/AK189&lt;0.5),"NM",AS189/AK189*100-100))</f>
        <v>0.46936758893281194</v>
      </c>
      <c r="AU189" s="102">
        <f>AS189</f>
        <v>0.35</v>
      </c>
      <c r="AV189" s="9">
        <f t="shared" ref="AV189:AV193" si="1152">IF(ISERROR(AU189/AM189),"NA",IF(OR(AU189/AM189&gt;2,AU189/AM189&lt;0.5),"NM",AU189/AM189*100-100))</f>
        <v>-0.53347422961549285</v>
      </c>
      <c r="AW189" s="102">
        <f>AU189</f>
        <v>0.35</v>
      </c>
      <c r="AX189" s="9">
        <f t="shared" ref="AX189:AX193" si="1153">IF(ISERROR(AW189/AO189),"NA",IF(OR(AW189/AO189&gt;2,AW189/AO189&lt;0.5),"NM",AW189/AO189*100-100))</f>
        <v>1.3870048833423851</v>
      </c>
      <c r="AY189" s="356"/>
      <c r="AZ189" s="618"/>
      <c r="BA189" s="620"/>
      <c r="BB189" s="60"/>
      <c r="BC189" s="226" t="str">
        <f>IF(ISERROR(BB189/#REF!),"NA",IF(OR(BB189/#REF!&gt;2,BB189/#REF!&lt;0.5),"NM",BB189/#REF!*100-100))</f>
        <v>NA</v>
      </c>
      <c r="BD189" s="914"/>
      <c r="BE189" s="226" t="str">
        <f t="shared" si="1068"/>
        <v>NA</v>
      </c>
      <c r="BF189" s="60">
        <f>BF176/BF161*100</f>
        <v>0.3760233712294534</v>
      </c>
      <c r="BG189" s="226" t="str">
        <f t="shared" si="1068"/>
        <v>NA</v>
      </c>
      <c r="BH189" s="60">
        <f>BH176/BH161*100</f>
        <v>0.36552398826042681</v>
      </c>
      <c r="BI189" s="226">
        <f t="shared" si="1068"/>
        <v>-2.7922155303000409</v>
      </c>
      <c r="BJ189" s="60">
        <f>BJ176/BJ161*100</f>
        <v>0.34823358018696127</v>
      </c>
      <c r="BK189" s="226">
        <f t="shared" si="1068"/>
        <v>-4.7303073474747066</v>
      </c>
      <c r="BL189" s="60">
        <f>BL176/BL161*100</f>
        <v>0.35000000000000003</v>
      </c>
      <c r="BM189" s="226">
        <f t="shared" si="1068"/>
        <v>0.5072514293682957</v>
      </c>
      <c r="BN189" s="102">
        <f>BL189</f>
        <v>0.35000000000000003</v>
      </c>
      <c r="BO189" s="226">
        <f t="shared" si="1068"/>
        <v>0</v>
      </c>
      <c r="BP189" s="102">
        <f>BN189-0.005</f>
        <v>0.34500000000000003</v>
      </c>
      <c r="BQ189" s="226">
        <f t="shared" si="1068"/>
        <v>-1.4285714285714306</v>
      </c>
      <c r="BR189" s="102">
        <f>BP189</f>
        <v>0.34500000000000003</v>
      </c>
      <c r="BS189" s="226">
        <f t="shared" si="1068"/>
        <v>0</v>
      </c>
      <c r="BT189" s="102">
        <f>BR189</f>
        <v>0.34500000000000003</v>
      </c>
      <c r="BU189" s="226">
        <f t="shared" ref="BU189:BU193" si="1154">IF(ISERROR(BT189/BR189),"NA",IF(OR(BT189/BR189&gt;2,BT189/BR189&lt;0.5),"NM",BT189/BR189*100-100))</f>
        <v>0</v>
      </c>
      <c r="BV189" s="43">
        <f t="shared" ref="BV189:BV194" si="1155">IF(ISERROR(((BT189/BJ189)^0.2-1)*100),"NA",IF((((BT189/BJ189)^0.2-1)*100)&gt;100,"NM",IF((((BT189/BJ189)^0.2-1)*100)&lt;-50,"NM",((BT189/BJ189)^0.2-1)*100)))</f>
        <v>-0.18640694640217337</v>
      </c>
      <c r="BW189" s="621"/>
      <c r="BX189" s="621"/>
      <c r="BY189"/>
      <c r="BZ189"/>
      <c r="CA189"/>
      <c r="CB189"/>
      <c r="CC189"/>
      <c r="CD189"/>
    </row>
    <row r="190" spans="2:82" s="616" customFormat="1" ht="12.75" customHeight="1" x14ac:dyDescent="0.2">
      <c r="B190" s="62" t="s">
        <v>198</v>
      </c>
      <c r="C190" s="15"/>
      <c r="D190" s="623"/>
      <c r="E190" s="15"/>
      <c r="F190" s="623"/>
      <c r="G190" s="15"/>
      <c r="H190" s="623"/>
      <c r="I190" s="15"/>
      <c r="J190" s="623"/>
      <c r="K190" s="15"/>
      <c r="L190" s="623"/>
      <c r="M190" s="15"/>
      <c r="N190" s="620"/>
      <c r="O190" s="83">
        <f>+O177/O161*400</f>
        <v>4.7512991833704532E-4</v>
      </c>
      <c r="P190" s="9" t="str">
        <f>IF(ISERROR(O190/G190),"NA",IF(OR(O190/G190&gt;2,O190/G190&lt;0.5),"NM",O190/G190*100-100))</f>
        <v>NA</v>
      </c>
      <c r="Q190" s="83">
        <f>+Q177/Q161*400</f>
        <v>8.8378258948298722E-3</v>
      </c>
      <c r="R190" s="9" t="str">
        <f>IF(ISERROR(Q190/I190),"NA",IF(OR(Q190/I190&gt;2,Q190/I190&lt;0.5),"NM",Q190/I190*100-100))</f>
        <v>NA</v>
      </c>
      <c r="S190" s="83">
        <f>+S177/S161*400</f>
        <v>1.6048144433299897E-3</v>
      </c>
      <c r="T190" s="9" t="str">
        <f>IF(ISERROR(S190/K190),"NA",IF(OR(S190/K190&gt;2,S190/K190&lt;0.5),"NM",S190/K190*100-100))</f>
        <v>NA</v>
      </c>
      <c r="U190" s="83">
        <f>+U177/U161*400</f>
        <v>1.1191941801902629E-3</v>
      </c>
      <c r="V190" s="9" t="str">
        <f>IF(ISERROR(U190/M190),"NA",IF(OR(U190/M190&gt;2,U190/M190&lt;0.5),"NM",U190/M190*100-100))</f>
        <v>NA</v>
      </c>
      <c r="W190" s="83">
        <f>+W177/W161*400</f>
        <v>-1.1210762331838565E-3</v>
      </c>
      <c r="X190" s="9" t="str">
        <f>IF(ISERROR(W190/O190),"NA",IF(OR(W190/O190&gt;2,W190/O190&lt;0.5),"NM",W190/O190*100-100))</f>
        <v>NM</v>
      </c>
      <c r="Y190" s="83">
        <f>+Y177/Y161*400</f>
        <v>7.498601007274763E-3</v>
      </c>
      <c r="Z190" s="9">
        <f>IF(ISERROR(Y190/Q190),"NA",IF(OR(Y190/Q190&gt;2,Y190/Q190&lt;0.5),"NM",Y190/Q190*100-100))</f>
        <v>-15.153329602686057</v>
      </c>
      <c r="AA190" s="83">
        <f>+AA177/AA161*400</f>
        <v>-1.8652910145434411E-3</v>
      </c>
      <c r="AB190" s="9" t="str">
        <f>IF(ISERROR(AA190/S190),"NA",IF(OR(AA190/S190&gt;2,AA190/S190&lt;0.5),"NM",AA190/S190*100-100))</f>
        <v>NM</v>
      </c>
      <c r="AC190" s="83">
        <f>+AC177/AC161*400</f>
        <v>2.5562508321129011E-3</v>
      </c>
      <c r="AD190" s="9" t="str">
        <f>IF(ISERROR(AC190/U190),"NA",IF(OR(AC190/U190&gt;2,AC190/U190&lt;0.5),"NM",AC190/U190*100-100))</f>
        <v>NM</v>
      </c>
      <c r="AE190" s="83">
        <f>+AE177/AE161*400</f>
        <v>1.9484681451096013E-3</v>
      </c>
      <c r="AF190" s="9" t="str">
        <f>IF(ISERROR(AE190/W190),"NA",IF(OR(AE190/W190&gt;2,AE190/W190&lt;0.5),"NM",AE190/W190*100-100))</f>
        <v>NM</v>
      </c>
      <c r="AG190" s="83">
        <f>+AG177/AG161*400</f>
        <v>1.1474993653211476E-2</v>
      </c>
      <c r="AH190" s="9">
        <f t="shared" si="1145"/>
        <v>53.02846013648437</v>
      </c>
      <c r="AI190" s="83">
        <f>+AI177/AI161*400</f>
        <v>1.2098298676748581E-3</v>
      </c>
      <c r="AJ190" s="9" t="str">
        <f t="shared" si="1146"/>
        <v>NM</v>
      </c>
      <c r="AK190" s="83">
        <f>+AK177/AK161*400</f>
        <v>1.2785837226456848E-3</v>
      </c>
      <c r="AL190" s="9">
        <f t="shared" si="1147"/>
        <v>-49.982071141709696</v>
      </c>
      <c r="AM190" s="83">
        <f>+AM177/AM161*400</f>
        <v>7.6766222861940749E-4</v>
      </c>
      <c r="AN190" s="9" t="str">
        <f t="shared" si="1148"/>
        <v>NM</v>
      </c>
      <c r="AO190" s="83">
        <f>+AO177/AO161*400</f>
        <v>6.4621868414891136E-3</v>
      </c>
      <c r="AP190" s="9">
        <f t="shared" si="1149"/>
        <v>-43.684615113660143</v>
      </c>
      <c r="AQ190" s="102">
        <v>2E-3</v>
      </c>
      <c r="AR190" s="9">
        <f t="shared" si="1150"/>
        <v>65.312500000000028</v>
      </c>
      <c r="AS190" s="102">
        <f t="shared" ref="AS190:AS191" si="1156">AQ190</f>
        <v>2E-3</v>
      </c>
      <c r="AT190" s="9">
        <f t="shared" si="1151"/>
        <v>56.423076923076906</v>
      </c>
      <c r="AU190" s="102">
        <f t="shared" ref="AU190:AU191" si="1157">AS190</f>
        <v>2E-3</v>
      </c>
      <c r="AV190" s="9" t="str">
        <f t="shared" si="1152"/>
        <v>NM</v>
      </c>
      <c r="AW190" s="102">
        <f t="shared" ref="AW190:AW191" si="1158">AU190</f>
        <v>2E-3</v>
      </c>
      <c r="AX190" s="9" t="str">
        <f t="shared" si="1153"/>
        <v>NM</v>
      </c>
      <c r="AY190" s="356"/>
      <c r="AZ190" s="618"/>
      <c r="BA190" s="620"/>
      <c r="BB190" s="60"/>
      <c r="BC190" s="226" t="str">
        <f>IF(ISERROR(BB190/#REF!),"NA",IF(OR(BB190/#REF!&gt;2,BB190/#REF!&lt;0.5),"NM",BB190/#REF!*100-100))</f>
        <v>NA</v>
      </c>
      <c r="BD190" s="914"/>
      <c r="BE190" s="226" t="str">
        <f t="shared" si="1068"/>
        <v>NA</v>
      </c>
      <c r="BF190" s="60">
        <f>BF177/BF161*100</f>
        <v>2.2808067297877578E-3</v>
      </c>
      <c r="BG190" s="226" t="str">
        <f t="shared" si="1068"/>
        <v>NA</v>
      </c>
      <c r="BH190" s="60">
        <f>BH177/BH161*100</f>
        <v>3.7268486167402054E-3</v>
      </c>
      <c r="BI190" s="226">
        <f t="shared" si="1068"/>
        <v>63.400456867601861</v>
      </c>
      <c r="BJ190" s="60">
        <f>BJ177/BJ161*100</f>
        <v>2.476629840961515E-3</v>
      </c>
      <c r="BK190" s="226">
        <f t="shared" si="1068"/>
        <v>-33.546272047728891</v>
      </c>
      <c r="BL190" s="60">
        <f>BL177/BL161*100</f>
        <v>2E-3</v>
      </c>
      <c r="BM190" s="226">
        <f t="shared" si="1068"/>
        <v>-19.245098039215677</v>
      </c>
      <c r="BN190" s="102">
        <f>BL190</f>
        <v>2E-3</v>
      </c>
      <c r="BO190" s="226">
        <f t="shared" si="1068"/>
        <v>0</v>
      </c>
      <c r="BP190" s="102">
        <f>BN190</f>
        <v>2E-3</v>
      </c>
      <c r="BQ190" s="226">
        <f t="shared" si="1068"/>
        <v>0</v>
      </c>
      <c r="BR190" s="102">
        <f>BP190</f>
        <v>2E-3</v>
      </c>
      <c r="BS190" s="226">
        <f t="shared" si="1068"/>
        <v>0</v>
      </c>
      <c r="BT190" s="102">
        <f>BR190</f>
        <v>2E-3</v>
      </c>
      <c r="BU190" s="226">
        <f t="shared" si="1154"/>
        <v>0</v>
      </c>
      <c r="BV190" s="43">
        <f t="shared" si="1155"/>
        <v>-4.1849393489506888</v>
      </c>
      <c r="BW190" s="621"/>
      <c r="BX190" s="621"/>
      <c r="BY190"/>
      <c r="BZ190"/>
      <c r="CA190"/>
      <c r="CB190"/>
      <c r="CC190"/>
      <c r="CD190"/>
    </row>
    <row r="191" spans="2:82" s="616" customFormat="1" ht="12.75" customHeight="1" x14ac:dyDescent="0.2">
      <c r="B191" s="62" t="s">
        <v>618</v>
      </c>
      <c r="C191" s="15"/>
      <c r="D191" s="623"/>
      <c r="E191" s="15"/>
      <c r="F191" s="623"/>
      <c r="G191" s="15"/>
      <c r="H191" s="623"/>
      <c r="I191" s="15"/>
      <c r="J191" s="623"/>
      <c r="K191" s="15"/>
      <c r="L191" s="623"/>
      <c r="M191" s="15"/>
      <c r="N191" s="620"/>
      <c r="O191" s="697">
        <f>+O180/O161*400</f>
        <v>5.2026726057906453E-2</v>
      </c>
      <c r="P191" s="9" t="str">
        <f>IF(ISERROR(O191/G191),"NA",IF(OR(O191/G191&gt;2,O191/G191&lt;0.5),"NM",O191/G191*100-100))</f>
        <v>NA</v>
      </c>
      <c r="Q191" s="697">
        <f>+Q180/Q161*400</f>
        <v>5.1495065547208722E-2</v>
      </c>
      <c r="R191" s="9" t="str">
        <f>IF(ISERROR(Q191/I191),"NA",IF(OR(Q191/I191&gt;2,Q191/I191&lt;0.5),"NM",Q191/I191*100-100))</f>
        <v>NA</v>
      </c>
      <c r="S191" s="697">
        <f>+S180/S161*400</f>
        <v>5.1927210202034668E-2</v>
      </c>
      <c r="T191" s="9" t="str">
        <f>IF(ISERROR(S191/K191),"NA",IF(OR(S191/K191&gt;2,S191/K191&lt;0.5),"NM",S191/K191*100-100))</f>
        <v>NA</v>
      </c>
      <c r="U191" s="697">
        <f>+U180/U161*400</f>
        <v>5.2154448796866253E-2</v>
      </c>
      <c r="V191" s="9" t="str">
        <f>IF(ISERROR(U191/M191),"NA",IF(OR(U191/M191&gt;2,U191/M191&lt;0.5),"NM",U191/M191*100-100))</f>
        <v>NA</v>
      </c>
      <c r="W191" s="697">
        <f>+W180/W161*400</f>
        <v>5.0784753363228699E-2</v>
      </c>
      <c r="X191" s="9">
        <f>IF(ISERROR(W191/O191),"NA",IF(OR(W191/O191&gt;2,W191/O191&lt;0.5),"NM",W191/O191*100-100))</f>
        <v>-2.3871821057804397</v>
      </c>
      <c r="Y191" s="697">
        <f>+Y180/Y161*400</f>
        <v>5.0475657526580862E-2</v>
      </c>
      <c r="Z191" s="9">
        <f>IF(ISERROR(Y191/Q191),"NA",IF(OR(Y191/Q191&gt;2,Y191/Q191&lt;0.5),"NM",Y191/Q191*100-100))</f>
        <v>-1.9796227265567978</v>
      </c>
      <c r="AA191" s="697">
        <f>+AA180/AA161*400</f>
        <v>4.639911398676809E-2</v>
      </c>
      <c r="AB191" s="9">
        <f>IF(ISERROR(AA191/S191),"NA",IF(OR(AA191/S191&gt;2,AA191/S191&lt;0.5),"NM",AA191/S191*100-100))</f>
        <v>-10.645856370404374</v>
      </c>
      <c r="AC191" s="697">
        <f>+AC180/AC161*400</f>
        <v>4.3243243243243246E-2</v>
      </c>
      <c r="AD191" s="9">
        <f>IF(ISERROR(AC191/U191),"NA",IF(OR(AC191/U191&gt;2,AC191/U191&lt;0.5),"NM",AC191/U191*100-100))</f>
        <v>-17.086184897343685</v>
      </c>
      <c r="AE191" s="697">
        <f>+AE180/AE161*400</f>
        <v>4.2661197282399692E-2</v>
      </c>
      <c r="AF191" s="9">
        <f>IF(ISERROR(AE191/W191),"NA",IF(OR(AE191/W191&gt;2,AE191/W191&lt;0.5),"NM",AE191/W191*100-100))</f>
        <v>-15.996053033332174</v>
      </c>
      <c r="AG191" s="697">
        <f>+AG180/AG161*400</f>
        <v>4.1634932724041632E-2</v>
      </c>
      <c r="AH191" s="9">
        <f t="shared" si="1145"/>
        <v>-17.514828405917527</v>
      </c>
      <c r="AI191" s="697">
        <f>+AI180/AI161*400</f>
        <v>3.9924385633270325E-2</v>
      </c>
      <c r="AJ191" s="9">
        <f t="shared" si="1146"/>
        <v>-13.954422395531523</v>
      </c>
      <c r="AK191" s="697">
        <f>+AK180/AK161*400</f>
        <v>3.9144332431767882E-2</v>
      </c>
      <c r="AL191" s="9">
        <f t="shared" si="1147"/>
        <v>-9.4787312515367717</v>
      </c>
      <c r="AM191" s="697">
        <f>+AM180/AM161*400</f>
        <v>3.8383111430970375E-2</v>
      </c>
      <c r="AN191" s="9">
        <f t="shared" si="1148"/>
        <v>-10.028049196814933</v>
      </c>
      <c r="AO191" s="697">
        <f>+AO180/AO161*400</f>
        <v>3.7649262467806137E-2</v>
      </c>
      <c r="AP191" s="9">
        <f t="shared" si="1149"/>
        <v>-9.5728994751900132</v>
      </c>
      <c r="AQ191" s="102">
        <f t="shared" ref="AQ191" si="1159">AO191</f>
        <v>3.7649262467806137E-2</v>
      </c>
      <c r="AR191" s="9">
        <f t="shared" si="1150"/>
        <v>-5.6985802771333169</v>
      </c>
      <c r="AS191" s="102">
        <f t="shared" si="1156"/>
        <v>3.7649262467806137E-2</v>
      </c>
      <c r="AT191" s="9">
        <f t="shared" si="1151"/>
        <v>-3.819377853914844</v>
      </c>
      <c r="AU191" s="102">
        <f t="shared" si="1157"/>
        <v>3.7649262467806137E-2</v>
      </c>
      <c r="AV191" s="9">
        <f t="shared" si="1152"/>
        <v>-1.9119058768438322</v>
      </c>
      <c r="AW191" s="102">
        <f t="shared" si="1158"/>
        <v>3.7649262467806137E-2</v>
      </c>
      <c r="AX191" s="9">
        <f t="shared" si="1153"/>
        <v>0</v>
      </c>
      <c r="AY191" s="356"/>
      <c r="AZ191" s="618"/>
      <c r="BA191" s="620"/>
      <c r="BB191" s="60"/>
      <c r="BC191" s="226" t="str">
        <f>IF(ISERROR(BB191/#REF!),"NA",IF(OR(BB191/#REF!&gt;2,BB191/#REF!&lt;0.5),"NM",BB191/#REF!*100-100))</f>
        <v>NA</v>
      </c>
      <c r="BD191" s="914"/>
      <c r="BE191" s="226" t="str">
        <f t="shared" si="1068"/>
        <v>NA</v>
      </c>
      <c r="BF191" s="60">
        <f>BF180/BF161*100</f>
        <v>5.1332230474112131E-2</v>
      </c>
      <c r="BG191" s="226" t="str">
        <f t="shared" si="1068"/>
        <v>NA</v>
      </c>
      <c r="BH191" s="60">
        <f>BH180/BH161*100</f>
        <v>4.3391166037760963E-2</v>
      </c>
      <c r="BI191" s="226">
        <f t="shared" si="1068"/>
        <v>-15.469938405181921</v>
      </c>
      <c r="BJ191" s="60">
        <f>BJ180/BJ161*100</f>
        <v>3.8751972805633125E-2</v>
      </c>
      <c r="BK191" s="226">
        <f t="shared" si="1068"/>
        <v>-10.691561568293878</v>
      </c>
      <c r="BL191" s="60">
        <f>BL180/BL161*100</f>
        <v>3.7649262467806144E-2</v>
      </c>
      <c r="BM191" s="226">
        <f t="shared" si="1068"/>
        <v>-2.8455592270303356</v>
      </c>
      <c r="BN191" s="102">
        <f>BL191</f>
        <v>3.7649262467806144E-2</v>
      </c>
      <c r="BO191" s="226">
        <f t="shared" si="1068"/>
        <v>0</v>
      </c>
      <c r="BP191" s="102">
        <f>BN191</f>
        <v>3.7649262467806144E-2</v>
      </c>
      <c r="BQ191" s="226">
        <f t="shared" si="1068"/>
        <v>0</v>
      </c>
      <c r="BR191" s="102">
        <f>BP191</f>
        <v>3.7649262467806144E-2</v>
      </c>
      <c r="BS191" s="226">
        <f t="shared" si="1068"/>
        <v>0</v>
      </c>
      <c r="BT191" s="102">
        <f>BR191</f>
        <v>3.7649262467806144E-2</v>
      </c>
      <c r="BU191" s="226">
        <f t="shared" si="1154"/>
        <v>0</v>
      </c>
      <c r="BV191" s="43">
        <f t="shared" si="1155"/>
        <v>-0.57570246018504578</v>
      </c>
      <c r="BW191" s="621"/>
      <c r="BX191" s="621"/>
      <c r="BY191"/>
      <c r="BZ191"/>
      <c r="CA191"/>
      <c r="CB191"/>
      <c r="CC191"/>
      <c r="CD191"/>
    </row>
    <row r="192" spans="2:82" s="616" customFormat="1" ht="12.75" customHeight="1" x14ac:dyDescent="0.2">
      <c r="B192" s="62" t="s">
        <v>264</v>
      </c>
      <c r="C192" s="15"/>
      <c r="D192" s="623"/>
      <c r="E192" s="15"/>
      <c r="F192" s="623"/>
      <c r="G192" s="15"/>
      <c r="H192" s="623"/>
      <c r="I192" s="15"/>
      <c r="J192" s="623"/>
      <c r="K192" s="15"/>
      <c r="L192" s="623"/>
      <c r="M192" s="15"/>
      <c r="N192" s="620"/>
      <c r="O192" s="697">
        <f>+O181/O161*400</f>
        <v>0.21083890126206384</v>
      </c>
      <c r="P192" s="9" t="str">
        <f>IF(ISERROR(O192/G192),"NA",IF(OR(O192/G192&gt;2,O192/G192&lt;0.5),"NM",O192/G192*100-100))</f>
        <v>NA</v>
      </c>
      <c r="Q192" s="697">
        <f>+Q181/Q161*400</f>
        <v>0.23838562380321107</v>
      </c>
      <c r="R192" s="9" t="str">
        <f>IF(ISERROR(Q192/I192),"NA",IF(OR(Q192/I192&gt;2,Q192/I192&lt;0.5),"NM",Q192/I192*100-100))</f>
        <v>NA</v>
      </c>
      <c r="S192" s="697">
        <f>+S181/S161*400</f>
        <v>0.21768161627740362</v>
      </c>
      <c r="T192" s="9" t="str">
        <f>IF(ISERROR(S192/K192),"NA",IF(OR(S192/K192&gt;2,S192/K192&lt;0.5),"NM",S192/K192*100-100))</f>
        <v>NA</v>
      </c>
      <c r="U192" s="697">
        <f>+U181/U161*400</f>
        <v>0.21454952434247343</v>
      </c>
      <c r="V192" s="9" t="str">
        <f>IF(ISERROR(U192/M192),"NA",IF(OR(U192/M192&gt;2,U192/M192&lt;0.5),"NM",U192/M192*100-100))</f>
        <v>NA</v>
      </c>
      <c r="W192" s="697">
        <f>+W181/W161*400</f>
        <v>0.21020179372197309</v>
      </c>
      <c r="X192" s="9">
        <f>IF(ISERROR(W192/O192),"NA",IF(OR(W192/O192&gt;2,W192/O192&lt;0.5),"NM",W192/O192*100-100))</f>
        <v>-0.30217741426135092</v>
      </c>
      <c r="Y192" s="697">
        <f>+Y181/Y161*400</f>
        <v>0.22294348069390035</v>
      </c>
      <c r="Z192" s="9">
        <f>IF(ISERROR(Y192/Q192),"NA",IF(OR(Y192/Q192&gt;2,Y192/Q192&lt;0.5),"NM",Y192/Q192*100-100))</f>
        <v>-6.4777996520705869</v>
      </c>
      <c r="AA192" s="697">
        <f>+AA181/AA161*400</f>
        <v>0.22010433971612603</v>
      </c>
      <c r="AB192" s="9">
        <f>IF(ISERROR(AA192/S192),"NA",IF(OR(AA192/S192&gt;2,AA192/S192&lt;0.5),"NM",AA192/S192*100-100))</f>
        <v>1.1129664875489453</v>
      </c>
      <c r="AC192" s="697">
        <f>+AC181/AC161*400</f>
        <v>0.20439355611769405</v>
      </c>
      <c r="AD192" s="9">
        <f>IF(ISERROR(AC192/U192),"NA",IF(OR(AC192/U192&gt;2,AC192/U192&lt;0.5),"NM",AC192/U192*100-100))</f>
        <v>-4.7336242090977407</v>
      </c>
      <c r="AE192" s="697">
        <f>+AE181/AE161*400</f>
        <v>0.19494936546596589</v>
      </c>
      <c r="AF192" s="9">
        <f>IF(ISERROR(AE192/W192),"NA",IF(OR(AE192/W192&gt;2,AE192/W192&lt;0.5),"NM",AE192/W192*100-100))</f>
        <v>-7.256088535657824</v>
      </c>
      <c r="AG192" s="697">
        <f>+AG181/AG161*400</f>
        <v>0.20675298299060674</v>
      </c>
      <c r="AH192" s="9">
        <f t="shared" si="1145"/>
        <v>-7.2621534627976132</v>
      </c>
      <c r="AI192" s="697">
        <f>+AI181/AI161*400</f>
        <v>0.20647763074984246</v>
      </c>
      <c r="AJ192" s="9">
        <f t="shared" si="1146"/>
        <v>-6.1910223959501565</v>
      </c>
      <c r="AK192" s="697">
        <f>+AK181/AK161*400</f>
        <v>0.19542660437669043</v>
      </c>
      <c r="AL192" s="9">
        <f t="shared" si="1147"/>
        <v>-4.38710099835059</v>
      </c>
      <c r="AM192" s="697">
        <f>+AM181/AM161*400</f>
        <v>0.18778937267602255</v>
      </c>
      <c r="AN192" s="9">
        <f t="shared" si="1148"/>
        <v>-3.6727448549676467</v>
      </c>
      <c r="AO192" s="697">
        <f>+AO181/AO161*400</f>
        <v>0.19686256146101613</v>
      </c>
      <c r="AP192" s="9">
        <f t="shared" si="1149"/>
        <v>-4.7836898827428058</v>
      </c>
      <c r="AQ192" s="697">
        <f t="shared" ref="AQ192:AW192" si="1160">AQ189+AQ190-AQ194-AQ191</f>
        <v>0.19335073753219384</v>
      </c>
      <c r="AR192" s="9">
        <f t="shared" si="1150"/>
        <v>-6.3575377003199378</v>
      </c>
      <c r="AS192" s="697">
        <f t="shared" si="1160"/>
        <v>0.19335073753219384</v>
      </c>
      <c r="AT192" s="9">
        <f t="shared" si="1151"/>
        <v>-1.0622232582495741</v>
      </c>
      <c r="AU192" s="697">
        <f t="shared" si="1160"/>
        <v>0.19335073753219384</v>
      </c>
      <c r="AV192" s="9">
        <f t="shared" si="1152"/>
        <v>2.9614907259772707</v>
      </c>
      <c r="AW192" s="697">
        <f t="shared" si="1160"/>
        <v>0.19235073753219384</v>
      </c>
      <c r="AX192" s="9">
        <f t="shared" si="1153"/>
        <v>-2.2918648905803991</v>
      </c>
      <c r="AY192" s="356"/>
      <c r="AZ192" s="618"/>
      <c r="BA192" s="620"/>
      <c r="BB192" s="60"/>
      <c r="BC192" s="226" t="str">
        <f>IF(ISERROR(BB192/#REF!),"NA",IF(OR(BB192/#REF!&gt;2,BB192/#REF!&lt;0.5),"NM",BB192/#REF!*100-100))</f>
        <v>NA</v>
      </c>
      <c r="BD192" s="914"/>
      <c r="BE192" s="226" t="str">
        <f t="shared" si="1068"/>
        <v>NA</v>
      </c>
      <c r="BF192" s="60">
        <f>BF181/BF161*100</f>
        <v>0.21633874203653511</v>
      </c>
      <c r="BG192" s="226" t="str">
        <f t="shared" si="1068"/>
        <v>NA</v>
      </c>
      <c r="BH192" s="60">
        <f>BH181/BH161*100</f>
        <v>0.20614796920025821</v>
      </c>
      <c r="BI192" s="226">
        <f t="shared" si="1068"/>
        <v>-4.7105630458717798</v>
      </c>
      <c r="BJ192" s="60">
        <f>BJ181/BJ161*100</f>
        <v>0.19652786208571082</v>
      </c>
      <c r="BK192" s="226">
        <f t="shared" si="1068"/>
        <v>-4.6666029026956437</v>
      </c>
      <c r="BL192" s="60">
        <f>BL181/BL161*100</f>
        <v>0.1930956847196458</v>
      </c>
      <c r="BM192" s="226">
        <f t="shared" si="1068"/>
        <v>-1.7464075218852031</v>
      </c>
      <c r="BN192" s="60">
        <f>BN189+BN190-BN194-BN191</f>
        <v>0.1940649497301378</v>
      </c>
      <c r="BO192" s="226">
        <f t="shared" si="1068"/>
        <v>0.50196098990988958</v>
      </c>
      <c r="BP192" s="60">
        <f>BP189+BP190-BP194-BP191</f>
        <v>0.1930649497301378</v>
      </c>
      <c r="BQ192" s="226">
        <f t="shared" si="1068"/>
        <v>-0.51529140186859479</v>
      </c>
      <c r="BR192" s="60">
        <f>BR189+BR190-BR194-BR191</f>
        <v>0.1930649497301378</v>
      </c>
      <c r="BS192" s="226">
        <f t="shared" si="1068"/>
        <v>0</v>
      </c>
      <c r="BT192" s="60">
        <f>BT189+BT190-BT194-BT191</f>
        <v>0.1960649497301378</v>
      </c>
      <c r="BU192" s="226">
        <f t="shared" si="1154"/>
        <v>1.5538812219376723</v>
      </c>
      <c r="BV192" s="43">
        <f t="shared" si="1155"/>
        <v>-4.7153529844434772E-2</v>
      </c>
      <c r="BW192" s="621"/>
      <c r="BX192" s="621"/>
      <c r="BY192"/>
      <c r="BZ192"/>
      <c r="CA192"/>
      <c r="CB192"/>
      <c r="CC192"/>
      <c r="CD192"/>
    </row>
    <row r="193" spans="1:82" s="616" customFormat="1" ht="12.75" customHeight="1" x14ac:dyDescent="0.2">
      <c r="B193" s="62" t="s">
        <v>365</v>
      </c>
      <c r="C193" s="15"/>
      <c r="D193" s="623"/>
      <c r="E193" s="15"/>
      <c r="F193" s="623"/>
      <c r="G193" s="15"/>
      <c r="H193" s="623"/>
      <c r="I193" s="15"/>
      <c r="J193" s="623"/>
      <c r="K193" s="15"/>
      <c r="L193" s="623"/>
      <c r="M193" s="15"/>
      <c r="N193" s="620"/>
      <c r="O193" s="697">
        <f>+O182/O161*400</f>
        <v>0.1065478841870824</v>
      </c>
      <c r="P193" s="9" t="str">
        <f>IF(ISERROR(O193/G193),"NA",IF(OR(O193/G193&gt;2,O193/G193&lt;0.5),"NM",O193/G193*100-100))</f>
        <v>NA</v>
      </c>
      <c r="Q193" s="697">
        <f>+Q182/Q161*400</f>
        <v>0.11913389306230668</v>
      </c>
      <c r="R193" s="9" t="str">
        <f>IF(ISERROR(Q193/I193),"NA",IF(OR(Q193/I193&gt;2,Q193/I193&lt;0.5),"NM",Q193/I193*100-100))</f>
        <v>NA</v>
      </c>
      <c r="S193" s="697">
        <f>+S182/S161*400</f>
        <v>0.1074079381000143</v>
      </c>
      <c r="T193" s="9" t="str">
        <f>IF(ISERROR(S193/K193),"NA",IF(OR(S193/K193&gt;2,S193/K193&lt;0.5),"NM",S193/K193*100-100))</f>
        <v>NA</v>
      </c>
      <c r="U193" s="697">
        <f>+U182/U161*400</f>
        <v>0.11135982092893119</v>
      </c>
      <c r="V193" s="9" t="str">
        <f>IF(ISERROR(U193/M193),"NA",IF(OR(U193/M193&gt;2,U193/M193&lt;0.5),"NM",U193/M193*100-100))</f>
        <v>NA</v>
      </c>
      <c r="W193" s="697">
        <f>+W182/W161*400</f>
        <v>0.10840807174887894</v>
      </c>
      <c r="X193" s="9">
        <f>IF(ISERROR(W193/O193),"NA",IF(OR(W193/O193&gt;2,W193/O193&lt;0.5),"NM",W193/O193*100-100))</f>
        <v>1.7458700151476734</v>
      </c>
      <c r="Y193" s="697">
        <f>+Y182/Y161*400</f>
        <v>0.11527700055959712</v>
      </c>
      <c r="Z193" s="9">
        <f>IF(ISERROR(Y193/Q193),"NA",IF(OR(Y193/Q193&gt;2,Y193/Q193&lt;0.5),"NM",Y193/Q193*100-100))</f>
        <v>-3.237443521376747</v>
      </c>
      <c r="AA193" s="697">
        <f>+AA182/AA161*400</f>
        <v>9.4313776922852754E-2</v>
      </c>
      <c r="AB193" s="9">
        <f>IF(ISERROR(AA193/S193),"NA",IF(OR(AA193/S193&gt;2,AA193/S193&lt;0.5),"NM",AA193/S193*100-100))</f>
        <v>-12.191055343571293</v>
      </c>
      <c r="AC193" s="697">
        <f>+AC182/AC161*400</f>
        <v>0.12653441618958858</v>
      </c>
      <c r="AD193" s="9">
        <f>IF(ISERROR(AC193/U193),"NA",IF(OR(AC193/U193&gt;2,AC193/U193&lt;0.5),"NM",AC193/U193*100-100))</f>
        <v>13.62663403557525</v>
      </c>
      <c r="AE193" s="697">
        <f>+AE182/AE161*400</f>
        <v>0.11742084348160492</v>
      </c>
      <c r="AF193" s="9">
        <f>IF(ISERROR(AE193/W193),"NA",IF(OR(AE193/W193&gt;2,AE193/W193&lt;0.5),"NM",AE193/W193*100-100))</f>
        <v>8.3137460037141295</v>
      </c>
      <c r="AG193" s="697">
        <f>+AG182/AG161*400</f>
        <v>0.13759837522213764</v>
      </c>
      <c r="AH193" s="9">
        <f t="shared" si="1145"/>
        <v>19.363250738815481</v>
      </c>
      <c r="AI193" s="697">
        <f>+AI182/AI161*400</f>
        <v>0.10233144297416509</v>
      </c>
      <c r="AJ193" s="9">
        <f t="shared" si="1146"/>
        <v>8.501055002675443</v>
      </c>
      <c r="AK193" s="697">
        <f>+AK182/AK161*400</f>
        <v>0.11507253503811166</v>
      </c>
      <c r="AL193" s="9">
        <f t="shared" si="1147"/>
        <v>-9.0583111667448577</v>
      </c>
      <c r="AM193" s="697">
        <f>+AM182/AM161*400</f>
        <v>0.12647235216504737</v>
      </c>
      <c r="AN193" s="9">
        <f t="shared" si="1148"/>
        <v>7.708604720473204</v>
      </c>
      <c r="AO193" s="697">
        <f>+AO182/AO161*400</f>
        <v>0.11716225708265043</v>
      </c>
      <c r="AP193" s="9">
        <f t="shared" si="1149"/>
        <v>-14.852005415394842</v>
      </c>
      <c r="AQ193" s="698">
        <v>0.121</v>
      </c>
      <c r="AR193" s="9">
        <f t="shared" si="1150"/>
        <v>18.243226600985224</v>
      </c>
      <c r="AS193" s="698">
        <f>AQ193</f>
        <v>0.121</v>
      </c>
      <c r="AT193" s="9">
        <f t="shared" si="1151"/>
        <v>5.151068376068352</v>
      </c>
      <c r="AU193" s="698">
        <f>AS193</f>
        <v>0.121</v>
      </c>
      <c r="AV193" s="9">
        <f t="shared" si="1152"/>
        <v>-4.3269157814871022</v>
      </c>
      <c r="AW193" s="698">
        <f>AU193+0.001</f>
        <v>0.122</v>
      </c>
      <c r="AX193" s="9">
        <f t="shared" si="1153"/>
        <v>4.1290967226218953</v>
      </c>
      <c r="AY193" s="356"/>
      <c r="AZ193" s="618"/>
      <c r="BA193" s="620"/>
      <c r="BB193" s="60"/>
      <c r="BC193" s="226" t="str">
        <f>IF(ISERROR(BB193/#REF!),"NA",IF(OR(BB193/#REF!&gt;2,BB193/#REF!&lt;0.5),"NM",BB193/#REF!*100-100))</f>
        <v>NA</v>
      </c>
      <c r="BD193" s="914"/>
      <c r="BE193" s="226" t="str">
        <f t="shared" si="1068"/>
        <v>NA</v>
      </c>
      <c r="BF193" s="60">
        <f>BF187/BF161*100</f>
        <v>0.10939424870648692</v>
      </c>
      <c r="BG193" s="226" t="str">
        <f t="shared" si="1068"/>
        <v>NA</v>
      </c>
      <c r="BH193" s="60">
        <f>BH187/BH161*100</f>
        <v>0.11814110115066453</v>
      </c>
      <c r="BI193" s="226">
        <f t="shared" si="1068"/>
        <v>7.9957150833825779</v>
      </c>
      <c r="BJ193" s="60">
        <f>BJ187/BJ161*100</f>
        <v>0.11404637610780625</v>
      </c>
      <c r="BK193" s="226">
        <f t="shared" si="1068"/>
        <v>-3.465961467242721</v>
      </c>
      <c r="BL193" s="60">
        <f>BL187/BL161*100</f>
        <v>0.12028578780205609</v>
      </c>
      <c r="BM193" s="226">
        <f t="shared" si="1068"/>
        <v>5.4709425298633079</v>
      </c>
      <c r="BN193" s="102">
        <f>BL193</f>
        <v>0.12028578780205609</v>
      </c>
      <c r="BO193" s="226">
        <f t="shared" si="1068"/>
        <v>0</v>
      </c>
      <c r="BP193" s="102">
        <f>BN193-0.004</f>
        <v>0.11628578780205609</v>
      </c>
      <c r="BQ193" s="226">
        <f t="shared" si="1068"/>
        <v>-3.3254136445300304</v>
      </c>
      <c r="BR193" s="102">
        <f>BP193</f>
        <v>0.11628578780205609</v>
      </c>
      <c r="BS193" s="226">
        <f t="shared" si="1068"/>
        <v>0</v>
      </c>
      <c r="BT193" s="102">
        <f>BR193-0.003</f>
        <v>0.11328578780205609</v>
      </c>
      <c r="BU193" s="226">
        <f t="shared" si="1154"/>
        <v>-2.5798509488594306</v>
      </c>
      <c r="BV193" s="43">
        <f t="shared" si="1155"/>
        <v>-0.13373953103621439</v>
      </c>
      <c r="BW193" s="621"/>
      <c r="BX193" s="621"/>
      <c r="BY193"/>
      <c r="BZ193"/>
      <c r="CA193"/>
      <c r="CB193"/>
      <c r="CC193"/>
      <c r="CD193"/>
    </row>
    <row r="194" spans="1:82" s="616" customFormat="1" ht="12.75" hidden="1" customHeight="1" outlineLevel="1" x14ac:dyDescent="0.2">
      <c r="B194" s="301" t="s">
        <v>65</v>
      </c>
      <c r="C194" s="15"/>
      <c r="D194" s="623"/>
      <c r="E194" s="15"/>
      <c r="F194" s="623"/>
      <c r="G194" s="15"/>
      <c r="H194" s="623"/>
      <c r="I194" s="15"/>
      <c r="J194" s="623"/>
      <c r="K194" s="15"/>
      <c r="L194" s="623"/>
      <c r="M194" s="15"/>
      <c r="N194" s="620"/>
      <c r="O194" s="697"/>
      <c r="P194" s="46"/>
      <c r="Q194" s="697"/>
      <c r="R194" s="46"/>
      <c r="S194" s="697"/>
      <c r="T194" s="46"/>
      <c r="U194" s="697"/>
      <c r="V194" s="46"/>
      <c r="W194" s="697"/>
      <c r="X194" s="46"/>
      <c r="Y194" s="697"/>
      <c r="Z194" s="46"/>
      <c r="AA194" s="697"/>
      <c r="AB194" s="46"/>
      <c r="AC194" s="697"/>
      <c r="AD194" s="46"/>
      <c r="AE194" s="697"/>
      <c r="AF194" s="46"/>
      <c r="AG194" s="697"/>
      <c r="AH194" s="620"/>
      <c r="AI194" s="697"/>
      <c r="AJ194" s="620"/>
      <c r="AK194" s="697"/>
      <c r="AL194" s="620"/>
      <c r="AM194" s="697"/>
      <c r="AN194" s="620"/>
      <c r="AO194" s="697"/>
      <c r="AP194" s="620"/>
      <c r="AQ194" s="302">
        <f t="shared" ref="AQ194" si="1161">IF($B$6=1,AQ193,IF($B$6=2,AQ193+AQ565,IF($B$6=3,AQ193+AQ566)))</f>
        <v>0.121</v>
      </c>
      <c r="AR194" s="620"/>
      <c r="AS194" s="302">
        <f t="shared" ref="AS194" si="1162">IF($B$6=1,AS193,IF($B$6=2,AS193+AS565,IF($B$6=3,AS193+AS566)))</f>
        <v>0.121</v>
      </c>
      <c r="AT194" s="620"/>
      <c r="AU194" s="302">
        <f t="shared" ref="AU194" si="1163">IF($B$6=1,AU193,IF($B$6=2,AU193+AU565,IF($B$6=3,AU193+AU566)))</f>
        <v>0.121</v>
      </c>
      <c r="AV194" s="620"/>
      <c r="AW194" s="302">
        <f t="shared" ref="AW194" si="1164">IF($B$6=1,AW193,IF($B$6=2,AW193+AW565,IF($B$6=3,AW193+AW566)))</f>
        <v>0.122</v>
      </c>
      <c r="AX194" s="620"/>
      <c r="AY194" s="356"/>
      <c r="AZ194" s="618"/>
      <c r="BA194" s="620"/>
      <c r="BB194" s="302">
        <f>IF($B$6=1,BB193,IF($B$6=2,BB193+BB565,IF($B$6=3,BB193+BB566)))</f>
        <v>0</v>
      </c>
      <c r="BC194" s="626"/>
      <c r="BD194" s="919">
        <f>IF($B$6=1,BD193,IF($B$6=2,BD193+BD565,IF($B$6=3,BD193+BD566)))</f>
        <v>0</v>
      </c>
      <c r="BE194" s="626"/>
      <c r="BF194" s="302">
        <f t="shared" ref="BF194:BU194" si="1165">IF($B$6=1,BF193,IF($B$6=2,BF193+BF565,IF($B$6=3,BF193+BF566)))</f>
        <v>0.10939424870648692</v>
      </c>
      <c r="BG194" s="302" t="str">
        <f t="shared" si="1165"/>
        <v>NA</v>
      </c>
      <c r="BH194" s="302">
        <f t="shared" si="1165"/>
        <v>0.11814110115066453</v>
      </c>
      <c r="BI194" s="302">
        <f t="shared" si="1165"/>
        <v>7.9957150833825779</v>
      </c>
      <c r="BJ194" s="302">
        <f t="shared" si="1165"/>
        <v>0.11404637610780625</v>
      </c>
      <c r="BK194" s="302">
        <f t="shared" si="1165"/>
        <v>-3.465961467242721</v>
      </c>
      <c r="BL194" s="302">
        <f t="shared" si="1165"/>
        <v>0.12028578780205609</v>
      </c>
      <c r="BM194" s="302">
        <f t="shared" si="1165"/>
        <v>5.4709425298633079</v>
      </c>
      <c r="BN194" s="302">
        <f t="shared" si="1165"/>
        <v>0.12028578780205609</v>
      </c>
      <c r="BO194" s="302">
        <f t="shared" si="1165"/>
        <v>0</v>
      </c>
      <c r="BP194" s="302">
        <f t="shared" si="1165"/>
        <v>0.11628578780205609</v>
      </c>
      <c r="BQ194" s="623">
        <f t="shared" si="1165"/>
        <v>-3.3254136445300304</v>
      </c>
      <c r="BR194" s="302">
        <f t="shared" si="1165"/>
        <v>0.11628578780205609</v>
      </c>
      <c r="BS194" s="623">
        <f t="shared" si="1165"/>
        <v>0</v>
      </c>
      <c r="BT194" s="302">
        <f t="shared" si="1165"/>
        <v>0.11328578780205609</v>
      </c>
      <c r="BU194" s="623">
        <f t="shared" si="1165"/>
        <v>-2.5798509488594306</v>
      </c>
      <c r="BV194" s="43">
        <f t="shared" si="1155"/>
        <v>-0.13373953103621439</v>
      </c>
      <c r="BW194" s="621"/>
      <c r="BX194" s="621"/>
      <c r="BY194"/>
      <c r="BZ194"/>
      <c r="CA194"/>
      <c r="CB194"/>
      <c r="CC194"/>
      <c r="CD194"/>
    </row>
    <row r="195" spans="1:82" s="616" customFormat="1" ht="12.75" customHeight="1" collapsed="1" x14ac:dyDescent="0.2">
      <c r="B195" s="62"/>
      <c r="C195" s="15"/>
      <c r="D195" s="623"/>
      <c r="E195" s="15"/>
      <c r="F195" s="623"/>
      <c r="G195" s="15"/>
      <c r="H195" s="623"/>
      <c r="I195" s="15"/>
      <c r="J195" s="623"/>
      <c r="K195" s="15"/>
      <c r="L195" s="623"/>
      <c r="M195" s="15"/>
      <c r="N195" s="620"/>
      <c r="O195" s="691"/>
      <c r="P195" s="232"/>
      <c r="Q195" s="691"/>
      <c r="R195" s="232"/>
      <c r="S195" s="691"/>
      <c r="T195" s="232"/>
      <c r="U195" s="691"/>
      <c r="V195" s="232"/>
      <c r="W195" s="691"/>
      <c r="X195" s="232"/>
      <c r="Y195" s="691"/>
      <c r="Z195" s="232"/>
      <c r="AA195" s="691"/>
      <c r="AB195" s="232"/>
      <c r="AC195" s="691"/>
      <c r="AD195" s="232"/>
      <c r="AE195" s="691"/>
      <c r="AF195" s="232"/>
      <c r="AG195" s="691"/>
      <c r="AH195" s="620"/>
      <c r="AI195" s="691"/>
      <c r="AJ195" s="620"/>
      <c r="AK195" s="691"/>
      <c r="AL195" s="620"/>
      <c r="AM195" s="691"/>
      <c r="AN195" s="620"/>
      <c r="AO195" s="691"/>
      <c r="AP195" s="620"/>
      <c r="AQ195" s="691"/>
      <c r="AR195" s="620"/>
      <c r="AS195" s="691"/>
      <c r="AT195" s="620"/>
      <c r="AU195" s="691"/>
      <c r="AV195" s="620"/>
      <c r="AW195" s="691"/>
      <c r="AX195" s="620"/>
      <c r="AY195" s="356"/>
      <c r="AZ195" s="618"/>
      <c r="BA195" s="620"/>
      <c r="BB195" s="55"/>
      <c r="BC195" s="626"/>
      <c r="BD195" s="908"/>
      <c r="BE195" s="626"/>
      <c r="BF195" s="55"/>
      <c r="BG195" s="55"/>
      <c r="BH195" s="55"/>
      <c r="BI195" s="55"/>
      <c r="BJ195" s="55"/>
      <c r="BK195" s="55"/>
      <c r="BL195" s="55"/>
      <c r="BM195" s="55"/>
      <c r="BN195" s="55"/>
      <c r="BO195" s="55"/>
      <c r="BP195" s="55"/>
      <c r="BQ195" s="623"/>
      <c r="BR195" s="55"/>
      <c r="BS195" s="623"/>
      <c r="BT195" s="55"/>
      <c r="BU195" s="623"/>
      <c r="BV195" s="43"/>
      <c r="BW195" s="621"/>
      <c r="BX195" s="621"/>
      <c r="BY195"/>
      <c r="BZ195"/>
      <c r="CA195"/>
      <c r="CB195"/>
      <c r="CC195"/>
      <c r="CD195"/>
    </row>
    <row r="196" spans="1:82" s="616" customFormat="1" ht="12.75" customHeight="1" x14ac:dyDescent="0.2">
      <c r="B196" s="67" t="s">
        <v>317</v>
      </c>
      <c r="C196" s="15"/>
      <c r="D196" s="623"/>
      <c r="E196" s="15"/>
      <c r="F196" s="623"/>
      <c r="G196" s="15"/>
      <c r="H196" s="623"/>
      <c r="I196" s="15"/>
      <c r="J196" s="623"/>
      <c r="K196" s="15"/>
      <c r="L196" s="623"/>
      <c r="M196" s="15"/>
      <c r="N196" s="620"/>
      <c r="O196" s="697"/>
      <c r="P196" s="9"/>
      <c r="Q196" s="697"/>
      <c r="R196" s="9"/>
      <c r="S196" s="697"/>
      <c r="T196" s="9"/>
      <c r="U196" s="697"/>
      <c r="V196" s="9"/>
      <c r="W196" s="697"/>
      <c r="X196" s="9"/>
      <c r="Y196" s="697"/>
      <c r="Z196" s="9"/>
      <c r="AA196" s="697"/>
      <c r="AB196" s="9"/>
      <c r="AC196" s="697"/>
      <c r="AD196" s="9"/>
      <c r="AE196" s="697"/>
      <c r="AF196" s="9"/>
      <c r="AG196" s="697"/>
      <c r="AH196" s="620"/>
      <c r="AI196" s="697"/>
      <c r="AJ196" s="620"/>
      <c r="AK196" s="697"/>
      <c r="AL196" s="620"/>
      <c r="AM196" s="697"/>
      <c r="AN196" s="620"/>
      <c r="AO196" s="697"/>
      <c r="AP196" s="620"/>
      <c r="AQ196" s="697"/>
      <c r="AR196" s="620"/>
      <c r="AS196" s="697"/>
      <c r="AT196" s="620"/>
      <c r="AU196" s="697"/>
      <c r="AV196" s="620"/>
      <c r="AW196" s="697"/>
      <c r="AX196" s="620"/>
      <c r="AY196" s="356"/>
      <c r="AZ196" s="618"/>
      <c r="BA196" s="620"/>
      <c r="BB196" s="55"/>
      <c r="BC196" s="626"/>
      <c r="BD196" s="908"/>
      <c r="BE196" s="626"/>
      <c r="BF196" s="55"/>
      <c r="BG196" s="55"/>
      <c r="BH196" s="55"/>
      <c r="BI196" s="55"/>
      <c r="BJ196" s="55"/>
      <c r="BK196" s="55"/>
      <c r="BL196" s="55"/>
      <c r="BM196" s="55"/>
      <c r="BN196" s="55"/>
      <c r="BO196" s="55"/>
      <c r="BP196" s="55"/>
      <c r="BQ196" s="623"/>
      <c r="BR196" s="55"/>
      <c r="BS196" s="623"/>
      <c r="BT196" s="55"/>
      <c r="BU196" s="623"/>
      <c r="BV196" s="43"/>
      <c r="BW196" s="621"/>
      <c r="BX196" s="621"/>
      <c r="BY196"/>
      <c r="BZ196"/>
      <c r="CA196"/>
      <c r="CB196"/>
      <c r="CC196"/>
      <c r="CD196"/>
    </row>
    <row r="197" spans="1:82" s="616" customFormat="1" ht="12.75" customHeight="1" x14ac:dyDescent="0.2">
      <c r="B197" s="62" t="s">
        <v>619</v>
      </c>
      <c r="C197" s="694">
        <f>C187/(C178-C180)*100</f>
        <v>25.136574938074723</v>
      </c>
      <c r="D197" s="623"/>
      <c r="E197" s="694">
        <f>E187/(E178-E180)*100</f>
        <v>27.571198788910966</v>
      </c>
      <c r="F197" s="623"/>
      <c r="G197" s="694">
        <f>G187/(G178-G180)*100</f>
        <v>30.146137787056364</v>
      </c>
      <c r="H197" s="623"/>
      <c r="I197" s="694">
        <f>I187/(I178-I180)*100</f>
        <v>25.920100660585099</v>
      </c>
      <c r="J197" s="623"/>
      <c r="K197" s="694">
        <f>K182/(K178-K180)*100</f>
        <v>33.254344391785146</v>
      </c>
      <c r="L197" s="623"/>
      <c r="M197" s="694">
        <f>M182/(M178-M180)*100</f>
        <v>33.576362240982341</v>
      </c>
      <c r="N197" s="620"/>
      <c r="O197" s="694">
        <f>O182/(O178-O180)*100</f>
        <v>33.570359281437128</v>
      </c>
      <c r="P197" s="9"/>
      <c r="Q197" s="694">
        <f>Q182/(Q178-Q180)*100</f>
        <v>33.322346736980883</v>
      </c>
      <c r="R197" s="9"/>
      <c r="S197" s="694">
        <f>S182/(S178-S180)*100</f>
        <v>33.039492242595195</v>
      </c>
      <c r="T197" s="9"/>
      <c r="U197" s="694">
        <f>U182/(U178-U180)*100</f>
        <v>34.168956043956058</v>
      </c>
      <c r="V197" s="9"/>
      <c r="W197" s="694">
        <f>W182/(W178-W180)*100</f>
        <v>34.025334271639693</v>
      </c>
      <c r="X197" s="9"/>
      <c r="Y197" s="694">
        <f>Y182/(Y178-Y180)*100</f>
        <v>34.083388484447397</v>
      </c>
      <c r="Z197" s="9"/>
      <c r="AA197" s="694">
        <f>AA182/(AA178-AA180)*100</f>
        <v>29.996292176492407</v>
      </c>
      <c r="AB197" s="9"/>
      <c r="AC197" s="694">
        <f>AC182/(AC178-AC180)*100</f>
        <v>38.236240746700986</v>
      </c>
      <c r="AD197" s="9"/>
      <c r="AE197" s="694">
        <f>AE182/(AE178-AE180)*100</f>
        <v>37.5902823374918</v>
      </c>
      <c r="AF197" s="9"/>
      <c r="AG197" s="694">
        <f>AG182/(AG178-AG180)*100</f>
        <v>39.958714243585966</v>
      </c>
      <c r="AH197" s="620"/>
      <c r="AI197" s="694">
        <f>AI182/(AI178-AI180)*100</f>
        <v>33.137446947437162</v>
      </c>
      <c r="AJ197" s="620"/>
      <c r="AK197" s="694">
        <f>AK182/(AK178-AK180)*100</f>
        <v>37.060500475134631</v>
      </c>
      <c r="AL197" s="620"/>
      <c r="AM197" s="694">
        <f>AM182/(AM178-AM180)*100</f>
        <v>40.244274809160309</v>
      </c>
      <c r="AN197" s="620"/>
      <c r="AO197" s="694">
        <f>AO182/(AO178-AO180)*100</f>
        <v>37.30987175663585</v>
      </c>
      <c r="AP197" s="620"/>
      <c r="AQ197" s="694">
        <f t="shared" ref="AQ197" si="1166">AQ182/(AQ178-AQ180)*100</f>
        <v>38.492036299933275</v>
      </c>
      <c r="AR197" s="620"/>
      <c r="AS197" s="694">
        <f t="shared" ref="AS197" si="1167">AS182/(AS178-AS180)*100</f>
        <v>38.492036299933275</v>
      </c>
      <c r="AT197" s="620"/>
      <c r="AU197" s="694">
        <f t="shared" ref="AU197" si="1168">AU182/(AU178-AU180)*100</f>
        <v>38.492036299933275</v>
      </c>
      <c r="AV197" s="620"/>
      <c r="AW197" s="694">
        <f t="shared" ref="AW197" si="1169">AW182/(AW178-AW180)*100</f>
        <v>38.81015230241205</v>
      </c>
      <c r="AX197" s="620"/>
      <c r="AY197" s="356"/>
      <c r="AZ197" s="618"/>
      <c r="BA197" s="620"/>
      <c r="BB197" s="694">
        <f>BB187/(BB178-BB180)*100</f>
        <v>27.123615683926971</v>
      </c>
      <c r="BC197" s="626"/>
      <c r="BD197" s="694">
        <f>BD187/(BD178-BD180)*100</f>
        <v>32.285134636665433</v>
      </c>
      <c r="BE197" s="626"/>
      <c r="BF197" s="694">
        <f>BF182/(BF178-BF180)*100</f>
        <v>33.835687220117116</v>
      </c>
      <c r="BG197" s="55"/>
      <c r="BH197" s="694">
        <f>BH182/(BH178-BH180)*100</f>
        <v>36.737194673637781</v>
      </c>
      <c r="BI197" s="226">
        <f t="shared" ref="BI197:BS200" si="1170">IF(ISERROR(BH197/BF197),"NA",IF(OR(BH197/BF197&gt;2,BH197/BF197&lt;0.5),"NM",BH197/BF197*100-100))</f>
        <v>8.5752874905273586</v>
      </c>
      <c r="BJ197" s="694">
        <f>BJ182/(BJ178-BJ180)*100</f>
        <v>37.001867995018692</v>
      </c>
      <c r="BK197" s="226">
        <f t="shared" si="1170"/>
        <v>0.72045055081693476</v>
      </c>
      <c r="BL197" s="694">
        <f>BL182/(BL178-BL180)*100</f>
        <v>38.573172681082021</v>
      </c>
      <c r="BM197" s="226">
        <f t="shared" si="1170"/>
        <v>4.2465550287214171</v>
      </c>
      <c r="BN197" s="694">
        <f>BN182/(BN178-BN180)*100</f>
        <v>38.264833970601764</v>
      </c>
      <c r="BO197" s="226">
        <f t="shared" si="1170"/>
        <v>-0.79936051159069166</v>
      </c>
      <c r="BP197" s="694">
        <f>BP182/(BP178-BP180)*100</f>
        <v>37.59027333495667</v>
      </c>
      <c r="BQ197" s="623">
        <f t="shared" si="1170"/>
        <v>-1.7628735464090823</v>
      </c>
      <c r="BR197" s="694">
        <f>BR182/(BR178-BR180)*100</f>
        <v>37.590273334956677</v>
      </c>
      <c r="BS197" s="623">
        <f t="shared" si="1170"/>
        <v>2.8421709430404007E-14</v>
      </c>
      <c r="BT197" s="694">
        <f>BT182/(BT178-BT180)*100</f>
        <v>36.620500311645941</v>
      </c>
      <c r="BU197" s="623">
        <f t="shared" ref="BU197:BU200" si="1171">IF(ISERROR(BT197/BR197),"NA",IF(OR(BT197/BR197&gt;2,BT197/BR197&lt;0.5),"NM",BT197/BR197*100-100))</f>
        <v>-2.5798509488594448</v>
      </c>
      <c r="BV197" s="43">
        <f>IF(ISERROR(((BT197/BJ197)^0.2-1)*100),"NA",IF((((BT197/BJ197)^0.2-1)*100)&gt;100,"NM",IF((((BT197/BJ197)^0.2-1)*100)&lt;-50,"NM",((BT197/BJ197)^0.2-1)*100)))</f>
        <v>-0.20698940719934278</v>
      </c>
      <c r="BW197" s="621"/>
      <c r="BX197" s="621"/>
      <c r="BY197"/>
      <c r="BZ197"/>
      <c r="CA197"/>
      <c r="CB197"/>
      <c r="CC197"/>
      <c r="CD197"/>
    </row>
    <row r="198" spans="1:82" s="616" customFormat="1" ht="12.75" customHeight="1" x14ac:dyDescent="0.2">
      <c r="B198" s="62" t="s">
        <v>657</v>
      </c>
      <c r="C198" s="694">
        <f>C188/(C179-C181)*100</f>
        <v>0</v>
      </c>
      <c r="D198" s="623"/>
      <c r="E198" s="694">
        <f>E188/(E179-E181)*100</f>
        <v>0</v>
      </c>
      <c r="F198" s="623"/>
      <c r="G198" s="694">
        <f>G188/(G179-G181)*100</f>
        <v>0</v>
      </c>
      <c r="H198" s="623"/>
      <c r="I198" s="694">
        <f>I188/(I179-I181)*100</f>
        <v>0</v>
      </c>
      <c r="J198" s="623"/>
      <c r="K198" s="694"/>
      <c r="L198" s="623"/>
      <c r="M198" s="694"/>
      <c r="N198" s="620"/>
      <c r="O198" s="694"/>
      <c r="P198" s="9"/>
      <c r="Q198" s="694"/>
      <c r="R198" s="9"/>
      <c r="S198" s="694"/>
      <c r="T198" s="9"/>
      <c r="U198" s="694"/>
      <c r="V198" s="9"/>
      <c r="W198" s="694"/>
      <c r="X198" s="9"/>
      <c r="Y198" s="694">
        <f>(Y182+W182+U182+S182)/(Y179+W179+U179+S179)*100</f>
        <v>33.83568722011713</v>
      </c>
      <c r="Z198" s="9"/>
      <c r="AA198" s="694">
        <f>(AA182+Y182+W182+U182)/(AA179+Y179+W179+U179)*100</f>
        <v>33.129957291031118</v>
      </c>
      <c r="AB198" s="9"/>
      <c r="AC198" s="694">
        <f>(AC182+AA182+Y182+W182)/(AC179+AA179+Y179+W179)*100</f>
        <v>34.230373671580395</v>
      </c>
      <c r="AD198" s="9"/>
      <c r="AE198" s="694">
        <f>(AE182+AC182+AA182+Y182)/(AE179+AC179+AA179+Y179)*100</f>
        <v>35.141509433962263</v>
      </c>
      <c r="AF198" s="9"/>
      <c r="AG198" s="694">
        <f>(AG182+AE182+AC182+AA182)/(AG179+AE179+AC179+AA179)*100</f>
        <v>36.737194673637774</v>
      </c>
      <c r="AH198" s="620"/>
      <c r="AI198" s="694">
        <f>(AI182+AG182+AE182+AC182)/(AI179+AG179+AE179+AC179)*100</f>
        <v>37.304672007614819</v>
      </c>
      <c r="AJ198" s="620"/>
      <c r="AK198" s="694">
        <f>(AK182+AI182+AG182+AE182)/(AK179+AI179+AG179+AE179)*100</f>
        <v>37.015090463774989</v>
      </c>
      <c r="AL198" s="620"/>
      <c r="AM198" s="694">
        <f>(AM182+AK182+AI182+AG182)/(AM179+AK179+AI179+AG179)*100</f>
        <v>37.699829272078233</v>
      </c>
      <c r="AN198" s="620"/>
      <c r="AO198" s="694">
        <f>(AO182+AM182+AK182+AI182)/(AO179+AM179+AK179+AI179)*100</f>
        <v>37.001867995018685</v>
      </c>
      <c r="AP198" s="620"/>
      <c r="AQ198" s="694">
        <f t="shared" ref="AQ198" si="1172">(AQ182+AO182+AM182+AK182)/(AQ179+AO179+AM179+AK179)*100</f>
        <v>38.28350830515096</v>
      </c>
      <c r="AR198" s="620"/>
      <c r="AS198" s="694">
        <f t="shared" ref="AS198" si="1173">(AS182+AQ182+AO182+AM182)/(AS179+AQ179+AO179+AM179)*100</f>
        <v>38.624502121580647</v>
      </c>
      <c r="AT198" s="620"/>
      <c r="AU198" s="694">
        <f t="shared" ref="AU198" si="1174">(AU182+AS182+AQ182+AO182)/(AU179+AS179+AQ179+AO179)*100</f>
        <v>38.199931553316461</v>
      </c>
      <c r="AV198" s="620"/>
      <c r="AW198" s="694">
        <f t="shared" ref="AW198" si="1175">(AW182+AU182+AS182+AQ182)/(AW179+AU179+AS179+AQ179)*100</f>
        <v>38.573172681082013</v>
      </c>
      <c r="AX198" s="620"/>
      <c r="AY198" s="356"/>
      <c r="AZ198" s="618"/>
      <c r="BA198" s="620"/>
      <c r="BB198" s="694">
        <f>BB188/(BB179-BB181)*100</f>
        <v>0</v>
      </c>
      <c r="BC198" s="626"/>
      <c r="BD198" s="694">
        <f>BD188/(BD179-BD181)*100</f>
        <v>0</v>
      </c>
      <c r="BE198" s="626"/>
      <c r="BF198" s="694"/>
      <c r="BG198" s="55"/>
      <c r="BH198" s="694"/>
      <c r="BI198" s="226" t="str">
        <f t="shared" si="1170"/>
        <v>NA</v>
      </c>
      <c r="BJ198" s="694"/>
      <c r="BK198" s="226" t="str">
        <f t="shared" si="1170"/>
        <v>NA</v>
      </c>
      <c r="BL198" s="694"/>
      <c r="BM198" s="226" t="str">
        <f t="shared" si="1170"/>
        <v>NA</v>
      </c>
      <c r="BN198" s="694"/>
      <c r="BO198" s="226" t="str">
        <f t="shared" si="1170"/>
        <v>NA</v>
      </c>
      <c r="BP198" s="694"/>
      <c r="BQ198" s="623" t="str">
        <f t="shared" si="1170"/>
        <v>NA</v>
      </c>
      <c r="BR198" s="694"/>
      <c r="BS198" s="623" t="str">
        <f t="shared" si="1170"/>
        <v>NA</v>
      </c>
      <c r="BT198" s="694"/>
      <c r="BU198" s="623" t="str">
        <f t="shared" si="1171"/>
        <v>NA</v>
      </c>
      <c r="BV198" s="43"/>
      <c r="BW198" s="621"/>
      <c r="BX198" s="621"/>
      <c r="BY198"/>
      <c r="BZ198"/>
      <c r="CA198"/>
      <c r="CB198"/>
      <c r="CC198"/>
      <c r="CD198"/>
    </row>
    <row r="199" spans="1:82" s="616" customFormat="1" ht="12.75" customHeight="1" x14ac:dyDescent="0.2">
      <c r="B199" s="62" t="s">
        <v>96</v>
      </c>
      <c r="C199" s="694">
        <f>C182/C178*100</f>
        <v>24.244712990936563</v>
      </c>
      <c r="D199" s="623"/>
      <c r="E199" s="694">
        <f>E182/E178*100</f>
        <v>26.988036593947928</v>
      </c>
      <c r="F199" s="623"/>
      <c r="G199" s="694">
        <f>G182/G178*100</f>
        <v>27.162691349234596</v>
      </c>
      <c r="H199" s="623"/>
      <c r="I199" s="694">
        <f>I182/I178*100</f>
        <v>24.735964424680386</v>
      </c>
      <c r="J199" s="623"/>
      <c r="K199" s="694">
        <f>K182/K178*100</f>
        <v>28.523035230352299</v>
      </c>
      <c r="L199" s="623"/>
      <c r="M199" s="694">
        <f>M182/M178*100</f>
        <v>28.773429792831301</v>
      </c>
      <c r="N199" s="620"/>
      <c r="O199" s="694">
        <f>O182/O178*100</f>
        <v>28.84244372990354</v>
      </c>
      <c r="P199" s="43">
        <f>IF(ISERROR(O199/G199),"NA",IF(OR(O199/G199&gt;2,O199/G199&lt;0.5),"NM",O199/G199*100-100))</f>
        <v>6.184042512842808</v>
      </c>
      <c r="Q199" s="694">
        <f>Q182/Q178*100</f>
        <v>29.127052722558339</v>
      </c>
      <c r="R199" s="43">
        <f>IF(ISERROR(Q199/I199),"NA",IF(OR(Q199/I199&gt;2,Q199/I199&lt;0.5),"NM",Q199/I199*100-100))</f>
        <v>17.751837860409964</v>
      </c>
      <c r="S199" s="694">
        <f>S182/S178*100</f>
        <v>28.488902401945875</v>
      </c>
      <c r="T199" s="43">
        <f>IF(ISERROR(S199/K199),"NA",IF(OR(S199/K199&gt;2,S199/K199&lt;0.5),"NM",S199/K199*100-100))</f>
        <v>-0.11966758842727643</v>
      </c>
      <c r="U199" s="694">
        <f>U182/U178*100</f>
        <v>29.455298993487279</v>
      </c>
      <c r="V199" s="43">
        <f>IF(ISERROR(U199/M199),"NA",IF(OR(U199/M199&gt;2,U199/M199&lt;0.5),"NM",U199/M199*100-100))</f>
        <v>2.3697877019369429</v>
      </c>
      <c r="W199" s="694">
        <f>W182/W178*100</f>
        <v>29.347496206373293</v>
      </c>
      <c r="X199" s="43">
        <f>IF(ISERROR(W199/O199),"NA",IF(OR(W199/O199&gt;2,W199/O199&lt;0.5),"NM",W199/O199*100-100))</f>
        <v>1.7510738035907849</v>
      </c>
      <c r="Y199" s="694">
        <f>Y182/Y178*100</f>
        <v>29.657356752087537</v>
      </c>
      <c r="Z199" s="43">
        <f>IF(ISERROR(Y199/Q199),"NA",IF(OR(Y199/Q199&gt;2,Y199/Q199&lt;0.5),"NM",Y199/Q199*100-100))</f>
        <v>1.8206580479682088</v>
      </c>
      <c r="AA199" s="694">
        <f>AA182/AA178*100</f>
        <v>26.138933764135707</v>
      </c>
      <c r="AB199" s="43">
        <f>IF(ISERROR(AA199/S199),"NA",IF(OR(AA199/S199&gt;2,AA199/S199&lt;0.5),"NM",AA199/S199*100-100))</f>
        <v>-8.2487159549174436</v>
      </c>
      <c r="AC199" s="694">
        <f>AC182/AC178*100</f>
        <v>33.817250213492734</v>
      </c>
      <c r="AD199" s="43">
        <f>IF(ISERROR(AC199/U199),"NA",IF(OR(AC199/U199&gt;2,AC199/U199&lt;0.5),"NM",AC199/U199*100-100))</f>
        <v>14.808714795154202</v>
      </c>
      <c r="AE199" s="694">
        <f>AE182/AE178*100</f>
        <v>33.073367995378398</v>
      </c>
      <c r="AF199" s="43">
        <f>IF(ISERROR(AE199/W199),"NA",IF(OR(AE199/W199&gt;2,AE199/W199&lt;0.5),"NM",AE199/W199*100-100))</f>
        <v>12.695705837406223</v>
      </c>
      <c r="AG199" s="694">
        <f>AG182/AG178*100</f>
        <v>35.648513549066038</v>
      </c>
      <c r="AH199" s="9">
        <f t="shared" ref="AH199:AH200" si="1176">IF(ISERROR(AG199/Y199),"NA",IF(OR(AG199/Y199&gt;2,AG199/Y199&lt;0.5),"NM",AG199/Y199*100-100))</f>
        <v>20.201250054277992</v>
      </c>
      <c r="AI199" s="694">
        <f>AI182/AI178*100</f>
        <v>29.343740965596993</v>
      </c>
      <c r="AJ199" s="9">
        <f t="shared" ref="AJ199:AJ200" si="1177">IF(ISERROR(AI199/AA199),"NA",IF(OR(AI199/AA199&gt;2,AI199/AA199&lt;0.5),"NM",AI199/AA199*100-100))</f>
        <v>12.260665375182526</v>
      </c>
      <c r="AK199" s="694">
        <f>AK182/AK178*100</f>
        <v>32.911392405063296</v>
      </c>
      <c r="AL199" s="9">
        <f t="shared" ref="AL199:AL200" si="1178">IF(ISERROR(AK199/AC199),"NA",IF(OR(AK199/AC199&gt;2,AK199/AC199&lt;0.5),"NM",AK199/AC199*100-100))</f>
        <v>-2.6786855900779614</v>
      </c>
      <c r="AM199" s="694">
        <f>AM182/AM178*100</f>
        <v>35.863945578231295</v>
      </c>
      <c r="AN199" s="9">
        <f t="shared" ref="AN199:AN200" si="1179">IF(ISERROR(AM199/AE199),"NA",IF(OR(AM199/AE199&gt;2,AM199/AE199&lt;0.5),"NM",AM199/AE199*100-100))</f>
        <v>8.4375367614294703</v>
      </c>
      <c r="AO199" s="694">
        <f>AO182/AO178*100</f>
        <v>33.315579227696404</v>
      </c>
      <c r="AP199" s="9">
        <f t="shared" ref="AP199:AP200" si="1180">IF(ISERROR(AO199/AG199),"NA",IF(OR(AO199/AG199&gt;2,AO199/AG199&lt;0.5),"NM",AO199/AG199*100-100))</f>
        <v>-6.5442681590597687</v>
      </c>
      <c r="AQ199" s="694">
        <f t="shared" ref="AQ199:AW199" si="1181">AQ182/AQ178*100</f>
        <v>34.375000000000014</v>
      </c>
      <c r="AR199" s="9">
        <f t="shared" ref="AR199:AR200" si="1182">IF(ISERROR(AQ199/AI199),"NA",IF(OR(AQ199/AI199&gt;2,AQ199/AI199&lt;0.5),"NM",AQ199/AI199*100-100))</f>
        <v>17.145935960591174</v>
      </c>
      <c r="AS199" s="694">
        <f t="shared" si="1181"/>
        <v>34.375000000000007</v>
      </c>
      <c r="AT199" s="9">
        <f t="shared" ref="AT199:AT200" si="1183">IF(ISERROR(AS199/AK199),"NA",IF(OR(AS199/AK199&gt;2,AS199/AK199&lt;0.5),"NM",AS199/AK199*100-100))</f>
        <v>4.447115384615401</v>
      </c>
      <c r="AU199" s="694">
        <f t="shared" si="1181"/>
        <v>34.375000000000014</v>
      </c>
      <c r="AV199" s="9">
        <f t="shared" ref="AV199:AV200" si="1184">IF(ISERROR(AU199/AM199),"NA",IF(OR(AU199/AM199&gt;2,AU199/AM199&lt;0.5),"NM",AU199/AM199*100-100))</f>
        <v>-4.1516502276175657</v>
      </c>
      <c r="AW199" s="694">
        <f t="shared" si="1181"/>
        <v>34.659090909090907</v>
      </c>
      <c r="AX199" s="9">
        <f t="shared" ref="AX199:AX200" si="1185">IF(ISERROR(AW199/AO199),"NA",IF(OR(AW199/AO199&gt;2,AW199/AO199&lt;0.5),"NM",AW199/AO199*100-100))</f>
        <v>4.0326829445534287</v>
      </c>
      <c r="AY199" s="356"/>
      <c r="AZ199" s="618"/>
      <c r="BA199" s="620"/>
      <c r="BB199" s="694">
        <f t="shared" ref="BB199:BD199" si="1186">BB182/BB178*100</f>
        <v>25.737580902748597</v>
      </c>
      <c r="BC199" s="226" t="str">
        <f>IF(ISERROR(BB199/#REF!),"NA",IF(OR(BB199/#REF!&gt;2,BB199/#REF!&lt;0.5),"NM",BB199/#REF!*100-100))</f>
        <v>NA</v>
      </c>
      <c r="BD199" s="916">
        <f t="shared" si="1186"/>
        <v>28.829330364243678</v>
      </c>
      <c r="BE199" s="226">
        <f t="shared" ref="BE199:BE200" si="1187">IF(ISERROR(BD199/BB199),"NA",IF(OR(BD199/BB199&gt;2,BD199/BB199&lt;0.5),"NM",BD199/BB199*100-100))</f>
        <v>12.012587636644994</v>
      </c>
      <c r="BF199" s="694">
        <f>BF182/BF178*100</f>
        <v>29.244510606624484</v>
      </c>
      <c r="BG199" s="226">
        <f t="shared" ref="BG199:BG200" si="1188">IF(ISERROR(BF199/BD199),"NA",IF(OR(BF199/BD199&gt;2,BF199/BD199&lt;0.5),"NM",BF199/BD199*100-100))</f>
        <v>1.4401314117782817</v>
      </c>
      <c r="BH199" s="694">
        <f t="shared" ref="BH199:BP199" si="1189">BH182/BH178*100</f>
        <v>32.420157162425213</v>
      </c>
      <c r="BI199" s="226">
        <f t="shared" si="1170"/>
        <v>10.858949217913661</v>
      </c>
      <c r="BJ199" s="694">
        <f t="shared" ref="BJ199" si="1190">BJ182/BJ178*100</f>
        <v>32.91332040985877</v>
      </c>
      <c r="BK199" s="226">
        <f t="shared" si="1170"/>
        <v>1.5211624205361005</v>
      </c>
      <c r="BL199" s="694">
        <f t="shared" ref="BL199" si="1191">BL182/BL178*100</f>
        <v>34.44745818538297</v>
      </c>
      <c r="BM199" s="226">
        <f t="shared" si="1170"/>
        <v>4.6611455678736888</v>
      </c>
      <c r="BN199" s="694">
        <f t="shared" si="1189"/>
        <v>34.1720988074023</v>
      </c>
      <c r="BO199" s="226">
        <f t="shared" si="1170"/>
        <v>-0.79936051159070587</v>
      </c>
      <c r="BP199" s="694">
        <f t="shared" si="1189"/>
        <v>33.511754409814429</v>
      </c>
      <c r="BQ199" s="226">
        <f t="shared" si="1170"/>
        <v>-1.9324080774483434</v>
      </c>
      <c r="BR199" s="694">
        <f t="shared" ref="BR199:BT199" si="1192">BR182/BR178*100</f>
        <v>33.511754409814429</v>
      </c>
      <c r="BS199" s="226">
        <f t="shared" si="1170"/>
        <v>0</v>
      </c>
      <c r="BT199" s="694">
        <f t="shared" si="1192"/>
        <v>32.64720109569339</v>
      </c>
      <c r="BU199" s="226">
        <f t="shared" si="1171"/>
        <v>-2.5798509488594306</v>
      </c>
      <c r="BV199" s="43">
        <f>IF(ISERROR(((BT199/BJ199)^0.2-1)*100),"NA",IF((((BT199/BJ199)^0.2-1)*100)&gt;100,"NM",IF((((BT199/BJ199)^0.2-1)*100)&lt;-50,"NM",((BT199/BJ199)^0.2-1)*100)))</f>
        <v>-0.1622347358256282</v>
      </c>
      <c r="BW199" s="621"/>
      <c r="BX199" s="621"/>
      <c r="BY199"/>
      <c r="BZ199"/>
      <c r="CA199"/>
      <c r="CB199"/>
      <c r="CC199"/>
      <c r="CD199"/>
    </row>
    <row r="200" spans="1:82" s="616" customFormat="1" ht="12.75" customHeight="1" x14ac:dyDescent="0.2">
      <c r="B200" s="62" t="s">
        <v>267</v>
      </c>
      <c r="C200" s="694">
        <f>C187/C178*100</f>
        <v>21.519869858238444</v>
      </c>
      <c r="D200" s="623"/>
      <c r="E200" s="694">
        <f>E187/E178*100</f>
        <v>23.661560114762086</v>
      </c>
      <c r="F200" s="623"/>
      <c r="G200" s="694">
        <f>G187/G178*100</f>
        <v>25.703097187611245</v>
      </c>
      <c r="H200" s="623"/>
      <c r="I200" s="694">
        <f>I187/I178*100</f>
        <v>22.90161200667038</v>
      </c>
      <c r="J200" s="623"/>
      <c r="K200" s="694">
        <f>K187/K178*100</f>
        <v>27.303523035230352</v>
      </c>
      <c r="L200" s="623"/>
      <c r="M200" s="694">
        <f>M187/M178*100</f>
        <v>27.523840841828338</v>
      </c>
      <c r="N200" s="620"/>
      <c r="O200" s="694">
        <f>O187/O178*100</f>
        <v>27.556270096463027</v>
      </c>
      <c r="P200" s="9">
        <f>IF(ISERROR(O200/G200),"NA",IF(OR(O200/G200&gt;2,O200/G200&lt;0.5),"NM",O200/G200*100-100))</f>
        <v>7.2099206384552019</v>
      </c>
      <c r="Q200" s="694">
        <f>Q187/Q178*100</f>
        <v>28.838951310861422</v>
      </c>
      <c r="R200" s="9">
        <f>IF(ISERROR(Q200/I200),"NA",IF(OR(Q200/I200&gt;2,Q200/I200&lt;0.5),"NM",Q200/I200*100-100))</f>
        <v>25.925420893785628</v>
      </c>
      <c r="S200" s="694">
        <f>S187/S178*100</f>
        <v>28.154454241410757</v>
      </c>
      <c r="T200" s="9">
        <f>IF(ISERROR(S200/K200),"NA",IF(OR(S200/K200&gt;2,S200/K200&lt;0.5),"NM",S200/K200*100-100))</f>
        <v>3.1165619362835741</v>
      </c>
      <c r="U200" s="694">
        <f>U187/U178*100</f>
        <v>29.159265837773841</v>
      </c>
      <c r="V200" s="9">
        <f>IF(ISERROR(U200/M200),"NA",IF(OR(U200/M200&gt;2,U200/M200&lt;0.5),"NM",U200/M200*100-100))</f>
        <v>5.9418487606574359</v>
      </c>
      <c r="W200" s="694">
        <f>W187/W178*100</f>
        <v>28.952959028831565</v>
      </c>
      <c r="X200" s="9">
        <f>IF(ISERROR(W200/O200),"NA",IF(OR(W200/O200&gt;2,W200/O200&lt;0.5),"NM",W200/O200*100-100))</f>
        <v>5.0684977592370615</v>
      </c>
      <c r="Y200" s="694">
        <f>Y187/Y178*100</f>
        <v>29.369421249640087</v>
      </c>
      <c r="Z200" s="9">
        <f>IF(ISERROR(Y200/Q200),"NA",IF(OR(Y200/Q200&gt;2,Y200/Q200&lt;0.5),"NM",Y200/Q200*100-100))</f>
        <v>1.8394217357649865</v>
      </c>
      <c r="AA200" s="694">
        <f>AA187/AA178*100</f>
        <v>25.751211631663978</v>
      </c>
      <c r="AB200" s="9">
        <f>IF(ISERROR(AA200/S200),"NA",IF(OR(AA200/S200&gt;2,AA200/S200&lt;0.5),"NM",AA200/S200*100-100))</f>
        <v>-8.5359232650725261</v>
      </c>
      <c r="AC200" s="694">
        <f>AC187/AC178*100</f>
        <v>33.447196128664949</v>
      </c>
      <c r="AD200" s="9">
        <f>IF(ISERROR(AC200/U200),"NA",IF(OR(AC200/U200&gt;2,AC200/U200&lt;0.5),"NM",AC200/U200*100-100))</f>
        <v>14.705206621959547</v>
      </c>
      <c r="AE200" s="694">
        <f>AE187/AE178*100</f>
        <v>32.611207394569611</v>
      </c>
      <c r="AF200" s="9">
        <f>IF(ISERROR(AE200/W200),"NA",IF(OR(AE200/W200&gt;2,AE200/W200&lt;0.5),"NM",AE200/W200*100-100))</f>
        <v>12.635145036799656</v>
      </c>
      <c r="AG200" s="694">
        <f>AG187/AG178*100</f>
        <v>35.174953959484348</v>
      </c>
      <c r="AH200" s="9">
        <f t="shared" si="1176"/>
        <v>19.767269707146198</v>
      </c>
      <c r="AI200" s="694">
        <f>AI187/AI178*100</f>
        <v>28.91008962127783</v>
      </c>
      <c r="AJ200" s="9">
        <f t="shared" si="1177"/>
        <v>12.266910135326057</v>
      </c>
      <c r="AK200" s="694">
        <f>AK187/AK178*100</f>
        <v>32.461322081575247</v>
      </c>
      <c r="AL200" s="9">
        <f t="shared" si="1178"/>
        <v>-2.9475536403626563</v>
      </c>
      <c r="AM200" s="694">
        <f>AM187/AM178*100</f>
        <v>35.428571428571431</v>
      </c>
      <c r="AN200" s="9">
        <f t="shared" si="1179"/>
        <v>8.6392509173731611</v>
      </c>
      <c r="AO200" s="694">
        <f>AO187/AO178*100</f>
        <v>33.049267643142478</v>
      </c>
      <c r="AP200" s="9">
        <f t="shared" si="1180"/>
        <v>-6.0431815171394447</v>
      </c>
      <c r="AQ200" s="694">
        <f t="shared" ref="AQ200:AW200" si="1193">AQ187/AQ178*100</f>
        <v>34.100219824140702</v>
      </c>
      <c r="AR200" s="9">
        <f t="shared" si="1182"/>
        <v>17.952660371702663</v>
      </c>
      <c r="AS200" s="694">
        <f t="shared" si="1193"/>
        <v>34.100219824140694</v>
      </c>
      <c r="AT200" s="9">
        <f t="shared" si="1183"/>
        <v>5.0487707754074194</v>
      </c>
      <c r="AU200" s="694">
        <f t="shared" si="1193"/>
        <v>34.100219824140702</v>
      </c>
      <c r="AV200" s="9">
        <f t="shared" si="1184"/>
        <v>-3.7493795286351173</v>
      </c>
      <c r="AW200" s="694">
        <f t="shared" si="1193"/>
        <v>34.382039822687304</v>
      </c>
      <c r="AX200" s="9">
        <f t="shared" si="1185"/>
        <v>4.0326829445534287</v>
      </c>
      <c r="AY200" s="356"/>
      <c r="AZ200" s="618"/>
      <c r="BA200" s="620"/>
      <c r="BB200" s="694">
        <f t="shared" ref="BB200:BD200" si="1194">BB187/BB178*100</f>
        <v>23.437065582144172</v>
      </c>
      <c r="BC200" s="226" t="str">
        <f>IF(ISERROR(BB200/#REF!),"NA",IF(OR(BB200/#REF!&gt;2,BB200/#REF!&lt;0.5),"NM",BB200/#REF!*100-100))</f>
        <v>NA</v>
      </c>
      <c r="BD200" s="916">
        <f t="shared" si="1194"/>
        <v>27.843168442818516</v>
      </c>
      <c r="BE200" s="226">
        <f t="shared" si="1187"/>
        <v>18.799720661409054</v>
      </c>
      <c r="BF200" s="694">
        <f>BF187/BF178*100</f>
        <v>28.917007815407519</v>
      </c>
      <c r="BG200" s="226">
        <f t="shared" si="1188"/>
        <v>3.8567427223462118</v>
      </c>
      <c r="BH200" s="694">
        <f t="shared" ref="BH200:BP200" si="1195">BH187/BH178*100</f>
        <v>31.994809314396949</v>
      </c>
      <c r="BI200" s="226">
        <f t="shared" si="1170"/>
        <v>10.643568375527153</v>
      </c>
      <c r="BJ200" s="694">
        <f t="shared" ref="BJ200" si="1196">BJ187/BJ178*100</f>
        <v>32.518692882857941</v>
      </c>
      <c r="BK200" s="226">
        <f t="shared" si="1170"/>
        <v>1.6374017526188425</v>
      </c>
      <c r="BL200" s="694">
        <f t="shared" ref="BL200" si="1197">BL187/BL178*100</f>
        <v>34.172098807402293</v>
      </c>
      <c r="BM200" s="226">
        <f t="shared" si="1170"/>
        <v>5.0844784275321615</v>
      </c>
      <c r="BN200" s="694">
        <f t="shared" si="1195"/>
        <v>33.898940543554154</v>
      </c>
      <c r="BO200" s="226">
        <f t="shared" si="1170"/>
        <v>-0.79936051159072008</v>
      </c>
      <c r="BP200" s="694">
        <f t="shared" si="1195"/>
        <v>33.243874678321106</v>
      </c>
      <c r="BQ200" s="226">
        <f t="shared" si="1170"/>
        <v>-1.9324080774483292</v>
      </c>
      <c r="BR200" s="694">
        <f t="shared" ref="BR200:BT200" si="1198">BR187/BR178*100</f>
        <v>33.243874678321113</v>
      </c>
      <c r="BS200" s="226">
        <f t="shared" si="1170"/>
        <v>2.8421709430404007E-14</v>
      </c>
      <c r="BT200" s="694">
        <f t="shared" si="1198"/>
        <v>32.386232261994799</v>
      </c>
      <c r="BU200" s="226">
        <f t="shared" si="1171"/>
        <v>-2.579850948859459</v>
      </c>
      <c r="BV200" s="43">
        <f>IF(ISERROR(((BT200/BJ200)^0.2-1)*100),"NA",IF((((BT200/BJ200)^0.2-1)*100)&gt;100,"NM",IF((((BT200/BJ200)^0.2-1)*100)&lt;-50,"NM",((BT200/BJ200)^0.2-1)*100)))</f>
        <v>-8.1600434986695003E-2</v>
      </c>
      <c r="BW200" s="621"/>
      <c r="BX200" s="621"/>
      <c r="BY200"/>
      <c r="BZ200"/>
      <c r="CA200"/>
      <c r="CB200"/>
      <c r="CC200"/>
      <c r="CD200"/>
    </row>
    <row r="201" spans="1:82" s="2" customFormat="1" ht="12.75" customHeight="1" x14ac:dyDescent="0.2">
      <c r="A201" s="66"/>
      <c r="B201" s="67"/>
      <c r="C201" s="696"/>
      <c r="D201" s="9"/>
      <c r="E201" s="696"/>
      <c r="F201" s="9"/>
      <c r="G201" s="696"/>
      <c r="H201" s="9"/>
      <c r="I201" s="696"/>
      <c r="J201" s="9"/>
      <c r="K201" s="696"/>
      <c r="L201" s="9"/>
      <c r="M201" s="696"/>
      <c r="N201" s="9"/>
      <c r="O201" s="696"/>
      <c r="P201" s="9"/>
      <c r="Q201" s="696"/>
      <c r="R201" s="9"/>
      <c r="S201" s="696"/>
      <c r="T201" s="9"/>
      <c r="U201" s="696"/>
      <c r="V201" s="9"/>
      <c r="W201" s="696"/>
      <c r="X201" s="9"/>
      <c r="Y201" s="696"/>
      <c r="Z201" s="9"/>
      <c r="AA201" s="696"/>
      <c r="AB201" s="9"/>
      <c r="AC201" s="696"/>
      <c r="AD201" s="9"/>
      <c r="AE201" s="696"/>
      <c r="AF201" s="9"/>
      <c r="AG201" s="696"/>
      <c r="AH201" s="9"/>
      <c r="AI201" s="696"/>
      <c r="AJ201" s="9"/>
      <c r="AK201" s="696"/>
      <c r="AL201" s="9"/>
      <c r="AM201" s="696"/>
      <c r="AN201" s="9"/>
      <c r="AO201" s="696"/>
      <c r="AP201" s="9"/>
      <c r="AQ201" s="696"/>
      <c r="AR201" s="9"/>
      <c r="AS201" s="696"/>
      <c r="AT201" s="9"/>
      <c r="AU201" s="696"/>
      <c r="AV201" s="9"/>
      <c r="AW201" s="696"/>
      <c r="AX201" s="9"/>
      <c r="AY201" s="285"/>
      <c r="AZ201" s="79"/>
      <c r="BA201" s="9"/>
      <c r="BB201" s="696"/>
      <c r="BC201" s="9"/>
      <c r="BD201" s="923"/>
      <c r="BE201" s="9"/>
      <c r="BF201" s="696"/>
      <c r="BG201" s="9"/>
      <c r="BH201" s="696"/>
      <c r="BI201" s="9"/>
      <c r="BJ201" s="696"/>
      <c r="BK201" s="9"/>
      <c r="BL201" s="696"/>
      <c r="BM201" s="9"/>
      <c r="BN201" s="696"/>
      <c r="BO201" s="9"/>
      <c r="BP201" s="696"/>
      <c r="BQ201" s="9"/>
      <c r="BR201" s="696"/>
      <c r="BS201" s="9"/>
      <c r="BT201" s="696"/>
      <c r="BU201" s="9"/>
      <c r="BV201" s="722"/>
      <c r="BW201" s="722"/>
      <c r="BX201" s="722"/>
      <c r="BY201"/>
      <c r="BZ201"/>
      <c r="CA201"/>
      <c r="CB201"/>
      <c r="CC201"/>
      <c r="CD201"/>
    </row>
    <row r="202" spans="1:82" s="265" customFormat="1" ht="12.75" customHeight="1" x14ac:dyDescent="0.2">
      <c r="B202" s="266" t="s">
        <v>45</v>
      </c>
      <c r="C202" s="268"/>
      <c r="D202" s="269"/>
      <c r="E202" s="268"/>
      <c r="F202" s="269"/>
      <c r="G202" s="268"/>
      <c r="H202" s="269"/>
      <c r="I202" s="268"/>
      <c r="J202" s="269"/>
      <c r="K202" s="268"/>
      <c r="L202" s="269"/>
      <c r="M202" s="268"/>
      <c r="N202" s="269"/>
      <c r="O202" s="268"/>
      <c r="P202" s="269"/>
      <c r="Q202" s="268"/>
      <c r="R202" s="269"/>
      <c r="S202" s="268"/>
      <c r="T202" s="269"/>
      <c r="U202" s="268"/>
      <c r="V202" s="269"/>
      <c r="W202" s="268"/>
      <c r="X202" s="269"/>
      <c r="Y202" s="268"/>
      <c r="Z202" s="269"/>
      <c r="AA202" s="268"/>
      <c r="AB202" s="269"/>
      <c r="AC202" s="268"/>
      <c r="AD202" s="269"/>
      <c r="AE202" s="268"/>
      <c r="AF202" s="269"/>
      <c r="AG202" s="268"/>
      <c r="AH202" s="269"/>
      <c r="AI202" s="268"/>
      <c r="AJ202" s="269"/>
      <c r="AK202" s="268"/>
      <c r="AL202" s="269"/>
      <c r="AM202" s="268"/>
      <c r="AN202" s="269"/>
      <c r="AO202" s="268"/>
      <c r="AP202" s="269"/>
      <c r="AQ202" s="268"/>
      <c r="AR202" s="269"/>
      <c r="AS202" s="268"/>
      <c r="AT202" s="269"/>
      <c r="AU202" s="268"/>
      <c r="AV202" s="269"/>
      <c r="AW202" s="268"/>
      <c r="AX202" s="269"/>
      <c r="AY202" s="281"/>
      <c r="AZ202" s="267"/>
      <c r="BA202" s="269"/>
      <c r="BB202" s="268"/>
      <c r="BC202" s="269"/>
      <c r="BD202" s="907"/>
      <c r="BE202" s="269"/>
      <c r="BF202" s="268"/>
      <c r="BG202" s="269"/>
      <c r="BH202" s="268"/>
      <c r="BI202" s="269"/>
      <c r="BJ202" s="268"/>
      <c r="BK202" s="269"/>
      <c r="BL202" s="268"/>
      <c r="BM202" s="269"/>
      <c r="BN202" s="268"/>
      <c r="BO202" s="269"/>
      <c r="BP202" s="268"/>
      <c r="BQ202" s="269"/>
      <c r="BR202" s="268"/>
      <c r="BS202" s="269"/>
      <c r="BT202" s="268"/>
      <c r="BU202" s="269"/>
      <c r="BV202" s="270"/>
      <c r="BW202" s="270"/>
      <c r="BX202" s="270"/>
      <c r="BY202"/>
      <c r="BZ202"/>
      <c r="CA202"/>
      <c r="CB202"/>
      <c r="CC202"/>
      <c r="CD202"/>
    </row>
    <row r="203" spans="1:82" s="2" customFormat="1" ht="12.75" hidden="1" customHeight="1" outlineLevel="1" x14ac:dyDescent="0.2">
      <c r="A203" s="41"/>
      <c r="B203" s="42"/>
      <c r="C203" s="15"/>
      <c r="D203" s="40"/>
      <c r="E203" s="15"/>
      <c r="F203" s="40"/>
      <c r="G203" s="15"/>
      <c r="H203" s="40"/>
      <c r="I203" s="15"/>
      <c r="J203" s="40"/>
      <c r="K203" s="15"/>
      <c r="L203" s="40"/>
      <c r="M203" s="15"/>
      <c r="N203" s="40"/>
      <c r="O203" s="15"/>
      <c r="P203" s="40"/>
      <c r="Q203" s="15"/>
      <c r="R203" s="40"/>
      <c r="S203" s="15"/>
      <c r="T203" s="40"/>
      <c r="U203" s="15"/>
      <c r="V203" s="40"/>
      <c r="W203" s="15"/>
      <c r="X203" s="40"/>
      <c r="Y203" s="15"/>
      <c r="Z203" s="40"/>
      <c r="AA203" s="15"/>
      <c r="AB203" s="40"/>
      <c r="AC203" s="15"/>
      <c r="AD203" s="40"/>
      <c r="AE203" s="15"/>
      <c r="AF203" s="40"/>
      <c r="AG203" s="15"/>
      <c r="AH203" s="40"/>
      <c r="AI203" s="15"/>
      <c r="AJ203" s="40"/>
      <c r="AK203" s="15"/>
      <c r="AL203" s="40"/>
      <c r="AM203" s="15"/>
      <c r="AN203" s="40"/>
      <c r="AO203" s="15"/>
      <c r="AP203" s="40"/>
      <c r="AQ203" s="15"/>
      <c r="AR203" s="40"/>
      <c r="AS203" s="15"/>
      <c r="AT203" s="40"/>
      <c r="AU203" s="15"/>
      <c r="AV203" s="40"/>
      <c r="AW203" s="15"/>
      <c r="AX203" s="40"/>
      <c r="AY203" s="279"/>
      <c r="AZ203" s="15"/>
      <c r="BA203" s="40"/>
      <c r="BB203" s="15"/>
      <c r="BC203" s="40"/>
      <c r="BD203" s="924"/>
      <c r="BE203" s="40"/>
      <c r="BF203" s="15"/>
      <c r="BG203" s="40"/>
      <c r="BH203" s="15"/>
      <c r="BI203" s="40"/>
      <c r="BJ203" s="15"/>
      <c r="BK203" s="40"/>
      <c r="BL203" s="15"/>
      <c r="BM203" s="40"/>
      <c r="BN203" s="15"/>
      <c r="BO203" s="40"/>
      <c r="BP203" s="15"/>
      <c r="BQ203" s="40"/>
      <c r="BR203" s="15"/>
      <c r="BS203" s="40"/>
      <c r="BT203" s="15"/>
      <c r="BU203" s="40"/>
      <c r="BV203" s="722"/>
      <c r="BW203" s="722"/>
      <c r="BX203" s="722"/>
      <c r="BY203"/>
      <c r="BZ203"/>
      <c r="CA203"/>
      <c r="CB203"/>
      <c r="CC203"/>
      <c r="CD203"/>
    </row>
    <row r="204" spans="1:82" s="2" customFormat="1" ht="12.75" hidden="1" customHeight="1" outlineLevel="1" x14ac:dyDescent="0.2">
      <c r="A204" s="41"/>
      <c r="B204" s="123" t="s">
        <v>314</v>
      </c>
      <c r="C204" s="125" t="e">
        <f>+#REF!</f>
        <v>#REF!</v>
      </c>
      <c r="D204" s="9" t="str">
        <f>IF(ISERROR(C204/#REF!),"NA",IF(OR(C204/#REF!&gt;2,C204/#REF!&lt;0.5),"NM",C204/#REF!*100-100))</f>
        <v>NA</v>
      </c>
      <c r="E204" s="125" t="e">
        <f>+C211</f>
        <v>#REF!</v>
      </c>
      <c r="F204" s="9" t="str">
        <f>IF(ISERROR(E204/#REF!),"NA",IF(OR(E204/#REF!&gt;2,E204/#REF!&lt;0.5),"NM",E204/#REF!*100-100))</f>
        <v>NA</v>
      </c>
      <c r="G204" s="125" t="e">
        <f>+E211</f>
        <v>#REF!</v>
      </c>
      <c r="H204" s="9" t="str">
        <f>IF(ISERROR(G204/#REF!),"NA",IF(OR(G204/#REF!&gt;2,G204/#REF!&lt;0.5),"NM",G204/#REF!*100-100))</f>
        <v>NA</v>
      </c>
      <c r="I204" s="125" t="e">
        <f>+G211</f>
        <v>#REF!</v>
      </c>
      <c r="J204" s="9" t="str">
        <f>IF(ISERROR(I204/#REF!),"NA",IF(OR(I204/#REF!&gt;2,I204/#REF!&lt;0.5),"NM",I204/#REF!*100-100))</f>
        <v>NA</v>
      </c>
      <c r="K204" s="125" t="e">
        <f>+I211</f>
        <v>#REF!</v>
      </c>
      <c r="L204" s="9" t="str">
        <f t="shared" ref="L204:L212" si="1199">IF(ISERROR(K204/C204),"NA",IF(OR(K204/C204&gt;2,K204/C204&lt;0.5),"NM",K204/C204*100-100))</f>
        <v>NA</v>
      </c>
      <c r="M204" s="125" t="e">
        <f>+K211</f>
        <v>#REF!</v>
      </c>
      <c r="N204" s="9" t="str">
        <f t="shared" ref="N204:V212" si="1200">IF(ISERROR(M204/E204),"NA",IF(OR(M204/E204&gt;2,M204/E204&lt;0.5),"NM",M204/E204*100-100))</f>
        <v>NA</v>
      </c>
      <c r="O204" s="125" t="e">
        <f>+M211</f>
        <v>#REF!</v>
      </c>
      <c r="P204" s="9" t="str">
        <f t="shared" si="1200"/>
        <v>NA</v>
      </c>
      <c r="Q204" s="125" t="e">
        <f>+O211</f>
        <v>#REF!</v>
      </c>
      <c r="R204" s="9" t="str">
        <f t="shared" si="1200"/>
        <v>NA</v>
      </c>
      <c r="S204" s="125" t="e">
        <f>+Q211</f>
        <v>#REF!</v>
      </c>
      <c r="T204" s="9" t="str">
        <f t="shared" si="1200"/>
        <v>NA</v>
      </c>
      <c r="U204" s="125" t="e">
        <f>+S211</f>
        <v>#REF!</v>
      </c>
      <c r="V204" s="9" t="str">
        <f t="shared" si="1200"/>
        <v>NA</v>
      </c>
      <c r="W204" s="125"/>
      <c r="X204" s="9"/>
      <c r="Y204" s="125"/>
      <c r="Z204" s="9"/>
      <c r="AA204" s="125"/>
      <c r="AB204" s="9"/>
      <c r="AC204" s="125"/>
      <c r="AD204" s="9"/>
      <c r="AE204" s="125"/>
      <c r="AF204" s="9"/>
      <c r="AG204" s="125"/>
      <c r="AH204" s="9"/>
      <c r="AI204" s="125"/>
      <c r="AJ204" s="9"/>
      <c r="AK204" s="125"/>
      <c r="AL204" s="9"/>
      <c r="AM204" s="125"/>
      <c r="AN204" s="9"/>
      <c r="AO204" s="125"/>
      <c r="AP204" s="9"/>
      <c r="AQ204" s="125"/>
      <c r="AR204" s="9"/>
      <c r="AS204" s="125"/>
      <c r="AT204" s="9"/>
      <c r="AU204" s="125"/>
      <c r="AV204" s="9"/>
      <c r="AW204" s="125"/>
      <c r="AX204" s="9"/>
      <c r="AY204" s="279"/>
      <c r="AZ204" s="15"/>
      <c r="BA204" s="9"/>
      <c r="BB204" s="126"/>
      <c r="BC204" s="9"/>
      <c r="BD204" s="925"/>
      <c r="BE204" s="9"/>
      <c r="BF204" s="126"/>
      <c r="BG204" s="72"/>
      <c r="BH204" s="126"/>
      <c r="BI204" s="72"/>
      <c r="BJ204" s="126"/>
      <c r="BK204" s="72"/>
      <c r="BL204" s="126"/>
      <c r="BM204" s="72"/>
      <c r="BN204" s="126"/>
      <c r="BO204" s="72"/>
      <c r="BP204" s="126"/>
      <c r="BQ204" s="9"/>
      <c r="BR204" s="126"/>
      <c r="BS204" s="9"/>
      <c r="BT204" s="126"/>
      <c r="BU204" s="9"/>
      <c r="BV204" s="43"/>
      <c r="BW204" s="722"/>
      <c r="BX204" s="722"/>
      <c r="BY204"/>
      <c r="BZ204"/>
      <c r="CA204"/>
      <c r="CB204"/>
      <c r="CC204"/>
      <c r="CD204"/>
    </row>
    <row r="205" spans="1:82" s="2" customFormat="1" ht="12.75" hidden="1" customHeight="1" outlineLevel="1" x14ac:dyDescent="0.2">
      <c r="A205" s="41"/>
      <c r="B205" s="123" t="s">
        <v>490</v>
      </c>
      <c r="C205" s="124">
        <v>8700</v>
      </c>
      <c r="D205" s="9" t="str">
        <f>IF(ISERROR(C205/#REF!),"NA",IF(OR(C205/#REF!&gt;2,C205/#REF!&lt;0.5),"NM",C205/#REF!*100-100))</f>
        <v>NA</v>
      </c>
      <c r="E205" s="124">
        <v>10300</v>
      </c>
      <c r="F205" s="9" t="str">
        <f>IF(ISERROR(E205/#REF!),"NA",IF(OR(E205/#REF!&gt;2,E205/#REF!&lt;0.5),"NM",E205/#REF!*100-100))</f>
        <v>NA</v>
      </c>
      <c r="G205" s="124">
        <v>8300</v>
      </c>
      <c r="H205" s="9" t="str">
        <f>IF(ISERROR(G205/#REF!),"NA",IF(OR(G205/#REF!&gt;2,G205/#REF!&lt;0.5),"NM",G205/#REF!*100-100))</f>
        <v>NA</v>
      </c>
      <c r="I205" s="124">
        <v>9500</v>
      </c>
      <c r="J205" s="9" t="str">
        <f>IF(ISERROR(I205/#REF!),"NA",IF(OR(I205/#REF!&gt;2,I205/#REF!&lt;0.5),"NM",I205/#REF!*100-100))</f>
        <v>NA</v>
      </c>
      <c r="K205" s="124">
        <v>7900</v>
      </c>
      <c r="L205" s="9">
        <f t="shared" si="1199"/>
        <v>-9.1954022988505812</v>
      </c>
      <c r="M205" s="124">
        <v>10700</v>
      </c>
      <c r="N205" s="9">
        <f t="shared" si="1200"/>
        <v>3.8834951456310591</v>
      </c>
      <c r="O205" s="124">
        <v>10700</v>
      </c>
      <c r="P205" s="9">
        <f t="shared" si="1200"/>
        <v>28.915662650602428</v>
      </c>
      <c r="Q205" s="124">
        <v>10900</v>
      </c>
      <c r="R205" s="9">
        <f t="shared" si="1200"/>
        <v>14.736842105263165</v>
      </c>
      <c r="S205" s="124">
        <v>10600</v>
      </c>
      <c r="T205" s="9">
        <f t="shared" si="1200"/>
        <v>34.177215189873436</v>
      </c>
      <c r="U205" s="124">
        <v>11900</v>
      </c>
      <c r="V205" s="9">
        <f t="shared" si="1200"/>
        <v>11.214953271028037</v>
      </c>
      <c r="W205" s="124"/>
      <c r="X205" s="9"/>
      <c r="Y205" s="124"/>
      <c r="Z205" s="9"/>
      <c r="AA205" s="124"/>
      <c r="AB205" s="9"/>
      <c r="AC205" s="124"/>
      <c r="AD205" s="9"/>
      <c r="AE205" s="124"/>
      <c r="AF205" s="9"/>
      <c r="AG205" s="124"/>
      <c r="AH205" s="9"/>
      <c r="AI205" s="124"/>
      <c r="AJ205" s="9"/>
      <c r="AK205" s="124"/>
      <c r="AL205" s="9"/>
      <c r="AM205" s="124"/>
      <c r="AN205" s="9"/>
      <c r="AO205" s="124"/>
      <c r="AP205" s="9"/>
      <c r="AQ205" s="124"/>
      <c r="AR205" s="9"/>
      <c r="AS205" s="124"/>
      <c r="AT205" s="9"/>
      <c r="AU205" s="124"/>
      <c r="AV205" s="9"/>
      <c r="AW205" s="124"/>
      <c r="AX205" s="9"/>
      <c r="AY205" s="279"/>
      <c r="AZ205" s="15"/>
      <c r="BA205" s="9"/>
      <c r="BB205" s="126"/>
      <c r="BC205" s="9"/>
      <c r="BD205" s="925"/>
      <c r="BE205" s="9"/>
      <c r="BF205" s="126"/>
      <c r="BG205" s="72"/>
      <c r="BH205" s="126"/>
      <c r="BI205" s="72"/>
      <c r="BJ205" s="126"/>
      <c r="BK205" s="72"/>
      <c r="BL205" s="126"/>
      <c r="BM205" s="72"/>
      <c r="BN205" s="127"/>
      <c r="BO205" s="72"/>
      <c r="BP205" s="127"/>
      <c r="BQ205" s="9"/>
      <c r="BR205" s="127"/>
      <c r="BS205" s="9"/>
      <c r="BT205" s="127"/>
      <c r="BU205" s="9"/>
      <c r="BV205" s="43"/>
      <c r="BW205" s="722"/>
      <c r="BX205" s="722"/>
      <c r="BY205"/>
      <c r="BZ205"/>
      <c r="CA205"/>
      <c r="CB205"/>
      <c r="CC205"/>
      <c r="CD205"/>
    </row>
    <row r="206" spans="1:82" s="2" customFormat="1" ht="12.75" hidden="1" customHeight="1" outlineLevel="1" x14ac:dyDescent="0.2">
      <c r="A206" s="41"/>
      <c r="B206" s="123" t="s">
        <v>491</v>
      </c>
      <c r="C206" s="127">
        <v>-6200</v>
      </c>
      <c r="D206" s="9" t="str">
        <f>IF(ISERROR(C206/#REF!),"NA",IF(OR(C206/#REF!&gt;2,C206/#REF!&lt;0.5),"NM",C206/#REF!*100-100))</f>
        <v>NA</v>
      </c>
      <c r="E206" s="127">
        <v>-8000</v>
      </c>
      <c r="F206" s="9" t="str">
        <f>IF(ISERROR(E206/#REF!),"NA",IF(OR(E206/#REF!&gt;2,E206/#REF!&lt;0.5),"NM",E206/#REF!*100-100))</f>
        <v>NA</v>
      </c>
      <c r="G206" s="127">
        <v>-7200</v>
      </c>
      <c r="H206" s="9" t="str">
        <f>IF(ISERROR(G206/#REF!),"NA",IF(OR(G206/#REF!&gt;2,G206/#REF!&lt;0.5),"NM",G206/#REF!*100-100))</f>
        <v>NA</v>
      </c>
      <c r="I206" s="127">
        <v>-6800</v>
      </c>
      <c r="J206" s="9" t="str">
        <f>IF(ISERROR(I206/#REF!),"NA",IF(OR(I206/#REF!&gt;2,I206/#REF!&lt;0.5),"NM",I206/#REF!*100-100))</f>
        <v>NA</v>
      </c>
      <c r="K206" s="127">
        <v>-6000</v>
      </c>
      <c r="L206" s="9">
        <f t="shared" si="1199"/>
        <v>-3.2258064516128968</v>
      </c>
      <c r="M206" s="127">
        <v>-6500</v>
      </c>
      <c r="N206" s="9">
        <f t="shared" si="1200"/>
        <v>-18.75</v>
      </c>
      <c r="O206" s="127">
        <v>-8300</v>
      </c>
      <c r="P206" s="9">
        <f t="shared" si="1200"/>
        <v>15.277777777777771</v>
      </c>
      <c r="Q206" s="127">
        <v>-7000</v>
      </c>
      <c r="R206" s="9">
        <f t="shared" si="1200"/>
        <v>2.941176470588232</v>
      </c>
      <c r="S206" s="127">
        <v>-8300</v>
      </c>
      <c r="T206" s="9">
        <f t="shared" si="1200"/>
        <v>38.333333333333343</v>
      </c>
      <c r="U206" s="127">
        <v>-8400</v>
      </c>
      <c r="V206" s="9">
        <f t="shared" si="1200"/>
        <v>29.230769230769226</v>
      </c>
      <c r="W206" s="127"/>
      <c r="X206" s="9"/>
      <c r="Y206" s="127"/>
      <c r="Z206" s="9"/>
      <c r="AA206" s="127"/>
      <c r="AB206" s="9"/>
      <c r="AC206" s="127"/>
      <c r="AD206" s="9"/>
      <c r="AE206" s="127"/>
      <c r="AF206" s="9"/>
      <c r="AG206" s="127"/>
      <c r="AH206" s="9"/>
      <c r="AI206" s="127"/>
      <c r="AJ206" s="9"/>
      <c r="AK206" s="127"/>
      <c r="AL206" s="9"/>
      <c r="AM206" s="126"/>
      <c r="AN206" s="9"/>
      <c r="AO206" s="126"/>
      <c r="AP206" s="9"/>
      <c r="AQ206" s="126"/>
      <c r="AR206" s="9"/>
      <c r="AS206" s="126"/>
      <c r="AT206" s="9"/>
      <c r="AU206" s="126"/>
      <c r="AV206" s="9"/>
      <c r="AW206" s="126"/>
      <c r="AX206" s="9"/>
      <c r="AY206" s="279"/>
      <c r="AZ206" s="15"/>
      <c r="BA206" s="9"/>
      <c r="BB206" s="126"/>
      <c r="BC206" s="9"/>
      <c r="BD206" s="925"/>
      <c r="BE206" s="9"/>
      <c r="BF206" s="126"/>
      <c r="BG206" s="72"/>
      <c r="BH206" s="126"/>
      <c r="BI206" s="72"/>
      <c r="BJ206" s="126"/>
      <c r="BK206" s="72"/>
      <c r="BL206" s="126"/>
      <c r="BM206" s="72"/>
      <c r="BN206" s="126"/>
      <c r="BO206" s="72"/>
      <c r="BP206" s="126"/>
      <c r="BQ206" s="9"/>
      <c r="BR206" s="126"/>
      <c r="BS206" s="9"/>
      <c r="BT206" s="126"/>
      <c r="BU206" s="9"/>
      <c r="BV206" s="43"/>
      <c r="BW206" s="722"/>
      <c r="BX206" s="722"/>
      <c r="BY206"/>
      <c r="BZ206"/>
      <c r="CA206"/>
      <c r="CB206"/>
      <c r="CC206"/>
      <c r="CD206"/>
    </row>
    <row r="207" spans="1:82" s="2" customFormat="1" ht="12.75" hidden="1" customHeight="1" outlineLevel="1" x14ac:dyDescent="0.2">
      <c r="A207" s="41"/>
      <c r="B207" s="123" t="s">
        <v>149</v>
      </c>
      <c r="C207" s="127">
        <v>500</v>
      </c>
      <c r="D207" s="9" t="str">
        <f>IF(ISERROR(C207/#REF!),"NA",IF(OR(C207/#REF!&gt;2,C207/#REF!&lt;0.5),"NM",C207/#REF!*100-100))</f>
        <v>NA</v>
      </c>
      <c r="E207" s="127">
        <v>-100</v>
      </c>
      <c r="F207" s="9" t="str">
        <f>IF(ISERROR(E207/#REF!),"NA",IF(OR(E207/#REF!&gt;2,E207/#REF!&lt;0.5),"NM",E207/#REF!*100-100))</f>
        <v>NA</v>
      </c>
      <c r="G207" s="127">
        <v>300</v>
      </c>
      <c r="H207" s="9" t="str">
        <f>IF(ISERROR(G207/#REF!),"NA",IF(OR(G207/#REF!&gt;2,G207/#REF!&lt;0.5),"NM",G207/#REF!*100-100))</f>
        <v>NA</v>
      </c>
      <c r="I207" s="331">
        <v>2800</v>
      </c>
      <c r="J207" s="9" t="str">
        <f>IF(ISERROR(I207/#REF!),"NA",IF(OR(I207/#REF!&gt;2,I207/#REF!&lt;0.5),"NM",I207/#REF!*100-100))</f>
        <v>NA</v>
      </c>
      <c r="K207" s="331">
        <v>2200</v>
      </c>
      <c r="L207" s="9" t="str">
        <f t="shared" si="1199"/>
        <v>NM</v>
      </c>
      <c r="M207" s="331">
        <v>3800</v>
      </c>
      <c r="N207" s="9" t="str">
        <f t="shared" si="1200"/>
        <v>NM</v>
      </c>
      <c r="O207" s="331">
        <v>3800</v>
      </c>
      <c r="P207" s="9" t="str">
        <f t="shared" si="1200"/>
        <v>NM</v>
      </c>
      <c r="Q207" s="331">
        <v>1200</v>
      </c>
      <c r="R207" s="9" t="str">
        <f t="shared" si="1200"/>
        <v>NM</v>
      </c>
      <c r="S207" s="331">
        <v>3000</v>
      </c>
      <c r="T207" s="9">
        <f t="shared" si="1200"/>
        <v>36.363636363636346</v>
      </c>
      <c r="U207" s="331">
        <v>1600</v>
      </c>
      <c r="V207" s="9" t="str">
        <f t="shared" si="1200"/>
        <v>NM</v>
      </c>
      <c r="W207" s="331"/>
      <c r="X207" s="9"/>
      <c r="Y207" s="331"/>
      <c r="Z207" s="9"/>
      <c r="AA207" s="331"/>
      <c r="AB207" s="9"/>
      <c r="AC207" s="331"/>
      <c r="AD207" s="9"/>
      <c r="AE207" s="331"/>
      <c r="AF207" s="9"/>
      <c r="AG207" s="331"/>
      <c r="AH207" s="9"/>
      <c r="AI207" s="331"/>
      <c r="AJ207" s="9"/>
      <c r="AK207" s="331"/>
      <c r="AL207" s="9"/>
      <c r="AM207" s="241"/>
      <c r="AN207" s="9"/>
      <c r="AO207" s="241"/>
      <c r="AP207" s="9"/>
      <c r="AQ207" s="241"/>
      <c r="AR207" s="9"/>
      <c r="AS207" s="241"/>
      <c r="AT207" s="9"/>
      <c r="AU207" s="241"/>
      <c r="AV207" s="9"/>
      <c r="AW207" s="241"/>
      <c r="AX207" s="9"/>
      <c r="AY207" s="279"/>
      <c r="AZ207" s="15"/>
      <c r="BA207" s="9"/>
      <c r="BB207" s="126"/>
      <c r="BC207" s="9"/>
      <c r="BD207" s="925"/>
      <c r="BE207" s="9"/>
      <c r="BF207" s="126"/>
      <c r="BG207" s="72"/>
      <c r="BH207" s="126"/>
      <c r="BI207" s="72"/>
      <c r="BJ207" s="126"/>
      <c r="BK207" s="72"/>
      <c r="BL207" s="126"/>
      <c r="BM207" s="72"/>
      <c r="BN207" s="55"/>
      <c r="BO207" s="72"/>
      <c r="BP207" s="55"/>
      <c r="BQ207" s="9"/>
      <c r="BR207" s="55"/>
      <c r="BS207" s="9"/>
      <c r="BT207" s="55"/>
      <c r="BU207" s="9"/>
      <c r="BV207" s="43"/>
      <c r="BW207" s="722"/>
      <c r="BX207" s="722"/>
      <c r="BY207"/>
      <c r="BZ207"/>
      <c r="CA207"/>
      <c r="CB207"/>
      <c r="CC207"/>
      <c r="CD207"/>
    </row>
    <row r="208" spans="1:82" s="2" customFormat="1" ht="12.75" hidden="1" customHeight="1" outlineLevel="1" x14ac:dyDescent="0.2">
      <c r="A208" s="41"/>
      <c r="B208" s="123" t="s">
        <v>150</v>
      </c>
      <c r="C208" s="124">
        <v>34300</v>
      </c>
      <c r="D208" s="9" t="str">
        <f>IF(ISERROR(C208/#REF!),"NA",IF(OR(C208/#REF!&gt;2,C208/#REF!&lt;0.5),"NM",C208/#REF!*100-100))</f>
        <v>NA</v>
      </c>
      <c r="E208" s="124">
        <v>0</v>
      </c>
      <c r="F208" s="9" t="str">
        <f>IF(ISERROR(E208/#REF!),"NA",IF(OR(E208/#REF!&gt;2,E208/#REF!&lt;0.5),"NM",E208/#REF!*100-100))</f>
        <v>NA</v>
      </c>
      <c r="G208" s="124">
        <v>0</v>
      </c>
      <c r="H208" s="9" t="str">
        <f>IF(ISERROR(G208/#REF!),"NA",IF(OR(G208/#REF!&gt;2,G208/#REF!&lt;0.5),"NM",G208/#REF!*100-100))</f>
        <v>NA</v>
      </c>
      <c r="I208" s="124">
        <v>0</v>
      </c>
      <c r="J208" s="9" t="str">
        <f>IF(ISERROR(I208/#REF!),"NA",IF(OR(I208/#REF!&gt;2,I208/#REF!&lt;0.5),"NM",I208/#REF!*100-100))</f>
        <v>NA</v>
      </c>
      <c r="K208" s="124">
        <v>0</v>
      </c>
      <c r="L208" s="9" t="str">
        <f t="shared" si="1199"/>
        <v>NM</v>
      </c>
      <c r="M208" s="124">
        <v>0</v>
      </c>
      <c r="N208" s="9" t="str">
        <f t="shared" si="1200"/>
        <v>NA</v>
      </c>
      <c r="O208" s="124">
        <v>0</v>
      </c>
      <c r="P208" s="9" t="str">
        <f t="shared" si="1200"/>
        <v>NA</v>
      </c>
      <c r="Q208" s="124">
        <v>0</v>
      </c>
      <c r="R208" s="9" t="str">
        <f t="shared" si="1200"/>
        <v>NA</v>
      </c>
      <c r="S208" s="124">
        <v>900</v>
      </c>
      <c r="T208" s="9" t="str">
        <f t="shared" si="1200"/>
        <v>NA</v>
      </c>
      <c r="U208" s="124">
        <v>0</v>
      </c>
      <c r="V208" s="9" t="str">
        <f t="shared" si="1200"/>
        <v>NA</v>
      </c>
      <c r="W208" s="124"/>
      <c r="X208" s="9"/>
      <c r="Y208" s="124"/>
      <c r="Z208" s="9"/>
      <c r="AA208" s="124"/>
      <c r="AB208" s="9"/>
      <c r="AC208" s="124"/>
      <c r="AD208" s="9"/>
      <c r="AE208" s="124"/>
      <c r="AF208" s="9"/>
      <c r="AG208" s="124"/>
      <c r="AH208" s="9"/>
      <c r="AI208" s="124"/>
      <c r="AJ208" s="9"/>
      <c r="AK208" s="124"/>
      <c r="AL208" s="9"/>
      <c r="AM208" s="124"/>
      <c r="AN208" s="9"/>
      <c r="AO208" s="124"/>
      <c r="AP208" s="9"/>
      <c r="AQ208" s="124"/>
      <c r="AR208" s="9"/>
      <c r="AS208" s="124"/>
      <c r="AT208" s="9"/>
      <c r="AU208" s="124"/>
      <c r="AV208" s="9"/>
      <c r="AW208" s="124"/>
      <c r="AX208" s="9"/>
      <c r="AY208" s="279"/>
      <c r="AZ208" s="15"/>
      <c r="BA208" s="9"/>
      <c r="BB208" s="126"/>
      <c r="BC208" s="9"/>
      <c r="BD208" s="925"/>
      <c r="BE208" s="9"/>
      <c r="BF208" s="126"/>
      <c r="BG208" s="72"/>
      <c r="BH208" s="126"/>
      <c r="BI208" s="72"/>
      <c r="BJ208" s="126"/>
      <c r="BK208" s="72"/>
      <c r="BL208" s="126"/>
      <c r="BM208" s="72"/>
      <c r="BN208" s="127"/>
      <c r="BO208" s="72"/>
      <c r="BP208" s="127"/>
      <c r="BQ208" s="9"/>
      <c r="BR208" s="127"/>
      <c r="BS208" s="9"/>
      <c r="BT208" s="127"/>
      <c r="BU208" s="9"/>
      <c r="BV208" s="43"/>
      <c r="BW208" s="722"/>
      <c r="BX208" s="722"/>
      <c r="BY208"/>
      <c r="BZ208"/>
      <c r="CA208"/>
      <c r="CB208"/>
      <c r="CC208"/>
      <c r="CD208"/>
    </row>
    <row r="209" spans="1:82" s="2" customFormat="1" ht="12.75" hidden="1" customHeight="1" outlineLevel="1" x14ac:dyDescent="0.2">
      <c r="A209" s="41"/>
      <c r="B209" s="123" t="s">
        <v>151</v>
      </c>
      <c r="C209" s="124">
        <v>-200</v>
      </c>
      <c r="D209" s="9" t="str">
        <f>IF(ISERROR(C209/#REF!),"NA",IF(OR(C209/#REF!&gt;2,C209/#REF!&lt;0.5),"NM",C209/#REF!*100-100))</f>
        <v>NA</v>
      </c>
      <c r="E209" s="124">
        <v>200</v>
      </c>
      <c r="F209" s="9" t="str">
        <f>IF(ISERROR(E209/#REF!),"NA",IF(OR(E209/#REF!&gt;2,E209/#REF!&lt;0.5),"NM",E209/#REF!*100-100))</f>
        <v>NA</v>
      </c>
      <c r="G209" s="124">
        <v>0</v>
      </c>
      <c r="H209" s="9" t="str">
        <f>IF(ISERROR(G209/#REF!),"NA",IF(OR(G209/#REF!&gt;2,G209/#REF!&lt;0.5),"NM",G209/#REF!*100-100))</f>
        <v>NA</v>
      </c>
      <c r="I209" s="124">
        <v>-100</v>
      </c>
      <c r="J209" s="9" t="str">
        <f>IF(ISERROR(I209/#REF!),"NA",IF(OR(I209/#REF!&gt;2,I209/#REF!&lt;0.5),"NM",I209/#REF!*100-100))</f>
        <v>NA</v>
      </c>
      <c r="K209" s="124">
        <v>200</v>
      </c>
      <c r="L209" s="9" t="str">
        <f t="shared" si="1199"/>
        <v>NM</v>
      </c>
      <c r="M209" s="124">
        <v>0</v>
      </c>
      <c r="N209" s="9" t="str">
        <f t="shared" si="1200"/>
        <v>NM</v>
      </c>
      <c r="O209" s="127">
        <v>-600</v>
      </c>
      <c r="P209" s="72" t="str">
        <f t="shared" si="1200"/>
        <v>NA</v>
      </c>
      <c r="Q209" s="127">
        <v>-200</v>
      </c>
      <c r="R209" s="72">
        <f t="shared" si="1200"/>
        <v>100</v>
      </c>
      <c r="S209" s="127">
        <v>-200</v>
      </c>
      <c r="T209" s="72" t="str">
        <f t="shared" si="1200"/>
        <v>NM</v>
      </c>
      <c r="U209" s="127">
        <v>700</v>
      </c>
      <c r="V209" s="72" t="str">
        <f t="shared" si="1200"/>
        <v>NA</v>
      </c>
      <c r="W209" s="127"/>
      <c r="X209" s="72"/>
      <c r="Y209" s="127"/>
      <c r="Z209" s="72"/>
      <c r="AA209" s="127"/>
      <c r="AB209" s="72"/>
      <c r="AC209" s="127"/>
      <c r="AD209" s="72"/>
      <c r="AE209" s="127"/>
      <c r="AF209" s="72"/>
      <c r="AG209" s="127"/>
      <c r="AH209" s="9"/>
      <c r="AI209" s="127"/>
      <c r="AJ209" s="9"/>
      <c r="AK209" s="127"/>
      <c r="AL209" s="9"/>
      <c r="AM209" s="127"/>
      <c r="AN209" s="9"/>
      <c r="AO209" s="127"/>
      <c r="AP209" s="9"/>
      <c r="AQ209" s="127"/>
      <c r="AR209" s="9"/>
      <c r="AS209" s="127"/>
      <c r="AT209" s="9"/>
      <c r="AU209" s="127"/>
      <c r="AV209" s="9"/>
      <c r="AW209" s="127"/>
      <c r="AX209" s="9"/>
      <c r="AY209" s="279"/>
      <c r="AZ209" s="15"/>
      <c r="BA209" s="9"/>
      <c r="BB209" s="126"/>
      <c r="BC209" s="9"/>
      <c r="BD209" s="925"/>
      <c r="BE209" s="9"/>
      <c r="BF209" s="126"/>
      <c r="BG209" s="72"/>
      <c r="BH209" s="126"/>
      <c r="BI209" s="72"/>
      <c r="BJ209" s="126"/>
      <c r="BK209" s="72"/>
      <c r="BL209" s="126"/>
      <c r="BM209" s="72"/>
      <c r="BN209" s="127"/>
      <c r="BO209" s="72"/>
      <c r="BP209" s="127"/>
      <c r="BQ209" s="9"/>
      <c r="BR209" s="127"/>
      <c r="BS209" s="9"/>
      <c r="BT209" s="127"/>
      <c r="BU209" s="9"/>
      <c r="BV209" s="43"/>
      <c r="BW209" s="722"/>
      <c r="BX209" s="722"/>
      <c r="BY209"/>
      <c r="BZ209"/>
      <c r="CA209"/>
      <c r="CB209"/>
      <c r="CC209"/>
      <c r="CD209"/>
    </row>
    <row r="210" spans="1:82" s="2" customFormat="1" ht="12.75" hidden="1" customHeight="1" outlineLevel="1" x14ac:dyDescent="0.2">
      <c r="A210" s="41"/>
      <c r="B210" s="123" t="s">
        <v>222</v>
      </c>
      <c r="C210" s="124">
        <v>1000</v>
      </c>
      <c r="D210" s="9" t="str">
        <f>IF(ISERROR(C210/#REF!),"NA",IF(OR(C210/#REF!&gt;2,C210/#REF!&lt;0.5),"NM",C210/#REF!*100-100))</f>
        <v>NA</v>
      </c>
      <c r="E210" s="124">
        <v>-6700</v>
      </c>
      <c r="F210" s="9" t="str">
        <f>IF(ISERROR(E210/#REF!),"NA",IF(OR(E210/#REF!&gt;2,E210/#REF!&lt;0.5),"NM",E210/#REF!*100-100))</f>
        <v>NA</v>
      </c>
      <c r="G210" s="124">
        <v>-1500</v>
      </c>
      <c r="H210" s="9" t="str">
        <f>IF(ISERROR(G210/#REF!),"NA",IF(OR(G210/#REF!&gt;2,G210/#REF!&lt;0.5),"NM",G210/#REF!*100-100))</f>
        <v>NA</v>
      </c>
      <c r="I210" s="124">
        <v>-3900</v>
      </c>
      <c r="J210" s="9" t="str">
        <f>IF(ISERROR(I210/#REF!),"NA",IF(OR(I210/#REF!&gt;2,I210/#REF!&lt;0.5),"NM",I210/#REF!*100-100))</f>
        <v>NA</v>
      </c>
      <c r="K210" s="124">
        <v>100</v>
      </c>
      <c r="L210" s="9" t="str">
        <f t="shared" si="1199"/>
        <v>NM</v>
      </c>
      <c r="M210" s="124">
        <v>1600</v>
      </c>
      <c r="N210" s="9" t="str">
        <f t="shared" si="1200"/>
        <v>NM</v>
      </c>
      <c r="O210" s="127">
        <f>-8500</f>
        <v>-8500</v>
      </c>
      <c r="P210" s="72" t="str">
        <f t="shared" si="1200"/>
        <v>NM</v>
      </c>
      <c r="Q210" s="127">
        <v>-6700</v>
      </c>
      <c r="R210" s="72">
        <f t="shared" si="1200"/>
        <v>71.794871794871796</v>
      </c>
      <c r="S210" s="127">
        <v>-9800</v>
      </c>
      <c r="T210" s="72" t="str">
        <f t="shared" si="1200"/>
        <v>NM</v>
      </c>
      <c r="U210" s="127">
        <v>-700</v>
      </c>
      <c r="V210" s="72" t="str">
        <f t="shared" si="1200"/>
        <v>NM</v>
      </c>
      <c r="W210" s="127"/>
      <c r="X210" s="72"/>
      <c r="Y210" s="127"/>
      <c r="Z210" s="72"/>
      <c r="AA210" s="127"/>
      <c r="AB210" s="72"/>
      <c r="AC210" s="127"/>
      <c r="AD210" s="72"/>
      <c r="AE210" s="127"/>
      <c r="AF210" s="72"/>
      <c r="AG210" s="127"/>
      <c r="AH210" s="9"/>
      <c r="AI210" s="127"/>
      <c r="AJ210" s="9"/>
      <c r="AK210" s="127"/>
      <c r="AL210" s="9"/>
      <c r="AM210" s="127"/>
      <c r="AN210" s="9"/>
      <c r="AO210" s="127"/>
      <c r="AP210" s="9"/>
      <c r="AQ210" s="127"/>
      <c r="AR210" s="9"/>
      <c r="AS210" s="127"/>
      <c r="AT210" s="9"/>
      <c r="AU210" s="127"/>
      <c r="AV210" s="9"/>
      <c r="AW210" s="127"/>
      <c r="AX210" s="9"/>
      <c r="AY210" s="279"/>
      <c r="AZ210" s="15"/>
      <c r="BA210" s="9"/>
      <c r="BB210" s="126"/>
      <c r="BC210" s="9"/>
      <c r="BD210" s="925"/>
      <c r="BE210" s="9"/>
      <c r="BF210" s="126"/>
      <c r="BG210" s="72"/>
      <c r="BH210" s="126"/>
      <c r="BI210" s="72"/>
      <c r="BJ210" s="126"/>
      <c r="BK210" s="72"/>
      <c r="BL210" s="126"/>
      <c r="BM210" s="72"/>
      <c r="BN210" s="127"/>
      <c r="BO210" s="72"/>
      <c r="BP210" s="127"/>
      <c r="BQ210" s="9"/>
      <c r="BR210" s="127"/>
      <c r="BS210" s="9"/>
      <c r="BT210" s="127"/>
      <c r="BU210" s="9"/>
      <c r="BV210" s="43"/>
      <c r="BW210" s="722"/>
      <c r="BX210" s="722"/>
      <c r="BY210"/>
      <c r="BZ210"/>
      <c r="CA210"/>
      <c r="CB210"/>
      <c r="CC210"/>
      <c r="CD210"/>
    </row>
    <row r="211" spans="1:82" s="2" customFormat="1" ht="12.75" hidden="1" customHeight="1" outlineLevel="1" x14ac:dyDescent="0.2">
      <c r="A211" s="41" t="s">
        <v>287</v>
      </c>
      <c r="B211" s="123" t="s">
        <v>389</v>
      </c>
      <c r="C211" s="126" t="e">
        <f>SUM(C204:C210)</f>
        <v>#REF!</v>
      </c>
      <c r="D211" s="9" t="str">
        <f>IF(ISERROR(C211/#REF!),"NA",IF(OR(C211/#REF!&gt;2,C211/#REF!&lt;0.5),"NM",C211/#REF!*100-100))</f>
        <v>NA</v>
      </c>
      <c r="E211" s="126" t="e">
        <f>SUM(E204:E210)</f>
        <v>#REF!</v>
      </c>
      <c r="F211" s="9" t="str">
        <f>IF(ISERROR(E211/#REF!),"NA",IF(OR(E211/#REF!&gt;2,E211/#REF!&lt;0.5),"NM",E211/#REF!*100-100))</f>
        <v>NA</v>
      </c>
      <c r="G211" s="126" t="e">
        <f>SUM(G204:G210)</f>
        <v>#REF!</v>
      </c>
      <c r="H211" s="9" t="str">
        <f>IF(ISERROR(G211/#REF!),"NA",IF(OR(G211/#REF!&gt;2,G211/#REF!&lt;0.5),"NM",G211/#REF!*100-100))</f>
        <v>NA</v>
      </c>
      <c r="I211" s="126" t="e">
        <f>SUM(I204:I210)</f>
        <v>#REF!</v>
      </c>
      <c r="J211" s="9" t="str">
        <f>IF(ISERROR(I211/#REF!),"NA",IF(OR(I211/#REF!&gt;2,I211/#REF!&lt;0.5),"NM",I211/#REF!*100-100))</f>
        <v>NA</v>
      </c>
      <c r="K211" s="126" t="e">
        <f>SUM(K204:K210)</f>
        <v>#REF!</v>
      </c>
      <c r="L211" s="9" t="str">
        <f t="shared" si="1199"/>
        <v>NA</v>
      </c>
      <c r="M211" s="126" t="e">
        <f>SUM(M204:M210)</f>
        <v>#REF!</v>
      </c>
      <c r="N211" s="9" t="str">
        <f t="shared" si="1200"/>
        <v>NA</v>
      </c>
      <c r="O211" s="126" t="e">
        <f>SUM(O204:O210)</f>
        <v>#REF!</v>
      </c>
      <c r="P211" s="9" t="str">
        <f t="shared" si="1200"/>
        <v>NA</v>
      </c>
      <c r="Q211" s="126" t="e">
        <f>SUM(Q204:Q210)</f>
        <v>#REF!</v>
      </c>
      <c r="R211" s="72" t="str">
        <f t="shared" si="1200"/>
        <v>NA</v>
      </c>
      <c r="S211" s="126" t="e">
        <f>SUM(S204:S210)</f>
        <v>#REF!</v>
      </c>
      <c r="T211" s="9" t="str">
        <f t="shared" si="1200"/>
        <v>NA</v>
      </c>
      <c r="U211" s="126" t="e">
        <f>SUM(U204:U210)</f>
        <v>#REF!</v>
      </c>
      <c r="V211" s="9" t="str">
        <f t="shared" si="1200"/>
        <v>NA</v>
      </c>
      <c r="W211" s="126"/>
      <c r="X211" s="9"/>
      <c r="Y211" s="126"/>
      <c r="Z211" s="9"/>
      <c r="AA211" s="126"/>
      <c r="AB211" s="9"/>
      <c r="AC211" s="126"/>
      <c r="AD211" s="9"/>
      <c r="AE211" s="126"/>
      <c r="AF211" s="9"/>
      <c r="AG211" s="126"/>
      <c r="AH211" s="9"/>
      <c r="AI211" s="126"/>
      <c r="AJ211" s="9"/>
      <c r="AK211" s="126"/>
      <c r="AL211" s="9"/>
      <c r="AM211" s="126"/>
      <c r="AN211" s="9"/>
      <c r="AO211" s="126"/>
      <c r="AP211" s="9"/>
      <c r="AQ211" s="126"/>
      <c r="AR211" s="9"/>
      <c r="AS211" s="126"/>
      <c r="AT211" s="9"/>
      <c r="AU211" s="126"/>
      <c r="AV211" s="9"/>
      <c r="AW211" s="126"/>
      <c r="AX211" s="9"/>
      <c r="AY211" s="279"/>
      <c r="AZ211" s="15"/>
      <c r="BA211" s="9"/>
      <c r="BB211" s="126"/>
      <c r="BC211" s="9"/>
      <c r="BD211" s="925"/>
      <c r="BE211" s="9"/>
      <c r="BF211" s="126"/>
      <c r="BG211" s="72"/>
      <c r="BH211" s="126"/>
      <c r="BI211" s="72"/>
      <c r="BJ211" s="126"/>
      <c r="BK211" s="72"/>
      <c r="BL211" s="126"/>
      <c r="BM211" s="72"/>
      <c r="BN211" s="126"/>
      <c r="BO211" s="72"/>
      <c r="BP211" s="126"/>
      <c r="BQ211" s="9"/>
      <c r="BR211" s="126"/>
      <c r="BS211" s="9"/>
      <c r="BT211" s="126"/>
      <c r="BU211" s="9"/>
      <c r="BV211" s="43"/>
      <c r="BW211" s="722"/>
      <c r="BX211" s="722"/>
      <c r="BY211"/>
      <c r="BZ211"/>
      <c r="CA211"/>
      <c r="CB211"/>
      <c r="CC211"/>
      <c r="CD211"/>
    </row>
    <row r="212" spans="1:82" s="2" customFormat="1" ht="12.75" hidden="1" customHeight="1" outlineLevel="1" x14ac:dyDescent="0.2">
      <c r="A212" s="41"/>
      <c r="B212" s="42" t="s">
        <v>71</v>
      </c>
      <c r="C212" s="126" t="e">
        <f>AVERAGE(C211,C204)</f>
        <v>#REF!</v>
      </c>
      <c r="D212" s="9" t="str">
        <f>IF(ISERROR(C212/#REF!),"NA",IF(OR(C212/#REF!&gt;2,C212/#REF!&lt;0.5),"NM",C212/#REF!*100-100))</f>
        <v>NA</v>
      </c>
      <c r="E212" s="126" t="e">
        <f>AVERAGE(E211,E204)</f>
        <v>#REF!</v>
      </c>
      <c r="F212" s="9" t="str">
        <f>IF(ISERROR(E212/#REF!),"NA",IF(OR(E212/#REF!&gt;2,E212/#REF!&lt;0.5),"NM",E212/#REF!*100-100))</f>
        <v>NA</v>
      </c>
      <c r="G212" s="126" t="e">
        <f>AVERAGE(G211,G204)</f>
        <v>#REF!</v>
      </c>
      <c r="H212" s="9" t="str">
        <f>IF(ISERROR(G212/#REF!),"NA",IF(OR(G212/#REF!&gt;2,G212/#REF!&lt;0.5),"NM",G212/#REF!*100-100))</f>
        <v>NA</v>
      </c>
      <c r="I212" s="126" t="e">
        <f>AVERAGE(I211,I204)</f>
        <v>#REF!</v>
      </c>
      <c r="J212" s="9" t="str">
        <f>IF(ISERROR(I212/#REF!),"NA",IF(OR(I212/#REF!&gt;2,I212/#REF!&lt;0.5),"NM",I212/#REF!*100-100))</f>
        <v>NA</v>
      </c>
      <c r="K212" s="126" t="e">
        <f>AVERAGE(K211,K204)</f>
        <v>#REF!</v>
      </c>
      <c r="L212" s="9" t="str">
        <f t="shared" si="1199"/>
        <v>NA</v>
      </c>
      <c r="M212" s="126" t="e">
        <f>AVERAGE(M211,M204)</f>
        <v>#REF!</v>
      </c>
      <c r="N212" s="9" t="str">
        <f t="shared" si="1200"/>
        <v>NA</v>
      </c>
      <c r="O212" s="126" t="e">
        <f>AVERAGE(O211,O204)</f>
        <v>#REF!</v>
      </c>
      <c r="P212" s="9" t="str">
        <f t="shared" si="1200"/>
        <v>NA</v>
      </c>
      <c r="Q212" s="126" t="e">
        <f>AVERAGE(Q211,Q204)</f>
        <v>#REF!</v>
      </c>
      <c r="R212" s="72" t="str">
        <f t="shared" si="1200"/>
        <v>NA</v>
      </c>
      <c r="S212" s="126" t="e">
        <f>AVERAGE(S211,S204)</f>
        <v>#REF!</v>
      </c>
      <c r="T212" s="9" t="str">
        <f t="shared" si="1200"/>
        <v>NA</v>
      </c>
      <c r="U212" s="126" t="e">
        <f>AVERAGE(U211,U204)</f>
        <v>#REF!</v>
      </c>
      <c r="V212" s="9" t="str">
        <f t="shared" si="1200"/>
        <v>NA</v>
      </c>
      <c r="W212" s="126"/>
      <c r="X212" s="9"/>
      <c r="Y212" s="126"/>
      <c r="Z212" s="9"/>
      <c r="AA212" s="126"/>
      <c r="AB212" s="9"/>
      <c r="AC212" s="126"/>
      <c r="AD212" s="9"/>
      <c r="AE212" s="126"/>
      <c r="AF212" s="9"/>
      <c r="AG212" s="126"/>
      <c r="AH212" s="9"/>
      <c r="AI212" s="126"/>
      <c r="AJ212" s="9"/>
      <c r="AK212" s="126"/>
      <c r="AL212" s="9"/>
      <c r="AM212" s="126"/>
      <c r="AN212" s="9"/>
      <c r="AO212" s="126"/>
      <c r="AP212" s="9"/>
      <c r="AQ212" s="126"/>
      <c r="AR212" s="9"/>
      <c r="AS212" s="126"/>
      <c r="AT212" s="9"/>
      <c r="AU212" s="126"/>
      <c r="AV212" s="9"/>
      <c r="AW212" s="126"/>
      <c r="AX212" s="9"/>
      <c r="AY212" s="279"/>
      <c r="AZ212" s="15"/>
      <c r="BA212" s="9"/>
      <c r="BB212" s="126"/>
      <c r="BC212" s="9"/>
      <c r="BD212" s="925"/>
      <c r="BE212" s="9"/>
      <c r="BF212" s="126"/>
      <c r="BG212" s="72"/>
      <c r="BH212" s="126"/>
      <c r="BI212" s="72"/>
      <c r="BJ212" s="126"/>
      <c r="BK212" s="72"/>
      <c r="BL212" s="126"/>
      <c r="BM212" s="72"/>
      <c r="BN212" s="126"/>
      <c r="BO212" s="72"/>
      <c r="BP212" s="126"/>
      <c r="BQ212" s="9"/>
      <c r="BR212" s="126"/>
      <c r="BS212" s="9"/>
      <c r="BT212" s="126"/>
      <c r="BU212" s="9"/>
      <c r="BV212" s="43"/>
      <c r="BW212" s="722"/>
      <c r="BX212" s="722"/>
      <c r="BY212"/>
      <c r="BZ212"/>
      <c r="CA212"/>
      <c r="CB212"/>
      <c r="CC212"/>
      <c r="CD212"/>
    </row>
    <row r="213" spans="1:82" s="2" customFormat="1" ht="12.75" hidden="1" customHeight="1" outlineLevel="1" x14ac:dyDescent="0.2">
      <c r="A213" s="41"/>
      <c r="B213" s="42"/>
      <c r="C213" s="204"/>
      <c r="D213" s="40"/>
      <c r="E213" s="204"/>
      <c r="F213" s="40"/>
      <c r="G213" s="204"/>
      <c r="H213" s="40"/>
      <c r="I213" s="128"/>
      <c r="J213" s="40"/>
      <c r="K213" s="128"/>
      <c r="L213" s="40"/>
      <c r="M213" s="128"/>
      <c r="N213" s="40"/>
      <c r="O213" s="128"/>
      <c r="P213" s="40"/>
      <c r="Q213" s="128"/>
      <c r="R213" s="40"/>
      <c r="S213" s="128"/>
      <c r="T213" s="40"/>
      <c r="U213" s="128"/>
      <c r="V213" s="40"/>
      <c r="W213" s="128"/>
      <c r="X213" s="40"/>
      <c r="Y213" s="128"/>
      <c r="Z213" s="40"/>
      <c r="AA213" s="128"/>
      <c r="AB213" s="40"/>
      <c r="AC213" s="128"/>
      <c r="AD213" s="40"/>
      <c r="AE213" s="128"/>
      <c r="AF213" s="40"/>
      <c r="AG213" s="128"/>
      <c r="AH213" s="40"/>
      <c r="AI213" s="128"/>
      <c r="AJ213" s="40"/>
      <c r="AK213" s="128"/>
      <c r="AL213" s="40"/>
      <c r="AM213" s="128"/>
      <c r="AN213" s="40"/>
      <c r="AO213" s="128"/>
      <c r="AP213" s="40"/>
      <c r="AQ213" s="128"/>
      <c r="AR213" s="40"/>
      <c r="AS213" s="128"/>
      <c r="AT213" s="40"/>
      <c r="AU213" s="128"/>
      <c r="AV213" s="40"/>
      <c r="AW213" s="128"/>
      <c r="AX213" s="40"/>
      <c r="AY213" s="279"/>
      <c r="AZ213" s="15"/>
      <c r="BA213" s="40"/>
      <c r="BB213" s="128"/>
      <c r="BC213" s="40"/>
      <c r="BD213" s="926"/>
      <c r="BE213" s="40"/>
      <c r="BF213" s="128"/>
      <c r="BG213" s="40"/>
      <c r="BH213" s="128"/>
      <c r="BI213" s="40"/>
      <c r="BJ213" s="128"/>
      <c r="BK213" s="40"/>
      <c r="BL213" s="128"/>
      <c r="BM213" s="40"/>
      <c r="BN213" s="128"/>
      <c r="BO213" s="40"/>
      <c r="BP213" s="128"/>
      <c r="BQ213" s="40"/>
      <c r="BR213" s="128"/>
      <c r="BS213" s="40"/>
      <c r="BT213" s="128"/>
      <c r="BU213" s="40"/>
      <c r="BV213" s="722"/>
      <c r="BW213" s="722"/>
      <c r="BX213" s="722"/>
      <c r="BY213"/>
      <c r="BZ213"/>
      <c r="CA213"/>
      <c r="CB213"/>
      <c r="CC213"/>
      <c r="CD213"/>
    </row>
    <row r="214" spans="1:82" s="2" customFormat="1" ht="12.75" hidden="1" customHeight="1" outlineLevel="1" x14ac:dyDescent="0.2">
      <c r="A214" s="41"/>
      <c r="B214" s="42" t="s">
        <v>72</v>
      </c>
      <c r="C214" s="126">
        <f>+C205+C206</f>
        <v>2500</v>
      </c>
      <c r="D214" s="9" t="str">
        <f>IF(ISERROR(C214/#REF!),"NA",IF(OR(C214/#REF!&gt;2,C214/#REF!&lt;0.5),"NM",C214/#REF!*100-100))</f>
        <v>NA</v>
      </c>
      <c r="E214" s="126">
        <f>+E205+E206</f>
        <v>2300</v>
      </c>
      <c r="F214" s="9" t="str">
        <f>IF(ISERROR(E214/#REF!),"NA",IF(OR(E214/#REF!&gt;2,E214/#REF!&lt;0.5),"NM",E214/#REF!*100-100))</f>
        <v>NA</v>
      </c>
      <c r="G214" s="126">
        <f>+G205+G206</f>
        <v>1100</v>
      </c>
      <c r="H214" s="9" t="str">
        <f>IF(ISERROR(G214/#REF!),"NA",IF(OR(G214/#REF!&gt;2,G214/#REF!&lt;0.5),"NM",G214/#REF!*100-100))</f>
        <v>NA</v>
      </c>
      <c r="I214" s="125">
        <f>+I205+I206</f>
        <v>2700</v>
      </c>
      <c r="J214" s="9" t="str">
        <f>IF(ISERROR(I214/#REF!),"NA",IF(OR(I214/#REF!&gt;2,I214/#REF!&lt;0.5),"NM",I214/#REF!*100-100))</f>
        <v>NA</v>
      </c>
      <c r="K214" s="125">
        <f>+K205+K206</f>
        <v>1900</v>
      </c>
      <c r="L214" s="9">
        <f>IF(ISERROR(K214/C214),"NA",IF(OR(K214/C214&gt;2,K214/C214&lt;0.5),"NM",K214/C214*100-100))</f>
        <v>-24</v>
      </c>
      <c r="M214" s="125">
        <f>+M205+M206</f>
        <v>4200</v>
      </c>
      <c r="N214" s="9">
        <f>IF(ISERROR(M214/E214),"NA",IF(OR(M214/E214&gt;2,M214/E214&lt;0.5),"NM",M214/E214*100-100))</f>
        <v>82.608695652173907</v>
      </c>
      <c r="O214" s="125">
        <f>+O205+O206</f>
        <v>2400</v>
      </c>
      <c r="P214" s="9" t="str">
        <f>IF(ISERROR(O214/G214),"NA",IF(OR(O214/G214&gt;2,O214/G214&lt;0.5),"NM",O214/G214*100-100))</f>
        <v>NM</v>
      </c>
      <c r="Q214" s="125">
        <f>+Q205+Q206</f>
        <v>3900</v>
      </c>
      <c r="R214" s="9">
        <f>IF(ISERROR(Q214/I214),"NA",IF(OR(Q214/I214&gt;2,Q214/I214&lt;0.5),"NM",Q214/I214*100-100))</f>
        <v>44.444444444444429</v>
      </c>
      <c r="S214" s="125">
        <f>+S205+S206</f>
        <v>2300</v>
      </c>
      <c r="T214" s="9">
        <f>IF(ISERROR(S214/K214),"NA",IF(OR(S214/K214&gt;2,S214/K214&lt;0.5),"NM",S214/K214*100-100))</f>
        <v>21.05263157894737</v>
      </c>
      <c r="U214" s="125">
        <f>+U205+U206</f>
        <v>3500</v>
      </c>
      <c r="V214" s="9">
        <f>IF(ISERROR(U214/M214),"NA",IF(OR(U214/M214&gt;2,U214/M214&lt;0.5),"NM",U214/M214*100-100))</f>
        <v>-16.666666666666657</v>
      </c>
      <c r="W214" s="125"/>
      <c r="X214" s="9"/>
      <c r="Y214" s="125"/>
      <c r="Z214" s="9"/>
      <c r="AA214" s="125"/>
      <c r="AB214" s="9"/>
      <c r="AC214" s="125"/>
      <c r="AD214" s="9"/>
      <c r="AE214" s="125"/>
      <c r="AF214" s="9"/>
      <c r="AG214" s="125"/>
      <c r="AH214" s="9"/>
      <c r="AI214" s="125"/>
      <c r="AJ214" s="9"/>
      <c r="AK214" s="125"/>
      <c r="AL214" s="9"/>
      <c r="AM214" s="124"/>
      <c r="AN214" s="9"/>
      <c r="AO214" s="124"/>
      <c r="AP214" s="9"/>
      <c r="AQ214" s="124"/>
      <c r="AR214" s="9"/>
      <c r="AS214" s="124"/>
      <c r="AT214" s="9"/>
      <c r="AU214" s="124"/>
      <c r="AV214" s="9"/>
      <c r="AW214" s="124"/>
      <c r="AX214" s="9"/>
      <c r="AY214" s="279"/>
      <c r="AZ214" s="15"/>
      <c r="BA214" s="9"/>
      <c r="BB214" s="126"/>
      <c r="BC214" s="9"/>
      <c r="BD214" s="925"/>
      <c r="BE214" s="9"/>
      <c r="BF214" s="126"/>
      <c r="BG214" s="9"/>
      <c r="BH214" s="126"/>
      <c r="BI214" s="9"/>
      <c r="BJ214" s="126"/>
      <c r="BK214" s="9"/>
      <c r="BL214" s="126"/>
      <c r="BM214" s="9"/>
      <c r="BN214" s="127"/>
      <c r="BO214" s="9"/>
      <c r="BP214" s="127"/>
      <c r="BQ214" s="9"/>
      <c r="BR214" s="127"/>
      <c r="BS214" s="9"/>
      <c r="BT214" s="127"/>
      <c r="BU214" s="9"/>
      <c r="BV214" s="43"/>
      <c r="BW214" s="722"/>
      <c r="BX214" s="722"/>
      <c r="BY214"/>
      <c r="BZ214"/>
      <c r="CA214"/>
      <c r="CB214"/>
      <c r="CC214"/>
      <c r="CD214"/>
    </row>
    <row r="215" spans="1:82" s="2" customFormat="1" ht="12.75" hidden="1" customHeight="1" outlineLevel="1" x14ac:dyDescent="0.2">
      <c r="A215" s="41"/>
      <c r="B215" s="42"/>
      <c r="C215" s="126"/>
      <c r="D215" s="9"/>
      <c r="E215" s="126"/>
      <c r="F215" s="9"/>
      <c r="G215" s="126"/>
      <c r="H215" s="9"/>
      <c r="I215" s="127"/>
      <c r="J215" s="9"/>
      <c r="K215" s="127"/>
      <c r="L215" s="9"/>
      <c r="M215" s="127"/>
      <c r="N215" s="9"/>
      <c r="O215" s="127"/>
      <c r="P215" s="9"/>
      <c r="Q215" s="127"/>
      <c r="R215" s="9"/>
      <c r="S215" s="127"/>
      <c r="T215" s="9"/>
      <c r="U215" s="127"/>
      <c r="V215" s="9"/>
      <c r="W215" s="127"/>
      <c r="X215" s="9"/>
      <c r="Y215" s="127"/>
      <c r="Z215" s="9"/>
      <c r="AA215" s="127"/>
      <c r="AB215" s="9"/>
      <c r="AC215" s="127"/>
      <c r="AD215" s="9"/>
      <c r="AE215" s="127"/>
      <c r="AF215" s="9"/>
      <c r="AG215" s="127"/>
      <c r="AH215" s="9"/>
      <c r="AI215" s="127"/>
      <c r="AJ215" s="9"/>
      <c r="AK215" s="127"/>
      <c r="AL215" s="9"/>
      <c r="AM215" s="127"/>
      <c r="AN215" s="9"/>
      <c r="AO215" s="127"/>
      <c r="AP215" s="9"/>
      <c r="AQ215" s="127"/>
      <c r="AR215" s="9"/>
      <c r="AS215" s="127"/>
      <c r="AT215" s="9"/>
      <c r="AU215" s="127"/>
      <c r="AV215" s="9"/>
      <c r="AW215" s="127"/>
      <c r="AX215" s="9"/>
      <c r="AY215" s="279"/>
      <c r="AZ215" s="15"/>
      <c r="BA215" s="9"/>
      <c r="BB215" s="126"/>
      <c r="BC215" s="9"/>
      <c r="BD215" s="925"/>
      <c r="BE215" s="9"/>
      <c r="BF215" s="126"/>
      <c r="BG215" s="9"/>
      <c r="BH215" s="126"/>
      <c r="BI215" s="9"/>
      <c r="BJ215" s="126"/>
      <c r="BK215" s="9"/>
      <c r="BL215" s="126"/>
      <c r="BM215" s="9"/>
      <c r="BN215" s="127"/>
      <c r="BO215" s="9"/>
      <c r="BP215" s="127"/>
      <c r="BQ215" s="9"/>
      <c r="BR215" s="127"/>
      <c r="BS215" s="9"/>
      <c r="BT215" s="127"/>
      <c r="BU215" s="9"/>
      <c r="BV215" s="722"/>
      <c r="BW215" s="722"/>
      <c r="BX215" s="722"/>
      <c r="BY215"/>
      <c r="BZ215"/>
      <c r="CA215"/>
      <c r="CB215"/>
      <c r="CC215"/>
      <c r="CD215"/>
    </row>
    <row r="216" spans="1:82" s="2" customFormat="1" ht="12.75" hidden="1" customHeight="1" outlineLevel="1" x14ac:dyDescent="0.2">
      <c r="A216" s="41"/>
      <c r="B216" s="42" t="s">
        <v>139</v>
      </c>
      <c r="C216" s="57" t="e">
        <f>+C214/C204*400</f>
        <v>#REF!</v>
      </c>
      <c r="D216" s="9"/>
      <c r="E216" s="57" t="e">
        <f>+E214/E204*400</f>
        <v>#REF!</v>
      </c>
      <c r="F216" s="9"/>
      <c r="G216" s="57" t="e">
        <f>+G214/G204*400</f>
        <v>#REF!</v>
      </c>
      <c r="H216" s="9"/>
      <c r="I216" s="130" t="e">
        <f>+I214/I204*400</f>
        <v>#REF!</v>
      </c>
      <c r="J216" s="9"/>
      <c r="K216" s="130" t="e">
        <f>+K214/K204*400</f>
        <v>#REF!</v>
      </c>
      <c r="L216" s="9"/>
      <c r="M216" s="130" t="e">
        <f>+M214/M204*400</f>
        <v>#REF!</v>
      </c>
      <c r="N216" s="9" t="str">
        <f t="shared" ref="N216:V218" si="1201">IF(ISERROR(M216/E216),"NA",IF(OR(M216/E216&gt;2,M216/E216&lt;0.5),"NM",M216/E216*100-100))</f>
        <v>NA</v>
      </c>
      <c r="O216" s="130" t="e">
        <f>+O214/O204*400</f>
        <v>#REF!</v>
      </c>
      <c r="P216" s="9" t="str">
        <f t="shared" si="1201"/>
        <v>NA</v>
      </c>
      <c r="Q216" s="130" t="e">
        <f>+Q214/Q204*400</f>
        <v>#REF!</v>
      </c>
      <c r="R216" s="9" t="str">
        <f t="shared" si="1201"/>
        <v>NA</v>
      </c>
      <c r="S216" s="130" t="e">
        <f>+S214/S204*400</f>
        <v>#REF!</v>
      </c>
      <c r="T216" s="9" t="str">
        <f t="shared" si="1201"/>
        <v>NA</v>
      </c>
      <c r="U216" s="130" t="e">
        <f>+U214/U204*400</f>
        <v>#REF!</v>
      </c>
      <c r="V216" s="9" t="str">
        <f t="shared" si="1201"/>
        <v>NA</v>
      </c>
      <c r="W216" s="130"/>
      <c r="X216" s="9"/>
      <c r="Y216" s="130"/>
      <c r="Z216" s="9"/>
      <c r="AA216" s="130"/>
      <c r="AB216" s="9"/>
      <c r="AC216" s="130"/>
      <c r="AD216" s="9"/>
      <c r="AE216" s="130"/>
      <c r="AF216" s="9"/>
      <c r="AG216" s="130"/>
      <c r="AH216" s="9"/>
      <c r="AI216" s="130"/>
      <c r="AJ216" s="9"/>
      <c r="AK216" s="130"/>
      <c r="AL216" s="9"/>
      <c r="AM216" s="130"/>
      <c r="AN216" s="9"/>
      <c r="AO216" s="130"/>
      <c r="AP216" s="9"/>
      <c r="AQ216" s="130"/>
      <c r="AR216" s="9"/>
      <c r="AS216" s="130"/>
      <c r="AT216" s="9"/>
      <c r="AU216" s="130"/>
      <c r="AV216" s="9"/>
      <c r="AW216" s="130"/>
      <c r="AX216" s="9"/>
      <c r="AY216" s="287"/>
      <c r="AZ216" s="122"/>
      <c r="BA216" s="131"/>
      <c r="BB216" s="57"/>
      <c r="BC216" s="9"/>
      <c r="BD216" s="911"/>
      <c r="BE216" s="9"/>
      <c r="BF216" s="57"/>
      <c r="BG216" s="9"/>
      <c r="BH216" s="57"/>
      <c r="BI216" s="9"/>
      <c r="BJ216" s="57"/>
      <c r="BK216" s="9"/>
      <c r="BL216" s="57"/>
      <c r="BM216" s="9"/>
      <c r="BN216" s="130"/>
      <c r="BO216" s="9"/>
      <c r="BP216" s="130"/>
      <c r="BQ216" s="9"/>
      <c r="BR216" s="130"/>
      <c r="BS216" s="9"/>
      <c r="BT216" s="130"/>
      <c r="BU216" s="9"/>
      <c r="BV216" s="43"/>
      <c r="BW216" s="722"/>
      <c r="BX216" s="722"/>
      <c r="BY216"/>
      <c r="BZ216"/>
      <c r="CA216"/>
      <c r="CB216"/>
      <c r="CC216"/>
      <c r="CD216"/>
    </row>
    <row r="217" spans="1:82" s="2" customFormat="1" ht="12.75" hidden="1" customHeight="1" outlineLevel="1" x14ac:dyDescent="0.2">
      <c r="A217" s="41"/>
      <c r="B217" s="240" t="s">
        <v>77</v>
      </c>
      <c r="C217" s="57" t="e">
        <f>+C207/C204*100</f>
        <v>#REF!</v>
      </c>
      <c r="D217" s="9"/>
      <c r="E217" s="57" t="e">
        <f>+E207/E204*100</f>
        <v>#REF!</v>
      </c>
      <c r="F217" s="9"/>
      <c r="G217" s="57" t="e">
        <f>+G207/G204*100</f>
        <v>#REF!</v>
      </c>
      <c r="H217" s="9"/>
      <c r="I217" s="57" t="e">
        <f>+I207/I204*100</f>
        <v>#REF!</v>
      </c>
      <c r="J217" s="9"/>
      <c r="K217" s="57" t="e">
        <f>+K207/K204*100</f>
        <v>#REF!</v>
      </c>
      <c r="L217" s="9"/>
      <c r="M217" s="57" t="e">
        <f>+M207/M204*100</f>
        <v>#REF!</v>
      </c>
      <c r="N217" s="9" t="str">
        <f t="shared" si="1201"/>
        <v>NA</v>
      </c>
      <c r="O217" s="57" t="e">
        <f>+O207/O204*100</f>
        <v>#REF!</v>
      </c>
      <c r="P217" s="9" t="str">
        <f t="shared" si="1201"/>
        <v>NA</v>
      </c>
      <c r="Q217" s="57" t="e">
        <f>+Q207/Q204*100</f>
        <v>#REF!</v>
      </c>
      <c r="R217" s="9" t="str">
        <f t="shared" si="1201"/>
        <v>NA</v>
      </c>
      <c r="S217" s="57" t="e">
        <f>+S207/S204*100</f>
        <v>#REF!</v>
      </c>
      <c r="T217" s="9" t="str">
        <f t="shared" si="1201"/>
        <v>NA</v>
      </c>
      <c r="U217" s="57" t="e">
        <f>+U207/U204*100</f>
        <v>#REF!</v>
      </c>
      <c r="V217" s="9" t="str">
        <f t="shared" si="1201"/>
        <v>NA</v>
      </c>
      <c r="W217" s="57"/>
      <c r="X217" s="9"/>
      <c r="Y217" s="57"/>
      <c r="Z217" s="9"/>
      <c r="AA217" s="57"/>
      <c r="AB217" s="9"/>
      <c r="AC217" s="57"/>
      <c r="AD217" s="9"/>
      <c r="AE217" s="57"/>
      <c r="AF217" s="9"/>
      <c r="AG217" s="57"/>
      <c r="AH217" s="9"/>
      <c r="AI217" s="57"/>
      <c r="AJ217" s="9"/>
      <c r="AK217" s="57"/>
      <c r="AL217" s="9"/>
      <c r="AM217" s="57"/>
      <c r="AN217" s="9"/>
      <c r="AO217" s="57"/>
      <c r="AP217" s="9"/>
      <c r="AQ217" s="57"/>
      <c r="AR217" s="9"/>
      <c r="AS217" s="57"/>
      <c r="AT217" s="9"/>
      <c r="AU217" s="57"/>
      <c r="AV217" s="9"/>
      <c r="AW217" s="57"/>
      <c r="AX217" s="9"/>
      <c r="AY217" s="287"/>
      <c r="AZ217" s="122"/>
      <c r="BA217" s="131"/>
      <c r="BB217" s="57"/>
      <c r="BC217" s="9"/>
      <c r="BD217" s="911"/>
      <c r="BE217" s="9"/>
      <c r="BF217" s="57"/>
      <c r="BG217" s="9"/>
      <c r="BH217" s="57"/>
      <c r="BI217" s="9"/>
      <c r="BJ217" s="57"/>
      <c r="BK217" s="9"/>
      <c r="BL217" s="57"/>
      <c r="BM217" s="9"/>
      <c r="BN217" s="57"/>
      <c r="BO217" s="9"/>
      <c r="BP217" s="57"/>
      <c r="BQ217" s="9"/>
      <c r="BR217" s="57"/>
      <c r="BS217" s="9"/>
      <c r="BT217" s="57"/>
      <c r="BU217" s="9"/>
      <c r="BV217" s="43"/>
      <c r="BW217" s="722"/>
      <c r="BX217" s="722"/>
      <c r="BY217"/>
      <c r="BZ217"/>
      <c r="CA217"/>
      <c r="CB217"/>
      <c r="CC217"/>
      <c r="CD217"/>
    </row>
    <row r="218" spans="1:82" s="2" customFormat="1" ht="12.75" hidden="1" customHeight="1" outlineLevel="1" x14ac:dyDescent="0.2">
      <c r="A218" s="41"/>
      <c r="B218" s="240" t="s">
        <v>105</v>
      </c>
      <c r="C218" s="57" t="e">
        <f>(C217/4)/C$31*100</f>
        <v>#REF!</v>
      </c>
      <c r="D218" s="9"/>
      <c r="E218" s="57" t="e">
        <f>(E217/4)/E$31*100</f>
        <v>#REF!</v>
      </c>
      <c r="F218" s="9"/>
      <c r="G218" s="57" t="e">
        <f>(G217/4)/G$31*100</f>
        <v>#REF!</v>
      </c>
      <c r="H218" s="9"/>
      <c r="I218" s="130" t="e">
        <f>(I217/4)/I$31*100</f>
        <v>#REF!</v>
      </c>
      <c r="J218" s="9"/>
      <c r="K218" s="130" t="e">
        <f>(K217/4)/K$31*100</f>
        <v>#REF!</v>
      </c>
      <c r="L218" s="9"/>
      <c r="M218" s="130" t="e">
        <f>(M217/4)/M$31*100</f>
        <v>#REF!</v>
      </c>
      <c r="N218" s="9" t="str">
        <f t="shared" si="1201"/>
        <v>NA</v>
      </c>
      <c r="O218" s="130" t="e">
        <f>(O217/4)/O$31*100</f>
        <v>#REF!</v>
      </c>
      <c r="P218" s="9" t="str">
        <f t="shared" si="1201"/>
        <v>NA</v>
      </c>
      <c r="Q218" s="130" t="e">
        <f>(Q217/4)/Q$31*100</f>
        <v>#REF!</v>
      </c>
      <c r="R218" s="9" t="str">
        <f t="shared" si="1201"/>
        <v>NA</v>
      </c>
      <c r="S218" s="130" t="e">
        <f>(S217/4)/S$31*100</f>
        <v>#REF!</v>
      </c>
      <c r="T218" s="9" t="str">
        <f t="shared" si="1201"/>
        <v>NA</v>
      </c>
      <c r="U218" s="130" t="e">
        <f>(U217/4)/U$31*100</f>
        <v>#REF!</v>
      </c>
      <c r="V218" s="9" t="str">
        <f t="shared" si="1201"/>
        <v>NA</v>
      </c>
      <c r="W218" s="130"/>
      <c r="X218" s="9"/>
      <c r="Y218" s="130"/>
      <c r="Z218" s="9"/>
      <c r="AA218" s="130"/>
      <c r="AB218" s="9"/>
      <c r="AC218" s="130"/>
      <c r="AD218" s="9"/>
      <c r="AE218" s="130"/>
      <c r="AF218" s="9"/>
      <c r="AG218" s="130"/>
      <c r="AH218" s="9"/>
      <c r="AI218" s="130"/>
      <c r="AJ218" s="9"/>
      <c r="AK218" s="130"/>
      <c r="AL218" s="9"/>
      <c r="AM218" s="242"/>
      <c r="AN218" s="9"/>
      <c r="AO218" s="242"/>
      <c r="AP218" s="9"/>
      <c r="AQ218" s="242"/>
      <c r="AR218" s="9"/>
      <c r="AS218" s="242"/>
      <c r="AT218" s="9"/>
      <c r="AU218" s="242"/>
      <c r="AV218" s="9"/>
      <c r="AW218" s="242"/>
      <c r="AX218" s="9"/>
      <c r="AY218" s="287"/>
      <c r="AZ218" s="122"/>
      <c r="BA218" s="131"/>
      <c r="BB218" s="57"/>
      <c r="BC218" s="9"/>
      <c r="BD218" s="911"/>
      <c r="BE218" s="9"/>
      <c r="BF218" s="57"/>
      <c r="BG218" s="9"/>
      <c r="BH218" s="57"/>
      <c r="BI218" s="9"/>
      <c r="BJ218" s="57"/>
      <c r="BK218" s="9"/>
      <c r="BL218" s="57"/>
      <c r="BM218" s="9"/>
      <c r="BN218" s="242"/>
      <c r="BO218" s="9"/>
      <c r="BP218" s="242"/>
      <c r="BQ218" s="9"/>
      <c r="BR218" s="242"/>
      <c r="BS218" s="9"/>
      <c r="BT218" s="242"/>
      <c r="BU218" s="9"/>
      <c r="BV218" s="43"/>
      <c r="BW218" s="722"/>
      <c r="BX218" s="722"/>
      <c r="BY218"/>
      <c r="BZ218"/>
      <c r="CA218"/>
      <c r="CB218"/>
      <c r="CC218"/>
      <c r="CD218"/>
    </row>
    <row r="219" spans="1:82" s="2" customFormat="1" ht="12.75" customHeight="1" collapsed="1" x14ac:dyDescent="0.2">
      <c r="A219" s="41"/>
      <c r="B219" s="240"/>
      <c r="C219" s="57"/>
      <c r="D219" s="9"/>
      <c r="E219" s="57"/>
      <c r="F219" s="9"/>
      <c r="G219" s="57"/>
      <c r="H219" s="9"/>
      <c r="I219" s="130"/>
      <c r="J219" s="9"/>
      <c r="K219" s="130"/>
      <c r="L219" s="9"/>
      <c r="M219" s="130"/>
      <c r="N219" s="9"/>
      <c r="O219" s="130"/>
      <c r="P219" s="9"/>
      <c r="Q219" s="130"/>
      <c r="R219" s="9"/>
      <c r="S219" s="130"/>
      <c r="T219" s="9"/>
      <c r="U219" s="130"/>
      <c r="V219" s="9"/>
      <c r="W219" s="130"/>
      <c r="X219" s="9"/>
      <c r="Y219" s="130"/>
      <c r="Z219" s="9"/>
      <c r="AA219" s="130"/>
      <c r="AB219" s="9"/>
      <c r="AC219" s="130"/>
      <c r="AD219" s="9"/>
      <c r="AE219" s="130"/>
      <c r="AF219" s="9"/>
      <c r="AG219" s="130"/>
      <c r="AH219" s="9"/>
      <c r="AI219" s="130"/>
      <c r="AJ219" s="9"/>
      <c r="AK219" s="130"/>
      <c r="AL219" s="9"/>
      <c r="AM219" s="242"/>
      <c r="AN219" s="9"/>
      <c r="AO219" s="242"/>
      <c r="AP219" s="9"/>
      <c r="AQ219" s="242"/>
      <c r="AR219" s="9"/>
      <c r="AS219" s="242"/>
      <c r="AT219" s="9"/>
      <c r="AU219" s="242"/>
      <c r="AV219" s="9"/>
      <c r="AW219" s="242"/>
      <c r="AX219" s="9"/>
      <c r="AY219" s="287"/>
      <c r="AZ219" s="122"/>
      <c r="BA219" s="131"/>
      <c r="BB219" s="57"/>
      <c r="BC219" s="9"/>
      <c r="BD219" s="911"/>
      <c r="BE219" s="9"/>
      <c r="BF219" s="57"/>
      <c r="BG219" s="9"/>
      <c r="BH219" s="57"/>
      <c r="BI219" s="9"/>
      <c r="BJ219" s="57"/>
      <c r="BK219" s="9"/>
      <c r="BL219" s="57"/>
      <c r="BM219" s="9"/>
      <c r="BN219" s="242"/>
      <c r="BO219" s="9"/>
      <c r="BP219" s="242"/>
      <c r="BQ219" s="9"/>
      <c r="BR219" s="242"/>
      <c r="BS219" s="9"/>
      <c r="BT219" s="242"/>
      <c r="BU219" s="9"/>
      <c r="BV219" s="43"/>
      <c r="BW219" s="722"/>
      <c r="BX219" s="722"/>
      <c r="BY219"/>
      <c r="BZ219"/>
      <c r="CA219"/>
      <c r="CB219"/>
      <c r="CC219"/>
      <c r="CD219"/>
    </row>
    <row r="220" spans="1:82" s="2" customFormat="1" ht="12.75" customHeight="1" x14ac:dyDescent="0.2">
      <c r="A220" s="41"/>
      <c r="B220" s="730" t="s">
        <v>574</v>
      </c>
      <c r="C220" s="57"/>
      <c r="D220" s="9"/>
      <c r="E220" s="57"/>
      <c r="F220" s="9"/>
      <c r="G220" s="57"/>
      <c r="H220" s="9"/>
      <c r="I220" s="130"/>
      <c r="J220" s="9"/>
      <c r="K220" s="130"/>
      <c r="L220" s="9"/>
      <c r="M220" s="130"/>
      <c r="N220" s="9"/>
      <c r="O220" s="130"/>
      <c r="P220" s="9"/>
      <c r="Q220" s="130"/>
      <c r="R220" s="9"/>
      <c r="S220" s="130"/>
      <c r="T220" s="9"/>
      <c r="U220" s="130"/>
      <c r="V220" s="9"/>
      <c r="X220" s="9"/>
      <c r="Z220" s="9"/>
      <c r="AB220" s="9"/>
      <c r="AD220" s="9"/>
      <c r="AF220" s="9"/>
      <c r="AH220" s="9"/>
      <c r="AJ220" s="9"/>
      <c r="AL220" s="9"/>
      <c r="AM220" s="242"/>
      <c r="AN220" s="9"/>
      <c r="AO220" s="242"/>
      <c r="AP220" s="9"/>
      <c r="AQ220" s="242"/>
      <c r="AR220" s="9"/>
      <c r="AS220" s="242"/>
      <c r="AT220" s="9"/>
      <c r="AU220" s="242"/>
      <c r="AV220" s="9"/>
      <c r="AW220" s="242"/>
      <c r="AX220" s="9"/>
      <c r="AY220" s="287"/>
      <c r="AZ220" s="122"/>
      <c r="BA220" s="131"/>
      <c r="BB220" s="57"/>
      <c r="BC220" s="9"/>
      <c r="BD220" s="911"/>
      <c r="BE220" s="9"/>
      <c r="BF220" s="57"/>
      <c r="BG220" s="9"/>
      <c r="BH220" s="57"/>
      <c r="BI220" s="9"/>
      <c r="BJ220" s="57"/>
      <c r="BK220" s="9"/>
      <c r="BL220" s="57"/>
      <c r="BM220" s="9"/>
      <c r="BN220" s="242"/>
      <c r="BO220" s="9"/>
      <c r="BP220" s="242"/>
      <c r="BQ220" s="9"/>
      <c r="BR220" s="242"/>
      <c r="BS220" s="9"/>
      <c r="BT220" s="242"/>
      <c r="BU220" s="9"/>
      <c r="BV220" s="43"/>
      <c r="BW220" s="722"/>
      <c r="BX220" s="722"/>
      <c r="BY220"/>
      <c r="BZ220"/>
      <c r="CA220"/>
      <c r="CB220"/>
      <c r="CC220"/>
      <c r="CD220"/>
    </row>
    <row r="221" spans="1:82" s="2" customFormat="1" ht="12.75" customHeight="1" x14ac:dyDescent="0.2">
      <c r="A221" s="41"/>
      <c r="B221" s="123" t="s">
        <v>314</v>
      </c>
      <c r="C221" s="57"/>
      <c r="D221" s="9"/>
      <c r="E221" s="57"/>
      <c r="F221" s="9"/>
      <c r="G221" s="57"/>
      <c r="H221" s="9"/>
      <c r="I221" s="130"/>
      <c r="J221" s="9"/>
      <c r="K221" s="130"/>
      <c r="L221" s="9"/>
      <c r="M221" s="130"/>
      <c r="N221" s="9"/>
      <c r="O221" s="672">
        <v>46800</v>
      </c>
      <c r="P221" s="43" t="str">
        <f t="shared" ref="P221:AD221" si="1202">IF(ISERROR(O221/G221),"NA",IF(OR(O221/G221&gt;2,O221/G221&lt;0.5),"NM",O221/G221*100-100))</f>
        <v>NA</v>
      </c>
      <c r="Q221" s="76">
        <f>O228</f>
        <v>44700</v>
      </c>
      <c r="R221" s="43" t="str">
        <f t="shared" si="1202"/>
        <v>NA</v>
      </c>
      <c r="S221" s="76">
        <f t="shared" ref="S221:U221" si="1203">Q228</f>
        <v>44600</v>
      </c>
      <c r="T221" s="43" t="str">
        <f t="shared" si="1202"/>
        <v>NA</v>
      </c>
      <c r="U221" s="76">
        <f t="shared" si="1203"/>
        <v>39600</v>
      </c>
      <c r="V221" s="43" t="str">
        <f t="shared" si="1202"/>
        <v>NA</v>
      </c>
      <c r="W221" s="76">
        <f>U228</f>
        <v>44500</v>
      </c>
      <c r="X221" s="43">
        <f t="shared" si="1202"/>
        <v>-4.9145299145299219</v>
      </c>
      <c r="Y221" s="76">
        <f>W228</f>
        <v>36200</v>
      </c>
      <c r="Z221" s="43">
        <f t="shared" si="1202"/>
        <v>-19.015659955257263</v>
      </c>
      <c r="AA221" s="76">
        <f>Y228</f>
        <v>38800</v>
      </c>
      <c r="AB221" s="43">
        <f t="shared" si="1202"/>
        <v>-13.004484304932745</v>
      </c>
      <c r="AC221" s="76">
        <f>AA228</f>
        <v>46100</v>
      </c>
      <c r="AD221" s="43">
        <f t="shared" si="1202"/>
        <v>16.414141414141412</v>
      </c>
      <c r="AE221" s="76">
        <f>AC228</f>
        <v>56000</v>
      </c>
      <c r="AF221" s="43">
        <f t="shared" ref="P221:AF236" si="1204">IF(ISERROR(AE221/W221),"NA",IF(OR(AE221/W221&gt;2,AE221/W221&lt;0.5),"NM",AE221/W221*100-100))</f>
        <v>25.842696629213478</v>
      </c>
      <c r="AG221" s="76">
        <f>AE228</f>
        <v>58800</v>
      </c>
      <c r="AH221" s="9">
        <f t="shared" ref="AH221:AH230" si="1205">IF(ISERROR(AG221/Y221),"NA",IF(OR(AG221/Y221&gt;2,AG221/Y221&lt;0.5),"NM",AG221/Y221*100-100))</f>
        <v>62.430939226519342</v>
      </c>
      <c r="AI221" s="76">
        <f>AG228</f>
        <v>63100</v>
      </c>
      <c r="AJ221" s="9">
        <f t="shared" ref="AJ221:AJ228" si="1206">IF(ISERROR(AI221/AA221),"NA",IF(OR(AI221/AA221&gt;2,AI221/AA221&lt;0.5),"NM",AI221/AA221*100-100))</f>
        <v>62.62886597938143</v>
      </c>
      <c r="AK221" s="76">
        <f>AI228</f>
        <v>68400</v>
      </c>
      <c r="AL221" s="9">
        <f t="shared" ref="AL221:AL228" si="1207">IF(ISERROR(AK221/AC221),"NA",IF(OR(AK221/AC221&gt;2,AK221/AC221&lt;0.5),"NM",AK221/AC221*100-100))</f>
        <v>48.373101952277665</v>
      </c>
      <c r="AM221" s="76">
        <f>AK228</f>
        <v>67300</v>
      </c>
      <c r="AN221" s="9">
        <f t="shared" ref="AN221:AN228" si="1208">IF(ISERROR(AM221/AE221),"NA",IF(OR(AM221/AE221&gt;2,AM221/AE221&lt;0.5),"NM",AM221/AE221*100-100))</f>
        <v>20.178571428571416</v>
      </c>
      <c r="AO221" s="76">
        <f>AM228</f>
        <v>74400</v>
      </c>
      <c r="AP221" s="9">
        <f t="shared" ref="AP221:AP228" si="1209">IF(ISERROR(AO221/AG221),"NA",IF(OR(AO221/AG221&gt;2,AO221/AG221&lt;0.5),"NM",AO221/AG221*100-100))</f>
        <v>26.530612244897966</v>
      </c>
      <c r="AQ221" s="126">
        <f t="shared" ref="AQ221" si="1210">AO228</f>
        <v>73700</v>
      </c>
      <c r="AR221" s="9">
        <f t="shared" ref="AR221:AR228" si="1211">IF(ISERROR(AQ221/AI221),"NA",IF(OR(AQ221/AI221&gt;2,AQ221/AI221&lt;0.5),"NM",AQ221/AI221*100-100))</f>
        <v>16.7987321711569</v>
      </c>
      <c r="AS221" s="126">
        <f t="shared" ref="AS221" si="1212">AQ228</f>
        <v>71846.240000000005</v>
      </c>
      <c r="AT221" s="9">
        <f t="shared" ref="AT221:AT228" si="1213">IF(ISERROR(AS221/AK221),"NA",IF(OR(AS221/AK221&gt;2,AS221/AK221&lt;0.5),"NM",AS221/AK221*100-100))</f>
        <v>5.0383625730994197</v>
      </c>
      <c r="AU221" s="126">
        <f t="shared" ref="AU221" si="1214">AS228</f>
        <v>70921.009920000011</v>
      </c>
      <c r="AV221" s="9">
        <f t="shared" ref="AV221:AV228" si="1215">IF(ISERROR(AU221/AM221),"NA",IF(OR(AU221/AM221&gt;2,AU221/AM221&lt;0.5),"NM",AU221/AM221*100-100))</f>
        <v>5.3804010698365659</v>
      </c>
      <c r="AW221" s="126">
        <f t="shared" ref="AW221" si="1216">AU228</f>
        <v>69988.377999360018</v>
      </c>
      <c r="AX221" s="9">
        <f t="shared" ref="AX221:AX228" si="1217">IF(ISERROR(AW221/AO221),"NA",IF(OR(AW221/AO221&gt;2,AW221/AO221&lt;0.5),"NM",AW221/AO221*100-100))</f>
        <v>-5.9295994632257703</v>
      </c>
      <c r="AY221" s="287"/>
      <c r="AZ221" s="122"/>
      <c r="BA221" s="131"/>
      <c r="BB221" s="57"/>
      <c r="BC221" s="226" t="str">
        <f>IF(ISERROR(BB221/#REF!),"NA",IF(OR(BB221/#REF!&gt;2,BB221/#REF!&lt;0.5),"NM",BB221/#REF!*100-100))</f>
        <v>NA</v>
      </c>
      <c r="BD221" s="911"/>
      <c r="BE221" s="226" t="str">
        <f t="shared" ref="BE221:BS235" si="1218">IF(ISERROR(BD221/BB221),"NA",IF(OR(BD221/BB221&gt;2,BD221/BB221&lt;0.5),"NM",BD221/BB221*100-100))</f>
        <v>NA</v>
      </c>
      <c r="BF221" s="55">
        <f>Q228</f>
        <v>44600</v>
      </c>
      <c r="BG221" s="226" t="str">
        <f t="shared" si="1218"/>
        <v>NA</v>
      </c>
      <c r="BH221" s="55">
        <f>BF228</f>
        <v>38800</v>
      </c>
      <c r="BI221" s="226">
        <f t="shared" si="1218"/>
        <v>-13.004484304932745</v>
      </c>
      <c r="BJ221" s="55">
        <f>BH228</f>
        <v>63100</v>
      </c>
      <c r="BK221" s="226">
        <f t="shared" si="1218"/>
        <v>62.62886597938143</v>
      </c>
      <c r="BL221" s="55">
        <f>BJ228</f>
        <v>73700</v>
      </c>
      <c r="BM221" s="226">
        <f t="shared" si="1218"/>
        <v>16.7987321711569</v>
      </c>
      <c r="BN221" s="126">
        <f>BL228</f>
        <v>69048.285023354882</v>
      </c>
      <c r="BO221" s="226">
        <f t="shared" si="1218"/>
        <v>-6.3116892491792669</v>
      </c>
      <c r="BP221" s="126">
        <f t="shared" ref="BP221" si="1219">BN228</f>
        <v>77657.830144102234</v>
      </c>
      <c r="BQ221" s="226">
        <f t="shared" si="1218"/>
        <v>12.468876117394174</v>
      </c>
      <c r="BR221" s="126">
        <f t="shared" ref="BR221" si="1220">BP228</f>
        <v>85262.880708713506</v>
      </c>
      <c r="BS221" s="226">
        <f t="shared" si="1218"/>
        <v>9.7930247993013779</v>
      </c>
      <c r="BT221" s="126">
        <f t="shared" ref="BT221" si="1221">BR228</f>
        <v>92087.292891392339</v>
      </c>
      <c r="BU221" s="226">
        <f t="shared" ref="BU221:BU228" si="1222">IF(ISERROR(BT221/BR221),"NA",IF(OR(BT221/BR221&gt;2,BT221/BR221&lt;0.5),"NM",BT221/BR221*100-100))</f>
        <v>8.0039662347244871</v>
      </c>
      <c r="BV221" s="43">
        <f t="shared" ref="BV221:BV228" si="1223">IF(ISERROR(((BT221/BJ221)^0.2-1)*100),"NA",IF((((BT221/BJ221)^0.2-1)*100)&gt;100,"NM",IF((((BT221/BJ221)^0.2-1)*100)&lt;-50,"NM",((BT221/BJ221)^0.2-1)*100)))</f>
        <v>7.8534568459627918</v>
      </c>
      <c r="BW221" s="722"/>
      <c r="BX221" s="722"/>
      <c r="BY221"/>
      <c r="BZ221"/>
      <c r="CA221"/>
      <c r="CB221"/>
      <c r="CC221"/>
      <c r="CD221"/>
    </row>
    <row r="222" spans="1:82" s="2" customFormat="1" ht="12.75" customHeight="1" x14ac:dyDescent="0.2">
      <c r="A222" s="41"/>
      <c r="B222" s="123" t="s">
        <v>490</v>
      </c>
      <c r="C222" s="57"/>
      <c r="D222" s="9"/>
      <c r="E222" s="57"/>
      <c r="F222" s="9"/>
      <c r="G222" s="57"/>
      <c r="H222" s="9"/>
      <c r="I222" s="130"/>
      <c r="J222" s="9"/>
      <c r="K222" s="130"/>
      <c r="L222" s="9"/>
      <c r="M222" s="130"/>
      <c r="N222" s="9"/>
      <c r="O222" s="672">
        <v>3400</v>
      </c>
      <c r="P222" s="43" t="str">
        <f t="shared" si="1204"/>
        <v>NA</v>
      </c>
      <c r="Q222" s="672">
        <v>3900</v>
      </c>
      <c r="R222" s="43" t="str">
        <f t="shared" si="1204"/>
        <v>NA</v>
      </c>
      <c r="S222" s="672">
        <v>3100</v>
      </c>
      <c r="T222" s="43" t="str">
        <f t="shared" si="1204"/>
        <v>NA</v>
      </c>
      <c r="U222" s="672">
        <v>3800</v>
      </c>
      <c r="V222" s="43" t="str">
        <f t="shared" si="1204"/>
        <v>NA</v>
      </c>
      <c r="W222" s="672">
        <v>2500</v>
      </c>
      <c r="X222" s="43">
        <f t="shared" si="1204"/>
        <v>-26.470588235294116</v>
      </c>
      <c r="Y222" s="672">
        <v>2700</v>
      </c>
      <c r="Z222" s="43">
        <f t="shared" si="1204"/>
        <v>-30.769230769230774</v>
      </c>
      <c r="AA222" s="672">
        <v>2200</v>
      </c>
      <c r="AB222" s="43">
        <f t="shared" si="1204"/>
        <v>-29.032258064516128</v>
      </c>
      <c r="AC222" s="672">
        <v>4300</v>
      </c>
      <c r="AD222" s="43">
        <f t="shared" si="1204"/>
        <v>13.157894736842096</v>
      </c>
      <c r="AE222" s="672">
        <v>3500</v>
      </c>
      <c r="AF222" s="43">
        <f t="shared" si="1204"/>
        <v>40</v>
      </c>
      <c r="AG222" s="672">
        <v>4800</v>
      </c>
      <c r="AH222" s="9">
        <f t="shared" si="1205"/>
        <v>77.777777777777771</v>
      </c>
      <c r="AI222" s="672">
        <v>3400</v>
      </c>
      <c r="AJ222" s="9">
        <f t="shared" si="1206"/>
        <v>54.545454545454533</v>
      </c>
      <c r="AK222" s="672">
        <v>3100</v>
      </c>
      <c r="AL222" s="9">
        <f t="shared" si="1207"/>
        <v>-27.906976744186053</v>
      </c>
      <c r="AM222" s="672">
        <v>3800</v>
      </c>
      <c r="AN222" s="9">
        <f t="shared" si="1208"/>
        <v>8.5714285714285694</v>
      </c>
      <c r="AO222" s="672">
        <v>4100</v>
      </c>
      <c r="AP222" s="9">
        <f t="shared" si="1209"/>
        <v>-14.583333333333343</v>
      </c>
      <c r="AQ222" s="670">
        <f t="shared" ref="AQ222" si="1224">AO222*0.95</f>
        <v>3895</v>
      </c>
      <c r="AR222" s="9">
        <f t="shared" si="1211"/>
        <v>14.558823529411754</v>
      </c>
      <c r="AS222" s="670">
        <f t="shared" ref="AS222" si="1225">AQ222*0.95</f>
        <v>3700.25</v>
      </c>
      <c r="AT222" s="9">
        <f t="shared" si="1213"/>
        <v>19.362903225806448</v>
      </c>
      <c r="AU222" s="670">
        <f t="shared" ref="AU222" si="1226">AS222*0.95</f>
        <v>3515.2374999999997</v>
      </c>
      <c r="AV222" s="9">
        <f t="shared" si="1215"/>
        <v>-7.4937500000000057</v>
      </c>
      <c r="AW222" s="670">
        <f t="shared" ref="AW222" si="1227">AU222*0.95</f>
        <v>3339.4756249999996</v>
      </c>
      <c r="AX222" s="9">
        <f t="shared" si="1217"/>
        <v>-18.549375000000012</v>
      </c>
      <c r="AY222" s="287"/>
      <c r="AZ222" s="122"/>
      <c r="BA222" s="131"/>
      <c r="BB222" s="57"/>
      <c r="BC222" s="226" t="str">
        <f>IF(ISERROR(BB222/#REF!),"NA",IF(OR(BB222/#REF!&gt;2,BB222/#REF!&lt;0.5),"NM",BB222/#REF!*100-100))</f>
        <v>NA</v>
      </c>
      <c r="BD222" s="911"/>
      <c r="BE222" s="226" t="str">
        <f t="shared" si="1218"/>
        <v>NA</v>
      </c>
      <c r="BF222" s="55">
        <f t="shared" ref="BF222:BF227" si="1228">S222+U222+W222+Y222</f>
        <v>12100</v>
      </c>
      <c r="BG222" s="226" t="str">
        <f t="shared" si="1218"/>
        <v>NA</v>
      </c>
      <c r="BH222" s="55">
        <f t="shared" ref="BH222:BH227" si="1229">AA222+AC222+AE222+AG222</f>
        <v>14800</v>
      </c>
      <c r="BI222" s="226">
        <f t="shared" si="1218"/>
        <v>22.314049586776846</v>
      </c>
      <c r="BJ222" s="55">
        <f t="shared" ref="BJ222:BJ227" si="1230">AI222+AK222+AM222+AO222</f>
        <v>14400</v>
      </c>
      <c r="BK222" s="226">
        <f t="shared" si="1218"/>
        <v>-2.7027027027026946</v>
      </c>
      <c r="BL222" s="55">
        <f t="shared" ref="BL222:BL227" si="1231">AQ222+AS222+AU222+AW222</f>
        <v>14449.963124999998</v>
      </c>
      <c r="BM222" s="226">
        <f t="shared" si="1218"/>
        <v>0.34696614583332064</v>
      </c>
      <c r="BN222" s="127">
        <f>BL222*1.02</f>
        <v>14738.962387499998</v>
      </c>
      <c r="BO222" s="226">
        <f t="shared" si="1218"/>
        <v>2</v>
      </c>
      <c r="BP222" s="127">
        <f t="shared" ref="BP222" si="1232">BN222*1.02</f>
        <v>15033.741635249999</v>
      </c>
      <c r="BQ222" s="226">
        <f t="shared" si="1218"/>
        <v>2</v>
      </c>
      <c r="BR222" s="127">
        <f t="shared" ref="BR222" si="1233">BP222*1.02</f>
        <v>15334.416467954999</v>
      </c>
      <c r="BS222" s="226">
        <f t="shared" si="1218"/>
        <v>2</v>
      </c>
      <c r="BT222" s="127">
        <f t="shared" ref="BT222" si="1234">BR222*1.02</f>
        <v>15641.104797314099</v>
      </c>
      <c r="BU222" s="226">
        <f t="shared" si="1222"/>
        <v>2</v>
      </c>
      <c r="BV222" s="43">
        <f t="shared" si="1223"/>
        <v>1.6672289966970455</v>
      </c>
      <c r="BW222" s="722"/>
      <c r="BX222" s="722"/>
      <c r="BY222"/>
      <c r="BZ222"/>
      <c r="CA222"/>
      <c r="CB222"/>
      <c r="CC222"/>
      <c r="CD222"/>
    </row>
    <row r="223" spans="1:82" s="2" customFormat="1" ht="12.75" customHeight="1" x14ac:dyDescent="0.2">
      <c r="A223" s="41"/>
      <c r="B223" s="123" t="s">
        <v>491</v>
      </c>
      <c r="C223" s="57"/>
      <c r="D223" s="9"/>
      <c r="E223" s="57"/>
      <c r="F223" s="9"/>
      <c r="G223" s="57"/>
      <c r="H223" s="9"/>
      <c r="I223" s="130"/>
      <c r="J223" s="9"/>
      <c r="K223" s="130"/>
      <c r="L223" s="9"/>
      <c r="M223" s="130"/>
      <c r="N223" s="9"/>
      <c r="O223" s="672">
        <v>-1500</v>
      </c>
      <c r="P223" s="43" t="str">
        <f t="shared" si="1204"/>
        <v>NA</v>
      </c>
      <c r="Q223" s="672">
        <v>-1400</v>
      </c>
      <c r="R223" s="43" t="str">
        <f t="shared" si="1204"/>
        <v>NA</v>
      </c>
      <c r="S223" s="672">
        <v>-1300</v>
      </c>
      <c r="T223" s="43" t="str">
        <f t="shared" si="1204"/>
        <v>NA</v>
      </c>
      <c r="U223" s="672">
        <v>-1300</v>
      </c>
      <c r="V223" s="43" t="str">
        <f t="shared" si="1204"/>
        <v>NA</v>
      </c>
      <c r="W223" s="672">
        <v>-1300</v>
      </c>
      <c r="X223" s="43">
        <f t="shared" si="1204"/>
        <v>-13.333333333333329</v>
      </c>
      <c r="Y223" s="672">
        <v>-1300</v>
      </c>
      <c r="Z223" s="43">
        <f t="shared" si="1204"/>
        <v>-7.1428571428571388</v>
      </c>
      <c r="AA223" s="672">
        <v>-1200</v>
      </c>
      <c r="AB223" s="43">
        <f t="shared" si="1204"/>
        <v>-7.6923076923076934</v>
      </c>
      <c r="AC223" s="672">
        <v>-1400</v>
      </c>
      <c r="AD223" s="43">
        <f t="shared" si="1204"/>
        <v>7.6923076923076934</v>
      </c>
      <c r="AE223" s="672">
        <v>-1700</v>
      </c>
      <c r="AF223" s="43">
        <f t="shared" si="1204"/>
        <v>30.769230769230774</v>
      </c>
      <c r="AG223" s="672">
        <v>-1800</v>
      </c>
      <c r="AH223" s="9">
        <f t="shared" si="1205"/>
        <v>38.461538461538453</v>
      </c>
      <c r="AI223" s="672">
        <v>-1900</v>
      </c>
      <c r="AJ223" s="9">
        <f t="shared" si="1206"/>
        <v>58.333333333333314</v>
      </c>
      <c r="AK223" s="672">
        <v>-2400</v>
      </c>
      <c r="AL223" s="9">
        <f t="shared" si="1207"/>
        <v>71.428571428571416</v>
      </c>
      <c r="AM223" s="672">
        <v>-2100</v>
      </c>
      <c r="AN223" s="9">
        <f t="shared" si="1208"/>
        <v>23.529411764705884</v>
      </c>
      <c r="AO223" s="672">
        <v>-2100</v>
      </c>
      <c r="AP223" s="9">
        <f t="shared" si="1209"/>
        <v>16.666666666666671</v>
      </c>
      <c r="AQ223" s="126">
        <f t="shared" ref="AQ223:AW223" si="1235">AQ232-AQ222</f>
        <v>-1895</v>
      </c>
      <c r="AR223" s="9">
        <f t="shared" si="1211"/>
        <v>-0.26315789473684958</v>
      </c>
      <c r="AS223" s="126">
        <f t="shared" si="1235"/>
        <v>-1700.25</v>
      </c>
      <c r="AT223" s="9">
        <f t="shared" si="1213"/>
        <v>-29.15625</v>
      </c>
      <c r="AU223" s="126">
        <f t="shared" si="1235"/>
        <v>-1515.2374999999997</v>
      </c>
      <c r="AV223" s="9">
        <f t="shared" si="1215"/>
        <v>-27.845833333333346</v>
      </c>
      <c r="AW223" s="126">
        <f t="shared" si="1235"/>
        <v>-1339.4756249999996</v>
      </c>
      <c r="AX223" s="9">
        <f t="shared" si="1217"/>
        <v>-36.215446428571454</v>
      </c>
      <c r="AY223" s="287"/>
      <c r="AZ223" s="122"/>
      <c r="BA223" s="131"/>
      <c r="BB223" s="57"/>
      <c r="BC223" s="226" t="str">
        <f>IF(ISERROR(BB223/#REF!),"NA",IF(OR(BB223/#REF!&gt;2,BB223/#REF!&lt;0.5),"NM",BB223/#REF!*100-100))</f>
        <v>NA</v>
      </c>
      <c r="BD223" s="911"/>
      <c r="BE223" s="226" t="str">
        <f t="shared" si="1218"/>
        <v>NA</v>
      </c>
      <c r="BF223" s="55">
        <f t="shared" si="1228"/>
        <v>-5200</v>
      </c>
      <c r="BG223" s="226" t="str">
        <f t="shared" si="1218"/>
        <v>NA</v>
      </c>
      <c r="BH223" s="55">
        <f t="shared" si="1229"/>
        <v>-6100</v>
      </c>
      <c r="BI223" s="226">
        <f t="shared" si="1218"/>
        <v>17.307692307692307</v>
      </c>
      <c r="BJ223" s="55">
        <f t="shared" si="1230"/>
        <v>-8500</v>
      </c>
      <c r="BK223" s="226">
        <f t="shared" si="1218"/>
        <v>39.344262295081961</v>
      </c>
      <c r="BL223" s="55">
        <f t="shared" si="1231"/>
        <v>-6449.9631249999984</v>
      </c>
      <c r="BM223" s="226">
        <f t="shared" si="1218"/>
        <v>-24.118080882352956</v>
      </c>
      <c r="BN223" s="126">
        <f t="shared" ref="BN223:BP223" si="1236">BN232-BN222</f>
        <v>-8338.9623874999979</v>
      </c>
      <c r="BO223" s="226">
        <f t="shared" si="1218"/>
        <v>29.286977706558588</v>
      </c>
      <c r="BP223" s="126">
        <f t="shared" si="1236"/>
        <v>-9913.7416352499986</v>
      </c>
      <c r="BQ223" s="226">
        <f t="shared" si="1218"/>
        <v>18.884594684232852</v>
      </c>
      <c r="BR223" s="126">
        <f t="shared" ref="BR223:BT223" si="1237">BR232-BR222</f>
        <v>-11238.416467954999</v>
      </c>
      <c r="BS223" s="226">
        <f t="shared" si="1218"/>
        <v>13.36200681279503</v>
      </c>
      <c r="BT223" s="126">
        <f t="shared" si="1237"/>
        <v>-12364.3047973141</v>
      </c>
      <c r="BU223" s="226">
        <f t="shared" si="1222"/>
        <v>10.018211485305216</v>
      </c>
      <c r="BV223" s="43">
        <f t="shared" si="1223"/>
        <v>7.7829721797235463</v>
      </c>
      <c r="BW223" s="722"/>
      <c r="BX223" s="722"/>
      <c r="BY223"/>
      <c r="BZ223"/>
      <c r="CA223"/>
      <c r="CB223"/>
      <c r="CC223"/>
      <c r="CD223"/>
    </row>
    <row r="224" spans="1:82" s="2" customFormat="1" ht="12.75" customHeight="1" x14ac:dyDescent="0.2">
      <c r="A224" s="41"/>
      <c r="B224" s="123" t="s">
        <v>149</v>
      </c>
      <c r="C224" s="57"/>
      <c r="D224" s="9"/>
      <c r="E224" s="57"/>
      <c r="F224" s="9"/>
      <c r="G224" s="57"/>
      <c r="H224" s="9"/>
      <c r="I224" s="130"/>
      <c r="J224" s="9"/>
      <c r="K224" s="130"/>
      <c r="L224" s="9"/>
      <c r="M224" s="130"/>
      <c r="N224" s="9"/>
      <c r="O224" s="672">
        <v>1000</v>
      </c>
      <c r="P224" s="43" t="str">
        <f t="shared" si="1204"/>
        <v>NA</v>
      </c>
      <c r="Q224" s="672">
        <v>1000</v>
      </c>
      <c r="R224" s="43" t="str">
        <f t="shared" si="1204"/>
        <v>NA</v>
      </c>
      <c r="S224" s="672">
        <v>1100</v>
      </c>
      <c r="T224" s="43" t="str">
        <f t="shared" si="1204"/>
        <v>NA</v>
      </c>
      <c r="U224" s="672">
        <v>1300</v>
      </c>
      <c r="V224" s="43" t="str">
        <f t="shared" si="1204"/>
        <v>NA</v>
      </c>
      <c r="W224" s="672">
        <v>600</v>
      </c>
      <c r="X224" s="43">
        <f t="shared" si="1204"/>
        <v>-40</v>
      </c>
      <c r="Y224" s="672">
        <v>1200</v>
      </c>
      <c r="Z224" s="43">
        <f t="shared" si="1204"/>
        <v>20</v>
      </c>
      <c r="AA224" s="672">
        <v>1700</v>
      </c>
      <c r="AB224" s="43">
        <f t="shared" si="1204"/>
        <v>54.545454545454533</v>
      </c>
      <c r="AC224" s="672">
        <v>1600</v>
      </c>
      <c r="AD224" s="43">
        <f t="shared" si="1204"/>
        <v>23.07692307692308</v>
      </c>
      <c r="AE224" s="672">
        <v>1800</v>
      </c>
      <c r="AF224" s="43" t="str">
        <f t="shared" si="1204"/>
        <v>NM</v>
      </c>
      <c r="AG224" s="672">
        <v>1500</v>
      </c>
      <c r="AH224" s="9">
        <f t="shared" si="1205"/>
        <v>25</v>
      </c>
      <c r="AI224" s="672">
        <v>2400</v>
      </c>
      <c r="AJ224" s="9">
        <f t="shared" si="1206"/>
        <v>41.176470588235304</v>
      </c>
      <c r="AK224" s="672">
        <v>1000</v>
      </c>
      <c r="AL224" s="9">
        <f t="shared" si="1207"/>
        <v>-37.5</v>
      </c>
      <c r="AM224" s="672">
        <v>2300</v>
      </c>
      <c r="AN224" s="9">
        <f t="shared" si="1208"/>
        <v>27.777777777777771</v>
      </c>
      <c r="AO224" s="672">
        <v>800</v>
      </c>
      <c r="AP224" s="9">
        <f t="shared" si="1209"/>
        <v>-46.666666666666664</v>
      </c>
      <c r="AQ224" s="55">
        <f t="shared" ref="AQ224:AW224" si="1238">AQ221*(AQ236/100*AQ$31/100)</f>
        <v>-353.76</v>
      </c>
      <c r="AR224" s="9" t="str">
        <f t="shared" si="1211"/>
        <v>NM</v>
      </c>
      <c r="AS224" s="55">
        <f t="shared" si="1238"/>
        <v>574.76992000000007</v>
      </c>
      <c r="AT224" s="9">
        <f t="shared" si="1213"/>
        <v>-42.523007999999997</v>
      </c>
      <c r="AU224" s="55">
        <f t="shared" si="1238"/>
        <v>567.36807936000014</v>
      </c>
      <c r="AV224" s="9" t="str">
        <f t="shared" si="1215"/>
        <v>NM</v>
      </c>
      <c r="AW224" s="55">
        <f t="shared" si="1238"/>
        <v>559.90702399488021</v>
      </c>
      <c r="AX224" s="9">
        <f t="shared" si="1217"/>
        <v>-30.011622000639974</v>
      </c>
      <c r="AY224" s="287"/>
      <c r="AZ224" s="122"/>
      <c r="BA224" s="131"/>
      <c r="BB224" s="57"/>
      <c r="BC224" s="226" t="str">
        <f>IF(ISERROR(BB224/#REF!),"NA",IF(OR(BB224/#REF!&gt;2,BB224/#REF!&lt;0.5),"NM",BB224/#REF!*100-100))</f>
        <v>NA</v>
      </c>
      <c r="BD224" s="911"/>
      <c r="BE224" s="226" t="str">
        <f t="shared" si="1218"/>
        <v>NA</v>
      </c>
      <c r="BF224" s="55">
        <f t="shared" si="1228"/>
        <v>4200</v>
      </c>
      <c r="BG224" s="226" t="str">
        <f t="shared" si="1218"/>
        <v>NA</v>
      </c>
      <c r="BH224" s="55">
        <f t="shared" si="1229"/>
        <v>6600</v>
      </c>
      <c r="BI224" s="226">
        <f t="shared" si="1218"/>
        <v>57.142857142857139</v>
      </c>
      <c r="BJ224" s="55">
        <f t="shared" si="1230"/>
        <v>6500</v>
      </c>
      <c r="BK224" s="226">
        <f t="shared" si="1218"/>
        <v>-1.5151515151515156</v>
      </c>
      <c r="BL224" s="55">
        <f t="shared" si="1231"/>
        <v>1348.2850233548804</v>
      </c>
      <c r="BM224" s="226" t="str">
        <f t="shared" si="1218"/>
        <v>NM</v>
      </c>
      <c r="BN224" s="55">
        <f t="shared" ref="BN224:BP224" si="1239">BN221*(BN236/100*BN$31/100)</f>
        <v>2209.5451207473561</v>
      </c>
      <c r="BO224" s="226">
        <f t="shared" si="1218"/>
        <v>63.878192108775266</v>
      </c>
      <c r="BP224" s="55">
        <f t="shared" si="1239"/>
        <v>2485.0505646112715</v>
      </c>
      <c r="BQ224" s="226">
        <f t="shared" si="1218"/>
        <v>12.468876117394174</v>
      </c>
      <c r="BR224" s="55">
        <f t="shared" ref="BR224:BT224" si="1240">BR221*(BR236/100*BR$31/100)</f>
        <v>2728.4121826788323</v>
      </c>
      <c r="BS224" s="226">
        <f t="shared" si="1218"/>
        <v>9.7930247993013779</v>
      </c>
      <c r="BT224" s="55">
        <f t="shared" si="1240"/>
        <v>2946.7933725245548</v>
      </c>
      <c r="BU224" s="226">
        <f t="shared" si="1222"/>
        <v>8.0039662347244587</v>
      </c>
      <c r="BV224" s="43">
        <f t="shared" si="1223"/>
        <v>-14.633541335203148</v>
      </c>
      <c r="BW224" s="722"/>
      <c r="BX224" s="722"/>
      <c r="BY224"/>
      <c r="BZ224"/>
      <c r="CA224"/>
      <c r="CB224"/>
      <c r="CC224"/>
      <c r="CD224"/>
    </row>
    <row r="225" spans="1:82" s="2" customFormat="1" ht="12.75" customHeight="1" x14ac:dyDescent="0.2">
      <c r="A225" s="41"/>
      <c r="B225" s="123" t="s">
        <v>150</v>
      </c>
      <c r="C225" s="57"/>
      <c r="D225" s="9"/>
      <c r="E225" s="57"/>
      <c r="F225" s="9"/>
      <c r="G225" s="57"/>
      <c r="H225" s="9"/>
      <c r="I225" s="130"/>
      <c r="J225" s="9"/>
      <c r="K225" s="130"/>
      <c r="L225" s="9"/>
      <c r="M225" s="130"/>
      <c r="N225" s="9"/>
      <c r="O225" s="672">
        <v>0</v>
      </c>
      <c r="P225" s="43" t="str">
        <f t="shared" si="1204"/>
        <v>NA</v>
      </c>
      <c r="Q225" s="672">
        <v>0</v>
      </c>
      <c r="R225" s="43" t="str">
        <f t="shared" si="1204"/>
        <v>NA</v>
      </c>
      <c r="S225" s="672">
        <v>0</v>
      </c>
      <c r="T225" s="43" t="str">
        <f t="shared" si="1204"/>
        <v>NA</v>
      </c>
      <c r="U225" s="672">
        <v>0</v>
      </c>
      <c r="V225" s="43" t="str">
        <f t="shared" si="1204"/>
        <v>NA</v>
      </c>
      <c r="W225" s="672">
        <v>0</v>
      </c>
      <c r="X225" s="43" t="str">
        <f t="shared" si="1204"/>
        <v>NA</v>
      </c>
      <c r="Y225" s="672">
        <v>0</v>
      </c>
      <c r="Z225" s="43" t="str">
        <f t="shared" si="1204"/>
        <v>NA</v>
      </c>
      <c r="AA225" s="672">
        <v>0</v>
      </c>
      <c r="AB225" s="43" t="str">
        <f t="shared" si="1204"/>
        <v>NA</v>
      </c>
      <c r="AC225" s="672">
        <v>0</v>
      </c>
      <c r="AD225" s="43" t="str">
        <f t="shared" si="1204"/>
        <v>NA</v>
      </c>
      <c r="AE225" s="672">
        <v>0</v>
      </c>
      <c r="AF225" s="43" t="str">
        <f t="shared" si="1204"/>
        <v>NA</v>
      </c>
      <c r="AG225" s="672">
        <v>0</v>
      </c>
      <c r="AH225" s="9" t="str">
        <f t="shared" si="1205"/>
        <v>NA</v>
      </c>
      <c r="AI225" s="672">
        <v>0</v>
      </c>
      <c r="AJ225" s="9" t="str">
        <f t="shared" si="1206"/>
        <v>NA</v>
      </c>
      <c r="AK225" s="672">
        <v>0</v>
      </c>
      <c r="AL225" s="9" t="str">
        <f t="shared" si="1207"/>
        <v>NA</v>
      </c>
      <c r="AM225" s="672">
        <v>0</v>
      </c>
      <c r="AN225" s="9" t="str">
        <f t="shared" si="1208"/>
        <v>NA</v>
      </c>
      <c r="AO225" s="672">
        <v>0</v>
      </c>
      <c r="AP225" s="9" t="str">
        <f t="shared" si="1209"/>
        <v>NA</v>
      </c>
      <c r="AQ225" s="670">
        <v>0</v>
      </c>
      <c r="AR225" s="9" t="str">
        <f t="shared" si="1211"/>
        <v>NA</v>
      </c>
      <c r="AS225" s="670">
        <v>0</v>
      </c>
      <c r="AT225" s="9" t="str">
        <f t="shared" si="1213"/>
        <v>NA</v>
      </c>
      <c r="AU225" s="670">
        <v>0</v>
      </c>
      <c r="AV225" s="9" t="str">
        <f t="shared" si="1215"/>
        <v>NA</v>
      </c>
      <c r="AW225" s="670">
        <v>0</v>
      </c>
      <c r="AX225" s="9" t="str">
        <f t="shared" si="1217"/>
        <v>NA</v>
      </c>
      <c r="AY225" s="287"/>
      <c r="AZ225" s="122"/>
      <c r="BA225" s="131"/>
      <c r="BB225" s="57"/>
      <c r="BC225" s="226" t="str">
        <f>IF(ISERROR(BB225/#REF!),"NA",IF(OR(BB225/#REF!&gt;2,BB225/#REF!&lt;0.5),"NM",BB225/#REF!*100-100))</f>
        <v>NA</v>
      </c>
      <c r="BD225" s="911"/>
      <c r="BE225" s="226" t="str">
        <f t="shared" si="1218"/>
        <v>NA</v>
      </c>
      <c r="BF225" s="55">
        <f t="shared" si="1228"/>
        <v>0</v>
      </c>
      <c r="BG225" s="226" t="str">
        <f t="shared" si="1218"/>
        <v>NA</v>
      </c>
      <c r="BH225" s="55">
        <f t="shared" si="1229"/>
        <v>0</v>
      </c>
      <c r="BI225" s="226" t="str">
        <f t="shared" si="1218"/>
        <v>NA</v>
      </c>
      <c r="BJ225" s="55">
        <f t="shared" si="1230"/>
        <v>0</v>
      </c>
      <c r="BK225" s="226" t="str">
        <f t="shared" si="1218"/>
        <v>NA</v>
      </c>
      <c r="BL225" s="55">
        <f t="shared" si="1231"/>
        <v>0</v>
      </c>
      <c r="BM225" s="226" t="str">
        <f t="shared" si="1218"/>
        <v>NA</v>
      </c>
      <c r="BN225" s="127">
        <v>0</v>
      </c>
      <c r="BO225" s="226" t="str">
        <f t="shared" si="1218"/>
        <v>NA</v>
      </c>
      <c r="BP225" s="127">
        <v>0</v>
      </c>
      <c r="BQ225" s="226" t="str">
        <f t="shared" si="1218"/>
        <v>NA</v>
      </c>
      <c r="BR225" s="127">
        <v>0</v>
      </c>
      <c r="BS225" s="226" t="str">
        <f t="shared" si="1218"/>
        <v>NA</v>
      </c>
      <c r="BT225" s="127">
        <v>0</v>
      </c>
      <c r="BU225" s="226" t="str">
        <f t="shared" si="1222"/>
        <v>NA</v>
      </c>
      <c r="BV225" s="43" t="str">
        <f t="shared" si="1223"/>
        <v>NA</v>
      </c>
      <c r="BW225" s="722"/>
      <c r="BX225" s="722"/>
      <c r="BY225"/>
      <c r="BZ225"/>
      <c r="CA225"/>
      <c r="CB225"/>
      <c r="CC225"/>
      <c r="CD225"/>
    </row>
    <row r="226" spans="1:82" s="2" customFormat="1" ht="12.75" customHeight="1" x14ac:dyDescent="0.2">
      <c r="A226" s="41"/>
      <c r="B226" s="123" t="s">
        <v>151</v>
      </c>
      <c r="C226" s="57"/>
      <c r="D226" s="9"/>
      <c r="E226" s="57"/>
      <c r="F226" s="9"/>
      <c r="G226" s="57"/>
      <c r="H226" s="9"/>
      <c r="I226" s="130"/>
      <c r="J226" s="9"/>
      <c r="K226" s="130"/>
      <c r="L226" s="9"/>
      <c r="M226" s="130"/>
      <c r="N226" s="9"/>
      <c r="O226" s="672">
        <v>-100</v>
      </c>
      <c r="P226" s="43" t="str">
        <f t="shared" si="1204"/>
        <v>NA</v>
      </c>
      <c r="Q226" s="672">
        <v>0</v>
      </c>
      <c r="R226" s="43" t="str">
        <f t="shared" si="1204"/>
        <v>NA</v>
      </c>
      <c r="S226" s="672">
        <v>-100</v>
      </c>
      <c r="T226" s="43" t="str">
        <f t="shared" si="1204"/>
        <v>NA</v>
      </c>
      <c r="U226" s="672">
        <v>-100</v>
      </c>
      <c r="V226" s="43" t="str">
        <f t="shared" si="1204"/>
        <v>NA</v>
      </c>
      <c r="W226" s="672">
        <v>-100</v>
      </c>
      <c r="X226" s="43">
        <f t="shared" si="1204"/>
        <v>0</v>
      </c>
      <c r="Y226" s="672">
        <v>-100</v>
      </c>
      <c r="Z226" s="43" t="str">
        <f t="shared" si="1204"/>
        <v>NA</v>
      </c>
      <c r="AA226" s="672">
        <v>0</v>
      </c>
      <c r="AB226" s="43" t="str">
        <f t="shared" si="1204"/>
        <v>NM</v>
      </c>
      <c r="AC226" s="672">
        <v>0</v>
      </c>
      <c r="AD226" s="43" t="str">
        <f t="shared" si="1204"/>
        <v>NM</v>
      </c>
      <c r="AE226" s="672">
        <v>-100</v>
      </c>
      <c r="AF226" s="43">
        <f t="shared" si="1204"/>
        <v>0</v>
      </c>
      <c r="AG226" s="672">
        <v>-100</v>
      </c>
      <c r="AH226" s="9">
        <f t="shared" si="1205"/>
        <v>0</v>
      </c>
      <c r="AI226" s="672">
        <v>-100</v>
      </c>
      <c r="AJ226" s="9" t="str">
        <f t="shared" si="1206"/>
        <v>NA</v>
      </c>
      <c r="AK226" s="672">
        <v>100</v>
      </c>
      <c r="AL226" s="9" t="str">
        <f t="shared" si="1207"/>
        <v>NA</v>
      </c>
      <c r="AM226" s="672">
        <v>-100</v>
      </c>
      <c r="AN226" s="9">
        <f t="shared" si="1208"/>
        <v>0</v>
      </c>
      <c r="AO226" s="672">
        <v>0</v>
      </c>
      <c r="AP226" s="9" t="str">
        <f t="shared" si="1209"/>
        <v>NM</v>
      </c>
      <c r="AQ226" s="670">
        <f t="shared" ref="AQ226:AQ227" si="1241">AO226</f>
        <v>0</v>
      </c>
      <c r="AR226" s="9" t="str">
        <f t="shared" si="1211"/>
        <v>NM</v>
      </c>
      <c r="AS226" s="670">
        <f t="shared" ref="AS226:AS227" si="1242">AQ226</f>
        <v>0</v>
      </c>
      <c r="AT226" s="9" t="str">
        <f t="shared" si="1213"/>
        <v>NM</v>
      </c>
      <c r="AU226" s="670">
        <f t="shared" ref="AU226:AU227" si="1243">AS226</f>
        <v>0</v>
      </c>
      <c r="AV226" s="9" t="str">
        <f t="shared" si="1215"/>
        <v>NM</v>
      </c>
      <c r="AW226" s="670">
        <f t="shared" ref="AW226:AW227" si="1244">AU226</f>
        <v>0</v>
      </c>
      <c r="AX226" s="9" t="str">
        <f t="shared" si="1217"/>
        <v>NA</v>
      </c>
      <c r="AY226" s="287"/>
      <c r="AZ226" s="122"/>
      <c r="BA226" s="131"/>
      <c r="BB226" s="57"/>
      <c r="BC226" s="226" t="str">
        <f>IF(ISERROR(BB226/#REF!),"NA",IF(OR(BB226/#REF!&gt;2,BB226/#REF!&lt;0.5),"NM",BB226/#REF!*100-100))</f>
        <v>NA</v>
      </c>
      <c r="BD226" s="911"/>
      <c r="BE226" s="226" t="str">
        <f t="shared" si="1218"/>
        <v>NA</v>
      </c>
      <c r="BF226" s="55">
        <f t="shared" si="1228"/>
        <v>-400</v>
      </c>
      <c r="BG226" s="226" t="str">
        <f t="shared" si="1218"/>
        <v>NA</v>
      </c>
      <c r="BH226" s="55">
        <f t="shared" si="1229"/>
        <v>-200</v>
      </c>
      <c r="BI226" s="226">
        <f t="shared" si="1218"/>
        <v>-50</v>
      </c>
      <c r="BJ226" s="55">
        <f t="shared" si="1230"/>
        <v>-100</v>
      </c>
      <c r="BK226" s="226">
        <f t="shared" si="1218"/>
        <v>-50</v>
      </c>
      <c r="BL226" s="55">
        <f t="shared" si="1231"/>
        <v>0</v>
      </c>
      <c r="BM226" s="226" t="str">
        <f t="shared" si="1218"/>
        <v>NM</v>
      </c>
      <c r="BN226" s="127">
        <v>0</v>
      </c>
      <c r="BO226" s="226" t="str">
        <f t="shared" si="1218"/>
        <v>NA</v>
      </c>
      <c r="BP226" s="127">
        <v>0</v>
      </c>
      <c r="BQ226" s="226" t="str">
        <f t="shared" si="1218"/>
        <v>NA</v>
      </c>
      <c r="BR226" s="127">
        <v>0</v>
      </c>
      <c r="BS226" s="226" t="str">
        <f t="shared" si="1218"/>
        <v>NA</v>
      </c>
      <c r="BT226" s="127">
        <v>0</v>
      </c>
      <c r="BU226" s="226" t="str">
        <f t="shared" si="1222"/>
        <v>NA</v>
      </c>
      <c r="BV226" s="43" t="str">
        <f t="shared" si="1223"/>
        <v>NM</v>
      </c>
      <c r="BW226" s="722"/>
      <c r="BX226" s="722"/>
      <c r="BY226"/>
      <c r="BZ226"/>
      <c r="CA226"/>
      <c r="CB226"/>
      <c r="CC226"/>
      <c r="CD226"/>
    </row>
    <row r="227" spans="1:82" s="2" customFormat="1" ht="12.75" customHeight="1" x14ac:dyDescent="0.2">
      <c r="A227" s="41"/>
      <c r="B227" s="123" t="s">
        <v>222</v>
      </c>
      <c r="C227" s="57"/>
      <c r="D227" s="9"/>
      <c r="E227" s="57"/>
      <c r="F227" s="9"/>
      <c r="G227" s="57"/>
      <c r="H227" s="9"/>
      <c r="I227" s="130"/>
      <c r="J227" s="9"/>
      <c r="K227" s="130"/>
      <c r="L227" s="9"/>
      <c r="M227" s="130"/>
      <c r="N227" s="9"/>
      <c r="O227" s="672">
        <v>-4900</v>
      </c>
      <c r="P227" s="43" t="str">
        <f t="shared" si="1204"/>
        <v>NA</v>
      </c>
      <c r="Q227" s="672">
        <v>-3600</v>
      </c>
      <c r="R227" s="43" t="str">
        <f t="shared" si="1204"/>
        <v>NA</v>
      </c>
      <c r="S227" s="672">
        <v>-7800</v>
      </c>
      <c r="T227" s="43" t="str">
        <f t="shared" si="1204"/>
        <v>NA</v>
      </c>
      <c r="U227" s="672">
        <v>1200</v>
      </c>
      <c r="V227" s="43" t="str">
        <f t="shared" si="1204"/>
        <v>NA</v>
      </c>
      <c r="W227" s="672">
        <v>-10000</v>
      </c>
      <c r="X227" s="43" t="str">
        <f t="shared" si="1204"/>
        <v>NM</v>
      </c>
      <c r="Y227" s="672">
        <v>100</v>
      </c>
      <c r="Z227" s="43" t="str">
        <f t="shared" si="1204"/>
        <v>NM</v>
      </c>
      <c r="AA227" s="672">
        <v>4600</v>
      </c>
      <c r="AB227" s="43" t="str">
        <f t="shared" si="1204"/>
        <v>NM</v>
      </c>
      <c r="AC227" s="672">
        <v>5400</v>
      </c>
      <c r="AD227" s="43" t="str">
        <f t="shared" si="1204"/>
        <v>NM</v>
      </c>
      <c r="AE227" s="672">
        <v>-700</v>
      </c>
      <c r="AF227" s="43" t="str">
        <f t="shared" si="1204"/>
        <v>NM</v>
      </c>
      <c r="AG227" s="672">
        <v>-100</v>
      </c>
      <c r="AH227" s="9" t="str">
        <f t="shared" si="1205"/>
        <v>NM</v>
      </c>
      <c r="AI227" s="672">
        <v>1500</v>
      </c>
      <c r="AJ227" s="9" t="str">
        <f t="shared" si="1206"/>
        <v>NM</v>
      </c>
      <c r="AK227" s="672">
        <v>-2900</v>
      </c>
      <c r="AL227" s="9" t="str">
        <f t="shared" si="1207"/>
        <v>NM</v>
      </c>
      <c r="AM227" s="672">
        <v>3200</v>
      </c>
      <c r="AN227" s="9" t="str">
        <f t="shared" si="1208"/>
        <v>NM</v>
      </c>
      <c r="AO227" s="672">
        <v>-3500</v>
      </c>
      <c r="AP227" s="9" t="str">
        <f t="shared" si="1209"/>
        <v>NM</v>
      </c>
      <c r="AQ227" s="670">
        <f t="shared" si="1241"/>
        <v>-3500</v>
      </c>
      <c r="AR227" s="9" t="str">
        <f t="shared" si="1211"/>
        <v>NM</v>
      </c>
      <c r="AS227" s="670">
        <f t="shared" si="1242"/>
        <v>-3500</v>
      </c>
      <c r="AT227" s="9">
        <f t="shared" si="1213"/>
        <v>20.689655172413794</v>
      </c>
      <c r="AU227" s="670">
        <f t="shared" si="1243"/>
        <v>-3500</v>
      </c>
      <c r="AV227" s="9" t="str">
        <f t="shared" si="1215"/>
        <v>NM</v>
      </c>
      <c r="AW227" s="670">
        <f t="shared" si="1244"/>
        <v>-3500</v>
      </c>
      <c r="AX227" s="9">
        <f t="shared" si="1217"/>
        <v>0</v>
      </c>
      <c r="AY227" s="287"/>
      <c r="AZ227" s="122"/>
      <c r="BA227" s="131"/>
      <c r="BB227" s="57"/>
      <c r="BC227" s="226" t="str">
        <f>IF(ISERROR(BB227/#REF!),"NA",IF(OR(BB227/#REF!&gt;2,BB227/#REF!&lt;0.5),"NM",BB227/#REF!*100-100))</f>
        <v>NA</v>
      </c>
      <c r="BD227" s="911"/>
      <c r="BE227" s="226" t="str">
        <f t="shared" si="1218"/>
        <v>NA</v>
      </c>
      <c r="BF227" s="55">
        <f t="shared" si="1228"/>
        <v>-16500</v>
      </c>
      <c r="BG227" s="226" t="str">
        <f t="shared" si="1218"/>
        <v>NA</v>
      </c>
      <c r="BH227" s="55">
        <f t="shared" si="1229"/>
        <v>9200</v>
      </c>
      <c r="BI227" s="226" t="str">
        <f t="shared" si="1218"/>
        <v>NM</v>
      </c>
      <c r="BJ227" s="55">
        <f t="shared" si="1230"/>
        <v>-1700</v>
      </c>
      <c r="BK227" s="226" t="str">
        <f t="shared" si="1218"/>
        <v>NM</v>
      </c>
      <c r="BL227" s="55">
        <f t="shared" si="1231"/>
        <v>-14000</v>
      </c>
      <c r="BM227" s="226" t="str">
        <f t="shared" si="1218"/>
        <v>NM</v>
      </c>
      <c r="BN227" s="127">
        <v>0</v>
      </c>
      <c r="BO227" s="226" t="str">
        <f t="shared" si="1218"/>
        <v>NM</v>
      </c>
      <c r="BP227" s="127">
        <v>0</v>
      </c>
      <c r="BQ227" s="226" t="str">
        <f t="shared" si="1218"/>
        <v>NA</v>
      </c>
      <c r="BR227" s="127">
        <v>0</v>
      </c>
      <c r="BS227" s="226" t="str">
        <f t="shared" si="1218"/>
        <v>NA</v>
      </c>
      <c r="BT227" s="127">
        <v>0</v>
      </c>
      <c r="BU227" s="226" t="str">
        <f t="shared" si="1222"/>
        <v>NA</v>
      </c>
      <c r="BV227" s="43" t="str">
        <f t="shared" si="1223"/>
        <v>NM</v>
      </c>
      <c r="BW227" s="722"/>
      <c r="BX227" s="722"/>
      <c r="BY227"/>
      <c r="BZ227"/>
      <c r="CA227"/>
      <c r="CB227"/>
      <c r="CC227"/>
      <c r="CD227"/>
    </row>
    <row r="228" spans="1:82" s="2" customFormat="1" ht="12.75" customHeight="1" x14ac:dyDescent="0.2">
      <c r="A228" s="41"/>
      <c r="B228" s="123" t="s">
        <v>389</v>
      </c>
      <c r="C228" s="57"/>
      <c r="D228" s="9"/>
      <c r="E228" s="57"/>
      <c r="F228" s="9"/>
      <c r="G228" s="57"/>
      <c r="H228" s="9"/>
      <c r="I228" s="130"/>
      <c r="J228" s="9"/>
      <c r="K228" s="130"/>
      <c r="L228" s="9"/>
      <c r="M228" s="130"/>
      <c r="N228" s="9"/>
      <c r="O228" s="126">
        <f>SUM(O221:O227)</f>
        <v>44700</v>
      </c>
      <c r="P228" s="43" t="str">
        <f t="shared" si="1204"/>
        <v>NA</v>
      </c>
      <c r="Q228" s="126">
        <f>SUM(Q221:Q227)</f>
        <v>44600</v>
      </c>
      <c r="R228" s="43" t="str">
        <f t="shared" si="1204"/>
        <v>NA</v>
      </c>
      <c r="S228" s="126">
        <f t="shared" ref="S228:U228" si="1245">SUM(S221:S227)</f>
        <v>39600</v>
      </c>
      <c r="T228" s="43" t="str">
        <f t="shared" si="1204"/>
        <v>NA</v>
      </c>
      <c r="U228" s="126">
        <f t="shared" si="1245"/>
        <v>44500</v>
      </c>
      <c r="V228" s="43" t="str">
        <f t="shared" si="1204"/>
        <v>NA</v>
      </c>
      <c r="W228" s="126">
        <f>SUM(W221:W227)</f>
        <v>36200</v>
      </c>
      <c r="X228" s="43">
        <f t="shared" si="1204"/>
        <v>-19.015659955257263</v>
      </c>
      <c r="Y228" s="126">
        <f>SUM(Y221:Y227)</f>
        <v>38800</v>
      </c>
      <c r="Z228" s="43">
        <f t="shared" si="1204"/>
        <v>-13.004484304932745</v>
      </c>
      <c r="AA228" s="126">
        <f>SUM(AA221:AA227)</f>
        <v>46100</v>
      </c>
      <c r="AB228" s="43">
        <f t="shared" si="1204"/>
        <v>16.414141414141412</v>
      </c>
      <c r="AC228" s="126">
        <f>SUM(AC221:AC227)</f>
        <v>56000</v>
      </c>
      <c r="AD228" s="43">
        <f t="shared" si="1204"/>
        <v>25.842696629213478</v>
      </c>
      <c r="AE228" s="126">
        <f>SUM(AE221:AE227)</f>
        <v>58800</v>
      </c>
      <c r="AF228" s="43">
        <f t="shared" si="1204"/>
        <v>62.430939226519342</v>
      </c>
      <c r="AG228" s="126">
        <f>SUM(AG221:AG227)</f>
        <v>63100</v>
      </c>
      <c r="AH228" s="9">
        <f t="shared" si="1205"/>
        <v>62.62886597938143</v>
      </c>
      <c r="AI228" s="126">
        <f>SUM(AI221:AI227)</f>
        <v>68400</v>
      </c>
      <c r="AJ228" s="9">
        <f t="shared" si="1206"/>
        <v>48.373101952277665</v>
      </c>
      <c r="AK228" s="126">
        <f>SUM(AK221:AK227)</f>
        <v>67300</v>
      </c>
      <c r="AL228" s="9">
        <f t="shared" si="1207"/>
        <v>20.178571428571416</v>
      </c>
      <c r="AM228" s="126">
        <f>SUM(AM221:AM227)</f>
        <v>74400</v>
      </c>
      <c r="AN228" s="9">
        <f t="shared" si="1208"/>
        <v>26.530612244897966</v>
      </c>
      <c r="AO228" s="126">
        <f>SUM(AO221:AO227)</f>
        <v>73700</v>
      </c>
      <c r="AP228" s="9">
        <f t="shared" si="1209"/>
        <v>16.7987321711569</v>
      </c>
      <c r="AQ228" s="126">
        <f t="shared" ref="AQ228:AW228" si="1246">SUM(AQ221:AQ227)</f>
        <v>71846.240000000005</v>
      </c>
      <c r="AR228" s="9">
        <f t="shared" si="1211"/>
        <v>5.0383625730994197</v>
      </c>
      <c r="AS228" s="126">
        <f t="shared" si="1246"/>
        <v>70921.009920000011</v>
      </c>
      <c r="AT228" s="9">
        <f t="shared" si="1213"/>
        <v>5.3804010698365659</v>
      </c>
      <c r="AU228" s="126">
        <f t="shared" si="1246"/>
        <v>69988.377999360018</v>
      </c>
      <c r="AV228" s="9">
        <f t="shared" si="1215"/>
        <v>-5.9295994632257703</v>
      </c>
      <c r="AW228" s="126">
        <f t="shared" si="1246"/>
        <v>69048.285023354896</v>
      </c>
      <c r="AX228" s="9">
        <f t="shared" si="1217"/>
        <v>-6.3116892491792385</v>
      </c>
      <c r="AY228" s="287"/>
      <c r="AZ228" s="122"/>
      <c r="BA228" s="131"/>
      <c r="BB228" s="57"/>
      <c r="BC228" s="226" t="str">
        <f>IF(ISERROR(BB228/#REF!),"NA",IF(OR(BB228/#REF!&gt;2,BB228/#REF!&lt;0.5),"NM",BB228/#REF!*100-100))</f>
        <v>NA</v>
      </c>
      <c r="BD228" s="908">
        <f>Q228</f>
        <v>44600</v>
      </c>
      <c r="BE228" s="226" t="str">
        <f t="shared" si="1218"/>
        <v>NA</v>
      </c>
      <c r="BF228" s="55">
        <f>SUM(BF221:BF227)</f>
        <v>38800</v>
      </c>
      <c r="BG228" s="226">
        <f t="shared" si="1218"/>
        <v>-13.004484304932745</v>
      </c>
      <c r="BH228" s="55">
        <f>SUM(BH221:BH227)</f>
        <v>63100</v>
      </c>
      <c r="BI228" s="226">
        <f t="shared" si="1218"/>
        <v>62.62886597938143</v>
      </c>
      <c r="BJ228" s="55">
        <f>SUM(BJ221:BJ227)</f>
        <v>73700</v>
      </c>
      <c r="BK228" s="226">
        <f t="shared" si="1218"/>
        <v>16.7987321711569</v>
      </c>
      <c r="BL228" s="55">
        <f>SUM(BL221:BL227)</f>
        <v>69048.285023354882</v>
      </c>
      <c r="BM228" s="226">
        <f t="shared" si="1218"/>
        <v>-6.3116892491792669</v>
      </c>
      <c r="BN228" s="126">
        <f t="shared" ref="BN228:BP228" si="1247">SUM(BN221:BN227)</f>
        <v>77657.830144102234</v>
      </c>
      <c r="BO228" s="226">
        <f t="shared" si="1218"/>
        <v>12.468876117394174</v>
      </c>
      <c r="BP228" s="126">
        <f t="shared" si="1247"/>
        <v>85262.880708713506</v>
      </c>
      <c r="BQ228" s="226">
        <f t="shared" si="1218"/>
        <v>9.7930247993013779</v>
      </c>
      <c r="BR228" s="126">
        <f t="shared" ref="BR228:BT228" si="1248">SUM(BR221:BR227)</f>
        <v>92087.292891392339</v>
      </c>
      <c r="BS228" s="226">
        <f t="shared" si="1218"/>
        <v>8.0039662347244871</v>
      </c>
      <c r="BT228" s="126">
        <f t="shared" si="1248"/>
        <v>98310.88626391688</v>
      </c>
      <c r="BU228" s="226">
        <f t="shared" si="1222"/>
        <v>6.7583628284791075</v>
      </c>
      <c r="BV228" s="43">
        <f t="shared" si="1223"/>
        <v>5.9319153171770278</v>
      </c>
      <c r="BW228" s="722"/>
      <c r="BX228" s="722"/>
      <c r="BY228"/>
      <c r="BZ228"/>
      <c r="CA228"/>
      <c r="CB228"/>
      <c r="CC228"/>
      <c r="CD228"/>
    </row>
    <row r="229" spans="1:82" s="616" customFormat="1" ht="12.75" hidden="1" customHeight="1" outlineLevel="1" x14ac:dyDescent="0.2">
      <c r="B229" s="819" t="s">
        <v>648</v>
      </c>
      <c r="C229" s="15"/>
      <c r="D229" s="623"/>
      <c r="E229" s="15"/>
      <c r="F229" s="623"/>
      <c r="G229" s="15"/>
      <c r="H229" s="623"/>
      <c r="I229" s="15"/>
      <c r="J229" s="623"/>
      <c r="K229" s="15"/>
      <c r="L229" s="623"/>
      <c r="M229" s="15"/>
      <c r="N229" s="620"/>
      <c r="O229" s="691"/>
      <c r="P229" s="9"/>
      <c r="Q229" s="691"/>
      <c r="R229" s="9"/>
      <c r="S229" s="691"/>
      <c r="T229" s="9"/>
      <c r="U229" s="691"/>
      <c r="V229" s="9"/>
      <c r="W229" s="691"/>
      <c r="X229" s="9"/>
      <c r="Y229" s="820">
        <f>Y228-(SUM(Y221:Y227))</f>
        <v>0</v>
      </c>
      <c r="Z229" s="9"/>
      <c r="AA229" s="820">
        <f>AA228-(SUM(AA221:AA227))</f>
        <v>0</v>
      </c>
      <c r="AB229" s="9"/>
      <c r="AC229" s="820">
        <f>AC228-(SUM(AC221:AC227))</f>
        <v>0</v>
      </c>
      <c r="AD229" s="9"/>
      <c r="AE229" s="820">
        <f>AE228-(SUM(AE221:AE227))</f>
        <v>0</v>
      </c>
      <c r="AF229" s="9"/>
      <c r="AG229" s="820">
        <f>AG228-(SUM(AG221:AG227))</f>
        <v>0</v>
      </c>
      <c r="AH229" s="9"/>
      <c r="AI229" s="820">
        <f>AI228-(SUM(AI221:AI227))</f>
        <v>0</v>
      </c>
      <c r="AJ229" s="9"/>
      <c r="AK229" s="820">
        <f>AK228-(SUM(AK221:AK227))</f>
        <v>0</v>
      </c>
      <c r="AL229" s="9"/>
      <c r="AM229" s="820">
        <f>AM228-(SUM(AM221:AM227))</f>
        <v>0</v>
      </c>
      <c r="AN229" s="9"/>
      <c r="AO229" s="820">
        <f>AO228-(SUM(AO221:AO227))</f>
        <v>0</v>
      </c>
      <c r="AP229" s="9"/>
      <c r="AQ229" s="820">
        <f t="shared" ref="AQ229:AW229" si="1249">AQ228-(SUM(AQ221:AQ227))</f>
        <v>0</v>
      </c>
      <c r="AR229" s="9"/>
      <c r="AS229" s="820">
        <f t="shared" si="1249"/>
        <v>0</v>
      </c>
      <c r="AT229" s="9"/>
      <c r="AU229" s="820">
        <f t="shared" si="1249"/>
        <v>0</v>
      </c>
      <c r="AV229" s="9"/>
      <c r="AW229" s="820">
        <f t="shared" si="1249"/>
        <v>0</v>
      </c>
      <c r="AX229" s="9"/>
      <c r="AY229" s="356"/>
      <c r="AZ229" s="618"/>
      <c r="BA229" s="620"/>
      <c r="BB229" s="55"/>
      <c r="BC229" s="226"/>
      <c r="BD229" s="820">
        <f>Brazil_EopAUM _4Q14-BD228</f>
        <v>0</v>
      </c>
      <c r="BE229" s="226"/>
      <c r="BF229" s="820">
        <f>Brazil_EopAUM _4Q15-BF228</f>
        <v>0</v>
      </c>
      <c r="BG229" s="226"/>
      <c r="BH229" s="820">
        <f>Brazil_EopAUM _4Q16-BH228</f>
        <v>0</v>
      </c>
      <c r="BI229" s="226"/>
      <c r="BJ229" s="820">
        <f>Brazil_EopAUM _4Q17-BJ228</f>
        <v>0</v>
      </c>
      <c r="BK229" s="226"/>
      <c r="BL229" s="820">
        <f>Brazil_EopAUM _4Q17-BL228</f>
        <v>4651.7149766451184</v>
      </c>
      <c r="BM229" s="226"/>
      <c r="BN229" s="55"/>
      <c r="BO229" s="226"/>
      <c r="BP229" s="55"/>
      <c r="BQ229" s="226"/>
      <c r="BR229" s="55"/>
      <c r="BS229" s="226"/>
      <c r="BT229" s="55"/>
      <c r="BU229" s="226"/>
      <c r="BV229" s="43"/>
      <c r="BW229" s="621"/>
      <c r="BX229" s="621"/>
      <c r="BY229"/>
      <c r="BZ229"/>
      <c r="CA229"/>
      <c r="CB229"/>
      <c r="CC229"/>
      <c r="CD229"/>
    </row>
    <row r="230" spans="1:82" s="2" customFormat="1" ht="12.75" customHeight="1" collapsed="1" x14ac:dyDescent="0.2">
      <c r="A230" s="41"/>
      <c r="B230" s="42" t="s">
        <v>71</v>
      </c>
      <c r="C230" s="57"/>
      <c r="D230" s="9"/>
      <c r="E230" s="57"/>
      <c r="F230" s="9"/>
      <c r="G230" s="57"/>
      <c r="H230" s="9"/>
      <c r="I230" s="130"/>
      <c r="J230" s="9"/>
      <c r="K230" s="130"/>
      <c r="L230" s="9"/>
      <c r="M230" s="130"/>
      <c r="N230" s="9"/>
      <c r="O230" s="126"/>
      <c r="P230" s="43"/>
      <c r="Q230" s="126">
        <f>AVERAGE(O228,Q228)</f>
        <v>44650</v>
      </c>
      <c r="R230" s="43" t="str">
        <f t="shared" si="1204"/>
        <v>NA</v>
      </c>
      <c r="S230" s="126">
        <f t="shared" ref="S230:U230" si="1250">AVERAGE(Q228,S228)</f>
        <v>42100</v>
      </c>
      <c r="T230" s="43" t="str">
        <f t="shared" si="1204"/>
        <v>NA</v>
      </c>
      <c r="U230" s="126">
        <f t="shared" si="1250"/>
        <v>42050</v>
      </c>
      <c r="V230" s="43" t="str">
        <f t="shared" si="1204"/>
        <v>NA</v>
      </c>
      <c r="W230" s="126">
        <f t="shared" ref="W230:AO230" si="1251">AVERAGE(U228,W228)</f>
        <v>40350</v>
      </c>
      <c r="X230" s="43" t="str">
        <f t="shared" si="1204"/>
        <v>NA</v>
      </c>
      <c r="Y230" s="126">
        <f t="shared" si="1251"/>
        <v>37500</v>
      </c>
      <c r="Z230" s="43">
        <f t="shared" si="1204"/>
        <v>-16.013437849944012</v>
      </c>
      <c r="AA230" s="126">
        <f t="shared" si="1251"/>
        <v>42450</v>
      </c>
      <c r="AB230" s="43">
        <f t="shared" si="1204"/>
        <v>0.83135391923990198</v>
      </c>
      <c r="AC230" s="126">
        <f t="shared" si="1251"/>
        <v>51050</v>
      </c>
      <c r="AD230" s="43">
        <f t="shared" si="1204"/>
        <v>21.403091557669441</v>
      </c>
      <c r="AE230" s="126">
        <f t="shared" si="1251"/>
        <v>57400</v>
      </c>
      <c r="AF230" s="43">
        <f t="shared" si="1204"/>
        <v>42.255266418835191</v>
      </c>
      <c r="AG230" s="126">
        <f t="shared" si="1251"/>
        <v>60950</v>
      </c>
      <c r="AH230" s="9">
        <f t="shared" si="1205"/>
        <v>62.533333333333331</v>
      </c>
      <c r="AI230" s="126">
        <f t="shared" si="1251"/>
        <v>65750</v>
      </c>
      <c r="AJ230" s="9">
        <f t="shared" ref="AJ230" si="1252">IF(ISERROR(AI230/AA230),"NA",IF(OR(AI230/AA230&gt;2,AI230/AA230&lt;0.5),"NM",AI230/AA230*100-100))</f>
        <v>54.888103651354527</v>
      </c>
      <c r="AK230" s="126">
        <f t="shared" si="1251"/>
        <v>67850</v>
      </c>
      <c r="AL230" s="9">
        <f t="shared" ref="AL230" si="1253">IF(ISERROR(AK230/AC230),"NA",IF(OR(AK230/AC230&gt;2,AK230/AC230&lt;0.5),"NM",AK230/AC230*100-100))</f>
        <v>32.908912830558279</v>
      </c>
      <c r="AM230" s="126">
        <f t="shared" si="1251"/>
        <v>70850</v>
      </c>
      <c r="AN230" s="9">
        <f t="shared" ref="AN230" si="1254">IF(ISERROR(AM230/AE230),"NA",IF(OR(AM230/AE230&gt;2,AM230/AE230&lt;0.5),"NM",AM230/AE230*100-100))</f>
        <v>23.432055749128921</v>
      </c>
      <c r="AO230" s="126">
        <f t="shared" si="1251"/>
        <v>74050</v>
      </c>
      <c r="AP230" s="9">
        <f t="shared" ref="AP230" si="1255">IF(ISERROR(AO230/AG230),"NA",IF(OR(AO230/AG230&gt;2,AO230/AG230&lt;0.5),"NM",AO230/AG230*100-100))</f>
        <v>21.49302707136998</v>
      </c>
      <c r="AQ230" s="126">
        <f t="shared" ref="AQ230" si="1256">AVERAGE(AO228,AQ228)</f>
        <v>72773.119999999995</v>
      </c>
      <c r="AR230" s="9">
        <f t="shared" ref="AR230" si="1257">IF(ISERROR(AQ230/AI230),"NA",IF(OR(AQ230/AI230&gt;2,AQ230/AI230&lt;0.5),"NM",AQ230/AI230*100-100))</f>
        <v>10.68155133079847</v>
      </c>
      <c r="AS230" s="126">
        <f t="shared" ref="AS230" si="1258">AVERAGE(AQ228,AS228)</f>
        <v>71383.624960000016</v>
      </c>
      <c r="AT230" s="9">
        <f t="shared" ref="AT230" si="1259">IF(ISERROR(AS230/AK230),"NA",IF(OR(AS230/AK230&gt;2,AS230/AK230&lt;0.5),"NM",AS230/AK230*100-100))</f>
        <v>5.2079955195283958</v>
      </c>
      <c r="AU230" s="126">
        <f t="shared" ref="AU230" si="1260">AVERAGE(AS228,AU228)</f>
        <v>70454.693959680008</v>
      </c>
      <c r="AV230" s="9">
        <f t="shared" ref="AV230" si="1261">IF(ISERROR(AU230/AM230),"NA",IF(OR(AU230/AM230&gt;2,AU230/AM230&lt;0.5),"NM",AU230/AM230*100-100))</f>
        <v>-0.5579478339026025</v>
      </c>
      <c r="AW230" s="126">
        <f t="shared" ref="AW230" si="1262">AVERAGE(AU228,AW228)</f>
        <v>69518.33151135745</v>
      </c>
      <c r="AX230" s="9">
        <f t="shared" ref="AX230" si="1263">IF(ISERROR(AW230/AO230),"NA",IF(OR(AW230/AO230&gt;2,AW230/AO230&lt;0.5),"NM",AW230/AO230*100-100))</f>
        <v>-6.1197413756145238</v>
      </c>
      <c r="AY230" s="287"/>
      <c r="AZ230" s="122"/>
      <c r="BA230" s="131"/>
      <c r="BB230" s="57"/>
      <c r="BC230" s="226" t="str">
        <f>IF(ISERROR(BB230/#REF!),"NA",IF(OR(BB230/#REF!&gt;2,BB230/#REF!&lt;0.5),"NM",BB230/#REF!*100-100))</f>
        <v>NA</v>
      </c>
      <c r="BD230" s="911"/>
      <c r="BE230" s="226" t="str">
        <f t="shared" si="1218"/>
        <v>NA</v>
      </c>
      <c r="BF230" s="55">
        <f>AVERAGE(S230,U230,W230,Y230)</f>
        <v>40500</v>
      </c>
      <c r="BG230" s="226" t="str">
        <f t="shared" si="1218"/>
        <v>NA</v>
      </c>
      <c r="BH230" s="55">
        <f>AVERAGE(AA230,AC230,AE230,AG230)</f>
        <v>52962.5</v>
      </c>
      <c r="BI230" s="226">
        <f t="shared" si="1218"/>
        <v>30.771604938271594</v>
      </c>
      <c r="BJ230" s="55">
        <f>AVERAGE(AI230,AK230,AM230,AO230)</f>
        <v>69625</v>
      </c>
      <c r="BK230" s="226">
        <f t="shared" si="1218"/>
        <v>31.460939343875395</v>
      </c>
      <c r="BL230" s="55">
        <f>AVERAGE(AQ230,AS230,AU230,AW230)</f>
        <v>71032.442607759367</v>
      </c>
      <c r="BM230" s="226">
        <f t="shared" si="1218"/>
        <v>2.0214615551301449</v>
      </c>
      <c r="BN230" s="126">
        <f t="shared" ref="BN230:BP230" si="1264">AVERAGE(BN221,BN228)</f>
        <v>73353.057583728558</v>
      </c>
      <c r="BO230" s="226">
        <f t="shared" si="1218"/>
        <v>3.2669789898449864</v>
      </c>
      <c r="BP230" s="126">
        <f t="shared" si="1264"/>
        <v>81460.35542640787</v>
      </c>
      <c r="BQ230" s="226">
        <f t="shared" si="1218"/>
        <v>11.052433408689581</v>
      </c>
      <c r="BR230" s="126">
        <f t="shared" ref="BR230:BT230" si="1265">AVERAGE(BR221,BR228)</f>
        <v>88675.08680005293</v>
      </c>
      <c r="BS230" s="226">
        <f t="shared" si="1218"/>
        <v>8.8567393744837233</v>
      </c>
      <c r="BT230" s="126">
        <f t="shared" si="1265"/>
        <v>95199.089577654609</v>
      </c>
      <c r="BU230" s="226">
        <f t="shared" ref="BU230" si="1266">IF(ISERROR(BT230/BR230),"NA",IF(OR(BT230/BR230&gt;2,BT230/BR230&lt;0.5),"NM",BT230/BR230*100-100))</f>
        <v>7.3571992010700455</v>
      </c>
      <c r="BV230" s="43">
        <f>IF(ISERROR(((BT230/BJ230)^0.2-1)*100),"NA",IF((((BT230/BJ230)^0.2-1)*100)&gt;100,"NM",IF((((BT230/BJ230)^0.2-1)*100)&lt;-50,"NM",((BT230/BJ230)^0.2-1)*100)))</f>
        <v>6.4568269316486626</v>
      </c>
      <c r="BW230" s="722"/>
      <c r="BX230" s="722"/>
      <c r="BY230"/>
      <c r="BZ230"/>
      <c r="CA230"/>
      <c r="CB230"/>
      <c r="CC230"/>
      <c r="CD230"/>
    </row>
    <row r="231" spans="1:82" s="2" customFormat="1" ht="12.75" customHeight="1" x14ac:dyDescent="0.2">
      <c r="A231" s="41"/>
      <c r="B231" s="42"/>
      <c r="C231" s="57"/>
      <c r="D231" s="9"/>
      <c r="E231" s="57"/>
      <c r="F231" s="9"/>
      <c r="G231" s="57"/>
      <c r="H231" s="9"/>
      <c r="I231" s="130"/>
      <c r="J231" s="9"/>
      <c r="K231" s="130"/>
      <c r="L231" s="9"/>
      <c r="M231" s="130"/>
      <c r="N231" s="9"/>
      <c r="O231" s="130"/>
      <c r="P231" s="43"/>
      <c r="Q231" s="130"/>
      <c r="R231" s="43"/>
      <c r="S231" s="130"/>
      <c r="T231" s="43"/>
      <c r="U231" s="130"/>
      <c r="V231" s="43"/>
      <c r="W231" s="130"/>
      <c r="X231" s="43"/>
      <c r="Y231" s="130"/>
      <c r="Z231" s="43"/>
      <c r="AA231" s="130"/>
      <c r="AB231" s="43"/>
      <c r="AC231" s="130"/>
      <c r="AD231" s="43"/>
      <c r="AE231" s="130"/>
      <c r="AF231" s="43"/>
      <c r="AG231" s="130"/>
      <c r="AH231" s="9"/>
      <c r="AI231" s="130"/>
      <c r="AJ231" s="9"/>
      <c r="AK231" s="130"/>
      <c r="AL231" s="9"/>
      <c r="AM231" s="130"/>
      <c r="AN231" s="9"/>
      <c r="AO231" s="130"/>
      <c r="AP231" s="9"/>
      <c r="AQ231" s="242"/>
      <c r="AR231" s="9"/>
      <c r="AS231" s="242"/>
      <c r="AT231" s="9"/>
      <c r="AU231" s="242"/>
      <c r="AV231" s="9"/>
      <c r="AW231" s="242"/>
      <c r="AX231" s="9"/>
      <c r="AY231" s="287"/>
      <c r="AZ231" s="122"/>
      <c r="BA231" s="131"/>
      <c r="BB231" s="57"/>
      <c r="BC231" s="9"/>
      <c r="BD231" s="911"/>
      <c r="BE231" s="9"/>
      <c r="BF231" s="55"/>
      <c r="BG231" s="9"/>
      <c r="BH231" s="55"/>
      <c r="BI231" s="9"/>
      <c r="BJ231" s="55"/>
      <c r="BK231" s="9"/>
      <c r="BL231" s="55"/>
      <c r="BM231" s="9"/>
      <c r="BN231" s="127"/>
      <c r="BO231" s="9"/>
      <c r="BP231" s="127"/>
      <c r="BQ231" s="9"/>
      <c r="BR231" s="127"/>
      <c r="BS231" s="9"/>
      <c r="BT231" s="127"/>
      <c r="BU231" s="9"/>
      <c r="BV231" s="43"/>
      <c r="BW231" s="722"/>
      <c r="BX231" s="722"/>
      <c r="BY231"/>
      <c r="BZ231"/>
      <c r="CA231"/>
      <c r="CB231"/>
      <c r="CC231"/>
      <c r="CD231"/>
    </row>
    <row r="232" spans="1:82" s="2" customFormat="1" ht="12.75" customHeight="1" x14ac:dyDescent="0.2">
      <c r="A232" s="41"/>
      <c r="B232" s="42" t="s">
        <v>72</v>
      </c>
      <c r="C232" s="57"/>
      <c r="D232" s="9"/>
      <c r="E232" s="57"/>
      <c r="F232" s="9"/>
      <c r="G232" s="57"/>
      <c r="H232" s="9"/>
      <c r="I232" s="130"/>
      <c r="J232" s="9"/>
      <c r="K232" s="130"/>
      <c r="L232" s="9"/>
      <c r="M232" s="130"/>
      <c r="N232" s="9"/>
      <c r="O232" s="126">
        <f>O222+O223</f>
        <v>1900</v>
      </c>
      <c r="P232" s="43" t="str">
        <f t="shared" si="1204"/>
        <v>NA</v>
      </c>
      <c r="Q232" s="126">
        <f>Q222+Q223</f>
        <v>2500</v>
      </c>
      <c r="R232" s="43" t="str">
        <f t="shared" si="1204"/>
        <v>NA</v>
      </c>
      <c r="S232" s="126">
        <f>S222+S223</f>
        <v>1800</v>
      </c>
      <c r="T232" s="43" t="str">
        <f t="shared" si="1204"/>
        <v>NA</v>
      </c>
      <c r="U232" s="126">
        <f>U222+U223</f>
        <v>2500</v>
      </c>
      <c r="V232" s="43" t="str">
        <f t="shared" si="1204"/>
        <v>NA</v>
      </c>
      <c r="W232" s="126">
        <f>W222+W223</f>
        <v>1200</v>
      </c>
      <c r="X232" s="43">
        <f t="shared" si="1204"/>
        <v>-36.842105263157897</v>
      </c>
      <c r="Y232" s="126">
        <f>Y222+Y223</f>
        <v>1400</v>
      </c>
      <c r="Z232" s="43">
        <f t="shared" si="1204"/>
        <v>-43.999999999999993</v>
      </c>
      <c r="AA232" s="126">
        <f>AA222+AA223</f>
        <v>1000</v>
      </c>
      <c r="AB232" s="43">
        <f t="shared" si="1204"/>
        <v>-44.444444444444443</v>
      </c>
      <c r="AC232" s="126">
        <f>AC222+AC223</f>
        <v>2900</v>
      </c>
      <c r="AD232" s="43">
        <f t="shared" si="1204"/>
        <v>15.999999999999986</v>
      </c>
      <c r="AE232" s="126">
        <f>AE222+AE223</f>
        <v>1800</v>
      </c>
      <c r="AF232" s="43">
        <f t="shared" si="1204"/>
        <v>50</v>
      </c>
      <c r="AG232" s="126">
        <f>AG222+AG223</f>
        <v>3000</v>
      </c>
      <c r="AH232" s="9" t="str">
        <f t="shared" ref="AH232" si="1267">IF(ISERROR(AG232/Y232),"NA",IF(OR(AG232/Y232&gt;2,AG232/Y232&lt;0.5),"NM",AG232/Y232*100-100))</f>
        <v>NM</v>
      </c>
      <c r="AI232" s="126">
        <f>AI222+AI223</f>
        <v>1500</v>
      </c>
      <c r="AJ232" s="9">
        <f t="shared" ref="AJ232" si="1268">IF(ISERROR(AI232/AA232),"NA",IF(OR(AI232/AA232&gt;2,AI232/AA232&lt;0.5),"NM",AI232/AA232*100-100))</f>
        <v>50</v>
      </c>
      <c r="AK232" s="126">
        <f>AK222+AK223</f>
        <v>700</v>
      </c>
      <c r="AL232" s="9" t="str">
        <f t="shared" ref="AL232" si="1269">IF(ISERROR(AK232/AC232),"NA",IF(OR(AK232/AC232&gt;2,AK232/AC232&lt;0.5),"NM",AK232/AC232*100-100))</f>
        <v>NM</v>
      </c>
      <c r="AM232" s="126">
        <f>AM222+AM223</f>
        <v>1700</v>
      </c>
      <c r="AN232" s="9">
        <f t="shared" ref="AN232" si="1270">IF(ISERROR(AM232/AE232),"NA",IF(OR(AM232/AE232&gt;2,AM232/AE232&lt;0.5),"NM",AM232/AE232*100-100))</f>
        <v>-5.5555555555555571</v>
      </c>
      <c r="AO232" s="126">
        <f>AO222+AO223</f>
        <v>2000</v>
      </c>
      <c r="AP232" s="9">
        <f t="shared" ref="AP232" si="1271">IF(ISERROR(AO232/AG232),"NA",IF(OR(AO232/AG232&gt;2,AO232/AG232&lt;0.5),"NM",AO232/AG232*100-100))</f>
        <v>-33.333333333333343</v>
      </c>
      <c r="AQ232" s="670">
        <f t="shared" ref="AQ232" si="1272">AO232</f>
        <v>2000</v>
      </c>
      <c r="AR232" s="9">
        <f t="shared" ref="AR232" si="1273">IF(ISERROR(AQ232/AI232),"NA",IF(OR(AQ232/AI232&gt;2,AQ232/AI232&lt;0.5),"NM",AQ232/AI232*100-100))</f>
        <v>33.333333333333314</v>
      </c>
      <c r="AS232" s="670">
        <f t="shared" ref="AS232" si="1274">AQ232</f>
        <v>2000</v>
      </c>
      <c r="AT232" s="9" t="str">
        <f t="shared" ref="AT232" si="1275">IF(ISERROR(AS232/AK232),"NA",IF(OR(AS232/AK232&gt;2,AS232/AK232&lt;0.5),"NM",AS232/AK232*100-100))</f>
        <v>NM</v>
      </c>
      <c r="AU232" s="670">
        <f t="shared" ref="AU232" si="1276">AS232</f>
        <v>2000</v>
      </c>
      <c r="AV232" s="9">
        <f t="shared" ref="AV232" si="1277">IF(ISERROR(AU232/AM232),"NA",IF(OR(AU232/AM232&gt;2,AU232/AM232&lt;0.5),"NM",AU232/AM232*100-100))</f>
        <v>17.64705882352942</v>
      </c>
      <c r="AW232" s="670">
        <f t="shared" ref="AW232" si="1278">AU232</f>
        <v>2000</v>
      </c>
      <c r="AX232" s="9">
        <f t="shared" ref="AX232" si="1279">IF(ISERROR(AW232/AO232),"NA",IF(OR(AW232/AO232&gt;2,AW232/AO232&lt;0.5),"NM",AW232/AO232*100-100))</f>
        <v>0</v>
      </c>
      <c r="AY232" s="287"/>
      <c r="AZ232" s="122"/>
      <c r="BA232" s="131"/>
      <c r="BB232" s="57"/>
      <c r="BC232" s="226" t="str">
        <f>IF(ISERROR(BB232/#REF!),"NA",IF(OR(BB232/#REF!&gt;2,BB232/#REF!&lt;0.5),"NM",BB232/#REF!*100-100))</f>
        <v>NA</v>
      </c>
      <c r="BD232" s="911"/>
      <c r="BE232" s="226" t="str">
        <f t="shared" si="1218"/>
        <v>NA</v>
      </c>
      <c r="BF232" s="55">
        <f>BF222+BF223</f>
        <v>6900</v>
      </c>
      <c r="BG232" s="226" t="str">
        <f t="shared" si="1218"/>
        <v>NA</v>
      </c>
      <c r="BH232" s="55">
        <f t="shared" ref="BH232" si="1280">BH222+BH223</f>
        <v>8700</v>
      </c>
      <c r="BI232" s="226">
        <f t="shared" si="1218"/>
        <v>26.08695652173914</v>
      </c>
      <c r="BJ232" s="55">
        <f t="shared" ref="BJ232" si="1281">BJ222+BJ223</f>
        <v>5900</v>
      </c>
      <c r="BK232" s="226">
        <f t="shared" si="1218"/>
        <v>-32.18390804597702</v>
      </c>
      <c r="BL232" s="55">
        <f t="shared" ref="BL232" si="1282">BL222+BL223</f>
        <v>8000</v>
      </c>
      <c r="BM232" s="226">
        <f t="shared" si="1218"/>
        <v>35.593220338983031</v>
      </c>
      <c r="BN232" s="127">
        <f>BL232*0.8</f>
        <v>6400</v>
      </c>
      <c r="BO232" s="226">
        <f t="shared" si="1218"/>
        <v>-20</v>
      </c>
      <c r="BP232" s="127">
        <f>BN232*0.8</f>
        <v>5120</v>
      </c>
      <c r="BQ232" s="226">
        <f t="shared" si="1218"/>
        <v>-20</v>
      </c>
      <c r="BR232" s="127">
        <f>BP232*0.8</f>
        <v>4096</v>
      </c>
      <c r="BS232" s="226">
        <f t="shared" si="1218"/>
        <v>-20</v>
      </c>
      <c r="BT232" s="127">
        <f>BR232*0.8</f>
        <v>3276.8</v>
      </c>
      <c r="BU232" s="226">
        <f t="shared" ref="BU232" si="1283">IF(ISERROR(BT232/BR232),"NA",IF(OR(BT232/BR232&gt;2,BT232/BR232&lt;0.5),"NM",BT232/BR232*100-100))</f>
        <v>-20</v>
      </c>
      <c r="BV232" s="43">
        <f>IF(ISERROR(((BT232/BJ232)^0.2-1)*100),"NA",IF((((BT232/BJ232)^0.2-1)*100)&gt;100,"NM",IF((((BT232/BJ232)^0.2-1)*100)&lt;-50,"NM",((BT232/BJ232)^0.2-1)*100)))</f>
        <v>-11.096351418413386</v>
      </c>
      <c r="BW232" s="722"/>
      <c r="BX232" s="722"/>
      <c r="BY232"/>
      <c r="BZ232"/>
      <c r="CA232"/>
      <c r="CB232"/>
      <c r="CC232"/>
      <c r="CD232"/>
    </row>
    <row r="233" spans="1:82" s="2" customFormat="1" ht="12.75" customHeight="1" x14ac:dyDescent="0.2">
      <c r="A233" s="41"/>
      <c r="B233" s="42"/>
      <c r="C233" s="57"/>
      <c r="D233" s="9"/>
      <c r="E233" s="57"/>
      <c r="F233" s="9"/>
      <c r="G233" s="57"/>
      <c r="H233" s="9"/>
      <c r="I233" s="130"/>
      <c r="J233" s="9"/>
      <c r="K233" s="130"/>
      <c r="L233" s="9"/>
      <c r="M233" s="130"/>
      <c r="N233" s="9"/>
      <c r="O233" s="126"/>
      <c r="P233" s="43"/>
      <c r="Q233" s="126"/>
      <c r="R233" s="43"/>
      <c r="S233" s="126"/>
      <c r="T233" s="43"/>
      <c r="U233" s="126"/>
      <c r="V233" s="43"/>
      <c r="W233" s="126"/>
      <c r="X233" s="43"/>
      <c r="Y233" s="126"/>
      <c r="Z233" s="43"/>
      <c r="AA233" s="126"/>
      <c r="AB233" s="43"/>
      <c r="AC233" s="126"/>
      <c r="AD233" s="43"/>
      <c r="AE233" s="126"/>
      <c r="AF233" s="43"/>
      <c r="AG233" s="126"/>
      <c r="AH233" s="9"/>
      <c r="AI233" s="126"/>
      <c r="AJ233" s="9"/>
      <c r="AK233" s="126"/>
      <c r="AL233" s="9"/>
      <c r="AM233" s="126"/>
      <c r="AN233" s="9"/>
      <c r="AO233" s="126"/>
      <c r="AP233" s="9"/>
      <c r="AQ233" s="127"/>
      <c r="AR233" s="9"/>
      <c r="AS233" s="127"/>
      <c r="AT233" s="9"/>
      <c r="AU233" s="127"/>
      <c r="AV233" s="9"/>
      <c r="AW233" s="127"/>
      <c r="AX233" s="9"/>
      <c r="AY233" s="287"/>
      <c r="AZ233" s="122"/>
      <c r="BA233" s="131"/>
      <c r="BB233" s="57"/>
      <c r="BC233" s="9"/>
      <c r="BD233" s="911"/>
      <c r="BE233" s="9"/>
      <c r="BF233" s="55"/>
      <c r="BG233" s="9"/>
      <c r="BH233" s="55"/>
      <c r="BI233" s="9"/>
      <c r="BJ233" s="55"/>
      <c r="BK233" s="9"/>
      <c r="BL233" s="55"/>
      <c r="BM233" s="9"/>
      <c r="BN233" s="127"/>
      <c r="BO233" s="9"/>
      <c r="BP233" s="127"/>
      <c r="BQ233" s="9"/>
      <c r="BR233" s="127"/>
      <c r="BS233" s="9"/>
      <c r="BT233" s="127"/>
      <c r="BU233" s="9"/>
      <c r="BV233" s="43"/>
      <c r="BW233" s="722"/>
      <c r="BX233" s="722"/>
      <c r="BY233"/>
      <c r="BZ233"/>
      <c r="CA233"/>
      <c r="CB233"/>
      <c r="CC233"/>
      <c r="CD233"/>
    </row>
    <row r="234" spans="1:82" s="2" customFormat="1" ht="12.75" customHeight="1" x14ac:dyDescent="0.2">
      <c r="A234" s="41"/>
      <c r="B234" s="42" t="s">
        <v>139</v>
      </c>
      <c r="C234" s="57"/>
      <c r="D234" s="9"/>
      <c r="E234" s="57"/>
      <c r="F234" s="9"/>
      <c r="G234" s="57"/>
      <c r="H234" s="9"/>
      <c r="I234" s="130"/>
      <c r="J234" s="9"/>
      <c r="K234" s="130"/>
      <c r="L234" s="9"/>
      <c r="M234" s="130"/>
      <c r="N234" s="9"/>
      <c r="O234" s="800">
        <f>O232/O221*400</f>
        <v>16.239316239316238</v>
      </c>
      <c r="P234" s="800" t="e">
        <f t="shared" ref="P234:AG234" si="1284">P232/P221*400</f>
        <v>#VALUE!</v>
      </c>
      <c r="Q234" s="800">
        <f t="shared" si="1284"/>
        <v>22.371364653243848</v>
      </c>
      <c r="R234" s="800" t="e">
        <f t="shared" si="1284"/>
        <v>#VALUE!</v>
      </c>
      <c r="S234" s="800">
        <f t="shared" si="1284"/>
        <v>16.143497757847534</v>
      </c>
      <c r="T234" s="800" t="e">
        <f t="shared" si="1284"/>
        <v>#VALUE!</v>
      </c>
      <c r="U234" s="800">
        <f t="shared" si="1284"/>
        <v>25.252525252525253</v>
      </c>
      <c r="V234" s="800" t="e">
        <f t="shared" si="1284"/>
        <v>#VALUE!</v>
      </c>
      <c r="W234" s="800">
        <f t="shared" si="1284"/>
        <v>10.786516853932584</v>
      </c>
      <c r="X234" s="800">
        <f t="shared" si="1284"/>
        <v>2998.6270022883255</v>
      </c>
      <c r="Y234" s="800">
        <f t="shared" si="1284"/>
        <v>15.469613259668508</v>
      </c>
      <c r="Z234" s="800">
        <f t="shared" si="1284"/>
        <v>925.55294117647088</v>
      </c>
      <c r="AA234" s="800">
        <f t="shared" si="1284"/>
        <v>10.309278350515463</v>
      </c>
      <c r="AB234" s="800">
        <f t="shared" si="1284"/>
        <v>1367.0498084291178</v>
      </c>
      <c r="AC234" s="800">
        <f t="shared" si="1284"/>
        <v>25.162689804772238</v>
      </c>
      <c r="AD234" s="800">
        <f t="shared" si="1284"/>
        <v>389.907692307692</v>
      </c>
      <c r="AE234" s="800">
        <f t="shared" si="1284"/>
        <v>12.857142857142856</v>
      </c>
      <c r="AF234" s="800">
        <f t="shared" si="1284"/>
        <v>773.91304347826099</v>
      </c>
      <c r="AG234" s="800">
        <f t="shared" si="1284"/>
        <v>20.408163265306122</v>
      </c>
      <c r="AH234" s="9">
        <f t="shared" ref="AH234:AH236" si="1285">IF(ISERROR(AG234/Y234),"NA",IF(OR(AG234/Y234&gt;2,AG234/Y234&lt;0.5),"NM",AG234/Y234*100-100))</f>
        <v>31.924198250728864</v>
      </c>
      <c r="AI234" s="800">
        <f t="shared" ref="AI234:AK234" si="1286">AI232/AI221*400</f>
        <v>9.5087163232963547</v>
      </c>
      <c r="AJ234" s="9">
        <f t="shared" ref="AJ234:AJ236" si="1287">IF(ISERROR(AI234/AA234),"NA",IF(OR(AI234/AA234&gt;2,AI234/AA234&lt;0.5),"NM",AI234/AA234*100-100))</f>
        <v>-7.765451664025349</v>
      </c>
      <c r="AK234" s="800">
        <f t="shared" si="1286"/>
        <v>4.0935672514619883</v>
      </c>
      <c r="AL234" s="9" t="str">
        <f t="shared" ref="AL234:AL236" si="1288">IF(ISERROR(AK234/AC234),"NA",IF(OR(AK234/AC234&gt;2,AK234/AC234&lt;0.5),"NM",AK234/AC234*100-100))</f>
        <v>NM</v>
      </c>
      <c r="AM234" s="800">
        <f t="shared" ref="AM234:AO234" si="1289">AM232/AM221*400</f>
        <v>10.104011887072808</v>
      </c>
      <c r="AN234" s="9">
        <f t="shared" ref="AN234:AN236" si="1290">IF(ISERROR(AM234/AE234),"NA",IF(OR(AM234/AE234&gt;2,AM234/AE234&lt;0.5),"NM",AM234/AE234*100-100))</f>
        <v>-21.413240878322597</v>
      </c>
      <c r="AO234" s="800">
        <f t="shared" si="1289"/>
        <v>10.75268817204301</v>
      </c>
      <c r="AP234" s="9">
        <f t="shared" ref="AP234:AP236" si="1291">IF(ISERROR(AO234/AG234),"NA",IF(OR(AO234/AG234&gt;2,AO234/AG234&lt;0.5),"NM",AO234/AG234*100-100))</f>
        <v>-47.311827956989248</v>
      </c>
      <c r="AQ234" s="800">
        <f t="shared" ref="AQ234:AW234" si="1292">AQ232/AQ221*400</f>
        <v>10.854816824966079</v>
      </c>
      <c r="AR234" s="9">
        <f t="shared" ref="AR234:AR236" si="1293">IF(ISERROR(AQ234/AI234),"NA",IF(OR(AQ234/AI234&gt;2,AQ234/AI234&lt;0.5),"NM",AQ234/AI234*100-100))</f>
        <v>14.156490275893276</v>
      </c>
      <c r="AS234" s="800">
        <f t="shared" si="1292"/>
        <v>11.134890287925993</v>
      </c>
      <c r="AT234" s="9" t="str">
        <f t="shared" ref="AT234:AT236" si="1294">IF(ISERROR(AS234/AK234),"NA",IF(OR(AS234/AK234&gt;2,AS234/AK234&lt;0.5),"NM",AS234/AK234*100-100))</f>
        <v>NM</v>
      </c>
      <c r="AU234" s="800">
        <f t="shared" si="1292"/>
        <v>11.280155216379635</v>
      </c>
      <c r="AV234" s="9">
        <f t="shared" ref="AV234:AV236" si="1295">IF(ISERROR(AU234/AM234),"NA",IF(OR(AU234/AM234&gt;2,AU234/AM234&lt;0.5),"NM",AU234/AM234*100-100))</f>
        <v>11.640359715051403</v>
      </c>
      <c r="AW234" s="800">
        <f t="shared" si="1292"/>
        <v>11.43046921315015</v>
      </c>
      <c r="AX234" s="9">
        <f t="shared" ref="AX234:AX236" si="1296">IF(ISERROR(AW234/AO234),"NA",IF(OR(AW234/AO234&gt;2,AW234/AO234&lt;0.5),"NM",AW234/AO234*100-100))</f>
        <v>6.303363682296407</v>
      </c>
      <c r="AY234" s="287"/>
      <c r="AZ234" s="122"/>
      <c r="BA234" s="131"/>
      <c r="BB234" s="57"/>
      <c r="BC234" s="226" t="str">
        <f>IF(ISERROR(BB234/#REF!),"NA",IF(OR(BB234/#REF!&gt;2,BB234/#REF!&lt;0.5),"NM",BB234/#REF!*100-100))</f>
        <v>NA</v>
      </c>
      <c r="BD234" s="911"/>
      <c r="BE234" s="226" t="str">
        <f t="shared" si="1218"/>
        <v>NA</v>
      </c>
      <c r="BF234" s="57">
        <f>BF232/BF221*100</f>
        <v>15.47085201793722</v>
      </c>
      <c r="BG234" s="57" t="e">
        <f t="shared" ref="BG234:BU234" si="1297">BG232/BG221*100</f>
        <v>#VALUE!</v>
      </c>
      <c r="BH234" s="57">
        <f t="shared" si="1297"/>
        <v>22.422680412371136</v>
      </c>
      <c r="BI234" s="57">
        <f t="shared" si="1297"/>
        <v>-200.59970014992496</v>
      </c>
      <c r="BJ234" s="57">
        <f t="shared" si="1297"/>
        <v>9.3502377179080813</v>
      </c>
      <c r="BK234" s="57">
        <f t="shared" si="1297"/>
        <v>-51.388297620736978</v>
      </c>
      <c r="BL234" s="57">
        <f t="shared" si="1297"/>
        <v>10.854816824966079</v>
      </c>
      <c r="BM234" s="57">
        <f t="shared" si="1297"/>
        <v>211.88039654621025</v>
      </c>
      <c r="BN234" s="57">
        <f t="shared" si="1297"/>
        <v>9.2688761173941749</v>
      </c>
      <c r="BO234" s="57">
        <f t="shared" si="1297"/>
        <v>316.8723809176866</v>
      </c>
      <c r="BP234" s="57">
        <f t="shared" si="1297"/>
        <v>6.5930247993013769</v>
      </c>
      <c r="BQ234" s="226">
        <f t="shared" si="1297"/>
        <v>-160.39938011814755</v>
      </c>
      <c r="BR234" s="57">
        <f t="shared" si="1297"/>
        <v>4.8039662347244692</v>
      </c>
      <c r="BS234" s="226">
        <f t="shared" si="1297"/>
        <v>-204.22699227134373</v>
      </c>
      <c r="BT234" s="57">
        <f t="shared" si="1297"/>
        <v>3.5583628284791202</v>
      </c>
      <c r="BU234" s="226">
        <f t="shared" si="1297"/>
        <v>-249.87611658369823</v>
      </c>
      <c r="BV234" s="43">
        <f>IF(ISERROR(((BT234/BJ234)^0.2-1)*100),"NA",IF((((BT234/BJ234)^0.2-1)*100)&gt;100,"NM",IF((((BT234/BJ234)^0.2-1)*100)&lt;-50,"NM",((BT234/BJ234)^0.2-1)*100)))</f>
        <v>-17.56995910797783</v>
      </c>
      <c r="BW234" s="722"/>
      <c r="BX234" s="722"/>
      <c r="BY234"/>
      <c r="BZ234"/>
      <c r="CA234"/>
      <c r="CB234"/>
      <c r="CC234"/>
      <c r="CD234"/>
    </row>
    <row r="235" spans="1:82" s="2" customFormat="1" ht="12.75" customHeight="1" x14ac:dyDescent="0.2">
      <c r="A235" s="41"/>
      <c r="B235" s="240" t="s">
        <v>77</v>
      </c>
      <c r="C235" s="57"/>
      <c r="D235" s="9"/>
      <c r="E235" s="57"/>
      <c r="F235" s="9"/>
      <c r="G235" s="57"/>
      <c r="H235" s="9"/>
      <c r="I235" s="130"/>
      <c r="J235" s="9"/>
      <c r="K235" s="130"/>
      <c r="L235" s="9"/>
      <c r="M235" s="130"/>
      <c r="N235" s="9"/>
      <c r="O235" s="643">
        <f>O224/O221*400</f>
        <v>8.5470085470085468</v>
      </c>
      <c r="P235" s="643" t="e">
        <f t="shared" ref="P235:AG235" si="1298">P224/P221*400</f>
        <v>#VALUE!</v>
      </c>
      <c r="Q235" s="643">
        <f t="shared" si="1298"/>
        <v>8.9485458612975393</v>
      </c>
      <c r="R235" s="643" t="e">
        <f t="shared" si="1298"/>
        <v>#VALUE!</v>
      </c>
      <c r="S235" s="643">
        <f t="shared" si="1298"/>
        <v>9.8654708520179373</v>
      </c>
      <c r="T235" s="643" t="e">
        <f t="shared" si="1298"/>
        <v>#VALUE!</v>
      </c>
      <c r="U235" s="643">
        <f t="shared" si="1298"/>
        <v>13.131313131313133</v>
      </c>
      <c r="V235" s="643" t="e">
        <f t="shared" si="1298"/>
        <v>#VALUE!</v>
      </c>
      <c r="W235" s="643">
        <f t="shared" si="1298"/>
        <v>5.393258426966292</v>
      </c>
      <c r="X235" s="643">
        <f t="shared" si="1298"/>
        <v>3255.652173913039</v>
      </c>
      <c r="Y235" s="643">
        <f t="shared" si="1298"/>
        <v>13.259668508287293</v>
      </c>
      <c r="Z235" s="643">
        <f t="shared" si="1298"/>
        <v>-420.70588235294133</v>
      </c>
      <c r="AA235" s="643">
        <f t="shared" si="1298"/>
        <v>17.525773195876287</v>
      </c>
      <c r="AB235" s="643">
        <f t="shared" si="1298"/>
        <v>-1677.7429467084623</v>
      </c>
      <c r="AC235" s="643">
        <f t="shared" si="1298"/>
        <v>13.882863340563992</v>
      </c>
      <c r="AD235" s="643">
        <f t="shared" si="1298"/>
        <v>562.36686390532554</v>
      </c>
      <c r="AE235" s="643">
        <f t="shared" si="1298"/>
        <v>12.857142857142856</v>
      </c>
      <c r="AF235" s="643" t="e">
        <f t="shared" si="1298"/>
        <v>#VALUE!</v>
      </c>
      <c r="AG235" s="643">
        <f t="shared" si="1298"/>
        <v>10.204081632653061</v>
      </c>
      <c r="AH235" s="9">
        <f t="shared" si="1285"/>
        <v>-23.044217687074834</v>
      </c>
      <c r="AI235" s="643">
        <f t="shared" ref="AI235:AK235" si="1299">AI224/AI221*400</f>
        <v>15.213946117274169</v>
      </c>
      <c r="AJ235" s="9">
        <f t="shared" si="1287"/>
        <v>-13.191013330847383</v>
      </c>
      <c r="AK235" s="643">
        <f t="shared" si="1299"/>
        <v>5.8479532163742682</v>
      </c>
      <c r="AL235" s="9" t="str">
        <f t="shared" si="1288"/>
        <v>NM</v>
      </c>
      <c r="AM235" s="643">
        <f t="shared" ref="AM235:AO235" si="1300">AM224/AM221*400</f>
        <v>13.670133729569093</v>
      </c>
      <c r="AN235" s="9">
        <f t="shared" si="1290"/>
        <v>6.3232623410929563</v>
      </c>
      <c r="AO235" s="643">
        <f t="shared" si="1300"/>
        <v>4.3010752688172049</v>
      </c>
      <c r="AP235" s="9" t="str">
        <f t="shared" si="1291"/>
        <v>NM</v>
      </c>
      <c r="AQ235" s="643">
        <f t="shared" ref="AQ235:AW235" si="1301">AQ224/AQ221*400</f>
        <v>-1.92</v>
      </c>
      <c r="AR235" s="9" t="str">
        <f t="shared" si="1293"/>
        <v>NM</v>
      </c>
      <c r="AS235" s="643">
        <f t="shared" si="1301"/>
        <v>3.2</v>
      </c>
      <c r="AT235" s="9">
        <f t="shared" si="1294"/>
        <v>-45.279999999999987</v>
      </c>
      <c r="AU235" s="643">
        <f t="shared" si="1301"/>
        <v>3.2</v>
      </c>
      <c r="AV235" s="9" t="str">
        <f t="shared" si="1295"/>
        <v>NM</v>
      </c>
      <c r="AW235" s="643">
        <f t="shared" si="1301"/>
        <v>3.2</v>
      </c>
      <c r="AX235" s="9">
        <f t="shared" si="1296"/>
        <v>-25.600000000000009</v>
      </c>
      <c r="AY235" s="287"/>
      <c r="AZ235" s="122"/>
      <c r="BA235" s="131"/>
      <c r="BB235" s="57"/>
      <c r="BC235" s="226" t="str">
        <f>IF(ISERROR(BB235/#REF!),"NA",IF(OR(BB235/#REF!&gt;2,BB235/#REF!&lt;0.5),"NM",BB235/#REF!*100-100))</f>
        <v>NA</v>
      </c>
      <c r="BD235" s="911"/>
      <c r="BE235" s="226" t="str">
        <f t="shared" si="1218"/>
        <v>NA</v>
      </c>
      <c r="BF235" s="57">
        <f>BF224/BF221*100</f>
        <v>9.4170403587443943</v>
      </c>
      <c r="BG235" s="226" t="str">
        <f t="shared" si="1218"/>
        <v>NA</v>
      </c>
      <c r="BH235" s="57">
        <f t="shared" ref="BH235:BP235" si="1302">BH224/BH221*100</f>
        <v>17.010309278350515</v>
      </c>
      <c r="BI235" s="226">
        <f t="shared" si="1218"/>
        <v>80.633284241531669</v>
      </c>
      <c r="BJ235" s="57">
        <f t="shared" ref="BJ235" si="1303">BJ224/BJ221*100</f>
        <v>10.301109350237718</v>
      </c>
      <c r="BK235" s="226">
        <f t="shared" si="1218"/>
        <v>-39.441963213754015</v>
      </c>
      <c r="BL235" s="57">
        <f t="shared" ref="BL235" si="1304">BL224/BL221*100</f>
        <v>1.8294233695452924</v>
      </c>
      <c r="BM235" s="226" t="str">
        <f t="shared" si="1218"/>
        <v>NM</v>
      </c>
      <c r="BN235" s="57">
        <f t="shared" si="1302"/>
        <v>3.2</v>
      </c>
      <c r="BO235" s="226">
        <f t="shared" si="1218"/>
        <v>74.918504555638634</v>
      </c>
      <c r="BP235" s="57">
        <f t="shared" si="1302"/>
        <v>3.2</v>
      </c>
      <c r="BQ235" s="226">
        <f t="shared" si="1218"/>
        <v>0</v>
      </c>
      <c r="BR235" s="57">
        <f t="shared" ref="BR235:BT235" si="1305">BR224/BR221*100</f>
        <v>3.2</v>
      </c>
      <c r="BS235" s="226">
        <f t="shared" si="1218"/>
        <v>0</v>
      </c>
      <c r="BT235" s="57">
        <f t="shared" si="1305"/>
        <v>3.2</v>
      </c>
      <c r="BU235" s="226">
        <f t="shared" ref="BU235" si="1306">IF(ISERROR(BT235/BR235),"NA",IF(OR(BT235/BR235&gt;2,BT235/BR235&lt;0.5),"NM",BT235/BR235*100-100))</f>
        <v>0</v>
      </c>
      <c r="BV235" s="43">
        <f>IF(ISERROR(((BT235/BJ235)^0.2-1)*100),"NA",IF((((BT235/BJ235)^0.2-1)*100)&gt;100,"NM",IF((((BT235/BJ235)^0.2-1)*100)&lt;-50,"NM",((BT235/BJ235)^0.2-1)*100)))</f>
        <v>-20.849585019126526</v>
      </c>
      <c r="BW235" s="722"/>
      <c r="BX235" s="722"/>
      <c r="BY235"/>
      <c r="BZ235"/>
      <c r="CA235"/>
      <c r="CB235"/>
      <c r="CC235"/>
      <c r="CD235"/>
    </row>
    <row r="236" spans="1:82" s="2" customFormat="1" ht="12.75" customHeight="1" x14ac:dyDescent="0.2">
      <c r="A236" s="41"/>
      <c r="B236" s="240" t="s">
        <v>105</v>
      </c>
      <c r="C236" s="57"/>
      <c r="D236" s="9"/>
      <c r="E236" s="57"/>
      <c r="F236" s="9"/>
      <c r="G236" s="57"/>
      <c r="H236" s="9"/>
      <c r="I236" s="130"/>
      <c r="J236" s="9"/>
      <c r="K236" s="130"/>
      <c r="L236" s="9"/>
      <c r="M236" s="130"/>
      <c r="N236" s="9"/>
      <c r="O236" s="130">
        <f>(O235/4)/O$31*100</f>
        <v>356.12535612535612</v>
      </c>
      <c r="P236" s="43" t="str">
        <f t="shared" si="1204"/>
        <v>NA</v>
      </c>
      <c r="Q236" s="130">
        <f t="shared" ref="Q236:W236" si="1307">(Q235/4)/Q$31*100</f>
        <v>50.844010575554201</v>
      </c>
      <c r="R236" s="43" t="str">
        <f t="shared" si="1204"/>
        <v>NA</v>
      </c>
      <c r="S236" s="130">
        <f t="shared" si="1307"/>
        <v>616.59192825112109</v>
      </c>
      <c r="T236" s="43" t="str">
        <f t="shared" si="1204"/>
        <v>NA</v>
      </c>
      <c r="U236" s="130">
        <f t="shared" si="1307"/>
        <v>820.70707070707078</v>
      </c>
      <c r="V236" s="43" t="str">
        <f t="shared" si="1204"/>
        <v>NA</v>
      </c>
      <c r="W236" s="130">
        <f t="shared" si="1307"/>
        <v>-17.796633655317031</v>
      </c>
      <c r="X236" s="43" t="str">
        <f t="shared" si="1204"/>
        <v>NM</v>
      </c>
      <c r="Y236" s="130">
        <f t="shared" ref="Y236:AA236" si="1308">(Y235/4)/Y$31*100</f>
        <v>53.091060829216673</v>
      </c>
      <c r="Z236" s="43">
        <f t="shared" si="1204"/>
        <v>4.4194984389033465</v>
      </c>
      <c r="AA236" s="130">
        <f t="shared" si="1308"/>
        <v>566.79792509461311</v>
      </c>
      <c r="AB236" s="43">
        <f t="shared" si="1204"/>
        <v>-8.0756819664736526</v>
      </c>
      <c r="AC236" s="130">
        <f t="shared" ref="AC236:AE236" si="1309">(AC235/4)/AC$31*100</f>
        <v>275.84363843008276</v>
      </c>
      <c r="AD236" s="43" t="str">
        <f t="shared" si="1204"/>
        <v>NM</v>
      </c>
      <c r="AE236" s="130">
        <f t="shared" si="1309"/>
        <v>103.48289711323559</v>
      </c>
      <c r="AF236" s="43" t="str">
        <f t="shared" si="1204"/>
        <v>NM</v>
      </c>
      <c r="AG236" s="130">
        <f t="shared" ref="AG236:AI236" si="1310">(AG235/4)/AG$31*100</f>
        <v>78.391336041248337</v>
      </c>
      <c r="AH236" s="9">
        <f t="shared" si="1285"/>
        <v>47.654491767300698</v>
      </c>
      <c r="AI236" s="130">
        <f t="shared" si="1310"/>
        <v>68.733170496154216</v>
      </c>
      <c r="AJ236" s="9" t="str">
        <f t="shared" si="1287"/>
        <v>NM</v>
      </c>
      <c r="AK236" s="130">
        <f t="shared" ref="AK236:AM236" si="1311">(AK235/4)/AK$31*100</f>
        <v>56.230319388214113</v>
      </c>
      <c r="AL236" s="9" t="str">
        <f t="shared" si="1288"/>
        <v>NM</v>
      </c>
      <c r="AM236" s="130">
        <f t="shared" si="1311"/>
        <v>94.931484233118695</v>
      </c>
      <c r="AN236" s="9">
        <f t="shared" si="1290"/>
        <v>-8.2636001877291534</v>
      </c>
      <c r="AO236" s="130">
        <f t="shared" ref="AO236" si="1312">(AO235/4)/AO$31*100</f>
        <v>16.801075268817208</v>
      </c>
      <c r="AP236" s="9" t="str">
        <f t="shared" si="1291"/>
        <v>NM</v>
      </c>
      <c r="AQ236" s="669">
        <v>40</v>
      </c>
      <c r="AR236" s="9">
        <f t="shared" si="1293"/>
        <v>-41.803935841664554</v>
      </c>
      <c r="AS236" s="669">
        <v>40</v>
      </c>
      <c r="AT236" s="9">
        <f t="shared" si="1294"/>
        <v>-28.86399999999999</v>
      </c>
      <c r="AU236" s="669">
        <v>40</v>
      </c>
      <c r="AV236" s="9" t="str">
        <f t="shared" si="1295"/>
        <v>NM</v>
      </c>
      <c r="AW236" s="669">
        <v>40</v>
      </c>
      <c r="AX236" s="9" t="str">
        <f t="shared" si="1296"/>
        <v>NM</v>
      </c>
      <c r="AY236" s="287"/>
      <c r="AZ236" s="122"/>
      <c r="BA236" s="131"/>
      <c r="BB236" s="57"/>
      <c r="BC236" s="9"/>
      <c r="BD236" s="911"/>
      <c r="BE236" s="9"/>
      <c r="BF236" s="57"/>
      <c r="BG236" s="9"/>
      <c r="BH236" s="57"/>
      <c r="BI236" s="9"/>
      <c r="BJ236" s="57"/>
      <c r="BK236" s="9"/>
      <c r="BL236" s="57"/>
      <c r="BM236" s="9"/>
      <c r="BN236" s="242">
        <v>40</v>
      </c>
      <c r="BO236" s="9"/>
      <c r="BP236" s="242">
        <v>40</v>
      </c>
      <c r="BQ236" s="9"/>
      <c r="BR236" s="242">
        <v>40</v>
      </c>
      <c r="BS236" s="9"/>
      <c r="BT236" s="242">
        <v>40</v>
      </c>
      <c r="BU236" s="9"/>
      <c r="BV236" s="43" t="str">
        <f>IF(ISERROR(((BT236/BJ236)^0.2-1)*100),"NA",IF((((BT236/BJ236)^0.2-1)*100)&gt;100,"NM",IF((((BT236/BJ236)^0.2-1)*100)&lt;-50,"NM",((BT236/BJ236)^0.2-1)*100)))</f>
        <v>NA</v>
      </c>
      <c r="BW236" s="722"/>
      <c r="BX236" s="722"/>
      <c r="BY236"/>
      <c r="BZ236"/>
      <c r="CA236"/>
      <c r="CB236"/>
      <c r="CC236"/>
      <c r="CD236"/>
    </row>
    <row r="237" spans="1:82" s="2" customFormat="1" ht="12.75" customHeight="1" x14ac:dyDescent="0.2">
      <c r="A237" s="41"/>
      <c r="B237" s="240"/>
      <c r="C237" s="57"/>
      <c r="D237" s="9"/>
      <c r="E237" s="57"/>
      <c r="F237" s="9"/>
      <c r="G237" s="57"/>
      <c r="H237" s="9"/>
      <c r="I237" s="130"/>
      <c r="J237" s="9"/>
      <c r="K237" s="130"/>
      <c r="L237" s="9"/>
      <c r="M237" s="130"/>
      <c r="N237" s="9"/>
      <c r="O237" s="130"/>
      <c r="P237" s="9"/>
      <c r="Q237" s="130"/>
      <c r="R237" s="9"/>
      <c r="S237" s="130"/>
      <c r="T237" s="9"/>
      <c r="U237" s="130"/>
      <c r="V237" s="9"/>
      <c r="W237" s="130"/>
      <c r="X237" s="9"/>
      <c r="Y237" s="130"/>
      <c r="Z237" s="9"/>
      <c r="AA237" s="130"/>
      <c r="AB237" s="9"/>
      <c r="AC237" s="130"/>
      <c r="AD237" s="9"/>
      <c r="AE237" s="130"/>
      <c r="AF237" s="9"/>
      <c r="AG237" s="130"/>
      <c r="AH237" s="9"/>
      <c r="AI237" s="130"/>
      <c r="AJ237" s="9"/>
      <c r="AK237" s="130"/>
      <c r="AL237" s="9"/>
      <c r="AM237" s="130"/>
      <c r="AN237" s="9"/>
      <c r="AO237" s="130"/>
      <c r="AP237" s="9"/>
      <c r="AQ237" s="242"/>
      <c r="AR237" s="9"/>
      <c r="AS237" s="242"/>
      <c r="AT237" s="9"/>
      <c r="AU237" s="242"/>
      <c r="AV237" s="9"/>
      <c r="AW237" s="242"/>
      <c r="AX237" s="9"/>
      <c r="AY237" s="287"/>
      <c r="AZ237" s="122"/>
      <c r="BA237" s="131"/>
      <c r="BB237" s="57"/>
      <c r="BC237" s="9"/>
      <c r="BD237" s="911"/>
      <c r="BE237" s="9"/>
      <c r="BF237" s="57"/>
      <c r="BG237" s="9"/>
      <c r="BH237" s="57"/>
      <c r="BI237" s="9"/>
      <c r="BJ237" s="57"/>
      <c r="BK237" s="9"/>
      <c r="BL237" s="57"/>
      <c r="BM237" s="9"/>
      <c r="BN237" s="242"/>
      <c r="BO237" s="9"/>
      <c r="BP237" s="242"/>
      <c r="BQ237" s="9"/>
      <c r="BR237" s="242"/>
      <c r="BS237" s="9"/>
      <c r="BT237" s="242"/>
      <c r="BU237" s="9"/>
      <c r="BV237" s="43"/>
      <c r="BW237" s="722"/>
      <c r="BX237" s="722"/>
      <c r="BY237"/>
      <c r="BZ237"/>
      <c r="CA237"/>
      <c r="CB237"/>
      <c r="CC237"/>
      <c r="CD237"/>
    </row>
    <row r="238" spans="1:82" s="2" customFormat="1" ht="12.75" customHeight="1" x14ac:dyDescent="0.2">
      <c r="A238" s="41"/>
      <c r="B238" s="730" t="s">
        <v>575</v>
      </c>
      <c r="C238" s="57"/>
      <c r="D238" s="9"/>
      <c r="E238" s="57"/>
      <c r="F238" s="9"/>
      <c r="G238" s="57"/>
      <c r="H238" s="9"/>
      <c r="I238" s="130"/>
      <c r="J238" s="9"/>
      <c r="K238" s="130"/>
      <c r="L238" s="9"/>
      <c r="M238" s="130"/>
      <c r="N238" s="9"/>
      <c r="O238" s="130"/>
      <c r="P238" s="9"/>
      <c r="Q238" s="130"/>
      <c r="R238" s="9"/>
      <c r="S238" s="130"/>
      <c r="T238" s="9"/>
      <c r="U238" s="130"/>
      <c r="V238" s="9"/>
      <c r="W238" s="130"/>
      <c r="X238" s="9"/>
      <c r="Y238" s="130"/>
      <c r="Z238" s="9"/>
      <c r="AA238" s="130"/>
      <c r="AB238" s="9"/>
      <c r="AC238" s="130"/>
      <c r="AD238" s="9"/>
      <c r="AE238" s="130"/>
      <c r="AF238" s="9"/>
      <c r="AG238" s="130"/>
      <c r="AH238" s="9"/>
      <c r="AI238" s="130"/>
      <c r="AJ238" s="9"/>
      <c r="AK238" s="130"/>
      <c r="AL238" s="9"/>
      <c r="AM238" s="130"/>
      <c r="AN238" s="9"/>
      <c r="AO238" s="130"/>
      <c r="AP238" s="9"/>
      <c r="AQ238" s="242"/>
      <c r="AR238" s="9"/>
      <c r="AS238" s="242"/>
      <c r="AT238" s="9"/>
      <c r="AU238" s="242"/>
      <c r="AV238" s="9"/>
      <c r="AW238" s="242"/>
      <c r="AX238" s="9"/>
      <c r="AY238" s="287"/>
      <c r="AZ238" s="122"/>
      <c r="BA238" s="131"/>
      <c r="BB238" s="57"/>
      <c r="BC238" s="9"/>
      <c r="BD238" s="911"/>
      <c r="BE238" s="9"/>
      <c r="BF238" s="57"/>
      <c r="BG238" s="9"/>
      <c r="BH238" s="57"/>
      <c r="BI238" s="9"/>
      <c r="BJ238" s="57"/>
      <c r="BK238" s="9"/>
      <c r="BL238" s="57"/>
      <c r="BM238" s="9"/>
      <c r="BN238" s="242"/>
      <c r="BO238" s="9"/>
      <c r="BP238" s="242"/>
      <c r="BQ238" s="9"/>
      <c r="BR238" s="242"/>
      <c r="BS238" s="9"/>
      <c r="BT238" s="242"/>
      <c r="BU238" s="9"/>
      <c r="BV238" s="43"/>
      <c r="BW238" s="722"/>
      <c r="BX238" s="722"/>
      <c r="BY238"/>
      <c r="BZ238"/>
      <c r="CA238"/>
      <c r="CB238"/>
      <c r="CC238"/>
      <c r="CD238"/>
    </row>
    <row r="239" spans="1:82" s="2" customFormat="1" ht="12.75" customHeight="1" x14ac:dyDescent="0.2">
      <c r="A239" s="41"/>
      <c r="B239" s="123" t="s">
        <v>314</v>
      </c>
      <c r="C239" s="57"/>
      <c r="D239" s="9"/>
      <c r="E239" s="57"/>
      <c r="F239" s="9"/>
      <c r="G239" s="57"/>
      <c r="H239" s="9"/>
      <c r="I239" s="130"/>
      <c r="J239" s="9"/>
      <c r="K239" s="130"/>
      <c r="L239" s="9"/>
      <c r="M239" s="130"/>
      <c r="N239" s="9"/>
      <c r="O239" s="670">
        <v>41300</v>
      </c>
      <c r="P239" s="43" t="str">
        <f t="shared" ref="P239:P254" si="1313">IF(ISERROR(O239/G239),"NA",IF(OR(O239/G239&gt;2,O239/G239&lt;0.5),"NM",O239/G239*100-100))</f>
        <v>NA</v>
      </c>
      <c r="Q239" s="126">
        <f>O246</f>
        <v>41000</v>
      </c>
      <c r="R239" s="43" t="str">
        <f t="shared" ref="R239:R254" si="1314">IF(ISERROR(Q239/I239),"NA",IF(OR(Q239/I239&gt;2,Q239/I239&lt;0.5),"NM",Q239/I239*100-100))</f>
        <v>NA</v>
      </c>
      <c r="S239" s="126">
        <f t="shared" ref="S239" si="1315">Q246</f>
        <v>40700</v>
      </c>
      <c r="T239" s="43" t="str">
        <f t="shared" ref="T239:T254" si="1316">IF(ISERROR(S239/K239),"NA",IF(OR(S239/K239&gt;2,S239/K239&lt;0.5),"NM",S239/K239*100-100))</f>
        <v>NA</v>
      </c>
      <c r="U239" s="126">
        <f t="shared" ref="U239" si="1317">S246</f>
        <v>41400</v>
      </c>
      <c r="V239" s="43" t="str">
        <f t="shared" ref="V239:V254" si="1318">IF(ISERROR(U239/M239),"NA",IF(OR(U239/M239&gt;2,U239/M239&lt;0.5),"NM",U239/M239*100-100))</f>
        <v>NA</v>
      </c>
      <c r="W239" s="126">
        <f>U246</f>
        <v>40800</v>
      </c>
      <c r="X239" s="43">
        <f t="shared" ref="X239:X254" si="1319">IF(ISERROR(W239/O239),"NA",IF(OR(W239/O239&gt;2,W239/O239&lt;0.5),"NM",W239/O239*100-100))</f>
        <v>-1.2106537530266337</v>
      </c>
      <c r="Y239" s="126">
        <f>W246</f>
        <v>37800</v>
      </c>
      <c r="Z239" s="43">
        <f t="shared" ref="Z239:Z254" si="1320">IF(ISERROR(Y239/Q239),"NA",IF(OR(Y239/Q239&gt;2,Y239/Q239&lt;0.5),"NM",Y239/Q239*100-100))</f>
        <v>-7.8048780487804805</v>
      </c>
      <c r="AA239" s="126">
        <f>Y246</f>
        <v>38200</v>
      </c>
      <c r="AB239" s="43">
        <f t="shared" ref="AB239:AB254" si="1321">IF(ISERROR(AA239/S239),"NA",IF(OR(AA239/S239&gt;2,AA239/S239&lt;0.5),"NM",AA239/S239*100-100))</f>
        <v>-6.14250614250615</v>
      </c>
      <c r="AC239" s="126">
        <f>AA246</f>
        <v>40700</v>
      </c>
      <c r="AD239" s="43">
        <f t="shared" ref="AD239:AD254" si="1322">IF(ISERROR(AC239/U239),"NA",IF(OR(AC239/U239&gt;2,AC239/U239&lt;0.5),"NM",AC239/U239*100-100))</f>
        <v>-1.690821256038646</v>
      </c>
      <c r="AE239" s="126">
        <f>AC246</f>
        <v>41500</v>
      </c>
      <c r="AF239" s="43">
        <f t="shared" ref="AF239:AF254" si="1323">IF(ISERROR(AE239/W239),"NA",IF(OR(AE239/W239&gt;2,AE239/W239&lt;0.5),"NM",AE239/W239*100-100))</f>
        <v>1.7156862745097925</v>
      </c>
      <c r="AG239" s="126">
        <f>AE246</f>
        <v>43200</v>
      </c>
      <c r="AH239" s="9">
        <f t="shared" ref="AH239:AH248" si="1324">IF(ISERROR(AG239/Y239),"NA",IF(OR(AG239/Y239&gt;2,AG239/Y239&lt;0.5),"NM",AG239/Y239*100-100))</f>
        <v>14.285714285714278</v>
      </c>
      <c r="AI239" s="126">
        <f>AG246</f>
        <v>41700</v>
      </c>
      <c r="AJ239" s="9">
        <f t="shared" ref="AJ239:AJ246" si="1325">IF(ISERROR(AI239/AA239),"NA",IF(OR(AI239/AA239&gt;2,AI239/AA239&lt;0.5),"NM",AI239/AA239*100-100))</f>
        <v>9.1623036649214527</v>
      </c>
      <c r="AK239" s="126">
        <f>AI246</f>
        <v>44200</v>
      </c>
      <c r="AL239" s="9">
        <f t="shared" ref="AL239:AL246" si="1326">IF(ISERROR(AK239/AC239),"NA",IF(OR(AK239/AC239&gt;2,AK239/AC239&lt;0.5),"NM",AK239/AC239*100-100))</f>
        <v>8.5995085995085958</v>
      </c>
      <c r="AM239" s="126">
        <f>AK246</f>
        <v>44200</v>
      </c>
      <c r="AN239" s="9">
        <f t="shared" ref="AN239:AN246" si="1327">IF(ISERROR(AM239/AE239),"NA",IF(OR(AM239/AE239&gt;2,AM239/AE239&lt;0.5),"NM",AM239/AE239*100-100))</f>
        <v>6.5060240963855449</v>
      </c>
      <c r="AO239" s="126">
        <f>AM246</f>
        <v>46300</v>
      </c>
      <c r="AP239" s="9">
        <f t="shared" ref="AP239:AP246" si="1328">IF(ISERROR(AO239/AG239),"NA",IF(OR(AO239/AG239&gt;2,AO239/AG239&lt;0.5),"NM",AO239/AG239*100-100))</f>
        <v>7.1759259259259238</v>
      </c>
      <c r="AQ239" s="126">
        <f t="shared" ref="AQ239" si="1329">AO246</f>
        <v>48500</v>
      </c>
      <c r="AR239" s="9">
        <f t="shared" ref="AR239:AR246" si="1330">IF(ISERROR(AQ239/AI239),"NA",IF(OR(AQ239/AI239&gt;2,AQ239/AI239&lt;0.5),"NM",AQ239/AI239*100-100))</f>
        <v>16.306954436450852</v>
      </c>
      <c r="AS239" s="126">
        <f t="shared" ref="AS239" si="1331">AQ246</f>
        <v>48367.199999999997</v>
      </c>
      <c r="AT239" s="9">
        <f t="shared" ref="AT239:AT246" si="1332">IF(ISERROR(AS239/AK239),"NA",IF(OR(AS239/AK239&gt;2,AS239/AK239&lt;0.5),"NM",AS239/AK239*100-100))</f>
        <v>9.428054298642536</v>
      </c>
      <c r="AU239" s="126">
        <f t="shared" ref="AU239" si="1333">AS246</f>
        <v>48854.137599999995</v>
      </c>
      <c r="AV239" s="9">
        <f t="shared" ref="AV239:AV246" si="1334">IF(ISERROR(AU239/AM239),"NA",IF(OR(AU239/AM239&gt;2,AU239/AM239&lt;0.5),"NM",AU239/AM239*100-100))</f>
        <v>10.529723076923062</v>
      </c>
      <c r="AW239" s="126">
        <f t="shared" ref="AW239" si="1335">AU246</f>
        <v>49344.970700799997</v>
      </c>
      <c r="AX239" s="9">
        <f t="shared" ref="AX239:AX246" si="1336">IF(ISERROR(AW239/AO239),"NA",IF(OR(AW239/AO239&gt;2,AW239/AO239&lt;0.5),"NM",AW239/AO239*100-100))</f>
        <v>6.5766105848811947</v>
      </c>
      <c r="AY239" s="287"/>
      <c r="AZ239" s="122"/>
      <c r="BA239" s="131"/>
      <c r="BB239" s="57"/>
      <c r="BC239" s="226" t="str">
        <f>IF(ISERROR(BB239/#REF!),"NA",IF(OR(BB239/#REF!&gt;2,BB239/#REF!&lt;0.5),"NM",BB239/#REF!*100-100))</f>
        <v>NA</v>
      </c>
      <c r="BD239" s="911"/>
      <c r="BE239" s="226" t="str">
        <f t="shared" ref="BE239:BE253" si="1337">IF(ISERROR(BD239/BB239),"NA",IF(OR(BD239/BB239&gt;2,BD239/BB239&lt;0.5),"NM",BD239/BB239*100-100))</f>
        <v>NA</v>
      </c>
      <c r="BF239" s="55">
        <f>Q246</f>
        <v>40700</v>
      </c>
      <c r="BG239" s="226" t="str">
        <f t="shared" ref="BG239:BG253" si="1338">IF(ISERROR(BF239/BD239),"NA",IF(OR(BF239/BD239&gt;2,BF239/BD239&lt;0.5),"NM",BF239/BD239*100-100))</f>
        <v>NA</v>
      </c>
      <c r="BH239" s="55">
        <f>BF246</f>
        <v>38200</v>
      </c>
      <c r="BI239" s="226">
        <f t="shared" ref="BI239:BS253" si="1339">IF(ISERROR(BH239/BF239),"NA",IF(OR(BH239/BF239&gt;2,BH239/BF239&lt;0.5),"NM",BH239/BF239*100-100))</f>
        <v>-6.14250614250615</v>
      </c>
      <c r="BJ239" s="55">
        <f>BH246</f>
        <v>41700</v>
      </c>
      <c r="BK239" s="226">
        <f t="shared" si="1339"/>
        <v>9.1623036649214527</v>
      </c>
      <c r="BL239" s="55">
        <f>BJ246</f>
        <v>48500</v>
      </c>
      <c r="BM239" s="226">
        <f t="shared" si="1339"/>
        <v>16.306954436450852</v>
      </c>
      <c r="BN239" s="126">
        <f>BL246</f>
        <v>49839.7304664064</v>
      </c>
      <c r="BO239" s="226">
        <f t="shared" si="1339"/>
        <v>2.7623308585698965</v>
      </c>
      <c r="BP239" s="126">
        <f t="shared" ref="BP239" si="1340">BN246</f>
        <v>51850.601841331401</v>
      </c>
      <c r="BQ239" s="226">
        <f t="shared" si="1339"/>
        <v>4.0346754609365263</v>
      </c>
      <c r="BR239" s="126">
        <f t="shared" ref="BR239" si="1341">BP246</f>
        <v>53942.461100254004</v>
      </c>
      <c r="BS239" s="226">
        <f t="shared" si="1339"/>
        <v>4.034397257960336</v>
      </c>
      <c r="BT239" s="126">
        <f t="shared" ref="BT239" si="1342">BR246</f>
        <v>56118.565455462129</v>
      </c>
      <c r="BU239" s="226">
        <f t="shared" ref="BU239:BU246" si="1343">IF(ISERROR(BT239/BR239),"NA",IF(OR(BT239/BR239&gt;2,BT239/BR239&lt;0.5),"NM",BT239/BR239*100-100))</f>
        <v>4.0341213782659082</v>
      </c>
      <c r="BV239" s="43">
        <f t="shared" ref="BV239:BV246" si="1344">IF(ISERROR(((BT239/BJ239)^0.2-1)*100),"NA",IF((((BT239/BJ239)^0.2-1)*100)&gt;100,"NM",IF((((BT239/BJ239)^0.2-1)*100)&lt;-50,"NM",((BT239/BJ239)^0.2-1)*100)))</f>
        <v>6.1192327043363637</v>
      </c>
      <c r="BW239" s="722"/>
      <c r="BX239" s="722"/>
      <c r="BY239"/>
      <c r="BZ239"/>
      <c r="CA239"/>
      <c r="CB239"/>
      <c r="CC239"/>
      <c r="CD239"/>
    </row>
    <row r="240" spans="1:82" s="2" customFormat="1" ht="12.75" customHeight="1" x14ac:dyDescent="0.2">
      <c r="A240" s="41"/>
      <c r="B240" s="123" t="s">
        <v>490</v>
      </c>
      <c r="C240" s="57"/>
      <c r="D240" s="9"/>
      <c r="E240" s="57"/>
      <c r="F240" s="9"/>
      <c r="G240" s="57"/>
      <c r="H240" s="9"/>
      <c r="I240" s="130"/>
      <c r="J240" s="9"/>
      <c r="K240" s="130"/>
      <c r="L240" s="9"/>
      <c r="M240" s="130"/>
      <c r="N240" s="9"/>
      <c r="O240" s="670">
        <v>1500</v>
      </c>
      <c r="P240" s="43" t="str">
        <f t="shared" si="1313"/>
        <v>NA</v>
      </c>
      <c r="Q240" s="670">
        <v>1800</v>
      </c>
      <c r="R240" s="43" t="str">
        <f t="shared" si="1314"/>
        <v>NA</v>
      </c>
      <c r="S240" s="670">
        <v>1300</v>
      </c>
      <c r="T240" s="43" t="str">
        <f t="shared" si="1316"/>
        <v>NA</v>
      </c>
      <c r="U240" s="670">
        <v>1600</v>
      </c>
      <c r="V240" s="43" t="str">
        <f t="shared" si="1318"/>
        <v>NA</v>
      </c>
      <c r="W240" s="670">
        <v>1400</v>
      </c>
      <c r="X240" s="43">
        <f t="shared" si="1319"/>
        <v>-6.6666666666666714</v>
      </c>
      <c r="Y240" s="670">
        <v>1300</v>
      </c>
      <c r="Z240" s="43">
        <f t="shared" si="1320"/>
        <v>-27.777777777777786</v>
      </c>
      <c r="AA240" s="670">
        <v>1200</v>
      </c>
      <c r="AB240" s="43">
        <f t="shared" si="1321"/>
        <v>-7.6923076923076934</v>
      </c>
      <c r="AC240" s="670">
        <v>1400</v>
      </c>
      <c r="AD240" s="43">
        <f t="shared" si="1322"/>
        <v>-12.5</v>
      </c>
      <c r="AE240" s="670">
        <v>1400</v>
      </c>
      <c r="AF240" s="43">
        <f t="shared" si="1323"/>
        <v>0</v>
      </c>
      <c r="AG240" s="670">
        <v>1400</v>
      </c>
      <c r="AH240" s="9">
        <f t="shared" si="1324"/>
        <v>7.6923076923076934</v>
      </c>
      <c r="AI240" s="670">
        <v>1300</v>
      </c>
      <c r="AJ240" s="9">
        <f t="shared" si="1325"/>
        <v>8.3333333333333286</v>
      </c>
      <c r="AK240" s="670">
        <v>1400</v>
      </c>
      <c r="AL240" s="9">
        <f t="shared" si="1326"/>
        <v>0</v>
      </c>
      <c r="AM240" s="670">
        <v>1500</v>
      </c>
      <c r="AN240" s="9">
        <f t="shared" si="1327"/>
        <v>7.1428571428571388</v>
      </c>
      <c r="AO240" s="670">
        <v>1500</v>
      </c>
      <c r="AP240" s="9">
        <f t="shared" si="1328"/>
        <v>7.1428571428571388</v>
      </c>
      <c r="AQ240" s="670">
        <f t="shared" ref="AQ240" si="1345">AO240</f>
        <v>1500</v>
      </c>
      <c r="AR240" s="9">
        <f t="shared" si="1330"/>
        <v>15.384615384615373</v>
      </c>
      <c r="AS240" s="670">
        <f t="shared" ref="AS240" si="1346">AQ240</f>
        <v>1500</v>
      </c>
      <c r="AT240" s="9">
        <f t="shared" si="1332"/>
        <v>7.1428571428571388</v>
      </c>
      <c r="AU240" s="670">
        <f t="shared" ref="AU240" si="1347">AS240</f>
        <v>1500</v>
      </c>
      <c r="AV240" s="9">
        <f t="shared" si="1334"/>
        <v>0</v>
      </c>
      <c r="AW240" s="670">
        <f t="shared" ref="AW240" si="1348">AU240</f>
        <v>1500</v>
      </c>
      <c r="AX240" s="9">
        <f t="shared" si="1336"/>
        <v>0</v>
      </c>
      <c r="AY240" s="287"/>
      <c r="AZ240" s="122"/>
      <c r="BA240" s="131"/>
      <c r="BB240" s="57"/>
      <c r="BC240" s="226" t="str">
        <f>IF(ISERROR(BB240/#REF!),"NA",IF(OR(BB240/#REF!&gt;2,BB240/#REF!&lt;0.5),"NM",BB240/#REF!*100-100))</f>
        <v>NA</v>
      </c>
      <c r="BD240" s="911"/>
      <c r="BE240" s="226" t="str">
        <f t="shared" si="1337"/>
        <v>NA</v>
      </c>
      <c r="BF240" s="55">
        <f t="shared" ref="BF240:BF245" si="1349">S240+U240+W240+Y240</f>
        <v>5600</v>
      </c>
      <c r="BG240" s="226" t="str">
        <f t="shared" si="1338"/>
        <v>NA</v>
      </c>
      <c r="BH240" s="55">
        <f t="shared" ref="BH240:BH245" si="1350">AA240+AC240+AE240+AG240</f>
        <v>5400</v>
      </c>
      <c r="BI240" s="226">
        <f t="shared" si="1339"/>
        <v>-3.5714285714285694</v>
      </c>
      <c r="BJ240" s="55">
        <f t="shared" ref="BJ240:BJ245" si="1351">AI240+AK240+AM240+AO240</f>
        <v>5700</v>
      </c>
      <c r="BK240" s="226">
        <f t="shared" si="1339"/>
        <v>5.5555555555555571</v>
      </c>
      <c r="BL240" s="55">
        <f t="shared" ref="BL240:BL245" si="1352">AQ240+AS240+AU240+AW240</f>
        <v>6000</v>
      </c>
      <c r="BM240" s="226">
        <f t="shared" si="1339"/>
        <v>5.2631578947368354</v>
      </c>
      <c r="BN240" s="127">
        <f>BL240*1.02</f>
        <v>6120</v>
      </c>
      <c r="BO240" s="226">
        <f t="shared" si="1339"/>
        <v>2</v>
      </c>
      <c r="BP240" s="127">
        <f t="shared" ref="BP240" si="1353">BN240*1.02</f>
        <v>6242.4000000000005</v>
      </c>
      <c r="BQ240" s="226">
        <f t="shared" si="1339"/>
        <v>2</v>
      </c>
      <c r="BR240" s="127">
        <f t="shared" ref="BR240" si="1354">BP240*1.02</f>
        <v>6367.2480000000005</v>
      </c>
      <c r="BS240" s="226">
        <f t="shared" si="1339"/>
        <v>2</v>
      </c>
      <c r="BT240" s="127">
        <f t="shared" ref="BT240" si="1355">BR240*1.02</f>
        <v>6494.5929600000009</v>
      </c>
      <c r="BU240" s="226">
        <f t="shared" si="1343"/>
        <v>2</v>
      </c>
      <c r="BV240" s="43">
        <f t="shared" si="1344"/>
        <v>2.6444368530935458</v>
      </c>
      <c r="BW240" s="722"/>
      <c r="BX240" s="722"/>
      <c r="BY240"/>
      <c r="BZ240"/>
      <c r="CA240"/>
      <c r="CB240"/>
      <c r="CC240"/>
      <c r="CD240"/>
    </row>
    <row r="241" spans="1:82" s="2" customFormat="1" ht="12.75" customHeight="1" x14ac:dyDescent="0.2">
      <c r="A241" s="41"/>
      <c r="B241" s="123" t="s">
        <v>491</v>
      </c>
      <c r="C241" s="57"/>
      <c r="D241" s="9"/>
      <c r="E241" s="57"/>
      <c r="F241" s="9"/>
      <c r="G241" s="57"/>
      <c r="H241" s="9"/>
      <c r="I241" s="130"/>
      <c r="J241" s="9"/>
      <c r="K241" s="130"/>
      <c r="L241" s="9"/>
      <c r="M241" s="130"/>
      <c r="N241" s="9"/>
      <c r="O241" s="670">
        <v>-1000</v>
      </c>
      <c r="P241" s="43" t="str">
        <f t="shared" si="1313"/>
        <v>NA</v>
      </c>
      <c r="Q241" s="670">
        <v>-1200</v>
      </c>
      <c r="R241" s="43" t="str">
        <f t="shared" si="1314"/>
        <v>NA</v>
      </c>
      <c r="S241" s="670">
        <v>-900</v>
      </c>
      <c r="T241" s="43" t="str">
        <f t="shared" si="1316"/>
        <v>NA</v>
      </c>
      <c r="U241" s="670">
        <v>-1100</v>
      </c>
      <c r="V241" s="43" t="str">
        <f t="shared" si="1318"/>
        <v>NA</v>
      </c>
      <c r="W241" s="670">
        <v>-1200</v>
      </c>
      <c r="X241" s="43">
        <f t="shared" si="1319"/>
        <v>20</v>
      </c>
      <c r="Y241" s="670">
        <v>-1100</v>
      </c>
      <c r="Z241" s="43">
        <f t="shared" si="1320"/>
        <v>-8.3333333333333428</v>
      </c>
      <c r="AA241" s="670">
        <v>-1100</v>
      </c>
      <c r="AB241" s="43">
        <f t="shared" si="1321"/>
        <v>22.222222222222229</v>
      </c>
      <c r="AC241" s="670">
        <v>-1300</v>
      </c>
      <c r="AD241" s="43">
        <f t="shared" si="1322"/>
        <v>18.181818181818187</v>
      </c>
      <c r="AE241" s="670">
        <v>-1600</v>
      </c>
      <c r="AF241" s="43">
        <f t="shared" si="1323"/>
        <v>33.333333333333314</v>
      </c>
      <c r="AG241" s="670">
        <v>-2100</v>
      </c>
      <c r="AH241" s="9">
        <f t="shared" si="1324"/>
        <v>90.909090909090907</v>
      </c>
      <c r="AI241" s="670">
        <v>-1500</v>
      </c>
      <c r="AJ241" s="9">
        <f t="shared" si="1325"/>
        <v>36.363636363636346</v>
      </c>
      <c r="AK241" s="670">
        <v>-1800</v>
      </c>
      <c r="AL241" s="9">
        <f t="shared" si="1326"/>
        <v>38.461538461538453</v>
      </c>
      <c r="AM241" s="670">
        <v>-1600</v>
      </c>
      <c r="AN241" s="9">
        <f t="shared" si="1327"/>
        <v>0</v>
      </c>
      <c r="AO241" s="670">
        <v>-1400</v>
      </c>
      <c r="AP241" s="9">
        <f t="shared" si="1328"/>
        <v>-33.333333333333343</v>
      </c>
      <c r="AQ241" s="126">
        <f t="shared" ref="AQ241:AW241" si="1356">AQ250-AQ240</f>
        <v>-1400</v>
      </c>
      <c r="AR241" s="9">
        <f t="shared" si="1330"/>
        <v>-6.6666666666666714</v>
      </c>
      <c r="AS241" s="126">
        <f t="shared" si="1356"/>
        <v>-1400</v>
      </c>
      <c r="AT241" s="9">
        <f t="shared" si="1332"/>
        <v>-22.222222222222214</v>
      </c>
      <c r="AU241" s="126">
        <f t="shared" si="1356"/>
        <v>-1400</v>
      </c>
      <c r="AV241" s="9">
        <f t="shared" si="1334"/>
        <v>-12.5</v>
      </c>
      <c r="AW241" s="126">
        <f t="shared" si="1356"/>
        <v>-1400</v>
      </c>
      <c r="AX241" s="9">
        <f t="shared" si="1336"/>
        <v>0</v>
      </c>
      <c r="AY241" s="287"/>
      <c r="AZ241" s="122"/>
      <c r="BA241" s="131"/>
      <c r="BB241" s="57"/>
      <c r="BC241" s="226" t="str">
        <f>IF(ISERROR(BB241/#REF!),"NA",IF(OR(BB241/#REF!&gt;2,BB241/#REF!&lt;0.5),"NM",BB241/#REF!*100-100))</f>
        <v>NA</v>
      </c>
      <c r="BD241" s="911"/>
      <c r="BE241" s="226" t="str">
        <f t="shared" si="1337"/>
        <v>NA</v>
      </c>
      <c r="BF241" s="55">
        <f t="shared" si="1349"/>
        <v>-4300</v>
      </c>
      <c r="BG241" s="226" t="str">
        <f t="shared" si="1338"/>
        <v>NA</v>
      </c>
      <c r="BH241" s="55">
        <f t="shared" si="1350"/>
        <v>-6100</v>
      </c>
      <c r="BI241" s="226">
        <f t="shared" si="1339"/>
        <v>41.860465116279073</v>
      </c>
      <c r="BJ241" s="55">
        <f t="shared" si="1351"/>
        <v>-6300</v>
      </c>
      <c r="BK241" s="226">
        <f t="shared" si="1339"/>
        <v>3.2786885245901658</v>
      </c>
      <c r="BL241" s="55">
        <f t="shared" si="1352"/>
        <v>-5600</v>
      </c>
      <c r="BM241" s="226">
        <f t="shared" si="1339"/>
        <v>-11.111111111111114</v>
      </c>
      <c r="BN241" s="126">
        <f t="shared" ref="BN241" si="1357">BN250-BN240</f>
        <v>-5704</v>
      </c>
      <c r="BO241" s="226">
        <f t="shared" si="1339"/>
        <v>1.857142857142847</v>
      </c>
      <c r="BP241" s="126">
        <f t="shared" ref="BP241:BR241" si="1358">BP250-BP240</f>
        <v>-5809.76</v>
      </c>
      <c r="BQ241" s="226">
        <f t="shared" si="1339"/>
        <v>1.8541374474053214</v>
      </c>
      <c r="BR241" s="126">
        <f t="shared" si="1358"/>
        <v>-5917.3024000000005</v>
      </c>
      <c r="BS241" s="226">
        <f t="shared" si="1339"/>
        <v>1.8510644157417886</v>
      </c>
      <c r="BT241" s="126">
        <f t="shared" ref="BT241" si="1359">BT250-BT240</f>
        <v>-6026.6495360000008</v>
      </c>
      <c r="BU241" s="226">
        <f t="shared" si="1343"/>
        <v>1.8479220531301621</v>
      </c>
      <c r="BV241" s="43">
        <f t="shared" si="1344"/>
        <v>-0.88324446658839539</v>
      </c>
      <c r="BW241" s="722"/>
      <c r="BX241" s="722"/>
      <c r="BY241"/>
      <c r="BZ241"/>
      <c r="CA241"/>
      <c r="CB241"/>
      <c r="CC241"/>
      <c r="CD241"/>
    </row>
    <row r="242" spans="1:82" s="2" customFormat="1" ht="12.75" customHeight="1" x14ac:dyDescent="0.2">
      <c r="A242" s="41"/>
      <c r="B242" s="123" t="s">
        <v>149</v>
      </c>
      <c r="C242" s="57"/>
      <c r="D242" s="9"/>
      <c r="E242" s="57"/>
      <c r="F242" s="9"/>
      <c r="G242" s="57"/>
      <c r="H242" s="9"/>
      <c r="I242" s="130"/>
      <c r="J242" s="9"/>
      <c r="K242" s="130"/>
      <c r="L242" s="9"/>
      <c r="M242" s="130"/>
      <c r="N242" s="9"/>
      <c r="O242" s="670">
        <v>2700</v>
      </c>
      <c r="P242" s="43" t="str">
        <f t="shared" si="1313"/>
        <v>NA</v>
      </c>
      <c r="Q242" s="670">
        <v>100</v>
      </c>
      <c r="R242" s="43" t="str">
        <f t="shared" si="1314"/>
        <v>NA</v>
      </c>
      <c r="S242" s="670">
        <v>1400</v>
      </c>
      <c r="T242" s="43" t="str">
        <f t="shared" si="1316"/>
        <v>NA</v>
      </c>
      <c r="U242" s="670">
        <v>100</v>
      </c>
      <c r="V242" s="43" t="str">
        <f t="shared" si="1318"/>
        <v>NA</v>
      </c>
      <c r="W242" s="670">
        <v>0</v>
      </c>
      <c r="X242" s="43" t="str">
        <f t="shared" si="1319"/>
        <v>NM</v>
      </c>
      <c r="Y242" s="670">
        <v>1000</v>
      </c>
      <c r="Z242" s="43" t="str">
        <f t="shared" si="1320"/>
        <v>NM</v>
      </c>
      <c r="AA242" s="670">
        <v>300</v>
      </c>
      <c r="AB242" s="43" t="str">
        <f t="shared" si="1321"/>
        <v>NM</v>
      </c>
      <c r="AC242" s="670">
        <v>200</v>
      </c>
      <c r="AD242" s="43">
        <f t="shared" si="1322"/>
        <v>100</v>
      </c>
      <c r="AE242" s="670">
        <v>1800</v>
      </c>
      <c r="AF242" s="43" t="str">
        <f t="shared" si="1323"/>
        <v>NA</v>
      </c>
      <c r="AG242" s="670">
        <v>-100</v>
      </c>
      <c r="AH242" s="9" t="str">
        <f t="shared" si="1324"/>
        <v>NM</v>
      </c>
      <c r="AI242" s="670">
        <v>2100</v>
      </c>
      <c r="AJ242" s="9" t="str">
        <f t="shared" si="1325"/>
        <v>NM</v>
      </c>
      <c r="AK242" s="670">
        <v>700</v>
      </c>
      <c r="AL242" s="9" t="str">
        <f t="shared" si="1326"/>
        <v>NM</v>
      </c>
      <c r="AM242" s="670">
        <v>500</v>
      </c>
      <c r="AN242" s="9" t="str">
        <f t="shared" si="1327"/>
        <v>NM</v>
      </c>
      <c r="AO242" s="670">
        <v>300</v>
      </c>
      <c r="AP242" s="9" t="str">
        <f t="shared" si="1328"/>
        <v>NM</v>
      </c>
      <c r="AQ242" s="55">
        <f t="shared" ref="AQ242:AW242" si="1360">AQ239*(AQ254/100*AQ$31/100)</f>
        <v>-232.79999999999998</v>
      </c>
      <c r="AR242" s="9" t="str">
        <f t="shared" si="1330"/>
        <v>NM</v>
      </c>
      <c r="AS242" s="55">
        <f t="shared" si="1360"/>
        <v>386.93759999999997</v>
      </c>
      <c r="AT242" s="9">
        <f t="shared" si="1332"/>
        <v>-44.723200000000006</v>
      </c>
      <c r="AU242" s="55">
        <f t="shared" si="1360"/>
        <v>390.83310079999995</v>
      </c>
      <c r="AV242" s="9">
        <f t="shared" si="1334"/>
        <v>-21.833379840000006</v>
      </c>
      <c r="AW242" s="55">
        <f t="shared" si="1360"/>
        <v>394.75976560639998</v>
      </c>
      <c r="AX242" s="9">
        <f t="shared" si="1336"/>
        <v>31.58658853546666</v>
      </c>
      <c r="AY242" s="287"/>
      <c r="AZ242" s="122"/>
      <c r="BA242" s="131"/>
      <c r="BB242" s="57"/>
      <c r="BC242" s="226" t="str">
        <f>IF(ISERROR(BB242/#REF!),"NA",IF(OR(BB242/#REF!&gt;2,BB242/#REF!&lt;0.5),"NM",BB242/#REF!*100-100))</f>
        <v>NA</v>
      </c>
      <c r="BD242" s="911"/>
      <c r="BE242" s="226" t="str">
        <f t="shared" si="1337"/>
        <v>NA</v>
      </c>
      <c r="BF242" s="55">
        <f t="shared" si="1349"/>
        <v>2500</v>
      </c>
      <c r="BG242" s="226" t="str">
        <f t="shared" si="1338"/>
        <v>NA</v>
      </c>
      <c r="BH242" s="55">
        <f t="shared" si="1350"/>
        <v>2200</v>
      </c>
      <c r="BI242" s="226">
        <f t="shared" si="1339"/>
        <v>-12</v>
      </c>
      <c r="BJ242" s="55">
        <f t="shared" si="1351"/>
        <v>3600</v>
      </c>
      <c r="BK242" s="226">
        <f t="shared" si="1339"/>
        <v>63.636363636363654</v>
      </c>
      <c r="BL242" s="55">
        <f t="shared" si="1352"/>
        <v>939.73046640639996</v>
      </c>
      <c r="BM242" s="226" t="str">
        <f t="shared" si="1339"/>
        <v>NM</v>
      </c>
      <c r="BN242" s="55">
        <f t="shared" ref="BN242:BP242" si="1361">BN239*(BN254/100*BN$31/100)</f>
        <v>1594.8713749250048</v>
      </c>
      <c r="BO242" s="226">
        <f t="shared" si="1339"/>
        <v>69.715831500484711</v>
      </c>
      <c r="BP242" s="55">
        <f t="shared" si="1361"/>
        <v>1659.2192589226049</v>
      </c>
      <c r="BQ242" s="226">
        <f t="shared" si="1339"/>
        <v>4.0346754609365263</v>
      </c>
      <c r="BR242" s="55">
        <f t="shared" ref="BR242:BT242" si="1362">BR239*(BR254/100*BR$31/100)</f>
        <v>1726.1587552081282</v>
      </c>
      <c r="BS242" s="226">
        <f t="shared" si="1339"/>
        <v>4.034397257960336</v>
      </c>
      <c r="BT242" s="55">
        <f t="shared" si="1362"/>
        <v>1795.7940945747882</v>
      </c>
      <c r="BU242" s="226">
        <f t="shared" si="1343"/>
        <v>4.0341213782659082</v>
      </c>
      <c r="BV242" s="43">
        <f t="shared" si="1344"/>
        <v>-12.985664562655884</v>
      </c>
      <c r="BW242" s="722"/>
      <c r="BX242" s="722"/>
      <c r="BY242"/>
      <c r="BZ242"/>
      <c r="CA242"/>
      <c r="CB242"/>
      <c r="CC242"/>
      <c r="CD242"/>
    </row>
    <row r="243" spans="1:82" s="2" customFormat="1" ht="12.75" customHeight="1" x14ac:dyDescent="0.2">
      <c r="A243" s="41"/>
      <c r="B243" s="123" t="s">
        <v>150</v>
      </c>
      <c r="C243" s="57"/>
      <c r="D243" s="9"/>
      <c r="E243" s="57"/>
      <c r="F243" s="9"/>
      <c r="G243" s="57"/>
      <c r="H243" s="9"/>
      <c r="I243" s="130"/>
      <c r="J243" s="9"/>
      <c r="K243" s="130"/>
      <c r="L243" s="9"/>
      <c r="M243" s="130"/>
      <c r="N243" s="9"/>
      <c r="O243" s="670">
        <v>0</v>
      </c>
      <c r="P243" s="43" t="str">
        <f t="shared" si="1313"/>
        <v>NA</v>
      </c>
      <c r="Q243" s="670">
        <v>0</v>
      </c>
      <c r="R243" s="43" t="str">
        <f t="shared" si="1314"/>
        <v>NA</v>
      </c>
      <c r="S243" s="670">
        <v>0</v>
      </c>
      <c r="T243" s="43" t="str">
        <f t="shared" si="1316"/>
        <v>NA</v>
      </c>
      <c r="U243" s="670">
        <v>0</v>
      </c>
      <c r="V243" s="43" t="str">
        <f t="shared" si="1318"/>
        <v>NA</v>
      </c>
      <c r="W243" s="670">
        <v>0</v>
      </c>
      <c r="X243" s="43" t="str">
        <f t="shared" si="1319"/>
        <v>NA</v>
      </c>
      <c r="Y243" s="670">
        <v>0</v>
      </c>
      <c r="Z243" s="43" t="str">
        <f t="shared" si="1320"/>
        <v>NA</v>
      </c>
      <c r="AA243" s="670">
        <v>0</v>
      </c>
      <c r="AB243" s="43" t="str">
        <f t="shared" si="1321"/>
        <v>NA</v>
      </c>
      <c r="AC243" s="670">
        <v>0</v>
      </c>
      <c r="AD243" s="43" t="str">
        <f t="shared" si="1322"/>
        <v>NA</v>
      </c>
      <c r="AE243" s="670">
        <v>0</v>
      </c>
      <c r="AF243" s="43" t="str">
        <f t="shared" si="1323"/>
        <v>NA</v>
      </c>
      <c r="AG243" s="670">
        <v>0</v>
      </c>
      <c r="AH243" s="9" t="str">
        <f t="shared" si="1324"/>
        <v>NA</v>
      </c>
      <c r="AI243" s="670">
        <v>0</v>
      </c>
      <c r="AJ243" s="9" t="str">
        <f t="shared" si="1325"/>
        <v>NA</v>
      </c>
      <c r="AK243" s="670">
        <v>0</v>
      </c>
      <c r="AL243" s="9" t="str">
        <f t="shared" si="1326"/>
        <v>NA</v>
      </c>
      <c r="AM243" s="670">
        <v>0</v>
      </c>
      <c r="AN243" s="9" t="str">
        <f t="shared" si="1327"/>
        <v>NA</v>
      </c>
      <c r="AO243" s="670">
        <v>0</v>
      </c>
      <c r="AP243" s="9" t="str">
        <f t="shared" si="1328"/>
        <v>NA</v>
      </c>
      <c r="AQ243" s="670">
        <v>0</v>
      </c>
      <c r="AR243" s="9" t="str">
        <f t="shared" si="1330"/>
        <v>NA</v>
      </c>
      <c r="AS243" s="670">
        <v>0</v>
      </c>
      <c r="AT243" s="9" t="str">
        <f t="shared" si="1332"/>
        <v>NA</v>
      </c>
      <c r="AU243" s="670">
        <v>0</v>
      </c>
      <c r="AV243" s="9" t="str">
        <f t="shared" si="1334"/>
        <v>NA</v>
      </c>
      <c r="AW243" s="670">
        <v>0</v>
      </c>
      <c r="AX243" s="9" t="str">
        <f t="shared" si="1336"/>
        <v>NA</v>
      </c>
      <c r="AY243" s="287"/>
      <c r="AZ243" s="122"/>
      <c r="BA243" s="131"/>
      <c r="BB243" s="57"/>
      <c r="BC243" s="226" t="str">
        <f>IF(ISERROR(BB243/#REF!),"NA",IF(OR(BB243/#REF!&gt;2,BB243/#REF!&lt;0.5),"NM",BB243/#REF!*100-100))</f>
        <v>NA</v>
      </c>
      <c r="BD243" s="911"/>
      <c r="BE243" s="226" t="str">
        <f t="shared" si="1337"/>
        <v>NA</v>
      </c>
      <c r="BF243" s="55">
        <f t="shared" si="1349"/>
        <v>0</v>
      </c>
      <c r="BG243" s="226" t="str">
        <f t="shared" si="1338"/>
        <v>NA</v>
      </c>
      <c r="BH243" s="55">
        <f t="shared" si="1350"/>
        <v>0</v>
      </c>
      <c r="BI243" s="226" t="str">
        <f t="shared" si="1339"/>
        <v>NA</v>
      </c>
      <c r="BJ243" s="55">
        <f t="shared" si="1351"/>
        <v>0</v>
      </c>
      <c r="BK243" s="226" t="str">
        <f t="shared" si="1339"/>
        <v>NA</v>
      </c>
      <c r="BL243" s="55">
        <f t="shared" si="1352"/>
        <v>0</v>
      </c>
      <c r="BM243" s="226" t="str">
        <f t="shared" si="1339"/>
        <v>NA</v>
      </c>
      <c r="BN243" s="127">
        <v>0</v>
      </c>
      <c r="BO243" s="226" t="str">
        <f t="shared" si="1339"/>
        <v>NA</v>
      </c>
      <c r="BP243" s="127">
        <v>0</v>
      </c>
      <c r="BQ243" s="226" t="str">
        <f t="shared" si="1339"/>
        <v>NA</v>
      </c>
      <c r="BR243" s="127">
        <v>0</v>
      </c>
      <c r="BS243" s="226" t="str">
        <f t="shared" si="1339"/>
        <v>NA</v>
      </c>
      <c r="BT243" s="127">
        <v>0</v>
      </c>
      <c r="BU243" s="226" t="str">
        <f t="shared" si="1343"/>
        <v>NA</v>
      </c>
      <c r="BV243" s="43" t="str">
        <f t="shared" si="1344"/>
        <v>NA</v>
      </c>
      <c r="BW243" s="722"/>
      <c r="BX243" s="722"/>
      <c r="BY243"/>
      <c r="BZ243"/>
      <c r="CA243"/>
      <c r="CB243"/>
      <c r="CC243"/>
      <c r="CD243"/>
    </row>
    <row r="244" spans="1:82" s="2" customFormat="1" ht="12.75" customHeight="1" x14ac:dyDescent="0.2">
      <c r="A244" s="41"/>
      <c r="B244" s="123" t="s">
        <v>151</v>
      </c>
      <c r="C244" s="57"/>
      <c r="D244" s="9"/>
      <c r="E244" s="57"/>
      <c r="F244" s="9"/>
      <c r="G244" s="57"/>
      <c r="H244" s="9"/>
      <c r="I244" s="130"/>
      <c r="J244" s="9"/>
      <c r="K244" s="130"/>
      <c r="L244" s="9"/>
      <c r="M244" s="130"/>
      <c r="N244" s="9"/>
      <c r="O244" s="670">
        <v>-500</v>
      </c>
      <c r="P244" s="43" t="str">
        <f t="shared" si="1313"/>
        <v>NA</v>
      </c>
      <c r="Q244" s="670">
        <v>0</v>
      </c>
      <c r="R244" s="43" t="str">
        <f t="shared" si="1314"/>
        <v>NA</v>
      </c>
      <c r="S244" s="670">
        <v>0</v>
      </c>
      <c r="T244" s="43" t="str">
        <f t="shared" si="1316"/>
        <v>NA</v>
      </c>
      <c r="U244" s="670">
        <v>0</v>
      </c>
      <c r="V244" s="43" t="str">
        <f t="shared" si="1318"/>
        <v>NA</v>
      </c>
      <c r="W244" s="670">
        <v>100</v>
      </c>
      <c r="X244" s="43" t="str">
        <f t="shared" si="1319"/>
        <v>NM</v>
      </c>
      <c r="Y244" s="670">
        <v>-200</v>
      </c>
      <c r="Z244" s="43" t="str">
        <f t="shared" si="1320"/>
        <v>NA</v>
      </c>
      <c r="AA244" s="670">
        <v>-100</v>
      </c>
      <c r="AB244" s="43" t="str">
        <f t="shared" si="1321"/>
        <v>NA</v>
      </c>
      <c r="AC244" s="670">
        <v>100</v>
      </c>
      <c r="AD244" s="43" t="str">
        <f t="shared" si="1322"/>
        <v>NA</v>
      </c>
      <c r="AE244" s="670">
        <v>-100</v>
      </c>
      <c r="AF244" s="43" t="str">
        <f t="shared" si="1323"/>
        <v>NM</v>
      </c>
      <c r="AG244" s="670">
        <v>0</v>
      </c>
      <c r="AH244" s="9" t="str">
        <f t="shared" si="1324"/>
        <v>NM</v>
      </c>
      <c r="AI244" s="670">
        <v>0</v>
      </c>
      <c r="AJ244" s="9" t="str">
        <f t="shared" si="1325"/>
        <v>NM</v>
      </c>
      <c r="AK244" s="670">
        <v>-100</v>
      </c>
      <c r="AL244" s="9" t="str">
        <f t="shared" si="1326"/>
        <v>NM</v>
      </c>
      <c r="AM244" s="670">
        <v>100</v>
      </c>
      <c r="AN244" s="9" t="str">
        <f t="shared" si="1327"/>
        <v>NM</v>
      </c>
      <c r="AO244" s="670">
        <v>-100</v>
      </c>
      <c r="AP244" s="9" t="str">
        <f t="shared" si="1328"/>
        <v>NA</v>
      </c>
      <c r="AQ244" s="670">
        <v>0</v>
      </c>
      <c r="AR244" s="9" t="str">
        <f t="shared" si="1330"/>
        <v>NA</v>
      </c>
      <c r="AS244" s="670">
        <v>0</v>
      </c>
      <c r="AT244" s="9" t="str">
        <f t="shared" si="1332"/>
        <v>NM</v>
      </c>
      <c r="AU244" s="670">
        <v>0</v>
      </c>
      <c r="AV244" s="9" t="str">
        <f t="shared" si="1334"/>
        <v>NM</v>
      </c>
      <c r="AW244" s="670">
        <v>0</v>
      </c>
      <c r="AX244" s="9" t="str">
        <f t="shared" si="1336"/>
        <v>NM</v>
      </c>
      <c r="AY244" s="287"/>
      <c r="AZ244" s="122"/>
      <c r="BA244" s="131"/>
      <c r="BB244" s="57"/>
      <c r="BC244" s="226" t="str">
        <f>IF(ISERROR(BB244/#REF!),"NA",IF(OR(BB244/#REF!&gt;2,BB244/#REF!&lt;0.5),"NM",BB244/#REF!*100-100))</f>
        <v>NA</v>
      </c>
      <c r="BD244" s="911"/>
      <c r="BE244" s="226" t="str">
        <f t="shared" si="1337"/>
        <v>NA</v>
      </c>
      <c r="BF244" s="55">
        <f t="shared" si="1349"/>
        <v>-100</v>
      </c>
      <c r="BG244" s="226" t="str">
        <f t="shared" si="1338"/>
        <v>NA</v>
      </c>
      <c r="BH244" s="55">
        <f t="shared" si="1350"/>
        <v>-100</v>
      </c>
      <c r="BI244" s="226">
        <f t="shared" si="1339"/>
        <v>0</v>
      </c>
      <c r="BJ244" s="55">
        <f t="shared" si="1351"/>
        <v>-100</v>
      </c>
      <c r="BK244" s="226">
        <f t="shared" si="1339"/>
        <v>0</v>
      </c>
      <c r="BL244" s="55">
        <f t="shared" si="1352"/>
        <v>0</v>
      </c>
      <c r="BM244" s="226" t="str">
        <f t="shared" si="1339"/>
        <v>NM</v>
      </c>
      <c r="BN244" s="127">
        <v>0</v>
      </c>
      <c r="BO244" s="226" t="str">
        <f t="shared" si="1339"/>
        <v>NA</v>
      </c>
      <c r="BP244" s="127">
        <v>0</v>
      </c>
      <c r="BQ244" s="226" t="str">
        <f t="shared" si="1339"/>
        <v>NA</v>
      </c>
      <c r="BR244" s="127">
        <v>0</v>
      </c>
      <c r="BS244" s="226" t="str">
        <f t="shared" si="1339"/>
        <v>NA</v>
      </c>
      <c r="BT244" s="127">
        <v>0</v>
      </c>
      <c r="BU244" s="226" t="str">
        <f t="shared" si="1343"/>
        <v>NA</v>
      </c>
      <c r="BV244" s="43" t="str">
        <f t="shared" si="1344"/>
        <v>NM</v>
      </c>
      <c r="BW244" s="722"/>
      <c r="BX244" s="722"/>
      <c r="BY244"/>
      <c r="BZ244"/>
      <c r="CA244"/>
      <c r="CB244"/>
      <c r="CC244"/>
      <c r="CD244"/>
    </row>
    <row r="245" spans="1:82" s="2" customFormat="1" ht="12.75" customHeight="1" x14ac:dyDescent="0.2">
      <c r="A245" s="41"/>
      <c r="B245" s="123" t="s">
        <v>222</v>
      </c>
      <c r="C245" s="57"/>
      <c r="D245" s="9"/>
      <c r="E245" s="57"/>
      <c r="F245" s="9"/>
      <c r="G245" s="57"/>
      <c r="H245" s="9"/>
      <c r="I245" s="130"/>
      <c r="J245" s="9"/>
      <c r="K245" s="130"/>
      <c r="L245" s="9"/>
      <c r="M245" s="130"/>
      <c r="N245" s="9"/>
      <c r="O245" s="670">
        <v>-3000</v>
      </c>
      <c r="P245" s="43" t="str">
        <f t="shared" si="1313"/>
        <v>NA</v>
      </c>
      <c r="Q245" s="670">
        <v>-1000</v>
      </c>
      <c r="R245" s="43" t="str">
        <f t="shared" si="1314"/>
        <v>NA</v>
      </c>
      <c r="S245" s="670">
        <v>-1100</v>
      </c>
      <c r="T245" s="43" t="str">
        <f t="shared" si="1316"/>
        <v>NA</v>
      </c>
      <c r="U245" s="670">
        <v>-1200</v>
      </c>
      <c r="V245" s="43" t="str">
        <f t="shared" si="1318"/>
        <v>NA</v>
      </c>
      <c r="W245" s="670">
        <v>-3300</v>
      </c>
      <c r="X245" s="43">
        <f t="shared" si="1319"/>
        <v>10.000000000000014</v>
      </c>
      <c r="Y245" s="670">
        <v>-600</v>
      </c>
      <c r="Z245" s="43">
        <f t="shared" si="1320"/>
        <v>-40</v>
      </c>
      <c r="AA245" s="670">
        <v>2200</v>
      </c>
      <c r="AB245" s="43" t="str">
        <f t="shared" si="1321"/>
        <v>NM</v>
      </c>
      <c r="AC245" s="670">
        <v>400</v>
      </c>
      <c r="AD245" s="43" t="str">
        <f t="shared" si="1322"/>
        <v>NM</v>
      </c>
      <c r="AE245" s="670">
        <v>200</v>
      </c>
      <c r="AF245" s="43" t="str">
        <f t="shared" si="1323"/>
        <v>NM</v>
      </c>
      <c r="AG245" s="670">
        <v>-700</v>
      </c>
      <c r="AH245" s="9">
        <f t="shared" si="1324"/>
        <v>16.666666666666671</v>
      </c>
      <c r="AI245" s="670">
        <v>600</v>
      </c>
      <c r="AJ245" s="9" t="str">
        <f t="shared" si="1325"/>
        <v>NM</v>
      </c>
      <c r="AK245" s="670">
        <v>-200</v>
      </c>
      <c r="AL245" s="9" t="str">
        <f t="shared" si="1326"/>
        <v>NM</v>
      </c>
      <c r="AM245" s="670">
        <v>1600</v>
      </c>
      <c r="AN245" s="9" t="str">
        <f t="shared" si="1327"/>
        <v>NM</v>
      </c>
      <c r="AO245" s="670">
        <v>1900</v>
      </c>
      <c r="AP245" s="9" t="str">
        <f t="shared" si="1328"/>
        <v>NM</v>
      </c>
      <c r="AQ245" s="670">
        <v>0</v>
      </c>
      <c r="AR245" s="9" t="str">
        <f t="shared" si="1330"/>
        <v>NM</v>
      </c>
      <c r="AS245" s="670">
        <v>0</v>
      </c>
      <c r="AT245" s="9" t="str">
        <f t="shared" si="1332"/>
        <v>NM</v>
      </c>
      <c r="AU245" s="670">
        <v>0</v>
      </c>
      <c r="AV245" s="9" t="str">
        <f t="shared" si="1334"/>
        <v>NM</v>
      </c>
      <c r="AW245" s="670">
        <v>0</v>
      </c>
      <c r="AX245" s="9" t="str">
        <f t="shared" si="1336"/>
        <v>NM</v>
      </c>
      <c r="AY245" s="287"/>
      <c r="AZ245" s="122"/>
      <c r="BA245" s="131"/>
      <c r="BB245" s="57"/>
      <c r="BC245" s="226" t="str">
        <f>IF(ISERROR(BB245/#REF!),"NA",IF(OR(BB245/#REF!&gt;2,BB245/#REF!&lt;0.5),"NM",BB245/#REF!*100-100))</f>
        <v>NA</v>
      </c>
      <c r="BD245" s="911"/>
      <c r="BE245" s="226" t="str">
        <f t="shared" si="1337"/>
        <v>NA</v>
      </c>
      <c r="BF245" s="55">
        <f t="shared" si="1349"/>
        <v>-6200</v>
      </c>
      <c r="BG245" s="226" t="str">
        <f t="shared" si="1338"/>
        <v>NA</v>
      </c>
      <c r="BH245" s="55">
        <f t="shared" si="1350"/>
        <v>2100</v>
      </c>
      <c r="BI245" s="226" t="str">
        <f t="shared" si="1339"/>
        <v>NM</v>
      </c>
      <c r="BJ245" s="55">
        <f t="shared" si="1351"/>
        <v>3900</v>
      </c>
      <c r="BK245" s="226">
        <f t="shared" si="1339"/>
        <v>85.714285714285722</v>
      </c>
      <c r="BL245" s="55">
        <f t="shared" si="1352"/>
        <v>0</v>
      </c>
      <c r="BM245" s="226" t="str">
        <f t="shared" si="1339"/>
        <v>NM</v>
      </c>
      <c r="BN245" s="127">
        <v>0</v>
      </c>
      <c r="BO245" s="226" t="str">
        <f t="shared" si="1339"/>
        <v>NA</v>
      </c>
      <c r="BP245" s="127">
        <v>0</v>
      </c>
      <c r="BQ245" s="226" t="str">
        <f t="shared" si="1339"/>
        <v>NA</v>
      </c>
      <c r="BR245" s="127">
        <v>0</v>
      </c>
      <c r="BS245" s="226" t="str">
        <f t="shared" si="1339"/>
        <v>NA</v>
      </c>
      <c r="BT245" s="127">
        <v>0</v>
      </c>
      <c r="BU245" s="226" t="str">
        <f t="shared" si="1343"/>
        <v>NA</v>
      </c>
      <c r="BV245" s="43" t="str">
        <f t="shared" si="1344"/>
        <v>NM</v>
      </c>
      <c r="BW245" s="722"/>
      <c r="BX245" s="722"/>
      <c r="BY245"/>
      <c r="BZ245"/>
      <c r="CA245"/>
      <c r="CB245"/>
      <c r="CC245"/>
      <c r="CD245"/>
    </row>
    <row r="246" spans="1:82" s="2" customFormat="1" ht="12.75" customHeight="1" x14ac:dyDescent="0.2">
      <c r="A246" s="41"/>
      <c r="B246" s="123" t="s">
        <v>389</v>
      </c>
      <c r="C246" s="57"/>
      <c r="D246" s="9"/>
      <c r="E246" s="57"/>
      <c r="F246" s="9"/>
      <c r="G246" s="57"/>
      <c r="H246" s="9"/>
      <c r="I246" s="130"/>
      <c r="J246" s="9"/>
      <c r="K246" s="130"/>
      <c r="L246" s="9"/>
      <c r="M246" s="130"/>
      <c r="N246" s="9"/>
      <c r="O246" s="126">
        <f>SUM(O239:O245)</f>
        <v>41000</v>
      </c>
      <c r="P246" s="43" t="str">
        <f t="shared" si="1313"/>
        <v>NA</v>
      </c>
      <c r="Q246" s="126">
        <f>SUM(Q239:Q245)</f>
        <v>40700</v>
      </c>
      <c r="R246" s="43" t="str">
        <f t="shared" si="1314"/>
        <v>NA</v>
      </c>
      <c r="S246" s="126">
        <f t="shared" ref="S246" si="1363">SUM(S239:S245)</f>
        <v>41400</v>
      </c>
      <c r="T246" s="43" t="str">
        <f t="shared" si="1316"/>
        <v>NA</v>
      </c>
      <c r="U246" s="126">
        <f t="shared" ref="U246" si="1364">SUM(U239:U245)</f>
        <v>40800</v>
      </c>
      <c r="V246" s="43" t="str">
        <f t="shared" si="1318"/>
        <v>NA</v>
      </c>
      <c r="W246" s="126">
        <f>SUM(W239:W245)</f>
        <v>37800</v>
      </c>
      <c r="X246" s="43">
        <f t="shared" si="1319"/>
        <v>-7.8048780487804805</v>
      </c>
      <c r="Y246" s="126">
        <f>SUM(Y239:Y245)</f>
        <v>38200</v>
      </c>
      <c r="Z246" s="43">
        <f t="shared" si="1320"/>
        <v>-6.14250614250615</v>
      </c>
      <c r="AA246" s="126">
        <f>SUM(AA239:AA245)</f>
        <v>40700</v>
      </c>
      <c r="AB246" s="43">
        <f t="shared" si="1321"/>
        <v>-1.690821256038646</v>
      </c>
      <c r="AC246" s="126">
        <f>SUM(AC239:AC245)</f>
        <v>41500</v>
      </c>
      <c r="AD246" s="43">
        <f t="shared" si="1322"/>
        <v>1.7156862745097925</v>
      </c>
      <c r="AE246" s="126">
        <f>SUM(AE239:AE245)</f>
        <v>43200</v>
      </c>
      <c r="AF246" s="43">
        <f t="shared" si="1323"/>
        <v>14.285714285714278</v>
      </c>
      <c r="AG246" s="126">
        <f>SUM(AG239:AG245)</f>
        <v>41700</v>
      </c>
      <c r="AH246" s="9">
        <f t="shared" si="1324"/>
        <v>9.1623036649214527</v>
      </c>
      <c r="AI246" s="126">
        <f>SUM(AI239:AI245)</f>
        <v>44200</v>
      </c>
      <c r="AJ246" s="9">
        <f t="shared" si="1325"/>
        <v>8.5995085995085958</v>
      </c>
      <c r="AK246" s="126">
        <f>SUM(AK239:AK245)</f>
        <v>44200</v>
      </c>
      <c r="AL246" s="9">
        <f t="shared" si="1326"/>
        <v>6.5060240963855449</v>
      </c>
      <c r="AM246" s="126">
        <f>SUM(AM239:AM245)</f>
        <v>46300</v>
      </c>
      <c r="AN246" s="9">
        <f t="shared" si="1327"/>
        <v>7.1759259259259238</v>
      </c>
      <c r="AO246" s="126">
        <f>SUM(AO239:AO245)</f>
        <v>48500</v>
      </c>
      <c r="AP246" s="9">
        <f t="shared" si="1328"/>
        <v>16.306954436450852</v>
      </c>
      <c r="AQ246" s="126">
        <f t="shared" ref="AQ246" si="1365">SUM(AQ239:AQ245)</f>
        <v>48367.199999999997</v>
      </c>
      <c r="AR246" s="9">
        <f t="shared" si="1330"/>
        <v>9.428054298642536</v>
      </c>
      <c r="AS246" s="126">
        <f t="shared" ref="AS246" si="1366">SUM(AS239:AS245)</f>
        <v>48854.137599999995</v>
      </c>
      <c r="AT246" s="9">
        <f t="shared" si="1332"/>
        <v>10.529723076923062</v>
      </c>
      <c r="AU246" s="126">
        <f t="shared" ref="AU246" si="1367">SUM(AU239:AU245)</f>
        <v>49344.970700799997</v>
      </c>
      <c r="AV246" s="9">
        <f t="shared" si="1334"/>
        <v>6.5766105848811947</v>
      </c>
      <c r="AW246" s="126">
        <f t="shared" ref="AW246" si="1368">SUM(AW239:AW245)</f>
        <v>49839.7304664064</v>
      </c>
      <c r="AX246" s="9">
        <f t="shared" si="1336"/>
        <v>2.7623308585698965</v>
      </c>
      <c r="AY246" s="287"/>
      <c r="AZ246" s="122"/>
      <c r="BA246" s="131"/>
      <c r="BB246" s="57"/>
      <c r="BC246" s="226" t="str">
        <f>IF(ISERROR(BB246/#REF!),"NA",IF(OR(BB246/#REF!&gt;2,BB246/#REF!&lt;0.5),"NM",BB246/#REF!*100-100))</f>
        <v>NA</v>
      </c>
      <c r="BD246" s="908">
        <f>Q246</f>
        <v>40700</v>
      </c>
      <c r="BE246" s="226" t="str">
        <f t="shared" si="1337"/>
        <v>NA</v>
      </c>
      <c r="BF246" s="55">
        <f>SUM(BF239:BF245)</f>
        <v>38200</v>
      </c>
      <c r="BG246" s="226">
        <f t="shared" si="1338"/>
        <v>-6.14250614250615</v>
      </c>
      <c r="BH246" s="55">
        <f>SUM(BH239:BH245)</f>
        <v>41700</v>
      </c>
      <c r="BI246" s="226">
        <f t="shared" si="1339"/>
        <v>9.1623036649214527</v>
      </c>
      <c r="BJ246" s="55">
        <f>SUM(BJ239:BJ245)</f>
        <v>48500</v>
      </c>
      <c r="BK246" s="226">
        <f t="shared" si="1339"/>
        <v>16.306954436450852</v>
      </c>
      <c r="BL246" s="55">
        <f>SUM(BL239:BL245)</f>
        <v>49839.7304664064</v>
      </c>
      <c r="BM246" s="226">
        <f t="shared" si="1339"/>
        <v>2.7623308585698965</v>
      </c>
      <c r="BN246" s="126">
        <f t="shared" ref="BN246" si="1369">SUM(BN239:BN245)</f>
        <v>51850.601841331401</v>
      </c>
      <c r="BO246" s="226">
        <f t="shared" si="1339"/>
        <v>4.0346754609365263</v>
      </c>
      <c r="BP246" s="126">
        <f t="shared" ref="BP246:BR246" si="1370">SUM(BP239:BP245)</f>
        <v>53942.461100254004</v>
      </c>
      <c r="BQ246" s="226">
        <f t="shared" si="1339"/>
        <v>4.034397257960336</v>
      </c>
      <c r="BR246" s="126">
        <f t="shared" si="1370"/>
        <v>56118.565455462129</v>
      </c>
      <c r="BS246" s="226">
        <f t="shared" si="1339"/>
        <v>4.0341213782659082</v>
      </c>
      <c r="BT246" s="126">
        <f t="shared" ref="BT246" si="1371">SUM(BT239:BT245)</f>
        <v>58382.302974036917</v>
      </c>
      <c r="BU246" s="226">
        <f t="shared" si="1343"/>
        <v>4.0338478009944509</v>
      </c>
      <c r="BV246" s="43">
        <f t="shared" si="1344"/>
        <v>3.7786212906851802</v>
      </c>
      <c r="BW246" s="722"/>
      <c r="BX246" s="722"/>
      <c r="BY246"/>
      <c r="BZ246"/>
      <c r="CA246"/>
      <c r="CB246"/>
      <c r="CC246"/>
      <c r="CD246"/>
    </row>
    <row r="247" spans="1:82" s="616" customFormat="1" ht="12.75" hidden="1" customHeight="1" outlineLevel="1" x14ac:dyDescent="0.2">
      <c r="B247" s="819" t="s">
        <v>648</v>
      </c>
      <c r="C247" s="15"/>
      <c r="D247" s="623"/>
      <c r="E247" s="15"/>
      <c r="F247" s="623"/>
      <c r="G247" s="15"/>
      <c r="H247" s="623"/>
      <c r="I247" s="15"/>
      <c r="J247" s="623"/>
      <c r="K247" s="15"/>
      <c r="L247" s="623"/>
      <c r="M247" s="15"/>
      <c r="N247" s="620"/>
      <c r="O247" s="691"/>
      <c r="P247" s="9"/>
      <c r="Q247" s="691"/>
      <c r="R247" s="9"/>
      <c r="S247" s="691"/>
      <c r="T247" s="9"/>
      <c r="U247" s="691"/>
      <c r="V247" s="9"/>
      <c r="W247" s="691"/>
      <c r="X247" s="9"/>
      <c r="Y247" s="820">
        <f>Y246-(SUM(Y239:Y245))</f>
        <v>0</v>
      </c>
      <c r="Z247" s="9"/>
      <c r="AA247" s="820">
        <f>AA246-(SUM(AA239:AA245))</f>
        <v>0</v>
      </c>
      <c r="AB247" s="9"/>
      <c r="AC247" s="820">
        <f>AC246-(SUM(AC239:AC245))</f>
        <v>0</v>
      </c>
      <c r="AD247" s="9"/>
      <c r="AE247" s="820">
        <f>AE246-(SUM(AE239:AE245))</f>
        <v>0</v>
      </c>
      <c r="AF247" s="9"/>
      <c r="AG247" s="820">
        <f>AG246-(SUM(AG239:AG245))</f>
        <v>0</v>
      </c>
      <c r="AH247" s="9"/>
      <c r="AI247" s="820">
        <f>AI246-(SUM(AI239:AI245))</f>
        <v>0</v>
      </c>
      <c r="AJ247" s="9"/>
      <c r="AK247" s="820">
        <f>AK246-(SUM(AK239:AK245))</f>
        <v>0</v>
      </c>
      <c r="AL247" s="9"/>
      <c r="AM247" s="820">
        <f>AM246-(SUM(AM239:AM245))</f>
        <v>0</v>
      </c>
      <c r="AN247" s="9"/>
      <c r="AO247" s="820">
        <f>AO246-(SUM(AO239:AO245))</f>
        <v>0</v>
      </c>
      <c r="AP247" s="9"/>
      <c r="AQ247" s="820">
        <f t="shared" ref="AQ247:AW247" si="1372">AQ246-(SUM(AQ239:AQ245))</f>
        <v>0</v>
      </c>
      <c r="AR247" s="9"/>
      <c r="AS247" s="820">
        <f t="shared" si="1372"/>
        <v>0</v>
      </c>
      <c r="AT247" s="9"/>
      <c r="AU247" s="820">
        <f t="shared" si="1372"/>
        <v>0</v>
      </c>
      <c r="AV247" s="9"/>
      <c r="AW247" s="820">
        <f t="shared" si="1372"/>
        <v>0</v>
      </c>
      <c r="AX247" s="9"/>
      <c r="AY247" s="356"/>
      <c r="AZ247" s="618"/>
      <c r="BA247" s="620"/>
      <c r="BB247" s="55"/>
      <c r="BC247" s="226"/>
      <c r="BD247" s="820">
        <f>Chile_EopAUM _4Q14-BD246</f>
        <v>0</v>
      </c>
      <c r="BE247" s="226"/>
      <c r="BF247" s="820">
        <f>Chile_EopAUM _4Q15-BF246</f>
        <v>0</v>
      </c>
      <c r="BG247" s="226"/>
      <c r="BH247" s="820">
        <f>Chile_EopAUM _4Q16-BH246</f>
        <v>0</v>
      </c>
      <c r="BI247" s="226"/>
      <c r="BJ247" s="820">
        <f>Chile_EopAUM _4Q17-BJ246</f>
        <v>0</v>
      </c>
      <c r="BK247" s="226"/>
      <c r="BL247" s="820">
        <f>Chile_EopAUM _4Q18-BL246</f>
        <v>0</v>
      </c>
      <c r="BM247" s="226"/>
      <c r="BN247" s="55"/>
      <c r="BO247" s="226"/>
      <c r="BP247" s="55"/>
      <c r="BQ247" s="226"/>
      <c r="BR247" s="55"/>
      <c r="BS247" s="226"/>
      <c r="BT247" s="55"/>
      <c r="BU247" s="226"/>
      <c r="BV247" s="43"/>
      <c r="BW247" s="621"/>
      <c r="BX247" s="621"/>
      <c r="BY247"/>
      <c r="BZ247"/>
      <c r="CA247"/>
      <c r="CB247"/>
      <c r="CC247"/>
      <c r="CD247"/>
    </row>
    <row r="248" spans="1:82" s="2" customFormat="1" ht="12.75" customHeight="1" collapsed="1" x14ac:dyDescent="0.2">
      <c r="A248" s="41"/>
      <c r="B248" s="42" t="s">
        <v>71</v>
      </c>
      <c r="C248" s="57"/>
      <c r="D248" s="9"/>
      <c r="E248" s="57"/>
      <c r="F248" s="9"/>
      <c r="G248" s="57"/>
      <c r="H248" s="9"/>
      <c r="I248" s="130"/>
      <c r="J248" s="9"/>
      <c r="K248" s="130"/>
      <c r="L248" s="9"/>
      <c r="M248" s="130"/>
      <c r="N248" s="9"/>
      <c r="O248" s="126"/>
      <c r="P248" s="43" t="str">
        <f t="shared" si="1313"/>
        <v>NA</v>
      </c>
      <c r="Q248" s="126">
        <f>AVERAGE(O246,Q246)</f>
        <v>40850</v>
      </c>
      <c r="R248" s="43" t="str">
        <f t="shared" si="1314"/>
        <v>NA</v>
      </c>
      <c r="S248" s="126">
        <f t="shared" ref="S248" si="1373">AVERAGE(Q246,S246)</f>
        <v>41050</v>
      </c>
      <c r="T248" s="43" t="str">
        <f t="shared" si="1316"/>
        <v>NA</v>
      </c>
      <c r="U248" s="126">
        <f t="shared" ref="U248" si="1374">AVERAGE(S246,U246)</f>
        <v>41100</v>
      </c>
      <c r="V248" s="43" t="str">
        <f t="shared" si="1318"/>
        <v>NA</v>
      </c>
      <c r="W248" s="126">
        <f t="shared" ref="W248:AO248" si="1375">AVERAGE(U246,W246)</f>
        <v>39300</v>
      </c>
      <c r="X248" s="43" t="str">
        <f t="shared" si="1319"/>
        <v>NA</v>
      </c>
      <c r="Y248" s="126">
        <f t="shared" si="1375"/>
        <v>38000</v>
      </c>
      <c r="Z248" s="43">
        <f t="shared" si="1320"/>
        <v>-6.9767441860465169</v>
      </c>
      <c r="AA248" s="126">
        <f t="shared" si="1375"/>
        <v>39450</v>
      </c>
      <c r="AB248" s="43">
        <f t="shared" si="1321"/>
        <v>-3.8976857490864774</v>
      </c>
      <c r="AC248" s="126">
        <f t="shared" si="1375"/>
        <v>41100</v>
      </c>
      <c r="AD248" s="43">
        <f t="shared" si="1322"/>
        <v>0</v>
      </c>
      <c r="AE248" s="126">
        <f t="shared" si="1375"/>
        <v>42350</v>
      </c>
      <c r="AF248" s="43">
        <f t="shared" si="1323"/>
        <v>7.7608142493638752</v>
      </c>
      <c r="AG248" s="126">
        <f t="shared" si="1375"/>
        <v>42450</v>
      </c>
      <c r="AH248" s="9">
        <f t="shared" si="1324"/>
        <v>11.71052631578948</v>
      </c>
      <c r="AI248" s="126">
        <f t="shared" si="1375"/>
        <v>42950</v>
      </c>
      <c r="AJ248" s="9">
        <f t="shared" ref="AJ248" si="1376">IF(ISERROR(AI248/AA248),"NA",IF(OR(AI248/AA248&gt;2,AI248/AA248&lt;0.5),"NM",AI248/AA248*100-100))</f>
        <v>8.8719898605830139</v>
      </c>
      <c r="AK248" s="126">
        <f t="shared" si="1375"/>
        <v>44200</v>
      </c>
      <c r="AL248" s="9">
        <f t="shared" ref="AL248" si="1377">IF(ISERROR(AK248/AC248),"NA",IF(OR(AK248/AC248&gt;2,AK248/AC248&lt;0.5),"NM",AK248/AC248*100-100))</f>
        <v>7.5425790754257918</v>
      </c>
      <c r="AM248" s="126">
        <f t="shared" si="1375"/>
        <v>45250</v>
      </c>
      <c r="AN248" s="9">
        <f t="shared" ref="AN248" si="1378">IF(ISERROR(AM248/AE248),"NA",IF(OR(AM248/AE248&gt;2,AM248/AE248&lt;0.5),"NM",AM248/AE248*100-100))</f>
        <v>6.8476977567886621</v>
      </c>
      <c r="AO248" s="126">
        <f t="shared" si="1375"/>
        <v>47400</v>
      </c>
      <c r="AP248" s="9">
        <f t="shared" ref="AP248" si="1379">IF(ISERROR(AO248/AG248),"NA",IF(OR(AO248/AG248&gt;2,AO248/AG248&lt;0.5),"NM",AO248/AG248*100-100))</f>
        <v>11.660777385159008</v>
      </c>
      <c r="AQ248" s="126">
        <f t="shared" ref="AQ248" si="1380">AVERAGE(AO246,AQ246)</f>
        <v>48433.599999999999</v>
      </c>
      <c r="AR248" s="9">
        <f t="shared" ref="AR248" si="1381">IF(ISERROR(AQ248/AI248),"NA",IF(OR(AQ248/AI248&gt;2,AQ248/AI248&lt;0.5),"NM",AQ248/AI248*100-100))</f>
        <v>12.767403958090796</v>
      </c>
      <c r="AS248" s="126">
        <f t="shared" ref="AS248" si="1382">AVERAGE(AQ246,AS246)</f>
        <v>48610.668799999999</v>
      </c>
      <c r="AT248" s="9">
        <f t="shared" ref="AT248" si="1383">IF(ISERROR(AS248/AK248),"NA",IF(OR(AS248/AK248&gt;2,AS248/AK248&lt;0.5),"NM",AS248/AK248*100-100))</f>
        <v>9.9788886877827991</v>
      </c>
      <c r="AU248" s="126">
        <f t="shared" ref="AU248" si="1384">AVERAGE(AS246,AU246)</f>
        <v>49099.554150399999</v>
      </c>
      <c r="AV248" s="9">
        <f t="shared" ref="AV248" si="1385">IF(ISERROR(AU248/AM248),"NA",IF(OR(AU248/AM248&gt;2,AU248/AM248&lt;0.5),"NM",AU248/AM248*100-100))</f>
        <v>8.5073019898342466</v>
      </c>
      <c r="AW248" s="126">
        <f t="shared" ref="AW248" si="1386">AVERAGE(AU246,AW246)</f>
        <v>49592.350583603198</v>
      </c>
      <c r="AX248" s="9">
        <f t="shared" ref="AX248" si="1387">IF(ISERROR(AW248/AO248),"NA",IF(OR(AW248/AO248&gt;2,AW248/AO248&lt;0.5),"NM",AW248/AO248*100-100))</f>
        <v>4.6252122016945236</v>
      </c>
      <c r="AY248" s="287"/>
      <c r="AZ248" s="122"/>
      <c r="BA248" s="131"/>
      <c r="BB248" s="57"/>
      <c r="BC248" s="226" t="str">
        <f>IF(ISERROR(BB248/#REF!),"NA",IF(OR(BB248/#REF!&gt;2,BB248/#REF!&lt;0.5),"NM",BB248/#REF!*100-100))</f>
        <v>NA</v>
      </c>
      <c r="BD248" s="911"/>
      <c r="BE248" s="226" t="str">
        <f t="shared" si="1337"/>
        <v>NA</v>
      </c>
      <c r="BF248" s="55">
        <f>AVERAGE(S248,U248,W248,Y248)</f>
        <v>39862.5</v>
      </c>
      <c r="BG248" s="226" t="str">
        <f t="shared" si="1338"/>
        <v>NA</v>
      </c>
      <c r="BH248" s="55">
        <f>AVERAGE(AA248,AC248,AE248,AG248)</f>
        <v>41337.5</v>
      </c>
      <c r="BI248" s="226">
        <f t="shared" si="1339"/>
        <v>3.7002195045468795</v>
      </c>
      <c r="BJ248" s="55">
        <f>AVERAGE(AI248,AK248,AM248,AO248)</f>
        <v>44950</v>
      </c>
      <c r="BK248" s="226">
        <f t="shared" si="1339"/>
        <v>8.7390384033867434</v>
      </c>
      <c r="BL248" s="55">
        <f>AVERAGE(AQ248,AS248,AU248,AW248)</f>
        <v>48934.043383500801</v>
      </c>
      <c r="BM248" s="226">
        <f t="shared" si="1339"/>
        <v>8.8632778275879787</v>
      </c>
      <c r="BN248" s="126">
        <f t="shared" ref="BN248:BP248" si="1388">AVERAGE(BN239,BN246)</f>
        <v>50845.1661538689</v>
      </c>
      <c r="BO248" s="226">
        <f t="shared" si="1339"/>
        <v>3.9055075735116418</v>
      </c>
      <c r="BP248" s="126">
        <f t="shared" si="1388"/>
        <v>52896.531470792703</v>
      </c>
      <c r="BQ248" s="226">
        <f t="shared" si="1339"/>
        <v>4.0345336087916621</v>
      </c>
      <c r="BR248" s="126">
        <f t="shared" ref="BR248:BT248" si="1389">AVERAGE(BR239,BR246)</f>
        <v>55030.513277858066</v>
      </c>
      <c r="BS248" s="226">
        <f t="shared" si="1339"/>
        <v>4.034256590611534</v>
      </c>
      <c r="BT248" s="126">
        <f t="shared" si="1389"/>
        <v>57250.434214749519</v>
      </c>
      <c r="BU248" s="226">
        <f t="shared" ref="BU248" si="1390">IF(ISERROR(BT248/BR248),"NA",IF(OR(BT248/BR248&gt;2,BT248/BR248&lt;0.5),"NM",BT248/BR248*100-100))</f>
        <v>4.033981885072933</v>
      </c>
      <c r="BV248" s="43">
        <f>IF(ISERROR(((BT248/BJ248)^0.2-1)*100),"NA",IF((((BT248/BJ248)^0.2-1)*100)&gt;100,"NM",IF((((BT248/BJ248)^0.2-1)*100)&lt;-50,"NM",((BT248/BJ248)^0.2-1)*100)))</f>
        <v>4.9566155141276935</v>
      </c>
      <c r="BW248" s="722"/>
      <c r="BX248" s="722"/>
      <c r="BY248"/>
      <c r="BZ248"/>
      <c r="CA248"/>
      <c r="CB248"/>
      <c r="CC248"/>
      <c r="CD248"/>
    </row>
    <row r="249" spans="1:82" s="2" customFormat="1" ht="12.75" customHeight="1" x14ac:dyDescent="0.2">
      <c r="A249" s="41"/>
      <c r="B249" s="42"/>
      <c r="C249" s="57"/>
      <c r="D249" s="9"/>
      <c r="E249" s="57"/>
      <c r="F249" s="9"/>
      <c r="G249" s="57"/>
      <c r="H249" s="9"/>
      <c r="I249" s="130"/>
      <c r="J249" s="9"/>
      <c r="K249" s="130"/>
      <c r="L249" s="9"/>
      <c r="M249" s="130"/>
      <c r="N249" s="9"/>
      <c r="O249" s="126"/>
      <c r="P249" s="43"/>
      <c r="Q249" s="126"/>
      <c r="R249" s="43"/>
      <c r="S249" s="126"/>
      <c r="T249" s="43"/>
      <c r="U249" s="126"/>
      <c r="V249" s="43"/>
      <c r="W249" s="126"/>
      <c r="X249" s="43"/>
      <c r="Y249" s="126"/>
      <c r="Z249" s="43"/>
      <c r="AA249" s="126"/>
      <c r="AB249" s="43"/>
      <c r="AC249" s="126"/>
      <c r="AD249" s="43"/>
      <c r="AE249" s="126"/>
      <c r="AF249" s="43"/>
      <c r="AG249" s="126"/>
      <c r="AH249" s="9"/>
      <c r="AI249" s="126"/>
      <c r="AJ249" s="9"/>
      <c r="AK249" s="126"/>
      <c r="AL249" s="9"/>
      <c r="AM249" s="126"/>
      <c r="AN249" s="9"/>
      <c r="AO249" s="126"/>
      <c r="AP249" s="9"/>
      <c r="AQ249" s="127"/>
      <c r="AR249" s="9"/>
      <c r="AS249" s="127"/>
      <c r="AT249" s="9"/>
      <c r="AU249" s="127"/>
      <c r="AV249" s="9"/>
      <c r="AW249" s="127"/>
      <c r="AX249" s="9"/>
      <c r="AY249" s="287"/>
      <c r="AZ249" s="122"/>
      <c r="BA249" s="131"/>
      <c r="BB249" s="57"/>
      <c r="BC249" s="9"/>
      <c r="BD249" s="911"/>
      <c r="BE249" s="9"/>
      <c r="BF249" s="55"/>
      <c r="BG249" s="9"/>
      <c r="BH249" s="55"/>
      <c r="BI249" s="9"/>
      <c r="BJ249" s="55"/>
      <c r="BK249" s="9"/>
      <c r="BL249" s="55"/>
      <c r="BM249" s="9"/>
      <c r="BN249" s="127"/>
      <c r="BO249" s="9"/>
      <c r="BP249" s="127"/>
      <c r="BQ249" s="9"/>
      <c r="BR249" s="127"/>
      <c r="BS249" s="9"/>
      <c r="BT249" s="127"/>
      <c r="BU249" s="9"/>
      <c r="BV249" s="43"/>
      <c r="BW249" s="722"/>
      <c r="BX249" s="722"/>
      <c r="BY249"/>
      <c r="BZ249"/>
      <c r="CA249"/>
      <c r="CB249"/>
      <c r="CC249"/>
      <c r="CD249"/>
    </row>
    <row r="250" spans="1:82" s="2" customFormat="1" ht="12.75" customHeight="1" x14ac:dyDescent="0.2">
      <c r="A250" s="41"/>
      <c r="B250" s="42" t="s">
        <v>72</v>
      </c>
      <c r="C250" s="57"/>
      <c r="D250" s="9"/>
      <c r="E250" s="57"/>
      <c r="F250" s="9"/>
      <c r="G250" s="57"/>
      <c r="H250" s="9"/>
      <c r="I250" s="130"/>
      <c r="J250" s="9"/>
      <c r="K250" s="130"/>
      <c r="L250" s="9"/>
      <c r="M250" s="130"/>
      <c r="N250" s="9"/>
      <c r="O250" s="126">
        <f>O240+O241</f>
        <v>500</v>
      </c>
      <c r="P250" s="43" t="str">
        <f t="shared" si="1313"/>
        <v>NA</v>
      </c>
      <c r="Q250" s="126">
        <f>Q240+Q241</f>
        <v>600</v>
      </c>
      <c r="R250" s="43" t="str">
        <f t="shared" si="1314"/>
        <v>NA</v>
      </c>
      <c r="S250" s="126">
        <f>S240+S241</f>
        <v>400</v>
      </c>
      <c r="T250" s="43" t="str">
        <f t="shared" si="1316"/>
        <v>NA</v>
      </c>
      <c r="U250" s="126">
        <f>U240+U241</f>
        <v>500</v>
      </c>
      <c r="V250" s="43" t="str">
        <f t="shared" si="1318"/>
        <v>NA</v>
      </c>
      <c r="W250" s="126">
        <f>W240+W241</f>
        <v>200</v>
      </c>
      <c r="X250" s="43" t="str">
        <f t="shared" si="1319"/>
        <v>NM</v>
      </c>
      <c r="Y250" s="126">
        <f>Y240+Y241</f>
        <v>200</v>
      </c>
      <c r="Z250" s="43" t="str">
        <f t="shared" si="1320"/>
        <v>NM</v>
      </c>
      <c r="AA250" s="126">
        <f>AA240+AA241</f>
        <v>100</v>
      </c>
      <c r="AB250" s="43" t="str">
        <f t="shared" si="1321"/>
        <v>NM</v>
      </c>
      <c r="AC250" s="126">
        <f>AC240+AC241</f>
        <v>100</v>
      </c>
      <c r="AD250" s="43" t="str">
        <f t="shared" si="1322"/>
        <v>NM</v>
      </c>
      <c r="AE250" s="126">
        <f>AE240+AE241</f>
        <v>-200</v>
      </c>
      <c r="AF250" s="43" t="str">
        <f t="shared" si="1323"/>
        <v>NM</v>
      </c>
      <c r="AG250" s="126">
        <f>AG240+AG241</f>
        <v>-700</v>
      </c>
      <c r="AH250" s="9" t="str">
        <f t="shared" ref="AH250" si="1391">IF(ISERROR(AG250/Y250),"NA",IF(OR(AG250/Y250&gt;2,AG250/Y250&lt;0.5),"NM",AG250/Y250*100-100))</f>
        <v>NM</v>
      </c>
      <c r="AI250" s="126">
        <f>AI240+AI241</f>
        <v>-200</v>
      </c>
      <c r="AJ250" s="9" t="str">
        <f t="shared" ref="AJ250" si="1392">IF(ISERROR(AI250/AA250),"NA",IF(OR(AI250/AA250&gt;2,AI250/AA250&lt;0.5),"NM",AI250/AA250*100-100))</f>
        <v>NM</v>
      </c>
      <c r="AK250" s="126">
        <f>AK240+AK241</f>
        <v>-400</v>
      </c>
      <c r="AL250" s="9" t="str">
        <f t="shared" ref="AL250" si="1393">IF(ISERROR(AK250/AC250),"NA",IF(OR(AK250/AC250&gt;2,AK250/AC250&lt;0.5),"NM",AK250/AC250*100-100))</f>
        <v>NM</v>
      </c>
      <c r="AM250" s="126">
        <f>AM240+AM241</f>
        <v>-100</v>
      </c>
      <c r="AN250" s="9">
        <f t="shared" ref="AN250" si="1394">IF(ISERROR(AM250/AE250),"NA",IF(OR(AM250/AE250&gt;2,AM250/AE250&lt;0.5),"NM",AM250/AE250*100-100))</f>
        <v>-50</v>
      </c>
      <c r="AO250" s="126">
        <f>AO240+AO241</f>
        <v>100</v>
      </c>
      <c r="AP250" s="9" t="str">
        <f t="shared" ref="AP250" si="1395">IF(ISERROR(AO250/AG250),"NA",IF(OR(AO250/AG250&gt;2,AO250/AG250&lt;0.5),"NM",AO250/AG250*100-100))</f>
        <v>NM</v>
      </c>
      <c r="AQ250" s="670">
        <v>100</v>
      </c>
      <c r="AR250" s="9" t="str">
        <f t="shared" ref="AR250" si="1396">IF(ISERROR(AQ250/AI250),"NA",IF(OR(AQ250/AI250&gt;2,AQ250/AI250&lt;0.5),"NM",AQ250/AI250*100-100))</f>
        <v>NM</v>
      </c>
      <c r="AS250" s="670">
        <v>100</v>
      </c>
      <c r="AT250" s="9" t="str">
        <f t="shared" ref="AT250" si="1397">IF(ISERROR(AS250/AK250),"NA",IF(OR(AS250/AK250&gt;2,AS250/AK250&lt;0.5),"NM",AS250/AK250*100-100))</f>
        <v>NM</v>
      </c>
      <c r="AU250" s="670">
        <v>100</v>
      </c>
      <c r="AV250" s="9" t="str">
        <f t="shared" ref="AV250" si="1398">IF(ISERROR(AU250/AM250),"NA",IF(OR(AU250/AM250&gt;2,AU250/AM250&lt;0.5),"NM",AU250/AM250*100-100))</f>
        <v>NM</v>
      </c>
      <c r="AW250" s="670">
        <v>100</v>
      </c>
      <c r="AX250" s="9">
        <f t="shared" ref="AX250" si="1399">IF(ISERROR(AW250/AO250),"NA",IF(OR(AW250/AO250&gt;2,AW250/AO250&lt;0.5),"NM",AW250/AO250*100-100))</f>
        <v>0</v>
      </c>
      <c r="AY250" s="287"/>
      <c r="AZ250" s="122"/>
      <c r="BA250" s="131"/>
      <c r="BB250" s="57"/>
      <c r="BC250" s="226" t="str">
        <f>IF(ISERROR(BB250/#REF!),"NA",IF(OR(BB250/#REF!&gt;2,BB250/#REF!&lt;0.5),"NM",BB250/#REF!*100-100))</f>
        <v>NA</v>
      </c>
      <c r="BD250" s="911"/>
      <c r="BE250" s="226" t="str">
        <f t="shared" si="1337"/>
        <v>NA</v>
      </c>
      <c r="BF250" s="55">
        <f>BF240+BF241</f>
        <v>1300</v>
      </c>
      <c r="BG250" s="226" t="str">
        <f t="shared" si="1338"/>
        <v>NA</v>
      </c>
      <c r="BH250" s="55">
        <f t="shared" ref="BH250" si="1400">BH240+BH241</f>
        <v>-700</v>
      </c>
      <c r="BI250" s="226" t="str">
        <f t="shared" si="1339"/>
        <v>NM</v>
      </c>
      <c r="BJ250" s="55">
        <f t="shared" ref="BJ250" si="1401">BJ240+BJ241</f>
        <v>-600</v>
      </c>
      <c r="BK250" s="226">
        <f t="shared" si="1339"/>
        <v>-14.285714285714292</v>
      </c>
      <c r="BL250" s="55">
        <f t="shared" ref="BL250" si="1402">BL240+BL241</f>
        <v>400</v>
      </c>
      <c r="BM250" s="226" t="str">
        <f t="shared" si="1339"/>
        <v>NM</v>
      </c>
      <c r="BN250" s="127">
        <f>BL250*1.04</f>
        <v>416</v>
      </c>
      <c r="BO250" s="226">
        <f t="shared" si="1339"/>
        <v>4</v>
      </c>
      <c r="BP250" s="127">
        <f t="shared" ref="BP250" si="1403">BN250*1.04</f>
        <v>432.64</v>
      </c>
      <c r="BQ250" s="226">
        <f t="shared" si="1339"/>
        <v>4</v>
      </c>
      <c r="BR250" s="127">
        <f t="shared" ref="BR250" si="1404">BP250*1.04</f>
        <v>449.94560000000001</v>
      </c>
      <c r="BS250" s="226">
        <f t="shared" si="1339"/>
        <v>4</v>
      </c>
      <c r="BT250" s="127">
        <f t="shared" ref="BT250" si="1405">BR250*1.04</f>
        <v>467.94342400000005</v>
      </c>
      <c r="BU250" s="226">
        <f t="shared" ref="BU250" si="1406">IF(ISERROR(BT250/BR250),"NA",IF(OR(BT250/BR250&gt;2,BT250/BR250&lt;0.5),"NM",BT250/BR250*100-100))</f>
        <v>4</v>
      </c>
      <c r="BV250" s="43" t="str">
        <f>IF(ISERROR(((BT250/BJ250)^0.2-1)*100),"NA",IF((((BT250/BJ250)^0.2-1)*100)&gt;100,"NM",IF((((BT250/BJ250)^0.2-1)*100)&lt;-50,"NM",((BT250/BJ250)^0.2-1)*100)))</f>
        <v>NM</v>
      </c>
      <c r="BW250" s="722"/>
      <c r="BX250" s="722"/>
      <c r="BY250"/>
      <c r="BZ250"/>
      <c r="CA250"/>
      <c r="CB250"/>
      <c r="CC250"/>
      <c r="CD250"/>
    </row>
    <row r="251" spans="1:82" s="2" customFormat="1" ht="12.75" customHeight="1" x14ac:dyDescent="0.2">
      <c r="A251" s="41"/>
      <c r="B251" s="42"/>
      <c r="C251" s="57"/>
      <c r="D251" s="9"/>
      <c r="E251" s="57"/>
      <c r="F251" s="9"/>
      <c r="G251" s="57"/>
      <c r="H251" s="9"/>
      <c r="I251" s="130"/>
      <c r="J251" s="9"/>
      <c r="K251" s="130"/>
      <c r="L251" s="9"/>
      <c r="M251" s="130"/>
      <c r="N251" s="9"/>
      <c r="O251" s="126"/>
      <c r="P251" s="43"/>
      <c r="Q251" s="126"/>
      <c r="R251" s="43"/>
      <c r="S251" s="126"/>
      <c r="T251" s="43"/>
      <c r="U251" s="126"/>
      <c r="V251" s="43"/>
      <c r="W251" s="126"/>
      <c r="X251" s="43"/>
      <c r="Y251" s="126"/>
      <c r="Z251" s="43"/>
      <c r="AA251" s="126"/>
      <c r="AB251" s="43"/>
      <c r="AC251" s="126"/>
      <c r="AD251" s="43"/>
      <c r="AE251" s="126"/>
      <c r="AF251" s="43"/>
      <c r="AG251" s="126"/>
      <c r="AH251" s="9"/>
      <c r="AI251" s="126"/>
      <c r="AJ251" s="9"/>
      <c r="AK251" s="126"/>
      <c r="AL251" s="9"/>
      <c r="AM251" s="126"/>
      <c r="AN251" s="9"/>
      <c r="AO251" s="126"/>
      <c r="AP251" s="9"/>
      <c r="AQ251" s="127"/>
      <c r="AR251" s="9"/>
      <c r="AS251" s="127"/>
      <c r="AT251" s="9"/>
      <c r="AU251" s="127"/>
      <c r="AV251" s="9"/>
      <c r="AW251" s="127"/>
      <c r="AX251" s="9"/>
      <c r="AY251" s="287"/>
      <c r="AZ251" s="122"/>
      <c r="BA251" s="131"/>
      <c r="BB251" s="57"/>
      <c r="BC251" s="9"/>
      <c r="BD251" s="911"/>
      <c r="BE251" s="9"/>
      <c r="BF251" s="55"/>
      <c r="BG251" s="9"/>
      <c r="BH251" s="55"/>
      <c r="BI251" s="9"/>
      <c r="BJ251" s="55"/>
      <c r="BK251" s="9"/>
      <c r="BL251" s="55"/>
      <c r="BM251" s="9"/>
      <c r="BN251" s="127"/>
      <c r="BO251" s="9"/>
      <c r="BP251" s="127"/>
      <c r="BQ251" s="9"/>
      <c r="BR251" s="127"/>
      <c r="BS251" s="9"/>
      <c r="BT251" s="127"/>
      <c r="BU251" s="9"/>
      <c r="BV251" s="43"/>
      <c r="BW251" s="722"/>
      <c r="BX251" s="722"/>
      <c r="BY251"/>
      <c r="BZ251"/>
      <c r="CA251"/>
      <c r="CB251"/>
      <c r="CC251"/>
      <c r="CD251"/>
    </row>
    <row r="252" spans="1:82" s="2" customFormat="1" ht="12.75" customHeight="1" x14ac:dyDescent="0.2">
      <c r="A252" s="41"/>
      <c r="B252" s="42" t="s">
        <v>139</v>
      </c>
      <c r="C252" s="57"/>
      <c r="D252" s="9"/>
      <c r="E252" s="57"/>
      <c r="F252" s="9"/>
      <c r="G252" s="57"/>
      <c r="H252" s="9"/>
      <c r="I252" s="130"/>
      <c r="J252" s="9"/>
      <c r="K252" s="130"/>
      <c r="L252" s="9"/>
      <c r="M252" s="130"/>
      <c r="N252" s="9"/>
      <c r="O252" s="800">
        <f>O250/O239*400</f>
        <v>4.8426150121065374</v>
      </c>
      <c r="P252" s="800" t="e">
        <f t="shared" ref="P252:AG252" si="1407">P250/P239*400</f>
        <v>#VALUE!</v>
      </c>
      <c r="Q252" s="800">
        <f t="shared" si="1407"/>
        <v>5.8536585365853666</v>
      </c>
      <c r="R252" s="800" t="e">
        <f t="shared" si="1407"/>
        <v>#VALUE!</v>
      </c>
      <c r="S252" s="800">
        <f t="shared" si="1407"/>
        <v>3.9312039312039313</v>
      </c>
      <c r="T252" s="800" t="e">
        <f t="shared" si="1407"/>
        <v>#VALUE!</v>
      </c>
      <c r="U252" s="800">
        <f t="shared" si="1407"/>
        <v>4.8309178743961354</v>
      </c>
      <c r="V252" s="800" t="e">
        <f t="shared" si="1407"/>
        <v>#VALUE!</v>
      </c>
      <c r="W252" s="800">
        <f t="shared" si="1407"/>
        <v>1.9607843137254901</v>
      </c>
      <c r="X252" s="800" t="e">
        <f t="shared" si="1407"/>
        <v>#VALUE!</v>
      </c>
      <c r="Y252" s="800">
        <f t="shared" si="1407"/>
        <v>2.1164021164021163</v>
      </c>
      <c r="Z252" s="800" t="e">
        <f t="shared" si="1407"/>
        <v>#VALUE!</v>
      </c>
      <c r="AA252" s="800">
        <f t="shared" si="1407"/>
        <v>1.0471204188481675</v>
      </c>
      <c r="AB252" s="800" t="e">
        <f t="shared" si="1407"/>
        <v>#VALUE!</v>
      </c>
      <c r="AC252" s="800">
        <f t="shared" si="1407"/>
        <v>0.98280098280098283</v>
      </c>
      <c r="AD252" s="800" t="e">
        <f t="shared" si="1407"/>
        <v>#VALUE!</v>
      </c>
      <c r="AE252" s="800">
        <f t="shared" si="1407"/>
        <v>-1.9277108433734942</v>
      </c>
      <c r="AF252" s="800" t="e">
        <f t="shared" si="1407"/>
        <v>#VALUE!</v>
      </c>
      <c r="AG252" s="800">
        <f t="shared" si="1407"/>
        <v>-6.481481481481481</v>
      </c>
      <c r="AH252" s="9" t="str">
        <f t="shared" ref="AH252:AH254" si="1408">IF(ISERROR(AG252/Y252),"NA",IF(OR(AG252/Y252&gt;2,AG252/Y252&lt;0.5),"NM",AG252/Y252*100-100))</f>
        <v>NM</v>
      </c>
      <c r="AI252" s="800">
        <f t="shared" ref="AI252:AK252" si="1409">AI250/AI239*400</f>
        <v>-1.9184652278177456</v>
      </c>
      <c r="AJ252" s="9" t="str">
        <f t="shared" ref="AJ252:AJ254" si="1410">IF(ISERROR(AI252/AA252),"NA",IF(OR(AI252/AA252&gt;2,AI252/AA252&lt;0.5),"NM",AI252/AA252*100-100))</f>
        <v>NM</v>
      </c>
      <c r="AK252" s="800">
        <f t="shared" si="1409"/>
        <v>-3.6199095022624439</v>
      </c>
      <c r="AL252" s="9" t="str">
        <f t="shared" ref="AL252:AL254" si="1411">IF(ISERROR(AK252/AC252),"NA",IF(OR(AK252/AC252&gt;2,AK252/AC252&lt;0.5),"NM",AK252/AC252*100-100))</f>
        <v>NM</v>
      </c>
      <c r="AM252" s="800">
        <f t="shared" ref="AM252:AO252" si="1412">AM250/AM239*400</f>
        <v>-0.90497737556561098</v>
      </c>
      <c r="AN252" s="9" t="str">
        <f t="shared" ref="AN252:AN254" si="1413">IF(ISERROR(AM252/AE252),"NA",IF(OR(AM252/AE252&gt;2,AM252/AE252&lt;0.5),"NM",AM252/AE252*100-100))</f>
        <v>NM</v>
      </c>
      <c r="AO252" s="800">
        <f t="shared" si="1412"/>
        <v>0.86393088552915775</v>
      </c>
      <c r="AP252" s="9" t="str">
        <f t="shared" ref="AP252:AP254" si="1414">IF(ISERROR(AO252/AG252),"NA",IF(OR(AO252/AG252&gt;2,AO252/AG252&lt;0.5),"NM",AO252/AG252*100-100))</f>
        <v>NM</v>
      </c>
      <c r="AQ252" s="800">
        <f t="shared" ref="AQ252:AW252" si="1415">AQ250/AQ239*400</f>
        <v>0.82474226804123718</v>
      </c>
      <c r="AR252" s="9" t="str">
        <f t="shared" ref="AR252:AR254" si="1416">IF(ISERROR(AQ252/AI252),"NA",IF(OR(AQ252/AI252&gt;2,AQ252/AI252&lt;0.5),"NM",AQ252/AI252*100-100))</f>
        <v>NM</v>
      </c>
      <c r="AS252" s="800">
        <f t="shared" si="1415"/>
        <v>0.82700673183479723</v>
      </c>
      <c r="AT252" s="9" t="str">
        <f t="shared" ref="AT252:AT254" si="1417">IF(ISERROR(AS252/AK252),"NA",IF(OR(AS252/AK252&gt;2,AS252/AK252&lt;0.5),"NM",AS252/AK252*100-100))</f>
        <v>NM</v>
      </c>
      <c r="AU252" s="800">
        <f t="shared" si="1415"/>
        <v>0.81876381336429527</v>
      </c>
      <c r="AV252" s="9" t="str">
        <f t="shared" ref="AV252:AV254" si="1418">IF(ISERROR(AU252/AM252),"NA",IF(OR(AU252/AM252&gt;2,AU252/AM252&lt;0.5),"NM",AU252/AM252*100-100))</f>
        <v>NM</v>
      </c>
      <c r="AW252" s="800">
        <f t="shared" si="1415"/>
        <v>0.81061959166086817</v>
      </c>
      <c r="AX252" s="9">
        <f t="shared" ref="AX252:AX254" si="1419">IF(ISERROR(AW252/AO252),"NA",IF(OR(AW252/AO252&gt;2,AW252/AO252&lt;0.5),"NM",AW252/AO252*100-100))</f>
        <v>-6.1707822652545161</v>
      </c>
      <c r="AY252" s="287"/>
      <c r="AZ252" s="122"/>
      <c r="BA252" s="131"/>
      <c r="BB252" s="57"/>
      <c r="BC252" s="226" t="str">
        <f>IF(ISERROR(BB252/#REF!),"NA",IF(OR(BB252/#REF!&gt;2,BB252/#REF!&lt;0.5),"NM",BB252/#REF!*100-100))</f>
        <v>NA</v>
      </c>
      <c r="BD252" s="911"/>
      <c r="BE252" s="226" t="str">
        <f t="shared" si="1337"/>
        <v>NA</v>
      </c>
      <c r="BF252" s="57">
        <f>BF250/BF239*100</f>
        <v>3.1941031941031941</v>
      </c>
      <c r="BG252" s="57" t="e">
        <f t="shared" ref="BG252:BP252" si="1420">BG250/BG239*100</f>
        <v>#VALUE!</v>
      </c>
      <c r="BH252" s="57">
        <f t="shared" si="1420"/>
        <v>-1.832460732984293</v>
      </c>
      <c r="BI252" s="226" t="str">
        <f t="shared" si="1339"/>
        <v>NM</v>
      </c>
      <c r="BJ252" s="57">
        <f t="shared" ref="BJ252" si="1421">BJ250/BJ239*100</f>
        <v>-1.4388489208633095</v>
      </c>
      <c r="BK252" s="226">
        <f t="shared" si="1339"/>
        <v>-21.479958890030815</v>
      </c>
      <c r="BL252" s="57">
        <f t="shared" ref="BL252" si="1422">BL250/BL239*100</f>
        <v>0.82474226804123718</v>
      </c>
      <c r="BM252" s="226" t="str">
        <f t="shared" si="1339"/>
        <v>NM</v>
      </c>
      <c r="BN252" s="57">
        <f t="shared" si="1420"/>
        <v>0.83467546093652645</v>
      </c>
      <c r="BO252" s="226">
        <f t="shared" si="1339"/>
        <v>1.2043996385538378</v>
      </c>
      <c r="BP252" s="57">
        <f t="shared" si="1420"/>
        <v>0.83439725796033459</v>
      </c>
      <c r="BQ252" s="226">
        <f t="shared" si="1339"/>
        <v>-3.3330676318158226E-2</v>
      </c>
      <c r="BR252" s="57">
        <f t="shared" ref="BR252:BT252" si="1423">BR250/BR239*100</f>
        <v>0.83412137826592658</v>
      </c>
      <c r="BS252" s="226">
        <f t="shared" si="1339"/>
        <v>-3.3063351032865285E-2</v>
      </c>
      <c r="BT252" s="57">
        <f t="shared" si="1423"/>
        <v>0.83384780099444655</v>
      </c>
      <c r="BU252" s="226">
        <f t="shared" ref="BU252:BU253" si="1424">IF(ISERROR(BT252/BR252),"NA",IF(OR(BT252/BR252&gt;2,BT252/BR252&lt;0.5),"NM",BT252/BR252*100-100))</f>
        <v>-3.2798256777539336E-2</v>
      </c>
      <c r="BV252" s="43" t="str">
        <f>IF(ISERROR(((BT252/BJ252)^0.2-1)*100),"NA",IF((((BT252/BJ252)^0.2-1)*100)&gt;100,"NM",IF((((BT252/BJ252)^0.2-1)*100)&lt;-50,"NM",((BT252/BJ252)^0.2-1)*100)))</f>
        <v>NM</v>
      </c>
      <c r="BW252" s="722"/>
      <c r="BX252" s="722"/>
      <c r="BY252"/>
      <c r="BZ252"/>
      <c r="CA252"/>
      <c r="CB252"/>
      <c r="CC252"/>
      <c r="CD252"/>
    </row>
    <row r="253" spans="1:82" s="2" customFormat="1" ht="12.75" customHeight="1" x14ac:dyDescent="0.2">
      <c r="A253" s="41"/>
      <c r="B253" s="240" t="s">
        <v>77</v>
      </c>
      <c r="C253" s="57"/>
      <c r="D253" s="9"/>
      <c r="E253" s="57"/>
      <c r="F253" s="9"/>
      <c r="G253" s="57"/>
      <c r="H253" s="9"/>
      <c r="I253" s="130"/>
      <c r="J253" s="9"/>
      <c r="K253" s="130"/>
      <c r="L253" s="9"/>
      <c r="M253" s="130"/>
      <c r="N253" s="9"/>
      <c r="O253" s="643">
        <f>+O242/O239*400</f>
        <v>26.150121065375302</v>
      </c>
      <c r="P253" s="643" t="e">
        <f t="shared" ref="P253:AG253" si="1425">+P242/P239*400</f>
        <v>#VALUE!</v>
      </c>
      <c r="Q253" s="643">
        <f t="shared" si="1425"/>
        <v>0.97560975609756095</v>
      </c>
      <c r="R253" s="643" t="e">
        <f t="shared" si="1425"/>
        <v>#VALUE!</v>
      </c>
      <c r="S253" s="643">
        <f t="shared" si="1425"/>
        <v>13.759213759213759</v>
      </c>
      <c r="T253" s="643" t="e">
        <f t="shared" si="1425"/>
        <v>#VALUE!</v>
      </c>
      <c r="U253" s="643">
        <f t="shared" si="1425"/>
        <v>0.96618357487922701</v>
      </c>
      <c r="V253" s="643" t="e">
        <f t="shared" si="1425"/>
        <v>#VALUE!</v>
      </c>
      <c r="W253" s="643">
        <f t="shared" si="1425"/>
        <v>0</v>
      </c>
      <c r="X253" s="643" t="e">
        <f t="shared" si="1425"/>
        <v>#VALUE!</v>
      </c>
      <c r="Y253" s="643">
        <f t="shared" si="1425"/>
        <v>10.582010582010582</v>
      </c>
      <c r="Z253" s="643" t="e">
        <f t="shared" si="1425"/>
        <v>#VALUE!</v>
      </c>
      <c r="AA253" s="643">
        <f t="shared" si="1425"/>
        <v>3.1413612565445024</v>
      </c>
      <c r="AB253" s="643" t="e">
        <f t="shared" si="1425"/>
        <v>#VALUE!</v>
      </c>
      <c r="AC253" s="643">
        <f t="shared" si="1425"/>
        <v>1.9656019656019657</v>
      </c>
      <c r="AD253" s="643">
        <f t="shared" si="1425"/>
        <v>-23657.142857142877</v>
      </c>
      <c r="AE253" s="643">
        <f t="shared" si="1425"/>
        <v>17.349397590361445</v>
      </c>
      <c r="AF253" s="643" t="e">
        <f t="shared" si="1425"/>
        <v>#VALUE!</v>
      </c>
      <c r="AG253" s="643">
        <f t="shared" si="1425"/>
        <v>-0.92592592592592582</v>
      </c>
      <c r="AH253" s="9" t="str">
        <f t="shared" si="1408"/>
        <v>NM</v>
      </c>
      <c r="AI253" s="643">
        <f t="shared" ref="AI253:AK253" si="1426">+AI242/AI239*400</f>
        <v>20.14388489208633</v>
      </c>
      <c r="AJ253" s="9" t="str">
        <f t="shared" si="1410"/>
        <v>NM</v>
      </c>
      <c r="AK253" s="643">
        <f t="shared" si="1426"/>
        <v>6.3348416289592757</v>
      </c>
      <c r="AL253" s="9" t="str">
        <f t="shared" si="1411"/>
        <v>NM</v>
      </c>
      <c r="AM253" s="643">
        <f t="shared" ref="AM253:AO253" si="1427">+AM242/AM239*400</f>
        <v>4.5248868778280542</v>
      </c>
      <c r="AN253" s="9" t="str">
        <f t="shared" si="1413"/>
        <v>NM</v>
      </c>
      <c r="AO253" s="643">
        <f t="shared" si="1427"/>
        <v>2.5917926565874732</v>
      </c>
      <c r="AP253" s="9" t="str">
        <f t="shared" si="1414"/>
        <v>NM</v>
      </c>
      <c r="AQ253" s="643">
        <f t="shared" ref="AQ253:AW253" si="1428">+AQ242/AQ239*400</f>
        <v>-1.92</v>
      </c>
      <c r="AR253" s="9" t="str">
        <f t="shared" si="1416"/>
        <v>NM</v>
      </c>
      <c r="AS253" s="643">
        <f t="shared" si="1428"/>
        <v>3.2</v>
      </c>
      <c r="AT253" s="9">
        <f t="shared" si="1417"/>
        <v>-49.48571428571428</v>
      </c>
      <c r="AU253" s="643">
        <f t="shared" si="1428"/>
        <v>3.2</v>
      </c>
      <c r="AV253" s="9">
        <f t="shared" si="1418"/>
        <v>-29.28</v>
      </c>
      <c r="AW253" s="643">
        <f t="shared" si="1428"/>
        <v>3.2</v>
      </c>
      <c r="AX253" s="9">
        <f t="shared" si="1419"/>
        <v>23.466666666666654</v>
      </c>
      <c r="AY253" s="287"/>
      <c r="AZ253" s="122"/>
      <c r="BA253" s="131"/>
      <c r="BB253" s="57"/>
      <c r="BC253" s="226" t="str">
        <f>IF(ISERROR(BB253/#REF!),"NA",IF(OR(BB253/#REF!&gt;2,BB253/#REF!&lt;0.5),"NM",BB253/#REF!*100-100))</f>
        <v>NA</v>
      </c>
      <c r="BD253" s="911"/>
      <c r="BE253" s="226" t="str">
        <f t="shared" si="1337"/>
        <v>NA</v>
      </c>
      <c r="BF253" s="57">
        <f>BF242/BF239*100</f>
        <v>6.1425061425061429</v>
      </c>
      <c r="BG253" s="226" t="str">
        <f t="shared" si="1338"/>
        <v>NA</v>
      </c>
      <c r="BH253" s="57">
        <f t="shared" ref="BH253:BP253" si="1429">BH242/BH239*100</f>
        <v>5.7591623036649215</v>
      </c>
      <c r="BI253" s="226">
        <f t="shared" si="1339"/>
        <v>-6.2408376963350918</v>
      </c>
      <c r="BJ253" s="57">
        <f t="shared" ref="BJ253" si="1430">BJ242/BJ239*100</f>
        <v>8.6330935251798557</v>
      </c>
      <c r="BK253" s="226">
        <f t="shared" si="1339"/>
        <v>49.9018966644866</v>
      </c>
      <c r="BL253" s="57">
        <f t="shared" ref="BL253" si="1431">BL242/BL239*100</f>
        <v>1.9375885905286598</v>
      </c>
      <c r="BM253" s="226" t="str">
        <f t="shared" si="1339"/>
        <v>NM</v>
      </c>
      <c r="BN253" s="57">
        <f t="shared" si="1429"/>
        <v>3.2</v>
      </c>
      <c r="BO253" s="226">
        <f t="shared" si="1339"/>
        <v>65.153738809274188</v>
      </c>
      <c r="BP253" s="57">
        <f t="shared" si="1429"/>
        <v>3.2</v>
      </c>
      <c r="BQ253" s="226">
        <f t="shared" si="1339"/>
        <v>0</v>
      </c>
      <c r="BR253" s="57">
        <f t="shared" ref="BR253:BT253" si="1432">BR242/BR239*100</f>
        <v>3.2</v>
      </c>
      <c r="BS253" s="226">
        <f t="shared" si="1339"/>
        <v>0</v>
      </c>
      <c r="BT253" s="57">
        <f t="shared" si="1432"/>
        <v>3.2</v>
      </c>
      <c r="BU253" s="226">
        <f t="shared" si="1424"/>
        <v>0</v>
      </c>
      <c r="BV253" s="43">
        <f>IF(ISERROR(((BT253/BJ253)^0.2-1)*100),"NA",IF((((BT253/BJ253)^0.2-1)*100)&gt;100,"NM",IF((((BT253/BJ253)^0.2-1)*100)&lt;-50,"NM",((BT253/BJ253)^0.2-1)*100)))</f>
        <v>-18.003237283312512</v>
      </c>
      <c r="BW253" s="722"/>
      <c r="BX253" s="722"/>
      <c r="BY253"/>
      <c r="BZ253"/>
      <c r="CA253"/>
      <c r="CB253"/>
      <c r="CC253"/>
      <c r="CD253"/>
    </row>
    <row r="254" spans="1:82" s="2" customFormat="1" ht="12.75" customHeight="1" x14ac:dyDescent="0.2">
      <c r="A254" s="41"/>
      <c r="B254" s="240" t="s">
        <v>105</v>
      </c>
      <c r="C254" s="57"/>
      <c r="D254" s="9"/>
      <c r="E254" s="57"/>
      <c r="F254" s="9"/>
      <c r="G254" s="57"/>
      <c r="H254" s="9"/>
      <c r="I254" s="130"/>
      <c r="J254" s="9"/>
      <c r="K254" s="130"/>
      <c r="L254" s="9"/>
      <c r="M254" s="130"/>
      <c r="N254" s="9"/>
      <c r="O254" s="130">
        <f>(O253/4)/O$31*100</f>
        <v>1089.588377723971</v>
      </c>
      <c r="P254" s="43" t="str">
        <f t="shared" si="1313"/>
        <v>NA</v>
      </c>
      <c r="Q254" s="130">
        <f t="shared" ref="Q254" si="1433">(Q253/4)/Q$31*100</f>
        <v>5.5432372505543235</v>
      </c>
      <c r="R254" s="43" t="str">
        <f t="shared" si="1314"/>
        <v>NA</v>
      </c>
      <c r="S254" s="130">
        <f t="shared" ref="S254" si="1434">(S253/4)/S$31*100</f>
        <v>859.95085995085992</v>
      </c>
      <c r="T254" s="43" t="str">
        <f t="shared" si="1316"/>
        <v>NA</v>
      </c>
      <c r="U254" s="130">
        <f t="shared" ref="U254" si="1435">(U253/4)/U$31*100</f>
        <v>60.386473429951678</v>
      </c>
      <c r="V254" s="43" t="str">
        <f t="shared" si="1318"/>
        <v>NA</v>
      </c>
      <c r="W254" s="130">
        <f t="shared" ref="W254:Y254" si="1436">(W253/4)/W$31*100</f>
        <v>0</v>
      </c>
      <c r="X254" s="43" t="str">
        <f t="shared" si="1319"/>
        <v>NM</v>
      </c>
      <c r="Y254" s="130">
        <f t="shared" si="1436"/>
        <v>42.369850132664105</v>
      </c>
      <c r="Z254" s="43" t="str">
        <f t="shared" si="1320"/>
        <v>NM</v>
      </c>
      <c r="AA254" s="130">
        <f t="shared" ref="AA254:AC254" si="1437">(AA253/4)/AA$31*100</f>
        <v>101.59420770097472</v>
      </c>
      <c r="AB254" s="43" t="str">
        <f t="shared" si="1321"/>
        <v>NM</v>
      </c>
      <c r="AC254" s="130">
        <f t="shared" si="1437"/>
        <v>39.055257161016023</v>
      </c>
      <c r="AD254" s="43">
        <f t="shared" si="1322"/>
        <v>-35.324494141357448</v>
      </c>
      <c r="AE254" s="130">
        <f t="shared" ref="AE254:AG254" si="1438">(AE253/4)/AE$31*100</f>
        <v>139.63957200822153</v>
      </c>
      <c r="AF254" s="43" t="str">
        <f t="shared" si="1323"/>
        <v>NA</v>
      </c>
      <c r="AG254" s="130">
        <f t="shared" si="1438"/>
        <v>-7.1132879000392002</v>
      </c>
      <c r="AH254" s="9" t="str">
        <f t="shared" si="1408"/>
        <v>NM</v>
      </c>
      <c r="AI254" s="130">
        <f t="shared" ref="AI254:AK254" si="1439">(AI253/4)/AI$31*100</f>
        <v>91.005519808607062</v>
      </c>
      <c r="AJ254" s="9">
        <f t="shared" si="1410"/>
        <v>-10.42253109895168</v>
      </c>
      <c r="AK254" s="130">
        <f t="shared" si="1439"/>
        <v>60.911938739993033</v>
      </c>
      <c r="AL254" s="9">
        <f t="shared" si="1411"/>
        <v>55.963481404992024</v>
      </c>
      <c r="AM254" s="130">
        <f t="shared" ref="AM254:AO254" si="1440">(AM253/4)/AM$31*100</f>
        <v>31.422825540472598</v>
      </c>
      <c r="AN254" s="9" t="str">
        <f t="shared" si="1413"/>
        <v>NM</v>
      </c>
      <c r="AO254" s="130">
        <f t="shared" si="1440"/>
        <v>10.124190064794817</v>
      </c>
      <c r="AP254" s="9" t="str">
        <f t="shared" si="1414"/>
        <v>NM</v>
      </c>
      <c r="AQ254" s="669">
        <v>40</v>
      </c>
      <c r="AR254" s="9" t="str">
        <f t="shared" si="1416"/>
        <v>NM</v>
      </c>
      <c r="AS254" s="669">
        <v>40</v>
      </c>
      <c r="AT254" s="9">
        <f t="shared" si="1417"/>
        <v>-34.331428571428575</v>
      </c>
      <c r="AU254" s="669">
        <v>40</v>
      </c>
      <c r="AV254" s="9">
        <f t="shared" si="1418"/>
        <v>27.296000000000006</v>
      </c>
      <c r="AW254" s="669">
        <v>40</v>
      </c>
      <c r="AX254" s="9" t="str">
        <f t="shared" si="1419"/>
        <v>NM</v>
      </c>
      <c r="AY254" s="287"/>
      <c r="AZ254" s="122"/>
      <c r="BA254" s="131"/>
      <c r="BB254" s="57"/>
      <c r="BC254" s="9"/>
      <c r="BD254" s="911"/>
      <c r="BE254" s="9"/>
      <c r="BF254" s="57"/>
      <c r="BG254" s="9"/>
      <c r="BH254" s="57"/>
      <c r="BI254" s="9"/>
      <c r="BJ254" s="57"/>
      <c r="BK254" s="9"/>
      <c r="BL254" s="57"/>
      <c r="BM254" s="9"/>
      <c r="BN254" s="242">
        <v>40</v>
      </c>
      <c r="BO254" s="9"/>
      <c r="BP254" s="242">
        <v>40</v>
      </c>
      <c r="BQ254" s="9"/>
      <c r="BR254" s="242">
        <v>40</v>
      </c>
      <c r="BS254" s="9"/>
      <c r="BT254" s="242">
        <v>40</v>
      </c>
      <c r="BU254" s="9"/>
      <c r="BV254" s="43" t="str">
        <f>IF(ISERROR(((BT254/BJ254)^0.2-1)*100),"NA",IF((((BT254/BJ254)^0.2-1)*100)&gt;100,"NM",IF((((BT254/BJ254)^0.2-1)*100)&lt;-50,"NM",((BT254/BJ254)^0.2-1)*100)))</f>
        <v>NA</v>
      </c>
      <c r="BW254" s="722"/>
      <c r="BX254" s="722"/>
      <c r="BY254"/>
      <c r="BZ254"/>
      <c r="CA254"/>
      <c r="CB254"/>
      <c r="CC254"/>
      <c r="CD254"/>
    </row>
    <row r="255" spans="1:82" s="2" customFormat="1" ht="12.75" customHeight="1" x14ac:dyDescent="0.2">
      <c r="A255" s="41"/>
      <c r="B255" s="240"/>
      <c r="C255" s="57"/>
      <c r="D255" s="9"/>
      <c r="E255" s="57"/>
      <c r="F255" s="9"/>
      <c r="G255" s="57"/>
      <c r="H255" s="9"/>
      <c r="I255" s="130"/>
      <c r="J255" s="9"/>
      <c r="K255" s="130"/>
      <c r="L255" s="9"/>
      <c r="M255" s="130"/>
      <c r="N255" s="9"/>
      <c r="O255" s="130"/>
      <c r="P255" s="9"/>
      <c r="Q255" s="130"/>
      <c r="R255" s="9"/>
      <c r="S255" s="130"/>
      <c r="T255" s="9"/>
      <c r="U255" s="130"/>
      <c r="V255" s="9"/>
      <c r="W255" s="130"/>
      <c r="X255" s="9"/>
      <c r="Y255" s="130"/>
      <c r="Z255" s="9"/>
      <c r="AA255" s="130"/>
      <c r="AB255" s="9"/>
      <c r="AC255" s="130"/>
      <c r="AD255" s="9"/>
      <c r="AE255" s="130"/>
      <c r="AF255" s="9"/>
      <c r="AG255" s="130"/>
      <c r="AH255" s="9"/>
      <c r="AI255" s="130"/>
      <c r="AJ255" s="9"/>
      <c r="AK255" s="130"/>
      <c r="AL255" s="9"/>
      <c r="AM255" s="130"/>
      <c r="AN255" s="9"/>
      <c r="AO255" s="130"/>
      <c r="AP255" s="9"/>
      <c r="AQ255" s="242"/>
      <c r="AR255" s="9"/>
      <c r="AS255" s="242"/>
      <c r="AT255" s="9"/>
      <c r="AU255" s="242"/>
      <c r="AV255" s="9"/>
      <c r="AW255" s="242"/>
      <c r="AX255" s="9"/>
      <c r="AY255" s="287"/>
      <c r="AZ255" s="122"/>
      <c r="BA255" s="131"/>
      <c r="BB255" s="57"/>
      <c r="BC255" s="9"/>
      <c r="BD255" s="911"/>
      <c r="BE255" s="9"/>
      <c r="BF255" s="57"/>
      <c r="BG255" s="9"/>
      <c r="BH255" s="57"/>
      <c r="BI255" s="9"/>
      <c r="BJ255" s="57"/>
      <c r="BK255" s="9"/>
      <c r="BL255" s="57"/>
      <c r="BM255" s="9"/>
      <c r="BN255" s="242"/>
      <c r="BO255" s="9"/>
      <c r="BP255" s="242"/>
      <c r="BQ255" s="9"/>
      <c r="BR255" s="242"/>
      <c r="BS255" s="9"/>
      <c r="BT255" s="242"/>
      <c r="BU255" s="9"/>
      <c r="BV255" s="43"/>
      <c r="BW255" s="722"/>
      <c r="BX255" s="722"/>
      <c r="BY255"/>
      <c r="BZ255"/>
      <c r="CA255"/>
      <c r="CB255"/>
      <c r="CC255"/>
      <c r="CD255"/>
    </row>
    <row r="256" spans="1:82" s="7" customFormat="1" ht="12.75" customHeight="1" x14ac:dyDescent="0.2">
      <c r="A256" s="42"/>
      <c r="B256" s="730" t="s">
        <v>576</v>
      </c>
      <c r="C256" s="57"/>
      <c r="D256" s="9"/>
      <c r="E256" s="57"/>
      <c r="F256" s="9"/>
      <c r="G256" s="57"/>
      <c r="H256" s="9"/>
      <c r="I256" s="130"/>
      <c r="J256" s="9"/>
      <c r="K256" s="130"/>
      <c r="L256" s="9"/>
      <c r="M256" s="130"/>
      <c r="N256" s="9"/>
      <c r="O256" s="130"/>
      <c r="P256" s="9"/>
      <c r="Q256" s="130"/>
      <c r="R256" s="9"/>
      <c r="S256" s="130"/>
      <c r="T256" s="9"/>
      <c r="U256" s="130"/>
      <c r="V256" s="9"/>
      <c r="W256" s="130"/>
      <c r="X256" s="9"/>
      <c r="Y256" s="130"/>
      <c r="Z256" s="9"/>
      <c r="AA256" s="130"/>
      <c r="AB256" s="9"/>
      <c r="AC256" s="130"/>
      <c r="AD256" s="9"/>
      <c r="AE256" s="130"/>
      <c r="AF256" s="9"/>
      <c r="AG256" s="130"/>
      <c r="AH256" s="9"/>
      <c r="AI256" s="130"/>
      <c r="AJ256" s="9"/>
      <c r="AK256" s="130"/>
      <c r="AL256" s="9"/>
      <c r="AM256" s="130"/>
      <c r="AN256" s="9"/>
      <c r="AO256" s="130"/>
      <c r="AP256" s="9"/>
      <c r="AQ256" s="242"/>
      <c r="AR256" s="9"/>
      <c r="AS256" s="242"/>
      <c r="AT256" s="9"/>
      <c r="AU256" s="242"/>
      <c r="AV256" s="9"/>
      <c r="AW256" s="242"/>
      <c r="AX256" s="9"/>
      <c r="AY256" s="287"/>
      <c r="AZ256" s="122"/>
      <c r="BA256" s="131"/>
      <c r="BB256" s="57"/>
      <c r="BC256" s="9"/>
      <c r="BD256" s="911"/>
      <c r="BE256" s="9"/>
      <c r="BF256" s="57"/>
      <c r="BG256" s="9"/>
      <c r="BH256" s="57"/>
      <c r="BI256" s="9"/>
      <c r="BJ256" s="57"/>
      <c r="BK256" s="9"/>
      <c r="BL256" s="57"/>
      <c r="BM256" s="9"/>
      <c r="BN256" s="242"/>
      <c r="BO256" s="9"/>
      <c r="BP256" s="242"/>
      <c r="BQ256" s="9"/>
      <c r="BR256" s="242"/>
      <c r="BS256" s="9"/>
      <c r="BT256" s="242"/>
      <c r="BU256" s="9"/>
      <c r="BV256" s="43"/>
      <c r="BW256" s="722"/>
      <c r="BX256" s="722"/>
      <c r="BY256"/>
      <c r="BZ256"/>
      <c r="CA256"/>
      <c r="CB256"/>
      <c r="CC256"/>
      <c r="CD256"/>
    </row>
    <row r="257" spans="1:82" s="7" customFormat="1" ht="12.75" customHeight="1" x14ac:dyDescent="0.2">
      <c r="A257" s="42"/>
      <c r="B257" s="17" t="s">
        <v>314</v>
      </c>
      <c r="C257" s="57"/>
      <c r="D257" s="9"/>
      <c r="E257" s="57"/>
      <c r="F257" s="9"/>
      <c r="G257" s="57"/>
      <c r="H257" s="9"/>
      <c r="I257" s="130"/>
      <c r="J257" s="9"/>
      <c r="K257" s="130"/>
      <c r="L257" s="9"/>
      <c r="M257" s="130"/>
      <c r="N257" s="9"/>
      <c r="O257" s="670">
        <v>13100</v>
      </c>
      <c r="P257" s="43" t="str">
        <f t="shared" ref="P257:AD268" si="1441">IF(ISERROR(O257/G257),"NA",IF(OR(O257/G257&gt;2,O257/G257&lt;0.5),"NM",O257/G257*100-100))</f>
        <v>NA</v>
      </c>
      <c r="Q257" s="126">
        <f>O264</f>
        <v>12700</v>
      </c>
      <c r="R257" s="43" t="str">
        <f t="shared" ref="R257:R266" si="1442">IF(ISERROR(Q257/I257),"NA",IF(OR(Q257/I257&gt;2,Q257/I257&lt;0.5),"NM",Q257/I257*100-100))</f>
        <v>NA</v>
      </c>
      <c r="S257" s="126">
        <f t="shared" ref="S257" si="1443">Q264</f>
        <v>11900</v>
      </c>
      <c r="T257" s="43" t="str">
        <f t="shared" ref="T257:T266" si="1444">IF(ISERROR(S257/K257),"NA",IF(OR(S257/K257&gt;2,S257/K257&lt;0.5),"NM",S257/K257*100-100))</f>
        <v>NA</v>
      </c>
      <c r="U257" s="126">
        <f t="shared" ref="U257" si="1445">S264</f>
        <v>11500</v>
      </c>
      <c r="V257" s="43" t="str">
        <f t="shared" ref="V257:V266" si="1446">IF(ISERROR(U257/M257),"NA",IF(OR(U257/M257&gt;2,U257/M257&lt;0.5),"NM",U257/M257*100-100))</f>
        <v>NA</v>
      </c>
      <c r="W257" s="126">
        <f>U264</f>
        <v>11400</v>
      </c>
      <c r="X257" s="43">
        <f t="shared" ref="X257:X266" si="1447">IF(ISERROR(W257/O257),"NA",IF(OR(W257/O257&gt;2,W257/O257&lt;0.5),"NM",W257/O257*100-100))</f>
        <v>-12.977099236641223</v>
      </c>
      <c r="Y257" s="126">
        <f>W264</f>
        <v>10500</v>
      </c>
      <c r="Z257" s="43">
        <f t="shared" ref="Z257:Z266" si="1448">IF(ISERROR(Y257/Q257),"NA",IF(OR(Y257/Q257&gt;2,Y257/Q257&lt;0.5),"NM",Y257/Q257*100-100))</f>
        <v>-17.322834645669289</v>
      </c>
      <c r="AA257" s="126">
        <f>Y264</f>
        <v>10400</v>
      </c>
      <c r="AB257" s="43">
        <f t="shared" ref="AB257:AB266" si="1449">IF(ISERROR(AA257/S257),"NA",IF(OR(AA257/S257&gt;2,AA257/S257&lt;0.5),"NM",AA257/S257*100-100))</f>
        <v>-12.605042016806721</v>
      </c>
      <c r="AC257" s="126">
        <f>AA264</f>
        <v>10800</v>
      </c>
      <c r="AD257" s="43">
        <f t="shared" ref="AD257:AD266" si="1450">IF(ISERROR(AC257/U257),"NA",IF(OR(AC257/U257&gt;2,AC257/U257&lt;0.5),"NM",AC257/U257*100-100))</f>
        <v>-6.0869565217391255</v>
      </c>
      <c r="AE257" s="126">
        <f>AC264</f>
        <v>10300</v>
      </c>
      <c r="AF257" s="43">
        <f t="shared" ref="AF257:AF266" si="1451">IF(ISERROR(AE257/W257),"NA",IF(OR(AE257/W257&gt;2,AE257/W257&lt;0.5),"NM",AE257/W257*100-100))</f>
        <v>-9.6491228070175339</v>
      </c>
      <c r="AG257" s="126">
        <f>AE264</f>
        <v>9500</v>
      </c>
      <c r="AH257" s="9">
        <f t="shared" ref="AH257:AH266" si="1452">IF(ISERROR(AG257/Y257),"NA",IF(OR(AG257/Y257&gt;2,AG257/Y257&lt;0.5),"NM",AG257/Y257*100-100))</f>
        <v>-9.5238095238095184</v>
      </c>
      <c r="AI257" s="126">
        <f>AG264</f>
        <v>8700</v>
      </c>
      <c r="AJ257" s="9">
        <f t="shared" ref="AJ257:AJ264" si="1453">IF(ISERROR(AI257/AA257),"NA",IF(OR(AI257/AA257&gt;2,AI257/AA257&lt;0.5),"NM",AI257/AA257*100-100))</f>
        <v>-16.34615384615384</v>
      </c>
      <c r="AK257" s="126">
        <f>AI264</f>
        <v>9700</v>
      </c>
      <c r="AL257" s="9">
        <f t="shared" ref="AL257:AL264" si="1454">IF(ISERROR(AK257/AC257),"NA",IF(OR(AK257/AC257&gt;2,AK257/AC257&lt;0.5),"NM",AK257/AC257*100-100))</f>
        <v>-10.18518518518519</v>
      </c>
      <c r="AM257" s="126">
        <f>AK264</f>
        <v>10300</v>
      </c>
      <c r="AN257" s="9">
        <f t="shared" ref="AN257:AN264" si="1455">IF(ISERROR(AM257/AE257),"NA",IF(OR(AM257/AE257&gt;2,AM257/AE257&lt;0.5),"NM",AM257/AE257*100-100))</f>
        <v>0</v>
      </c>
      <c r="AO257" s="126">
        <f>AM264</f>
        <v>10600</v>
      </c>
      <c r="AP257" s="9">
        <f t="shared" ref="AP257:AP264" si="1456">IF(ISERROR(AO257/AG257),"NA",IF(OR(AO257/AG257&gt;2,AO257/AG257&lt;0.5),"NM",AO257/AG257*100-100))</f>
        <v>11.578947368421041</v>
      </c>
      <c r="AQ257" s="126">
        <f t="shared" ref="AQ257" si="1457">AO264</f>
        <v>9600</v>
      </c>
      <c r="AR257" s="9">
        <f t="shared" ref="AR257:AR264" si="1458">IF(ISERROR(AQ257/AI257),"NA",IF(OR(AQ257/AI257&gt;2,AQ257/AI257&lt;0.5),"NM",AQ257/AI257*100-100))</f>
        <v>10.34482758620689</v>
      </c>
      <c r="AS257" s="126">
        <f t="shared" ref="AS257" si="1459">AQ264</f>
        <v>9383.0188679245275</v>
      </c>
      <c r="AT257" s="9">
        <f t="shared" ref="AT257:AT264" si="1460">IF(ISERROR(AS257/AK257),"NA",IF(OR(AS257/AK257&gt;2,AS257/AK257&lt;0.5),"NM",AS257/AK257*100-100))</f>
        <v>-3.2678467224275494</v>
      </c>
      <c r="AU257" s="126">
        <f t="shared" ref="AU257" si="1461">AS264</f>
        <v>9210.681069775721</v>
      </c>
      <c r="AV257" s="9">
        <f t="shared" ref="AV257:AV264" si="1462">IF(ISERROR(AU257/AM257),"NA",IF(OR(AU257/AM257&gt;2,AU257/AM257&lt;0.5),"NM",AU257/AM257*100-100))</f>
        <v>-10.575911943925036</v>
      </c>
      <c r="AW257" s="126">
        <f t="shared" ref="AW257" si="1463">AU264</f>
        <v>9037.835200288031</v>
      </c>
      <c r="AX257" s="9">
        <f t="shared" ref="AX257:AX264" si="1464">IF(ISERROR(AW257/AO257),"NA",IF(OR(AW257/AO257&gt;2,AW257/AO257&lt;0.5),"NM",AW257/AO257*100-100))</f>
        <v>-14.73740377086763</v>
      </c>
      <c r="AY257" s="287"/>
      <c r="AZ257" s="122"/>
      <c r="BA257" s="131"/>
      <c r="BB257" s="57"/>
      <c r="BC257" s="226" t="str">
        <f>IF(ISERROR(BB257/#REF!),"NA",IF(OR(BB257/#REF!&gt;2,BB257/#REF!&lt;0.5),"NM",BB257/#REF!*100-100))</f>
        <v>NA</v>
      </c>
      <c r="BD257" s="911"/>
      <c r="BE257" s="226" t="str">
        <f t="shared" ref="BE257:BE271" si="1465">IF(ISERROR(BD257/BB257),"NA",IF(OR(BD257/BB257&gt;2,BD257/BB257&lt;0.5),"NM",BD257/BB257*100-100))</f>
        <v>NA</v>
      </c>
      <c r="BF257" s="55">
        <f>Q264</f>
        <v>11900</v>
      </c>
      <c r="BG257" s="226" t="str">
        <f t="shared" ref="BG257:BG271" si="1466">IF(ISERROR(BF257/BD257),"NA",IF(OR(BF257/BD257&gt;2,BF257/BD257&lt;0.5),"NM",BF257/BD257*100-100))</f>
        <v>NA</v>
      </c>
      <c r="BH257" s="55">
        <f>BF264</f>
        <v>10400</v>
      </c>
      <c r="BI257" s="226">
        <f t="shared" ref="BI257:BS271" si="1467">IF(ISERROR(BH257/BF257),"NA",IF(OR(BH257/BF257&gt;2,BH257/BF257&lt;0.5),"NM",BH257/BF257*100-100))</f>
        <v>-12.605042016806721</v>
      </c>
      <c r="BJ257" s="55">
        <f>BH264</f>
        <v>8700</v>
      </c>
      <c r="BK257" s="226">
        <f t="shared" si="1467"/>
        <v>-16.34615384615384</v>
      </c>
      <c r="BL257" s="55">
        <f>BJ264</f>
        <v>9600</v>
      </c>
      <c r="BM257" s="226">
        <f t="shared" si="1467"/>
        <v>10.34482758620689</v>
      </c>
      <c r="BN257" s="126">
        <f>BL264</f>
        <v>8864.4797616096348</v>
      </c>
      <c r="BO257" s="226">
        <f t="shared" si="1467"/>
        <v>-7.6616691498996374</v>
      </c>
      <c r="BP257" s="126">
        <f t="shared" ref="BP257" si="1468">BN264</f>
        <v>8316.143113981143</v>
      </c>
      <c r="BQ257" s="226">
        <f t="shared" si="1467"/>
        <v>-6.1857735859833838</v>
      </c>
      <c r="BR257" s="126">
        <f t="shared" ref="BR257" si="1469">BP264</f>
        <v>7716.9796936285402</v>
      </c>
      <c r="BS257" s="226">
        <f t="shared" si="1467"/>
        <v>-7.2048233434714035</v>
      </c>
      <c r="BT257" s="126">
        <f t="shared" ref="BT257" si="1470">BR264</f>
        <v>7064.0318438246541</v>
      </c>
      <c r="BU257" s="226">
        <f t="shared" ref="BU257:BU264" si="1471">IF(ISERROR(BT257/BR257),"NA",IF(OR(BT257/BR257&gt;2,BT257/BR257&lt;0.5),"NM",BT257/BR257*100-100))</f>
        <v>-8.4611839829381381</v>
      </c>
      <c r="BV257" s="43">
        <f t="shared" ref="BV257:BV264" si="1472">IF(ISERROR(((BT257/BJ257)^0.2-1)*100),"NA",IF((((BT257/BJ257)^0.2-1)*100)&gt;100,"NM",IF((((BT257/BJ257)^0.2-1)*100)&lt;-50,"NM",((BT257/BJ257)^0.2-1)*100)))</f>
        <v>-4.080550159518137</v>
      </c>
      <c r="BW257" s="722"/>
      <c r="BX257" s="722"/>
      <c r="BY257"/>
      <c r="BZ257"/>
      <c r="CA257"/>
      <c r="CB257"/>
      <c r="CC257"/>
      <c r="CD257"/>
    </row>
    <row r="258" spans="1:82" s="7" customFormat="1" ht="12.75" customHeight="1" x14ac:dyDescent="0.2">
      <c r="A258" s="42"/>
      <c r="B258" s="17" t="s">
        <v>490</v>
      </c>
      <c r="C258" s="57"/>
      <c r="D258" s="9"/>
      <c r="E258" s="57"/>
      <c r="F258" s="9"/>
      <c r="G258" s="57"/>
      <c r="H258" s="9"/>
      <c r="I258" s="130"/>
      <c r="J258" s="9"/>
      <c r="K258" s="130"/>
      <c r="L258" s="9"/>
      <c r="M258" s="130"/>
      <c r="N258" s="9"/>
      <c r="O258" s="670">
        <v>2000</v>
      </c>
      <c r="P258" s="43" t="str">
        <f t="shared" si="1441"/>
        <v>NA</v>
      </c>
      <c r="Q258" s="670">
        <v>1300</v>
      </c>
      <c r="R258" s="43" t="str">
        <f t="shared" si="1442"/>
        <v>NA</v>
      </c>
      <c r="S258" s="670">
        <v>1400</v>
      </c>
      <c r="T258" s="43" t="str">
        <f t="shared" si="1444"/>
        <v>NA</v>
      </c>
      <c r="U258" s="670">
        <v>1100</v>
      </c>
      <c r="V258" s="43" t="str">
        <f t="shared" si="1446"/>
        <v>NA</v>
      </c>
      <c r="W258" s="670">
        <v>1200</v>
      </c>
      <c r="X258" s="43">
        <f t="shared" si="1447"/>
        <v>-40</v>
      </c>
      <c r="Y258" s="670">
        <v>1000</v>
      </c>
      <c r="Z258" s="43">
        <f t="shared" si="1448"/>
        <v>-23.076923076923066</v>
      </c>
      <c r="AA258" s="670">
        <v>900</v>
      </c>
      <c r="AB258" s="43">
        <f t="shared" si="1449"/>
        <v>-35.714285714285708</v>
      </c>
      <c r="AC258" s="670">
        <v>1200</v>
      </c>
      <c r="AD258" s="43">
        <f t="shared" si="1450"/>
        <v>9.0909090909090793</v>
      </c>
      <c r="AE258" s="670">
        <v>800</v>
      </c>
      <c r="AF258" s="43">
        <f t="shared" si="1451"/>
        <v>-33.333333333333343</v>
      </c>
      <c r="AG258" s="670">
        <v>1000</v>
      </c>
      <c r="AH258" s="9">
        <f t="shared" si="1452"/>
        <v>0</v>
      </c>
      <c r="AI258" s="670">
        <v>1000</v>
      </c>
      <c r="AJ258" s="9">
        <f t="shared" si="1453"/>
        <v>11.111111111111114</v>
      </c>
      <c r="AK258" s="670">
        <v>1200</v>
      </c>
      <c r="AL258" s="9">
        <f t="shared" si="1454"/>
        <v>0</v>
      </c>
      <c r="AM258" s="670">
        <v>2900</v>
      </c>
      <c r="AN258" s="9" t="str">
        <f t="shared" si="1455"/>
        <v>NM</v>
      </c>
      <c r="AO258" s="670">
        <v>1200</v>
      </c>
      <c r="AP258" s="9">
        <f t="shared" si="1456"/>
        <v>20</v>
      </c>
      <c r="AQ258" s="670">
        <f t="shared" ref="AQ258" si="1473">AO258</f>
        <v>1200</v>
      </c>
      <c r="AR258" s="9">
        <f t="shared" si="1458"/>
        <v>20</v>
      </c>
      <c r="AS258" s="670">
        <f t="shared" ref="AS258" si="1474">AQ258</f>
        <v>1200</v>
      </c>
      <c r="AT258" s="9">
        <f t="shared" si="1460"/>
        <v>0</v>
      </c>
      <c r="AU258" s="670">
        <f t="shared" ref="AU258" si="1475">AS258</f>
        <v>1200</v>
      </c>
      <c r="AV258" s="9" t="str">
        <f t="shared" si="1462"/>
        <v>NM</v>
      </c>
      <c r="AW258" s="670">
        <f t="shared" ref="AW258" si="1476">AU258</f>
        <v>1200</v>
      </c>
      <c r="AX258" s="9">
        <f t="shared" si="1464"/>
        <v>0</v>
      </c>
      <c r="AY258" s="287"/>
      <c r="AZ258" s="122"/>
      <c r="BA258" s="131"/>
      <c r="BB258" s="57"/>
      <c r="BC258" s="226" t="str">
        <f>IF(ISERROR(BB258/#REF!),"NA",IF(OR(BB258/#REF!&gt;2,BB258/#REF!&lt;0.5),"NM",BB258/#REF!*100-100))</f>
        <v>NA</v>
      </c>
      <c r="BD258" s="911"/>
      <c r="BE258" s="226" t="str">
        <f t="shared" si="1465"/>
        <v>NA</v>
      </c>
      <c r="BF258" s="55">
        <f t="shared" ref="BF258:BF263" si="1477">S258+U258+W258+Y258</f>
        <v>4700</v>
      </c>
      <c r="BG258" s="226" t="str">
        <f t="shared" si="1466"/>
        <v>NA</v>
      </c>
      <c r="BH258" s="55">
        <f t="shared" ref="BH258:BH263" si="1478">AA258+AC258+AE258+AG258</f>
        <v>3900</v>
      </c>
      <c r="BI258" s="226">
        <f t="shared" si="1467"/>
        <v>-17.021276595744681</v>
      </c>
      <c r="BJ258" s="55">
        <f t="shared" ref="BJ258:BJ263" si="1479">AI258+AK258+AM258+AO258</f>
        <v>6300</v>
      </c>
      <c r="BK258" s="226">
        <f t="shared" si="1467"/>
        <v>61.538461538461547</v>
      </c>
      <c r="BL258" s="55">
        <f t="shared" ref="BL258:BL263" si="1480">AQ258+AS258+AU258+AW258</f>
        <v>4800</v>
      </c>
      <c r="BM258" s="226">
        <f t="shared" si="1467"/>
        <v>-23.80952380952381</v>
      </c>
      <c r="BN258" s="127">
        <f>BL258*1.02</f>
        <v>4896</v>
      </c>
      <c r="BO258" s="226">
        <f t="shared" si="1467"/>
        <v>2</v>
      </c>
      <c r="BP258" s="127">
        <f t="shared" ref="BP258" si="1481">BN258*1.02</f>
        <v>4993.92</v>
      </c>
      <c r="BQ258" s="226">
        <f t="shared" si="1467"/>
        <v>2</v>
      </c>
      <c r="BR258" s="127">
        <f t="shared" ref="BR258" si="1482">BP258*1.02</f>
        <v>5093.7984000000006</v>
      </c>
      <c r="BS258" s="226">
        <f t="shared" si="1467"/>
        <v>2</v>
      </c>
      <c r="BT258" s="127">
        <f t="shared" ref="BT258" si="1483">BR258*1.02</f>
        <v>5195.6743680000009</v>
      </c>
      <c r="BU258" s="226">
        <f t="shared" si="1471"/>
        <v>2</v>
      </c>
      <c r="BV258" s="43">
        <f t="shared" si="1472"/>
        <v>-3.7811249536913061</v>
      </c>
      <c r="BW258" s="722"/>
      <c r="BX258" s="722"/>
      <c r="BY258"/>
      <c r="BZ258"/>
      <c r="CA258"/>
      <c r="CB258"/>
      <c r="CC258"/>
      <c r="CD258"/>
    </row>
    <row r="259" spans="1:82" s="7" customFormat="1" ht="12.75" customHeight="1" x14ac:dyDescent="0.2">
      <c r="A259" s="42"/>
      <c r="B259" s="17" t="s">
        <v>491</v>
      </c>
      <c r="C259" s="57"/>
      <c r="D259" s="9"/>
      <c r="E259" s="57"/>
      <c r="F259" s="9"/>
      <c r="G259" s="57"/>
      <c r="H259" s="9"/>
      <c r="I259" s="130"/>
      <c r="J259" s="9"/>
      <c r="K259" s="130"/>
      <c r="L259" s="9"/>
      <c r="M259" s="130"/>
      <c r="N259" s="9"/>
      <c r="O259" s="670">
        <v>-1900</v>
      </c>
      <c r="P259" s="43" t="str">
        <f t="shared" si="1441"/>
        <v>NA</v>
      </c>
      <c r="Q259" s="670">
        <v>-1300</v>
      </c>
      <c r="R259" s="43" t="str">
        <f t="shared" si="1442"/>
        <v>NA</v>
      </c>
      <c r="S259" s="670">
        <v>-1500</v>
      </c>
      <c r="T259" s="43" t="str">
        <f t="shared" si="1444"/>
        <v>NA</v>
      </c>
      <c r="U259" s="670">
        <v>-1000</v>
      </c>
      <c r="V259" s="43" t="str">
        <f t="shared" si="1446"/>
        <v>NA</v>
      </c>
      <c r="W259" s="670">
        <v>-1200</v>
      </c>
      <c r="X259" s="43">
        <f t="shared" si="1447"/>
        <v>-36.842105263157897</v>
      </c>
      <c r="Y259" s="670">
        <v>-1100</v>
      </c>
      <c r="Z259" s="43">
        <f t="shared" si="1448"/>
        <v>-15.384615384615387</v>
      </c>
      <c r="AA259" s="670">
        <v>-800</v>
      </c>
      <c r="AB259" s="43">
        <f t="shared" si="1449"/>
        <v>-46.666666666666664</v>
      </c>
      <c r="AC259" s="670">
        <v>-1200</v>
      </c>
      <c r="AD259" s="43">
        <f t="shared" si="1450"/>
        <v>20</v>
      </c>
      <c r="AE259" s="670">
        <v>-1000</v>
      </c>
      <c r="AF259" s="43">
        <f t="shared" si="1451"/>
        <v>-16.666666666666657</v>
      </c>
      <c r="AG259" s="670">
        <v>-1000</v>
      </c>
      <c r="AH259" s="9">
        <f t="shared" si="1452"/>
        <v>-9.0909090909090935</v>
      </c>
      <c r="AI259" s="670">
        <v>-1000</v>
      </c>
      <c r="AJ259" s="9">
        <f t="shared" si="1453"/>
        <v>25</v>
      </c>
      <c r="AK259" s="670">
        <v>-1100</v>
      </c>
      <c r="AL259" s="9">
        <f t="shared" si="1454"/>
        <v>-8.3333333333333428</v>
      </c>
      <c r="AM259" s="670">
        <v>-2900</v>
      </c>
      <c r="AN259" s="9" t="str">
        <f t="shared" si="1455"/>
        <v>NM</v>
      </c>
      <c r="AO259" s="670">
        <v>-1400</v>
      </c>
      <c r="AP259" s="9">
        <f t="shared" si="1456"/>
        <v>40</v>
      </c>
      <c r="AQ259" s="126">
        <f t="shared" ref="AQ259:AW259" si="1484">AQ268-AQ258</f>
        <v>-1400</v>
      </c>
      <c r="AR259" s="9">
        <f t="shared" si="1458"/>
        <v>40</v>
      </c>
      <c r="AS259" s="126">
        <f t="shared" si="1484"/>
        <v>-1400</v>
      </c>
      <c r="AT259" s="9">
        <f t="shared" si="1460"/>
        <v>27.272727272727266</v>
      </c>
      <c r="AU259" s="126">
        <f t="shared" si="1484"/>
        <v>-1400</v>
      </c>
      <c r="AV259" s="9" t="str">
        <f t="shared" si="1462"/>
        <v>NM</v>
      </c>
      <c r="AW259" s="126">
        <f t="shared" si="1484"/>
        <v>-1400</v>
      </c>
      <c r="AX259" s="9">
        <f t="shared" si="1464"/>
        <v>0</v>
      </c>
      <c r="AY259" s="287"/>
      <c r="AZ259" s="122"/>
      <c r="BA259" s="131"/>
      <c r="BB259" s="57"/>
      <c r="BC259" s="226" t="str">
        <f>IF(ISERROR(BB259/#REF!),"NA",IF(OR(BB259/#REF!&gt;2,BB259/#REF!&lt;0.5),"NM",BB259/#REF!*100-100))</f>
        <v>NA</v>
      </c>
      <c r="BD259" s="911"/>
      <c r="BE259" s="226" t="str">
        <f t="shared" si="1465"/>
        <v>NA</v>
      </c>
      <c r="BF259" s="55">
        <f t="shared" si="1477"/>
        <v>-4800</v>
      </c>
      <c r="BG259" s="226" t="str">
        <f t="shared" si="1466"/>
        <v>NA</v>
      </c>
      <c r="BH259" s="55">
        <f t="shared" si="1478"/>
        <v>-4000</v>
      </c>
      <c r="BI259" s="226">
        <f t="shared" si="1467"/>
        <v>-16.666666666666657</v>
      </c>
      <c r="BJ259" s="55">
        <f t="shared" si="1479"/>
        <v>-6400</v>
      </c>
      <c r="BK259" s="226">
        <f t="shared" si="1467"/>
        <v>60</v>
      </c>
      <c r="BL259" s="55">
        <f t="shared" si="1480"/>
        <v>-5600</v>
      </c>
      <c r="BM259" s="226">
        <f t="shared" si="1467"/>
        <v>-12.5</v>
      </c>
      <c r="BN259" s="126">
        <f t="shared" ref="BN259" si="1485">BN268-BN258</f>
        <v>-5728</v>
      </c>
      <c r="BO259" s="226">
        <f t="shared" si="1467"/>
        <v>2.2857142857142918</v>
      </c>
      <c r="BP259" s="126">
        <f t="shared" ref="BP259:BR259" si="1486">BP268-BP258</f>
        <v>-5859.2</v>
      </c>
      <c r="BQ259" s="226">
        <f t="shared" si="1467"/>
        <v>2.2905027932960849</v>
      </c>
      <c r="BR259" s="126">
        <f t="shared" si="1486"/>
        <v>-5993.6896000000006</v>
      </c>
      <c r="BS259" s="226">
        <f t="shared" si="1467"/>
        <v>2.2953577280175068</v>
      </c>
      <c r="BT259" s="126">
        <f t="shared" ref="BT259" si="1487">BT268-BT258</f>
        <v>-6131.561216000001</v>
      </c>
      <c r="BU259" s="226">
        <f t="shared" si="1471"/>
        <v>2.3002795473425977</v>
      </c>
      <c r="BV259" s="43">
        <f t="shared" si="1472"/>
        <v>-0.8533102306961915</v>
      </c>
      <c r="BW259" s="722"/>
      <c r="BX259" s="722"/>
      <c r="BY259"/>
      <c r="BZ259"/>
      <c r="CA259"/>
      <c r="CB259"/>
      <c r="CC259"/>
      <c r="CD259"/>
    </row>
    <row r="260" spans="1:82" s="7" customFormat="1" ht="12.75" customHeight="1" x14ac:dyDescent="0.2">
      <c r="A260" s="42"/>
      <c r="B260" s="17" t="s">
        <v>149</v>
      </c>
      <c r="C260" s="57"/>
      <c r="D260" s="9"/>
      <c r="E260" s="57"/>
      <c r="F260" s="9"/>
      <c r="G260" s="57"/>
      <c r="H260" s="9"/>
      <c r="I260" s="130"/>
      <c r="J260" s="9"/>
      <c r="K260" s="130"/>
      <c r="L260" s="9"/>
      <c r="M260" s="130"/>
      <c r="N260" s="9"/>
      <c r="O260" s="670">
        <v>0</v>
      </c>
      <c r="P260" s="43" t="str">
        <f t="shared" si="1441"/>
        <v>NA</v>
      </c>
      <c r="Q260" s="670">
        <v>400</v>
      </c>
      <c r="R260" s="43" t="str">
        <f t="shared" si="1442"/>
        <v>NA</v>
      </c>
      <c r="S260" s="670">
        <v>100</v>
      </c>
      <c r="T260" s="43" t="str">
        <f t="shared" si="1444"/>
        <v>NA</v>
      </c>
      <c r="U260" s="670">
        <v>100</v>
      </c>
      <c r="V260" s="43" t="str">
        <f t="shared" si="1446"/>
        <v>NA</v>
      </c>
      <c r="W260" s="670">
        <v>100</v>
      </c>
      <c r="X260" s="43" t="str">
        <f t="shared" si="1447"/>
        <v>NA</v>
      </c>
      <c r="Y260" s="670">
        <v>100</v>
      </c>
      <c r="Z260" s="43" t="str">
        <f t="shared" si="1448"/>
        <v>NM</v>
      </c>
      <c r="AA260" s="670">
        <v>300</v>
      </c>
      <c r="AB260" s="43" t="str">
        <f t="shared" si="1449"/>
        <v>NM</v>
      </c>
      <c r="AC260" s="670">
        <v>200</v>
      </c>
      <c r="AD260" s="43">
        <f t="shared" si="1450"/>
        <v>100</v>
      </c>
      <c r="AE260" s="670">
        <v>200</v>
      </c>
      <c r="AF260" s="43">
        <f t="shared" si="1451"/>
        <v>100</v>
      </c>
      <c r="AG260" s="670">
        <v>-200</v>
      </c>
      <c r="AH260" s="9" t="str">
        <f t="shared" si="1452"/>
        <v>NM</v>
      </c>
      <c r="AI260" s="670">
        <v>200</v>
      </c>
      <c r="AJ260" s="9">
        <f t="shared" si="1453"/>
        <v>-33.333333333333343</v>
      </c>
      <c r="AK260" s="670">
        <v>200</v>
      </c>
      <c r="AL260" s="9">
        <f t="shared" si="1454"/>
        <v>0</v>
      </c>
      <c r="AM260" s="670">
        <v>200</v>
      </c>
      <c r="AN260" s="9">
        <f t="shared" si="1455"/>
        <v>0</v>
      </c>
      <c r="AO260" s="670">
        <v>100</v>
      </c>
      <c r="AP260" s="9" t="str">
        <f t="shared" si="1456"/>
        <v>NM</v>
      </c>
      <c r="AQ260" s="55">
        <f t="shared" ref="AQ260:AW260" si="1488">AQ257*(AQ272/100*AQ$31/100)</f>
        <v>-16.981132075471695</v>
      </c>
      <c r="AR260" s="9" t="str">
        <f t="shared" si="1458"/>
        <v>NM</v>
      </c>
      <c r="AS260" s="55">
        <f t="shared" si="1488"/>
        <v>27.662201851192592</v>
      </c>
      <c r="AT260" s="9" t="str">
        <f t="shared" si="1460"/>
        <v>NM</v>
      </c>
      <c r="AU260" s="55">
        <f t="shared" si="1488"/>
        <v>27.154130512310495</v>
      </c>
      <c r="AV260" s="9" t="str">
        <f t="shared" si="1462"/>
        <v>NM</v>
      </c>
      <c r="AW260" s="55">
        <f t="shared" si="1488"/>
        <v>26.644561321603863</v>
      </c>
      <c r="AX260" s="9" t="str">
        <f t="shared" si="1464"/>
        <v>NM</v>
      </c>
      <c r="AY260" s="287"/>
      <c r="AZ260" s="122"/>
      <c r="BA260" s="131"/>
      <c r="BB260" s="57"/>
      <c r="BC260" s="226" t="str">
        <f>IF(ISERROR(BB260/#REF!),"NA",IF(OR(BB260/#REF!&gt;2,BB260/#REF!&lt;0.5),"NM",BB260/#REF!*100-100))</f>
        <v>NA</v>
      </c>
      <c r="BD260" s="911"/>
      <c r="BE260" s="226" t="str">
        <f t="shared" si="1465"/>
        <v>NA</v>
      </c>
      <c r="BF260" s="55">
        <f t="shared" si="1477"/>
        <v>400</v>
      </c>
      <c r="BG260" s="226" t="str">
        <f t="shared" si="1466"/>
        <v>NA</v>
      </c>
      <c r="BH260" s="55">
        <f t="shared" si="1478"/>
        <v>500</v>
      </c>
      <c r="BI260" s="226">
        <f t="shared" si="1467"/>
        <v>25</v>
      </c>
      <c r="BJ260" s="55">
        <f t="shared" si="1479"/>
        <v>700</v>
      </c>
      <c r="BK260" s="226">
        <f t="shared" si="1467"/>
        <v>40</v>
      </c>
      <c r="BL260" s="55">
        <f t="shared" si="1480"/>
        <v>64.479761609635247</v>
      </c>
      <c r="BM260" s="226" t="str">
        <f t="shared" si="1467"/>
        <v>NM</v>
      </c>
      <c r="BN260" s="55">
        <f t="shared" ref="BN260:BP260" si="1489">BN257*(BN272/100*BN$31/100)</f>
        <v>283.66335237150832</v>
      </c>
      <c r="BO260" s="226" t="str">
        <f t="shared" si="1467"/>
        <v>NM</v>
      </c>
      <c r="BP260" s="55">
        <f t="shared" si="1489"/>
        <v>266.11657964739658</v>
      </c>
      <c r="BQ260" s="226">
        <f t="shared" si="1467"/>
        <v>-6.1857735859833838</v>
      </c>
      <c r="BR260" s="55">
        <f t="shared" ref="BR260:BT260" si="1490">BR257*(BR272/100*BR$31/100)</f>
        <v>246.9433501961133</v>
      </c>
      <c r="BS260" s="226">
        <f t="shared" si="1467"/>
        <v>-7.2048233434714035</v>
      </c>
      <c r="BT260" s="55">
        <f t="shared" si="1490"/>
        <v>226.04901900238895</v>
      </c>
      <c r="BU260" s="226">
        <f t="shared" si="1471"/>
        <v>-8.4611839829381239</v>
      </c>
      <c r="BV260" s="43">
        <f t="shared" si="1472"/>
        <v>-20.233430047807342</v>
      </c>
      <c r="BW260" s="722"/>
      <c r="BX260" s="722"/>
      <c r="BY260"/>
      <c r="BZ260"/>
      <c r="CA260"/>
      <c r="CB260"/>
      <c r="CC260"/>
      <c r="CD260"/>
    </row>
    <row r="261" spans="1:82" s="7" customFormat="1" ht="12.75" customHeight="1" x14ac:dyDescent="0.2">
      <c r="A261" s="42"/>
      <c r="B261" s="17" t="s">
        <v>150</v>
      </c>
      <c r="C261" s="57"/>
      <c r="D261" s="9"/>
      <c r="E261" s="57"/>
      <c r="F261" s="9"/>
      <c r="G261" s="57"/>
      <c r="H261" s="9"/>
      <c r="I261" s="130"/>
      <c r="J261" s="9"/>
      <c r="K261" s="130"/>
      <c r="L261" s="9"/>
      <c r="M261" s="130"/>
      <c r="N261" s="9"/>
      <c r="O261" s="670">
        <v>0</v>
      </c>
      <c r="P261" s="43" t="str">
        <f t="shared" si="1441"/>
        <v>NA</v>
      </c>
      <c r="Q261" s="670">
        <v>0</v>
      </c>
      <c r="R261" s="43" t="str">
        <f t="shared" si="1442"/>
        <v>NA</v>
      </c>
      <c r="S261" s="670">
        <v>0</v>
      </c>
      <c r="T261" s="43" t="str">
        <f t="shared" si="1444"/>
        <v>NA</v>
      </c>
      <c r="U261" s="670">
        <v>0</v>
      </c>
      <c r="V261" s="43" t="str">
        <f t="shared" si="1446"/>
        <v>NA</v>
      </c>
      <c r="W261" s="670">
        <v>0</v>
      </c>
      <c r="X261" s="43" t="str">
        <f t="shared" si="1447"/>
        <v>NA</v>
      </c>
      <c r="Y261" s="670">
        <v>0</v>
      </c>
      <c r="Z261" s="43" t="str">
        <f t="shared" si="1448"/>
        <v>NA</v>
      </c>
      <c r="AA261" s="670">
        <v>0</v>
      </c>
      <c r="AB261" s="43" t="str">
        <f t="shared" si="1449"/>
        <v>NA</v>
      </c>
      <c r="AC261" s="670">
        <v>0</v>
      </c>
      <c r="AD261" s="43" t="str">
        <f t="shared" si="1450"/>
        <v>NA</v>
      </c>
      <c r="AE261" s="670">
        <v>0</v>
      </c>
      <c r="AF261" s="43" t="str">
        <f t="shared" si="1451"/>
        <v>NA</v>
      </c>
      <c r="AG261" s="670">
        <v>0</v>
      </c>
      <c r="AH261" s="9" t="str">
        <f t="shared" si="1452"/>
        <v>NA</v>
      </c>
      <c r="AI261" s="670">
        <v>0</v>
      </c>
      <c r="AJ261" s="9" t="str">
        <f t="shared" si="1453"/>
        <v>NA</v>
      </c>
      <c r="AK261" s="670">
        <v>0</v>
      </c>
      <c r="AL261" s="9" t="str">
        <f t="shared" si="1454"/>
        <v>NA</v>
      </c>
      <c r="AM261" s="670">
        <v>0</v>
      </c>
      <c r="AN261" s="9" t="str">
        <f t="shared" si="1455"/>
        <v>NA</v>
      </c>
      <c r="AO261" s="670">
        <v>0</v>
      </c>
      <c r="AP261" s="9" t="str">
        <f t="shared" si="1456"/>
        <v>NA</v>
      </c>
      <c r="AQ261" s="670">
        <v>0</v>
      </c>
      <c r="AR261" s="9" t="str">
        <f t="shared" si="1458"/>
        <v>NA</v>
      </c>
      <c r="AS261" s="670">
        <v>0</v>
      </c>
      <c r="AT261" s="9" t="str">
        <f t="shared" si="1460"/>
        <v>NA</v>
      </c>
      <c r="AU261" s="670">
        <v>0</v>
      </c>
      <c r="AV261" s="9" t="str">
        <f t="shared" si="1462"/>
        <v>NA</v>
      </c>
      <c r="AW261" s="670">
        <v>0</v>
      </c>
      <c r="AX261" s="9" t="str">
        <f t="shared" si="1464"/>
        <v>NA</v>
      </c>
      <c r="AY261" s="287"/>
      <c r="AZ261" s="122"/>
      <c r="BA261" s="131"/>
      <c r="BB261" s="57"/>
      <c r="BC261" s="226" t="str">
        <f>IF(ISERROR(BB261/#REF!),"NA",IF(OR(BB261/#REF!&gt;2,BB261/#REF!&lt;0.5),"NM",BB261/#REF!*100-100))</f>
        <v>NA</v>
      </c>
      <c r="BD261" s="911"/>
      <c r="BE261" s="226" t="str">
        <f t="shared" si="1465"/>
        <v>NA</v>
      </c>
      <c r="BF261" s="55">
        <f t="shared" si="1477"/>
        <v>0</v>
      </c>
      <c r="BG261" s="226" t="str">
        <f t="shared" si="1466"/>
        <v>NA</v>
      </c>
      <c r="BH261" s="55">
        <f t="shared" si="1478"/>
        <v>0</v>
      </c>
      <c r="BI261" s="226" t="str">
        <f t="shared" si="1467"/>
        <v>NA</v>
      </c>
      <c r="BJ261" s="55">
        <f t="shared" si="1479"/>
        <v>0</v>
      </c>
      <c r="BK261" s="226" t="str">
        <f t="shared" si="1467"/>
        <v>NA</v>
      </c>
      <c r="BL261" s="55">
        <f t="shared" si="1480"/>
        <v>0</v>
      </c>
      <c r="BM261" s="226" t="str">
        <f t="shared" si="1467"/>
        <v>NA</v>
      </c>
      <c r="BN261" s="127">
        <v>0</v>
      </c>
      <c r="BO261" s="226" t="str">
        <f t="shared" si="1467"/>
        <v>NA</v>
      </c>
      <c r="BP261" s="127">
        <v>0</v>
      </c>
      <c r="BQ261" s="226" t="str">
        <f t="shared" si="1467"/>
        <v>NA</v>
      </c>
      <c r="BR261" s="127">
        <v>0</v>
      </c>
      <c r="BS261" s="226" t="str">
        <f t="shared" si="1467"/>
        <v>NA</v>
      </c>
      <c r="BT261" s="127">
        <v>0</v>
      </c>
      <c r="BU261" s="226" t="str">
        <f t="shared" si="1471"/>
        <v>NA</v>
      </c>
      <c r="BV261" s="43" t="str">
        <f t="shared" si="1472"/>
        <v>NA</v>
      </c>
      <c r="BW261" s="722"/>
      <c r="BX261" s="722"/>
      <c r="BY261"/>
      <c r="BZ261"/>
      <c r="CA261"/>
      <c r="CB261"/>
      <c r="CC261"/>
      <c r="CD261"/>
    </row>
    <row r="262" spans="1:82" s="7" customFormat="1" ht="12.75" customHeight="1" x14ac:dyDescent="0.2">
      <c r="A262" s="42"/>
      <c r="B262" s="17" t="s">
        <v>151</v>
      </c>
      <c r="C262" s="57"/>
      <c r="D262" s="9"/>
      <c r="E262" s="57"/>
      <c r="F262" s="9"/>
      <c r="G262" s="57"/>
      <c r="H262" s="9"/>
      <c r="I262" s="130"/>
      <c r="J262" s="9"/>
      <c r="K262" s="130"/>
      <c r="L262" s="9"/>
      <c r="M262" s="130"/>
      <c r="N262" s="9"/>
      <c r="O262" s="670">
        <v>-100</v>
      </c>
      <c r="P262" s="43" t="str">
        <f t="shared" si="1441"/>
        <v>NA</v>
      </c>
      <c r="Q262" s="670">
        <v>0</v>
      </c>
      <c r="R262" s="43" t="str">
        <f t="shared" si="1442"/>
        <v>NA</v>
      </c>
      <c r="S262" s="670">
        <v>0</v>
      </c>
      <c r="T262" s="43" t="str">
        <f t="shared" si="1444"/>
        <v>NA</v>
      </c>
      <c r="U262" s="670">
        <v>0</v>
      </c>
      <c r="V262" s="43" t="str">
        <f t="shared" si="1446"/>
        <v>NA</v>
      </c>
      <c r="W262" s="670">
        <v>-100</v>
      </c>
      <c r="X262" s="43">
        <f t="shared" si="1447"/>
        <v>0</v>
      </c>
      <c r="Y262" s="670">
        <v>0</v>
      </c>
      <c r="Z262" s="43" t="str">
        <f t="shared" si="1448"/>
        <v>NA</v>
      </c>
      <c r="AA262" s="670">
        <v>-100</v>
      </c>
      <c r="AB262" s="43" t="str">
        <f t="shared" si="1449"/>
        <v>NA</v>
      </c>
      <c r="AC262" s="670">
        <v>0</v>
      </c>
      <c r="AD262" s="43" t="str">
        <f t="shared" si="1450"/>
        <v>NA</v>
      </c>
      <c r="AE262" s="670">
        <v>-300</v>
      </c>
      <c r="AF262" s="43" t="str">
        <f t="shared" si="1451"/>
        <v>NM</v>
      </c>
      <c r="AG262" s="670">
        <v>-100</v>
      </c>
      <c r="AH262" s="9" t="str">
        <f t="shared" si="1452"/>
        <v>NA</v>
      </c>
      <c r="AI262" s="670">
        <v>0</v>
      </c>
      <c r="AJ262" s="9" t="str">
        <f t="shared" si="1453"/>
        <v>NM</v>
      </c>
      <c r="AK262" s="670">
        <v>-100</v>
      </c>
      <c r="AL262" s="9" t="str">
        <f t="shared" si="1454"/>
        <v>NA</v>
      </c>
      <c r="AM262" s="670">
        <v>100</v>
      </c>
      <c r="AN262" s="9" t="str">
        <f t="shared" si="1455"/>
        <v>NM</v>
      </c>
      <c r="AO262" s="670">
        <v>-100</v>
      </c>
      <c r="AP262" s="9">
        <f t="shared" si="1456"/>
        <v>0</v>
      </c>
      <c r="AQ262" s="670">
        <v>0</v>
      </c>
      <c r="AR262" s="9" t="str">
        <f t="shared" si="1458"/>
        <v>NA</v>
      </c>
      <c r="AS262" s="670">
        <v>0</v>
      </c>
      <c r="AT262" s="9" t="str">
        <f t="shared" si="1460"/>
        <v>NM</v>
      </c>
      <c r="AU262" s="670">
        <v>0</v>
      </c>
      <c r="AV262" s="9" t="str">
        <f t="shared" si="1462"/>
        <v>NM</v>
      </c>
      <c r="AW262" s="670">
        <v>0</v>
      </c>
      <c r="AX262" s="9" t="str">
        <f t="shared" si="1464"/>
        <v>NM</v>
      </c>
      <c r="AY262" s="287"/>
      <c r="AZ262" s="122"/>
      <c r="BA262" s="131"/>
      <c r="BB262" s="57"/>
      <c r="BC262" s="226" t="str">
        <f>IF(ISERROR(BB262/#REF!),"NA",IF(OR(BB262/#REF!&gt;2,BB262/#REF!&lt;0.5),"NM",BB262/#REF!*100-100))</f>
        <v>NA</v>
      </c>
      <c r="BD262" s="911"/>
      <c r="BE262" s="226" t="str">
        <f t="shared" si="1465"/>
        <v>NA</v>
      </c>
      <c r="BF262" s="55">
        <f t="shared" si="1477"/>
        <v>-100</v>
      </c>
      <c r="BG262" s="226" t="str">
        <f t="shared" si="1466"/>
        <v>NA</v>
      </c>
      <c r="BH262" s="55">
        <f t="shared" si="1478"/>
        <v>-500</v>
      </c>
      <c r="BI262" s="226" t="str">
        <f t="shared" si="1467"/>
        <v>NM</v>
      </c>
      <c r="BJ262" s="55">
        <f t="shared" si="1479"/>
        <v>-100</v>
      </c>
      <c r="BK262" s="226" t="str">
        <f t="shared" si="1467"/>
        <v>NM</v>
      </c>
      <c r="BL262" s="55">
        <f t="shared" si="1480"/>
        <v>0</v>
      </c>
      <c r="BM262" s="226" t="str">
        <f t="shared" si="1467"/>
        <v>NM</v>
      </c>
      <c r="BN262" s="127">
        <v>0</v>
      </c>
      <c r="BO262" s="226" t="str">
        <f t="shared" si="1467"/>
        <v>NA</v>
      </c>
      <c r="BP262" s="127">
        <v>0</v>
      </c>
      <c r="BQ262" s="226" t="str">
        <f t="shared" si="1467"/>
        <v>NA</v>
      </c>
      <c r="BR262" s="127">
        <v>0</v>
      </c>
      <c r="BS262" s="226" t="str">
        <f t="shared" si="1467"/>
        <v>NA</v>
      </c>
      <c r="BT262" s="127">
        <v>0</v>
      </c>
      <c r="BU262" s="226" t="str">
        <f t="shared" si="1471"/>
        <v>NA</v>
      </c>
      <c r="BV262" s="43" t="str">
        <f t="shared" si="1472"/>
        <v>NM</v>
      </c>
      <c r="BW262" s="722"/>
      <c r="BX262" s="722"/>
      <c r="BY262"/>
      <c r="BZ262"/>
      <c r="CA262"/>
      <c r="CB262"/>
      <c r="CC262"/>
      <c r="CD262"/>
    </row>
    <row r="263" spans="1:82" s="7" customFormat="1" ht="12.75" customHeight="1" x14ac:dyDescent="0.2">
      <c r="A263" s="42"/>
      <c r="B263" s="17" t="s">
        <v>222</v>
      </c>
      <c r="C263" s="57"/>
      <c r="D263" s="9"/>
      <c r="E263" s="57"/>
      <c r="F263" s="9"/>
      <c r="G263" s="57"/>
      <c r="H263" s="9"/>
      <c r="I263" s="130"/>
      <c r="J263" s="9"/>
      <c r="K263" s="130"/>
      <c r="L263" s="9"/>
      <c r="M263" s="130"/>
      <c r="N263" s="9"/>
      <c r="O263" s="670">
        <v>-400</v>
      </c>
      <c r="P263" s="43" t="str">
        <f t="shared" si="1441"/>
        <v>NA</v>
      </c>
      <c r="Q263" s="670">
        <v>-1200</v>
      </c>
      <c r="R263" s="43" t="str">
        <f t="shared" si="1442"/>
        <v>NA</v>
      </c>
      <c r="S263" s="670">
        <v>-400</v>
      </c>
      <c r="T263" s="43" t="str">
        <f t="shared" si="1444"/>
        <v>NA</v>
      </c>
      <c r="U263" s="670">
        <v>-300</v>
      </c>
      <c r="V263" s="43" t="str">
        <f t="shared" si="1446"/>
        <v>NA</v>
      </c>
      <c r="W263" s="670">
        <v>-900</v>
      </c>
      <c r="X263" s="43" t="str">
        <f t="shared" si="1447"/>
        <v>NM</v>
      </c>
      <c r="Y263" s="670">
        <v>-100</v>
      </c>
      <c r="Z263" s="43" t="str">
        <f t="shared" si="1448"/>
        <v>NM</v>
      </c>
      <c r="AA263" s="670">
        <v>100</v>
      </c>
      <c r="AB263" s="43" t="str">
        <f t="shared" si="1449"/>
        <v>NM</v>
      </c>
      <c r="AC263" s="670">
        <v>-700</v>
      </c>
      <c r="AD263" s="43" t="str">
        <f t="shared" si="1450"/>
        <v>NM</v>
      </c>
      <c r="AE263" s="670">
        <v>-500</v>
      </c>
      <c r="AF263" s="43">
        <f t="shared" si="1451"/>
        <v>-44.444444444444443</v>
      </c>
      <c r="AG263" s="670">
        <v>-500</v>
      </c>
      <c r="AH263" s="9" t="str">
        <f t="shared" si="1452"/>
        <v>NM</v>
      </c>
      <c r="AI263" s="670">
        <v>800</v>
      </c>
      <c r="AJ263" s="9" t="str">
        <f t="shared" si="1453"/>
        <v>NM</v>
      </c>
      <c r="AK263" s="670">
        <v>400</v>
      </c>
      <c r="AL263" s="9" t="str">
        <f t="shared" si="1454"/>
        <v>NM</v>
      </c>
      <c r="AM263" s="670">
        <v>0</v>
      </c>
      <c r="AN263" s="9" t="str">
        <f t="shared" si="1455"/>
        <v>NM</v>
      </c>
      <c r="AO263" s="670">
        <v>-800</v>
      </c>
      <c r="AP263" s="9">
        <f t="shared" si="1456"/>
        <v>60</v>
      </c>
      <c r="AQ263" s="670">
        <v>0</v>
      </c>
      <c r="AR263" s="9" t="str">
        <f t="shared" si="1458"/>
        <v>NM</v>
      </c>
      <c r="AS263" s="670">
        <v>0</v>
      </c>
      <c r="AT263" s="9" t="str">
        <f t="shared" si="1460"/>
        <v>NM</v>
      </c>
      <c r="AU263" s="670">
        <v>0</v>
      </c>
      <c r="AV263" s="9" t="str">
        <f t="shared" si="1462"/>
        <v>NA</v>
      </c>
      <c r="AW263" s="670">
        <v>0</v>
      </c>
      <c r="AX263" s="9" t="str">
        <f t="shared" si="1464"/>
        <v>NM</v>
      </c>
      <c r="AY263" s="287"/>
      <c r="AZ263" s="122"/>
      <c r="BA263" s="131"/>
      <c r="BB263" s="57"/>
      <c r="BC263" s="226" t="str">
        <f>IF(ISERROR(BB263/#REF!),"NA",IF(OR(BB263/#REF!&gt;2,BB263/#REF!&lt;0.5),"NM",BB263/#REF!*100-100))</f>
        <v>NA</v>
      </c>
      <c r="BD263" s="911"/>
      <c r="BE263" s="226" t="str">
        <f t="shared" si="1465"/>
        <v>NA</v>
      </c>
      <c r="BF263" s="55">
        <f t="shared" si="1477"/>
        <v>-1700</v>
      </c>
      <c r="BG263" s="226" t="str">
        <f t="shared" si="1466"/>
        <v>NA</v>
      </c>
      <c r="BH263" s="55">
        <f t="shared" si="1478"/>
        <v>-1600</v>
      </c>
      <c r="BI263" s="226">
        <f t="shared" si="1467"/>
        <v>-5.8823529411764781</v>
      </c>
      <c r="BJ263" s="55">
        <f t="shared" si="1479"/>
        <v>400</v>
      </c>
      <c r="BK263" s="226" t="str">
        <f t="shared" si="1467"/>
        <v>NM</v>
      </c>
      <c r="BL263" s="55">
        <f t="shared" si="1480"/>
        <v>0</v>
      </c>
      <c r="BM263" s="226" t="str">
        <f t="shared" si="1467"/>
        <v>NM</v>
      </c>
      <c r="BN263" s="127">
        <v>0</v>
      </c>
      <c r="BO263" s="226" t="str">
        <f t="shared" si="1467"/>
        <v>NA</v>
      </c>
      <c r="BP263" s="127">
        <v>0</v>
      </c>
      <c r="BQ263" s="226" t="str">
        <f t="shared" si="1467"/>
        <v>NA</v>
      </c>
      <c r="BR263" s="127">
        <v>0</v>
      </c>
      <c r="BS263" s="226" t="str">
        <f t="shared" si="1467"/>
        <v>NA</v>
      </c>
      <c r="BT263" s="127">
        <v>0</v>
      </c>
      <c r="BU263" s="226" t="str">
        <f t="shared" si="1471"/>
        <v>NA</v>
      </c>
      <c r="BV263" s="43" t="str">
        <f t="shared" si="1472"/>
        <v>NM</v>
      </c>
      <c r="BW263" s="722"/>
      <c r="BX263" s="722"/>
      <c r="BY263"/>
      <c r="BZ263"/>
      <c r="CA263"/>
      <c r="CB263"/>
      <c r="CC263"/>
      <c r="CD263"/>
    </row>
    <row r="264" spans="1:82" s="7" customFormat="1" ht="12.75" customHeight="1" x14ac:dyDescent="0.2">
      <c r="A264" s="42"/>
      <c r="B264" s="17" t="s">
        <v>389</v>
      </c>
      <c r="C264" s="57"/>
      <c r="D264" s="9"/>
      <c r="E264" s="57"/>
      <c r="F264" s="9"/>
      <c r="G264" s="57"/>
      <c r="H264" s="9"/>
      <c r="I264" s="130"/>
      <c r="J264" s="9"/>
      <c r="K264" s="130"/>
      <c r="L264" s="9"/>
      <c r="M264" s="130"/>
      <c r="N264" s="9"/>
      <c r="O264" s="126">
        <f>SUM(O257:O263)</f>
        <v>12700</v>
      </c>
      <c r="P264" s="43" t="str">
        <f t="shared" si="1441"/>
        <v>NA</v>
      </c>
      <c r="Q264" s="126">
        <f>SUM(Q257:Q263)</f>
        <v>11900</v>
      </c>
      <c r="R264" s="43" t="str">
        <f t="shared" si="1442"/>
        <v>NA</v>
      </c>
      <c r="S264" s="126">
        <f t="shared" ref="S264" si="1491">SUM(S257:S263)</f>
        <v>11500</v>
      </c>
      <c r="T264" s="43" t="str">
        <f t="shared" si="1444"/>
        <v>NA</v>
      </c>
      <c r="U264" s="126">
        <f t="shared" ref="U264" si="1492">SUM(U257:U263)</f>
        <v>11400</v>
      </c>
      <c r="V264" s="43" t="str">
        <f t="shared" si="1446"/>
        <v>NA</v>
      </c>
      <c r="W264" s="126">
        <f>SUM(W257:W263)</f>
        <v>10500</v>
      </c>
      <c r="X264" s="43">
        <f t="shared" si="1447"/>
        <v>-17.322834645669289</v>
      </c>
      <c r="Y264" s="126">
        <f>SUM(Y257:Y263)</f>
        <v>10400</v>
      </c>
      <c r="Z264" s="43">
        <f t="shared" si="1448"/>
        <v>-12.605042016806721</v>
      </c>
      <c r="AA264" s="126">
        <f>SUM(AA257:AA263)</f>
        <v>10800</v>
      </c>
      <c r="AB264" s="43">
        <f t="shared" si="1449"/>
        <v>-6.0869565217391255</v>
      </c>
      <c r="AC264" s="126">
        <f>SUM(AC257:AC263)</f>
        <v>10300</v>
      </c>
      <c r="AD264" s="43">
        <f t="shared" si="1450"/>
        <v>-9.6491228070175339</v>
      </c>
      <c r="AE264" s="126">
        <f>SUM(AE257:AE263)</f>
        <v>9500</v>
      </c>
      <c r="AF264" s="43">
        <f t="shared" si="1451"/>
        <v>-9.5238095238095184</v>
      </c>
      <c r="AG264" s="126">
        <f>SUM(AG257:AG263)</f>
        <v>8700</v>
      </c>
      <c r="AH264" s="9">
        <f t="shared" si="1452"/>
        <v>-16.34615384615384</v>
      </c>
      <c r="AI264" s="126">
        <f>SUM(AI257:AI263)</f>
        <v>9700</v>
      </c>
      <c r="AJ264" s="9">
        <f t="shared" si="1453"/>
        <v>-10.18518518518519</v>
      </c>
      <c r="AK264" s="126">
        <f>SUM(AK257:AK263)</f>
        <v>10300</v>
      </c>
      <c r="AL264" s="9">
        <f t="shared" si="1454"/>
        <v>0</v>
      </c>
      <c r="AM264" s="126">
        <f>SUM(AM257:AM263)</f>
        <v>10600</v>
      </c>
      <c r="AN264" s="9">
        <f t="shared" si="1455"/>
        <v>11.578947368421041</v>
      </c>
      <c r="AO264" s="126">
        <f>SUM(AO257:AO263)</f>
        <v>9600</v>
      </c>
      <c r="AP264" s="9">
        <f t="shared" si="1456"/>
        <v>10.34482758620689</v>
      </c>
      <c r="AQ264" s="126">
        <f t="shared" ref="AQ264" si="1493">SUM(AQ257:AQ263)</f>
        <v>9383.0188679245275</v>
      </c>
      <c r="AR264" s="9">
        <f t="shared" si="1458"/>
        <v>-3.2678467224275494</v>
      </c>
      <c r="AS264" s="126">
        <f t="shared" ref="AS264" si="1494">SUM(AS257:AS263)</f>
        <v>9210.681069775721</v>
      </c>
      <c r="AT264" s="9">
        <f t="shared" si="1460"/>
        <v>-10.575911943925036</v>
      </c>
      <c r="AU264" s="126">
        <f t="shared" ref="AU264" si="1495">SUM(AU257:AU263)</f>
        <v>9037.835200288031</v>
      </c>
      <c r="AV264" s="9">
        <f t="shared" si="1462"/>
        <v>-14.73740377086763</v>
      </c>
      <c r="AW264" s="126">
        <f t="shared" ref="AW264" si="1496">SUM(AW257:AW263)</f>
        <v>8864.4797616096348</v>
      </c>
      <c r="AX264" s="9">
        <f t="shared" si="1464"/>
        <v>-7.6616691498996374</v>
      </c>
      <c r="AY264" s="287"/>
      <c r="AZ264" s="122"/>
      <c r="BA264" s="131"/>
      <c r="BB264" s="57"/>
      <c r="BC264" s="226" t="str">
        <f>IF(ISERROR(BB264/#REF!),"NA",IF(OR(BB264/#REF!&gt;2,BB264/#REF!&lt;0.5),"NM",BB264/#REF!*100-100))</f>
        <v>NA</v>
      </c>
      <c r="BD264" s="911">
        <f>Q264</f>
        <v>11900</v>
      </c>
      <c r="BE264" s="226" t="str">
        <f t="shared" si="1465"/>
        <v>NA</v>
      </c>
      <c r="BF264" s="55">
        <f>SUM(BF257:BF263)</f>
        <v>10400</v>
      </c>
      <c r="BG264" s="226">
        <f t="shared" si="1466"/>
        <v>-12.605042016806721</v>
      </c>
      <c r="BH264" s="55">
        <f>SUM(BH257:BH263)</f>
        <v>8700</v>
      </c>
      <c r="BI264" s="226">
        <f t="shared" si="1467"/>
        <v>-16.34615384615384</v>
      </c>
      <c r="BJ264" s="55">
        <f>SUM(BJ257:BJ263)</f>
        <v>9600</v>
      </c>
      <c r="BK264" s="226">
        <f t="shared" si="1467"/>
        <v>10.34482758620689</v>
      </c>
      <c r="BL264" s="55">
        <f>SUM(BL257:BL263)</f>
        <v>8864.4797616096348</v>
      </c>
      <c r="BM264" s="226">
        <f t="shared" si="1467"/>
        <v>-7.6616691498996374</v>
      </c>
      <c r="BN264" s="126">
        <f t="shared" ref="BN264" si="1497">SUM(BN257:BN263)</f>
        <v>8316.143113981143</v>
      </c>
      <c r="BO264" s="226">
        <f t="shared" si="1467"/>
        <v>-6.1857735859833838</v>
      </c>
      <c r="BP264" s="126">
        <f t="shared" ref="BP264:BR264" si="1498">SUM(BP257:BP263)</f>
        <v>7716.9796936285402</v>
      </c>
      <c r="BQ264" s="226">
        <f t="shared" si="1467"/>
        <v>-7.2048233434714035</v>
      </c>
      <c r="BR264" s="126">
        <f t="shared" si="1498"/>
        <v>7064.0318438246541</v>
      </c>
      <c r="BS264" s="226">
        <f t="shared" si="1467"/>
        <v>-8.4611839829381381</v>
      </c>
      <c r="BT264" s="126">
        <f t="shared" ref="BT264" si="1499">SUM(BT257:BT263)</f>
        <v>6354.1940148270423</v>
      </c>
      <c r="BU264" s="226">
        <f t="shared" si="1471"/>
        <v>-10.048621590206281</v>
      </c>
      <c r="BV264" s="43">
        <f t="shared" si="1472"/>
        <v>-7.921582306406771</v>
      </c>
      <c r="BW264" s="722"/>
      <c r="BX264" s="722"/>
      <c r="BY264"/>
      <c r="BZ264"/>
      <c r="CA264"/>
      <c r="CB264"/>
      <c r="CC264"/>
      <c r="CD264"/>
    </row>
    <row r="265" spans="1:82" s="616" customFormat="1" ht="12.75" hidden="1" customHeight="1" outlineLevel="1" x14ac:dyDescent="0.2">
      <c r="B265" s="819" t="s">
        <v>648</v>
      </c>
      <c r="C265" s="15"/>
      <c r="D265" s="623"/>
      <c r="E265" s="15"/>
      <c r="F265" s="623"/>
      <c r="G265" s="15"/>
      <c r="H265" s="623"/>
      <c r="I265" s="15"/>
      <c r="J265" s="623"/>
      <c r="K265" s="15"/>
      <c r="L265" s="623"/>
      <c r="M265" s="15"/>
      <c r="N265" s="620"/>
      <c r="O265" s="691"/>
      <c r="P265" s="9"/>
      <c r="Q265" s="691"/>
      <c r="R265" s="9"/>
      <c r="S265" s="691"/>
      <c r="T265" s="9"/>
      <c r="U265" s="691"/>
      <c r="V265" s="9"/>
      <c r="W265" s="691"/>
      <c r="X265" s="9"/>
      <c r="Y265" s="820">
        <f>Y264-(SUM(Y257:Y263))</f>
        <v>0</v>
      </c>
      <c r="Z265" s="9"/>
      <c r="AA265" s="820">
        <f>AA264-(SUM(AA257:AA263))</f>
        <v>0</v>
      </c>
      <c r="AB265" s="9"/>
      <c r="AC265" s="820">
        <f>AC264-(SUM(AC257:AC263))</f>
        <v>0</v>
      </c>
      <c r="AD265" s="9"/>
      <c r="AE265" s="820">
        <f>AE264-(SUM(AE257:AE263))</f>
        <v>0</v>
      </c>
      <c r="AF265" s="9"/>
      <c r="AG265" s="820">
        <f>AG264-(SUM(AG257:AG263))</f>
        <v>0</v>
      </c>
      <c r="AH265" s="9"/>
      <c r="AI265" s="820">
        <f>AI264-(SUM(AI257:AI263))</f>
        <v>0</v>
      </c>
      <c r="AJ265" s="9"/>
      <c r="AK265" s="820">
        <f>AK264-(SUM(AK257:AK263))</f>
        <v>0</v>
      </c>
      <c r="AL265" s="9"/>
      <c r="AM265" s="820">
        <f>AM264-(SUM(AM257:AM263))</f>
        <v>0</v>
      </c>
      <c r="AN265" s="9"/>
      <c r="AO265" s="820">
        <f>AO264-(SUM(AO257:AO263))</f>
        <v>0</v>
      </c>
      <c r="AP265" s="9"/>
      <c r="AQ265" s="820">
        <f t="shared" ref="AQ265:AW265" si="1500">AQ264-(SUM(AQ257:AQ263))</f>
        <v>0</v>
      </c>
      <c r="AR265" s="9"/>
      <c r="AS265" s="820">
        <f t="shared" si="1500"/>
        <v>0</v>
      </c>
      <c r="AT265" s="9"/>
      <c r="AU265" s="820">
        <f t="shared" si="1500"/>
        <v>0</v>
      </c>
      <c r="AV265" s="9"/>
      <c r="AW265" s="820">
        <f t="shared" si="1500"/>
        <v>0</v>
      </c>
      <c r="AX265" s="9"/>
      <c r="AY265" s="356"/>
      <c r="AZ265" s="618"/>
      <c r="BA265" s="620"/>
      <c r="BB265" s="55"/>
      <c r="BC265" s="226"/>
      <c r="BD265" s="820">
        <f>Mexico_EopAUM _4Q14-BD264</f>
        <v>0</v>
      </c>
      <c r="BE265" s="226"/>
      <c r="BF265" s="820">
        <f>Mexico_EopAUM _4Q15-BF264</f>
        <v>0</v>
      </c>
      <c r="BG265" s="226"/>
      <c r="BH265" s="820">
        <f>Mexico_EopAUM _4Q16-BH264</f>
        <v>0</v>
      </c>
      <c r="BI265" s="226"/>
      <c r="BJ265" s="820">
        <f>Mexico_EopAUM _4Q17-BJ264</f>
        <v>0</v>
      </c>
      <c r="BK265" s="226"/>
      <c r="BL265" s="820">
        <f>Mexico_EopAUM _4Q18-BL264</f>
        <v>0</v>
      </c>
      <c r="BM265" s="226"/>
      <c r="BN265" s="55"/>
      <c r="BO265" s="226"/>
      <c r="BP265" s="55"/>
      <c r="BQ265" s="226"/>
      <c r="BR265" s="55"/>
      <c r="BS265" s="226"/>
      <c r="BT265" s="55"/>
      <c r="BU265" s="226"/>
      <c r="BV265" s="43"/>
      <c r="BW265" s="621"/>
      <c r="BX265" s="621"/>
      <c r="BY265"/>
      <c r="BZ265"/>
      <c r="CA265"/>
      <c r="CB265"/>
      <c r="CC265"/>
      <c r="CD265"/>
    </row>
    <row r="266" spans="1:82" s="7" customFormat="1" ht="12.75" customHeight="1" collapsed="1" x14ac:dyDescent="0.2">
      <c r="A266" s="42"/>
      <c r="B266" s="42" t="s">
        <v>71</v>
      </c>
      <c r="C266" s="57"/>
      <c r="D266" s="9"/>
      <c r="E266" s="57"/>
      <c r="F266" s="9"/>
      <c r="G266" s="57"/>
      <c r="H266" s="9"/>
      <c r="I266" s="130"/>
      <c r="J266" s="9"/>
      <c r="K266" s="130"/>
      <c r="L266" s="9"/>
      <c r="M266" s="130"/>
      <c r="N266" s="9"/>
      <c r="O266" s="126"/>
      <c r="P266" s="43"/>
      <c r="Q266" s="126">
        <f>AVERAGE(O264,Q264)</f>
        <v>12300</v>
      </c>
      <c r="R266" s="43" t="str">
        <f t="shared" si="1442"/>
        <v>NA</v>
      </c>
      <c r="S266" s="126">
        <f t="shared" ref="S266" si="1501">AVERAGE(Q264,S264)</f>
        <v>11700</v>
      </c>
      <c r="T266" s="43" t="str">
        <f t="shared" si="1444"/>
        <v>NA</v>
      </c>
      <c r="U266" s="126">
        <f t="shared" ref="U266" si="1502">AVERAGE(S264,U264)</f>
        <v>11450</v>
      </c>
      <c r="V266" s="43" t="str">
        <f t="shared" si="1446"/>
        <v>NA</v>
      </c>
      <c r="W266" s="126">
        <f t="shared" ref="W266:AO266" si="1503">AVERAGE(U264,W264)</f>
        <v>10950</v>
      </c>
      <c r="X266" s="43" t="str">
        <f t="shared" si="1447"/>
        <v>NA</v>
      </c>
      <c r="Y266" s="126">
        <f t="shared" si="1503"/>
        <v>10450</v>
      </c>
      <c r="Z266" s="43">
        <f t="shared" si="1448"/>
        <v>-15.040650406504056</v>
      </c>
      <c r="AA266" s="126">
        <f t="shared" si="1503"/>
        <v>10600</v>
      </c>
      <c r="AB266" s="43">
        <f t="shared" si="1449"/>
        <v>-9.4017094017093967</v>
      </c>
      <c r="AC266" s="126">
        <f t="shared" si="1503"/>
        <v>10550</v>
      </c>
      <c r="AD266" s="43">
        <f t="shared" si="1450"/>
        <v>-7.8602620087336277</v>
      </c>
      <c r="AE266" s="126">
        <f t="shared" si="1503"/>
        <v>9900</v>
      </c>
      <c r="AF266" s="43">
        <f t="shared" si="1451"/>
        <v>-9.5890410958904226</v>
      </c>
      <c r="AG266" s="126">
        <f t="shared" si="1503"/>
        <v>9100</v>
      </c>
      <c r="AH266" s="9">
        <f t="shared" si="1452"/>
        <v>-12.918660287081337</v>
      </c>
      <c r="AI266" s="126">
        <f t="shared" si="1503"/>
        <v>9200</v>
      </c>
      <c r="AJ266" s="9">
        <f t="shared" ref="AJ266" si="1504">IF(ISERROR(AI266/AA266),"NA",IF(OR(AI266/AA266&gt;2,AI266/AA266&lt;0.5),"NM",AI266/AA266*100-100))</f>
        <v>-13.20754716981132</v>
      </c>
      <c r="AK266" s="126">
        <f t="shared" si="1503"/>
        <v>10000</v>
      </c>
      <c r="AL266" s="9">
        <f t="shared" ref="AL266" si="1505">IF(ISERROR(AK266/AC266),"NA",IF(OR(AK266/AC266&gt;2,AK266/AC266&lt;0.5),"NM",AK266/AC266*100-100))</f>
        <v>-5.2132701421800931</v>
      </c>
      <c r="AM266" s="126">
        <f t="shared" si="1503"/>
        <v>10450</v>
      </c>
      <c r="AN266" s="9">
        <f t="shared" ref="AN266" si="1506">IF(ISERROR(AM266/AE266),"NA",IF(OR(AM266/AE266&gt;2,AM266/AE266&lt;0.5),"NM",AM266/AE266*100-100))</f>
        <v>5.5555555555555571</v>
      </c>
      <c r="AO266" s="126">
        <f t="shared" si="1503"/>
        <v>10100</v>
      </c>
      <c r="AP266" s="9">
        <f t="shared" ref="AP266" si="1507">IF(ISERROR(AO266/AG266),"NA",IF(OR(AO266/AG266&gt;2,AO266/AG266&lt;0.5),"NM",AO266/AG266*100-100))</f>
        <v>10.989010989010993</v>
      </c>
      <c r="AQ266" s="126">
        <f t="shared" ref="AQ266" si="1508">AVERAGE(AO264,AQ264)</f>
        <v>9491.5094339622628</v>
      </c>
      <c r="AR266" s="9">
        <f t="shared" ref="AR266" si="1509">IF(ISERROR(AQ266/AI266),"NA",IF(OR(AQ266/AI266&gt;2,AQ266/AI266&lt;0.5),"NM",AQ266/AI266*100-100))</f>
        <v>3.168580803937644</v>
      </c>
      <c r="AS266" s="126">
        <f t="shared" ref="AS266" si="1510">AVERAGE(AQ264,AS264)</f>
        <v>9296.8499688501252</v>
      </c>
      <c r="AT266" s="9">
        <f t="shared" ref="AT266" si="1511">IF(ISERROR(AS266/AK266),"NA",IF(OR(AS266/AK266&gt;2,AS266/AK266&lt;0.5),"NM",AS266/AK266*100-100))</f>
        <v>-7.0315003114987462</v>
      </c>
      <c r="AU266" s="126">
        <f t="shared" ref="AU266" si="1512">AVERAGE(AS264,AU264)</f>
        <v>9124.258135031876</v>
      </c>
      <c r="AV266" s="9">
        <f t="shared" ref="AV266" si="1513">IF(ISERROR(AU266/AM266),"NA",IF(OR(AU266/AM266&gt;2,AU266/AM266&lt;0.5),"NM",AU266/AM266*100-100))</f>
        <v>-12.686525023618415</v>
      </c>
      <c r="AW266" s="126">
        <f t="shared" ref="AW266" si="1514">AVERAGE(AU264,AW264)</f>
        <v>8951.1574809488338</v>
      </c>
      <c r="AX266" s="9">
        <f t="shared" ref="AX266" si="1515">IF(ISERROR(AW266/AO266),"NA",IF(OR(AW266/AO266&gt;2,AW266/AO266&lt;0.5),"NM",AW266/AO266*100-100))</f>
        <v>-11.374678406447188</v>
      </c>
      <c r="AY266" s="287"/>
      <c r="AZ266" s="122"/>
      <c r="BA266" s="131"/>
      <c r="BB266" s="57"/>
      <c r="BC266" s="226" t="str">
        <f>IF(ISERROR(BB266/#REF!),"NA",IF(OR(BB266/#REF!&gt;2,BB266/#REF!&lt;0.5),"NM",BB266/#REF!*100-100))</f>
        <v>NA</v>
      </c>
      <c r="BD266" s="911"/>
      <c r="BE266" s="226" t="str">
        <f t="shared" si="1465"/>
        <v>NA</v>
      </c>
      <c r="BF266" s="55">
        <f>AVERAGE(S266,U266,W266,Y266)</f>
        <v>11137.5</v>
      </c>
      <c r="BG266" s="226" t="str">
        <f t="shared" si="1466"/>
        <v>NA</v>
      </c>
      <c r="BH266" s="55">
        <f>AVERAGE(AA266,AC266,AE266,AG266)</f>
        <v>10037.5</v>
      </c>
      <c r="BI266" s="226">
        <f t="shared" si="1467"/>
        <v>-9.8765432098765444</v>
      </c>
      <c r="BJ266" s="55">
        <f>AVERAGE(AI266,AK266,AM266,AO266)</f>
        <v>9937.5</v>
      </c>
      <c r="BK266" s="226">
        <f t="shared" si="1467"/>
        <v>-0.99626400996264408</v>
      </c>
      <c r="BL266" s="55">
        <f>AVERAGE(AQ266,AS266,AU266,AW266)</f>
        <v>9215.9437546982736</v>
      </c>
      <c r="BM266" s="226">
        <f t="shared" si="1467"/>
        <v>-7.2609433489481887</v>
      </c>
      <c r="BN266" s="126">
        <f t="shared" ref="BN266:BP266" si="1516">AVERAGE(BN257,BN264)</f>
        <v>8590.3114377953898</v>
      </c>
      <c r="BO266" s="226">
        <f t="shared" si="1467"/>
        <v>-6.7885865360662336</v>
      </c>
      <c r="BP266" s="126">
        <f t="shared" si="1516"/>
        <v>8016.5614038048416</v>
      </c>
      <c r="BQ266" s="226">
        <f t="shared" si="1467"/>
        <v>-6.6790364720210249</v>
      </c>
      <c r="BR266" s="126">
        <f t="shared" ref="BR266:BT266" si="1517">AVERAGE(BR257,BR264)</f>
        <v>7390.5057687265971</v>
      </c>
      <c r="BS266" s="226">
        <f t="shared" si="1467"/>
        <v>-7.8095283444233843</v>
      </c>
      <c r="BT266" s="126">
        <f t="shared" si="1517"/>
        <v>6709.1129293258482</v>
      </c>
      <c r="BU266" s="226">
        <f t="shared" ref="BU266" si="1518">IF(ISERROR(BT266/BR266),"NA",IF(OR(BT266/BR266&gt;2,BT266/BR266&lt;0.5),"NM",BT266/BR266*100-100))</f>
        <v>-9.2198404374989735</v>
      </c>
      <c r="BV266" s="43">
        <f>IF(ISERROR(((BT266/BJ266)^0.2-1)*100),"NA",IF((((BT266/BJ266)^0.2-1)*100)&gt;100,"NM",IF((((BT266/BJ266)^0.2-1)*100)&lt;-50,"NM",((BT266/BJ266)^0.2-1)*100)))</f>
        <v>-7.5562419809887427</v>
      </c>
      <c r="BW266" s="722"/>
      <c r="BX266" s="722"/>
      <c r="BY266"/>
      <c r="BZ266"/>
      <c r="CA266"/>
      <c r="CB266"/>
      <c r="CC266"/>
      <c r="CD266"/>
    </row>
    <row r="267" spans="1:82" s="7" customFormat="1" ht="12.75" customHeight="1" x14ac:dyDescent="0.2">
      <c r="A267" s="42"/>
      <c r="B267" s="42"/>
      <c r="C267" s="57"/>
      <c r="D267" s="9"/>
      <c r="E267" s="57"/>
      <c r="F267" s="9"/>
      <c r="G267" s="57"/>
      <c r="H267" s="9"/>
      <c r="I267" s="130"/>
      <c r="J267" s="9"/>
      <c r="K267" s="130"/>
      <c r="L267" s="9"/>
      <c r="M267" s="130"/>
      <c r="N267" s="9"/>
      <c r="O267" s="126"/>
      <c r="P267" s="72"/>
      <c r="Q267" s="126"/>
      <c r="R267" s="72"/>
      <c r="S267" s="126"/>
      <c r="T267" s="72"/>
      <c r="U267" s="126"/>
      <c r="V267" s="72"/>
      <c r="W267" s="126"/>
      <c r="X267" s="72"/>
      <c r="Y267" s="126"/>
      <c r="Z267" s="72"/>
      <c r="AA267" s="126"/>
      <c r="AB267" s="72"/>
      <c r="AC267" s="126"/>
      <c r="AD267" s="72"/>
      <c r="AE267" s="126"/>
      <c r="AF267" s="72"/>
      <c r="AG267" s="126"/>
      <c r="AH267" s="9"/>
      <c r="AI267" s="126"/>
      <c r="AJ267" s="9"/>
      <c r="AK267" s="126"/>
      <c r="AL267" s="9"/>
      <c r="AM267" s="126"/>
      <c r="AN267" s="9"/>
      <c r="AO267" s="126"/>
      <c r="AP267" s="9"/>
      <c r="AQ267" s="127"/>
      <c r="AR267" s="9"/>
      <c r="AS267" s="127"/>
      <c r="AT267" s="9"/>
      <c r="AU267" s="127"/>
      <c r="AV267" s="9"/>
      <c r="AW267" s="127"/>
      <c r="AX267" s="9"/>
      <c r="AY267" s="287"/>
      <c r="AZ267" s="122"/>
      <c r="BA267" s="131"/>
      <c r="BB267" s="57"/>
      <c r="BC267" s="9"/>
      <c r="BD267" s="911"/>
      <c r="BE267" s="9"/>
      <c r="BF267" s="55"/>
      <c r="BG267" s="9"/>
      <c r="BH267" s="55"/>
      <c r="BI267" s="9"/>
      <c r="BJ267" s="55"/>
      <c r="BK267" s="9"/>
      <c r="BL267" s="55"/>
      <c r="BM267" s="9"/>
      <c r="BN267" s="127"/>
      <c r="BO267" s="9"/>
      <c r="BP267" s="127"/>
      <c r="BQ267" s="9"/>
      <c r="BR267" s="127"/>
      <c r="BS267" s="9"/>
      <c r="BT267" s="127"/>
      <c r="BU267" s="9"/>
      <c r="BV267" s="43"/>
      <c r="BW267" s="722"/>
      <c r="BX267" s="722"/>
      <c r="BY267"/>
      <c r="BZ267"/>
      <c r="CA267"/>
      <c r="CB267"/>
      <c r="CC267"/>
      <c r="CD267"/>
    </row>
    <row r="268" spans="1:82" s="7" customFormat="1" ht="12.75" customHeight="1" x14ac:dyDescent="0.2">
      <c r="A268" s="42"/>
      <c r="B268" s="42" t="s">
        <v>72</v>
      </c>
      <c r="C268" s="57"/>
      <c r="D268" s="9"/>
      <c r="E268" s="57"/>
      <c r="F268" s="9"/>
      <c r="G268" s="57"/>
      <c r="H268" s="9"/>
      <c r="I268" s="130"/>
      <c r="J268" s="9"/>
      <c r="K268" s="130"/>
      <c r="L268" s="9"/>
      <c r="M268" s="130"/>
      <c r="N268" s="9"/>
      <c r="O268" s="126">
        <f>O258+O259</f>
        <v>100</v>
      </c>
      <c r="P268" s="43" t="str">
        <f t="shared" si="1441"/>
        <v>NA</v>
      </c>
      <c r="Q268" s="126">
        <f>Q258+Q259</f>
        <v>0</v>
      </c>
      <c r="R268" s="43" t="str">
        <f t="shared" si="1441"/>
        <v>NA</v>
      </c>
      <c r="S268" s="126">
        <f>S258+S259</f>
        <v>-100</v>
      </c>
      <c r="T268" s="43" t="str">
        <f t="shared" si="1441"/>
        <v>NA</v>
      </c>
      <c r="U268" s="126">
        <f>U258+U259</f>
        <v>100</v>
      </c>
      <c r="V268" s="43" t="str">
        <f t="shared" si="1441"/>
        <v>NA</v>
      </c>
      <c r="W268" s="126">
        <f>W258+W259</f>
        <v>0</v>
      </c>
      <c r="X268" s="43" t="str">
        <f t="shared" si="1441"/>
        <v>NM</v>
      </c>
      <c r="Y268" s="126">
        <f>Y258+Y259</f>
        <v>-100</v>
      </c>
      <c r="Z268" s="43" t="str">
        <f t="shared" si="1441"/>
        <v>NA</v>
      </c>
      <c r="AA268" s="126">
        <f>AA258+AA259</f>
        <v>100</v>
      </c>
      <c r="AB268" s="43" t="str">
        <f t="shared" si="1441"/>
        <v>NM</v>
      </c>
      <c r="AC268" s="126">
        <f>AC258+AC259</f>
        <v>0</v>
      </c>
      <c r="AD268" s="43" t="str">
        <f t="shared" si="1441"/>
        <v>NM</v>
      </c>
      <c r="AE268" s="126">
        <f>AE258+AE259</f>
        <v>-200</v>
      </c>
      <c r="AF268" s="43" t="str">
        <f t="shared" ref="P268:AF272" si="1519">IF(ISERROR(AE268/W268),"NA",IF(OR(AE268/W268&gt;2,AE268/W268&lt;0.5),"NM",AE268/W268*100-100))</f>
        <v>NA</v>
      </c>
      <c r="AG268" s="126">
        <f>AG258+AG259</f>
        <v>0</v>
      </c>
      <c r="AH268" s="9" t="str">
        <f t="shared" ref="AH268" si="1520">IF(ISERROR(AG268/Y268),"NA",IF(OR(AG268/Y268&gt;2,AG268/Y268&lt;0.5),"NM",AG268/Y268*100-100))</f>
        <v>NM</v>
      </c>
      <c r="AI268" s="126">
        <f>AI258+AI259</f>
        <v>0</v>
      </c>
      <c r="AJ268" s="9" t="str">
        <f t="shared" ref="AJ268" si="1521">IF(ISERROR(AI268/AA268),"NA",IF(OR(AI268/AA268&gt;2,AI268/AA268&lt;0.5),"NM",AI268/AA268*100-100))</f>
        <v>NM</v>
      </c>
      <c r="AK268" s="126">
        <f>AK258+AK259</f>
        <v>100</v>
      </c>
      <c r="AL268" s="9" t="str">
        <f t="shared" ref="AL268" si="1522">IF(ISERROR(AK268/AC268),"NA",IF(OR(AK268/AC268&gt;2,AK268/AC268&lt;0.5),"NM",AK268/AC268*100-100))</f>
        <v>NA</v>
      </c>
      <c r="AM268" s="126">
        <f>AM258+AM259</f>
        <v>0</v>
      </c>
      <c r="AN268" s="9" t="str">
        <f t="shared" ref="AN268" si="1523">IF(ISERROR(AM268/AE268),"NA",IF(OR(AM268/AE268&gt;2,AM268/AE268&lt;0.5),"NM",AM268/AE268*100-100))</f>
        <v>NM</v>
      </c>
      <c r="AO268" s="126">
        <f>AO258+AO259</f>
        <v>-200</v>
      </c>
      <c r="AP268" s="9" t="str">
        <f t="shared" ref="AP268" si="1524">IF(ISERROR(AO268/AG268),"NA",IF(OR(AO268/AG268&gt;2,AO268/AG268&lt;0.5),"NM",AO268/AG268*100-100))</f>
        <v>NA</v>
      </c>
      <c r="AQ268" s="670">
        <f t="shared" ref="AQ268" si="1525">AO268</f>
        <v>-200</v>
      </c>
      <c r="AR268" s="9" t="str">
        <f t="shared" ref="AR268" si="1526">IF(ISERROR(AQ268/AI268),"NA",IF(OR(AQ268/AI268&gt;2,AQ268/AI268&lt;0.5),"NM",AQ268/AI268*100-100))</f>
        <v>NA</v>
      </c>
      <c r="AS268" s="670">
        <f t="shared" ref="AS268" si="1527">AQ268</f>
        <v>-200</v>
      </c>
      <c r="AT268" s="9" t="str">
        <f t="shared" ref="AT268" si="1528">IF(ISERROR(AS268/AK268),"NA",IF(OR(AS268/AK268&gt;2,AS268/AK268&lt;0.5),"NM",AS268/AK268*100-100))</f>
        <v>NM</v>
      </c>
      <c r="AU268" s="670">
        <f t="shared" ref="AU268" si="1529">AS268</f>
        <v>-200</v>
      </c>
      <c r="AV268" s="9" t="str">
        <f t="shared" ref="AV268" si="1530">IF(ISERROR(AU268/AM268),"NA",IF(OR(AU268/AM268&gt;2,AU268/AM268&lt;0.5),"NM",AU268/AM268*100-100))</f>
        <v>NA</v>
      </c>
      <c r="AW268" s="670">
        <f t="shared" ref="AW268" si="1531">AU268</f>
        <v>-200</v>
      </c>
      <c r="AX268" s="9">
        <f t="shared" ref="AX268" si="1532">IF(ISERROR(AW268/AO268),"NA",IF(OR(AW268/AO268&gt;2,AW268/AO268&lt;0.5),"NM",AW268/AO268*100-100))</f>
        <v>0</v>
      </c>
      <c r="AY268" s="287"/>
      <c r="AZ268" s="122"/>
      <c r="BA268" s="131"/>
      <c r="BB268" s="57"/>
      <c r="BC268" s="226" t="str">
        <f>IF(ISERROR(BB268/#REF!),"NA",IF(OR(BB268/#REF!&gt;2,BB268/#REF!&lt;0.5),"NM",BB268/#REF!*100-100))</f>
        <v>NA</v>
      </c>
      <c r="BD268" s="911"/>
      <c r="BE268" s="226" t="str">
        <f t="shared" si="1465"/>
        <v>NA</v>
      </c>
      <c r="BF268" s="55">
        <f>BF258+BF259</f>
        <v>-100</v>
      </c>
      <c r="BG268" s="226" t="str">
        <f t="shared" si="1466"/>
        <v>NA</v>
      </c>
      <c r="BH268" s="55">
        <f t="shared" ref="BH268" si="1533">BH258+BH259</f>
        <v>-100</v>
      </c>
      <c r="BI268" s="226">
        <f t="shared" si="1467"/>
        <v>0</v>
      </c>
      <c r="BJ268" s="55">
        <f t="shared" ref="BJ268" si="1534">BJ258+BJ259</f>
        <v>-100</v>
      </c>
      <c r="BK268" s="226">
        <f t="shared" si="1467"/>
        <v>0</v>
      </c>
      <c r="BL268" s="55">
        <f t="shared" ref="BL268" si="1535">BL258+BL259</f>
        <v>-800</v>
      </c>
      <c r="BM268" s="226" t="str">
        <f t="shared" si="1467"/>
        <v>NM</v>
      </c>
      <c r="BN268" s="127">
        <f>BL268*1.04</f>
        <v>-832</v>
      </c>
      <c r="BO268" s="226">
        <f t="shared" si="1467"/>
        <v>4</v>
      </c>
      <c r="BP268" s="127">
        <f t="shared" ref="BP268" si="1536">BN268*1.04</f>
        <v>-865.28</v>
      </c>
      <c r="BQ268" s="226">
        <f t="shared" si="1467"/>
        <v>4</v>
      </c>
      <c r="BR268" s="127">
        <f t="shared" ref="BR268" si="1537">BP268*1.04</f>
        <v>-899.89120000000003</v>
      </c>
      <c r="BS268" s="226">
        <f t="shared" si="1467"/>
        <v>4</v>
      </c>
      <c r="BT268" s="127">
        <f t="shared" ref="BT268" si="1538">BR268*1.04</f>
        <v>-935.8868480000001</v>
      </c>
      <c r="BU268" s="226">
        <f t="shared" ref="BU268" si="1539">IF(ISERROR(BT268/BR268),"NA",IF(OR(BT268/BR268&gt;2,BT268/BR268&lt;0.5),"NM",BT268/BR268*100-100))</f>
        <v>4</v>
      </c>
      <c r="BV268" s="43">
        <f>IF(ISERROR(((BT268/BJ268)^0.2-1)*100),"NA",IF((((BT268/BJ268)^0.2-1)*100)&gt;100,"NM",IF((((BT268/BJ268)^0.2-1)*100)&lt;-50,"NM",((BT268/BJ268)^0.2-1)*100)))</f>
        <v>56.402852251435753</v>
      </c>
      <c r="BW268" s="722"/>
      <c r="BX268" s="722"/>
      <c r="BY268"/>
      <c r="BZ268"/>
      <c r="CA268"/>
      <c r="CB268"/>
      <c r="CC268"/>
      <c r="CD268"/>
    </row>
    <row r="269" spans="1:82" s="7" customFormat="1" ht="12.75" customHeight="1" x14ac:dyDescent="0.2">
      <c r="A269" s="42"/>
      <c r="B269" s="42"/>
      <c r="C269" s="57"/>
      <c r="D269" s="9"/>
      <c r="E269" s="57"/>
      <c r="F269" s="9"/>
      <c r="G269" s="57"/>
      <c r="H269" s="9"/>
      <c r="I269" s="130"/>
      <c r="J269" s="9"/>
      <c r="K269" s="130"/>
      <c r="L269" s="9"/>
      <c r="M269" s="130"/>
      <c r="N269" s="9"/>
      <c r="O269" s="126"/>
      <c r="P269" s="72"/>
      <c r="Q269" s="126"/>
      <c r="R269" s="43"/>
      <c r="S269" s="126"/>
      <c r="T269" s="43"/>
      <c r="U269" s="126"/>
      <c r="V269" s="43"/>
      <c r="W269" s="126"/>
      <c r="X269" s="43"/>
      <c r="Y269" s="126"/>
      <c r="Z269" s="43"/>
      <c r="AA269" s="126"/>
      <c r="AB269" s="72"/>
      <c r="AC269" s="126"/>
      <c r="AD269" s="43"/>
      <c r="AE269" s="126"/>
      <c r="AF269" s="43"/>
      <c r="AG269" s="126"/>
      <c r="AH269" s="9"/>
      <c r="AI269" s="126"/>
      <c r="AJ269" s="9"/>
      <c r="AK269" s="126"/>
      <c r="AL269" s="9"/>
      <c r="AM269" s="126"/>
      <c r="AN269" s="9"/>
      <c r="AO269" s="126"/>
      <c r="AP269" s="9"/>
      <c r="AQ269" s="127"/>
      <c r="AR269" s="9"/>
      <c r="AS269" s="127"/>
      <c r="AT269" s="9"/>
      <c r="AU269" s="127"/>
      <c r="AV269" s="9"/>
      <c r="AW269" s="127"/>
      <c r="AX269" s="9"/>
      <c r="AY269" s="287"/>
      <c r="AZ269" s="122"/>
      <c r="BA269" s="131"/>
      <c r="BB269" s="57"/>
      <c r="BC269" s="9"/>
      <c r="BD269" s="911"/>
      <c r="BE269" s="9"/>
      <c r="BF269" s="55"/>
      <c r="BG269" s="9"/>
      <c r="BH269" s="55"/>
      <c r="BI269" s="9"/>
      <c r="BJ269" s="55"/>
      <c r="BK269" s="9"/>
      <c r="BL269" s="55"/>
      <c r="BM269" s="9"/>
      <c r="BN269" s="127"/>
      <c r="BO269" s="9"/>
      <c r="BP269" s="127"/>
      <c r="BQ269" s="9"/>
      <c r="BR269" s="127"/>
      <c r="BS269" s="9"/>
      <c r="BT269" s="127"/>
      <c r="BU269" s="9"/>
      <c r="BV269" s="43"/>
      <c r="BW269" s="722"/>
      <c r="BX269" s="722"/>
      <c r="BY269"/>
      <c r="BZ269"/>
      <c r="CA269"/>
      <c r="CB269"/>
      <c r="CC269"/>
      <c r="CD269"/>
    </row>
    <row r="270" spans="1:82" s="7" customFormat="1" ht="12.75" customHeight="1" x14ac:dyDescent="0.2">
      <c r="A270" s="42"/>
      <c r="B270" s="42" t="s">
        <v>139</v>
      </c>
      <c r="C270" s="57"/>
      <c r="D270" s="9"/>
      <c r="E270" s="57"/>
      <c r="F270" s="9"/>
      <c r="G270" s="57"/>
      <c r="H270" s="9"/>
      <c r="I270" s="130"/>
      <c r="J270" s="9"/>
      <c r="K270" s="130"/>
      <c r="L270" s="9"/>
      <c r="M270" s="130"/>
      <c r="N270" s="9"/>
      <c r="O270" s="800">
        <f>O268/O257*400</f>
        <v>3.0534351145038165</v>
      </c>
      <c r="P270" s="800" t="e">
        <f t="shared" ref="P270:AG270" si="1540">P268/P257*400</f>
        <v>#VALUE!</v>
      </c>
      <c r="Q270" s="800">
        <f t="shared" si="1540"/>
        <v>0</v>
      </c>
      <c r="R270" s="800" t="e">
        <f t="shared" si="1540"/>
        <v>#VALUE!</v>
      </c>
      <c r="S270" s="800">
        <f t="shared" si="1540"/>
        <v>-3.3613445378151261</v>
      </c>
      <c r="T270" s="800" t="e">
        <f t="shared" si="1540"/>
        <v>#VALUE!</v>
      </c>
      <c r="U270" s="800">
        <f t="shared" si="1540"/>
        <v>3.4782608695652173</v>
      </c>
      <c r="V270" s="800" t="e">
        <f t="shared" si="1540"/>
        <v>#VALUE!</v>
      </c>
      <c r="W270" s="800">
        <f t="shared" si="1540"/>
        <v>0</v>
      </c>
      <c r="X270" s="800" t="e">
        <f t="shared" si="1540"/>
        <v>#VALUE!</v>
      </c>
      <c r="Y270" s="800">
        <f t="shared" si="1540"/>
        <v>-3.8095238095238098</v>
      </c>
      <c r="Z270" s="800" t="e">
        <f t="shared" si="1540"/>
        <v>#VALUE!</v>
      </c>
      <c r="AA270" s="800">
        <f t="shared" si="1540"/>
        <v>3.8461538461538463</v>
      </c>
      <c r="AB270" s="800" t="e">
        <f t="shared" si="1540"/>
        <v>#VALUE!</v>
      </c>
      <c r="AC270" s="800">
        <f t="shared" si="1540"/>
        <v>0</v>
      </c>
      <c r="AD270" s="800" t="e">
        <f t="shared" si="1540"/>
        <v>#VALUE!</v>
      </c>
      <c r="AE270" s="800">
        <f t="shared" si="1540"/>
        <v>-7.7669902912621351</v>
      </c>
      <c r="AF270" s="800" t="e">
        <f t="shared" si="1540"/>
        <v>#VALUE!</v>
      </c>
      <c r="AG270" s="800">
        <f t="shared" si="1540"/>
        <v>0</v>
      </c>
      <c r="AH270" s="9" t="str">
        <f t="shared" ref="AH270:AH272" si="1541">IF(ISERROR(AG270/Y270),"NA",IF(OR(AG270/Y270&gt;2,AG270/Y270&lt;0.5),"NM",AG270/Y270*100-100))</f>
        <v>NM</v>
      </c>
      <c r="AI270" s="800">
        <f t="shared" ref="AI270:AK270" si="1542">AI268/AI257*400</f>
        <v>0</v>
      </c>
      <c r="AJ270" s="9" t="str">
        <f t="shared" ref="AJ270:AJ272" si="1543">IF(ISERROR(AI270/AA270),"NA",IF(OR(AI270/AA270&gt;2,AI270/AA270&lt;0.5),"NM",AI270/AA270*100-100))</f>
        <v>NM</v>
      </c>
      <c r="AK270" s="800">
        <f t="shared" si="1542"/>
        <v>4.1237113402061851</v>
      </c>
      <c r="AL270" s="9" t="str">
        <f t="shared" ref="AL270:AL272" si="1544">IF(ISERROR(AK270/AC270),"NA",IF(OR(AK270/AC270&gt;2,AK270/AC270&lt;0.5),"NM",AK270/AC270*100-100))</f>
        <v>NA</v>
      </c>
      <c r="AM270" s="800">
        <f t="shared" ref="AM270:AO270" si="1545">AM268/AM257*400</f>
        <v>0</v>
      </c>
      <c r="AN270" s="9" t="str">
        <f t="shared" ref="AN270:AN272" si="1546">IF(ISERROR(AM270/AE270),"NA",IF(OR(AM270/AE270&gt;2,AM270/AE270&lt;0.5),"NM",AM270/AE270*100-100))</f>
        <v>NM</v>
      </c>
      <c r="AO270" s="800">
        <f t="shared" si="1545"/>
        <v>-7.5471698113207548</v>
      </c>
      <c r="AP270" s="9" t="str">
        <f t="shared" ref="AP270:AP272" si="1547">IF(ISERROR(AO270/AG270),"NA",IF(OR(AO270/AG270&gt;2,AO270/AG270&lt;0.5),"NM",AO270/AG270*100-100))</f>
        <v>NA</v>
      </c>
      <c r="AQ270" s="800">
        <f t="shared" ref="AQ270:AW270" si="1548">AQ268/AQ257*400</f>
        <v>-8.3333333333333321</v>
      </c>
      <c r="AR270" s="9" t="str">
        <f t="shared" ref="AR270:AR272" si="1549">IF(ISERROR(AQ270/AI270),"NA",IF(OR(AQ270/AI270&gt;2,AQ270/AI270&lt;0.5),"NM",AQ270/AI270*100-100))</f>
        <v>NA</v>
      </c>
      <c r="AS270" s="800">
        <f t="shared" si="1548"/>
        <v>-8.5260406193444602</v>
      </c>
      <c r="AT270" s="9" t="str">
        <f t="shared" ref="AT270:AT272" si="1550">IF(ISERROR(AS270/AK270),"NA",IF(OR(AS270/AK270&gt;2,AS270/AK270&lt;0.5),"NM",AS270/AK270*100-100))</f>
        <v>NM</v>
      </c>
      <c r="AU270" s="800">
        <f t="shared" si="1548"/>
        <v>-8.6855683519989686</v>
      </c>
      <c r="AV270" s="9" t="str">
        <f t="shared" ref="AV270:AV272" si="1551">IF(ISERROR(AU270/AM270),"NA",IF(OR(AU270/AM270&gt;2,AU270/AM270&lt;0.5),"NM",AU270/AM270*100-100))</f>
        <v>NA</v>
      </c>
      <c r="AW270" s="800">
        <f t="shared" si="1548"/>
        <v>-8.851677224370107</v>
      </c>
      <c r="AX270" s="9">
        <f t="shared" ref="AX270:AX272" si="1552">IF(ISERROR(AW270/AO270),"NA",IF(OR(AW270/AO270&gt;2,AW270/AO270&lt;0.5),"NM",AW270/AO270*100-100))</f>
        <v>17.284723222903907</v>
      </c>
      <c r="AY270" s="287"/>
      <c r="AZ270" s="122"/>
      <c r="BA270" s="131"/>
      <c r="BB270" s="57"/>
      <c r="BC270" s="226" t="str">
        <f>IF(ISERROR(BB270/#REF!),"NA",IF(OR(BB270/#REF!&gt;2,BB270/#REF!&lt;0.5),"NM",BB270/#REF!*100-100))</f>
        <v>NA</v>
      </c>
      <c r="BD270" s="911"/>
      <c r="BE270" s="226" t="str">
        <f t="shared" si="1465"/>
        <v>NA</v>
      </c>
      <c r="BF270" s="57">
        <f>BF268/BF257*100</f>
        <v>-0.84033613445378152</v>
      </c>
      <c r="BG270" s="57" t="e">
        <f t="shared" ref="BG270:BP270" si="1553">BG268/BG257*100</f>
        <v>#VALUE!</v>
      </c>
      <c r="BH270" s="57">
        <f t="shared" si="1553"/>
        <v>-0.96153846153846156</v>
      </c>
      <c r="BI270" s="226">
        <f t="shared" ref="BI270:BS270" si="1554">IF(ISERROR(BH270/BF270),"NA",IF(OR(BH270/BF270&gt;2,BH270/BF270&lt;0.5),"NM",BH270/BF270*100-100))</f>
        <v>14.42307692307692</v>
      </c>
      <c r="BJ270" s="57">
        <f t="shared" ref="BJ270" si="1555">BJ268/BJ257*100</f>
        <v>-1.1494252873563218</v>
      </c>
      <c r="BK270" s="226">
        <f t="shared" si="1554"/>
        <v>19.540229885057457</v>
      </c>
      <c r="BL270" s="57">
        <f t="shared" ref="BL270" si="1556">BL268/BL257*100</f>
        <v>-8.3333333333333321</v>
      </c>
      <c r="BM270" s="226" t="str">
        <f t="shared" si="1554"/>
        <v>NM</v>
      </c>
      <c r="BN270" s="57">
        <f t="shared" si="1553"/>
        <v>-9.3857735859833848</v>
      </c>
      <c r="BO270" s="226">
        <f t="shared" si="1554"/>
        <v>12.629283031800639</v>
      </c>
      <c r="BP270" s="57">
        <f t="shared" si="1553"/>
        <v>-10.404823343471408</v>
      </c>
      <c r="BQ270" s="226">
        <f t="shared" si="1554"/>
        <v>10.857386960728107</v>
      </c>
      <c r="BR270" s="57">
        <f t="shared" ref="BR270:BT270" si="1557">BR268/BR257*100</f>
        <v>-11.661183982938139</v>
      </c>
      <c r="BS270" s="226">
        <f t="shared" si="1554"/>
        <v>12.074790681141593</v>
      </c>
      <c r="BT270" s="57">
        <f t="shared" si="1557"/>
        <v>-13.248621590206284</v>
      </c>
      <c r="BU270" s="226">
        <f t="shared" ref="BU270:BU271" si="1558">IF(ISERROR(BT270/BR270),"NA",IF(OR(BT270/BR270&gt;2,BT270/BR270&lt;0.5),"NM",BT270/BR270*100-100))</f>
        <v>13.613005416866571</v>
      </c>
      <c r="BV270" s="43">
        <f>IF(ISERROR(((BT270/BJ270)^0.2-1)*100),"NA",IF((((BT270/BJ270)^0.2-1)*100)&gt;100,"NM",IF((((BT270/BJ270)^0.2-1)*100)&lt;-50,"NM",((BT270/BJ270)^0.2-1)*100)))</f>
        <v>63.056452587603864</v>
      </c>
      <c r="BW270" s="722"/>
      <c r="BX270" s="722"/>
      <c r="BY270"/>
      <c r="BZ270"/>
      <c r="CA270"/>
      <c r="CB270"/>
      <c r="CC270"/>
      <c r="CD270"/>
    </row>
    <row r="271" spans="1:82" s="7" customFormat="1" ht="12.75" customHeight="1" x14ac:dyDescent="0.2">
      <c r="A271" s="42"/>
      <c r="B271" s="240" t="s">
        <v>77</v>
      </c>
      <c r="C271" s="57"/>
      <c r="D271" s="9"/>
      <c r="E271" s="57"/>
      <c r="F271" s="9"/>
      <c r="G271" s="57"/>
      <c r="H271" s="9"/>
      <c r="I271" s="130"/>
      <c r="J271" s="9"/>
      <c r="K271" s="130"/>
      <c r="L271" s="9"/>
      <c r="M271" s="130"/>
      <c r="N271" s="9"/>
      <c r="O271" s="643">
        <f>+O260/O257*400</f>
        <v>0</v>
      </c>
      <c r="P271" s="643" t="e">
        <f t="shared" ref="P271:AG271" si="1559">+P260/P257*400</f>
        <v>#VALUE!</v>
      </c>
      <c r="Q271" s="643">
        <f t="shared" si="1559"/>
        <v>12.598425196850393</v>
      </c>
      <c r="R271" s="643" t="e">
        <f t="shared" si="1559"/>
        <v>#VALUE!</v>
      </c>
      <c r="S271" s="643">
        <f t="shared" si="1559"/>
        <v>3.3613445378151261</v>
      </c>
      <c r="T271" s="643" t="e">
        <f t="shared" si="1559"/>
        <v>#VALUE!</v>
      </c>
      <c r="U271" s="643">
        <f t="shared" si="1559"/>
        <v>3.4782608695652173</v>
      </c>
      <c r="V271" s="643" t="e">
        <f t="shared" si="1559"/>
        <v>#VALUE!</v>
      </c>
      <c r="W271" s="643">
        <f t="shared" si="1559"/>
        <v>3.5087719298245612</v>
      </c>
      <c r="X271" s="643" t="e">
        <f t="shared" si="1559"/>
        <v>#VALUE!</v>
      </c>
      <c r="Y271" s="643">
        <f t="shared" si="1559"/>
        <v>3.8095238095238098</v>
      </c>
      <c r="Z271" s="643" t="e">
        <f t="shared" si="1559"/>
        <v>#VALUE!</v>
      </c>
      <c r="AA271" s="643">
        <f t="shared" si="1559"/>
        <v>11.538461538461538</v>
      </c>
      <c r="AB271" s="643" t="e">
        <f t="shared" si="1559"/>
        <v>#VALUE!</v>
      </c>
      <c r="AC271" s="643">
        <f t="shared" si="1559"/>
        <v>7.4074074074074066</v>
      </c>
      <c r="AD271" s="643">
        <f t="shared" si="1559"/>
        <v>-6571.4285714285761</v>
      </c>
      <c r="AE271" s="643">
        <f t="shared" si="1559"/>
        <v>7.7669902912621351</v>
      </c>
      <c r="AF271" s="643">
        <f t="shared" si="1559"/>
        <v>-4145.4545454545496</v>
      </c>
      <c r="AG271" s="643">
        <f t="shared" si="1559"/>
        <v>-8.4210526315789469</v>
      </c>
      <c r="AH271" s="9" t="str">
        <f t="shared" si="1541"/>
        <v>NM</v>
      </c>
      <c r="AI271" s="643">
        <f t="shared" ref="AI271:AK271" si="1560">+AI260/AI257*400</f>
        <v>9.1954022988505741</v>
      </c>
      <c r="AJ271" s="9">
        <f t="shared" si="1543"/>
        <v>-20.306513409961696</v>
      </c>
      <c r="AK271" s="643">
        <f t="shared" si="1560"/>
        <v>8.2474226804123703</v>
      </c>
      <c r="AL271" s="9">
        <f t="shared" si="1544"/>
        <v>11.340206185567013</v>
      </c>
      <c r="AM271" s="643">
        <f t="shared" ref="AM271:AO271" si="1561">+AM260/AM257*400</f>
        <v>7.7669902912621351</v>
      </c>
      <c r="AN271" s="9">
        <f t="shared" si="1546"/>
        <v>0</v>
      </c>
      <c r="AO271" s="643">
        <f t="shared" si="1561"/>
        <v>3.7735849056603774</v>
      </c>
      <c r="AP271" s="9" t="str">
        <f t="shared" si="1547"/>
        <v>NM</v>
      </c>
      <c r="AQ271" s="643">
        <f t="shared" ref="AQ271:AW271" si="1562">+AQ260/AQ257*400</f>
        <v>-0.7075471698113206</v>
      </c>
      <c r="AR271" s="9" t="str">
        <f t="shared" si="1549"/>
        <v>NM</v>
      </c>
      <c r="AS271" s="643">
        <f t="shared" si="1562"/>
        <v>1.1792452830188678</v>
      </c>
      <c r="AT271" s="9" t="str">
        <f t="shared" si="1550"/>
        <v>NM</v>
      </c>
      <c r="AU271" s="643">
        <f t="shared" si="1562"/>
        <v>1.1792452830188678</v>
      </c>
      <c r="AV271" s="9" t="str">
        <f t="shared" si="1551"/>
        <v>NM</v>
      </c>
      <c r="AW271" s="643">
        <f t="shared" si="1562"/>
        <v>1.1792452830188678</v>
      </c>
      <c r="AX271" s="9" t="str">
        <f t="shared" si="1552"/>
        <v>NM</v>
      </c>
      <c r="AY271" s="287"/>
      <c r="AZ271" s="122"/>
      <c r="BA271" s="131"/>
      <c r="BB271" s="57"/>
      <c r="BC271" s="226" t="str">
        <f>IF(ISERROR(BB271/#REF!),"NA",IF(OR(BB271/#REF!&gt;2,BB271/#REF!&lt;0.5),"NM",BB271/#REF!*100-100))</f>
        <v>NA</v>
      </c>
      <c r="BD271" s="911"/>
      <c r="BE271" s="226" t="str">
        <f t="shared" si="1465"/>
        <v>NA</v>
      </c>
      <c r="BF271" s="57">
        <f>BF260/BF257*100</f>
        <v>3.3613445378151261</v>
      </c>
      <c r="BG271" s="226" t="str">
        <f t="shared" si="1466"/>
        <v>NA</v>
      </c>
      <c r="BH271" s="57">
        <f t="shared" ref="BH271:BP271" si="1563">BH260/BH257*100</f>
        <v>4.8076923076923084</v>
      </c>
      <c r="BI271" s="226">
        <f t="shared" si="1467"/>
        <v>43.02884615384616</v>
      </c>
      <c r="BJ271" s="57">
        <f t="shared" ref="BJ271" si="1564">BJ260/BJ257*100</f>
        <v>8.0459770114942533</v>
      </c>
      <c r="BK271" s="226">
        <f t="shared" si="1467"/>
        <v>67.356321839080437</v>
      </c>
      <c r="BL271" s="57">
        <f t="shared" ref="BL271" si="1565">BL260/BL257*100</f>
        <v>0.67166418343370049</v>
      </c>
      <c r="BM271" s="226" t="str">
        <f t="shared" si="1467"/>
        <v>NM</v>
      </c>
      <c r="BN271" s="57">
        <f t="shared" si="1563"/>
        <v>3.2</v>
      </c>
      <c r="BO271" s="226" t="str">
        <f t="shared" si="1467"/>
        <v>NM</v>
      </c>
      <c r="BP271" s="57">
        <f t="shared" si="1563"/>
        <v>3.2</v>
      </c>
      <c r="BQ271" s="226">
        <f t="shared" si="1467"/>
        <v>0</v>
      </c>
      <c r="BR271" s="57">
        <f t="shared" ref="BR271:BT271" si="1566">BR260/BR257*100</f>
        <v>3.2</v>
      </c>
      <c r="BS271" s="226">
        <f t="shared" si="1467"/>
        <v>0</v>
      </c>
      <c r="BT271" s="57">
        <f t="shared" si="1566"/>
        <v>3.2</v>
      </c>
      <c r="BU271" s="226">
        <f t="shared" si="1558"/>
        <v>0</v>
      </c>
      <c r="BV271" s="43">
        <f>IF(ISERROR(((BT271/BJ271)^0.2-1)*100),"NA",IF((((BT271/BJ271)^0.2-1)*100)&gt;100,"NM",IF((((BT271/BJ271)^0.2-1)*100)&lt;-50,"NM",((BT271/BJ271)^0.2-1)*100)))</f>
        <v>-16.84004642974093</v>
      </c>
      <c r="BW271" s="722"/>
      <c r="BX271" s="722"/>
      <c r="BY271"/>
      <c r="BZ271"/>
      <c r="CA271"/>
      <c r="CB271"/>
      <c r="CC271"/>
      <c r="CD271"/>
    </row>
    <row r="272" spans="1:82" s="7" customFormat="1" ht="12.75" customHeight="1" x14ac:dyDescent="0.2">
      <c r="A272" s="42"/>
      <c r="B272" s="240" t="s">
        <v>105</v>
      </c>
      <c r="C272" s="57"/>
      <c r="D272" s="9"/>
      <c r="E272" s="57"/>
      <c r="F272" s="9"/>
      <c r="G272" s="57"/>
      <c r="H272" s="9"/>
      <c r="I272" s="130"/>
      <c r="J272" s="9"/>
      <c r="K272" s="130"/>
      <c r="L272" s="9"/>
      <c r="M272" s="130"/>
      <c r="N272" s="9"/>
      <c r="O272" s="130">
        <f>(O271/4)/O$31*100</f>
        <v>0</v>
      </c>
      <c r="P272" s="43" t="str">
        <f t="shared" si="1519"/>
        <v>NA</v>
      </c>
      <c r="Q272" s="130">
        <f t="shared" ref="Q272" si="1567">(Q271/4)/Q$31*100</f>
        <v>71.581961345740865</v>
      </c>
      <c r="R272" s="43" t="str">
        <f t="shared" si="1519"/>
        <v>NA</v>
      </c>
      <c r="S272" s="130">
        <f t="shared" ref="S272" si="1568">(S271/4)/S$31*100</f>
        <v>210.0840336134454</v>
      </c>
      <c r="T272" s="43" t="str">
        <f t="shared" si="1519"/>
        <v>NA</v>
      </c>
      <c r="U272" s="130">
        <f t="shared" ref="U272" si="1569">(U271/4)/U$31*100</f>
        <v>217.39130434782606</v>
      </c>
      <c r="V272" s="43" t="str">
        <f t="shared" si="1519"/>
        <v>NA</v>
      </c>
      <c r="W272" s="130">
        <f t="shared" ref="W272:Y272" si="1570">(W271/4)/W$31*100</f>
        <v>-11.578219264058594</v>
      </c>
      <c r="X272" s="43" t="str">
        <f t="shared" si="1519"/>
        <v>NA</v>
      </c>
      <c r="Y272" s="130">
        <f t="shared" si="1570"/>
        <v>15.253146047759078</v>
      </c>
      <c r="Z272" s="43" t="str">
        <f t="shared" si="1519"/>
        <v>NM</v>
      </c>
      <c r="AA272" s="130">
        <f t="shared" ref="AA272:AC272" si="1571">(AA271/4)/AA$31*100</f>
        <v>373.16333982473407</v>
      </c>
      <c r="AB272" s="43">
        <f t="shared" si="1519"/>
        <v>77.625749756573384</v>
      </c>
      <c r="AC272" s="130">
        <f t="shared" si="1571"/>
        <v>147.18045985679186</v>
      </c>
      <c r="AD272" s="43">
        <f t="shared" si="1519"/>
        <v>-32.296988465875742</v>
      </c>
      <c r="AE272" s="130">
        <f t="shared" ref="AE272:AG272" si="1572">(AE271/4)/AE$31*100</f>
        <v>62.513940003680624</v>
      </c>
      <c r="AF272" s="43" t="str">
        <f t="shared" si="1519"/>
        <v>NM</v>
      </c>
      <c r="AG272" s="130">
        <f t="shared" si="1572"/>
        <v>-64.693481532988102</v>
      </c>
      <c r="AH272" s="9" t="str">
        <f t="shared" si="1541"/>
        <v>NM</v>
      </c>
      <c r="AI272" s="130">
        <f t="shared" ref="AI272:AK272" si="1573">(AI271/4)/AI$31*100</f>
        <v>41.542749600644932</v>
      </c>
      <c r="AJ272" s="9" t="str">
        <f t="shared" si="1543"/>
        <v>NM</v>
      </c>
      <c r="AK272" s="130">
        <f t="shared" si="1573"/>
        <v>79.302141157811249</v>
      </c>
      <c r="AL272" s="9">
        <f t="shared" si="1544"/>
        <v>-46.119110352710493</v>
      </c>
      <c r="AM272" s="130">
        <f t="shared" ref="AM272:AO272" si="1574">(AM271/4)/AM$31*100</f>
        <v>53.937432578209268</v>
      </c>
      <c r="AN272" s="9">
        <f t="shared" si="1546"/>
        <v>-13.719351915694958</v>
      </c>
      <c r="AO272" s="130">
        <f t="shared" si="1574"/>
        <v>14.740566037735848</v>
      </c>
      <c r="AP272" s="9" t="str">
        <f t="shared" si="1547"/>
        <v>NM</v>
      </c>
      <c r="AQ272" s="669">
        <f t="shared" ref="AQ272" si="1575">AO272</f>
        <v>14.740566037735848</v>
      </c>
      <c r="AR272" s="9" t="str">
        <f t="shared" si="1549"/>
        <v>NM</v>
      </c>
      <c r="AS272" s="669">
        <f t="shared" ref="AS272" si="1576">AQ272</f>
        <v>14.740566037735848</v>
      </c>
      <c r="AT272" s="9" t="str">
        <f t="shared" si="1550"/>
        <v>NM</v>
      </c>
      <c r="AU272" s="669">
        <f t="shared" ref="AU272" si="1577">AS272</f>
        <v>14.740566037735848</v>
      </c>
      <c r="AV272" s="9" t="str">
        <f t="shared" si="1551"/>
        <v>NM</v>
      </c>
      <c r="AW272" s="669">
        <f t="shared" ref="AW272" si="1578">AU272</f>
        <v>14.740566037735848</v>
      </c>
      <c r="AX272" s="9">
        <f t="shared" si="1552"/>
        <v>0</v>
      </c>
      <c r="AY272" s="287"/>
      <c r="AZ272" s="122"/>
      <c r="BA272" s="131"/>
      <c r="BB272" s="57"/>
      <c r="BC272" s="9"/>
      <c r="BD272" s="911"/>
      <c r="BE272" s="9"/>
      <c r="BF272" s="57"/>
      <c r="BG272" s="9"/>
      <c r="BH272" s="57"/>
      <c r="BI272" s="9"/>
      <c r="BJ272" s="57"/>
      <c r="BK272" s="9"/>
      <c r="BL272" s="57"/>
      <c r="BM272" s="9"/>
      <c r="BN272" s="242">
        <v>40</v>
      </c>
      <c r="BO272" s="9"/>
      <c r="BP272" s="242">
        <v>40</v>
      </c>
      <c r="BQ272" s="9"/>
      <c r="BR272" s="242">
        <v>40</v>
      </c>
      <c r="BS272" s="9"/>
      <c r="BT272" s="242">
        <v>40</v>
      </c>
      <c r="BU272" s="9"/>
      <c r="BV272" s="43" t="str">
        <f>IF(ISERROR(((BT272/BJ272)^0.2-1)*100),"NA",IF((((BT272/BJ272)^0.2-1)*100)&gt;100,"NM",IF((((BT272/BJ272)^0.2-1)*100)&lt;-50,"NM",((BT272/BJ272)^0.2-1)*100)))</f>
        <v>NA</v>
      </c>
      <c r="BW272" s="722"/>
      <c r="BX272" s="722"/>
      <c r="BY272"/>
      <c r="BZ272"/>
      <c r="CA272"/>
      <c r="CB272"/>
      <c r="CC272"/>
      <c r="CD272"/>
    </row>
    <row r="273" spans="1:82" s="7" customFormat="1" ht="12.75" customHeight="1" x14ac:dyDescent="0.2">
      <c r="A273" s="42"/>
      <c r="B273" s="240"/>
      <c r="C273" s="57"/>
      <c r="D273" s="9"/>
      <c r="E273" s="57"/>
      <c r="F273" s="9"/>
      <c r="G273" s="57"/>
      <c r="H273" s="9"/>
      <c r="I273" s="130"/>
      <c r="J273" s="9"/>
      <c r="K273" s="130"/>
      <c r="L273" s="9"/>
      <c r="M273" s="130"/>
      <c r="N273" s="9"/>
      <c r="O273" s="130"/>
      <c r="P273" s="9"/>
      <c r="Q273" s="130"/>
      <c r="R273" s="9"/>
      <c r="S273" s="130"/>
      <c r="T273" s="9"/>
      <c r="U273" s="130"/>
      <c r="V273" s="9"/>
      <c r="W273" s="130"/>
      <c r="X273" s="9"/>
      <c r="Y273" s="130"/>
      <c r="Z273" s="9"/>
      <c r="AA273" s="130"/>
      <c r="AB273" s="9"/>
      <c r="AC273" s="130"/>
      <c r="AD273" s="9"/>
      <c r="AE273" s="130"/>
      <c r="AF273" s="9"/>
      <c r="AG273" s="130"/>
      <c r="AH273" s="9"/>
      <c r="AI273" s="130"/>
      <c r="AJ273" s="9"/>
      <c r="AK273" s="130"/>
      <c r="AL273" s="9"/>
      <c r="AM273" s="130"/>
      <c r="AN273" s="9"/>
      <c r="AO273" s="130"/>
      <c r="AP273" s="9"/>
      <c r="AQ273" s="242"/>
      <c r="AR273" s="9"/>
      <c r="AS273" s="242"/>
      <c r="AT273" s="9"/>
      <c r="AU273" s="242"/>
      <c r="AV273" s="9"/>
      <c r="AW273" s="242"/>
      <c r="AX273" s="9"/>
      <c r="AY273" s="287"/>
      <c r="AZ273" s="122"/>
      <c r="BA273" s="131"/>
      <c r="BB273" s="57"/>
      <c r="BC273" s="9"/>
      <c r="BD273" s="911"/>
      <c r="BE273" s="9"/>
      <c r="BF273" s="57"/>
      <c r="BG273" s="9"/>
      <c r="BH273" s="57"/>
      <c r="BI273" s="9"/>
      <c r="BJ273" s="57"/>
      <c r="BK273" s="9"/>
      <c r="BL273" s="57"/>
      <c r="BM273" s="9"/>
      <c r="BN273" s="242"/>
      <c r="BO273" s="9"/>
      <c r="BP273" s="242"/>
      <c r="BQ273" s="9"/>
      <c r="BR273" s="242"/>
      <c r="BS273" s="9"/>
      <c r="BT273" s="242"/>
      <c r="BU273" s="9"/>
      <c r="BV273" s="43"/>
      <c r="BW273" s="722"/>
      <c r="BX273" s="722"/>
      <c r="BY273"/>
      <c r="BZ273"/>
      <c r="CA273"/>
      <c r="CB273"/>
      <c r="CC273"/>
      <c r="CD273"/>
    </row>
    <row r="274" spans="1:82" s="7" customFormat="1" ht="12.75" customHeight="1" x14ac:dyDescent="0.2">
      <c r="A274" s="42"/>
      <c r="B274" s="730" t="s">
        <v>598</v>
      </c>
      <c r="C274" s="57"/>
      <c r="D274" s="9"/>
      <c r="E274" s="57"/>
      <c r="F274" s="9"/>
      <c r="G274" s="57"/>
      <c r="H274" s="9"/>
      <c r="I274" s="130"/>
      <c r="J274" s="9"/>
      <c r="K274" s="130"/>
      <c r="L274" s="9"/>
      <c r="M274" s="130"/>
      <c r="N274" s="9"/>
      <c r="O274" s="130"/>
      <c r="P274" s="9"/>
      <c r="Q274" s="130"/>
      <c r="R274" s="9"/>
      <c r="S274" s="130"/>
      <c r="T274" s="9"/>
      <c r="U274" s="130"/>
      <c r="V274" s="9"/>
      <c r="W274" s="130"/>
      <c r="X274" s="9"/>
      <c r="Y274" s="130"/>
      <c r="Z274" s="9"/>
      <c r="AA274" s="130"/>
      <c r="AB274" s="9"/>
      <c r="AC274" s="130"/>
      <c r="AD274" s="9"/>
      <c r="AE274" s="130"/>
      <c r="AF274" s="9"/>
      <c r="AG274" s="130"/>
      <c r="AH274" s="9"/>
      <c r="AI274" s="130"/>
      <c r="AJ274" s="9"/>
      <c r="AK274" s="130"/>
      <c r="AL274" s="9"/>
      <c r="AM274" s="130"/>
      <c r="AN274" s="9"/>
      <c r="AO274" s="130"/>
      <c r="AP274" s="9"/>
      <c r="AQ274" s="242"/>
      <c r="AR274" s="9"/>
      <c r="AS274" s="242"/>
      <c r="AT274" s="9"/>
      <c r="AU274" s="242"/>
      <c r="AV274" s="9"/>
      <c r="AW274" s="242"/>
      <c r="AX274" s="9"/>
      <c r="AY274" s="287"/>
      <c r="AZ274" s="122"/>
      <c r="BA274" s="131"/>
      <c r="BB274" s="57"/>
      <c r="BC274" s="9"/>
      <c r="BD274" s="911"/>
      <c r="BE274" s="9"/>
      <c r="BF274" s="57"/>
      <c r="BG274" s="9"/>
      <c r="BH274" s="57"/>
      <c r="BI274" s="9"/>
      <c r="BJ274" s="57"/>
      <c r="BK274" s="9"/>
      <c r="BL274" s="57"/>
      <c r="BM274" s="9"/>
      <c r="BN274" s="242"/>
      <c r="BO274" s="9"/>
      <c r="BP274" s="242"/>
      <c r="BQ274" s="9"/>
      <c r="BR274" s="242"/>
      <c r="BS274" s="9"/>
      <c r="BT274" s="242"/>
      <c r="BU274" s="9"/>
      <c r="BV274" s="43"/>
      <c r="BW274" s="722"/>
      <c r="BX274" s="722"/>
      <c r="BY274"/>
      <c r="BZ274"/>
      <c r="CA274"/>
      <c r="CB274"/>
      <c r="CC274"/>
      <c r="CD274"/>
    </row>
    <row r="275" spans="1:82" s="7" customFormat="1" ht="12.75" customHeight="1" x14ac:dyDescent="0.2">
      <c r="A275" s="42"/>
      <c r="B275" s="17" t="s">
        <v>314</v>
      </c>
      <c r="C275" s="57"/>
      <c r="D275" s="9"/>
      <c r="E275" s="57"/>
      <c r="F275" s="9"/>
      <c r="G275" s="57"/>
      <c r="H275" s="9"/>
      <c r="I275" s="130"/>
      <c r="J275" s="9"/>
      <c r="K275" s="130"/>
      <c r="L275" s="9"/>
      <c r="M275" s="130"/>
      <c r="N275" s="9"/>
      <c r="O275" s="126">
        <f t="shared" ref="O275:O281" si="1579">O292-O257-O239-O221</f>
        <v>17600</v>
      </c>
      <c r="P275" s="43" t="str">
        <f t="shared" ref="P275:P283" si="1580">IF(ISERROR(O275/G275),"NA",IF(OR(O275/G275&gt;2,O275/G275&lt;0.5),"NM",O275/G275*100-100))</f>
        <v>NA</v>
      </c>
      <c r="Q275" s="126">
        <f>O282</f>
        <v>17700</v>
      </c>
      <c r="R275" s="43" t="str">
        <f t="shared" ref="R275:R283" si="1581">IF(ISERROR(Q275/I275),"NA",IF(OR(Q275/I275&gt;2,Q275/I275&lt;0.5),"NM",Q275/I275*100-100))</f>
        <v>NA</v>
      </c>
      <c r="S275" s="126">
        <f t="shared" ref="S275" si="1582">Q282</f>
        <v>17400</v>
      </c>
      <c r="T275" s="43" t="str">
        <f t="shared" ref="T275:T283" si="1583">IF(ISERROR(S275/K275),"NA",IF(OR(S275/K275&gt;2,S275/K275&lt;0.5),"NM",S275/K275*100-100))</f>
        <v>NA</v>
      </c>
      <c r="U275" s="126">
        <f t="shared" ref="U275" si="1584">S282</f>
        <v>18400</v>
      </c>
      <c r="V275" s="43" t="str">
        <f t="shared" ref="V275:V283" si="1585">IF(ISERROR(U275/M275),"NA",IF(OR(U275/M275&gt;2,U275/M275&lt;0.5),"NM",U275/M275*100-100))</f>
        <v>NA</v>
      </c>
      <c r="W275" s="126">
        <f>U282</f>
        <v>20800</v>
      </c>
      <c r="X275" s="43">
        <f t="shared" ref="X275:X283" si="1586">IF(ISERROR(W275/O275),"NA",IF(OR(W275/O275&gt;2,W275/O275&lt;0.5),"NM",W275/O275*100-100))</f>
        <v>18.181818181818187</v>
      </c>
      <c r="Y275" s="126">
        <f>W282</f>
        <v>21700</v>
      </c>
      <c r="Z275" s="43">
        <f t="shared" ref="Z275:Z283" si="1587">IF(ISERROR(Y275/Q275),"NA",IF(OR(Y275/Q275&gt;2,Y275/Q275&lt;0.5),"NM",Y275/Q275*100-100))</f>
        <v>22.598870056497162</v>
      </c>
      <c r="AA275" s="126">
        <f>Y282</f>
        <v>22500</v>
      </c>
      <c r="AB275" s="43">
        <f t="shared" ref="AB275:AB283" si="1588">IF(ISERROR(AA275/S275),"NA",IF(OR(AA275/S275&gt;2,AA275/S275&lt;0.5),"NM",AA275/S275*100-100))</f>
        <v>29.310344827586221</v>
      </c>
      <c r="AC275" s="126">
        <f>AA282</f>
        <v>23400</v>
      </c>
      <c r="AD275" s="43">
        <f t="shared" ref="AD275:AD283" si="1589">IF(ISERROR(AC275/U275),"NA",IF(OR(AC275/U275&gt;2,AC275/U275&lt;0.5),"NM",AC275/U275*100-100))</f>
        <v>27.173913043478265</v>
      </c>
      <c r="AE275" s="126">
        <f>AC282</f>
        <v>23100</v>
      </c>
      <c r="AF275" s="43">
        <f t="shared" ref="AF275:AF283" si="1590">IF(ISERROR(AE275/W275),"NA",IF(OR(AE275/W275&gt;2,AE275/W275&lt;0.5),"NM",AE275/W275*100-100))</f>
        <v>11.057692307692307</v>
      </c>
      <c r="AG275" s="126">
        <f>AE282</f>
        <v>24800</v>
      </c>
      <c r="AH275" s="9">
        <f t="shared" ref="AH275:AH283" si="1591">IF(ISERROR(AG275/Y275),"NA",IF(OR(AG275/Y275&gt;2,AG275/Y275&lt;0.5),"NM",AG275/Y275*100-100))</f>
        <v>14.285714285714278</v>
      </c>
      <c r="AI275" s="126">
        <f>AG282</f>
        <v>23600</v>
      </c>
      <c r="AJ275" s="9">
        <f t="shared" ref="AJ275:AJ283" si="1592">IF(ISERROR(AI275/AA275),"NA",IF(OR(AI275/AA275&gt;2,AI275/AA275&lt;0.5),"NM",AI275/AA275*100-100))</f>
        <v>4.8888888888888999</v>
      </c>
      <c r="AK275" s="126">
        <f>AI282</f>
        <v>25000</v>
      </c>
      <c r="AL275" s="9">
        <f t="shared" ref="AL275:AL283" si="1593">IF(ISERROR(AK275/AC275),"NA",IF(OR(AK275/AC275&gt;2,AK275/AC275&lt;0.5),"NM",AK275/AC275*100-100))</f>
        <v>6.8376068376068417</v>
      </c>
      <c r="AM275" s="126">
        <f>AK282</f>
        <v>25900</v>
      </c>
      <c r="AN275" s="9">
        <f t="shared" ref="AN275:AN283" si="1594">IF(ISERROR(AM275/AE275),"NA",IF(OR(AM275/AE275&gt;2,AM275/AE275&lt;0.5),"NM",AM275/AE275*100-100))</f>
        <v>12.12121212121211</v>
      </c>
      <c r="AO275" s="126">
        <f>AM282</f>
        <v>27300</v>
      </c>
      <c r="AP275" s="9">
        <f t="shared" ref="AP275:AP283" si="1595">IF(ISERROR(AO275/AG275),"NA",IF(OR(AO275/AG275&gt;2,AO275/AG275&lt;0.5),"NM",AO275/AG275*100-100))</f>
        <v>10.08064516129032</v>
      </c>
      <c r="AQ275" s="126">
        <f t="shared" ref="AQ275" si="1596">AO282</f>
        <v>28900</v>
      </c>
      <c r="AR275" s="9">
        <f t="shared" ref="AR275:AR283" si="1597">IF(ISERROR(AQ275/AI275),"NA",IF(OR(AQ275/AI275&gt;2,AQ275/AI275&lt;0.5),"NM",AQ275/AI275*100-100))</f>
        <v>22.457627118644069</v>
      </c>
      <c r="AS275" s="126">
        <f t="shared" ref="AS275" si="1598">AQ282</f>
        <v>29440.453296703297</v>
      </c>
      <c r="AT275" s="9">
        <f t="shared" ref="AT275:AT283" si="1599">IF(ISERROR(AS275/AK275),"NA",IF(OR(AS275/AK275&gt;2,AS275/AK275&lt;0.5),"NM",AS275/AK275*100-100))</f>
        <v>17.761813186813185</v>
      </c>
      <c r="AU275" s="126">
        <f t="shared" ref="AU275" si="1600">AS282</f>
        <v>30141.553754452969</v>
      </c>
      <c r="AV275" s="9">
        <f t="shared" ref="AV275:AV283" si="1601">IF(ISERROR(AU275/AM275),"NA",IF(OR(AU275/AM275&gt;2,AU275/AM275&lt;0.5),"NM",AU275/AM275*100-100))</f>
        <v>16.376655422598347</v>
      </c>
      <c r="AW275" s="126">
        <f t="shared" ref="AW275" si="1602">AU282</f>
        <v>30845.06183740095</v>
      </c>
      <c r="AX275" s="9">
        <f t="shared" ref="AX275:AX283" si="1603">IF(ISERROR(AW275/AO275),"NA",IF(OR(AW275/AO275&gt;2,AW275/AO275&lt;0.5),"NM",AW275/AO275*100-100))</f>
        <v>12.985574495974177</v>
      </c>
      <c r="AY275" s="287"/>
      <c r="AZ275" s="122"/>
      <c r="BA275" s="131"/>
      <c r="BB275" s="57"/>
      <c r="BC275" s="226" t="str">
        <f>IF(ISERROR(BB275/#REF!),"NA",IF(OR(BB275/#REF!&gt;2,BB275/#REF!&lt;0.5),"NM",BB275/#REF!*100-100))</f>
        <v>NA</v>
      </c>
      <c r="BD275" s="911"/>
      <c r="BE275" s="226" t="str">
        <f t="shared" ref="BE275:BE283" si="1604">IF(ISERROR(BD275/BB275),"NA",IF(OR(BD275/BB275&gt;2,BD275/BB275&lt;0.5),"NM",BD275/BB275*100-100))</f>
        <v>NA</v>
      </c>
      <c r="BF275" s="55">
        <f>Q282</f>
        <v>17400</v>
      </c>
      <c r="BG275" s="226" t="str">
        <f t="shared" ref="BG275:BG283" si="1605">IF(ISERROR(BF275/BD275),"NA",IF(OR(BF275/BD275&gt;2,BF275/BD275&lt;0.5),"NM",BF275/BD275*100-100))</f>
        <v>NA</v>
      </c>
      <c r="BH275" s="55">
        <f>BF282</f>
        <v>22500</v>
      </c>
      <c r="BI275" s="226">
        <f t="shared" ref="BI275:BS283" si="1606">IF(ISERROR(BH275/BF275),"NA",IF(OR(BH275/BF275&gt;2,BH275/BF275&lt;0.5),"NM",BH275/BF275*100-100))</f>
        <v>29.310344827586221</v>
      </c>
      <c r="BJ275" s="55">
        <f>BH282</f>
        <v>23600</v>
      </c>
      <c r="BK275" s="226">
        <f t="shared" si="1606"/>
        <v>4.8888888888888999</v>
      </c>
      <c r="BL275" s="55">
        <f>BJ282</f>
        <v>28900</v>
      </c>
      <c r="BM275" s="226">
        <f t="shared" si="1606"/>
        <v>22.457627118644069</v>
      </c>
      <c r="BN275" s="126">
        <f>BL282</f>
        <v>31550.985813490923</v>
      </c>
      <c r="BO275" s="226">
        <f t="shared" si="1606"/>
        <v>9.1729612923561348</v>
      </c>
      <c r="BP275" s="126">
        <f t="shared" ref="BP275" si="1607">BN282</f>
        <v>35056.617359522636</v>
      </c>
      <c r="BQ275" s="226">
        <f t="shared" si="1606"/>
        <v>11.111004793177443</v>
      </c>
      <c r="BR275" s="126">
        <f t="shared" ref="BR275" si="1608">BP282</f>
        <v>38774.26911502736</v>
      </c>
      <c r="BS275" s="226">
        <f t="shared" si="1606"/>
        <v>10.604707571692956</v>
      </c>
      <c r="BT275" s="126">
        <f t="shared" ref="BT275" si="1609">BR282</f>
        <v>42714.71932670824</v>
      </c>
      <c r="BU275" s="226">
        <f t="shared" ref="BU275:BU283" si="1610">IF(ISERROR(BT275/BR275),"NA",IF(OR(BT275/BR275&gt;2,BT275/BR275&lt;0.5),"NM",BT275/BR275*100-100))</f>
        <v>10.162538976534094</v>
      </c>
      <c r="BV275" s="43">
        <f t="shared" ref="BV275:BV283" si="1611">IF(ISERROR(((BT275/BJ275)^0.2-1)*100),"NA",IF((((BT275/BJ275)^0.2-1)*100)&gt;100,"NM",IF((((BT275/BJ275)^0.2-1)*100)&lt;-50,"NM",((BT275/BJ275)^0.2-1)*100)))</f>
        <v>12.598631132962378</v>
      </c>
      <c r="BW275" s="722"/>
      <c r="BX275" s="722"/>
      <c r="BY275"/>
      <c r="BZ275"/>
      <c r="CA275"/>
      <c r="CB275"/>
      <c r="CC275"/>
      <c r="CD275"/>
    </row>
    <row r="276" spans="1:82" s="7" customFormat="1" ht="12.75" customHeight="1" x14ac:dyDescent="0.2">
      <c r="A276" s="42"/>
      <c r="B276" s="17" t="s">
        <v>490</v>
      </c>
      <c r="C276" s="57"/>
      <c r="D276" s="9"/>
      <c r="E276" s="57"/>
      <c r="F276" s="9"/>
      <c r="G276" s="57"/>
      <c r="H276" s="9"/>
      <c r="I276" s="130"/>
      <c r="J276" s="9"/>
      <c r="K276" s="130"/>
      <c r="L276" s="9"/>
      <c r="M276" s="130"/>
      <c r="N276" s="9"/>
      <c r="O276" s="126">
        <f t="shared" si="1579"/>
        <v>4100</v>
      </c>
      <c r="P276" s="43" t="str">
        <f t="shared" si="1580"/>
        <v>NA</v>
      </c>
      <c r="Q276" s="126">
        <f t="shared" ref="Q276:Q281" si="1612">Q293-Q258-Q240-Q222</f>
        <v>4200</v>
      </c>
      <c r="R276" s="43" t="str">
        <f t="shared" si="1581"/>
        <v>NA</v>
      </c>
      <c r="S276" s="126">
        <f t="shared" ref="S276:S281" si="1613">S293-S258-S240-S222</f>
        <v>5000</v>
      </c>
      <c r="T276" s="43" t="str">
        <f t="shared" si="1583"/>
        <v>NA</v>
      </c>
      <c r="U276" s="126">
        <f t="shared" ref="U276:U281" si="1614">U293-U258-U240-U222</f>
        <v>5700</v>
      </c>
      <c r="V276" s="43" t="str">
        <f t="shared" si="1585"/>
        <v>NA</v>
      </c>
      <c r="W276" s="126">
        <f t="shared" ref="W276:W281" si="1615">W293-W258-W240-W222</f>
        <v>4600</v>
      </c>
      <c r="X276" s="43">
        <f t="shared" si="1586"/>
        <v>12.195121951219519</v>
      </c>
      <c r="Y276" s="126">
        <f t="shared" ref="Y276:Y281" si="1616">Y293-Y258-Y240-Y222</f>
        <v>4200</v>
      </c>
      <c r="Z276" s="43">
        <f t="shared" si="1587"/>
        <v>0</v>
      </c>
      <c r="AA276" s="126">
        <f>AA293-AA258-AA240-AA222</f>
        <v>4500</v>
      </c>
      <c r="AB276" s="43">
        <f t="shared" si="1588"/>
        <v>-10</v>
      </c>
      <c r="AC276" s="126">
        <f>AC293-AC258-AC240-AC222</f>
        <v>2400</v>
      </c>
      <c r="AD276" s="43" t="str">
        <f t="shared" si="1589"/>
        <v>NM</v>
      </c>
      <c r="AE276" s="126">
        <f>AE293-AE258-AE240-AE222</f>
        <v>3600</v>
      </c>
      <c r="AF276" s="43">
        <f t="shared" si="1590"/>
        <v>-21.739130434782609</v>
      </c>
      <c r="AG276" s="126">
        <f>AG293-AG258-AG240-AG222</f>
        <v>2700</v>
      </c>
      <c r="AH276" s="9">
        <f t="shared" si="1591"/>
        <v>-35.714285714285708</v>
      </c>
      <c r="AI276" s="126">
        <f>AI293-AI258-AI240-AI222</f>
        <v>2800</v>
      </c>
      <c r="AJ276" s="9">
        <f t="shared" si="1592"/>
        <v>-37.777777777777779</v>
      </c>
      <c r="AK276" s="126">
        <f>AK293-AK258-AK240-AK222</f>
        <v>3200</v>
      </c>
      <c r="AL276" s="9">
        <f t="shared" si="1593"/>
        <v>33.333333333333314</v>
      </c>
      <c r="AM276" s="126">
        <f>AM293-AM258-AM240-AM222</f>
        <v>3400</v>
      </c>
      <c r="AN276" s="9">
        <f t="shared" si="1594"/>
        <v>-5.5555555555555571</v>
      </c>
      <c r="AO276" s="126">
        <f>AO293-AO258-AO240-AO222</f>
        <v>4500</v>
      </c>
      <c r="AP276" s="9">
        <f t="shared" si="1595"/>
        <v>66.666666666666686</v>
      </c>
      <c r="AQ276" s="670">
        <f t="shared" ref="AQ276" si="1617">AO276</f>
        <v>4500</v>
      </c>
      <c r="AR276" s="9">
        <f t="shared" si="1597"/>
        <v>60.714285714285722</v>
      </c>
      <c r="AS276" s="670">
        <f t="shared" ref="AS276" si="1618">AQ276</f>
        <v>4500</v>
      </c>
      <c r="AT276" s="9">
        <f t="shared" si="1599"/>
        <v>40.625</v>
      </c>
      <c r="AU276" s="670">
        <f t="shared" ref="AU276" si="1619">AS276</f>
        <v>4500</v>
      </c>
      <c r="AV276" s="9">
        <f t="shared" si="1601"/>
        <v>32.35294117647058</v>
      </c>
      <c r="AW276" s="670">
        <f t="shared" ref="AW276" si="1620">AU276</f>
        <v>4500</v>
      </c>
      <c r="AX276" s="9">
        <f t="shared" si="1603"/>
        <v>0</v>
      </c>
      <c r="AY276" s="287"/>
      <c r="AZ276" s="122"/>
      <c r="BA276" s="131"/>
      <c r="BB276" s="57"/>
      <c r="BC276" s="226" t="str">
        <f>IF(ISERROR(BB276/#REF!),"NA",IF(OR(BB276/#REF!&gt;2,BB276/#REF!&lt;0.5),"NM",BB276/#REF!*100-100))</f>
        <v>NA</v>
      </c>
      <c r="BD276" s="911"/>
      <c r="BE276" s="226" t="str">
        <f t="shared" si="1604"/>
        <v>NA</v>
      </c>
      <c r="BF276" s="55">
        <f t="shared" ref="BF276:BF281" si="1621">S276+U276+W276+Y276</f>
        <v>19500</v>
      </c>
      <c r="BG276" s="226" t="str">
        <f t="shared" si="1605"/>
        <v>NA</v>
      </c>
      <c r="BH276" s="55">
        <f t="shared" ref="BH276:BH281" si="1622">AA276+AC276+AE276+AG276</f>
        <v>13200</v>
      </c>
      <c r="BI276" s="226">
        <f t="shared" si="1606"/>
        <v>-32.307692307692307</v>
      </c>
      <c r="BJ276" s="55">
        <f t="shared" ref="BJ276:BJ281" si="1623">AI276+AK276+AM276+AO276</f>
        <v>13900</v>
      </c>
      <c r="BK276" s="226">
        <f t="shared" si="1606"/>
        <v>5.3030303030302974</v>
      </c>
      <c r="BL276" s="55">
        <f t="shared" ref="BL276:BL281" si="1624">AQ276+AS276+AU276+AW276</f>
        <v>18000</v>
      </c>
      <c r="BM276" s="226">
        <f t="shared" si="1606"/>
        <v>29.496402877697847</v>
      </c>
      <c r="BN276" s="127">
        <f>BL276*1.02</f>
        <v>18360</v>
      </c>
      <c r="BO276" s="226">
        <f t="shared" si="1606"/>
        <v>2</v>
      </c>
      <c r="BP276" s="127">
        <f t="shared" ref="BP276" si="1625">BN276*1.02</f>
        <v>18727.2</v>
      </c>
      <c r="BQ276" s="226">
        <f t="shared" si="1606"/>
        <v>2</v>
      </c>
      <c r="BR276" s="127">
        <f t="shared" ref="BR276" si="1626">BP276*1.02</f>
        <v>19101.744000000002</v>
      </c>
      <c r="BS276" s="226">
        <f t="shared" si="1606"/>
        <v>2</v>
      </c>
      <c r="BT276" s="127">
        <f t="shared" ref="BT276" si="1627">BR276*1.02</f>
        <v>19483.778880000002</v>
      </c>
      <c r="BU276" s="226">
        <f t="shared" si="1610"/>
        <v>2</v>
      </c>
      <c r="BV276" s="43">
        <f t="shared" si="1611"/>
        <v>6.9871647198038067</v>
      </c>
      <c r="BW276" s="722"/>
      <c r="BX276" s="722"/>
      <c r="BY276"/>
      <c r="BZ276"/>
      <c r="CA276"/>
      <c r="CB276"/>
      <c r="CC276"/>
      <c r="CD276"/>
    </row>
    <row r="277" spans="1:82" s="7" customFormat="1" ht="12.75" customHeight="1" x14ac:dyDescent="0.2">
      <c r="A277" s="42"/>
      <c r="B277" s="17" t="s">
        <v>491</v>
      </c>
      <c r="C277" s="57"/>
      <c r="D277" s="9"/>
      <c r="E277" s="57"/>
      <c r="F277" s="9"/>
      <c r="G277" s="57"/>
      <c r="H277" s="9"/>
      <c r="I277" s="130"/>
      <c r="J277" s="9"/>
      <c r="K277" s="130"/>
      <c r="L277" s="9"/>
      <c r="M277" s="130"/>
      <c r="N277" s="9"/>
      <c r="O277" s="126">
        <f t="shared" si="1579"/>
        <v>-4100</v>
      </c>
      <c r="P277" s="43" t="str">
        <f t="shared" si="1580"/>
        <v>NA</v>
      </c>
      <c r="Q277" s="126">
        <f t="shared" si="1612"/>
        <v>-3000</v>
      </c>
      <c r="R277" s="43" t="str">
        <f t="shared" si="1581"/>
        <v>NA</v>
      </c>
      <c r="S277" s="126">
        <f t="shared" si="1613"/>
        <v>-4800</v>
      </c>
      <c r="T277" s="43" t="str">
        <f t="shared" si="1583"/>
        <v>NA</v>
      </c>
      <c r="U277" s="126">
        <f t="shared" si="1614"/>
        <v>-5200</v>
      </c>
      <c r="V277" s="43" t="str">
        <f t="shared" si="1585"/>
        <v>NA</v>
      </c>
      <c r="W277" s="126">
        <f t="shared" si="1615"/>
        <v>-4400</v>
      </c>
      <c r="X277" s="43">
        <f t="shared" si="1586"/>
        <v>7.3170731707317174</v>
      </c>
      <c r="Y277" s="126">
        <f t="shared" si="1616"/>
        <v>-3900</v>
      </c>
      <c r="Z277" s="43">
        <f t="shared" si="1587"/>
        <v>30</v>
      </c>
      <c r="AA277" s="126">
        <f>AA294-AA259-AA241-AA223</f>
        <v>-4800</v>
      </c>
      <c r="AB277" s="43">
        <f t="shared" si="1588"/>
        <v>0</v>
      </c>
      <c r="AC277" s="126">
        <f>AC294-AC259-AC241-AC223</f>
        <v>-2200</v>
      </c>
      <c r="AD277" s="43" t="str">
        <f t="shared" si="1589"/>
        <v>NM</v>
      </c>
      <c r="AE277" s="126">
        <f>AE294-AE259-AE241-AE223</f>
        <v>-2500</v>
      </c>
      <c r="AF277" s="43">
        <f t="shared" si="1590"/>
        <v>-43.18181818181818</v>
      </c>
      <c r="AG277" s="126">
        <f>AG294-AG259-AG241-AG223</f>
        <v>-2500</v>
      </c>
      <c r="AH277" s="9">
        <f t="shared" si="1591"/>
        <v>-35.897435897435898</v>
      </c>
      <c r="AI277" s="126">
        <f>AI294-AI259-AI241-AI223</f>
        <v>-2800</v>
      </c>
      <c r="AJ277" s="9">
        <f t="shared" si="1592"/>
        <v>-41.666666666666664</v>
      </c>
      <c r="AK277" s="126">
        <f>AK294-AK259-AK241-AK223</f>
        <v>-3200</v>
      </c>
      <c r="AL277" s="9">
        <f t="shared" si="1593"/>
        <v>45.454545454545467</v>
      </c>
      <c r="AM277" s="126">
        <f>AM294-AM259-AM241-AM223</f>
        <v>-2900</v>
      </c>
      <c r="AN277" s="9">
        <f t="shared" si="1594"/>
        <v>15.999999999999986</v>
      </c>
      <c r="AO277" s="126">
        <f>AO294-AO259-AO241-AO223</f>
        <v>-3900</v>
      </c>
      <c r="AP277" s="9">
        <f t="shared" si="1595"/>
        <v>56</v>
      </c>
      <c r="AQ277" s="126">
        <f t="shared" ref="AQ277:AW277" si="1628">AQ285-AQ276</f>
        <v>-3900</v>
      </c>
      <c r="AR277" s="9">
        <f t="shared" si="1597"/>
        <v>39.285714285714278</v>
      </c>
      <c r="AS277" s="126">
        <f t="shared" si="1628"/>
        <v>-3900</v>
      </c>
      <c r="AT277" s="9">
        <f t="shared" si="1599"/>
        <v>21.875</v>
      </c>
      <c r="AU277" s="126">
        <f t="shared" si="1628"/>
        <v>-3900</v>
      </c>
      <c r="AV277" s="9">
        <f t="shared" si="1601"/>
        <v>34.482758620689651</v>
      </c>
      <c r="AW277" s="126">
        <f t="shared" si="1628"/>
        <v>-3900</v>
      </c>
      <c r="AX277" s="9">
        <f t="shared" si="1603"/>
        <v>0</v>
      </c>
      <c r="AY277" s="287"/>
      <c r="AZ277" s="122"/>
      <c r="BA277" s="131"/>
      <c r="BB277" s="57"/>
      <c r="BC277" s="226" t="str">
        <f>IF(ISERROR(BB277/#REF!),"NA",IF(OR(BB277/#REF!&gt;2,BB277/#REF!&lt;0.5),"NM",BB277/#REF!*100-100))</f>
        <v>NA</v>
      </c>
      <c r="BD277" s="911"/>
      <c r="BE277" s="226" t="str">
        <f t="shared" si="1604"/>
        <v>NA</v>
      </c>
      <c r="BF277" s="55">
        <f t="shared" si="1621"/>
        <v>-18300</v>
      </c>
      <c r="BG277" s="226" t="str">
        <f t="shared" si="1605"/>
        <v>NA</v>
      </c>
      <c r="BH277" s="55">
        <f t="shared" si="1622"/>
        <v>-12000</v>
      </c>
      <c r="BI277" s="226">
        <f t="shared" si="1606"/>
        <v>-34.426229508196727</v>
      </c>
      <c r="BJ277" s="55">
        <f t="shared" si="1623"/>
        <v>-12800</v>
      </c>
      <c r="BK277" s="226">
        <f t="shared" si="1606"/>
        <v>6.6666666666666714</v>
      </c>
      <c r="BL277" s="55">
        <f t="shared" si="1624"/>
        <v>-15600</v>
      </c>
      <c r="BM277" s="226">
        <f t="shared" si="1606"/>
        <v>21.875</v>
      </c>
      <c r="BN277" s="126">
        <f t="shared" ref="BN277" si="1629">BN285-BN276</f>
        <v>-15864</v>
      </c>
      <c r="BO277" s="226">
        <f t="shared" si="1606"/>
        <v>1.6923076923076792</v>
      </c>
      <c r="BP277" s="126">
        <f t="shared" ref="BP277:BR277" si="1630">BP285-BP276</f>
        <v>-16131.36</v>
      </c>
      <c r="BQ277" s="226">
        <f t="shared" si="1606"/>
        <v>1.6853252647503751</v>
      </c>
      <c r="BR277" s="126">
        <f t="shared" si="1630"/>
        <v>-16402.070400000004</v>
      </c>
      <c r="BS277" s="226">
        <f t="shared" si="1606"/>
        <v>1.6781622876186759</v>
      </c>
      <c r="BT277" s="126">
        <f t="shared" ref="BT277" si="1631">BT285-BT276</f>
        <v>-16676.118336</v>
      </c>
      <c r="BU277" s="226">
        <f t="shared" si="1610"/>
        <v>1.6708130700377524</v>
      </c>
      <c r="BV277" s="43">
        <f t="shared" si="1611"/>
        <v>5.4331057446990849</v>
      </c>
      <c r="BW277" s="722"/>
      <c r="BX277" s="722"/>
      <c r="BY277"/>
      <c r="BZ277"/>
      <c r="CA277"/>
      <c r="CB277"/>
      <c r="CC277"/>
      <c r="CD277"/>
    </row>
    <row r="278" spans="1:82" s="7" customFormat="1" ht="12.75" customHeight="1" x14ac:dyDescent="0.2">
      <c r="A278" s="42"/>
      <c r="B278" s="17" t="s">
        <v>149</v>
      </c>
      <c r="C278" s="57"/>
      <c r="D278" s="9"/>
      <c r="E278" s="57"/>
      <c r="F278" s="9"/>
      <c r="G278" s="57"/>
      <c r="H278" s="9"/>
      <c r="I278" s="130"/>
      <c r="J278" s="9"/>
      <c r="K278" s="130"/>
      <c r="L278" s="9"/>
      <c r="M278" s="130"/>
      <c r="N278" s="9"/>
      <c r="O278" s="126">
        <f t="shared" si="1579"/>
        <v>200</v>
      </c>
      <c r="P278" s="43" t="str">
        <f t="shared" si="1580"/>
        <v>NA</v>
      </c>
      <c r="Q278" s="126">
        <f t="shared" si="1612"/>
        <v>-500</v>
      </c>
      <c r="R278" s="43" t="str">
        <f t="shared" si="1581"/>
        <v>NA</v>
      </c>
      <c r="S278" s="126">
        <f t="shared" si="1613"/>
        <v>500</v>
      </c>
      <c r="T278" s="43" t="str">
        <f t="shared" si="1583"/>
        <v>NA</v>
      </c>
      <c r="U278" s="126">
        <f t="shared" si="1614"/>
        <v>300</v>
      </c>
      <c r="V278" s="43" t="str">
        <f t="shared" si="1585"/>
        <v>NA</v>
      </c>
      <c r="W278" s="126">
        <f t="shared" si="1615"/>
        <v>-400</v>
      </c>
      <c r="X278" s="43" t="str">
        <f t="shared" si="1586"/>
        <v>NM</v>
      </c>
      <c r="Y278" s="126">
        <f t="shared" si="1616"/>
        <v>200</v>
      </c>
      <c r="Z278" s="43" t="str">
        <f t="shared" si="1587"/>
        <v>NM</v>
      </c>
      <c r="AA278" s="126">
        <f t="shared" ref="AA278:AC281" si="1632">AA295-AA260-AA242-AA224</f>
        <v>-100</v>
      </c>
      <c r="AB278" s="43" t="str">
        <f t="shared" si="1588"/>
        <v>NM</v>
      </c>
      <c r="AC278" s="126">
        <f t="shared" si="1632"/>
        <v>100</v>
      </c>
      <c r="AD278" s="43" t="str">
        <f t="shared" si="1589"/>
        <v>NM</v>
      </c>
      <c r="AE278" s="126">
        <f t="shared" ref="AE278:AG281" si="1633">AE295-AE260-AE242-AE224</f>
        <v>900</v>
      </c>
      <c r="AF278" s="43" t="str">
        <f t="shared" si="1590"/>
        <v>NM</v>
      </c>
      <c r="AG278" s="126">
        <f t="shared" si="1633"/>
        <v>-300</v>
      </c>
      <c r="AH278" s="9" t="str">
        <f t="shared" si="1591"/>
        <v>NM</v>
      </c>
      <c r="AI278" s="126">
        <f t="shared" ref="AI278:AK281" si="1634">AI295-AI260-AI242-AI224</f>
        <v>1100</v>
      </c>
      <c r="AJ278" s="9" t="str">
        <f t="shared" si="1592"/>
        <v>NM</v>
      </c>
      <c r="AK278" s="126">
        <f t="shared" si="1634"/>
        <v>500</v>
      </c>
      <c r="AL278" s="9" t="str">
        <f t="shared" si="1593"/>
        <v>NM</v>
      </c>
      <c r="AM278" s="126">
        <f t="shared" ref="AM278:AO281" si="1635">AM295-AM260-AM242-AM224</f>
        <v>600</v>
      </c>
      <c r="AN278" s="9">
        <f t="shared" si="1594"/>
        <v>-33.333333333333343</v>
      </c>
      <c r="AO278" s="126">
        <f t="shared" si="1635"/>
        <v>300</v>
      </c>
      <c r="AP278" s="9" t="str">
        <f t="shared" si="1595"/>
        <v>NM</v>
      </c>
      <c r="AQ278" s="55">
        <f t="shared" ref="AQ278" si="1636">AQ275*(AQ289/100*AQ$31/100)</f>
        <v>-59.546703296703299</v>
      </c>
      <c r="AR278" s="9" t="str">
        <f t="shared" si="1597"/>
        <v>NM</v>
      </c>
      <c r="AS278" s="55">
        <f t="shared" ref="AS278" si="1637">AS275*(AS289/100*AS$31/100)</f>
        <v>101.10045774966791</v>
      </c>
      <c r="AT278" s="9" t="str">
        <f t="shared" si="1599"/>
        <v>NM</v>
      </c>
      <c r="AU278" s="55">
        <f t="shared" ref="AU278" si="1638">AU275*(AU289/100*AU$31/100)</f>
        <v>103.50808294798409</v>
      </c>
      <c r="AV278" s="9" t="str">
        <f t="shared" si="1601"/>
        <v>NM</v>
      </c>
      <c r="AW278" s="55">
        <f t="shared" ref="AW278" si="1639">AW275*(AW289/100*AW$31/100)</f>
        <v>105.92397608997578</v>
      </c>
      <c r="AX278" s="9" t="str">
        <f t="shared" si="1603"/>
        <v>NM</v>
      </c>
      <c r="AY278" s="287"/>
      <c r="AZ278" s="122"/>
      <c r="BA278" s="131"/>
      <c r="BB278" s="57"/>
      <c r="BC278" s="226" t="str">
        <f>IF(ISERROR(BB278/#REF!),"NA",IF(OR(BB278/#REF!&gt;2,BB278/#REF!&lt;0.5),"NM",BB278/#REF!*100-100))</f>
        <v>NA</v>
      </c>
      <c r="BD278" s="911"/>
      <c r="BE278" s="226" t="str">
        <f t="shared" si="1604"/>
        <v>NA</v>
      </c>
      <c r="BF278" s="55">
        <f t="shared" si="1621"/>
        <v>600</v>
      </c>
      <c r="BG278" s="226" t="str">
        <f t="shared" si="1605"/>
        <v>NA</v>
      </c>
      <c r="BH278" s="55">
        <f t="shared" si="1622"/>
        <v>600</v>
      </c>
      <c r="BI278" s="226">
        <f t="shared" si="1606"/>
        <v>0</v>
      </c>
      <c r="BJ278" s="55">
        <f t="shared" si="1623"/>
        <v>2500</v>
      </c>
      <c r="BK278" s="226" t="str">
        <f t="shared" si="1606"/>
        <v>NM</v>
      </c>
      <c r="BL278" s="55">
        <f t="shared" si="1624"/>
        <v>250.9858134909245</v>
      </c>
      <c r="BM278" s="226" t="str">
        <f t="shared" si="1606"/>
        <v>NM</v>
      </c>
      <c r="BN278" s="55">
        <f t="shared" ref="BN278" si="1640">BN275*(BN289/100*BN$31/100)</f>
        <v>1009.6315460317096</v>
      </c>
      <c r="BO278" s="226" t="str">
        <f t="shared" si="1606"/>
        <v>NM</v>
      </c>
      <c r="BP278" s="55">
        <f t="shared" ref="BP278:BR278" si="1641">BP275*(BP289/100*BP$31/100)</f>
        <v>1121.8117555047243</v>
      </c>
      <c r="BQ278" s="226">
        <f t="shared" si="1606"/>
        <v>11.111004793177443</v>
      </c>
      <c r="BR278" s="55">
        <f t="shared" si="1641"/>
        <v>1240.7766116808755</v>
      </c>
      <c r="BS278" s="226">
        <f t="shared" si="1606"/>
        <v>10.604707571692956</v>
      </c>
      <c r="BT278" s="55">
        <f t="shared" ref="BT278" si="1642">BT275*(BT289/100*BT$31/100)</f>
        <v>1366.8710184546637</v>
      </c>
      <c r="BU278" s="226">
        <f t="shared" si="1610"/>
        <v>10.162538976534123</v>
      </c>
      <c r="BV278" s="43">
        <f t="shared" si="1611"/>
        <v>-11.374743459186609</v>
      </c>
      <c r="BW278" s="722"/>
      <c r="BX278" s="722"/>
      <c r="BY278"/>
      <c r="BZ278"/>
      <c r="CA278"/>
      <c r="CB278"/>
      <c r="CC278"/>
      <c r="CD278"/>
    </row>
    <row r="279" spans="1:82" s="7" customFormat="1" ht="12.75" customHeight="1" x14ac:dyDescent="0.2">
      <c r="A279" s="42"/>
      <c r="B279" s="17" t="s">
        <v>150</v>
      </c>
      <c r="C279" s="57"/>
      <c r="D279" s="9"/>
      <c r="E279" s="57"/>
      <c r="F279" s="9"/>
      <c r="G279" s="57"/>
      <c r="H279" s="9"/>
      <c r="I279" s="130"/>
      <c r="J279" s="9"/>
      <c r="K279" s="130"/>
      <c r="L279" s="9"/>
      <c r="M279" s="130"/>
      <c r="N279" s="9"/>
      <c r="O279" s="126">
        <f t="shared" si="1579"/>
        <v>0</v>
      </c>
      <c r="P279" s="43" t="str">
        <f t="shared" si="1580"/>
        <v>NA</v>
      </c>
      <c r="Q279" s="126">
        <f t="shared" si="1612"/>
        <v>0</v>
      </c>
      <c r="R279" s="43" t="str">
        <f t="shared" si="1581"/>
        <v>NA</v>
      </c>
      <c r="S279" s="126">
        <f t="shared" si="1613"/>
        <v>900</v>
      </c>
      <c r="T279" s="43" t="str">
        <f t="shared" si="1583"/>
        <v>NA</v>
      </c>
      <c r="U279" s="126">
        <f t="shared" si="1614"/>
        <v>0</v>
      </c>
      <c r="V279" s="43" t="str">
        <f t="shared" si="1585"/>
        <v>NA</v>
      </c>
      <c r="W279" s="126">
        <f t="shared" si="1615"/>
        <v>3100</v>
      </c>
      <c r="X279" s="43" t="str">
        <f t="shared" si="1586"/>
        <v>NA</v>
      </c>
      <c r="Y279" s="126">
        <f t="shared" si="1616"/>
        <v>0</v>
      </c>
      <c r="Z279" s="43" t="str">
        <f t="shared" si="1587"/>
        <v>NA</v>
      </c>
      <c r="AA279" s="126">
        <f t="shared" si="1632"/>
        <v>0</v>
      </c>
      <c r="AB279" s="43" t="str">
        <f t="shared" si="1588"/>
        <v>NM</v>
      </c>
      <c r="AC279" s="126">
        <f t="shared" si="1632"/>
        <v>0</v>
      </c>
      <c r="AD279" s="43" t="str">
        <f t="shared" si="1589"/>
        <v>NA</v>
      </c>
      <c r="AE279" s="126">
        <f t="shared" si="1633"/>
        <v>0</v>
      </c>
      <c r="AF279" s="43" t="str">
        <f t="shared" si="1590"/>
        <v>NM</v>
      </c>
      <c r="AG279" s="126">
        <f t="shared" si="1633"/>
        <v>0</v>
      </c>
      <c r="AH279" s="9" t="str">
        <f t="shared" si="1591"/>
        <v>NA</v>
      </c>
      <c r="AI279" s="126">
        <f t="shared" si="1634"/>
        <v>0</v>
      </c>
      <c r="AJ279" s="9" t="str">
        <f t="shared" si="1592"/>
        <v>NA</v>
      </c>
      <c r="AK279" s="126">
        <f t="shared" si="1634"/>
        <v>0</v>
      </c>
      <c r="AL279" s="9" t="str">
        <f t="shared" si="1593"/>
        <v>NA</v>
      </c>
      <c r="AM279" s="126">
        <f t="shared" si="1635"/>
        <v>0</v>
      </c>
      <c r="AN279" s="9" t="str">
        <f t="shared" si="1594"/>
        <v>NA</v>
      </c>
      <c r="AO279" s="126">
        <f t="shared" si="1635"/>
        <v>0</v>
      </c>
      <c r="AP279" s="9" t="str">
        <f t="shared" si="1595"/>
        <v>NA</v>
      </c>
      <c r="AQ279" s="670">
        <v>0</v>
      </c>
      <c r="AR279" s="9" t="str">
        <f t="shared" si="1597"/>
        <v>NA</v>
      </c>
      <c r="AS279" s="670">
        <v>0</v>
      </c>
      <c r="AT279" s="9" t="str">
        <f t="shared" si="1599"/>
        <v>NA</v>
      </c>
      <c r="AU279" s="670">
        <v>0</v>
      </c>
      <c r="AV279" s="9" t="str">
        <f t="shared" si="1601"/>
        <v>NA</v>
      </c>
      <c r="AW279" s="670">
        <v>0</v>
      </c>
      <c r="AX279" s="9" t="str">
        <f t="shared" si="1603"/>
        <v>NA</v>
      </c>
      <c r="AY279" s="287"/>
      <c r="AZ279" s="122"/>
      <c r="BA279" s="131"/>
      <c r="BB279" s="57"/>
      <c r="BC279" s="226" t="str">
        <f>IF(ISERROR(BB279/#REF!),"NA",IF(OR(BB279/#REF!&gt;2,BB279/#REF!&lt;0.5),"NM",BB279/#REF!*100-100))</f>
        <v>NA</v>
      </c>
      <c r="BD279" s="911"/>
      <c r="BE279" s="226" t="str">
        <f t="shared" si="1604"/>
        <v>NA</v>
      </c>
      <c r="BF279" s="55">
        <f t="shared" si="1621"/>
        <v>4000</v>
      </c>
      <c r="BG279" s="226" t="str">
        <f t="shared" si="1605"/>
        <v>NA</v>
      </c>
      <c r="BH279" s="55">
        <f t="shared" si="1622"/>
        <v>0</v>
      </c>
      <c r="BI279" s="226" t="str">
        <f t="shared" si="1606"/>
        <v>NM</v>
      </c>
      <c r="BJ279" s="55">
        <f t="shared" si="1623"/>
        <v>0</v>
      </c>
      <c r="BK279" s="226" t="str">
        <f t="shared" si="1606"/>
        <v>NA</v>
      </c>
      <c r="BL279" s="55">
        <f t="shared" si="1624"/>
        <v>0</v>
      </c>
      <c r="BM279" s="226" t="str">
        <f t="shared" si="1606"/>
        <v>NA</v>
      </c>
      <c r="BN279" s="127">
        <v>0</v>
      </c>
      <c r="BO279" s="226" t="str">
        <f t="shared" si="1606"/>
        <v>NA</v>
      </c>
      <c r="BP279" s="127">
        <v>0</v>
      </c>
      <c r="BQ279" s="226" t="str">
        <f t="shared" si="1606"/>
        <v>NA</v>
      </c>
      <c r="BR279" s="127">
        <v>0</v>
      </c>
      <c r="BS279" s="226" t="str">
        <f t="shared" si="1606"/>
        <v>NA</v>
      </c>
      <c r="BT279" s="127">
        <v>0</v>
      </c>
      <c r="BU279" s="226" t="str">
        <f t="shared" si="1610"/>
        <v>NA</v>
      </c>
      <c r="BV279" s="43" t="str">
        <f t="shared" si="1611"/>
        <v>NA</v>
      </c>
      <c r="BW279" s="722"/>
      <c r="BX279" s="722"/>
      <c r="BY279"/>
      <c r="BZ279"/>
      <c r="CA279"/>
      <c r="CB279"/>
      <c r="CC279"/>
      <c r="CD279"/>
    </row>
    <row r="280" spans="1:82" s="7" customFormat="1" ht="12.75" customHeight="1" x14ac:dyDescent="0.2">
      <c r="A280" s="42"/>
      <c r="B280" s="17" t="s">
        <v>151</v>
      </c>
      <c r="C280" s="57"/>
      <c r="D280" s="9"/>
      <c r="E280" s="57"/>
      <c r="F280" s="9"/>
      <c r="G280" s="57"/>
      <c r="H280" s="9"/>
      <c r="I280" s="130"/>
      <c r="J280" s="9"/>
      <c r="K280" s="130"/>
      <c r="L280" s="9"/>
      <c r="M280" s="130"/>
      <c r="N280" s="9"/>
      <c r="O280" s="126">
        <f t="shared" si="1579"/>
        <v>200</v>
      </c>
      <c r="P280" s="43" t="str">
        <f t="shared" si="1580"/>
        <v>NA</v>
      </c>
      <c r="Q280" s="126">
        <f t="shared" si="1612"/>
        <v>-200</v>
      </c>
      <c r="R280" s="43" t="str">
        <f t="shared" si="1581"/>
        <v>NA</v>
      </c>
      <c r="S280" s="126">
        <f t="shared" si="1613"/>
        <v>-100</v>
      </c>
      <c r="T280" s="43" t="str">
        <f t="shared" si="1583"/>
        <v>NA</v>
      </c>
      <c r="U280" s="126">
        <f t="shared" si="1614"/>
        <v>2100</v>
      </c>
      <c r="V280" s="43" t="str">
        <f t="shared" si="1585"/>
        <v>NA</v>
      </c>
      <c r="W280" s="126">
        <f t="shared" si="1615"/>
        <v>100</v>
      </c>
      <c r="X280" s="43">
        <f t="shared" si="1586"/>
        <v>-50</v>
      </c>
      <c r="Y280" s="126">
        <f t="shared" si="1616"/>
        <v>100</v>
      </c>
      <c r="Z280" s="43" t="str">
        <f t="shared" si="1587"/>
        <v>NM</v>
      </c>
      <c r="AA280" s="126">
        <f t="shared" si="1632"/>
        <v>0</v>
      </c>
      <c r="AB280" s="43" t="str">
        <f t="shared" si="1588"/>
        <v>NM</v>
      </c>
      <c r="AC280" s="126">
        <f t="shared" si="1632"/>
        <v>-100</v>
      </c>
      <c r="AD280" s="43" t="str">
        <f t="shared" si="1589"/>
        <v>NM</v>
      </c>
      <c r="AE280" s="126">
        <f t="shared" si="1633"/>
        <v>0</v>
      </c>
      <c r="AF280" s="43" t="str">
        <f t="shared" si="1590"/>
        <v>NM</v>
      </c>
      <c r="AG280" s="126">
        <f t="shared" si="1633"/>
        <v>0</v>
      </c>
      <c r="AH280" s="9" t="str">
        <f t="shared" si="1591"/>
        <v>NM</v>
      </c>
      <c r="AI280" s="126">
        <f t="shared" si="1634"/>
        <v>0</v>
      </c>
      <c r="AJ280" s="9" t="str">
        <f t="shared" si="1592"/>
        <v>NA</v>
      </c>
      <c r="AK280" s="126">
        <f t="shared" si="1634"/>
        <v>0</v>
      </c>
      <c r="AL280" s="9" t="str">
        <f t="shared" si="1593"/>
        <v>NM</v>
      </c>
      <c r="AM280" s="126">
        <f t="shared" si="1635"/>
        <v>0</v>
      </c>
      <c r="AN280" s="9" t="str">
        <f t="shared" si="1594"/>
        <v>NA</v>
      </c>
      <c r="AO280" s="126">
        <f t="shared" si="1635"/>
        <v>0</v>
      </c>
      <c r="AP280" s="9" t="str">
        <f t="shared" si="1595"/>
        <v>NA</v>
      </c>
      <c r="AQ280" s="670">
        <v>0</v>
      </c>
      <c r="AR280" s="9" t="str">
        <f t="shared" si="1597"/>
        <v>NA</v>
      </c>
      <c r="AS280" s="670">
        <v>0</v>
      </c>
      <c r="AT280" s="9" t="str">
        <f t="shared" si="1599"/>
        <v>NA</v>
      </c>
      <c r="AU280" s="670">
        <v>0</v>
      </c>
      <c r="AV280" s="9" t="str">
        <f t="shared" si="1601"/>
        <v>NA</v>
      </c>
      <c r="AW280" s="670">
        <v>0</v>
      </c>
      <c r="AX280" s="9" t="str">
        <f t="shared" si="1603"/>
        <v>NA</v>
      </c>
      <c r="AY280" s="287"/>
      <c r="AZ280" s="122"/>
      <c r="BA280" s="131"/>
      <c r="BB280" s="57"/>
      <c r="BC280" s="226" t="str">
        <f>IF(ISERROR(BB280/#REF!),"NA",IF(OR(BB280/#REF!&gt;2,BB280/#REF!&lt;0.5),"NM",BB280/#REF!*100-100))</f>
        <v>NA</v>
      </c>
      <c r="BD280" s="911"/>
      <c r="BE280" s="226" t="str">
        <f t="shared" si="1604"/>
        <v>NA</v>
      </c>
      <c r="BF280" s="55">
        <f t="shared" si="1621"/>
        <v>2200</v>
      </c>
      <c r="BG280" s="226" t="str">
        <f t="shared" si="1605"/>
        <v>NA</v>
      </c>
      <c r="BH280" s="55">
        <f t="shared" si="1622"/>
        <v>-100</v>
      </c>
      <c r="BI280" s="226" t="str">
        <f t="shared" si="1606"/>
        <v>NM</v>
      </c>
      <c r="BJ280" s="55">
        <f t="shared" si="1623"/>
        <v>0</v>
      </c>
      <c r="BK280" s="226" t="str">
        <f t="shared" si="1606"/>
        <v>NM</v>
      </c>
      <c r="BL280" s="55">
        <f t="shared" si="1624"/>
        <v>0</v>
      </c>
      <c r="BM280" s="226" t="str">
        <f t="shared" si="1606"/>
        <v>NA</v>
      </c>
      <c r="BN280" s="127">
        <v>0</v>
      </c>
      <c r="BO280" s="226" t="str">
        <f t="shared" si="1606"/>
        <v>NA</v>
      </c>
      <c r="BP280" s="127">
        <v>0</v>
      </c>
      <c r="BQ280" s="226" t="str">
        <f t="shared" si="1606"/>
        <v>NA</v>
      </c>
      <c r="BR280" s="127">
        <v>0</v>
      </c>
      <c r="BS280" s="226" t="str">
        <f t="shared" si="1606"/>
        <v>NA</v>
      </c>
      <c r="BT280" s="127">
        <v>0</v>
      </c>
      <c r="BU280" s="226" t="str">
        <f t="shared" si="1610"/>
        <v>NA</v>
      </c>
      <c r="BV280" s="43" t="str">
        <f t="shared" si="1611"/>
        <v>NA</v>
      </c>
      <c r="BW280" s="722"/>
      <c r="BX280" s="722"/>
      <c r="BY280"/>
      <c r="BZ280"/>
      <c r="CA280"/>
      <c r="CB280"/>
      <c r="CC280"/>
      <c r="CD280"/>
    </row>
    <row r="281" spans="1:82" s="7" customFormat="1" ht="12.75" customHeight="1" x14ac:dyDescent="0.2">
      <c r="A281" s="42"/>
      <c r="B281" s="17" t="s">
        <v>222</v>
      </c>
      <c r="C281" s="57"/>
      <c r="D281" s="9"/>
      <c r="E281" s="57"/>
      <c r="F281" s="9"/>
      <c r="G281" s="57"/>
      <c r="H281" s="9"/>
      <c r="I281" s="130"/>
      <c r="J281" s="9"/>
      <c r="K281" s="130"/>
      <c r="L281" s="9"/>
      <c r="M281" s="130"/>
      <c r="N281" s="9"/>
      <c r="O281" s="126">
        <f t="shared" si="1579"/>
        <v>-300</v>
      </c>
      <c r="P281" s="43" t="str">
        <f t="shared" si="1580"/>
        <v>NA</v>
      </c>
      <c r="Q281" s="126">
        <f t="shared" si="1612"/>
        <v>-800</v>
      </c>
      <c r="R281" s="43" t="str">
        <f t="shared" si="1581"/>
        <v>NA</v>
      </c>
      <c r="S281" s="126">
        <f t="shared" si="1613"/>
        <v>-500</v>
      </c>
      <c r="T281" s="43" t="str">
        <f t="shared" si="1583"/>
        <v>NA</v>
      </c>
      <c r="U281" s="126">
        <f t="shared" si="1614"/>
        <v>-500</v>
      </c>
      <c r="V281" s="43" t="str">
        <f t="shared" si="1585"/>
        <v>NA</v>
      </c>
      <c r="W281" s="126">
        <f t="shared" si="1615"/>
        <v>-2100</v>
      </c>
      <c r="X281" s="43" t="str">
        <f t="shared" si="1586"/>
        <v>NM</v>
      </c>
      <c r="Y281" s="126">
        <f t="shared" si="1616"/>
        <v>200</v>
      </c>
      <c r="Z281" s="43" t="str">
        <f t="shared" si="1587"/>
        <v>NM</v>
      </c>
      <c r="AA281" s="126">
        <f t="shared" si="1632"/>
        <v>1300</v>
      </c>
      <c r="AB281" s="43" t="str">
        <f t="shared" si="1588"/>
        <v>NM</v>
      </c>
      <c r="AC281" s="126">
        <f t="shared" si="1632"/>
        <v>-500</v>
      </c>
      <c r="AD281" s="43">
        <f t="shared" si="1589"/>
        <v>0</v>
      </c>
      <c r="AE281" s="126">
        <f t="shared" si="1633"/>
        <v>-300</v>
      </c>
      <c r="AF281" s="43" t="str">
        <f t="shared" si="1590"/>
        <v>NM</v>
      </c>
      <c r="AG281" s="126">
        <f t="shared" si="1633"/>
        <v>-1100</v>
      </c>
      <c r="AH281" s="9" t="str">
        <f t="shared" si="1591"/>
        <v>NM</v>
      </c>
      <c r="AI281" s="126">
        <f t="shared" si="1634"/>
        <v>300</v>
      </c>
      <c r="AJ281" s="9" t="str">
        <f t="shared" si="1592"/>
        <v>NM</v>
      </c>
      <c r="AK281" s="126">
        <f t="shared" si="1634"/>
        <v>400</v>
      </c>
      <c r="AL281" s="9" t="str">
        <f t="shared" si="1593"/>
        <v>NM</v>
      </c>
      <c r="AM281" s="126">
        <f t="shared" si="1635"/>
        <v>300</v>
      </c>
      <c r="AN281" s="9" t="str">
        <f t="shared" si="1594"/>
        <v>NM</v>
      </c>
      <c r="AO281" s="126">
        <f t="shared" si="1635"/>
        <v>700</v>
      </c>
      <c r="AP281" s="9" t="str">
        <f t="shared" si="1595"/>
        <v>NM</v>
      </c>
      <c r="AQ281" s="670">
        <v>0</v>
      </c>
      <c r="AR281" s="9" t="str">
        <f t="shared" si="1597"/>
        <v>NM</v>
      </c>
      <c r="AS281" s="670">
        <v>0</v>
      </c>
      <c r="AT281" s="9" t="str">
        <f t="shared" si="1599"/>
        <v>NM</v>
      </c>
      <c r="AU281" s="670">
        <v>0</v>
      </c>
      <c r="AV281" s="9" t="str">
        <f t="shared" si="1601"/>
        <v>NM</v>
      </c>
      <c r="AW281" s="670">
        <v>0</v>
      </c>
      <c r="AX281" s="9" t="str">
        <f t="shared" si="1603"/>
        <v>NM</v>
      </c>
      <c r="AY281" s="287"/>
      <c r="AZ281" s="122"/>
      <c r="BA281" s="131"/>
      <c r="BB281" s="57"/>
      <c r="BC281" s="226" t="str">
        <f>IF(ISERROR(BB281/#REF!),"NA",IF(OR(BB281/#REF!&gt;2,BB281/#REF!&lt;0.5),"NM",BB281/#REF!*100-100))</f>
        <v>NA</v>
      </c>
      <c r="BD281" s="911"/>
      <c r="BE281" s="226" t="str">
        <f t="shared" si="1604"/>
        <v>NA</v>
      </c>
      <c r="BF281" s="55">
        <f t="shared" si="1621"/>
        <v>-2900</v>
      </c>
      <c r="BG281" s="226" t="str">
        <f t="shared" si="1605"/>
        <v>NA</v>
      </c>
      <c r="BH281" s="55">
        <f t="shared" si="1622"/>
        <v>-600</v>
      </c>
      <c r="BI281" s="226" t="str">
        <f t="shared" si="1606"/>
        <v>NM</v>
      </c>
      <c r="BJ281" s="55">
        <f t="shared" si="1623"/>
        <v>1700</v>
      </c>
      <c r="BK281" s="226" t="str">
        <f t="shared" si="1606"/>
        <v>NM</v>
      </c>
      <c r="BL281" s="55">
        <f t="shared" si="1624"/>
        <v>0</v>
      </c>
      <c r="BM281" s="226" t="str">
        <f t="shared" si="1606"/>
        <v>NM</v>
      </c>
      <c r="BN281" s="127">
        <v>0</v>
      </c>
      <c r="BO281" s="226" t="str">
        <f t="shared" si="1606"/>
        <v>NA</v>
      </c>
      <c r="BP281" s="127">
        <v>0</v>
      </c>
      <c r="BQ281" s="226" t="str">
        <f t="shared" si="1606"/>
        <v>NA</v>
      </c>
      <c r="BR281" s="127">
        <v>0</v>
      </c>
      <c r="BS281" s="226" t="str">
        <f t="shared" si="1606"/>
        <v>NA</v>
      </c>
      <c r="BT281" s="127">
        <v>0</v>
      </c>
      <c r="BU281" s="226" t="str">
        <f t="shared" si="1610"/>
        <v>NA</v>
      </c>
      <c r="BV281" s="43" t="str">
        <f t="shared" si="1611"/>
        <v>NM</v>
      </c>
      <c r="BW281" s="722"/>
      <c r="BX281" s="722"/>
      <c r="BY281"/>
      <c r="BZ281"/>
      <c r="CA281"/>
      <c r="CB281"/>
      <c r="CC281"/>
      <c r="CD281"/>
    </row>
    <row r="282" spans="1:82" s="7" customFormat="1" ht="12.75" customHeight="1" x14ac:dyDescent="0.2">
      <c r="A282" s="42"/>
      <c r="B282" s="17" t="s">
        <v>389</v>
      </c>
      <c r="C282" s="57"/>
      <c r="D282" s="9"/>
      <c r="E282" s="57"/>
      <c r="F282" s="9"/>
      <c r="G282" s="57"/>
      <c r="H282" s="9"/>
      <c r="I282" s="130"/>
      <c r="J282" s="9"/>
      <c r="K282" s="130"/>
      <c r="L282" s="9"/>
      <c r="M282" s="130"/>
      <c r="N282" s="9"/>
      <c r="O282" s="126">
        <f>SUM(O275:O281)</f>
        <v>17700</v>
      </c>
      <c r="P282" s="43" t="str">
        <f t="shared" si="1580"/>
        <v>NA</v>
      </c>
      <c r="Q282" s="126">
        <f>SUM(Q275:Q281)</f>
        <v>17400</v>
      </c>
      <c r="R282" s="43" t="str">
        <f t="shared" si="1581"/>
        <v>NA</v>
      </c>
      <c r="S282" s="126">
        <f t="shared" ref="S282" si="1643">SUM(S275:S281)</f>
        <v>18400</v>
      </c>
      <c r="T282" s="43" t="str">
        <f t="shared" si="1583"/>
        <v>NA</v>
      </c>
      <c r="U282" s="126">
        <f t="shared" ref="U282" si="1644">SUM(U275:U281)</f>
        <v>20800</v>
      </c>
      <c r="V282" s="43" t="str">
        <f t="shared" si="1585"/>
        <v>NA</v>
      </c>
      <c r="W282" s="126">
        <f>SUM(W275:W281)</f>
        <v>21700</v>
      </c>
      <c r="X282" s="43">
        <f t="shared" si="1586"/>
        <v>22.598870056497162</v>
      </c>
      <c r="Y282" s="126">
        <f>SUM(Y275:Y281)</f>
        <v>22500</v>
      </c>
      <c r="Z282" s="43">
        <f t="shared" si="1587"/>
        <v>29.310344827586221</v>
      </c>
      <c r="AA282" s="126">
        <f>SUM(AA275:AA281)</f>
        <v>23400</v>
      </c>
      <c r="AB282" s="43">
        <f t="shared" si="1588"/>
        <v>27.173913043478265</v>
      </c>
      <c r="AC282" s="126">
        <f>SUM(AC275:AC281)</f>
        <v>23100</v>
      </c>
      <c r="AD282" s="43">
        <f t="shared" si="1589"/>
        <v>11.057692307692307</v>
      </c>
      <c r="AE282" s="126">
        <f>SUM(AE275:AE281)</f>
        <v>24800</v>
      </c>
      <c r="AF282" s="43">
        <f t="shared" si="1590"/>
        <v>14.285714285714278</v>
      </c>
      <c r="AG282" s="126">
        <f>SUM(AG275:AG281)</f>
        <v>23600</v>
      </c>
      <c r="AH282" s="9">
        <f t="shared" si="1591"/>
        <v>4.8888888888888999</v>
      </c>
      <c r="AI282" s="126">
        <f>SUM(AI275:AI281)</f>
        <v>25000</v>
      </c>
      <c r="AJ282" s="9">
        <f t="shared" si="1592"/>
        <v>6.8376068376068417</v>
      </c>
      <c r="AK282" s="126">
        <f>SUM(AK275:AK281)</f>
        <v>25900</v>
      </c>
      <c r="AL282" s="9">
        <f t="shared" si="1593"/>
        <v>12.12121212121211</v>
      </c>
      <c r="AM282" s="126">
        <f>SUM(AM275:AM281)</f>
        <v>27300</v>
      </c>
      <c r="AN282" s="9">
        <f t="shared" si="1594"/>
        <v>10.08064516129032</v>
      </c>
      <c r="AO282" s="126">
        <f>SUM(AO275:AO281)</f>
        <v>28900</v>
      </c>
      <c r="AP282" s="9">
        <f t="shared" si="1595"/>
        <v>22.457627118644069</v>
      </c>
      <c r="AQ282" s="126">
        <f t="shared" ref="AQ282" si="1645">SUM(AQ275:AQ281)</f>
        <v>29440.453296703297</v>
      </c>
      <c r="AR282" s="9">
        <f t="shared" si="1597"/>
        <v>17.761813186813185</v>
      </c>
      <c r="AS282" s="126">
        <f t="shared" ref="AS282" si="1646">SUM(AS275:AS281)</f>
        <v>30141.553754452969</v>
      </c>
      <c r="AT282" s="9">
        <f t="shared" si="1599"/>
        <v>16.376655422598347</v>
      </c>
      <c r="AU282" s="126">
        <f t="shared" ref="AU282" si="1647">SUM(AU275:AU281)</f>
        <v>30845.06183740095</v>
      </c>
      <c r="AV282" s="9">
        <f t="shared" si="1601"/>
        <v>12.985574495974177</v>
      </c>
      <c r="AW282" s="126">
        <f t="shared" ref="AW282" si="1648">SUM(AW275:AW281)</f>
        <v>31550.985813490926</v>
      </c>
      <c r="AX282" s="9">
        <f t="shared" si="1603"/>
        <v>9.1729612923561348</v>
      </c>
      <c r="AY282" s="287"/>
      <c r="AZ282" s="122"/>
      <c r="BA282" s="131"/>
      <c r="BB282" s="57"/>
      <c r="BC282" s="226" t="str">
        <f>IF(ISERROR(BB282/#REF!),"NA",IF(OR(BB282/#REF!&gt;2,BB282/#REF!&lt;0.5),"NM",BB282/#REF!*100-100))</f>
        <v>NA</v>
      </c>
      <c r="BD282" s="911"/>
      <c r="BE282" s="226" t="str">
        <f t="shared" si="1604"/>
        <v>NA</v>
      </c>
      <c r="BF282" s="55">
        <f>SUM(BF275:BF281)</f>
        <v>22500</v>
      </c>
      <c r="BG282" s="226" t="str">
        <f t="shared" si="1605"/>
        <v>NA</v>
      </c>
      <c r="BH282" s="55">
        <f>SUM(BH275:BH281)</f>
        <v>23600</v>
      </c>
      <c r="BI282" s="226">
        <f t="shared" si="1606"/>
        <v>4.8888888888888999</v>
      </c>
      <c r="BJ282" s="55">
        <f>SUM(BJ275:BJ281)</f>
        <v>28900</v>
      </c>
      <c r="BK282" s="226">
        <f t="shared" si="1606"/>
        <v>22.457627118644069</v>
      </c>
      <c r="BL282" s="55">
        <f>SUM(BL275:BL281)</f>
        <v>31550.985813490923</v>
      </c>
      <c r="BM282" s="226">
        <f t="shared" si="1606"/>
        <v>9.1729612923561348</v>
      </c>
      <c r="BN282" s="126">
        <f t="shared" ref="BN282" si="1649">SUM(BN275:BN281)</f>
        <v>35056.617359522636</v>
      </c>
      <c r="BO282" s="226">
        <f t="shared" si="1606"/>
        <v>11.111004793177443</v>
      </c>
      <c r="BP282" s="126">
        <f t="shared" ref="BP282:BR282" si="1650">SUM(BP275:BP281)</f>
        <v>38774.26911502736</v>
      </c>
      <c r="BQ282" s="226">
        <f t="shared" si="1606"/>
        <v>10.604707571692956</v>
      </c>
      <c r="BR282" s="126">
        <f t="shared" si="1650"/>
        <v>42714.71932670824</v>
      </c>
      <c r="BS282" s="226">
        <f t="shared" si="1606"/>
        <v>10.162538976534094</v>
      </c>
      <c r="BT282" s="126">
        <f t="shared" ref="BT282" si="1651">SUM(BT275:BT281)</f>
        <v>46889.250889162911</v>
      </c>
      <c r="BU282" s="226">
        <f t="shared" si="1610"/>
        <v>9.7730516043551745</v>
      </c>
      <c r="BV282" s="43">
        <f t="shared" si="1611"/>
        <v>10.162831584075317</v>
      </c>
      <c r="BW282" s="722"/>
      <c r="BX282" s="722"/>
      <c r="BY282"/>
      <c r="BZ282"/>
      <c r="CA282"/>
      <c r="CB282"/>
      <c r="CC282"/>
      <c r="CD282"/>
    </row>
    <row r="283" spans="1:82" s="7" customFormat="1" ht="12.75" customHeight="1" x14ac:dyDescent="0.2">
      <c r="A283" s="42"/>
      <c r="B283" s="42" t="s">
        <v>71</v>
      </c>
      <c r="C283" s="57"/>
      <c r="D283" s="9"/>
      <c r="E283" s="57"/>
      <c r="F283" s="9"/>
      <c r="G283" s="57"/>
      <c r="H283" s="9"/>
      <c r="I283" s="130"/>
      <c r="J283" s="9"/>
      <c r="K283" s="130"/>
      <c r="L283" s="9"/>
      <c r="M283" s="130"/>
      <c r="N283" s="9"/>
      <c r="O283" s="126"/>
      <c r="P283" s="43" t="str">
        <f t="shared" si="1580"/>
        <v>NA</v>
      </c>
      <c r="Q283" s="126">
        <f>AVERAGE(O282,Q282)</f>
        <v>17550</v>
      </c>
      <c r="R283" s="43" t="str">
        <f t="shared" si="1581"/>
        <v>NA</v>
      </c>
      <c r="S283" s="126">
        <f t="shared" ref="S283" si="1652">AVERAGE(Q282,S282)</f>
        <v>17900</v>
      </c>
      <c r="T283" s="43" t="str">
        <f t="shared" si="1583"/>
        <v>NA</v>
      </c>
      <c r="U283" s="126">
        <f t="shared" ref="U283" si="1653">AVERAGE(S282,U282)</f>
        <v>19600</v>
      </c>
      <c r="V283" s="43" t="str">
        <f t="shared" si="1585"/>
        <v>NA</v>
      </c>
      <c r="W283" s="126">
        <f t="shared" ref="W283:AO283" si="1654">AVERAGE(U282,W282)</f>
        <v>21250</v>
      </c>
      <c r="X283" s="43" t="str">
        <f t="shared" si="1586"/>
        <v>NA</v>
      </c>
      <c r="Y283" s="126">
        <f t="shared" si="1654"/>
        <v>22100</v>
      </c>
      <c r="Z283" s="43">
        <f t="shared" si="1587"/>
        <v>25.925925925925924</v>
      </c>
      <c r="AA283" s="126">
        <f t="shared" si="1654"/>
        <v>22950</v>
      </c>
      <c r="AB283" s="43">
        <f t="shared" si="1588"/>
        <v>28.212290502793309</v>
      </c>
      <c r="AC283" s="126">
        <f t="shared" si="1654"/>
        <v>23250</v>
      </c>
      <c r="AD283" s="43">
        <f t="shared" si="1589"/>
        <v>18.622448979591837</v>
      </c>
      <c r="AE283" s="126">
        <f t="shared" si="1654"/>
        <v>23950</v>
      </c>
      <c r="AF283" s="43">
        <f t="shared" si="1590"/>
        <v>12.70588235294116</v>
      </c>
      <c r="AG283" s="126">
        <f t="shared" si="1654"/>
        <v>24200</v>
      </c>
      <c r="AH283" s="9">
        <f t="shared" si="1591"/>
        <v>9.5022624434389229</v>
      </c>
      <c r="AI283" s="126">
        <f t="shared" si="1654"/>
        <v>24300</v>
      </c>
      <c r="AJ283" s="9">
        <f t="shared" si="1592"/>
        <v>5.8823529411764781</v>
      </c>
      <c r="AK283" s="126">
        <f t="shared" si="1654"/>
        <v>25450</v>
      </c>
      <c r="AL283" s="9">
        <f t="shared" si="1593"/>
        <v>9.4623655913978553</v>
      </c>
      <c r="AM283" s="126">
        <f t="shared" si="1654"/>
        <v>26600</v>
      </c>
      <c r="AN283" s="9">
        <f t="shared" si="1594"/>
        <v>11.064718162839256</v>
      </c>
      <c r="AO283" s="126">
        <f t="shared" si="1654"/>
        <v>28100</v>
      </c>
      <c r="AP283" s="9">
        <f t="shared" si="1595"/>
        <v>16.11570247933885</v>
      </c>
      <c r="AQ283" s="126">
        <f t="shared" ref="AQ283" si="1655">AVERAGE(AO282,AQ282)</f>
        <v>29170.226648351651</v>
      </c>
      <c r="AR283" s="9">
        <f t="shared" si="1597"/>
        <v>20.042084972640524</v>
      </c>
      <c r="AS283" s="126">
        <f t="shared" ref="AS283" si="1656">AVERAGE(AQ282,AS282)</f>
        <v>29791.003525578133</v>
      </c>
      <c r="AT283" s="9">
        <f t="shared" si="1599"/>
        <v>17.056988312684211</v>
      </c>
      <c r="AU283" s="126">
        <f t="shared" ref="AU283" si="1657">AVERAGE(AS282,AU282)</f>
        <v>30493.307795926958</v>
      </c>
      <c r="AV283" s="9">
        <f t="shared" si="1601"/>
        <v>14.63649547340961</v>
      </c>
      <c r="AW283" s="126">
        <f t="shared" ref="AW283" si="1658">AVERAGE(AU282,AW282)</f>
        <v>31198.02382544594</v>
      </c>
      <c r="AX283" s="9">
        <f t="shared" si="1603"/>
        <v>11.024995820092315</v>
      </c>
      <c r="AY283" s="287"/>
      <c r="AZ283" s="122"/>
      <c r="BA283" s="131"/>
      <c r="BB283" s="57"/>
      <c r="BC283" s="226" t="str">
        <f>IF(ISERROR(BB283/#REF!),"NA",IF(OR(BB283/#REF!&gt;2,BB283/#REF!&lt;0.5),"NM",BB283/#REF!*100-100))</f>
        <v>NA</v>
      </c>
      <c r="BD283" s="911"/>
      <c r="BE283" s="226" t="str">
        <f t="shared" si="1604"/>
        <v>NA</v>
      </c>
      <c r="BF283" s="55">
        <f>AVERAGE(S283,U283,W283,Y283)</f>
        <v>20212.5</v>
      </c>
      <c r="BG283" s="226" t="str">
        <f t="shared" si="1605"/>
        <v>NA</v>
      </c>
      <c r="BH283" s="55">
        <f>AVERAGE(AA283,AC283,AE283,AG283)</f>
        <v>23587.5</v>
      </c>
      <c r="BI283" s="226">
        <f t="shared" si="1606"/>
        <v>16.697588126159559</v>
      </c>
      <c r="BJ283" s="55">
        <f>AVERAGE(AI283,AK283,AM283,AO283)</f>
        <v>26112.5</v>
      </c>
      <c r="BK283" s="226">
        <f t="shared" si="1606"/>
        <v>10.704822469528352</v>
      </c>
      <c r="BL283" s="55">
        <f>AVERAGE(AQ283,AS283,AU283,AW283)</f>
        <v>30163.14044882567</v>
      </c>
      <c r="BM283" s="226">
        <f t="shared" si="1606"/>
        <v>15.512265960079148</v>
      </c>
      <c r="BN283" s="126">
        <f t="shared" ref="BN283" si="1659">AVERAGE(BN275,BN282)</f>
        <v>33303.801586506779</v>
      </c>
      <c r="BO283" s="226">
        <f t="shared" si="1606"/>
        <v>10.412248495840501</v>
      </c>
      <c r="BP283" s="126">
        <f t="shared" ref="BP283:BR283" si="1660">AVERAGE(BP275,BP282)</f>
        <v>36915.443237275002</v>
      </c>
      <c r="BQ283" s="226">
        <f t="shared" si="1606"/>
        <v>10.844532692122158</v>
      </c>
      <c r="BR283" s="126">
        <f t="shared" si="1660"/>
        <v>40744.494220867797</v>
      </c>
      <c r="BS283" s="226">
        <f t="shared" si="1606"/>
        <v>10.372490881340553</v>
      </c>
      <c r="BT283" s="126">
        <f t="shared" ref="BT283" si="1661">AVERAGE(BT275,BT282)</f>
        <v>44801.985107935572</v>
      </c>
      <c r="BU283" s="226">
        <f t="shared" si="1610"/>
        <v>9.9583783395933949</v>
      </c>
      <c r="BV283" s="43">
        <f t="shared" si="1611"/>
        <v>11.401172256695391</v>
      </c>
      <c r="BW283" s="722"/>
      <c r="BX283" s="722"/>
      <c r="BY283"/>
      <c r="BZ283"/>
      <c r="CA283"/>
      <c r="CB283"/>
      <c r="CC283"/>
      <c r="CD283"/>
    </row>
    <row r="284" spans="1:82" s="7" customFormat="1" ht="12.75" customHeight="1" x14ac:dyDescent="0.2">
      <c r="A284" s="42"/>
      <c r="B284" s="42"/>
      <c r="C284" s="57"/>
      <c r="D284" s="9"/>
      <c r="E284" s="57"/>
      <c r="F284" s="9"/>
      <c r="G284" s="57"/>
      <c r="H284" s="9"/>
      <c r="I284" s="130"/>
      <c r="J284" s="9"/>
      <c r="K284" s="130"/>
      <c r="L284" s="9"/>
      <c r="M284" s="130"/>
      <c r="N284" s="9"/>
      <c r="O284" s="126"/>
      <c r="P284" s="43"/>
      <c r="Q284" s="126"/>
      <c r="R284" s="43"/>
      <c r="S284" s="126"/>
      <c r="T284" s="43"/>
      <c r="U284" s="126"/>
      <c r="V284" s="43"/>
      <c r="W284" s="126"/>
      <c r="X284" s="43"/>
      <c r="Y284" s="126"/>
      <c r="Z284" s="43"/>
      <c r="AA284" s="126"/>
      <c r="AB284" s="43"/>
      <c r="AC284" s="126"/>
      <c r="AD284" s="43"/>
      <c r="AE284" s="126"/>
      <c r="AF284" s="43"/>
      <c r="AG284" s="126"/>
      <c r="AH284" s="9"/>
      <c r="AI284" s="126"/>
      <c r="AJ284" s="9"/>
      <c r="AK284" s="126"/>
      <c r="AL284" s="9"/>
      <c r="AM284" s="126"/>
      <c r="AN284" s="9"/>
      <c r="AO284" s="126"/>
      <c r="AP284" s="9"/>
      <c r="AQ284" s="127"/>
      <c r="AR284" s="9"/>
      <c r="AS284" s="127"/>
      <c r="AT284" s="9"/>
      <c r="AU284" s="127"/>
      <c r="AV284" s="9"/>
      <c r="AW284" s="127"/>
      <c r="AX284" s="9"/>
      <c r="AY284" s="287"/>
      <c r="AZ284" s="122"/>
      <c r="BA284" s="131"/>
      <c r="BB284" s="57"/>
      <c r="BC284" s="9"/>
      <c r="BD284" s="911"/>
      <c r="BE284" s="9"/>
      <c r="BF284" s="55"/>
      <c r="BG284" s="9"/>
      <c r="BH284" s="55"/>
      <c r="BI284" s="9"/>
      <c r="BJ284" s="55"/>
      <c r="BK284" s="9"/>
      <c r="BL284" s="55"/>
      <c r="BM284" s="9"/>
      <c r="BN284" s="127"/>
      <c r="BO284" s="9"/>
      <c r="BP284" s="127"/>
      <c r="BQ284" s="9"/>
      <c r="BR284" s="127"/>
      <c r="BS284" s="9"/>
      <c r="BT284" s="127"/>
      <c r="BU284" s="9"/>
      <c r="BV284" s="43"/>
      <c r="BW284" s="722"/>
      <c r="BX284" s="722"/>
      <c r="BY284"/>
      <c r="BZ284"/>
      <c r="CA284"/>
      <c r="CB284"/>
      <c r="CC284"/>
      <c r="CD284"/>
    </row>
    <row r="285" spans="1:82" s="7" customFormat="1" ht="12.75" customHeight="1" x14ac:dyDescent="0.2">
      <c r="A285" s="42"/>
      <c r="B285" s="42" t="s">
        <v>72</v>
      </c>
      <c r="C285" s="57"/>
      <c r="D285" s="9"/>
      <c r="E285" s="57"/>
      <c r="F285" s="9"/>
      <c r="G285" s="57"/>
      <c r="H285" s="9"/>
      <c r="I285" s="130"/>
      <c r="J285" s="9"/>
      <c r="K285" s="130"/>
      <c r="L285" s="9"/>
      <c r="M285" s="130"/>
      <c r="N285" s="9"/>
      <c r="O285" s="126">
        <f>O276+O277</f>
        <v>0</v>
      </c>
      <c r="P285" s="43" t="str">
        <f t="shared" ref="P285:AD287" si="1662">IF(ISERROR(O285/G285),"NA",IF(OR(O285/G285&gt;2,O285/G285&lt;0.5),"NM",O285/G285*100-100))</f>
        <v>NA</v>
      </c>
      <c r="Q285" s="126">
        <f t="shared" ref="Q285:W285" si="1663">Q276+Q277</f>
        <v>1200</v>
      </c>
      <c r="R285" s="43" t="str">
        <f t="shared" si="1662"/>
        <v>NA</v>
      </c>
      <c r="S285" s="126">
        <f t="shared" si="1663"/>
        <v>200</v>
      </c>
      <c r="T285" s="43" t="str">
        <f t="shared" si="1662"/>
        <v>NA</v>
      </c>
      <c r="U285" s="126">
        <f t="shared" si="1663"/>
        <v>500</v>
      </c>
      <c r="V285" s="43" t="str">
        <f t="shared" si="1662"/>
        <v>NA</v>
      </c>
      <c r="W285" s="126">
        <f t="shared" si="1663"/>
        <v>200</v>
      </c>
      <c r="X285" s="43" t="str">
        <f t="shared" si="1662"/>
        <v>NA</v>
      </c>
      <c r="Y285" s="126">
        <f>Y276+Y277</f>
        <v>300</v>
      </c>
      <c r="Z285" s="43" t="str">
        <f t="shared" ref="Z285" si="1664">IF(ISERROR(Y285/Q285),"NA",IF(OR(Y285/Q285&gt;2,Y285/Q285&lt;0.5),"NM",Y285/Q285*100-100))</f>
        <v>NM</v>
      </c>
      <c r="AA285" s="126">
        <f>AA276+AA277</f>
        <v>-300</v>
      </c>
      <c r="AB285" s="43" t="str">
        <f t="shared" ref="AB285" si="1665">IF(ISERROR(AA285/S285),"NA",IF(OR(AA285/S285&gt;2,AA285/S285&lt;0.5),"NM",AA285/S285*100-100))</f>
        <v>NM</v>
      </c>
      <c r="AC285" s="126">
        <f>AC276+AC277</f>
        <v>200</v>
      </c>
      <c r="AD285" s="43" t="str">
        <f t="shared" ref="AD285" si="1666">IF(ISERROR(AC285/U285),"NA",IF(OR(AC285/U285&gt;2,AC285/U285&lt;0.5),"NM",AC285/U285*100-100))</f>
        <v>NM</v>
      </c>
      <c r="AE285" s="126">
        <f>AE276+AE277</f>
        <v>1100</v>
      </c>
      <c r="AF285" s="43" t="str">
        <f t="shared" ref="AF285" si="1667">IF(ISERROR(AE285/W285),"NA",IF(OR(AE285/W285&gt;2,AE285/W285&lt;0.5),"NM",AE285/W285*100-100))</f>
        <v>NM</v>
      </c>
      <c r="AG285" s="126">
        <f>AG276+AG277</f>
        <v>200</v>
      </c>
      <c r="AH285" s="9">
        <f t="shared" ref="AH285" si="1668">IF(ISERROR(AG285/Y285),"NA",IF(OR(AG285/Y285&gt;2,AG285/Y285&lt;0.5),"NM",AG285/Y285*100-100))</f>
        <v>-33.333333333333343</v>
      </c>
      <c r="AI285" s="126">
        <f>AI276+AI277</f>
        <v>0</v>
      </c>
      <c r="AJ285" s="9" t="str">
        <f t="shared" ref="AJ285" si="1669">IF(ISERROR(AI285/AA285),"NA",IF(OR(AI285/AA285&gt;2,AI285/AA285&lt;0.5),"NM",AI285/AA285*100-100))</f>
        <v>NM</v>
      </c>
      <c r="AK285" s="126">
        <f>AK276+AK277</f>
        <v>0</v>
      </c>
      <c r="AL285" s="9" t="str">
        <f t="shared" ref="AL285" si="1670">IF(ISERROR(AK285/AC285),"NA",IF(OR(AK285/AC285&gt;2,AK285/AC285&lt;0.5),"NM",AK285/AC285*100-100))</f>
        <v>NM</v>
      </c>
      <c r="AM285" s="126">
        <f>AM276+AM277</f>
        <v>500</v>
      </c>
      <c r="AN285" s="9" t="str">
        <f t="shared" ref="AN285" si="1671">IF(ISERROR(AM285/AE285),"NA",IF(OR(AM285/AE285&gt;2,AM285/AE285&lt;0.5),"NM",AM285/AE285*100-100))</f>
        <v>NM</v>
      </c>
      <c r="AO285" s="126">
        <f>AO276+AO277</f>
        <v>600</v>
      </c>
      <c r="AP285" s="9" t="str">
        <f t="shared" ref="AP285" si="1672">IF(ISERROR(AO285/AG285),"NA",IF(OR(AO285/AG285&gt;2,AO285/AG285&lt;0.5),"NM",AO285/AG285*100-100))</f>
        <v>NM</v>
      </c>
      <c r="AQ285" s="670">
        <f t="shared" ref="AQ285" si="1673">AO285</f>
        <v>600</v>
      </c>
      <c r="AR285" s="9" t="str">
        <f t="shared" ref="AR285" si="1674">IF(ISERROR(AQ285/AI285),"NA",IF(OR(AQ285/AI285&gt;2,AQ285/AI285&lt;0.5),"NM",AQ285/AI285*100-100))</f>
        <v>NA</v>
      </c>
      <c r="AS285" s="670">
        <f t="shared" ref="AS285" si="1675">AQ285</f>
        <v>600</v>
      </c>
      <c r="AT285" s="9" t="str">
        <f t="shared" ref="AT285" si="1676">IF(ISERROR(AS285/AK285),"NA",IF(OR(AS285/AK285&gt;2,AS285/AK285&lt;0.5),"NM",AS285/AK285*100-100))</f>
        <v>NA</v>
      </c>
      <c r="AU285" s="670">
        <f t="shared" ref="AU285" si="1677">AS285</f>
        <v>600</v>
      </c>
      <c r="AV285" s="9">
        <f t="shared" ref="AV285" si="1678">IF(ISERROR(AU285/AM285),"NA",IF(OR(AU285/AM285&gt;2,AU285/AM285&lt;0.5),"NM",AU285/AM285*100-100))</f>
        <v>20</v>
      </c>
      <c r="AW285" s="670">
        <f t="shared" ref="AW285" si="1679">AU285</f>
        <v>600</v>
      </c>
      <c r="AX285" s="9">
        <f t="shared" ref="AX285" si="1680">IF(ISERROR(AW285/AO285),"NA",IF(OR(AW285/AO285&gt;2,AW285/AO285&lt;0.5),"NM",AW285/AO285*100-100))</f>
        <v>0</v>
      </c>
      <c r="AY285" s="287"/>
      <c r="AZ285" s="122"/>
      <c r="BA285" s="131"/>
      <c r="BB285" s="57"/>
      <c r="BC285" s="226" t="str">
        <f>IF(ISERROR(BB285/#REF!),"NA",IF(OR(BB285/#REF!&gt;2,BB285/#REF!&lt;0.5),"NM",BB285/#REF!*100-100))</f>
        <v>NA</v>
      </c>
      <c r="BD285" s="911"/>
      <c r="BE285" s="226" t="str">
        <f t="shared" ref="BE285" si="1681">IF(ISERROR(BD285/BB285),"NA",IF(OR(BD285/BB285&gt;2,BD285/BB285&lt;0.5),"NM",BD285/BB285*100-100))</f>
        <v>NA</v>
      </c>
      <c r="BF285" s="55">
        <f>BF276+BF277</f>
        <v>1200</v>
      </c>
      <c r="BG285" s="226" t="str">
        <f t="shared" ref="BG285" si="1682">IF(ISERROR(BF285/BD285),"NA",IF(OR(BF285/BD285&gt;2,BF285/BD285&lt;0.5),"NM",BF285/BD285*100-100))</f>
        <v>NA</v>
      </c>
      <c r="BH285" s="55">
        <f t="shared" ref="BH285" si="1683">BH276+BH277</f>
        <v>1200</v>
      </c>
      <c r="BI285" s="226">
        <f t="shared" ref="BG285:BS288" si="1684">IF(ISERROR(BH285/BF285),"NA",IF(OR(BH285/BF285&gt;2,BH285/BF285&lt;0.5),"NM",BH285/BF285*100-100))</f>
        <v>0</v>
      </c>
      <c r="BJ285" s="55">
        <f t="shared" ref="BJ285" si="1685">BJ276+BJ277</f>
        <v>1100</v>
      </c>
      <c r="BK285" s="226">
        <f t="shared" si="1684"/>
        <v>-8.3333333333333428</v>
      </c>
      <c r="BL285" s="55">
        <f t="shared" ref="BL285" si="1686">BL276+BL277</f>
        <v>2400</v>
      </c>
      <c r="BM285" s="226" t="str">
        <f t="shared" si="1684"/>
        <v>NM</v>
      </c>
      <c r="BN285" s="127">
        <f>BL285*1.04</f>
        <v>2496</v>
      </c>
      <c r="BO285" s="226">
        <f t="shared" si="1684"/>
        <v>4</v>
      </c>
      <c r="BP285" s="127">
        <f t="shared" ref="BP285" si="1687">BN285*1.04</f>
        <v>2595.84</v>
      </c>
      <c r="BQ285" s="226">
        <f t="shared" si="1684"/>
        <v>4</v>
      </c>
      <c r="BR285" s="127">
        <f t="shared" ref="BR285" si="1688">BP285*1.04</f>
        <v>2699.6736000000001</v>
      </c>
      <c r="BS285" s="226">
        <f t="shared" si="1684"/>
        <v>4</v>
      </c>
      <c r="BT285" s="127">
        <f t="shared" ref="BT285" si="1689">BR285*1.04</f>
        <v>2807.6605440000003</v>
      </c>
      <c r="BU285" s="226">
        <f t="shared" ref="BU285" si="1690">IF(ISERROR(BT285/BR285),"NA",IF(OR(BT285/BR285&gt;2,BT285/BR285&lt;0.5),"NM",BT285/BR285*100-100))</f>
        <v>4</v>
      </c>
      <c r="BV285" s="43">
        <f>IF(ISERROR(((BT285/BJ285)^0.2-1)*100),"NA",IF((((BT285/BJ285)^0.2-1)*100)&gt;100,"NM",IF((((BT285/BJ285)^0.2-1)*100)&lt;-50,"NM",((BT285/BJ285)^0.2-1)*100)))</f>
        <v>20.611962150757645</v>
      </c>
      <c r="BW285" s="722"/>
      <c r="BX285" s="722"/>
      <c r="BY285"/>
      <c r="BZ285"/>
      <c r="CA285"/>
      <c r="CB285"/>
      <c r="CC285"/>
      <c r="CD285"/>
    </row>
    <row r="286" spans="1:82" s="7" customFormat="1" ht="12.75" customHeight="1" x14ac:dyDescent="0.2">
      <c r="A286" s="42"/>
      <c r="B286" s="42"/>
      <c r="C286" s="57"/>
      <c r="D286" s="9"/>
      <c r="E286" s="57"/>
      <c r="F286" s="9"/>
      <c r="G286" s="57"/>
      <c r="H286" s="9"/>
      <c r="I286" s="130"/>
      <c r="J286" s="9"/>
      <c r="K286" s="130"/>
      <c r="L286" s="9"/>
      <c r="M286" s="130"/>
      <c r="N286" s="9"/>
      <c r="O286" s="126"/>
      <c r="P286" s="43"/>
      <c r="Q286" s="126"/>
      <c r="R286" s="43"/>
      <c r="S286" s="126"/>
      <c r="T286" s="43"/>
      <c r="U286" s="126"/>
      <c r="V286" s="43"/>
      <c r="W286" s="126"/>
      <c r="X286" s="43"/>
      <c r="Y286" s="126"/>
      <c r="Z286" s="43"/>
      <c r="AA286" s="126"/>
      <c r="AB286" s="43"/>
      <c r="AC286" s="126"/>
      <c r="AD286" s="43"/>
      <c r="AE286" s="126"/>
      <c r="AF286" s="43"/>
      <c r="AG286" s="126"/>
      <c r="AH286" s="9"/>
      <c r="AI286" s="126"/>
      <c r="AJ286" s="9"/>
      <c r="AK286" s="126"/>
      <c r="AL286" s="9"/>
      <c r="AM286" s="126"/>
      <c r="AN286" s="9"/>
      <c r="AO286" s="126"/>
      <c r="AP286" s="9"/>
      <c r="AQ286" s="127"/>
      <c r="AR286" s="9"/>
      <c r="AS286" s="127"/>
      <c r="AT286" s="9"/>
      <c r="AU286" s="127"/>
      <c r="AV286" s="9"/>
      <c r="AW286" s="127"/>
      <c r="AX286" s="9"/>
      <c r="AY286" s="287"/>
      <c r="AZ286" s="122"/>
      <c r="BA286" s="131"/>
      <c r="BB286" s="57"/>
      <c r="BC286" s="9"/>
      <c r="BD286" s="911"/>
      <c r="BE286" s="9"/>
      <c r="BF286" s="55"/>
      <c r="BG286" s="9"/>
      <c r="BH286" s="55"/>
      <c r="BI286" s="9"/>
      <c r="BJ286" s="55"/>
      <c r="BK286" s="9"/>
      <c r="BL286" s="55"/>
      <c r="BM286" s="9"/>
      <c r="BN286" s="127"/>
      <c r="BO286" s="9"/>
      <c r="BP286" s="127"/>
      <c r="BQ286" s="9"/>
      <c r="BR286" s="127"/>
      <c r="BS286" s="9"/>
      <c r="BT286" s="127"/>
      <c r="BU286" s="9"/>
      <c r="BV286" s="43"/>
      <c r="BW286" s="722"/>
      <c r="BX286" s="722"/>
      <c r="BY286"/>
      <c r="BZ286"/>
      <c r="CA286"/>
      <c r="CB286"/>
      <c r="CC286"/>
      <c r="CD286"/>
    </row>
    <row r="287" spans="1:82" s="7" customFormat="1" ht="12.75" customHeight="1" x14ac:dyDescent="0.2">
      <c r="A287" s="42"/>
      <c r="B287" s="42" t="s">
        <v>139</v>
      </c>
      <c r="C287" s="57"/>
      <c r="D287" s="9"/>
      <c r="E287" s="57"/>
      <c r="F287" s="9"/>
      <c r="G287" s="57"/>
      <c r="H287" s="9"/>
      <c r="I287" s="130"/>
      <c r="J287" s="9"/>
      <c r="K287" s="130"/>
      <c r="L287" s="9"/>
      <c r="M287" s="130"/>
      <c r="N287" s="9"/>
      <c r="O287" s="130">
        <f>O285/O275*400</f>
        <v>0</v>
      </c>
      <c r="P287" s="43" t="str">
        <f t="shared" si="1662"/>
        <v>NA</v>
      </c>
      <c r="Q287" s="130">
        <f t="shared" ref="Q287:W287" si="1691">Q285/Q275*400</f>
        <v>27.118644067796609</v>
      </c>
      <c r="R287" s="43" t="str">
        <f t="shared" si="1662"/>
        <v>NA</v>
      </c>
      <c r="S287" s="130">
        <f t="shared" si="1691"/>
        <v>4.5977011494252871</v>
      </c>
      <c r="T287" s="43" t="str">
        <f t="shared" si="1662"/>
        <v>NA</v>
      </c>
      <c r="U287" s="130">
        <f t="shared" si="1691"/>
        <v>10.869565217391305</v>
      </c>
      <c r="V287" s="43" t="str">
        <f t="shared" si="1662"/>
        <v>NA</v>
      </c>
      <c r="W287" s="130">
        <f t="shared" si="1691"/>
        <v>3.8461538461538463</v>
      </c>
      <c r="X287" s="43" t="str">
        <f t="shared" si="1662"/>
        <v>NA</v>
      </c>
      <c r="Y287" s="130">
        <f t="shared" ref="Y287:AA287" si="1692">Y285/Y275*400</f>
        <v>5.5299539170506913</v>
      </c>
      <c r="Z287" s="43" t="str">
        <f t="shared" si="1662"/>
        <v>NM</v>
      </c>
      <c r="AA287" s="130">
        <f t="shared" si="1692"/>
        <v>-5.3333333333333339</v>
      </c>
      <c r="AB287" s="43" t="str">
        <f t="shared" si="1662"/>
        <v>NM</v>
      </c>
      <c r="AC287" s="130">
        <f t="shared" ref="AC287:AE287" si="1693">AC285/AC275*400</f>
        <v>3.4188034188034191</v>
      </c>
      <c r="AD287" s="43" t="str">
        <f t="shared" si="1662"/>
        <v>NM</v>
      </c>
      <c r="AE287" s="130">
        <f t="shared" si="1693"/>
        <v>19.047619047619047</v>
      </c>
      <c r="AF287" s="43" t="str">
        <f t="shared" ref="P287:AF289" si="1694">IF(ISERROR(AE287/W287),"NA",IF(OR(AE287/W287&gt;2,AE287/W287&lt;0.5),"NM",AE287/W287*100-100))</f>
        <v>NM</v>
      </c>
      <c r="AG287" s="130">
        <f t="shared" ref="AG287:AI287" si="1695">AG285/AG275*400</f>
        <v>3.225806451612903</v>
      </c>
      <c r="AH287" s="9">
        <f t="shared" ref="AH287:AH289" si="1696">IF(ISERROR(AG287/Y287),"NA",IF(OR(AG287/Y287&gt;2,AG287/Y287&lt;0.5),"NM",AG287/Y287*100-100))</f>
        <v>-41.666666666666671</v>
      </c>
      <c r="AI287" s="130">
        <f t="shared" si="1695"/>
        <v>0</v>
      </c>
      <c r="AJ287" s="9" t="str">
        <f t="shared" ref="AJ287:AJ289" si="1697">IF(ISERROR(AI287/AA287),"NA",IF(OR(AI287/AA287&gt;2,AI287/AA287&lt;0.5),"NM",AI287/AA287*100-100))</f>
        <v>NM</v>
      </c>
      <c r="AK287" s="130">
        <f t="shared" ref="AK287:AM287" si="1698">AK285/AK275*400</f>
        <v>0</v>
      </c>
      <c r="AL287" s="9" t="str">
        <f t="shared" ref="AL287:AL289" si="1699">IF(ISERROR(AK287/AC287),"NA",IF(OR(AK287/AC287&gt;2,AK287/AC287&lt;0.5),"NM",AK287/AC287*100-100))</f>
        <v>NM</v>
      </c>
      <c r="AM287" s="130">
        <f t="shared" si="1698"/>
        <v>7.7220077220077217</v>
      </c>
      <c r="AN287" s="9" t="str">
        <f t="shared" ref="AN287:AN289" si="1700">IF(ISERROR(AM287/AE287),"NA",IF(OR(AM287/AE287&gt;2,AM287/AE287&lt;0.5),"NM",AM287/AE287*100-100))</f>
        <v>NM</v>
      </c>
      <c r="AO287" s="130">
        <f t="shared" ref="AO287" si="1701">AO285/AO275*400</f>
        <v>8.791208791208792</v>
      </c>
      <c r="AP287" s="9" t="str">
        <f t="shared" ref="AP287:AP289" si="1702">IF(ISERROR(AO287/AG287),"NA",IF(OR(AO287/AG287&gt;2,AO287/AG287&lt;0.5),"NM",AO287/AG287*100-100))</f>
        <v>NM</v>
      </c>
      <c r="AQ287" s="130">
        <f t="shared" ref="AQ287:AW287" si="1703">AQ285/AQ275*400</f>
        <v>8.3044982698961931</v>
      </c>
      <c r="AR287" s="9" t="str">
        <f t="shared" ref="AR287:AR289" si="1704">IF(ISERROR(AQ287/AI287),"NA",IF(OR(AQ287/AI287&gt;2,AQ287/AI287&lt;0.5),"NM",AQ287/AI287*100-100))</f>
        <v>NA</v>
      </c>
      <c r="AS287" s="130">
        <f t="shared" si="1703"/>
        <v>8.1520483934557788</v>
      </c>
      <c r="AT287" s="9" t="str">
        <f t="shared" ref="AT287:AT289" si="1705">IF(ISERROR(AS287/AK287),"NA",IF(OR(AS287/AK287&gt;2,AS287/AK287&lt;0.5),"NM",AS287/AK287*100-100))</f>
        <v>NA</v>
      </c>
      <c r="AU287" s="130">
        <f t="shared" si="1703"/>
        <v>7.962429606487806</v>
      </c>
      <c r="AV287" s="9">
        <f t="shared" ref="AV287:AV289" si="1706">IF(ISERROR(AU287/AM287),"NA",IF(OR(AU287/AM287&gt;2,AU287/AM287&lt;0.5),"NM",AU287/AM287*100-100))</f>
        <v>3.1134634040170823</v>
      </c>
      <c r="AW287" s="130">
        <f t="shared" si="1703"/>
        <v>7.7808240834514972</v>
      </c>
      <c r="AX287" s="9">
        <f t="shared" ref="AX287:AX289" si="1707">IF(ISERROR(AW287/AO287),"NA",IF(OR(AW287/AO287&gt;2,AW287/AO287&lt;0.5),"NM",AW287/AO287*100-100))</f>
        <v>-11.493126050739221</v>
      </c>
      <c r="AY287" s="287"/>
      <c r="AZ287" s="122"/>
      <c r="BA287" s="131"/>
      <c r="BB287" s="57"/>
      <c r="BC287" s="226" t="str">
        <f>IF(ISERROR(BB287/#REF!),"NA",IF(OR(BB287/#REF!&gt;2,BB287/#REF!&lt;0.5),"NM",BB287/#REF!*100-100))</f>
        <v>NA</v>
      </c>
      <c r="BD287" s="911"/>
      <c r="BE287" s="226" t="str">
        <f t="shared" ref="BE287:BE288" si="1708">IF(ISERROR(BD287/BB287),"NA",IF(OR(BD287/BB287&gt;2,BD287/BB287&lt;0.5),"NM",BD287/BB287*100-100))</f>
        <v>NA</v>
      </c>
      <c r="BF287" s="57">
        <f>BF285/BF275*100</f>
        <v>6.8965517241379306</v>
      </c>
      <c r="BG287" s="226" t="str">
        <f t="shared" si="1684"/>
        <v>NA</v>
      </c>
      <c r="BH287" s="57">
        <f t="shared" ref="BH287:BP287" si="1709">BH285/BH275*100</f>
        <v>5.3333333333333339</v>
      </c>
      <c r="BI287" s="226">
        <f t="shared" si="1684"/>
        <v>-22.666666666666657</v>
      </c>
      <c r="BJ287" s="57">
        <f t="shared" ref="BJ287" si="1710">BJ285/BJ275*100</f>
        <v>4.6610169491525424</v>
      </c>
      <c r="BK287" s="226">
        <f t="shared" si="1684"/>
        <v>-12.605932203389841</v>
      </c>
      <c r="BL287" s="57">
        <f t="shared" ref="BL287" si="1711">BL285/BL275*100</f>
        <v>8.3044982698961931</v>
      </c>
      <c r="BM287" s="226">
        <f t="shared" si="1684"/>
        <v>78.169235608681959</v>
      </c>
      <c r="BN287" s="57">
        <f t="shared" si="1709"/>
        <v>7.9110047931774368</v>
      </c>
      <c r="BO287" s="226">
        <f t="shared" si="1684"/>
        <v>-4.7383172821550232</v>
      </c>
      <c r="BP287" s="57">
        <f t="shared" si="1709"/>
        <v>7.4047075716929571</v>
      </c>
      <c r="BQ287" s="226">
        <f t="shared" si="1684"/>
        <v>-6.3999104376869695</v>
      </c>
      <c r="BR287" s="57">
        <f t="shared" ref="BR287:BT287" si="1712">BR285/BR275*100</f>
        <v>6.9625389765340913</v>
      </c>
      <c r="BS287" s="226">
        <f t="shared" si="1684"/>
        <v>-5.971452496641561</v>
      </c>
      <c r="BT287" s="57">
        <f t="shared" si="1712"/>
        <v>6.5730516043551628</v>
      </c>
      <c r="BU287" s="226">
        <f t="shared" ref="BU287:BU288" si="1713">IF(ISERROR(BT287/BR287),"NA",IF(OR(BT287/BR287&gt;2,BT287/BR287&lt;0.5),"NM",BT287/BR287*100-100))</f>
        <v>-5.5940422522821223</v>
      </c>
      <c r="BV287" s="43">
        <f>IF(ISERROR(((BT287/BJ287)^0.2-1)*100),"NA",IF((((BT287/BJ287)^0.2-1)*100)&gt;100,"NM",IF((((BT287/BJ287)^0.2-1)*100)&lt;-50,"NM",((BT287/BJ287)^0.2-1)*100)))</f>
        <v>7.1167215242010418</v>
      </c>
      <c r="BW287" s="722"/>
      <c r="BX287" s="722"/>
      <c r="BY287"/>
      <c r="BZ287"/>
      <c r="CA287"/>
      <c r="CB287"/>
      <c r="CC287"/>
      <c r="CD287"/>
    </row>
    <row r="288" spans="1:82" s="7" customFormat="1" ht="12.75" customHeight="1" x14ac:dyDescent="0.2">
      <c r="A288" s="42"/>
      <c r="B288" s="240" t="s">
        <v>77</v>
      </c>
      <c r="C288" s="57"/>
      <c r="D288" s="9"/>
      <c r="E288" s="57"/>
      <c r="F288" s="9"/>
      <c r="G288" s="57"/>
      <c r="H288" s="9"/>
      <c r="I288" s="130"/>
      <c r="J288" s="9"/>
      <c r="K288" s="130"/>
      <c r="L288" s="9"/>
      <c r="M288" s="130"/>
      <c r="N288" s="9"/>
      <c r="O288" s="57">
        <f>+O278/O275*400</f>
        <v>4.5454545454545459</v>
      </c>
      <c r="P288" s="43" t="str">
        <f t="shared" si="1694"/>
        <v>NA</v>
      </c>
      <c r="Q288" s="57">
        <f t="shared" ref="Q288:W288" si="1714">+Q278/Q275*400</f>
        <v>-11.299435028248588</v>
      </c>
      <c r="R288" s="43" t="str">
        <f t="shared" si="1694"/>
        <v>NA</v>
      </c>
      <c r="S288" s="57">
        <f t="shared" si="1714"/>
        <v>11.494252873563218</v>
      </c>
      <c r="T288" s="43" t="str">
        <f t="shared" si="1694"/>
        <v>NA</v>
      </c>
      <c r="U288" s="57">
        <f t="shared" si="1714"/>
        <v>6.5217391304347823</v>
      </c>
      <c r="V288" s="43" t="str">
        <f t="shared" si="1694"/>
        <v>NA</v>
      </c>
      <c r="W288" s="57">
        <f t="shared" si="1714"/>
        <v>-7.6923076923076925</v>
      </c>
      <c r="X288" s="43" t="str">
        <f t="shared" si="1694"/>
        <v>NM</v>
      </c>
      <c r="Y288" s="57">
        <f t="shared" ref="Y288:AA288" si="1715">+Y278/Y275*400</f>
        <v>3.6866359447004609</v>
      </c>
      <c r="Z288" s="43" t="str">
        <f t="shared" si="1694"/>
        <v>NM</v>
      </c>
      <c r="AA288" s="57">
        <f t="shared" si="1715"/>
        <v>-1.7777777777777777</v>
      </c>
      <c r="AB288" s="43" t="str">
        <f t="shared" si="1694"/>
        <v>NM</v>
      </c>
      <c r="AC288" s="57">
        <f t="shared" ref="AC288:AE288" si="1716">+AC278/AC275*400</f>
        <v>1.7094017094017095</v>
      </c>
      <c r="AD288" s="43" t="str">
        <f t="shared" si="1694"/>
        <v>NM</v>
      </c>
      <c r="AE288" s="57">
        <f t="shared" si="1716"/>
        <v>15.584415584415584</v>
      </c>
      <c r="AF288" s="43" t="str">
        <f t="shared" si="1694"/>
        <v>NM</v>
      </c>
      <c r="AG288" s="57">
        <f t="shared" ref="AG288:AI288" si="1717">+AG278/AG275*400</f>
        <v>-4.838709677419355</v>
      </c>
      <c r="AH288" s="9" t="str">
        <f t="shared" si="1696"/>
        <v>NM</v>
      </c>
      <c r="AI288" s="57">
        <f t="shared" si="1717"/>
        <v>18.64406779661017</v>
      </c>
      <c r="AJ288" s="9" t="str">
        <f t="shared" si="1697"/>
        <v>NM</v>
      </c>
      <c r="AK288" s="57">
        <f t="shared" ref="AK288:AM288" si="1718">+AK278/AK275*400</f>
        <v>8</v>
      </c>
      <c r="AL288" s="9" t="str">
        <f t="shared" si="1699"/>
        <v>NM</v>
      </c>
      <c r="AM288" s="57">
        <f t="shared" si="1718"/>
        <v>9.2664092664092657</v>
      </c>
      <c r="AN288" s="9">
        <f t="shared" si="1700"/>
        <v>-40.540540540540547</v>
      </c>
      <c r="AO288" s="57">
        <f t="shared" ref="AO288" si="1719">+AO278/AO275*400</f>
        <v>4.395604395604396</v>
      </c>
      <c r="AP288" s="9" t="str">
        <f t="shared" si="1702"/>
        <v>NM</v>
      </c>
      <c r="AQ288" s="57">
        <f t="shared" ref="AQ288:AW288" si="1720">+AQ278/AQ275*400</f>
        <v>-0.82417582417582425</v>
      </c>
      <c r="AR288" s="9" t="str">
        <f t="shared" si="1704"/>
        <v>NM</v>
      </c>
      <c r="AS288" s="57">
        <f t="shared" si="1720"/>
        <v>1.3736263736263736</v>
      </c>
      <c r="AT288" s="9" t="str">
        <f t="shared" si="1705"/>
        <v>NM</v>
      </c>
      <c r="AU288" s="57">
        <f t="shared" si="1720"/>
        <v>1.3736263736263736</v>
      </c>
      <c r="AV288" s="9" t="str">
        <f t="shared" si="1706"/>
        <v>NM</v>
      </c>
      <c r="AW288" s="57">
        <f t="shared" si="1720"/>
        <v>1.3736263736263734</v>
      </c>
      <c r="AX288" s="9" t="str">
        <f t="shared" si="1707"/>
        <v>NM</v>
      </c>
      <c r="AY288" s="287"/>
      <c r="AZ288" s="122"/>
      <c r="BA288" s="131"/>
      <c r="BB288" s="57"/>
      <c r="BC288" s="226" t="str">
        <f>IF(ISERROR(BB288/#REF!),"NA",IF(OR(BB288/#REF!&gt;2,BB288/#REF!&lt;0.5),"NM",BB288/#REF!*100-100))</f>
        <v>NA</v>
      </c>
      <c r="BD288" s="911"/>
      <c r="BE288" s="226" t="str">
        <f t="shared" si="1708"/>
        <v>NA</v>
      </c>
      <c r="BF288" s="57">
        <f>BF278/BF275*100</f>
        <v>3.4482758620689653</v>
      </c>
      <c r="BG288" s="226" t="str">
        <f t="shared" si="1684"/>
        <v>NA</v>
      </c>
      <c r="BH288" s="57">
        <f t="shared" ref="BH288" si="1721">BH278/BH275*100</f>
        <v>2.666666666666667</v>
      </c>
      <c r="BI288" s="226">
        <f t="shared" si="1684"/>
        <v>-22.666666666666657</v>
      </c>
      <c r="BJ288" s="57">
        <f t="shared" ref="BJ288" si="1722">BJ278/BJ275*100</f>
        <v>10.59322033898305</v>
      </c>
      <c r="BK288" s="226" t="str">
        <f t="shared" si="1684"/>
        <v>NM</v>
      </c>
      <c r="BL288" s="57">
        <f t="shared" ref="BL288" si="1723">BL278/BL275*100</f>
        <v>0.86846302245994644</v>
      </c>
      <c r="BM288" s="226" t="str">
        <f t="shared" si="1684"/>
        <v>NM</v>
      </c>
      <c r="BN288" s="57">
        <f t="shared" ref="BN288" si="1724">BN278/BN275*100</f>
        <v>3.2</v>
      </c>
      <c r="BO288" s="226" t="str">
        <f t="shared" si="1684"/>
        <v>NM</v>
      </c>
      <c r="BP288" s="57">
        <f t="shared" ref="BP288:BR288" si="1725">BP278/BP275*100</f>
        <v>3.2</v>
      </c>
      <c r="BQ288" s="226">
        <f t="shared" si="1684"/>
        <v>0</v>
      </c>
      <c r="BR288" s="57">
        <f t="shared" si="1725"/>
        <v>3.2</v>
      </c>
      <c r="BS288" s="226">
        <f t="shared" si="1684"/>
        <v>0</v>
      </c>
      <c r="BT288" s="57">
        <f t="shared" ref="BT288" si="1726">BT278/BT275*100</f>
        <v>3.2</v>
      </c>
      <c r="BU288" s="226">
        <f t="shared" si="1713"/>
        <v>0</v>
      </c>
      <c r="BV288" s="43">
        <f>IF(ISERROR(((BT288/BJ288)^0.2-1)*100),"NA",IF((((BT288/BJ288)^0.2-1)*100)&gt;100,"NM",IF((((BT288/BJ288)^0.2-1)*100)&lt;-50,"NM",((BT288/BJ288)^0.2-1)*100)))</f>
        <v>-21.291000033419571</v>
      </c>
      <c r="BW288" s="722"/>
      <c r="BX288" s="722"/>
      <c r="BY288"/>
      <c r="BZ288"/>
      <c r="CA288"/>
      <c r="CB288"/>
      <c r="CC288"/>
      <c r="CD288"/>
    </row>
    <row r="289" spans="1:82" s="7" customFormat="1" ht="12.75" customHeight="1" x14ac:dyDescent="0.2">
      <c r="A289" s="42"/>
      <c r="B289" s="240" t="s">
        <v>105</v>
      </c>
      <c r="C289" s="57"/>
      <c r="D289" s="9"/>
      <c r="E289" s="57"/>
      <c r="F289" s="9"/>
      <c r="G289" s="57"/>
      <c r="H289" s="9"/>
      <c r="I289" s="130"/>
      <c r="J289" s="9"/>
      <c r="K289" s="130"/>
      <c r="L289" s="9"/>
      <c r="M289" s="130"/>
      <c r="N289" s="9"/>
      <c r="O289" s="130">
        <f>(O288/4)/O$31*100</f>
        <v>189.39393939393943</v>
      </c>
      <c r="P289" s="43" t="str">
        <f t="shared" si="1694"/>
        <v>NA</v>
      </c>
      <c r="Q289" s="130">
        <f t="shared" ref="Q289" si="1727">(Q288/4)/Q$31*100</f>
        <v>-64.201335387776055</v>
      </c>
      <c r="R289" s="43" t="str">
        <f t="shared" si="1694"/>
        <v>NA</v>
      </c>
      <c r="S289" s="130">
        <f t="shared" ref="S289" si="1728">(S288/4)/S$31*100</f>
        <v>718.39080459770105</v>
      </c>
      <c r="T289" s="43" t="str">
        <f t="shared" si="1694"/>
        <v>NA</v>
      </c>
      <c r="U289" s="130">
        <f t="shared" ref="U289" si="1729">(U288/4)/U$31*100</f>
        <v>407.60869565217382</v>
      </c>
      <c r="V289" s="43" t="str">
        <f t="shared" si="1694"/>
        <v>NA</v>
      </c>
      <c r="W289" s="130">
        <f t="shared" ref="W289:Y289" si="1730">(W288/4)/W$31*100</f>
        <v>25.383019155820769</v>
      </c>
      <c r="X289" s="43" t="str">
        <f t="shared" si="1694"/>
        <v>NM</v>
      </c>
      <c r="Y289" s="130">
        <f t="shared" si="1730"/>
        <v>14.761109078476526</v>
      </c>
      <c r="Z289" s="43" t="str">
        <f t="shared" si="1694"/>
        <v>NM</v>
      </c>
      <c r="AA289" s="130">
        <f t="shared" ref="AA289:AC289" si="1731">(AA288/4)/AA$31*100</f>
        <v>-57.494796061884948</v>
      </c>
      <c r="AB289" s="43" t="str">
        <f t="shared" si="1694"/>
        <v>NM</v>
      </c>
      <c r="AC289" s="130">
        <f t="shared" si="1731"/>
        <v>33.964721505413507</v>
      </c>
      <c r="AD289" s="43" t="str">
        <f t="shared" si="1694"/>
        <v>NM</v>
      </c>
      <c r="AE289" s="130">
        <f t="shared" ref="AE289:AG289" si="1732">(AE288/4)/AE$31*100</f>
        <v>125.43381468270984</v>
      </c>
      <c r="AF289" s="43" t="str">
        <f t="shared" si="1694"/>
        <v>NM</v>
      </c>
      <c r="AG289" s="130">
        <f t="shared" si="1732"/>
        <v>-37.172665800204861</v>
      </c>
      <c r="AH289" s="9" t="str">
        <f t="shared" si="1696"/>
        <v>NM</v>
      </c>
      <c r="AI289" s="130">
        <f t="shared" ref="AI289:AK289" si="1733">(AI288/4)/AI$31*100</f>
        <v>84.229685101307624</v>
      </c>
      <c r="AJ289" s="9" t="str">
        <f t="shared" si="1697"/>
        <v>NM</v>
      </c>
      <c r="AK289" s="130">
        <f t="shared" si="1733"/>
        <v>76.92307692307692</v>
      </c>
      <c r="AL289" s="9" t="str">
        <f t="shared" si="1699"/>
        <v>NM</v>
      </c>
      <c r="AM289" s="130">
        <f t="shared" ref="AM289:AO289" si="1734">(AM288/4)/AM$31*100</f>
        <v>64.350064350064343</v>
      </c>
      <c r="AN289" s="9">
        <f t="shared" si="1700"/>
        <v>-48.697993030953768</v>
      </c>
      <c r="AO289" s="130">
        <f t="shared" si="1734"/>
        <v>17.170329670329672</v>
      </c>
      <c r="AP289" s="9" t="str">
        <f t="shared" si="1702"/>
        <v>NM</v>
      </c>
      <c r="AQ289" s="669">
        <f t="shared" ref="AQ289" si="1735">AO289</f>
        <v>17.170329670329672</v>
      </c>
      <c r="AR289" s="9" t="str">
        <f t="shared" si="1704"/>
        <v>NM</v>
      </c>
      <c r="AS289" s="669">
        <f t="shared" ref="AS289" si="1736">AQ289</f>
        <v>17.170329670329672</v>
      </c>
      <c r="AT289" s="9" t="str">
        <f t="shared" si="1705"/>
        <v>NM</v>
      </c>
      <c r="AU289" s="669">
        <f t="shared" ref="AU289" si="1737">AS289</f>
        <v>17.170329670329672</v>
      </c>
      <c r="AV289" s="9" t="str">
        <f t="shared" si="1706"/>
        <v>NM</v>
      </c>
      <c r="AW289" s="669">
        <f t="shared" ref="AW289" si="1738">AU289</f>
        <v>17.170329670329672</v>
      </c>
      <c r="AX289" s="9">
        <f t="shared" si="1707"/>
        <v>0</v>
      </c>
      <c r="AY289" s="287"/>
      <c r="AZ289" s="122"/>
      <c r="BA289" s="131"/>
      <c r="BB289" s="57"/>
      <c r="BC289" s="9"/>
      <c r="BD289" s="911"/>
      <c r="BE289" s="9"/>
      <c r="BF289" s="57"/>
      <c r="BG289" s="9"/>
      <c r="BH289" s="57"/>
      <c r="BI289" s="9"/>
      <c r="BJ289" s="57"/>
      <c r="BK289" s="9"/>
      <c r="BL289" s="57"/>
      <c r="BM289" s="9"/>
      <c r="BN289" s="242">
        <v>40</v>
      </c>
      <c r="BO289" s="9"/>
      <c r="BP289" s="242">
        <v>40</v>
      </c>
      <c r="BQ289" s="9"/>
      <c r="BR289" s="242">
        <v>40</v>
      </c>
      <c r="BS289" s="9"/>
      <c r="BT289" s="242">
        <v>40</v>
      </c>
      <c r="BU289" s="9"/>
      <c r="BV289" s="43" t="str">
        <f>IF(ISERROR(((BT289/BJ289)^0.2-1)*100),"NA",IF((((BT289/BJ289)^0.2-1)*100)&gt;100,"NM",IF((((BT289/BJ289)^0.2-1)*100)&lt;-50,"NM",((BT289/BJ289)^0.2-1)*100)))</f>
        <v>NA</v>
      </c>
      <c r="BW289" s="722"/>
      <c r="BX289" s="722"/>
      <c r="BY289"/>
      <c r="BZ289"/>
      <c r="CA289"/>
      <c r="CB289"/>
      <c r="CC289"/>
      <c r="CD289"/>
    </row>
    <row r="290" spans="1:82" s="2" customFormat="1" ht="12.75" customHeight="1" x14ac:dyDescent="0.2">
      <c r="A290" s="41"/>
      <c r="B290" s="240"/>
      <c r="C290" s="57"/>
      <c r="D290" s="9"/>
      <c r="E290" s="57"/>
      <c r="F290" s="9"/>
      <c r="G290" s="57"/>
      <c r="H290" s="9"/>
      <c r="I290" s="130"/>
      <c r="J290" s="9"/>
      <c r="K290" s="130"/>
      <c r="L290" s="9"/>
      <c r="M290" s="130"/>
      <c r="N290" s="9"/>
      <c r="O290" s="130"/>
      <c r="P290" s="43"/>
      <c r="Q290" s="130"/>
      <c r="R290" s="43"/>
      <c r="S290" s="130"/>
      <c r="T290" s="43"/>
      <c r="U290" s="130"/>
      <c r="V290" s="43"/>
      <c r="W290" s="130"/>
      <c r="X290" s="43"/>
      <c r="Y290" s="130"/>
      <c r="Z290" s="43"/>
      <c r="AA290" s="130"/>
      <c r="AB290" s="43"/>
      <c r="AC290" s="130"/>
      <c r="AD290" s="43"/>
      <c r="AE290" s="130"/>
      <c r="AF290" s="43"/>
      <c r="AG290" s="130"/>
      <c r="AH290" s="9"/>
      <c r="AI290" s="130"/>
      <c r="AJ290" s="9"/>
      <c r="AK290" s="130"/>
      <c r="AL290" s="9"/>
      <c r="AM290" s="130"/>
      <c r="AN290" s="9"/>
      <c r="AO290" s="130"/>
      <c r="AP290" s="9"/>
      <c r="AQ290" s="242"/>
      <c r="AR290" s="9"/>
      <c r="AS290" s="242"/>
      <c r="AT290" s="9"/>
      <c r="AU290" s="242"/>
      <c r="AV290" s="9"/>
      <c r="AW290" s="242"/>
      <c r="AX290" s="9"/>
      <c r="AY290" s="287"/>
      <c r="AZ290" s="122"/>
      <c r="BA290" s="131"/>
      <c r="BB290" s="57"/>
      <c r="BC290" s="9"/>
      <c r="BD290" s="911"/>
      <c r="BE290" s="9"/>
      <c r="BF290" s="57"/>
      <c r="BG290" s="9"/>
      <c r="BH290" s="57"/>
      <c r="BI290" s="9"/>
      <c r="BJ290" s="57"/>
      <c r="BK290" s="9"/>
      <c r="BL290" s="57"/>
      <c r="BM290" s="9"/>
      <c r="BN290" s="242"/>
      <c r="BO290" s="9"/>
      <c r="BP290" s="242"/>
      <c r="BQ290" s="9"/>
      <c r="BR290" s="242"/>
      <c r="BS290" s="9"/>
      <c r="BT290" s="242"/>
      <c r="BU290" s="9"/>
      <c r="BV290" s="43"/>
      <c r="BW290" s="722"/>
      <c r="BX290" s="722"/>
      <c r="BY290"/>
      <c r="BZ290"/>
      <c r="CA290"/>
      <c r="CB290"/>
      <c r="CC290"/>
      <c r="CD290"/>
    </row>
    <row r="291" spans="1:82" s="2" customFormat="1" ht="12.75" customHeight="1" x14ac:dyDescent="0.2">
      <c r="A291" s="41"/>
      <c r="B291" s="668" t="s">
        <v>579</v>
      </c>
      <c r="C291" s="57"/>
      <c r="D291" s="9"/>
      <c r="E291" s="57"/>
      <c r="F291" s="9"/>
      <c r="G291" s="57"/>
      <c r="H291" s="9"/>
      <c r="I291" s="130"/>
      <c r="J291" s="9"/>
      <c r="K291" s="130"/>
      <c r="L291" s="9"/>
      <c r="M291" s="130"/>
      <c r="N291" s="9"/>
      <c r="P291" s="43"/>
      <c r="R291" s="43"/>
      <c r="T291" s="43"/>
      <c r="V291" s="43"/>
      <c r="X291" s="43"/>
      <c r="Z291" s="43"/>
      <c r="AB291" s="43"/>
      <c r="AD291" s="43"/>
      <c r="AF291" s="43"/>
      <c r="AH291" s="9"/>
      <c r="AJ291" s="9"/>
      <c r="AL291" s="9"/>
      <c r="AN291" s="9"/>
      <c r="AP291" s="9"/>
      <c r="AR291" s="9"/>
      <c r="AT291" s="9"/>
      <c r="AV291" s="9"/>
      <c r="AX291" s="9"/>
      <c r="AY291" s="287"/>
      <c r="AZ291" s="122"/>
      <c r="BA291" s="131"/>
      <c r="BB291" s="57"/>
      <c r="BC291" s="9"/>
      <c r="BD291" s="911"/>
      <c r="BE291" s="9"/>
      <c r="BF291" s="57"/>
      <c r="BG291" s="9"/>
      <c r="BH291" s="57"/>
      <c r="BI291" s="9"/>
      <c r="BJ291" s="57"/>
      <c r="BK291" s="9"/>
      <c r="BL291" s="57"/>
      <c r="BM291" s="9"/>
      <c r="BN291" s="242"/>
      <c r="BO291" s="9"/>
      <c r="BP291" s="242"/>
      <c r="BQ291" s="9"/>
      <c r="BR291" s="242"/>
      <c r="BS291" s="9"/>
      <c r="BT291" s="242"/>
      <c r="BU291" s="9"/>
      <c r="BV291" s="43"/>
      <c r="BW291" s="722"/>
      <c r="BX291" s="722"/>
      <c r="BY291"/>
      <c r="BZ291"/>
      <c r="CA291"/>
      <c r="CB291"/>
      <c r="CC291"/>
      <c r="CD291"/>
    </row>
    <row r="292" spans="1:82" s="2" customFormat="1" ht="12.75" customHeight="1" x14ac:dyDescent="0.2">
      <c r="A292" s="41"/>
      <c r="B292" s="123" t="s">
        <v>314</v>
      </c>
      <c r="C292" s="57"/>
      <c r="D292" s="9"/>
      <c r="E292" s="57"/>
      <c r="F292" s="9"/>
      <c r="G292" s="57"/>
      <c r="H292" s="9"/>
      <c r="I292" s="130"/>
      <c r="J292" s="9"/>
      <c r="K292" s="130"/>
      <c r="L292" s="9"/>
      <c r="M292" s="130"/>
      <c r="N292" s="9"/>
      <c r="O292" s="670">
        <v>118800</v>
      </c>
      <c r="P292" s="43" t="str">
        <f t="shared" ref="P292:P305" si="1739">IF(ISERROR(O292/G292),"NA",IF(OR(O292/G292&gt;2,O292/G292&lt;0.5),"NM",O292/G292*100-100))</f>
        <v>NA</v>
      </c>
      <c r="Q292" s="126">
        <f>O299</f>
        <v>116100</v>
      </c>
      <c r="R292" s="43" t="str">
        <f t="shared" ref="R292:R305" si="1740">IF(ISERROR(Q292/I292),"NA",IF(OR(Q292/I292&gt;2,Q292/I292&lt;0.5),"NM",Q292/I292*100-100))</f>
        <v>NA</v>
      </c>
      <c r="S292" s="126">
        <f t="shared" ref="S292" si="1741">Q299</f>
        <v>114600</v>
      </c>
      <c r="T292" s="43" t="str">
        <f t="shared" ref="T292:T305" si="1742">IF(ISERROR(S292/K292),"NA",IF(OR(S292/K292&gt;2,S292/K292&lt;0.5),"NM",S292/K292*100-100))</f>
        <v>NA</v>
      </c>
      <c r="U292" s="126">
        <f t="shared" ref="U292" si="1743">S299</f>
        <v>110900</v>
      </c>
      <c r="V292" s="43" t="str">
        <f t="shared" ref="V292:V305" si="1744">IF(ISERROR(U292/M292),"NA",IF(OR(U292/M292&gt;2,U292/M292&lt;0.5),"NM",U292/M292*100-100))</f>
        <v>NA</v>
      </c>
      <c r="W292" s="126">
        <f>U299</f>
        <v>117500</v>
      </c>
      <c r="X292" s="43">
        <f t="shared" ref="V292:AH309" si="1745">IF(ISERROR(W292/O292),"NA",IF(OR(W292/O292&gt;2,W292/O292&lt;0.5),"NM",W292/O292*100-100))</f>
        <v>-1.094276094276097</v>
      </c>
      <c r="Y292" s="126">
        <f>W299</f>
        <v>106200</v>
      </c>
      <c r="Z292" s="43">
        <f t="shared" ref="Z292:AF305" si="1746">IF(ISERROR(Y292/Q292),"NA",IF(OR(Y292/Q292&gt;2,Y292/Q292&lt;0.5),"NM",Y292/Q292*100-100))</f>
        <v>-8.5271317829457445</v>
      </c>
      <c r="AA292" s="126">
        <f>Y299</f>
        <v>109900</v>
      </c>
      <c r="AB292" s="43">
        <f t="shared" si="1746"/>
        <v>-4.1012216404886601</v>
      </c>
      <c r="AC292" s="126">
        <f>AA299</f>
        <v>121000</v>
      </c>
      <c r="AD292" s="43">
        <f t="shared" si="1746"/>
        <v>9.1073038773670021</v>
      </c>
      <c r="AE292" s="126">
        <f>AC299</f>
        <v>130900</v>
      </c>
      <c r="AF292" s="43">
        <f t="shared" si="1746"/>
        <v>11.40425531914893</v>
      </c>
      <c r="AG292" s="126">
        <f>AE299</f>
        <v>136300</v>
      </c>
      <c r="AH292" s="9">
        <f t="shared" ref="AH292:AH303" si="1747">IF(ISERROR(AG292/Y292),"NA",IF(OR(AG292/Y292&gt;2,AG292/Y292&lt;0.5),"NM",AG292/Y292*100-100))</f>
        <v>28.342749529190201</v>
      </c>
      <c r="AI292" s="126">
        <f>AG299</f>
        <v>137100</v>
      </c>
      <c r="AJ292" s="9">
        <f t="shared" ref="AJ292:AJ299" si="1748">IF(ISERROR(AI292/AA292),"NA",IF(OR(AI292/AA292&gt;2,AI292/AA292&lt;0.5),"NM",AI292/AA292*100-100))</f>
        <v>24.749772520473172</v>
      </c>
      <c r="AK292" s="126">
        <f>AI299</f>
        <v>147300</v>
      </c>
      <c r="AL292" s="9">
        <f t="shared" ref="AL292:AL299" si="1749">IF(ISERROR(AK292/AC292),"NA",IF(OR(AK292/AC292&gt;2,AK292/AC292&lt;0.5),"NM",AK292/AC292*100-100))</f>
        <v>21.735537190082653</v>
      </c>
      <c r="AM292" s="126">
        <f>AK299</f>
        <v>147700</v>
      </c>
      <c r="AN292" s="9">
        <f t="shared" ref="AN292:AN299" si="1750">IF(ISERROR(AM292/AE292),"NA",IF(OR(AM292/AE292&gt;2,AM292/AE292&lt;0.5),"NM",AM292/AE292*100-100))</f>
        <v>12.83422459893049</v>
      </c>
      <c r="AO292" s="126">
        <f>AM299</f>
        <v>158600</v>
      </c>
      <c r="AP292" s="9">
        <f t="shared" ref="AP292:AP299" si="1751">IF(ISERROR(AO292/AG292),"NA",IF(OR(AO292/AG292&gt;2,AO292/AG292&lt;0.5),"NM",AO292/AG292*100-100))</f>
        <v>16.360968451944231</v>
      </c>
      <c r="AQ292" s="126">
        <f t="shared" ref="AQ292" si="1752">AO299</f>
        <v>160700</v>
      </c>
      <c r="AR292" s="9">
        <f t="shared" ref="AR292:AR299" si="1753">IF(ISERROR(AQ292/AI292),"NA",IF(OR(AQ292/AI292&gt;2,AQ292/AI292&lt;0.5),"NM",AQ292/AI292*100-100))</f>
        <v>17.213712618526628</v>
      </c>
      <c r="AS292" s="126">
        <f t="shared" ref="AS292" si="1754">AQ299</f>
        <v>159036.91216462784</v>
      </c>
      <c r="AT292" s="9">
        <f t="shared" ref="AT292:AT299" si="1755">IF(ISERROR(AS292/AK292),"NA",IF(OR(AS292/AK292&gt;2,AS292/AK292&lt;0.5),"NM",AS292/AK292*100-100))</f>
        <v>7.9680326983216929</v>
      </c>
      <c r="AU292" s="126">
        <f t="shared" ref="AU292" si="1756">AS299</f>
        <v>159127.38234422871</v>
      </c>
      <c r="AV292" s="9">
        <f t="shared" ref="AV292:AV299" si="1757">IF(ISERROR(AU292/AM292),"NA",IF(OR(AU292/AM292&gt;2,AU292/AM292&lt;0.5),"NM",AU292/AM292*100-100))</f>
        <v>7.7368871660316216</v>
      </c>
      <c r="AW292" s="126">
        <f t="shared" ref="AW292" si="1758">AU299</f>
        <v>159216.24573784901</v>
      </c>
      <c r="AX292" s="9">
        <f t="shared" ref="AX292:AX299" si="1759">IF(ISERROR(AW292/AO292),"NA",IF(OR(AW292/AO292&gt;2,AW292/AO292&lt;0.5),"NM",AW292/AO292*100-100))</f>
        <v>0.38855342865637965</v>
      </c>
      <c r="AY292" s="287"/>
      <c r="AZ292" s="122"/>
      <c r="BA292" s="131"/>
      <c r="BB292" s="57"/>
      <c r="BC292" s="226" t="str">
        <f>IF(ISERROR(BB292/#REF!),"NA",IF(OR(BB292/#REF!&gt;2,BB292/#REF!&lt;0.5),"NM",BB292/#REF!*100-100))</f>
        <v>NA</v>
      </c>
      <c r="BD292" s="911"/>
      <c r="BE292" s="226" t="str">
        <f t="shared" ref="BE292:BS308" si="1760">IF(ISERROR(BD292/BB292),"NA",IF(OR(BD292/BB292&gt;2,BD292/BB292&lt;0.5),"NM",BD292/BB292*100-100))</f>
        <v>NA</v>
      </c>
      <c r="BF292" s="55">
        <f>BD299</f>
        <v>114600</v>
      </c>
      <c r="BG292" s="226" t="str">
        <f t="shared" ref="BG292:BG305" si="1761">IF(ISERROR(BF292/BD292),"NA",IF(OR(BF292/BD292&gt;2,BF292/BD292&lt;0.5),"NM",BF292/BD292*100-100))</f>
        <v>NA</v>
      </c>
      <c r="BH292" s="55">
        <f>BF299</f>
        <v>109900</v>
      </c>
      <c r="BI292" s="226">
        <f t="shared" ref="BI292:BS305" si="1762">IF(ISERROR(BH292/BF292),"NA",IF(OR(BH292/BF292&gt;2,BH292/BF292&lt;0.5),"NM",BH292/BF292*100-100))</f>
        <v>-4.1012216404886601</v>
      </c>
      <c r="BJ292" s="55">
        <f>BH299</f>
        <v>137100</v>
      </c>
      <c r="BK292" s="226">
        <f t="shared" si="1762"/>
        <v>24.749772520473172</v>
      </c>
      <c r="BL292" s="55">
        <f>BJ299</f>
        <v>160700</v>
      </c>
      <c r="BM292" s="226">
        <f t="shared" si="1762"/>
        <v>17.213712618526628</v>
      </c>
      <c r="BN292" s="731">
        <f>BL299</f>
        <v>159303.48106486184</v>
      </c>
      <c r="BO292" s="226">
        <f t="shared" si="1762"/>
        <v>-0.86902236162922009</v>
      </c>
      <c r="BP292" s="731">
        <f t="shared" ref="BP292" si="1763">BN299</f>
        <v>172881.19245893744</v>
      </c>
      <c r="BQ292" s="226">
        <f t="shared" si="1762"/>
        <v>8.5231730677293456</v>
      </c>
      <c r="BR292" s="731">
        <f t="shared" ref="BR292" si="1764">BP299</f>
        <v>185696.59061762341</v>
      </c>
      <c r="BS292" s="226">
        <f t="shared" si="1762"/>
        <v>7.4128353561246314</v>
      </c>
      <c r="BT292" s="731">
        <f t="shared" ref="BT292" si="1765">BR299</f>
        <v>197984.60951738738</v>
      </c>
      <c r="BU292" s="226">
        <f t="shared" ref="BU292:BU299" si="1766">IF(ISERROR(BT292/BR292),"NA",IF(OR(BT292/BR292&gt;2,BT292/BR292&lt;0.5),"NM",BT292/BR292*100-100))</f>
        <v>6.6172560621033654</v>
      </c>
      <c r="BV292" s="43">
        <f t="shared" ref="BV292:BV299" si="1767">IF(ISERROR(((BT292/BJ292)^0.2-1)*100),"NA",IF((((BT292/BJ292)^0.2-1)*100)&gt;100,"NM",IF((((BT292/BJ292)^0.2-1)*100)&lt;-50,"NM",((BT292/BJ292)^0.2-1)*100)))</f>
        <v>7.6263954230495035</v>
      </c>
      <c r="BW292" s="722"/>
      <c r="BX292" s="722"/>
      <c r="BY292"/>
      <c r="BZ292"/>
      <c r="CA292"/>
      <c r="CB292"/>
      <c r="CC292"/>
      <c r="CD292"/>
    </row>
    <row r="293" spans="1:82" s="2" customFormat="1" ht="12.75" customHeight="1" x14ac:dyDescent="0.2">
      <c r="A293" s="41"/>
      <c r="B293" s="123" t="s">
        <v>490</v>
      </c>
      <c r="C293" s="57"/>
      <c r="D293" s="9"/>
      <c r="E293" s="57"/>
      <c r="F293" s="9"/>
      <c r="G293" s="57"/>
      <c r="H293" s="9"/>
      <c r="I293" s="130"/>
      <c r="J293" s="9"/>
      <c r="K293" s="130"/>
      <c r="L293" s="9"/>
      <c r="M293" s="130"/>
      <c r="N293" s="9"/>
      <c r="O293" s="670">
        <v>11000</v>
      </c>
      <c r="P293" s="43" t="str">
        <f t="shared" si="1739"/>
        <v>NA</v>
      </c>
      <c r="Q293" s="670">
        <v>11200</v>
      </c>
      <c r="R293" s="43" t="str">
        <f t="shared" si="1740"/>
        <v>NA</v>
      </c>
      <c r="S293" s="670">
        <v>10800</v>
      </c>
      <c r="T293" s="43" t="str">
        <f t="shared" si="1742"/>
        <v>NA</v>
      </c>
      <c r="U293" s="670">
        <v>12200</v>
      </c>
      <c r="V293" s="43" t="str">
        <f t="shared" si="1744"/>
        <v>NA</v>
      </c>
      <c r="W293" s="670">
        <v>9700</v>
      </c>
      <c r="X293" s="43">
        <f t="shared" si="1745"/>
        <v>-11.818181818181813</v>
      </c>
      <c r="Y293" s="670">
        <v>9200</v>
      </c>
      <c r="Z293" s="126">
        <f t="shared" si="1746"/>
        <v>-17.857142857142861</v>
      </c>
      <c r="AA293" s="670">
        <v>8800</v>
      </c>
      <c r="AB293" s="126">
        <f t="shared" si="1746"/>
        <v>-18.518518518518519</v>
      </c>
      <c r="AC293" s="670">
        <v>9300</v>
      </c>
      <c r="AD293" s="126">
        <f t="shared" si="1746"/>
        <v>-23.770491803278688</v>
      </c>
      <c r="AE293" s="670">
        <v>9300</v>
      </c>
      <c r="AF293" s="126">
        <f t="shared" si="1746"/>
        <v>-4.1237113402061851</v>
      </c>
      <c r="AG293" s="670">
        <v>9900</v>
      </c>
      <c r="AH293" s="9">
        <f t="shared" si="1747"/>
        <v>7.6086956521739069</v>
      </c>
      <c r="AI293" s="670">
        <v>8500</v>
      </c>
      <c r="AJ293" s="9">
        <f t="shared" si="1748"/>
        <v>-3.4090909090909065</v>
      </c>
      <c r="AK293" s="670">
        <v>8900</v>
      </c>
      <c r="AL293" s="9">
        <f t="shared" si="1749"/>
        <v>-4.3010752688172005</v>
      </c>
      <c r="AM293" s="670">
        <v>11600</v>
      </c>
      <c r="AN293" s="9">
        <f t="shared" si="1750"/>
        <v>24.731182795698928</v>
      </c>
      <c r="AO293" s="670">
        <v>11300</v>
      </c>
      <c r="AP293" s="9">
        <f t="shared" si="1751"/>
        <v>14.141414141414145</v>
      </c>
      <c r="AQ293" s="126">
        <f t="shared" ref="AQ293:AW293" si="1768">AQ276+AQ258+AQ240+AQ222</f>
        <v>11095</v>
      </c>
      <c r="AR293" s="9">
        <f t="shared" si="1753"/>
        <v>30.529411764705884</v>
      </c>
      <c r="AS293" s="126">
        <f t="shared" si="1768"/>
        <v>10900.25</v>
      </c>
      <c r="AT293" s="9">
        <f t="shared" si="1755"/>
        <v>22.474719101123597</v>
      </c>
      <c r="AU293" s="126">
        <f t="shared" si="1768"/>
        <v>10715.237499999999</v>
      </c>
      <c r="AV293" s="9">
        <f t="shared" si="1757"/>
        <v>-7.6272629310344797</v>
      </c>
      <c r="AW293" s="126">
        <f t="shared" si="1768"/>
        <v>10539.475624999999</v>
      </c>
      <c r="AX293" s="9">
        <f t="shared" si="1759"/>
        <v>-6.7303042035398306</v>
      </c>
      <c r="AY293" s="287"/>
      <c r="AZ293" s="122"/>
      <c r="BA293" s="131"/>
      <c r="BB293" s="57"/>
      <c r="BC293" s="226" t="str">
        <f>IF(ISERROR(BB293/#REF!),"NA",IF(OR(BB293/#REF!&gt;2,BB293/#REF!&lt;0.5),"NM",BB293/#REF!*100-100))</f>
        <v>NA</v>
      </c>
      <c r="BD293" s="911"/>
      <c r="BE293" s="226" t="str">
        <f t="shared" si="1760"/>
        <v>NA</v>
      </c>
      <c r="BF293" s="55">
        <f t="shared" ref="BF293:BF298" si="1769">S293+U293+W293+Y293</f>
        <v>41900</v>
      </c>
      <c r="BG293" s="226" t="str">
        <f t="shared" si="1761"/>
        <v>NA</v>
      </c>
      <c r="BH293" s="55">
        <f t="shared" ref="BH293:BH298" si="1770">AA293+AC293+AE293+AG293</f>
        <v>37300</v>
      </c>
      <c r="BI293" s="226">
        <f t="shared" si="1762"/>
        <v>-10.978520286396176</v>
      </c>
      <c r="BJ293" s="55">
        <f t="shared" ref="BJ293:BJ298" si="1771">AI293+AK293+AM293+AO293</f>
        <v>40300</v>
      </c>
      <c r="BK293" s="226">
        <f t="shared" si="1762"/>
        <v>8.0428954423592529</v>
      </c>
      <c r="BL293" s="55">
        <f t="shared" ref="BL293:BL298" si="1772">AQ293+AS293+AU293+AW293</f>
        <v>43249.963124999995</v>
      </c>
      <c r="BM293" s="226">
        <f t="shared" si="1762"/>
        <v>7.3200077543424271</v>
      </c>
      <c r="BN293" s="731">
        <f>BN276+BN258+BN240+BN222</f>
        <v>44114.962387499996</v>
      </c>
      <c r="BO293" s="226">
        <f t="shared" si="1762"/>
        <v>2</v>
      </c>
      <c r="BP293" s="731">
        <f>BP276+BP258+BP240+BP222</f>
        <v>44997.261635250004</v>
      </c>
      <c r="BQ293" s="226">
        <f t="shared" si="1762"/>
        <v>2.0000000000000284</v>
      </c>
      <c r="BR293" s="731">
        <f>BR276+BR258+BR240+BR222</f>
        <v>45897.206867954999</v>
      </c>
      <c r="BS293" s="226">
        <f t="shared" si="1762"/>
        <v>1.9999999999999858</v>
      </c>
      <c r="BT293" s="731">
        <f>BT276+BT258+BT240+BT222</f>
        <v>46815.151005314103</v>
      </c>
      <c r="BU293" s="226">
        <f t="shared" si="1766"/>
        <v>2</v>
      </c>
      <c r="BV293" s="43">
        <f t="shared" si="1767"/>
        <v>3.0424737968834936</v>
      </c>
      <c r="BW293" s="722"/>
      <c r="BX293" s="722"/>
      <c r="BY293"/>
      <c r="BZ293"/>
      <c r="CA293"/>
      <c r="CB293"/>
      <c r="CC293"/>
      <c r="CD293"/>
    </row>
    <row r="294" spans="1:82" s="2" customFormat="1" ht="12.75" customHeight="1" x14ac:dyDescent="0.2">
      <c r="A294" s="41"/>
      <c r="B294" s="123" t="s">
        <v>491</v>
      </c>
      <c r="C294" s="57"/>
      <c r="D294" s="9"/>
      <c r="E294" s="57"/>
      <c r="F294" s="9"/>
      <c r="G294" s="57"/>
      <c r="H294" s="9"/>
      <c r="I294" s="130"/>
      <c r="J294" s="9"/>
      <c r="K294" s="130"/>
      <c r="L294" s="9"/>
      <c r="M294" s="130"/>
      <c r="N294" s="9"/>
      <c r="O294" s="670">
        <v>-8500</v>
      </c>
      <c r="P294" s="43" t="str">
        <f t="shared" si="1739"/>
        <v>NA</v>
      </c>
      <c r="Q294" s="670">
        <v>-6900</v>
      </c>
      <c r="R294" s="43" t="str">
        <f t="shared" si="1740"/>
        <v>NA</v>
      </c>
      <c r="S294" s="670">
        <v>-8500</v>
      </c>
      <c r="T294" s="43" t="str">
        <f t="shared" si="1742"/>
        <v>NA</v>
      </c>
      <c r="U294" s="670">
        <v>-8600</v>
      </c>
      <c r="V294" s="43" t="str">
        <f t="shared" si="1744"/>
        <v>NA</v>
      </c>
      <c r="W294" s="670">
        <v>-8100</v>
      </c>
      <c r="X294" s="43">
        <f t="shared" si="1745"/>
        <v>-4.7058823529411882</v>
      </c>
      <c r="Y294" s="670">
        <v>-7400</v>
      </c>
      <c r="Z294" s="43">
        <f t="shared" si="1746"/>
        <v>7.2463768115942173</v>
      </c>
      <c r="AA294" s="670">
        <v>-7900</v>
      </c>
      <c r="AB294" s="43">
        <f t="shared" si="1746"/>
        <v>-7.058823529411768</v>
      </c>
      <c r="AC294" s="670">
        <v>-6100</v>
      </c>
      <c r="AD294" s="43">
        <f t="shared" si="1746"/>
        <v>-29.069767441860463</v>
      </c>
      <c r="AE294" s="670">
        <v>-6800</v>
      </c>
      <c r="AF294" s="43">
        <f t="shared" si="1746"/>
        <v>-16.049382716049394</v>
      </c>
      <c r="AG294" s="670">
        <v>-7400</v>
      </c>
      <c r="AH294" s="9">
        <f t="shared" si="1747"/>
        <v>0</v>
      </c>
      <c r="AI294" s="670">
        <v>-7200</v>
      </c>
      <c r="AJ294" s="9">
        <f t="shared" si="1748"/>
        <v>-8.8607594936708836</v>
      </c>
      <c r="AK294" s="670">
        <v>-8500</v>
      </c>
      <c r="AL294" s="9">
        <f t="shared" si="1749"/>
        <v>39.344262295081961</v>
      </c>
      <c r="AM294" s="670">
        <v>-9500</v>
      </c>
      <c r="AN294" s="9">
        <f t="shared" si="1750"/>
        <v>39.70588235294116</v>
      </c>
      <c r="AO294" s="670">
        <v>-8800</v>
      </c>
      <c r="AP294" s="9">
        <f t="shared" si="1751"/>
        <v>18.918918918918919</v>
      </c>
      <c r="AQ294" s="126">
        <f t="shared" ref="AQ294:AW294" si="1773">AQ305-AQ293</f>
        <v>-8595</v>
      </c>
      <c r="AR294" s="9">
        <f t="shared" si="1753"/>
        <v>19.375000000000014</v>
      </c>
      <c r="AS294" s="126">
        <f t="shared" si="1773"/>
        <v>-8400.25</v>
      </c>
      <c r="AT294" s="9">
        <f t="shared" si="1755"/>
        <v>-1.1735294117647044</v>
      </c>
      <c r="AU294" s="126">
        <f t="shared" si="1773"/>
        <v>-8215.2374999999993</v>
      </c>
      <c r="AV294" s="9">
        <f t="shared" si="1757"/>
        <v>-13.523815789473687</v>
      </c>
      <c r="AW294" s="126">
        <f t="shared" si="1773"/>
        <v>-8039.4756249999991</v>
      </c>
      <c r="AX294" s="9">
        <f t="shared" si="1759"/>
        <v>-8.6423224431818255</v>
      </c>
      <c r="AY294" s="287"/>
      <c r="AZ294" s="122"/>
      <c r="BA294" s="131"/>
      <c r="BB294" s="57"/>
      <c r="BC294" s="226" t="str">
        <f>IF(ISERROR(BB294/#REF!),"NA",IF(OR(BB294/#REF!&gt;2,BB294/#REF!&lt;0.5),"NM",BB294/#REF!*100-100))</f>
        <v>NA</v>
      </c>
      <c r="BD294" s="911"/>
      <c r="BE294" s="226" t="str">
        <f t="shared" si="1760"/>
        <v>NA</v>
      </c>
      <c r="BF294" s="55">
        <f t="shared" si="1769"/>
        <v>-32600</v>
      </c>
      <c r="BG294" s="226" t="str">
        <f t="shared" si="1761"/>
        <v>NA</v>
      </c>
      <c r="BH294" s="55">
        <f t="shared" si="1770"/>
        <v>-28200</v>
      </c>
      <c r="BI294" s="226">
        <f t="shared" si="1762"/>
        <v>-13.49693251533742</v>
      </c>
      <c r="BJ294" s="55">
        <f t="shared" si="1771"/>
        <v>-34000</v>
      </c>
      <c r="BK294" s="226">
        <f t="shared" si="1762"/>
        <v>20.567375886524815</v>
      </c>
      <c r="BL294" s="55">
        <f t="shared" si="1772"/>
        <v>-33249.963124999995</v>
      </c>
      <c r="BM294" s="226">
        <f t="shared" si="1762"/>
        <v>-2.2059908088235431</v>
      </c>
      <c r="BN294" s="731">
        <f t="shared" ref="BN294:BP294" si="1774">BN305-BN293</f>
        <v>-35634.962387499996</v>
      </c>
      <c r="BO294" s="226">
        <f t="shared" si="1762"/>
        <v>7.1729380677320762</v>
      </c>
      <c r="BP294" s="731">
        <f t="shared" si="1774"/>
        <v>-37714.061635250007</v>
      </c>
      <c r="BQ294" s="226">
        <f t="shared" si="1762"/>
        <v>5.8344364872384915</v>
      </c>
      <c r="BR294" s="731">
        <f t="shared" ref="BR294:BT294" si="1775">BR305-BR293</f>
        <v>-39551.478867954997</v>
      </c>
      <c r="BS294" s="226">
        <f t="shared" si="1762"/>
        <v>4.871968578922889</v>
      </c>
      <c r="BT294" s="731">
        <f t="shared" si="1775"/>
        <v>-41198.633885314106</v>
      </c>
      <c r="BU294" s="226">
        <f t="shared" si="1766"/>
        <v>4.1645851545987398</v>
      </c>
      <c r="BV294" s="43">
        <f t="shared" si="1767"/>
        <v>3.915607211440264</v>
      </c>
      <c r="BW294" s="722"/>
      <c r="BX294" s="722"/>
      <c r="BY294"/>
      <c r="BZ294"/>
      <c r="CA294"/>
      <c r="CB294"/>
      <c r="CC294"/>
      <c r="CD294"/>
    </row>
    <row r="295" spans="1:82" s="2" customFormat="1" ht="12.75" customHeight="1" x14ac:dyDescent="0.2">
      <c r="A295" s="41"/>
      <c r="B295" s="123" t="s">
        <v>149</v>
      </c>
      <c r="C295" s="57"/>
      <c r="D295" s="9"/>
      <c r="E295" s="57"/>
      <c r="F295" s="9"/>
      <c r="G295" s="57"/>
      <c r="H295" s="9"/>
      <c r="I295" s="130"/>
      <c r="J295" s="9"/>
      <c r="K295" s="130"/>
      <c r="L295" s="9"/>
      <c r="M295" s="130"/>
      <c r="N295" s="9"/>
      <c r="O295" s="670">
        <v>3900</v>
      </c>
      <c r="P295" s="43" t="str">
        <f t="shared" si="1739"/>
        <v>NA</v>
      </c>
      <c r="Q295" s="670">
        <v>1000</v>
      </c>
      <c r="R295" s="43" t="str">
        <f t="shared" si="1740"/>
        <v>NA</v>
      </c>
      <c r="S295" s="670">
        <v>3100</v>
      </c>
      <c r="T295" s="43" t="str">
        <f t="shared" si="1742"/>
        <v>NA</v>
      </c>
      <c r="U295" s="670">
        <v>1800</v>
      </c>
      <c r="V295" s="43" t="str">
        <f t="shared" si="1744"/>
        <v>NA</v>
      </c>
      <c r="W295" s="670">
        <v>300</v>
      </c>
      <c r="X295" s="43" t="str">
        <f t="shared" si="1745"/>
        <v>NM</v>
      </c>
      <c r="Y295" s="670">
        <v>2500</v>
      </c>
      <c r="Z295" s="43" t="str">
        <f t="shared" si="1746"/>
        <v>NM</v>
      </c>
      <c r="AA295" s="670">
        <v>2200</v>
      </c>
      <c r="AB295" s="43">
        <f t="shared" si="1746"/>
        <v>-29.032258064516128</v>
      </c>
      <c r="AC295" s="670">
        <v>2100</v>
      </c>
      <c r="AD295" s="43">
        <f t="shared" si="1746"/>
        <v>16.666666666666671</v>
      </c>
      <c r="AE295" s="670">
        <v>4700</v>
      </c>
      <c r="AF295" s="43" t="str">
        <f t="shared" si="1746"/>
        <v>NM</v>
      </c>
      <c r="AG295" s="670">
        <v>900</v>
      </c>
      <c r="AH295" s="9" t="str">
        <f t="shared" si="1747"/>
        <v>NM</v>
      </c>
      <c r="AI295" s="670">
        <v>5800</v>
      </c>
      <c r="AJ295" s="9" t="str">
        <f t="shared" si="1748"/>
        <v>NM</v>
      </c>
      <c r="AK295" s="670">
        <v>2400</v>
      </c>
      <c r="AL295" s="9">
        <f t="shared" si="1749"/>
        <v>14.285714285714278</v>
      </c>
      <c r="AM295" s="670">
        <v>3600</v>
      </c>
      <c r="AN295" s="9">
        <f t="shared" si="1750"/>
        <v>-23.40425531914893</v>
      </c>
      <c r="AO295" s="670">
        <v>1500</v>
      </c>
      <c r="AP295" s="9">
        <f t="shared" si="1751"/>
        <v>66.666666666666686</v>
      </c>
      <c r="AQ295" s="126">
        <f t="shared" ref="AQ295:AW298" si="1776">AQ278+AQ260+AQ242+AQ224</f>
        <v>-663.08783537217494</v>
      </c>
      <c r="AR295" s="9" t="str">
        <f t="shared" si="1753"/>
        <v>NM</v>
      </c>
      <c r="AS295" s="126">
        <f t="shared" si="1776"/>
        <v>1090.4701796008605</v>
      </c>
      <c r="AT295" s="9" t="str">
        <f t="shared" si="1755"/>
        <v>NM</v>
      </c>
      <c r="AU295" s="126">
        <f t="shared" si="1776"/>
        <v>1088.8633936202946</v>
      </c>
      <c r="AV295" s="9" t="str">
        <f t="shared" si="1757"/>
        <v>NM</v>
      </c>
      <c r="AW295" s="126">
        <f t="shared" si="1776"/>
        <v>1087.2353270128597</v>
      </c>
      <c r="AX295" s="9">
        <f t="shared" si="1759"/>
        <v>-27.517644865809359</v>
      </c>
      <c r="AY295" s="287"/>
      <c r="AZ295" s="122"/>
      <c r="BA295" s="131"/>
      <c r="BB295" s="57"/>
      <c r="BC295" s="226" t="str">
        <f>IF(ISERROR(BB295/#REF!),"NA",IF(OR(BB295/#REF!&gt;2,BB295/#REF!&lt;0.5),"NM",BB295/#REF!*100-100))</f>
        <v>NA</v>
      </c>
      <c r="BD295" s="911"/>
      <c r="BE295" s="226" t="str">
        <f t="shared" si="1760"/>
        <v>NA</v>
      </c>
      <c r="BF295" s="55">
        <f t="shared" si="1769"/>
        <v>7700</v>
      </c>
      <c r="BG295" s="226" t="str">
        <f t="shared" si="1761"/>
        <v>NA</v>
      </c>
      <c r="BH295" s="55">
        <f t="shared" si="1770"/>
        <v>9900</v>
      </c>
      <c r="BI295" s="226">
        <f t="shared" si="1762"/>
        <v>28.571428571428584</v>
      </c>
      <c r="BJ295" s="55">
        <f t="shared" si="1771"/>
        <v>13300</v>
      </c>
      <c r="BK295" s="226">
        <f t="shared" si="1762"/>
        <v>34.343434343434353</v>
      </c>
      <c r="BL295" s="55">
        <f t="shared" si="1772"/>
        <v>2603.48106486184</v>
      </c>
      <c r="BM295" s="226" t="str">
        <f t="shared" si="1762"/>
        <v>NM</v>
      </c>
      <c r="BN295" s="731">
        <f>BN278+BN260+BN242+BN224</f>
        <v>5097.7113940755789</v>
      </c>
      <c r="BO295" s="226">
        <f t="shared" si="1762"/>
        <v>95.803666977931385</v>
      </c>
      <c r="BP295" s="731">
        <f>BP278+BP260+BP242+BP224</f>
        <v>5532.1981586859974</v>
      </c>
      <c r="BQ295" s="226">
        <f t="shared" si="1762"/>
        <v>8.5231730677293172</v>
      </c>
      <c r="BR295" s="731">
        <f>BR278+BR260+BR242+BR224</f>
        <v>5942.2908997639497</v>
      </c>
      <c r="BS295" s="226">
        <f t="shared" si="1762"/>
        <v>7.4128353561246456</v>
      </c>
      <c r="BT295" s="731">
        <f>BT278+BT260+BT242+BT224</f>
        <v>6335.5075045563954</v>
      </c>
      <c r="BU295" s="226">
        <f t="shared" si="1766"/>
        <v>6.6172560621033512</v>
      </c>
      <c r="BV295" s="43">
        <f t="shared" si="1767"/>
        <v>-13.784380383791717</v>
      </c>
      <c r="BW295" s="722"/>
      <c r="BX295" s="722"/>
      <c r="BY295"/>
      <c r="BZ295"/>
      <c r="CA295"/>
      <c r="CB295"/>
      <c r="CC295"/>
      <c r="CD295"/>
    </row>
    <row r="296" spans="1:82" s="2" customFormat="1" ht="12.75" customHeight="1" x14ac:dyDescent="0.2">
      <c r="A296" s="41"/>
      <c r="B296" s="123" t="s">
        <v>150</v>
      </c>
      <c r="C296" s="57"/>
      <c r="D296" s="9"/>
      <c r="E296" s="57"/>
      <c r="F296" s="9"/>
      <c r="G296" s="57"/>
      <c r="H296" s="9"/>
      <c r="I296" s="130"/>
      <c r="J296" s="9"/>
      <c r="K296" s="130"/>
      <c r="L296" s="9"/>
      <c r="M296" s="130"/>
      <c r="N296" s="9"/>
      <c r="O296" s="670">
        <v>0</v>
      </c>
      <c r="P296" s="43" t="str">
        <f t="shared" si="1739"/>
        <v>NA</v>
      </c>
      <c r="Q296" s="670">
        <v>0</v>
      </c>
      <c r="R296" s="43" t="str">
        <f t="shared" si="1740"/>
        <v>NA</v>
      </c>
      <c r="S296" s="670">
        <v>900</v>
      </c>
      <c r="T296" s="43" t="str">
        <f t="shared" si="1742"/>
        <v>NA</v>
      </c>
      <c r="U296" s="670">
        <v>0</v>
      </c>
      <c r="V296" s="43" t="str">
        <f t="shared" si="1744"/>
        <v>NA</v>
      </c>
      <c r="W296" s="670">
        <v>3100</v>
      </c>
      <c r="X296" s="43" t="str">
        <f t="shared" si="1745"/>
        <v>NA</v>
      </c>
      <c r="Y296" s="670">
        <v>0</v>
      </c>
      <c r="Z296" s="43" t="str">
        <f t="shared" si="1746"/>
        <v>NA</v>
      </c>
      <c r="AA296" s="670">
        <v>0</v>
      </c>
      <c r="AB296" s="43" t="str">
        <f t="shared" si="1746"/>
        <v>NM</v>
      </c>
      <c r="AC296" s="670">
        <v>0</v>
      </c>
      <c r="AD296" s="43" t="str">
        <f t="shared" si="1746"/>
        <v>NA</v>
      </c>
      <c r="AE296" s="670">
        <v>0</v>
      </c>
      <c r="AF296" s="43" t="str">
        <f t="shared" si="1746"/>
        <v>NM</v>
      </c>
      <c r="AG296" s="670">
        <v>0</v>
      </c>
      <c r="AH296" s="9" t="str">
        <f t="shared" si="1747"/>
        <v>NA</v>
      </c>
      <c r="AI296" s="670">
        <v>0</v>
      </c>
      <c r="AJ296" s="9" t="str">
        <f t="shared" si="1748"/>
        <v>NA</v>
      </c>
      <c r="AK296" s="670">
        <v>0</v>
      </c>
      <c r="AL296" s="9" t="str">
        <f t="shared" si="1749"/>
        <v>NA</v>
      </c>
      <c r="AM296" s="670">
        <v>0</v>
      </c>
      <c r="AN296" s="9" t="str">
        <f t="shared" si="1750"/>
        <v>NA</v>
      </c>
      <c r="AO296" s="670">
        <v>0</v>
      </c>
      <c r="AP296" s="9" t="str">
        <f t="shared" si="1751"/>
        <v>NA</v>
      </c>
      <c r="AQ296" s="126">
        <f t="shared" si="1776"/>
        <v>0</v>
      </c>
      <c r="AR296" s="9" t="str">
        <f t="shared" si="1753"/>
        <v>NA</v>
      </c>
      <c r="AS296" s="126">
        <f t="shared" si="1776"/>
        <v>0</v>
      </c>
      <c r="AT296" s="9" t="str">
        <f t="shared" si="1755"/>
        <v>NA</v>
      </c>
      <c r="AU296" s="126">
        <f t="shared" si="1776"/>
        <v>0</v>
      </c>
      <c r="AV296" s="9" t="str">
        <f t="shared" si="1757"/>
        <v>NA</v>
      </c>
      <c r="AW296" s="126">
        <f t="shared" si="1776"/>
        <v>0</v>
      </c>
      <c r="AX296" s="9" t="str">
        <f t="shared" si="1759"/>
        <v>NA</v>
      </c>
      <c r="AY296" s="287"/>
      <c r="AZ296" s="122"/>
      <c r="BA296" s="131"/>
      <c r="BB296" s="57"/>
      <c r="BC296" s="226" t="str">
        <f>IF(ISERROR(BB296/#REF!),"NA",IF(OR(BB296/#REF!&gt;2,BB296/#REF!&lt;0.5),"NM",BB296/#REF!*100-100))</f>
        <v>NA</v>
      </c>
      <c r="BD296" s="911"/>
      <c r="BE296" s="226" t="str">
        <f t="shared" si="1760"/>
        <v>NA</v>
      </c>
      <c r="BF296" s="55">
        <f t="shared" si="1769"/>
        <v>4000</v>
      </c>
      <c r="BG296" s="226" t="str">
        <f t="shared" si="1761"/>
        <v>NA</v>
      </c>
      <c r="BH296" s="55">
        <f t="shared" si="1770"/>
        <v>0</v>
      </c>
      <c r="BI296" s="226" t="str">
        <f t="shared" si="1762"/>
        <v>NM</v>
      </c>
      <c r="BJ296" s="55">
        <f t="shared" si="1771"/>
        <v>0</v>
      </c>
      <c r="BK296" s="226" t="str">
        <f t="shared" si="1762"/>
        <v>NA</v>
      </c>
      <c r="BL296" s="55">
        <f t="shared" si="1772"/>
        <v>0</v>
      </c>
      <c r="BM296" s="226" t="str">
        <f t="shared" si="1762"/>
        <v>NA</v>
      </c>
      <c r="BN296" s="731">
        <f>BN279+BN261+BN243+BN225</f>
        <v>0</v>
      </c>
      <c r="BO296" s="226" t="str">
        <f t="shared" si="1762"/>
        <v>NA</v>
      </c>
      <c r="BP296" s="731">
        <f>BP279+BP261+BP243+BP225</f>
        <v>0</v>
      </c>
      <c r="BQ296" s="226" t="str">
        <f t="shared" si="1762"/>
        <v>NA</v>
      </c>
      <c r="BR296" s="731">
        <f>BR279+BR261+BR243+BR225</f>
        <v>0</v>
      </c>
      <c r="BS296" s="226" t="str">
        <f t="shared" si="1762"/>
        <v>NA</v>
      </c>
      <c r="BT296" s="731">
        <f>BT279+BT261+BT243+BT225</f>
        <v>0</v>
      </c>
      <c r="BU296" s="226" t="str">
        <f t="shared" si="1766"/>
        <v>NA</v>
      </c>
      <c r="BV296" s="43" t="str">
        <f t="shared" si="1767"/>
        <v>NA</v>
      </c>
      <c r="BW296" s="722"/>
      <c r="BX296" s="722"/>
      <c r="BY296"/>
      <c r="BZ296"/>
      <c r="CA296"/>
      <c r="CB296"/>
      <c r="CC296"/>
      <c r="CD296"/>
    </row>
    <row r="297" spans="1:82" s="2" customFormat="1" ht="12.75" customHeight="1" x14ac:dyDescent="0.2">
      <c r="A297" s="41"/>
      <c r="B297" s="123" t="s">
        <v>151</v>
      </c>
      <c r="C297" s="57"/>
      <c r="D297" s="9"/>
      <c r="E297" s="57"/>
      <c r="F297" s="9"/>
      <c r="G297" s="57"/>
      <c r="H297" s="9"/>
      <c r="I297" s="130"/>
      <c r="J297" s="9"/>
      <c r="K297" s="130"/>
      <c r="L297" s="9"/>
      <c r="M297" s="130"/>
      <c r="N297" s="9"/>
      <c r="O297" s="670">
        <v>-500</v>
      </c>
      <c r="P297" s="43" t="str">
        <f t="shared" si="1739"/>
        <v>NA</v>
      </c>
      <c r="Q297" s="670">
        <v>-200</v>
      </c>
      <c r="R297" s="43" t="str">
        <f t="shared" si="1740"/>
        <v>NA</v>
      </c>
      <c r="S297" s="670">
        <v>-200</v>
      </c>
      <c r="T297" s="43" t="str">
        <f t="shared" si="1742"/>
        <v>NA</v>
      </c>
      <c r="U297" s="670">
        <v>2000</v>
      </c>
      <c r="V297" s="43" t="str">
        <f t="shared" si="1744"/>
        <v>NA</v>
      </c>
      <c r="W297" s="670">
        <v>0</v>
      </c>
      <c r="X297" s="43" t="str">
        <f t="shared" si="1745"/>
        <v>NM</v>
      </c>
      <c r="Y297" s="670">
        <v>-200</v>
      </c>
      <c r="Z297" s="43">
        <f t="shared" si="1746"/>
        <v>0</v>
      </c>
      <c r="AA297" s="670">
        <v>-200</v>
      </c>
      <c r="AB297" s="43">
        <f t="shared" si="1746"/>
        <v>0</v>
      </c>
      <c r="AC297" s="670">
        <v>0</v>
      </c>
      <c r="AD297" s="43" t="str">
        <f t="shared" si="1746"/>
        <v>NM</v>
      </c>
      <c r="AE297" s="670">
        <v>-500</v>
      </c>
      <c r="AF297" s="43" t="str">
        <f t="shared" si="1746"/>
        <v>NA</v>
      </c>
      <c r="AG297" s="670">
        <v>-200</v>
      </c>
      <c r="AH297" s="9">
        <f t="shared" si="1747"/>
        <v>0</v>
      </c>
      <c r="AI297" s="670">
        <v>-100</v>
      </c>
      <c r="AJ297" s="9">
        <f t="shared" si="1748"/>
        <v>-50</v>
      </c>
      <c r="AK297" s="670">
        <v>-100</v>
      </c>
      <c r="AL297" s="9" t="str">
        <f t="shared" si="1749"/>
        <v>NA</v>
      </c>
      <c r="AM297" s="670">
        <v>100</v>
      </c>
      <c r="AN297" s="9" t="str">
        <f t="shared" si="1750"/>
        <v>NM</v>
      </c>
      <c r="AO297" s="670">
        <v>-200</v>
      </c>
      <c r="AP297" s="9">
        <f t="shared" si="1751"/>
        <v>0</v>
      </c>
      <c r="AQ297" s="126">
        <f t="shared" si="1776"/>
        <v>0</v>
      </c>
      <c r="AR297" s="9" t="str">
        <f t="shared" si="1753"/>
        <v>NM</v>
      </c>
      <c r="AS297" s="126">
        <f t="shared" si="1776"/>
        <v>0</v>
      </c>
      <c r="AT297" s="9" t="str">
        <f t="shared" si="1755"/>
        <v>NM</v>
      </c>
      <c r="AU297" s="126">
        <f t="shared" si="1776"/>
        <v>0</v>
      </c>
      <c r="AV297" s="9" t="str">
        <f t="shared" si="1757"/>
        <v>NM</v>
      </c>
      <c r="AW297" s="126">
        <f t="shared" si="1776"/>
        <v>0</v>
      </c>
      <c r="AX297" s="9" t="str">
        <f t="shared" si="1759"/>
        <v>NM</v>
      </c>
      <c r="AY297" s="287"/>
      <c r="AZ297" s="122"/>
      <c r="BA297" s="131"/>
      <c r="BB297" s="57"/>
      <c r="BC297" s="226" t="str">
        <f>IF(ISERROR(BB297/#REF!),"NA",IF(OR(BB297/#REF!&gt;2,BB297/#REF!&lt;0.5),"NM",BB297/#REF!*100-100))</f>
        <v>NA</v>
      </c>
      <c r="BD297" s="911"/>
      <c r="BE297" s="226" t="str">
        <f t="shared" si="1760"/>
        <v>NA</v>
      </c>
      <c r="BF297" s="55">
        <f t="shared" si="1769"/>
        <v>1600</v>
      </c>
      <c r="BG297" s="226" t="str">
        <f t="shared" si="1761"/>
        <v>NA</v>
      </c>
      <c r="BH297" s="55">
        <f t="shared" si="1770"/>
        <v>-900</v>
      </c>
      <c r="BI297" s="226" t="str">
        <f t="shared" si="1762"/>
        <v>NM</v>
      </c>
      <c r="BJ297" s="55">
        <f t="shared" si="1771"/>
        <v>-300</v>
      </c>
      <c r="BK297" s="226" t="str">
        <f t="shared" si="1762"/>
        <v>NM</v>
      </c>
      <c r="BL297" s="55">
        <f t="shared" si="1772"/>
        <v>0</v>
      </c>
      <c r="BM297" s="226" t="str">
        <f t="shared" si="1762"/>
        <v>NM</v>
      </c>
      <c r="BN297" s="731">
        <f>BN280+BN262+BN244+BN226</f>
        <v>0</v>
      </c>
      <c r="BO297" s="226" t="str">
        <f t="shared" si="1762"/>
        <v>NA</v>
      </c>
      <c r="BP297" s="731">
        <f>BP280+BP262+BP244+BP226</f>
        <v>0</v>
      </c>
      <c r="BQ297" s="226" t="str">
        <f t="shared" si="1762"/>
        <v>NA</v>
      </c>
      <c r="BR297" s="731">
        <f>BR280+BR262+BR244+BR226</f>
        <v>0</v>
      </c>
      <c r="BS297" s="226" t="str">
        <f t="shared" si="1762"/>
        <v>NA</v>
      </c>
      <c r="BT297" s="731">
        <f>BT280+BT262+BT244+BT226</f>
        <v>0</v>
      </c>
      <c r="BU297" s="226" t="str">
        <f t="shared" si="1766"/>
        <v>NA</v>
      </c>
      <c r="BV297" s="43" t="str">
        <f t="shared" si="1767"/>
        <v>NM</v>
      </c>
      <c r="BW297" s="722"/>
      <c r="BX297" s="722"/>
      <c r="BY297"/>
      <c r="BZ297"/>
      <c r="CA297"/>
      <c r="CB297"/>
      <c r="CC297"/>
      <c r="CD297"/>
    </row>
    <row r="298" spans="1:82" s="2" customFormat="1" ht="12.75" customHeight="1" x14ac:dyDescent="0.2">
      <c r="A298" s="41"/>
      <c r="B298" s="123" t="s">
        <v>222</v>
      </c>
      <c r="C298" s="57"/>
      <c r="D298" s="9"/>
      <c r="E298" s="57"/>
      <c r="F298" s="9"/>
      <c r="G298" s="57"/>
      <c r="H298" s="9"/>
      <c r="I298" s="130"/>
      <c r="J298" s="9"/>
      <c r="K298" s="130"/>
      <c r="L298" s="9"/>
      <c r="M298" s="130"/>
      <c r="N298" s="9"/>
      <c r="O298" s="670">
        <v>-8600</v>
      </c>
      <c r="P298" s="43" t="str">
        <f t="shared" si="1739"/>
        <v>NA</v>
      </c>
      <c r="Q298" s="670">
        <v>-6600</v>
      </c>
      <c r="R298" s="43" t="str">
        <f t="shared" si="1740"/>
        <v>NA</v>
      </c>
      <c r="S298" s="670">
        <v>-9800</v>
      </c>
      <c r="T298" s="43" t="str">
        <f t="shared" si="1742"/>
        <v>NA</v>
      </c>
      <c r="U298" s="670">
        <v>-800</v>
      </c>
      <c r="V298" s="43" t="str">
        <f t="shared" si="1744"/>
        <v>NA</v>
      </c>
      <c r="W298" s="670">
        <v>-16300</v>
      </c>
      <c r="X298" s="43">
        <f t="shared" si="1745"/>
        <v>89.534883720930225</v>
      </c>
      <c r="Y298" s="670">
        <v>-400</v>
      </c>
      <c r="Z298" s="43" t="str">
        <f t="shared" si="1746"/>
        <v>NM</v>
      </c>
      <c r="AA298" s="670">
        <v>8200</v>
      </c>
      <c r="AB298" s="43" t="str">
        <f t="shared" si="1746"/>
        <v>NM</v>
      </c>
      <c r="AC298" s="670">
        <v>4600</v>
      </c>
      <c r="AD298" s="43" t="str">
        <f t="shared" si="1746"/>
        <v>NM</v>
      </c>
      <c r="AE298" s="670">
        <v>-1300</v>
      </c>
      <c r="AF298" s="43" t="str">
        <f t="shared" si="1746"/>
        <v>NM</v>
      </c>
      <c r="AG298" s="670">
        <v>-2400</v>
      </c>
      <c r="AH298" s="9" t="str">
        <f t="shared" si="1747"/>
        <v>NM</v>
      </c>
      <c r="AI298" s="670">
        <v>3200</v>
      </c>
      <c r="AJ298" s="9" t="str">
        <f t="shared" si="1748"/>
        <v>NM</v>
      </c>
      <c r="AK298" s="670">
        <v>-2300</v>
      </c>
      <c r="AL298" s="9" t="str">
        <f t="shared" si="1749"/>
        <v>NM</v>
      </c>
      <c r="AM298" s="670">
        <v>5100</v>
      </c>
      <c r="AN298" s="9" t="str">
        <f t="shared" si="1750"/>
        <v>NM</v>
      </c>
      <c r="AO298" s="670">
        <v>-1700</v>
      </c>
      <c r="AP298" s="9">
        <f t="shared" si="1751"/>
        <v>-29.166666666666657</v>
      </c>
      <c r="AQ298" s="126">
        <f t="shared" si="1776"/>
        <v>-3500</v>
      </c>
      <c r="AR298" s="9" t="str">
        <f t="shared" si="1753"/>
        <v>NM</v>
      </c>
      <c r="AS298" s="126">
        <f t="shared" si="1776"/>
        <v>-3500</v>
      </c>
      <c r="AT298" s="9">
        <f t="shared" si="1755"/>
        <v>52.173913043478279</v>
      </c>
      <c r="AU298" s="126">
        <f t="shared" si="1776"/>
        <v>-3500</v>
      </c>
      <c r="AV298" s="9" t="str">
        <f t="shared" si="1757"/>
        <v>NM</v>
      </c>
      <c r="AW298" s="126">
        <f t="shared" si="1776"/>
        <v>-3500</v>
      </c>
      <c r="AX298" s="9" t="str">
        <f t="shared" si="1759"/>
        <v>NM</v>
      </c>
      <c r="AY298" s="287"/>
      <c r="AZ298" s="122"/>
      <c r="BA298" s="131"/>
      <c r="BB298" s="57"/>
      <c r="BC298" s="226" t="str">
        <f>IF(ISERROR(BB298/#REF!),"NA",IF(OR(BB298/#REF!&gt;2,BB298/#REF!&lt;0.5),"NM",BB298/#REF!*100-100))</f>
        <v>NA</v>
      </c>
      <c r="BD298" s="911"/>
      <c r="BE298" s="226" t="str">
        <f t="shared" si="1760"/>
        <v>NA</v>
      </c>
      <c r="BF298" s="55">
        <f t="shared" si="1769"/>
        <v>-27300</v>
      </c>
      <c r="BG298" s="226" t="str">
        <f t="shared" si="1761"/>
        <v>NA</v>
      </c>
      <c r="BH298" s="55">
        <f t="shared" si="1770"/>
        <v>9100</v>
      </c>
      <c r="BI298" s="226" t="str">
        <f t="shared" si="1762"/>
        <v>NM</v>
      </c>
      <c r="BJ298" s="55">
        <f t="shared" si="1771"/>
        <v>4300</v>
      </c>
      <c r="BK298" s="226" t="str">
        <f t="shared" si="1762"/>
        <v>NM</v>
      </c>
      <c r="BL298" s="55">
        <f t="shared" si="1772"/>
        <v>-14000</v>
      </c>
      <c r="BM298" s="226" t="str">
        <f t="shared" si="1762"/>
        <v>NM</v>
      </c>
      <c r="BN298" s="731">
        <f>BN281+BN263+BN245+BN227</f>
        <v>0</v>
      </c>
      <c r="BO298" s="226" t="str">
        <f t="shared" si="1762"/>
        <v>NM</v>
      </c>
      <c r="BP298" s="731">
        <f>BP281+BP263+BP245+BP227</f>
        <v>0</v>
      </c>
      <c r="BQ298" s="226" t="str">
        <f t="shared" si="1762"/>
        <v>NA</v>
      </c>
      <c r="BR298" s="731">
        <f>BR281+BR263+BR245+BR227</f>
        <v>0</v>
      </c>
      <c r="BS298" s="226" t="str">
        <f t="shared" si="1762"/>
        <v>NA</v>
      </c>
      <c r="BT298" s="731">
        <f>BT281+BT263+BT245+BT227</f>
        <v>0</v>
      </c>
      <c r="BU298" s="226" t="str">
        <f t="shared" si="1766"/>
        <v>NA</v>
      </c>
      <c r="BV298" s="43" t="str">
        <f t="shared" si="1767"/>
        <v>NM</v>
      </c>
      <c r="BW298" s="722"/>
      <c r="BX298" s="722"/>
      <c r="BY298"/>
      <c r="BZ298"/>
      <c r="CA298"/>
      <c r="CB298"/>
      <c r="CC298"/>
      <c r="CD298"/>
    </row>
    <row r="299" spans="1:82" s="2" customFormat="1" ht="12.75" customHeight="1" x14ac:dyDescent="0.2">
      <c r="A299" s="41"/>
      <c r="B299" s="123" t="s">
        <v>389</v>
      </c>
      <c r="C299" s="57"/>
      <c r="D299" s="9"/>
      <c r="E299" s="57"/>
      <c r="F299" s="9"/>
      <c r="G299" s="57"/>
      <c r="H299" s="9"/>
      <c r="I299" s="130"/>
      <c r="J299" s="9"/>
      <c r="K299" s="130"/>
      <c r="L299" s="9"/>
      <c r="M299" s="130"/>
      <c r="N299" s="9"/>
      <c r="O299" s="126">
        <f>SUM(O292:O298)</f>
        <v>116100</v>
      </c>
      <c r="P299" s="43" t="str">
        <f t="shared" si="1739"/>
        <v>NA</v>
      </c>
      <c r="Q299" s="126">
        <f>SUM(Q292:Q298)</f>
        <v>114600</v>
      </c>
      <c r="R299" s="43" t="str">
        <f t="shared" si="1740"/>
        <v>NA</v>
      </c>
      <c r="S299" s="126">
        <f t="shared" ref="S299" si="1777">SUM(S292:S298)</f>
        <v>110900</v>
      </c>
      <c r="T299" s="43" t="str">
        <f t="shared" si="1742"/>
        <v>NA</v>
      </c>
      <c r="U299" s="126">
        <f t="shared" ref="U299" si="1778">SUM(U292:U298)</f>
        <v>117500</v>
      </c>
      <c r="V299" s="43" t="str">
        <f t="shared" si="1744"/>
        <v>NA</v>
      </c>
      <c r="W299" s="126">
        <f>SUM(W292:W298)</f>
        <v>106200</v>
      </c>
      <c r="X299" s="43">
        <f t="shared" si="1745"/>
        <v>-8.5271317829457445</v>
      </c>
      <c r="Y299" s="126">
        <f>SUM(Y292:Y298)</f>
        <v>109900</v>
      </c>
      <c r="Z299" s="43">
        <f t="shared" si="1746"/>
        <v>-4.1012216404886601</v>
      </c>
      <c r="AA299" s="126">
        <f>SUM(AA292:AA298)</f>
        <v>121000</v>
      </c>
      <c r="AB299" s="43">
        <f t="shared" si="1746"/>
        <v>9.1073038773670021</v>
      </c>
      <c r="AC299" s="126">
        <f>SUM(AC292:AC298)</f>
        <v>130900</v>
      </c>
      <c r="AD299" s="43">
        <f t="shared" si="1746"/>
        <v>11.40425531914893</v>
      </c>
      <c r="AE299" s="126">
        <f>SUM(AE292:AE298)</f>
        <v>136300</v>
      </c>
      <c r="AF299" s="43">
        <f t="shared" si="1746"/>
        <v>28.342749529190201</v>
      </c>
      <c r="AG299" s="126">
        <f>SUM(AG292:AG298)</f>
        <v>137100</v>
      </c>
      <c r="AH299" s="9">
        <f t="shared" si="1747"/>
        <v>24.749772520473172</v>
      </c>
      <c r="AI299" s="126">
        <f>SUM(AI292:AI298)</f>
        <v>147300</v>
      </c>
      <c r="AJ299" s="9">
        <f t="shared" si="1748"/>
        <v>21.735537190082653</v>
      </c>
      <c r="AK299" s="126">
        <f>SUM(AK292:AK298)</f>
        <v>147700</v>
      </c>
      <c r="AL299" s="9">
        <f t="shared" si="1749"/>
        <v>12.83422459893049</v>
      </c>
      <c r="AM299" s="126">
        <f>SUM(AM292:AM298)</f>
        <v>158600</v>
      </c>
      <c r="AN299" s="9">
        <f t="shared" si="1750"/>
        <v>16.360968451944231</v>
      </c>
      <c r="AO299" s="126">
        <f>SUM(AO292:AO298)</f>
        <v>160700</v>
      </c>
      <c r="AP299" s="9">
        <f t="shared" si="1751"/>
        <v>17.213712618526628</v>
      </c>
      <c r="AQ299" s="126">
        <f t="shared" ref="AQ299" si="1779">SUM(AQ292:AQ298)</f>
        <v>159036.91216462784</v>
      </c>
      <c r="AR299" s="9">
        <f t="shared" si="1753"/>
        <v>7.9680326983216929</v>
      </c>
      <c r="AS299" s="126">
        <f t="shared" ref="AS299" si="1780">SUM(AS292:AS298)</f>
        <v>159127.38234422871</v>
      </c>
      <c r="AT299" s="9">
        <f t="shared" si="1755"/>
        <v>7.7368871660316216</v>
      </c>
      <c r="AU299" s="126">
        <f t="shared" ref="AU299" si="1781">SUM(AU292:AU298)</f>
        <v>159216.24573784901</v>
      </c>
      <c r="AV299" s="9">
        <f t="shared" si="1757"/>
        <v>0.38855342865637965</v>
      </c>
      <c r="AW299" s="126">
        <f t="shared" ref="AW299" si="1782">SUM(AW292:AW298)</f>
        <v>159303.48106486187</v>
      </c>
      <c r="AX299" s="9">
        <f t="shared" si="1759"/>
        <v>-0.86902236162920588</v>
      </c>
      <c r="AY299" s="287"/>
      <c r="AZ299" s="122"/>
      <c r="BA299" s="131"/>
      <c r="BB299" s="57"/>
      <c r="BC299" s="226" t="str">
        <f>IF(ISERROR(BB299/#REF!),"NA",IF(OR(BB299/#REF!&gt;2,BB299/#REF!&lt;0.5),"NM",BB299/#REF!*100-100))</f>
        <v>NA</v>
      </c>
      <c r="BD299" s="908">
        <f>Q299</f>
        <v>114600</v>
      </c>
      <c r="BE299" s="226" t="str">
        <f t="shared" si="1760"/>
        <v>NA</v>
      </c>
      <c r="BF299" s="55">
        <f>SUM(BF292:BF298)</f>
        <v>109900</v>
      </c>
      <c r="BG299" s="226">
        <f t="shared" si="1761"/>
        <v>-4.1012216404886601</v>
      </c>
      <c r="BH299" s="55">
        <f>SUM(BH292:BH298)</f>
        <v>137100</v>
      </c>
      <c r="BI299" s="226">
        <f t="shared" si="1762"/>
        <v>24.749772520473172</v>
      </c>
      <c r="BJ299" s="55">
        <f>SUM(BJ292:BJ298)</f>
        <v>160700</v>
      </c>
      <c r="BK299" s="226">
        <f t="shared" si="1762"/>
        <v>17.213712618526628</v>
      </c>
      <c r="BL299" s="55">
        <f>SUM(BL292:BL298)</f>
        <v>159303.48106486184</v>
      </c>
      <c r="BM299" s="226">
        <f t="shared" si="1762"/>
        <v>-0.86902236162922009</v>
      </c>
      <c r="BN299" s="731">
        <f t="shared" ref="BN299" si="1783">SUM(BN292:BN298)</f>
        <v>172881.19245893744</v>
      </c>
      <c r="BO299" s="226">
        <f t="shared" si="1762"/>
        <v>8.5231730677293456</v>
      </c>
      <c r="BP299" s="731">
        <f t="shared" ref="BP299:BR299" si="1784">SUM(BP292:BP298)</f>
        <v>185696.59061762341</v>
      </c>
      <c r="BQ299" s="226">
        <f t="shared" si="1762"/>
        <v>7.4128353561246314</v>
      </c>
      <c r="BR299" s="731">
        <f t="shared" si="1784"/>
        <v>197984.60951738738</v>
      </c>
      <c r="BS299" s="226">
        <f t="shared" si="1762"/>
        <v>6.6172560621033654</v>
      </c>
      <c r="BT299" s="731">
        <f t="shared" ref="BT299" si="1785">SUM(BT292:BT298)</f>
        <v>209936.63414194377</v>
      </c>
      <c r="BU299" s="226">
        <f t="shared" si="1766"/>
        <v>6.036845315244932</v>
      </c>
      <c r="BV299" s="43">
        <f t="shared" si="1767"/>
        <v>5.4907720151723183</v>
      </c>
      <c r="BW299" s="722"/>
      <c r="BX299" s="722"/>
      <c r="BY299"/>
      <c r="BZ299"/>
      <c r="CA299"/>
      <c r="CB299"/>
      <c r="CC299"/>
      <c r="CD299"/>
    </row>
    <row r="300" spans="1:82" s="616" customFormat="1" ht="12.75" hidden="1" customHeight="1" outlineLevel="1" x14ac:dyDescent="0.2">
      <c r="B300" s="819" t="s">
        <v>648</v>
      </c>
      <c r="C300" s="15"/>
      <c r="D300" s="623"/>
      <c r="E300" s="15"/>
      <c r="F300" s="623"/>
      <c r="G300" s="15"/>
      <c r="H300" s="623"/>
      <c r="I300" s="15"/>
      <c r="J300" s="623"/>
      <c r="K300" s="15"/>
      <c r="L300" s="623"/>
      <c r="M300" s="15"/>
      <c r="N300" s="620"/>
      <c r="O300" s="691"/>
      <c r="P300" s="9"/>
      <c r="Q300" s="691"/>
      <c r="R300" s="9"/>
      <c r="S300" s="691"/>
      <c r="T300" s="9"/>
      <c r="U300" s="691"/>
      <c r="V300" s="9"/>
      <c r="W300" s="691"/>
      <c r="X300" s="9"/>
      <c r="Y300" s="820">
        <f>Y299-(SUM(Y292:Y298))</f>
        <v>0</v>
      </c>
      <c r="Z300" s="9"/>
      <c r="AA300" s="820">
        <f>AA299-(SUM(AA292:AA298))</f>
        <v>0</v>
      </c>
      <c r="AB300" s="9"/>
      <c r="AC300" s="820">
        <f>AC299-(SUM(AC292:AC298))</f>
        <v>0</v>
      </c>
      <c r="AD300" s="9"/>
      <c r="AE300" s="820">
        <f>AE299-(SUM(AE292:AE298))</f>
        <v>0</v>
      </c>
      <c r="AF300" s="9"/>
      <c r="AG300" s="820">
        <f>AG299-(SUM(AG292:AG298))</f>
        <v>0</v>
      </c>
      <c r="AH300" s="9"/>
      <c r="AI300" s="820">
        <f>AI299-(SUM(AI292:AI298))</f>
        <v>0</v>
      </c>
      <c r="AJ300" s="9"/>
      <c r="AK300" s="820">
        <f>AK299-(SUM(AK292:AK298))</f>
        <v>0</v>
      </c>
      <c r="AL300" s="9"/>
      <c r="AM300" s="820">
        <f>AM299-(SUM(AM292:AM298))</f>
        <v>0</v>
      </c>
      <c r="AN300" s="9"/>
      <c r="AO300" s="820">
        <f>AO299-(SUM(AO292:AO298))</f>
        <v>0</v>
      </c>
      <c r="AP300" s="9"/>
      <c r="AQ300" s="820">
        <f t="shared" ref="AQ300:AW300" si="1786">AQ299-(SUM(AQ292:AQ298))</f>
        <v>0</v>
      </c>
      <c r="AR300" s="9"/>
      <c r="AS300" s="820">
        <f t="shared" si="1786"/>
        <v>0</v>
      </c>
      <c r="AT300" s="9"/>
      <c r="AU300" s="820">
        <f t="shared" si="1786"/>
        <v>0</v>
      </c>
      <c r="AV300" s="9"/>
      <c r="AW300" s="820">
        <f t="shared" si="1786"/>
        <v>0</v>
      </c>
      <c r="AX300" s="9"/>
      <c r="AY300" s="356"/>
      <c r="AZ300" s="618"/>
      <c r="BA300" s="620"/>
      <c r="BB300" s="55"/>
      <c r="BC300" s="226"/>
      <c r="BD300" s="820">
        <f>TotalPI_EoPAUM _4Q14-BD299</f>
        <v>0</v>
      </c>
      <c r="BE300" s="226"/>
      <c r="BF300" s="820">
        <f>TotalPI_EoPAUM _4Q15-BF299</f>
        <v>0</v>
      </c>
      <c r="BG300" s="226"/>
      <c r="BH300" s="820">
        <f>TotalPI_EoPAUM _4Q16-BH299</f>
        <v>0</v>
      </c>
      <c r="BI300" s="226"/>
      <c r="BJ300" s="820">
        <f>TotalPI_EoPAUM _4Q17-BJ299</f>
        <v>0</v>
      </c>
      <c r="BK300" s="226"/>
      <c r="BL300" s="820">
        <f>TotalPI_EoPAUM _4Q18-BL299</f>
        <v>0</v>
      </c>
      <c r="BM300" s="226"/>
      <c r="BN300" s="55"/>
      <c r="BO300" s="226"/>
      <c r="BP300" s="55"/>
      <c r="BQ300" s="226"/>
      <c r="BR300" s="55"/>
      <c r="BS300" s="226"/>
      <c r="BT300" s="55"/>
      <c r="BU300" s="226"/>
      <c r="BV300" s="43"/>
      <c r="BW300" s="621"/>
      <c r="BX300" s="621"/>
      <c r="BY300"/>
      <c r="BZ300"/>
      <c r="CA300"/>
      <c r="CB300"/>
      <c r="CC300"/>
      <c r="CD300"/>
    </row>
    <row r="301" spans="1:82" s="2" customFormat="1" ht="12.75" customHeight="1" collapsed="1" x14ac:dyDescent="0.2">
      <c r="A301" s="41"/>
      <c r="B301" s="671" t="s">
        <v>577</v>
      </c>
      <c r="C301" s="57"/>
      <c r="D301" s="9"/>
      <c r="E301" s="57"/>
      <c r="F301" s="9"/>
      <c r="G301" s="57"/>
      <c r="H301" s="9"/>
      <c r="I301" s="130"/>
      <c r="J301" s="9"/>
      <c r="K301" s="130"/>
      <c r="L301" s="9"/>
      <c r="M301" s="130"/>
      <c r="N301" s="9"/>
      <c r="O301" s="670">
        <v>13800</v>
      </c>
      <c r="P301" s="43" t="str">
        <f t="shared" si="1739"/>
        <v>NA</v>
      </c>
      <c r="Q301" s="670">
        <v>19100</v>
      </c>
      <c r="R301" s="43" t="str">
        <f t="shared" si="1740"/>
        <v>NA</v>
      </c>
      <c r="S301" s="670">
        <v>20900</v>
      </c>
      <c r="T301" s="43" t="str">
        <f t="shared" si="1742"/>
        <v>NA</v>
      </c>
      <c r="U301" s="670">
        <v>34200</v>
      </c>
      <c r="V301" s="43" t="str">
        <f t="shared" si="1744"/>
        <v>NA</v>
      </c>
      <c r="W301" s="670">
        <v>41500</v>
      </c>
      <c r="X301" s="43" t="str">
        <f t="shared" si="1745"/>
        <v>NM</v>
      </c>
      <c r="Y301" s="670">
        <v>41800</v>
      </c>
      <c r="Z301" s="43" t="str">
        <f t="shared" si="1746"/>
        <v>NM</v>
      </c>
      <c r="AA301" s="670">
        <v>56500</v>
      </c>
      <c r="AB301" s="43" t="str">
        <f t="shared" si="1746"/>
        <v>NM</v>
      </c>
      <c r="AC301" s="670">
        <v>101000</v>
      </c>
      <c r="AD301" s="43" t="str">
        <f t="shared" si="1746"/>
        <v>NM</v>
      </c>
      <c r="AE301" s="670">
        <v>127200</v>
      </c>
      <c r="AF301" s="43" t="str">
        <f t="shared" si="1746"/>
        <v>NM</v>
      </c>
      <c r="AG301" s="670">
        <v>101300</v>
      </c>
      <c r="AH301" s="9" t="str">
        <f t="shared" si="1747"/>
        <v>NM</v>
      </c>
      <c r="AI301" s="670">
        <v>96100</v>
      </c>
      <c r="AJ301" s="9">
        <f t="shared" ref="AJ301:AJ303" si="1787">IF(ISERROR(AI301/AA301),"NA",IF(OR(AI301/AA301&gt;2,AI301/AA301&lt;0.5),"NM",AI301/AA301*100-100))</f>
        <v>70.088495575221231</v>
      </c>
      <c r="AK301" s="670">
        <v>96600</v>
      </c>
      <c r="AL301" s="9">
        <f t="shared" ref="AL301:AL303" si="1788">IF(ISERROR(AK301/AC301),"NA",IF(OR(AK301/AC301&gt;2,AK301/AC301&lt;0.5),"NM",AK301/AC301*100-100))</f>
        <v>-4.3564356435643674</v>
      </c>
      <c r="AM301" s="670">
        <v>117100</v>
      </c>
      <c r="AN301" s="9">
        <f t="shared" ref="AN301:AN303" si="1789">IF(ISERROR(AM301/AE301),"NA",IF(OR(AM301/AE301&gt;2,AM301/AE301&lt;0.5),"NM",AM301/AE301*100-100))</f>
        <v>-7.9402515723270426</v>
      </c>
      <c r="AO301" s="670">
        <v>124400</v>
      </c>
      <c r="AP301" s="9">
        <f t="shared" ref="AP301:AP303" si="1790">IF(ISERROR(AO301/AG301),"NA",IF(OR(AO301/AG301&gt;2,AO301/AG301&lt;0.5),"NM",AO301/AG301*100-100))</f>
        <v>22.803553800592297</v>
      </c>
      <c r="AQ301" s="670">
        <f t="shared" ref="AQ301" si="1791">AO301*1.02</f>
        <v>126888</v>
      </c>
      <c r="AR301" s="9">
        <f t="shared" ref="AR301:AR303" si="1792">IF(ISERROR(AQ301/AI301),"NA",IF(OR(AQ301/AI301&gt;2,AQ301/AI301&lt;0.5),"NM",AQ301/AI301*100-100))</f>
        <v>32.037460978147777</v>
      </c>
      <c r="AS301" s="670">
        <f t="shared" ref="AS301" si="1793">AQ301*1.02</f>
        <v>129425.76000000001</v>
      </c>
      <c r="AT301" s="9">
        <f t="shared" ref="AT301:AT303" si="1794">IF(ISERROR(AS301/AK301),"NA",IF(OR(AS301/AK301&gt;2,AS301/AK301&lt;0.5),"NM",AS301/AK301*100-100))</f>
        <v>33.981118012422371</v>
      </c>
      <c r="AU301" s="670">
        <f t="shared" ref="AU301" si="1795">AS301*1.02</f>
        <v>132014.2752</v>
      </c>
      <c r="AV301" s="9">
        <f t="shared" ref="AV301:AV303" si="1796">IF(ISERROR(AU301/AM301),"NA",IF(OR(AU301/AM301&gt;2,AU301/AM301&lt;0.5),"NM",AU301/AM301*100-100))</f>
        <v>12.736357984628526</v>
      </c>
      <c r="AW301" s="670">
        <f t="shared" ref="AW301" si="1797">AU301*1.02</f>
        <v>134654.560704</v>
      </c>
      <c r="AX301" s="9">
        <f t="shared" ref="AX301:AX303" si="1798">IF(ISERROR(AW301/AO301),"NA",IF(OR(AW301/AO301&gt;2,AW301/AO301&lt;0.5),"NM",AW301/AO301*100-100))</f>
        <v>8.2432160000000039</v>
      </c>
      <c r="AY301" s="287"/>
      <c r="AZ301" s="122"/>
      <c r="BA301" s="131"/>
      <c r="BB301" s="57"/>
      <c r="BC301" s="226" t="str">
        <f>IF(ISERROR(BB301/#REF!),"NA",IF(OR(BB301/#REF!&gt;2,BB301/#REF!&lt;0.5),"NM",BB301/#REF!*100-100))</f>
        <v>NA</v>
      </c>
      <c r="BD301" s="911"/>
      <c r="BE301" s="226" t="str">
        <f t="shared" si="1760"/>
        <v>NA</v>
      </c>
      <c r="BF301" s="126">
        <f>Y301</f>
        <v>41800</v>
      </c>
      <c r="BG301" s="226" t="str">
        <f t="shared" si="1761"/>
        <v>NA</v>
      </c>
      <c r="BH301" s="126">
        <f>AG301</f>
        <v>101300</v>
      </c>
      <c r="BI301" s="226" t="str">
        <f t="shared" si="1762"/>
        <v>NM</v>
      </c>
      <c r="BJ301" s="126">
        <f>AO301</f>
        <v>124400</v>
      </c>
      <c r="BK301" s="226">
        <f t="shared" si="1762"/>
        <v>22.803553800592297</v>
      </c>
      <c r="BL301" s="126">
        <f>AW301</f>
        <v>134654.560704</v>
      </c>
      <c r="BM301" s="226">
        <f t="shared" si="1762"/>
        <v>8.2432160000000039</v>
      </c>
      <c r="BN301" s="732">
        <f>BL301*1.1</f>
        <v>148120.01677440002</v>
      </c>
      <c r="BO301" s="226">
        <f t="shared" si="1762"/>
        <v>10.000000000000014</v>
      </c>
      <c r="BP301" s="732">
        <f>BN301*1.1</f>
        <v>162932.01845184003</v>
      </c>
      <c r="BQ301" s="226">
        <f t="shared" si="1762"/>
        <v>10.000000000000014</v>
      </c>
      <c r="BR301" s="732">
        <f>BP301*1.1</f>
        <v>179225.22029702406</v>
      </c>
      <c r="BS301" s="226">
        <f t="shared" si="1762"/>
        <v>10.000000000000014</v>
      </c>
      <c r="BT301" s="732">
        <f>BR301*1.1</f>
        <v>197147.7423267265</v>
      </c>
      <c r="BU301" s="226">
        <f t="shared" ref="BU301" si="1799">IF(ISERROR(BT301/BR301),"NA",IF(OR(BT301/BR301&gt;2,BT301/BR301&lt;0.5),"NM",BT301/BR301*100-100))</f>
        <v>10.000000000000014</v>
      </c>
      <c r="BV301" s="43">
        <f>IF(ISERROR(((BT301/BJ301)^0.2-1)*100),"NA",IF((((BT301/BJ301)^0.2-1)*100)&gt;100,"NM",IF((((BT301/BJ301)^0.2-1)*100)&lt;-50,"NM",((BT301/BJ301)^0.2-1)*100)))</f>
        <v>9.6463768734843303</v>
      </c>
      <c r="BW301" s="722"/>
      <c r="BX301" s="722"/>
      <c r="BY301"/>
      <c r="BZ301"/>
      <c r="CA301"/>
      <c r="CB301"/>
      <c r="CC301"/>
      <c r="CD301"/>
    </row>
    <row r="302" spans="1:82" s="2" customFormat="1" ht="12.75" customHeight="1" x14ac:dyDescent="0.2">
      <c r="A302" s="41"/>
      <c r="B302" s="123" t="s">
        <v>578</v>
      </c>
      <c r="C302" s="57"/>
      <c r="D302" s="9"/>
      <c r="E302" s="57"/>
      <c r="F302" s="9"/>
      <c r="G302" s="57"/>
      <c r="H302" s="9"/>
      <c r="I302" s="130"/>
      <c r="J302" s="9"/>
      <c r="K302" s="130"/>
      <c r="L302" s="9"/>
      <c r="M302" s="130"/>
      <c r="N302" s="9"/>
      <c r="O302" s="670">
        <f>O299+O301</f>
        <v>129900</v>
      </c>
      <c r="P302" s="43" t="str">
        <f t="shared" si="1739"/>
        <v>NA</v>
      </c>
      <c r="Q302" s="77">
        <f t="shared" ref="Q302:W302" si="1800">Q299+Q301</f>
        <v>133700</v>
      </c>
      <c r="R302" s="43" t="str">
        <f t="shared" si="1740"/>
        <v>NA</v>
      </c>
      <c r="S302" s="77">
        <f t="shared" si="1800"/>
        <v>131800</v>
      </c>
      <c r="T302" s="43" t="str">
        <f t="shared" si="1742"/>
        <v>NA</v>
      </c>
      <c r="U302" s="77">
        <f t="shared" si="1800"/>
        <v>151700</v>
      </c>
      <c r="V302" s="43" t="str">
        <f t="shared" si="1744"/>
        <v>NA</v>
      </c>
      <c r="W302" s="77">
        <f t="shared" si="1800"/>
        <v>147700</v>
      </c>
      <c r="X302" s="43">
        <f t="shared" si="1745"/>
        <v>13.702848344880664</v>
      </c>
      <c r="Y302" s="77">
        <f t="shared" ref="Y302:AA302" si="1801">Y299+Y301</f>
        <v>151700</v>
      </c>
      <c r="Z302" s="43">
        <f t="shared" si="1746"/>
        <v>13.462976813762168</v>
      </c>
      <c r="AA302" s="77">
        <f t="shared" si="1801"/>
        <v>177500</v>
      </c>
      <c r="AB302" s="43">
        <f t="shared" si="1746"/>
        <v>34.673748103186654</v>
      </c>
      <c r="AC302" s="77">
        <f t="shared" ref="AC302:AE302" si="1802">AC299+AC301</f>
        <v>231900</v>
      </c>
      <c r="AD302" s="43">
        <f t="shared" si="1746"/>
        <v>52.867501647989457</v>
      </c>
      <c r="AE302" s="77">
        <f t="shared" si="1802"/>
        <v>263500</v>
      </c>
      <c r="AF302" s="43">
        <f t="shared" si="1746"/>
        <v>78.402166553825339</v>
      </c>
      <c r="AG302" s="77">
        <f t="shared" ref="AG302:AI302" si="1803">AG299+AG301</f>
        <v>238400</v>
      </c>
      <c r="AH302" s="9">
        <f t="shared" si="1747"/>
        <v>57.152274225444955</v>
      </c>
      <c r="AI302" s="77">
        <f t="shared" si="1803"/>
        <v>243400</v>
      </c>
      <c r="AJ302" s="9">
        <f t="shared" si="1787"/>
        <v>37.126760563380287</v>
      </c>
      <c r="AK302" s="77">
        <f t="shared" ref="AK302:AM302" si="1804">AK299+AK301</f>
        <v>244300</v>
      </c>
      <c r="AL302" s="9">
        <f t="shared" si="1788"/>
        <v>5.3471323846485461</v>
      </c>
      <c r="AM302" s="77">
        <f t="shared" si="1804"/>
        <v>275700</v>
      </c>
      <c r="AN302" s="9">
        <f t="shared" si="1789"/>
        <v>4.6299810246679414</v>
      </c>
      <c r="AO302" s="77">
        <f t="shared" ref="AO302" si="1805">AO299+AO301</f>
        <v>285100</v>
      </c>
      <c r="AP302" s="9">
        <f t="shared" si="1790"/>
        <v>19.588926174496635</v>
      </c>
      <c r="AQ302" s="77">
        <f t="shared" ref="AQ302:AW302" si="1806">AQ299+AQ301</f>
        <v>285924.91216462781</v>
      </c>
      <c r="AR302" s="9">
        <f t="shared" si="1792"/>
        <v>17.471204669115778</v>
      </c>
      <c r="AS302" s="77">
        <f t="shared" si="1806"/>
        <v>288553.14234422869</v>
      </c>
      <c r="AT302" s="9">
        <f t="shared" si="1794"/>
        <v>18.114262113888131</v>
      </c>
      <c r="AU302" s="77">
        <f t="shared" si="1806"/>
        <v>291230.52093784901</v>
      </c>
      <c r="AV302" s="9">
        <f t="shared" si="1796"/>
        <v>5.6331232999089735</v>
      </c>
      <c r="AW302" s="77">
        <f t="shared" si="1806"/>
        <v>293958.04176886188</v>
      </c>
      <c r="AX302" s="9">
        <f t="shared" si="1798"/>
        <v>3.1069946576155303</v>
      </c>
      <c r="AY302" s="287"/>
      <c r="AZ302" s="122"/>
      <c r="BA302" s="131"/>
      <c r="BB302" s="57"/>
      <c r="BC302" s="9"/>
      <c r="BD302" s="927"/>
      <c r="BE302" s="9"/>
      <c r="BF302" s="846">
        <f t="shared" ref="BF302" si="1807">BF299+BF301</f>
        <v>151700</v>
      </c>
      <c r="BG302" s="9"/>
      <c r="BH302" s="77">
        <f>BH299+BH301</f>
        <v>238400</v>
      </c>
      <c r="BI302" s="9"/>
      <c r="BJ302" s="77">
        <f>BJ299+BJ301</f>
        <v>285100</v>
      </c>
      <c r="BK302" s="9"/>
      <c r="BL302" s="77">
        <f>BL299+BL301</f>
        <v>293958.04176886182</v>
      </c>
      <c r="BM302" s="9"/>
      <c r="BN302" s="733">
        <f t="shared" ref="BN302" si="1808">BN299+BN301</f>
        <v>321001.20923333743</v>
      </c>
      <c r="BO302" s="9"/>
      <c r="BP302" s="733">
        <f t="shared" ref="BP302:BR302" si="1809">BP299+BP301</f>
        <v>348628.60906946345</v>
      </c>
      <c r="BQ302" s="226"/>
      <c r="BR302" s="733">
        <f t="shared" si="1809"/>
        <v>377209.82981441147</v>
      </c>
      <c r="BS302" s="226"/>
      <c r="BT302" s="733">
        <f t="shared" ref="BT302" si="1810">BT299+BT301</f>
        <v>407084.37646867026</v>
      </c>
      <c r="BU302" s="226"/>
      <c r="BV302" s="43">
        <f>IF(ISERROR(((BT302/BJ302)^0.2-1)*100),"NA",IF((((BT302/BJ302)^0.2-1)*100)&gt;100,"NM",IF((((BT302/BJ302)^0.2-1)*100)&lt;-50,"NM",((BT302/BJ302)^0.2-1)*100)))</f>
        <v>7.3834724289051579</v>
      </c>
      <c r="BW302" s="722"/>
      <c r="BX302" s="722"/>
      <c r="BY302"/>
      <c r="BZ302"/>
      <c r="CA302"/>
      <c r="CB302"/>
      <c r="CC302"/>
      <c r="CD302"/>
    </row>
    <row r="303" spans="1:82" s="2" customFormat="1" ht="12.75" customHeight="1" x14ac:dyDescent="0.2">
      <c r="A303" s="41"/>
      <c r="B303" s="42" t="s">
        <v>71</v>
      </c>
      <c r="C303" s="57"/>
      <c r="D303" s="9"/>
      <c r="E303" s="57"/>
      <c r="F303" s="9"/>
      <c r="G303" s="57"/>
      <c r="H303" s="9"/>
      <c r="I303" s="130"/>
      <c r="J303" s="9"/>
      <c r="K303" s="130"/>
      <c r="L303" s="9"/>
      <c r="M303" s="130"/>
      <c r="N303" s="9"/>
      <c r="O303" s="126"/>
      <c r="P303" s="43"/>
      <c r="Q303" s="126">
        <f>AVERAGE(O302,Q302)</f>
        <v>131800</v>
      </c>
      <c r="R303" s="43" t="str">
        <f t="shared" si="1740"/>
        <v>NA</v>
      </c>
      <c r="S303" s="126">
        <f t="shared" ref="S303:AO303" si="1811">AVERAGE(Q302,S302)</f>
        <v>132750</v>
      </c>
      <c r="T303" s="43" t="str">
        <f t="shared" si="1742"/>
        <v>NA</v>
      </c>
      <c r="U303" s="126">
        <f t="shared" si="1811"/>
        <v>141750</v>
      </c>
      <c r="V303" s="43" t="str">
        <f t="shared" si="1744"/>
        <v>NA</v>
      </c>
      <c r="W303" s="126">
        <f t="shared" si="1811"/>
        <v>149700</v>
      </c>
      <c r="X303" s="43" t="str">
        <f t="shared" si="1745"/>
        <v>NA</v>
      </c>
      <c r="Y303" s="126">
        <f t="shared" si="1811"/>
        <v>149700</v>
      </c>
      <c r="Z303" s="43">
        <f t="shared" si="1746"/>
        <v>13.581183611532623</v>
      </c>
      <c r="AA303" s="126">
        <f t="shared" si="1811"/>
        <v>164600</v>
      </c>
      <c r="AB303" s="43">
        <f t="shared" si="1746"/>
        <v>23.992467043314505</v>
      </c>
      <c r="AC303" s="126">
        <f t="shared" si="1811"/>
        <v>204700</v>
      </c>
      <c r="AD303" s="43">
        <f t="shared" si="1746"/>
        <v>44.409171075837747</v>
      </c>
      <c r="AE303" s="126">
        <f t="shared" si="1811"/>
        <v>247700</v>
      </c>
      <c r="AF303" s="43">
        <f t="shared" si="1746"/>
        <v>65.464261857047433</v>
      </c>
      <c r="AG303" s="126">
        <f t="shared" si="1811"/>
        <v>250950</v>
      </c>
      <c r="AH303" s="9">
        <f t="shared" si="1747"/>
        <v>67.63527054108215</v>
      </c>
      <c r="AI303" s="126">
        <f t="shared" si="1811"/>
        <v>240900</v>
      </c>
      <c r="AJ303" s="9">
        <f t="shared" si="1787"/>
        <v>46.35479951397329</v>
      </c>
      <c r="AK303" s="126">
        <f t="shared" si="1811"/>
        <v>243850</v>
      </c>
      <c r="AL303" s="9">
        <f t="shared" si="1788"/>
        <v>19.12554958475819</v>
      </c>
      <c r="AM303" s="126">
        <f t="shared" si="1811"/>
        <v>260000</v>
      </c>
      <c r="AN303" s="9">
        <f t="shared" si="1789"/>
        <v>4.9656842955187841</v>
      </c>
      <c r="AO303" s="126">
        <f t="shared" si="1811"/>
        <v>280400</v>
      </c>
      <c r="AP303" s="9">
        <f t="shared" si="1790"/>
        <v>11.735405459254821</v>
      </c>
      <c r="AQ303" s="126">
        <f t="shared" ref="AQ303" si="1812">AVERAGE(AO302,AQ302)</f>
        <v>285512.4560823139</v>
      </c>
      <c r="AR303" s="9">
        <f t="shared" si="1792"/>
        <v>18.519076829520102</v>
      </c>
      <c r="AS303" s="126">
        <f t="shared" ref="AS303" si="1813">AVERAGE(AQ302,AS302)</f>
        <v>287239.02725442825</v>
      </c>
      <c r="AT303" s="9">
        <f t="shared" si="1794"/>
        <v>17.793326739564591</v>
      </c>
      <c r="AU303" s="126">
        <f t="shared" ref="AU303" si="1814">AVERAGE(AS302,AU302)</f>
        <v>289891.83164103888</v>
      </c>
      <c r="AV303" s="9">
        <f t="shared" si="1796"/>
        <v>11.496858323476488</v>
      </c>
      <c r="AW303" s="126">
        <f t="shared" ref="AW303" si="1815">AVERAGE(AU302,AW302)</f>
        <v>292594.28135335544</v>
      </c>
      <c r="AX303" s="9">
        <f t="shared" si="1798"/>
        <v>4.3488877865033686</v>
      </c>
      <c r="AY303" s="287"/>
      <c r="AZ303" s="122"/>
      <c r="BA303" s="131"/>
      <c r="BB303" s="57"/>
      <c r="BC303" s="226" t="str">
        <f>IF(ISERROR(BB303/#REF!),"NA",IF(OR(BB303/#REF!&gt;2,BB303/#REF!&lt;0.5),"NM",BB303/#REF!*100-100))</f>
        <v>NA</v>
      </c>
      <c r="BD303" s="911"/>
      <c r="BE303" s="226" t="str">
        <f t="shared" si="1760"/>
        <v>NA</v>
      </c>
      <c r="BF303" s="126">
        <f>AVERAGE(BF292,BF302)</f>
        <v>133150</v>
      </c>
      <c r="BG303" s="226" t="str">
        <f t="shared" si="1761"/>
        <v>NA</v>
      </c>
      <c r="BH303" s="126">
        <f>AVERAGE(AG303,AE303,AC303,AA303)</f>
        <v>216987.5</v>
      </c>
      <c r="BI303" s="226">
        <f t="shared" si="1762"/>
        <v>62.964701464513723</v>
      </c>
      <c r="BJ303" s="126">
        <f>AVERAGE(AO303,AM303,AK303,AI303)</f>
        <v>256287.5</v>
      </c>
      <c r="BK303" s="226">
        <f t="shared" si="1762"/>
        <v>18.111642375712876</v>
      </c>
      <c r="BL303" s="126">
        <f>AVERAGE(AW303,AU303,AS303,AQ303)</f>
        <v>288809.39908278408</v>
      </c>
      <c r="BM303" s="226">
        <f t="shared" si="1762"/>
        <v>12.689615795848042</v>
      </c>
      <c r="BN303" s="731">
        <f>AVERAGE(BN299,BN292)+AVERAGE(BN301,BL301)</f>
        <v>307479.62550109962</v>
      </c>
      <c r="BO303" s="226">
        <f t="shared" si="1762"/>
        <v>6.4645494494325391</v>
      </c>
      <c r="BP303" s="731">
        <f>AVERAGE(BP299,BP292)+AVERAGE(BP301,BN301)</f>
        <v>334814.90915140044</v>
      </c>
      <c r="BQ303" s="226">
        <f t="shared" si="1762"/>
        <v>8.8901121841008006</v>
      </c>
      <c r="BR303" s="731">
        <f>AVERAGE(BR299,BR292)+AVERAGE(BR301,BP301)</f>
        <v>362919.2194419374</v>
      </c>
      <c r="BS303" s="226">
        <f t="shared" si="1762"/>
        <v>8.3939841155127368</v>
      </c>
      <c r="BT303" s="731">
        <f>AVERAGE(BT299,BT292)+AVERAGE(BT301,BR301)</f>
        <v>392147.10314154084</v>
      </c>
      <c r="BU303" s="226">
        <f t="shared" ref="BU303" si="1816">IF(ISERROR(BT303/BR303),"NA",IF(OR(BT303/BR303&gt;2,BT303/BR303&lt;0.5),"NM",BT303/BR303*100-100))</f>
        <v>8.0535507996923599</v>
      </c>
      <c r="BV303" s="43">
        <f>IF(ISERROR(((BT303/BJ303)^0.2-1)*100),"NA",IF((((BT303/BJ303)^0.2-1)*100)&gt;100,"NM",IF((((BT303/BJ303)^0.2-1)*100)&lt;-50,"NM",((BT303/BJ303)^0.2-1)*100)))</f>
        <v>8.8790486004446159</v>
      </c>
      <c r="BW303" s="722"/>
      <c r="BX303" s="722"/>
      <c r="BY303"/>
      <c r="BZ303"/>
      <c r="CA303"/>
      <c r="CB303"/>
      <c r="CC303"/>
      <c r="CD303"/>
    </row>
    <row r="304" spans="1:82" s="2" customFormat="1" ht="12.75" customHeight="1" x14ac:dyDescent="0.2">
      <c r="A304" s="41"/>
      <c r="B304" s="42"/>
      <c r="C304" s="57"/>
      <c r="D304" s="9"/>
      <c r="E304" s="57"/>
      <c r="F304" s="9"/>
      <c r="G304" s="57"/>
      <c r="H304" s="9"/>
      <c r="I304" s="130"/>
      <c r="J304" s="9"/>
      <c r="K304" s="130"/>
      <c r="L304" s="9"/>
      <c r="M304" s="130"/>
      <c r="N304" s="9"/>
      <c r="O304" s="126"/>
      <c r="P304" s="43"/>
      <c r="Q304" s="126"/>
      <c r="R304" s="43"/>
      <c r="S304" s="126"/>
      <c r="T304" s="43"/>
      <c r="U304" s="126"/>
      <c r="V304" s="43"/>
      <c r="W304" s="126"/>
      <c r="X304" s="43"/>
      <c r="Y304" s="126"/>
      <c r="Z304" s="43"/>
      <c r="AA304" s="126"/>
      <c r="AB304" s="43"/>
      <c r="AC304" s="126"/>
      <c r="AD304" s="43"/>
      <c r="AE304" s="126"/>
      <c r="AF304" s="43"/>
      <c r="AG304" s="126"/>
      <c r="AH304" s="9"/>
      <c r="AI304" s="126"/>
      <c r="AJ304" s="9"/>
      <c r="AK304" s="126"/>
      <c r="AL304" s="9"/>
      <c r="AM304" s="126"/>
      <c r="AN304" s="9"/>
      <c r="AO304" s="126"/>
      <c r="AP304" s="9"/>
      <c r="AQ304" s="127"/>
      <c r="AR304" s="9"/>
      <c r="AS304" s="127"/>
      <c r="AT304" s="9"/>
      <c r="AU304" s="127"/>
      <c r="AV304" s="9"/>
      <c r="AW304" s="127"/>
      <c r="AX304" s="9"/>
      <c r="AY304" s="287"/>
      <c r="AZ304" s="122"/>
      <c r="BA304" s="131"/>
      <c r="BB304" s="57"/>
      <c r="BC304" s="9"/>
      <c r="BD304" s="911"/>
      <c r="BE304" s="9"/>
      <c r="BF304" s="41"/>
      <c r="BG304" s="9"/>
      <c r="BI304" s="9"/>
      <c r="BK304" s="9"/>
      <c r="BM304" s="9"/>
      <c r="BN304" s="569"/>
      <c r="BO304" s="9"/>
      <c r="BP304" s="569"/>
      <c r="BQ304" s="9"/>
      <c r="BR304" s="569"/>
      <c r="BS304" s="9"/>
      <c r="BT304" s="569"/>
      <c r="BU304" s="9"/>
      <c r="BV304" s="43"/>
      <c r="BW304" s="722"/>
      <c r="BX304" s="722"/>
      <c r="BY304"/>
      <c r="BZ304"/>
      <c r="CA304"/>
      <c r="CB304"/>
      <c r="CC304"/>
      <c r="CD304"/>
    </row>
    <row r="305" spans="1:83" s="2" customFormat="1" ht="12.75" customHeight="1" x14ac:dyDescent="0.2">
      <c r="A305" s="41"/>
      <c r="B305" s="42" t="s">
        <v>639</v>
      </c>
      <c r="C305" s="57"/>
      <c r="D305" s="9"/>
      <c r="E305" s="57"/>
      <c r="F305" s="9"/>
      <c r="G305" s="57"/>
      <c r="H305" s="9"/>
      <c r="I305" s="130"/>
      <c r="J305" s="9"/>
      <c r="K305" s="130"/>
      <c r="L305" s="9"/>
      <c r="M305" s="130"/>
      <c r="N305" s="9"/>
      <c r="O305" s="126">
        <f>O293+O294</f>
        <v>2500</v>
      </c>
      <c r="P305" s="43" t="str">
        <f t="shared" si="1739"/>
        <v>NA</v>
      </c>
      <c r="Q305" s="126">
        <f>Q293+Q294</f>
        <v>4300</v>
      </c>
      <c r="R305" s="43" t="str">
        <f t="shared" si="1740"/>
        <v>NA</v>
      </c>
      <c r="S305" s="126">
        <f>S293+S294</f>
        <v>2300</v>
      </c>
      <c r="T305" s="43" t="str">
        <f t="shared" si="1742"/>
        <v>NA</v>
      </c>
      <c r="U305" s="126">
        <f>U293+U294</f>
        <v>3600</v>
      </c>
      <c r="V305" s="43" t="str">
        <f t="shared" si="1744"/>
        <v>NA</v>
      </c>
      <c r="W305" s="126">
        <f>W293+W294</f>
        <v>1600</v>
      </c>
      <c r="X305" s="43">
        <f t="shared" si="1745"/>
        <v>-36</v>
      </c>
      <c r="Y305" s="126">
        <f>Y293+Y294</f>
        <v>1800</v>
      </c>
      <c r="Z305" s="126" t="str">
        <f t="shared" ref="Z305" si="1817">IF(ISERROR(Y305/Q305),"NA",IF(OR(Y305/Q305&gt;2,Y305/Q305&lt;0.5),"NM",Y305/Q305*100-100))</f>
        <v>NM</v>
      </c>
      <c r="AA305" s="126">
        <f>AA293+AA294</f>
        <v>900</v>
      </c>
      <c r="AB305" s="43" t="str">
        <f t="shared" si="1746"/>
        <v>NM</v>
      </c>
      <c r="AC305" s="126">
        <f>AC293+AC294</f>
        <v>3200</v>
      </c>
      <c r="AD305" s="753">
        <f t="shared" si="1746"/>
        <v>-11.111111111111114</v>
      </c>
      <c r="AE305" s="126">
        <f>AE293+AE294</f>
        <v>2500</v>
      </c>
      <c r="AF305" s="753">
        <f t="shared" si="1746"/>
        <v>56.25</v>
      </c>
      <c r="AG305" s="126">
        <f>AG293+AG294</f>
        <v>2500</v>
      </c>
      <c r="AH305" s="9">
        <f t="shared" ref="AH305" si="1818">IF(ISERROR(AG305/Y305),"NA",IF(OR(AG305/Y305&gt;2,AG305/Y305&lt;0.5),"NM",AG305/Y305*100-100))</f>
        <v>38.888888888888886</v>
      </c>
      <c r="AI305" s="126">
        <f>AI293+AI294</f>
        <v>1300</v>
      </c>
      <c r="AJ305" s="9">
        <f t="shared" ref="AJ305" si="1819">IF(ISERROR(AI305/AA305),"NA",IF(OR(AI305/AA305&gt;2,AI305/AA305&lt;0.5),"NM",AI305/AA305*100-100))</f>
        <v>44.444444444444429</v>
      </c>
      <c r="AK305" s="126">
        <f>AK293+AK294</f>
        <v>400</v>
      </c>
      <c r="AL305" s="9" t="str">
        <f t="shared" ref="AL305" si="1820">IF(ISERROR(AK305/AC305),"NA",IF(OR(AK305/AC305&gt;2,AK305/AC305&lt;0.5),"NM",AK305/AC305*100-100))</f>
        <v>NM</v>
      </c>
      <c r="AM305" s="126">
        <f>AM293+AM294</f>
        <v>2100</v>
      </c>
      <c r="AN305" s="9">
        <f t="shared" ref="AN305" si="1821">IF(ISERROR(AM305/AE305),"NA",IF(OR(AM305/AE305&gt;2,AM305/AE305&lt;0.5),"NM",AM305/AE305*100-100))</f>
        <v>-16</v>
      </c>
      <c r="AO305" s="126">
        <f>AO293+AO294</f>
        <v>2500</v>
      </c>
      <c r="AP305" s="9">
        <f t="shared" ref="AP305" si="1822">IF(ISERROR(AO305/AG305),"NA",IF(OR(AO305/AG305&gt;2,AO305/AG305&lt;0.5),"NM",AO305/AG305*100-100))</f>
        <v>0</v>
      </c>
      <c r="AQ305" s="126">
        <f t="shared" ref="AQ305:AW305" si="1823">AQ285+AQ268+AQ250+AQ232</f>
        <v>2500</v>
      </c>
      <c r="AR305" s="9">
        <f t="shared" ref="AR305" si="1824">IF(ISERROR(AQ305/AI305),"NA",IF(OR(AQ305/AI305&gt;2,AQ305/AI305&lt;0.5),"NM",AQ305/AI305*100-100))</f>
        <v>92.307692307692321</v>
      </c>
      <c r="AS305" s="126">
        <f t="shared" si="1823"/>
        <v>2500</v>
      </c>
      <c r="AT305" s="9" t="str">
        <f t="shared" ref="AT305" si="1825">IF(ISERROR(AS305/AK305),"NA",IF(OR(AS305/AK305&gt;2,AS305/AK305&lt;0.5),"NM",AS305/AK305*100-100))</f>
        <v>NM</v>
      </c>
      <c r="AU305" s="126">
        <f t="shared" si="1823"/>
        <v>2500</v>
      </c>
      <c r="AV305" s="9">
        <f t="shared" ref="AV305" si="1826">IF(ISERROR(AU305/AM305),"NA",IF(OR(AU305/AM305&gt;2,AU305/AM305&lt;0.5),"NM",AU305/AM305*100-100))</f>
        <v>19.047619047619051</v>
      </c>
      <c r="AW305" s="126">
        <f t="shared" si="1823"/>
        <v>2500</v>
      </c>
      <c r="AX305" s="9">
        <f t="shared" ref="AX305" si="1827">IF(ISERROR(AW305/AO305),"NA",IF(OR(AW305/AO305&gt;2,AW305/AO305&lt;0.5),"NM",AW305/AO305*100-100))</f>
        <v>0</v>
      </c>
      <c r="AY305" s="287"/>
      <c r="AZ305" s="122"/>
      <c r="BA305" s="131"/>
      <c r="BB305" s="57"/>
      <c r="BC305" s="226" t="str">
        <f>IF(ISERROR(BB305/#REF!),"NA",IF(OR(BB305/#REF!&gt;2,BB305/#REF!&lt;0.5),"NM",BB305/#REF!*100-100))</f>
        <v>NA</v>
      </c>
      <c r="BD305" s="911"/>
      <c r="BE305" s="226" t="str">
        <f t="shared" si="1760"/>
        <v>NA</v>
      </c>
      <c r="BF305" s="55">
        <f>BF293+BF294</f>
        <v>9300</v>
      </c>
      <c r="BG305" s="226" t="str">
        <f t="shared" si="1761"/>
        <v>NA</v>
      </c>
      <c r="BH305" s="55">
        <f>BH293+BH294</f>
        <v>9100</v>
      </c>
      <c r="BI305" s="226">
        <f t="shared" si="1762"/>
        <v>-2.1505376344086073</v>
      </c>
      <c r="BJ305" s="55">
        <f>BJ293+BJ294</f>
        <v>6300</v>
      </c>
      <c r="BK305" s="226">
        <f t="shared" si="1762"/>
        <v>-30.769230769230774</v>
      </c>
      <c r="BL305" s="55">
        <f>BL293+BL294</f>
        <v>10000</v>
      </c>
      <c r="BM305" s="226">
        <f t="shared" si="1762"/>
        <v>58.730158730158735</v>
      </c>
      <c r="BN305" s="731">
        <f>BN285+BN268+BN250+BN232</f>
        <v>8480</v>
      </c>
      <c r="BO305" s="226">
        <f t="shared" si="1762"/>
        <v>-15.200000000000003</v>
      </c>
      <c r="BP305" s="731">
        <f>BP285+BP268+BP250+BP232</f>
        <v>7283.2000000000007</v>
      </c>
      <c r="BQ305" s="226">
        <f t="shared" si="1762"/>
        <v>-14.113207547169807</v>
      </c>
      <c r="BR305" s="731">
        <f>BR285+BR268+BR250+BR232</f>
        <v>6345.7280000000001</v>
      </c>
      <c r="BS305" s="226">
        <f t="shared" si="1762"/>
        <v>-12.871704745166966</v>
      </c>
      <c r="BT305" s="731">
        <f>BT285+BT268+BT250+BT232</f>
        <v>5616.5171200000004</v>
      </c>
      <c r="BU305" s="226">
        <f t="shared" ref="BU305" si="1828">IF(ISERROR(BT305/BR305),"NA",IF(OR(BT305/BR305&gt;2,BT305/BR305&lt;0.5),"NM",BT305/BR305*100-100))</f>
        <v>-11.491366790382443</v>
      </c>
      <c r="BV305" s="43">
        <f>IF(ISERROR(((BT305/BJ305)^0.2-1)*100),"NA",IF((((BT305/BJ305)^0.2-1)*100)&gt;100,"NM",IF((((BT305/BJ305)^0.2-1)*100)&lt;-50,"NM",((BT305/BJ305)^0.2-1)*100)))</f>
        <v>-2.2705831131840548</v>
      </c>
      <c r="BW305" s="722"/>
      <c r="BX305" s="722"/>
      <c r="BY305"/>
      <c r="BZ305"/>
      <c r="CA305"/>
      <c r="CB305"/>
      <c r="CC305"/>
      <c r="CD305"/>
    </row>
    <row r="306" spans="1:83" s="2" customFormat="1" ht="12.75" customHeight="1" x14ac:dyDescent="0.2">
      <c r="A306" s="41"/>
      <c r="B306" s="42"/>
      <c r="C306" s="57"/>
      <c r="D306" s="9"/>
      <c r="E306" s="57"/>
      <c r="F306" s="9"/>
      <c r="G306" s="57"/>
      <c r="H306" s="9"/>
      <c r="I306" s="130"/>
      <c r="J306" s="9"/>
      <c r="K306" s="130"/>
      <c r="L306" s="9"/>
      <c r="M306" s="130"/>
      <c r="N306" s="9"/>
      <c r="O306" s="126"/>
      <c r="P306" s="43"/>
      <c r="Q306" s="126"/>
      <c r="R306" s="43"/>
      <c r="S306" s="126"/>
      <c r="T306" s="43"/>
      <c r="U306" s="126"/>
      <c r="V306" s="43"/>
      <c r="W306" s="126"/>
      <c r="X306" s="43"/>
      <c r="Y306" s="126"/>
      <c r="Z306" s="43"/>
      <c r="AA306" s="126"/>
      <c r="AB306" s="43"/>
      <c r="AC306" s="126"/>
      <c r="AD306" s="43"/>
      <c r="AE306" s="126"/>
      <c r="AF306" s="43"/>
      <c r="AG306" s="126"/>
      <c r="AH306" s="9"/>
      <c r="AI306" s="126"/>
      <c r="AJ306" s="9"/>
      <c r="AK306" s="126"/>
      <c r="AL306" s="9"/>
      <c r="AM306" s="126"/>
      <c r="AN306" s="9"/>
      <c r="AO306" s="126"/>
      <c r="AP306" s="9"/>
      <c r="AQ306" s="127"/>
      <c r="AR306" s="9"/>
      <c r="AS306" s="127"/>
      <c r="AT306" s="9"/>
      <c r="AU306" s="127"/>
      <c r="AV306" s="9"/>
      <c r="AW306" s="127"/>
      <c r="AX306" s="9"/>
      <c r="AY306" s="287"/>
      <c r="AZ306" s="122"/>
      <c r="BA306" s="131"/>
      <c r="BB306" s="57"/>
      <c r="BC306" s="226"/>
      <c r="BD306" s="911"/>
      <c r="BE306" s="226"/>
      <c r="BF306" s="57"/>
      <c r="BG306" s="226"/>
      <c r="BH306" s="57"/>
      <c r="BI306" s="226"/>
      <c r="BJ306" s="57"/>
      <c r="BK306" s="226"/>
      <c r="BL306" s="57"/>
      <c r="BM306" s="226"/>
      <c r="BN306" s="734"/>
      <c r="BO306" s="226"/>
      <c r="BP306" s="734"/>
      <c r="BQ306" s="226"/>
      <c r="BR306" s="734"/>
      <c r="BS306" s="226"/>
      <c r="BT306" s="734"/>
      <c r="BU306" s="226"/>
      <c r="BV306" s="43"/>
      <c r="BW306" s="722"/>
      <c r="BX306" s="722"/>
      <c r="BY306"/>
      <c r="BZ306"/>
      <c r="CA306"/>
      <c r="CB306"/>
      <c r="CC306"/>
      <c r="CD306"/>
    </row>
    <row r="307" spans="1:83" s="2" customFormat="1" ht="12.75" customHeight="1" x14ac:dyDescent="0.2">
      <c r="A307" s="41"/>
      <c r="B307" s="42" t="s">
        <v>139</v>
      </c>
      <c r="C307" s="57"/>
      <c r="D307" s="9"/>
      <c r="E307" s="57"/>
      <c r="F307" s="9"/>
      <c r="G307" s="57"/>
      <c r="H307" s="9"/>
      <c r="I307" s="130"/>
      <c r="J307" s="9"/>
      <c r="K307" s="130"/>
      <c r="L307" s="9"/>
      <c r="M307" s="130"/>
      <c r="N307" s="9"/>
      <c r="O307" s="130">
        <f>O305/O292*400</f>
        <v>8.4175084175084187</v>
      </c>
      <c r="P307" s="130" t="e">
        <f t="shared" ref="P307:W307" si="1829">P305/P292*400</f>
        <v>#VALUE!</v>
      </c>
      <c r="Q307" s="130">
        <f t="shared" si="1829"/>
        <v>14.814814814814813</v>
      </c>
      <c r="R307" s="130" t="e">
        <f t="shared" si="1829"/>
        <v>#VALUE!</v>
      </c>
      <c r="S307" s="130">
        <f t="shared" si="1829"/>
        <v>8.0279232111692842</v>
      </c>
      <c r="T307" s="130" t="e">
        <f t="shared" si="1829"/>
        <v>#VALUE!</v>
      </c>
      <c r="U307" s="130">
        <f t="shared" si="1829"/>
        <v>12.984670874661857</v>
      </c>
      <c r="V307" s="43" t="str">
        <f t="shared" si="1745"/>
        <v>NA</v>
      </c>
      <c r="W307" s="130">
        <f t="shared" si="1829"/>
        <v>5.4468085106382977</v>
      </c>
      <c r="X307" s="43">
        <f t="shared" si="1745"/>
        <v>-35.291914893617033</v>
      </c>
      <c r="Y307" s="130">
        <f t="shared" ref="Y307:AA307" si="1830">Y305/Y292*400</f>
        <v>6.7796610169491522</v>
      </c>
      <c r="Z307" s="43" t="str">
        <f t="shared" si="1745"/>
        <v>NM</v>
      </c>
      <c r="AA307" s="130">
        <f t="shared" si="1830"/>
        <v>3.2757051865332123</v>
      </c>
      <c r="AB307" s="43" t="str">
        <f t="shared" si="1745"/>
        <v>NM</v>
      </c>
      <c r="AC307" s="130">
        <f t="shared" ref="AC307:AE307" si="1831">AC305/AC292*400</f>
        <v>10.578512396694215</v>
      </c>
      <c r="AD307" s="43">
        <f t="shared" si="1745"/>
        <v>-18.5307621671258</v>
      </c>
      <c r="AE307" s="130">
        <f t="shared" si="1831"/>
        <v>7.6394194041252863</v>
      </c>
      <c r="AF307" s="43">
        <f t="shared" si="1745"/>
        <v>40.254965622612673</v>
      </c>
      <c r="AG307" s="130">
        <f t="shared" ref="AG307:AI307" si="1832">AG305/AG292*400</f>
        <v>7.3367571533382243</v>
      </c>
      <c r="AH307" s="43">
        <f t="shared" si="1745"/>
        <v>8.2171680117388206</v>
      </c>
      <c r="AI307" s="130">
        <f t="shared" si="1832"/>
        <v>3.7928519328956964</v>
      </c>
      <c r="AJ307" s="43">
        <f t="shared" ref="AJ307:AJ309" si="1833">IF(ISERROR(AI307/AA307),"NA",IF(OR(AI307/AA307&gt;2,AI307/AA307&lt;0.5),"NM",AI307/AA307*100-100))</f>
        <v>15.787340951454738</v>
      </c>
      <c r="AK307" s="130">
        <f t="shared" ref="AK307:AM307" si="1834">AK305/AK292*400</f>
        <v>1.0862186014935504</v>
      </c>
      <c r="AL307" s="43" t="str">
        <f t="shared" ref="AL307:AL309" si="1835">IF(ISERROR(AK307/AC307),"NA",IF(OR(AK307/AC307&gt;2,AK307/AC307&lt;0.5),"NM",AK307/AC307*100-100))</f>
        <v>NM</v>
      </c>
      <c r="AM307" s="130">
        <f t="shared" si="1834"/>
        <v>5.6872037914691944</v>
      </c>
      <c r="AN307" s="43">
        <f t="shared" ref="AN307:AN309" si="1836">IF(ISERROR(AM307/AE307),"NA",IF(OR(AM307/AE307&gt;2,AM307/AE307&lt;0.5),"NM",AM307/AE307*100-100))</f>
        <v>-25.554502369668242</v>
      </c>
      <c r="AO307" s="130">
        <f t="shared" ref="AO307" si="1837">AO305/AO292*400</f>
        <v>6.3051702395964693</v>
      </c>
      <c r="AP307" s="43">
        <f t="shared" ref="AP307:AP309" si="1838">IF(ISERROR(AO307/AG307),"NA",IF(OR(AO307/AG307&gt;2,AO307/AG307&lt;0.5),"NM",AO307/AG307*100-100))</f>
        <v>-14.060529634300124</v>
      </c>
      <c r="AQ307" s="130">
        <f t="shared" ref="AQ307:AW307" si="1839">AQ305/AQ292*400</f>
        <v>6.2227753578095832</v>
      </c>
      <c r="AR307" s="43">
        <f t="shared" ref="AR307:AR309" si="1840">IF(ISERROR(AQ307/AI307),"NA",IF(OR(AQ307/AI307&gt;2,AQ307/AI307&lt;0.5),"NM",AQ307/AI307*100-100))</f>
        <v>64.06586568378728</v>
      </c>
      <c r="AS307" s="130">
        <f t="shared" si="1839"/>
        <v>6.2878484396430245</v>
      </c>
      <c r="AT307" s="43" t="str">
        <f t="shared" ref="AT307:AT309" si="1841">IF(ISERROR(AS307/AK307),"NA",IF(OR(AS307/AK307&gt;2,AS307/AK307&lt;0.5),"NM",AS307/AK307*100-100))</f>
        <v>NM</v>
      </c>
      <c r="AU307" s="130">
        <f t="shared" si="1839"/>
        <v>6.2842735503357465</v>
      </c>
      <c r="AV307" s="43">
        <f t="shared" ref="AV307:AV309" si="1842">IF(ISERROR(AU307/AM307),"NA",IF(OR(AU307/AM307&gt;2,AU307/AM307&lt;0.5),"NM",AU307/AM307*100-100))</f>
        <v>10.498476593403552</v>
      </c>
      <c r="AW307" s="130">
        <f t="shared" si="1839"/>
        <v>6.2807661075397352</v>
      </c>
      <c r="AX307" s="43">
        <f t="shared" ref="AX307:AX309" si="1843">IF(ISERROR(AW307/AO307),"NA",IF(OR(AW307/AO307&gt;2,AW307/AO307&lt;0.5),"NM",AW307/AO307*100-100))</f>
        <v>-0.38704953441980194</v>
      </c>
      <c r="AY307" s="287"/>
      <c r="AZ307" s="122"/>
      <c r="BA307" s="131"/>
      <c r="BB307" s="57"/>
      <c r="BC307" s="226" t="str">
        <f>IF(ISERROR(BB307/#REF!),"NA",IF(OR(BB307/#REF!&gt;2,BB307/#REF!&lt;0.5),"NM",BB307/#REF!*100-100))</f>
        <v>NA</v>
      </c>
      <c r="BD307" s="911"/>
      <c r="BE307" s="226" t="str">
        <f t="shared" si="1760"/>
        <v>NA</v>
      </c>
      <c r="BF307" s="57">
        <f>BF305/BF292*100</f>
        <v>8.1151832460732987</v>
      </c>
      <c r="BG307" s="226" t="str">
        <f t="shared" si="1760"/>
        <v>NA</v>
      </c>
      <c r="BH307" s="57">
        <f t="shared" ref="BH307:BP307" si="1844">BH305/BH292*100</f>
        <v>8.2802547770700627</v>
      </c>
      <c r="BI307" s="226">
        <f t="shared" si="1760"/>
        <v>2.0341072529278676</v>
      </c>
      <c r="BJ307" s="57">
        <f t="shared" ref="BJ307" si="1845">BJ305/BJ292*100</f>
        <v>4.5951859956236323</v>
      </c>
      <c r="BK307" s="226">
        <f t="shared" si="1760"/>
        <v>-44.504292206699205</v>
      </c>
      <c r="BL307" s="57">
        <f t="shared" ref="BL307" si="1846">BL305/BL292*100</f>
        <v>6.2227753578095832</v>
      </c>
      <c r="BM307" s="226">
        <f t="shared" si="1760"/>
        <v>35.419444691379994</v>
      </c>
      <c r="BN307" s="57">
        <f t="shared" si="1844"/>
        <v>5.3231730677293188</v>
      </c>
      <c r="BO307" s="226">
        <f t="shared" si="1760"/>
        <v>-14.456608801589852</v>
      </c>
      <c r="BP307" s="57">
        <f t="shared" si="1844"/>
        <v>4.2128353561246401</v>
      </c>
      <c r="BQ307" s="226">
        <f t="shared" si="1760"/>
        <v>-20.85856870474268</v>
      </c>
      <c r="BR307" s="57">
        <f t="shared" ref="BR307:BT307" si="1847">BR305/BR292*100</f>
        <v>3.4172560621033625</v>
      </c>
      <c r="BS307" s="226">
        <f t="shared" si="1760"/>
        <v>-18.88465194502939</v>
      </c>
      <c r="BT307" s="57">
        <f t="shared" si="1847"/>
        <v>2.8368453152449447</v>
      </c>
      <c r="BU307" s="226">
        <f t="shared" ref="BU307:BU308" si="1848">IF(ISERROR(BT307/BR307),"NA",IF(OR(BT307/BR307&gt;2,BT307/BR307&lt;0.5),"NM",BT307/BR307*100-100))</f>
        <v>-16.984701652739716</v>
      </c>
      <c r="BV307" s="43">
        <f>IF(ISERROR(((BT307/BJ307)^0.2-1)*100),"NA",IF((((BT307/BJ307)^0.2-1)*100)&gt;100,"NM",IF((((BT307/BJ307)^0.2-1)*100)&lt;-50,"NM",((BT307/BJ307)^0.2-1)*100)))</f>
        <v>-9.1956796446924454</v>
      </c>
      <c r="BW307" s="722"/>
      <c r="BX307" s="722"/>
      <c r="BY307"/>
      <c r="BZ307"/>
      <c r="CA307"/>
      <c r="CB307"/>
      <c r="CC307"/>
      <c r="CD307"/>
    </row>
    <row r="308" spans="1:83" s="2" customFormat="1" ht="12.75" customHeight="1" x14ac:dyDescent="0.2">
      <c r="A308" s="41"/>
      <c r="B308" s="240" t="s">
        <v>77</v>
      </c>
      <c r="C308" s="57"/>
      <c r="D308" s="9"/>
      <c r="E308" s="57"/>
      <c r="F308" s="9"/>
      <c r="G308" s="57"/>
      <c r="H308" s="9"/>
      <c r="I308" s="130"/>
      <c r="J308" s="9"/>
      <c r="K308" s="130"/>
      <c r="L308" s="9"/>
      <c r="M308" s="130"/>
      <c r="N308" s="9"/>
      <c r="O308" s="57">
        <f>+O295/O292*400</f>
        <v>13.131313131313133</v>
      </c>
      <c r="P308" s="57" t="e">
        <f t="shared" ref="P308:W308" si="1849">+P295/P292*400</f>
        <v>#VALUE!</v>
      </c>
      <c r="Q308" s="57">
        <f t="shared" si="1849"/>
        <v>3.4453057708871664</v>
      </c>
      <c r="R308" s="57" t="e">
        <f t="shared" si="1849"/>
        <v>#VALUE!</v>
      </c>
      <c r="S308" s="57">
        <f t="shared" si="1849"/>
        <v>10.820244328097731</v>
      </c>
      <c r="T308" s="57" t="e">
        <f t="shared" si="1849"/>
        <v>#VALUE!</v>
      </c>
      <c r="U308" s="57">
        <f t="shared" si="1849"/>
        <v>6.4923354373309285</v>
      </c>
      <c r="V308" s="43" t="str">
        <f t="shared" si="1745"/>
        <v>NA</v>
      </c>
      <c r="W308" s="57">
        <f t="shared" si="1849"/>
        <v>1.0212765957446808</v>
      </c>
      <c r="X308" s="43" t="str">
        <f t="shared" si="1745"/>
        <v>NM</v>
      </c>
      <c r="Y308" s="57">
        <f t="shared" ref="Y308:AA308" si="1850">+Y295/Y292*400</f>
        <v>9.4161958568738235</v>
      </c>
      <c r="Z308" s="43" t="str">
        <f t="shared" si="1745"/>
        <v>NM</v>
      </c>
      <c r="AA308" s="57">
        <f t="shared" si="1850"/>
        <v>8.0072793448589632</v>
      </c>
      <c r="AB308" s="43">
        <f t="shared" si="1745"/>
        <v>-25.997240893480864</v>
      </c>
      <c r="AC308" s="57">
        <f t="shared" ref="AC308:AE308" si="1851">+AC295/AC292*400</f>
        <v>6.9421487603305785</v>
      </c>
      <c r="AD308" s="43">
        <f t="shared" si="1745"/>
        <v>6.9283746556473886</v>
      </c>
      <c r="AE308" s="57">
        <f t="shared" si="1851"/>
        <v>14.362108479755539</v>
      </c>
      <c r="AF308" s="43" t="str">
        <f t="shared" si="1745"/>
        <v>NM</v>
      </c>
      <c r="AG308" s="57">
        <f t="shared" ref="AG308:AI308" si="1852">+AG295/AG292*400</f>
        <v>2.6412325752017609</v>
      </c>
      <c r="AH308" s="43" t="str">
        <f t="shared" si="1745"/>
        <v>NM</v>
      </c>
      <c r="AI308" s="57">
        <f t="shared" si="1852"/>
        <v>16.921954777534644</v>
      </c>
      <c r="AJ308" s="43" t="str">
        <f t="shared" si="1833"/>
        <v>NM</v>
      </c>
      <c r="AK308" s="57">
        <f t="shared" ref="AK308:AM308" si="1853">+AK295/AK292*400</f>
        <v>6.517311608961303</v>
      </c>
      <c r="AL308" s="43">
        <f t="shared" si="1835"/>
        <v>-6.1196780137717042</v>
      </c>
      <c r="AM308" s="57">
        <f t="shared" si="1853"/>
        <v>9.7494922139471907</v>
      </c>
      <c r="AN308" s="43">
        <f t="shared" si="1836"/>
        <v>-32.116567510335798</v>
      </c>
      <c r="AO308" s="57">
        <f t="shared" ref="AO308" si="1854">+AO295/AO292*400</f>
        <v>3.7831021437578811</v>
      </c>
      <c r="AP308" s="43">
        <f t="shared" si="1838"/>
        <v>43.23245060949975</v>
      </c>
      <c r="AQ308" s="57">
        <f t="shared" ref="AQ308:AW308" si="1855">+AQ295/AQ292*400</f>
        <v>-1.6504986568069071</v>
      </c>
      <c r="AR308" s="43" t="str">
        <f t="shared" si="1840"/>
        <v>NM</v>
      </c>
      <c r="AS308" s="57">
        <f t="shared" si="1855"/>
        <v>2.742684486912208</v>
      </c>
      <c r="AT308" s="43" t="str">
        <f t="shared" si="1841"/>
        <v>NM</v>
      </c>
      <c r="AU308" s="57">
        <f t="shared" si="1855"/>
        <v>2.7370861697827356</v>
      </c>
      <c r="AV308" s="43" t="str">
        <f t="shared" si="1842"/>
        <v>NM</v>
      </c>
      <c r="AW308" s="57">
        <f t="shared" si="1855"/>
        <v>2.7314683171289005</v>
      </c>
      <c r="AX308" s="43">
        <f t="shared" si="1843"/>
        <v>-27.798187483892718</v>
      </c>
      <c r="AY308" s="287"/>
      <c r="AZ308" s="122"/>
      <c r="BA308" s="131"/>
      <c r="BB308" s="57"/>
      <c r="BC308" s="226" t="str">
        <f>IF(ISERROR(BB308/#REF!),"NA",IF(OR(BB308/#REF!&gt;2,BB308/#REF!&lt;0.5),"NM",BB308/#REF!*100-100))</f>
        <v>NA</v>
      </c>
      <c r="BD308" s="911"/>
      <c r="BE308" s="226" t="str">
        <f t="shared" si="1760"/>
        <v>NA</v>
      </c>
      <c r="BF308" s="57">
        <f>BF295/BF292*100</f>
        <v>6.7190226876090744</v>
      </c>
      <c r="BG308" s="226" t="str">
        <f t="shared" si="1760"/>
        <v>NA</v>
      </c>
      <c r="BH308" s="57">
        <f t="shared" ref="BH308:BP308" si="1856">BH295/BH292*100</f>
        <v>9.0081892629663329</v>
      </c>
      <c r="BI308" s="226">
        <f t="shared" si="1760"/>
        <v>34.069933705966463</v>
      </c>
      <c r="BJ308" s="57">
        <f t="shared" ref="BJ308" si="1857">BJ295/BJ292*100</f>
        <v>9.7009482129832243</v>
      </c>
      <c r="BK308" s="226">
        <f t="shared" si="1760"/>
        <v>7.6903241017026716</v>
      </c>
      <c r="BL308" s="57">
        <f t="shared" ref="BL308" si="1858">BL295/BL292*100</f>
        <v>1.6200877814946109</v>
      </c>
      <c r="BM308" s="226" t="str">
        <f t="shared" si="1760"/>
        <v>NM</v>
      </c>
      <c r="BN308" s="735">
        <f t="shared" si="1856"/>
        <v>3.2</v>
      </c>
      <c r="BO308" s="226">
        <f t="shared" si="1760"/>
        <v>97.52016134877843</v>
      </c>
      <c r="BP308" s="735">
        <f t="shared" si="1856"/>
        <v>3.1999999999999993</v>
      </c>
      <c r="BQ308" s="226">
        <f t="shared" si="1760"/>
        <v>-2.8421709430404007E-14</v>
      </c>
      <c r="BR308" s="735">
        <f t="shared" ref="BR308:BT308" si="1859">BR295/BR292*100</f>
        <v>3.2</v>
      </c>
      <c r="BS308" s="226">
        <f t="shared" si="1760"/>
        <v>2.8421709430404007E-14</v>
      </c>
      <c r="BT308" s="735">
        <f t="shared" si="1859"/>
        <v>3.1999999999999993</v>
      </c>
      <c r="BU308" s="226">
        <f t="shared" si="1848"/>
        <v>-2.8421709430404007E-14</v>
      </c>
      <c r="BV308" s="43">
        <f>IF(ISERROR(((BT308/BJ308)^0.2-1)*100),"NA",IF((((BT308/BJ308)^0.2-1)*100)&gt;100,"NM",IF((((BT308/BJ308)^0.2-1)*100)&lt;-50,"NM",((BT308/BJ308)^0.2-1)*100)))</f>
        <v>-19.893610412837305</v>
      </c>
      <c r="BW308" s="722"/>
      <c r="BX308" s="722"/>
      <c r="BY308"/>
      <c r="BZ308"/>
      <c r="CA308"/>
      <c r="CB308"/>
      <c r="CC308"/>
      <c r="CD308"/>
    </row>
    <row r="309" spans="1:83" s="2" customFormat="1" ht="12.75" customHeight="1" x14ac:dyDescent="0.2">
      <c r="A309" s="41"/>
      <c r="B309" s="240" t="s">
        <v>105</v>
      </c>
      <c r="C309" s="57"/>
      <c r="D309" s="9"/>
      <c r="E309" s="57"/>
      <c r="F309" s="9"/>
      <c r="G309" s="57"/>
      <c r="H309" s="9"/>
      <c r="I309" s="130"/>
      <c r="J309" s="9"/>
      <c r="K309" s="130"/>
      <c r="L309" s="9"/>
      <c r="M309" s="130"/>
      <c r="N309" s="9"/>
      <c r="O309" s="130">
        <f>(O308/4)/O$31*100</f>
        <v>547.13804713804723</v>
      </c>
      <c r="P309" s="43" t="str">
        <f t="shared" ref="N309:P339" si="1860">IF(ISERROR(O309/G309),"NA",IF(OR(O309/G309&gt;2,O309/G309&lt;0.5),"NM",O309/G309*100-100))</f>
        <v>NA</v>
      </c>
      <c r="Q309" s="130">
        <f t="shared" ref="Q309:W309" si="1861">(Q308/4)/Q$31*100</f>
        <v>19.575600970949807</v>
      </c>
      <c r="R309" s="43" t="str">
        <f t="shared" ref="R309:R357" si="1862">IF(ISERROR(Q309/I309),"NA",IF(OR(Q309/I309&gt;2,Q309/I309&lt;0.5),"NM",Q309/I309*100-100))</f>
        <v>NA</v>
      </c>
      <c r="S309" s="130">
        <f t="shared" si="1861"/>
        <v>676.26527050610821</v>
      </c>
      <c r="T309" s="43" t="str">
        <f t="shared" ref="T309:T357" si="1863">IF(ISERROR(S309/K309),"NA",IF(OR(S309/K309&gt;2,S309/K309&lt;0.5),"NM",S309/K309*100-100))</f>
        <v>NA</v>
      </c>
      <c r="U309" s="130">
        <f t="shared" si="1861"/>
        <v>405.77096483318303</v>
      </c>
      <c r="V309" s="43" t="str">
        <f t="shared" si="1745"/>
        <v>NA</v>
      </c>
      <c r="W309" s="130">
        <f t="shared" si="1861"/>
        <v>-3.370000841113225</v>
      </c>
      <c r="X309" s="43" t="str">
        <f t="shared" si="1745"/>
        <v>NM</v>
      </c>
      <c r="Y309" s="130">
        <f t="shared" ref="Y309:AA309" si="1864">(Y308/4)/Y$31*100</f>
        <v>37.701985287540097</v>
      </c>
      <c r="Z309" s="43">
        <f t="shared" si="1745"/>
        <v>92.596821642869855</v>
      </c>
      <c r="AA309" s="130">
        <f t="shared" si="1864"/>
        <v>258.96200228055551</v>
      </c>
      <c r="AB309" s="43" t="str">
        <f t="shared" si="1745"/>
        <v>NM</v>
      </c>
      <c r="AC309" s="130">
        <f t="shared" ref="AC309:AE309" si="1865">(AC308/4)/AC$31*100</f>
        <v>137.93606733686113</v>
      </c>
      <c r="AD309" s="43" t="str">
        <f t="shared" si="1745"/>
        <v>NM</v>
      </c>
      <c r="AE309" s="130">
        <f t="shared" si="1865"/>
        <v>115.59586843308554</v>
      </c>
      <c r="AF309" s="43" t="str">
        <f t="shared" si="1745"/>
        <v>NM</v>
      </c>
      <c r="AG309" s="130">
        <f t="shared" ref="AG309:AI309" si="1866">(AG308/4)/AG$31*100</f>
        <v>20.290875535841831</v>
      </c>
      <c r="AH309" s="43">
        <f t="shared" si="1745"/>
        <v>-46.180883099151707</v>
      </c>
      <c r="AI309" s="130">
        <f t="shared" si="1866"/>
        <v>76.449567645825795</v>
      </c>
      <c r="AJ309" s="43" t="str">
        <f t="shared" si="1833"/>
        <v>NM</v>
      </c>
      <c r="AK309" s="130">
        <f t="shared" ref="AK309:AM309" si="1867">(AK308/4)/AK$31*100</f>
        <v>62.666457778474062</v>
      </c>
      <c r="AL309" s="43" t="str">
        <f t="shared" si="1835"/>
        <v>NM</v>
      </c>
      <c r="AM309" s="130">
        <f t="shared" si="1867"/>
        <v>67.704807041299929</v>
      </c>
      <c r="AN309" s="43">
        <f t="shared" si="1836"/>
        <v>-41.429734506046032</v>
      </c>
      <c r="AO309" s="130">
        <f t="shared" ref="AO309" si="1868">(AO308/4)/AO$31*100</f>
        <v>14.777742749054223</v>
      </c>
      <c r="AP309" s="43">
        <f t="shared" si="1838"/>
        <v>-27.170502214402731</v>
      </c>
      <c r="AQ309" s="130">
        <f t="shared" ref="AQ309:AW309" si="1869">(AQ308/4)/AQ$31*100</f>
        <v>34.385388683477231</v>
      </c>
      <c r="AR309" s="43" t="str">
        <f t="shared" si="1840"/>
        <v>NM</v>
      </c>
      <c r="AS309" s="130">
        <f t="shared" si="1869"/>
        <v>34.283556086402598</v>
      </c>
      <c r="AT309" s="43">
        <f t="shared" si="1841"/>
        <v>-45.292015375123043</v>
      </c>
      <c r="AU309" s="130">
        <f t="shared" si="1869"/>
        <v>34.213577122284192</v>
      </c>
      <c r="AV309" s="43">
        <f t="shared" si="1842"/>
        <v>-49.466546590386251</v>
      </c>
      <c r="AW309" s="130">
        <f t="shared" si="1869"/>
        <v>34.143353964111256</v>
      </c>
      <c r="AX309" s="43" t="str">
        <f t="shared" si="1843"/>
        <v>NM</v>
      </c>
      <c r="AY309" s="287"/>
      <c r="AZ309" s="122"/>
      <c r="BA309" s="131"/>
      <c r="BB309" s="57"/>
      <c r="BC309" s="9"/>
      <c r="BD309" s="911"/>
      <c r="BE309" s="9"/>
      <c r="BF309" s="57"/>
      <c r="BG309" s="9"/>
      <c r="BH309" s="57"/>
      <c r="BI309" s="9"/>
      <c r="BJ309" s="57"/>
      <c r="BK309" s="9"/>
      <c r="BL309" s="57"/>
      <c r="BM309" s="9"/>
      <c r="BN309" s="734"/>
      <c r="BO309" s="9"/>
      <c r="BP309" s="734"/>
      <c r="BQ309" s="9"/>
      <c r="BR309" s="734"/>
      <c r="BS309" s="9"/>
      <c r="BT309" s="734"/>
      <c r="BU309" s="9"/>
      <c r="BV309" s="43" t="str">
        <f>IF(ISERROR(((BT309/BJ309)^0.2-1)*100),"NA",IF((((BT309/BJ309)^0.2-1)*100)&gt;100,"NM",IF((((BT309/BJ309)^0.2-1)*100)&lt;-50,"NM",((BT309/BJ309)^0.2-1)*100)))</f>
        <v>NA</v>
      </c>
      <c r="BW309" s="722"/>
      <c r="BX309" s="722"/>
      <c r="BY309"/>
      <c r="BZ309"/>
      <c r="CA309"/>
      <c r="CB309"/>
      <c r="CC309"/>
      <c r="CD309"/>
    </row>
    <row r="310" spans="1:83" s="2" customFormat="1" ht="12.75" customHeight="1" x14ac:dyDescent="0.2">
      <c r="A310" s="41"/>
      <c r="B310" s="240"/>
      <c r="C310" s="57"/>
      <c r="D310" s="9"/>
      <c r="E310" s="57"/>
      <c r="F310" s="9"/>
      <c r="G310" s="57"/>
      <c r="H310" s="9"/>
      <c r="I310" s="130"/>
      <c r="J310" s="9"/>
      <c r="K310" s="130"/>
      <c r="L310" s="9"/>
      <c r="M310" s="130"/>
      <c r="N310" s="9"/>
      <c r="O310" s="130"/>
      <c r="P310" s="43"/>
      <c r="Q310" s="130"/>
      <c r="R310" s="43"/>
      <c r="S310" s="130"/>
      <c r="T310" s="43"/>
      <c r="U310" s="130"/>
      <c r="V310" s="43"/>
      <c r="W310" s="130"/>
      <c r="X310" s="43"/>
      <c r="Y310" s="130"/>
      <c r="Z310" s="43"/>
      <c r="AA310" s="130"/>
      <c r="AB310" s="43"/>
      <c r="AC310" s="130"/>
      <c r="AD310" s="43"/>
      <c r="AE310" s="130"/>
      <c r="AF310" s="43"/>
      <c r="AG310" s="130"/>
      <c r="AH310" s="9"/>
      <c r="AI310" s="130"/>
      <c r="AJ310" s="9"/>
      <c r="AK310" s="130"/>
      <c r="AL310" s="9"/>
      <c r="AM310" s="130"/>
      <c r="AN310" s="9"/>
      <c r="AO310" s="130"/>
      <c r="AP310" s="9"/>
      <c r="AQ310" s="242"/>
      <c r="AR310" s="9"/>
      <c r="AS310" s="242"/>
      <c r="AT310" s="9"/>
      <c r="AU310" s="242"/>
      <c r="AV310" s="9"/>
      <c r="AW310" s="242"/>
      <c r="AX310" s="9"/>
      <c r="AY310" s="287"/>
      <c r="AZ310" s="122"/>
      <c r="BA310" s="131"/>
      <c r="BB310" s="57"/>
      <c r="BC310" s="9"/>
      <c r="BD310" s="911"/>
      <c r="BE310" s="9"/>
      <c r="BF310" s="57"/>
      <c r="BG310" s="9"/>
      <c r="BH310" s="57"/>
      <c r="BI310" s="9"/>
      <c r="BJ310" s="57"/>
      <c r="BK310" s="9"/>
      <c r="BL310" s="57"/>
      <c r="BM310" s="9"/>
      <c r="BN310" s="242"/>
      <c r="BO310" s="9"/>
      <c r="BP310" s="242"/>
      <c r="BQ310" s="9"/>
      <c r="BR310" s="242"/>
      <c r="BS310" s="9"/>
      <c r="BT310" s="242"/>
      <c r="BU310" s="9"/>
      <c r="BV310" s="43"/>
      <c r="BW310" s="722"/>
      <c r="BX310" s="722"/>
      <c r="BY310"/>
      <c r="BZ310"/>
      <c r="CA310"/>
      <c r="CB310"/>
      <c r="CC310"/>
      <c r="CD310"/>
    </row>
    <row r="311" spans="1:83" s="2" customFormat="1" ht="12.75" customHeight="1" x14ac:dyDescent="0.2">
      <c r="A311" s="41"/>
      <c r="B311" s="80" t="s">
        <v>635</v>
      </c>
      <c r="C311" s="122"/>
      <c r="D311" s="40"/>
      <c r="E311" s="122"/>
      <c r="F311" s="40"/>
      <c r="G311" s="122"/>
      <c r="H311" s="40"/>
      <c r="I311" s="122"/>
      <c r="J311" s="40"/>
      <c r="K311" s="122"/>
      <c r="L311" s="40"/>
      <c r="M311" s="122"/>
      <c r="N311" s="40"/>
      <c r="O311" s="122"/>
      <c r="P311" s="43"/>
      <c r="Q311" s="122"/>
      <c r="R311" s="43"/>
      <c r="S311" s="122"/>
      <c r="T311" s="43"/>
      <c r="U311" s="122"/>
      <c r="V311" s="43"/>
      <c r="W311" s="122"/>
      <c r="X311" s="43"/>
      <c r="Y311" s="122"/>
      <c r="Z311" s="43"/>
      <c r="AA311" s="122"/>
      <c r="AB311" s="43"/>
      <c r="AC311" s="122"/>
      <c r="AD311" s="43"/>
      <c r="AE311" s="122"/>
      <c r="AF311" s="43"/>
      <c r="AG311" s="122"/>
      <c r="AH311" s="40"/>
      <c r="AI311" s="122"/>
      <c r="AJ311" s="40"/>
      <c r="AK311" s="122"/>
      <c r="AL311" s="40"/>
      <c r="AM311" s="122"/>
      <c r="AN311" s="40"/>
      <c r="AO311" s="122"/>
      <c r="AP311" s="40"/>
      <c r="AQ311" s="122"/>
      <c r="AR311" s="40"/>
      <c r="AS311" s="122"/>
      <c r="AT311" s="40"/>
      <c r="AU311" s="122"/>
      <c r="AV311" s="40"/>
      <c r="AW311" s="122"/>
      <c r="AX311" s="40"/>
      <c r="AY311" s="287"/>
      <c r="AZ311" s="15"/>
      <c r="BA311" s="40"/>
      <c r="BB311" s="122"/>
      <c r="BC311" s="40"/>
      <c r="BD311" s="928"/>
      <c r="BE311" s="40"/>
      <c r="BF311" s="122"/>
      <c r="BG311" s="40"/>
      <c r="BH311" s="122"/>
      <c r="BI311" s="40"/>
      <c r="BJ311" s="122"/>
      <c r="BK311" s="40"/>
      <c r="BL311" s="122"/>
      <c r="BM311" s="40"/>
      <c r="BN311" s="122"/>
      <c r="BO311" s="40"/>
      <c r="BP311" s="122"/>
      <c r="BQ311" s="40"/>
      <c r="BR311" s="122"/>
      <c r="BS311" s="40"/>
      <c r="BT311" s="122"/>
      <c r="BU311" s="40"/>
      <c r="BV311" s="43"/>
      <c r="BW311" s="722"/>
      <c r="BX311" s="722"/>
      <c r="BY311"/>
      <c r="BZ311"/>
      <c r="CA311"/>
      <c r="CB311"/>
      <c r="CC311"/>
      <c r="CD311"/>
    </row>
    <row r="312" spans="1:83" s="2" customFormat="1" ht="12.75" customHeight="1" x14ac:dyDescent="0.2">
      <c r="A312" s="41"/>
      <c r="B312" s="62" t="s">
        <v>574</v>
      </c>
      <c r="C312" s="122"/>
      <c r="D312" s="40"/>
      <c r="E312" s="122"/>
      <c r="F312" s="40"/>
      <c r="G312" s="122"/>
      <c r="H312" s="40"/>
      <c r="I312" s="122"/>
      <c r="J312" s="40"/>
      <c r="K312" s="122"/>
      <c r="L312" s="40"/>
      <c r="M312" s="122"/>
      <c r="N312" s="40"/>
      <c r="O312" s="653">
        <v>49.6</v>
      </c>
      <c r="P312" s="653"/>
      <c r="Q312" s="653">
        <v>48.5</v>
      </c>
      <c r="R312" s="653"/>
      <c r="S312" s="653">
        <v>45.3</v>
      </c>
      <c r="T312" s="653"/>
      <c r="U312" s="653">
        <v>42.5</v>
      </c>
      <c r="V312" s="653" t="str">
        <f t="shared" ref="V312:V316" si="1870">IF(ISERROR(U312/M312),"NA",IF(OR(U312/M312&gt;2,U312/M312&lt;0.5),"NM",U312/M312*100-100))</f>
        <v>NA</v>
      </c>
      <c r="W312" s="653">
        <v>40.200000000000003</v>
      </c>
      <c r="X312" s="653">
        <f t="shared" ref="X312:AH316" si="1871">IF(ISERROR(W312/O312),"NA",IF(OR(W312/O312&gt;2,W312/O312&lt;0.5),"NM",W312/O312*100-100))</f>
        <v>-18.951612903225794</v>
      </c>
      <c r="Y312" s="653">
        <v>37.799999999999997</v>
      </c>
      <c r="Z312" s="43"/>
      <c r="AA312" s="653">
        <v>37</v>
      </c>
      <c r="AB312" s="43"/>
      <c r="AC312" s="653">
        <v>42.8</v>
      </c>
      <c r="AD312" s="43"/>
      <c r="AE312" s="653">
        <v>52.4</v>
      </c>
      <c r="AF312" s="43"/>
      <c r="AG312" s="653">
        <v>50.9</v>
      </c>
      <c r="AH312" s="40"/>
      <c r="AI312" s="653">
        <v>56.5</v>
      </c>
      <c r="AJ312" s="40"/>
      <c r="AK312" s="653">
        <v>56.7</v>
      </c>
      <c r="AL312" s="40"/>
      <c r="AM312" s="653">
        <v>65.400000000000006</v>
      </c>
      <c r="AN312" s="40"/>
      <c r="AO312" s="653">
        <v>57.8</v>
      </c>
      <c r="AP312" s="40"/>
      <c r="AQ312" s="122"/>
      <c r="AR312" s="40"/>
      <c r="AS312" s="122"/>
      <c r="AT312" s="40"/>
      <c r="AU312" s="122"/>
      <c r="AV312" s="40"/>
      <c r="AW312" s="122"/>
      <c r="AX312" s="40"/>
      <c r="AY312" s="287"/>
      <c r="AZ312" s="15"/>
      <c r="BA312" s="40"/>
      <c r="BB312" s="122"/>
      <c r="BC312" s="40"/>
      <c r="BD312" s="928"/>
      <c r="BE312" s="40"/>
      <c r="BF312" s="122"/>
      <c r="BG312" s="40"/>
      <c r="BH312" s="122"/>
      <c r="BI312" s="40"/>
      <c r="BJ312" s="122"/>
      <c r="BK312" s="40"/>
      <c r="BL312" s="122"/>
      <c r="BM312" s="40"/>
      <c r="BN312" s="122"/>
      <c r="BO312" s="40"/>
      <c r="BP312" s="122"/>
      <c r="BQ312" s="40"/>
      <c r="BR312" s="122"/>
      <c r="BS312" s="40"/>
      <c r="BT312" s="122"/>
      <c r="BU312" s="40"/>
      <c r="BV312" s="43"/>
      <c r="BW312" s="722"/>
      <c r="BX312" s="722"/>
      <c r="BY312"/>
      <c r="BZ312"/>
      <c r="CA312"/>
      <c r="CB312"/>
      <c r="CC312"/>
      <c r="CD312"/>
    </row>
    <row r="313" spans="1:83" s="2" customFormat="1" ht="12.75" customHeight="1" x14ac:dyDescent="0.2">
      <c r="A313" s="41"/>
      <c r="B313" s="62" t="s">
        <v>575</v>
      </c>
      <c r="C313" s="122"/>
      <c r="D313" s="40"/>
      <c r="E313" s="122"/>
      <c r="F313" s="40"/>
      <c r="G313" s="122"/>
      <c r="H313" s="40"/>
      <c r="I313" s="122"/>
      <c r="J313" s="40"/>
      <c r="K313" s="122"/>
      <c r="L313" s="40"/>
      <c r="M313" s="122"/>
      <c r="N313" s="40"/>
      <c r="O313" s="653">
        <v>96.9</v>
      </c>
      <c r="P313" s="653"/>
      <c r="Q313" s="653">
        <v>80.2</v>
      </c>
      <c r="R313" s="653"/>
      <c r="S313" s="653">
        <v>74.8</v>
      </c>
      <c r="T313" s="653"/>
      <c r="U313" s="653">
        <v>74.599999999999994</v>
      </c>
      <c r="V313" s="653" t="str">
        <f t="shared" si="1870"/>
        <v>NA</v>
      </c>
      <c r="W313" s="653">
        <v>70.7</v>
      </c>
      <c r="X313" s="653">
        <f t="shared" si="1871"/>
        <v>-27.038183694530446</v>
      </c>
      <c r="Y313" s="653">
        <v>70.3</v>
      </c>
      <c r="Z313" s="43"/>
      <c r="AA313" s="653">
        <v>63.4</v>
      </c>
      <c r="AB313" s="43"/>
      <c r="AC313" s="653">
        <v>67.5</v>
      </c>
      <c r="AD313" s="43"/>
      <c r="AE313" s="653">
        <v>81.400000000000006</v>
      </c>
      <c r="AF313" s="43"/>
      <c r="AG313" s="653">
        <v>64.900000000000006</v>
      </c>
      <c r="AH313" s="40"/>
      <c r="AI313" s="653">
        <v>83.5</v>
      </c>
      <c r="AJ313" s="40"/>
      <c r="AK313" s="653">
        <v>71.900000000000006</v>
      </c>
      <c r="AL313" s="40"/>
      <c r="AM313" s="653">
        <v>71.3</v>
      </c>
      <c r="AN313" s="40"/>
      <c r="AO313" s="653">
        <v>74.8</v>
      </c>
      <c r="AP313" s="40"/>
      <c r="AQ313" s="122"/>
      <c r="AR313" s="40"/>
      <c r="AS313" s="122"/>
      <c r="AT313" s="40"/>
      <c r="AU313" s="122"/>
      <c r="AV313" s="40"/>
      <c r="AW313" s="122"/>
      <c r="AX313" s="40"/>
      <c r="AY313" s="287"/>
      <c r="AZ313" s="15"/>
      <c r="BA313" s="40"/>
      <c r="BB313" s="122"/>
      <c r="BC313" s="40"/>
      <c r="BD313" s="928"/>
      <c r="BE313" s="40"/>
      <c r="BF313" s="122"/>
      <c r="BG313" s="40"/>
      <c r="BH313" s="122"/>
      <c r="BI313" s="40"/>
      <c r="BJ313" s="122"/>
      <c r="BK313" s="40"/>
      <c r="BL313" s="122"/>
      <c r="BM313" s="40"/>
      <c r="BN313" s="122"/>
      <c r="BO313" s="40"/>
      <c r="BP313" s="122"/>
      <c r="BQ313" s="40"/>
      <c r="BR313" s="122"/>
      <c r="BS313" s="40"/>
      <c r="BT313" s="122"/>
      <c r="BU313" s="40"/>
      <c r="BV313" s="43"/>
      <c r="BW313" s="722"/>
      <c r="BX313" s="722"/>
      <c r="BY313"/>
      <c r="BZ313"/>
      <c r="CA313"/>
      <c r="CB313"/>
      <c r="CC313"/>
      <c r="CD313"/>
    </row>
    <row r="314" spans="1:83" s="2" customFormat="1" ht="12.75" customHeight="1" x14ac:dyDescent="0.2">
      <c r="A314" s="41"/>
      <c r="B314" s="62" t="s">
        <v>576</v>
      </c>
      <c r="C314" s="122"/>
      <c r="D314" s="40"/>
      <c r="E314" s="122"/>
      <c r="F314" s="40"/>
      <c r="G314" s="122"/>
      <c r="H314" s="40"/>
      <c r="I314" s="122"/>
      <c r="J314" s="40"/>
      <c r="K314" s="122"/>
      <c r="L314" s="40"/>
      <c r="M314" s="122"/>
      <c r="N314" s="40"/>
      <c r="O314" s="653">
        <v>39.299999999999997</v>
      </c>
      <c r="P314" s="653"/>
      <c r="Q314" s="653">
        <v>41.9</v>
      </c>
      <c r="R314" s="653"/>
      <c r="S314" s="653">
        <v>33.9</v>
      </c>
      <c r="T314" s="653"/>
      <c r="U314" s="653">
        <v>32.200000000000003</v>
      </c>
      <c r="V314" s="653" t="str">
        <f t="shared" si="1870"/>
        <v>NA</v>
      </c>
      <c r="W314" s="653">
        <v>31.6</v>
      </c>
      <c r="X314" s="653">
        <f t="shared" si="1871"/>
        <v>-19.592875318066149</v>
      </c>
      <c r="Y314" s="653">
        <v>33.4</v>
      </c>
      <c r="Z314" s="43"/>
      <c r="AA314" s="653">
        <v>30</v>
      </c>
      <c r="AB314" s="43"/>
      <c r="AC314" s="653">
        <v>28.1</v>
      </c>
      <c r="AD314" s="43"/>
      <c r="AE314" s="653">
        <v>21.2</v>
      </c>
      <c r="AF314" s="43"/>
      <c r="AG314" s="653">
        <v>24</v>
      </c>
      <c r="AH314" s="40"/>
      <c r="AI314" s="653">
        <v>27.2</v>
      </c>
      <c r="AJ314" s="40"/>
      <c r="AK314" s="653">
        <v>27.9</v>
      </c>
      <c r="AL314" s="40"/>
      <c r="AM314" s="653">
        <v>30.5</v>
      </c>
      <c r="AN314" s="40"/>
      <c r="AO314" s="653">
        <f>29.4-0.1</f>
        <v>29.299999999999997</v>
      </c>
      <c r="AP314" s="40"/>
      <c r="AQ314" s="122"/>
      <c r="AR314" s="40"/>
      <c r="AS314" s="122"/>
      <c r="AT314" s="40"/>
      <c r="AU314" s="122"/>
      <c r="AV314" s="40"/>
      <c r="AW314" s="122"/>
      <c r="AX314" s="40"/>
      <c r="AY314" s="287"/>
      <c r="AZ314" s="15"/>
      <c r="BA314" s="40"/>
      <c r="BB314" s="122"/>
      <c r="BC314" s="40"/>
      <c r="BD314" s="928"/>
      <c r="BE314" s="40"/>
      <c r="BF314" s="122"/>
      <c r="BG314" s="40"/>
      <c r="BH314" s="122"/>
      <c r="BI314" s="40"/>
      <c r="BJ314" s="122"/>
      <c r="BK314" s="40"/>
      <c r="BL314" s="122"/>
      <c r="BM314" s="40"/>
      <c r="BN314" s="122"/>
      <c r="BO314" s="40"/>
      <c r="BP314" s="122"/>
      <c r="BQ314" s="40"/>
      <c r="BR314" s="122"/>
      <c r="BS314" s="40"/>
      <c r="BT314" s="122"/>
      <c r="BU314" s="40"/>
      <c r="BV314" s="43"/>
      <c r="BW314" s="722"/>
      <c r="BX314" s="722"/>
      <c r="BY314"/>
      <c r="BZ314"/>
      <c r="CA314"/>
      <c r="CB314"/>
      <c r="CC314"/>
      <c r="CD314"/>
    </row>
    <row r="315" spans="1:83" s="2" customFormat="1" ht="12.75" customHeight="1" x14ac:dyDescent="0.2">
      <c r="A315" s="41"/>
      <c r="B315" s="62" t="s">
        <v>598</v>
      </c>
      <c r="C315" s="122"/>
      <c r="D315" s="40"/>
      <c r="E315" s="122"/>
      <c r="F315" s="40"/>
      <c r="G315" s="122"/>
      <c r="H315" s="40"/>
      <c r="I315" s="122"/>
      <c r="J315" s="40"/>
      <c r="K315" s="122"/>
      <c r="L315" s="40"/>
      <c r="M315" s="122"/>
      <c r="N315" s="40"/>
      <c r="O315" s="128">
        <f>O316-SUM(O312:O314)</f>
        <v>33.699999999999989</v>
      </c>
      <c r="P315" s="43"/>
      <c r="Q315" s="128">
        <f>Q316-SUM(Q312:Q314)</f>
        <v>35</v>
      </c>
      <c r="R315" s="43"/>
      <c r="S315" s="128">
        <f>S316-SUM(S312:S314)</f>
        <v>37.099999999999994</v>
      </c>
      <c r="T315" s="43"/>
      <c r="U315" s="128">
        <f>U316-SUM(U312:U314)</f>
        <v>44.399999999999977</v>
      </c>
      <c r="V315" s="43" t="str">
        <f t="shared" si="1870"/>
        <v>NA</v>
      </c>
      <c r="W315" s="128">
        <f>W316-SUM(W312:W314)</f>
        <v>45.199999999999989</v>
      </c>
      <c r="X315" s="43">
        <f t="shared" si="1871"/>
        <v>34.124629080118694</v>
      </c>
      <c r="Y315" s="128">
        <f>Y316-SUM(Y312:Y314)</f>
        <v>53.599999999999994</v>
      </c>
      <c r="Z315" s="43"/>
      <c r="AA315" s="128">
        <f>AA316-SUM(AA312:AA314)</f>
        <v>54.299999999999983</v>
      </c>
      <c r="AB315" s="43"/>
      <c r="AC315" s="128">
        <f>AC316-SUM(AC312:AC314)</f>
        <v>55.199999999999989</v>
      </c>
      <c r="AD315" s="43"/>
      <c r="AE315" s="128">
        <f>AE316-SUM(AE312:AE314)</f>
        <v>60.599999999999994</v>
      </c>
      <c r="AF315" s="43"/>
      <c r="AG315" s="128">
        <f>AG316-SUM(AG312:AG314)</f>
        <v>58</v>
      </c>
      <c r="AH315" s="40"/>
      <c r="AI315" s="128">
        <f>AI316-SUM(AI312:AI314)</f>
        <v>60.5</v>
      </c>
      <c r="AJ315" s="40"/>
      <c r="AK315" s="128">
        <f>AK316-SUM(AK312:AK314)</f>
        <v>63.69999999999996</v>
      </c>
      <c r="AL315" s="40"/>
      <c r="AM315" s="128">
        <f>AM316-SUM(AM312:AM314)</f>
        <v>68.800000000000011</v>
      </c>
      <c r="AN315" s="40"/>
      <c r="AO315" s="128">
        <f>AO316-SUM(AO312:AO314)</f>
        <v>76.200000000000017</v>
      </c>
      <c r="AP315" s="40"/>
      <c r="AQ315" s="122"/>
      <c r="AR315" s="40"/>
      <c r="AS315" s="122"/>
      <c r="AT315" s="40"/>
      <c r="AU315" s="122"/>
      <c r="AV315" s="40"/>
      <c r="AW315" s="122"/>
      <c r="AX315" s="40"/>
      <c r="AY315" s="287"/>
      <c r="AZ315" s="15"/>
      <c r="BA315" s="40"/>
      <c r="BB315" s="122"/>
      <c r="BC315" s="40"/>
      <c r="BD315" s="928"/>
      <c r="BE315" s="40"/>
      <c r="BF315" s="122"/>
      <c r="BG315" s="40"/>
      <c r="BH315" s="122"/>
      <c r="BI315" s="40"/>
      <c r="BJ315" s="122"/>
      <c r="BK315" s="40"/>
      <c r="BL315" s="122"/>
      <c r="BM315" s="40"/>
      <c r="BN315" s="122"/>
      <c r="BO315" s="40"/>
      <c r="BP315" s="122"/>
      <c r="BQ315" s="40"/>
      <c r="BR315" s="122"/>
      <c r="BS315" s="40"/>
      <c r="BT315" s="122"/>
      <c r="BU315" s="40"/>
      <c r="BV315" s="43"/>
      <c r="BW315" s="722"/>
      <c r="BX315" s="722"/>
      <c r="BY315"/>
      <c r="BZ315"/>
      <c r="CA315"/>
      <c r="CB315"/>
      <c r="CC315"/>
      <c r="CD315"/>
    </row>
    <row r="316" spans="1:83" s="2" customFormat="1" ht="12.75" customHeight="1" x14ac:dyDescent="0.2">
      <c r="A316" s="41"/>
      <c r="B316" s="80" t="s">
        <v>636</v>
      </c>
      <c r="C316" s="122"/>
      <c r="D316" s="40"/>
      <c r="E316" s="122"/>
      <c r="F316" s="40"/>
      <c r="G316" s="122"/>
      <c r="H316" s="40"/>
      <c r="I316" s="122"/>
      <c r="J316" s="40"/>
      <c r="K316" s="122"/>
      <c r="L316" s="40"/>
      <c r="M316" s="122"/>
      <c r="N316" s="40"/>
      <c r="O316" s="653">
        <v>219.5</v>
      </c>
      <c r="P316" s="653"/>
      <c r="Q316" s="653">
        <v>205.6</v>
      </c>
      <c r="R316" s="653"/>
      <c r="S316" s="653">
        <v>191.1</v>
      </c>
      <c r="T316" s="653"/>
      <c r="U316" s="653">
        <v>193.7</v>
      </c>
      <c r="V316" s="653" t="str">
        <f t="shared" si="1870"/>
        <v>NA</v>
      </c>
      <c r="W316" s="653">
        <v>187.7</v>
      </c>
      <c r="X316" s="43">
        <f t="shared" si="1871"/>
        <v>-14.487471526195904</v>
      </c>
      <c r="Y316" s="653">
        <v>195.1</v>
      </c>
      <c r="Z316" s="43">
        <f t="shared" si="1871"/>
        <v>-5.1070038910505815</v>
      </c>
      <c r="AA316" s="653">
        <v>184.7</v>
      </c>
      <c r="AB316" s="43">
        <f t="shared" si="1871"/>
        <v>-3.3490319204605044</v>
      </c>
      <c r="AC316" s="653">
        <v>193.6</v>
      </c>
      <c r="AD316" s="43">
        <f t="shared" si="1871"/>
        <v>-5.1626226122863272E-2</v>
      </c>
      <c r="AE316" s="653">
        <v>215.6</v>
      </c>
      <c r="AF316" s="43">
        <f t="shared" si="1871"/>
        <v>14.864144912093778</v>
      </c>
      <c r="AG316" s="653">
        <v>197.8</v>
      </c>
      <c r="AH316" s="43">
        <f t="shared" si="1871"/>
        <v>1.3839056893900619</v>
      </c>
      <c r="AI316" s="653">
        <v>227.7</v>
      </c>
      <c r="AJ316" s="43">
        <f t="shared" ref="AJ316" si="1872">IF(ISERROR(AI316/AA316),"NA",IF(OR(AI316/AA316&gt;2,AI316/AA316&lt;0.5),"NM",AI316/AA316*100-100))</f>
        <v>23.280996210070384</v>
      </c>
      <c r="AK316" s="653">
        <v>220.2</v>
      </c>
      <c r="AL316" s="43">
        <f t="shared" ref="AL316" si="1873">IF(ISERROR(AK316/AC316),"NA",IF(OR(AK316/AC316&gt;2,AK316/AC316&lt;0.5),"NM",AK316/AC316*100-100))</f>
        <v>13.739669421487605</v>
      </c>
      <c r="AM316" s="653">
        <v>236</v>
      </c>
      <c r="AN316" s="43">
        <f t="shared" ref="AN316" si="1874">IF(ISERROR(AM316/AE316),"NA",IF(OR(AM316/AE316&gt;2,AM316/AE316&lt;0.5),"NM",AM316/AE316*100-100))</f>
        <v>9.4619666048237434</v>
      </c>
      <c r="AO316" s="653">
        <v>238.1</v>
      </c>
      <c r="AP316" s="43">
        <f t="shared" ref="AP316" si="1875">IF(ISERROR(AO316/AG316),"NA",IF(OR(AO316/AG316&gt;2,AO316/AG316&lt;0.5),"NM",AO316/AG316*100-100))</f>
        <v>20.374115267947417</v>
      </c>
      <c r="AQ316" s="653">
        <f t="shared" ref="AQ316" si="1876">AO316/AO303*AQ303</f>
        <v>242.44121181597342</v>
      </c>
      <c r="AR316" s="43">
        <f t="shared" ref="AR316" si="1877">IF(ISERROR(AQ316/AI316),"NA",IF(OR(AQ316/AI316&gt;2,AQ316/AI316&lt;0.5),"NM",AQ316/AI316*100-100))</f>
        <v>6.4739621501859688</v>
      </c>
      <c r="AS316" s="653">
        <f t="shared" ref="AS316" si="1878">AQ316/AQ303*AS303</f>
        <v>243.90731950527592</v>
      </c>
      <c r="AT316" s="43">
        <f t="shared" ref="AT316" si="1879">IF(ISERROR(AS316/AK316),"NA",IF(OR(AS316/AK316&gt;2,AS316/AK316&lt;0.5),"NM",AS316/AK316*100-100))</f>
        <v>10.766266805302422</v>
      </c>
      <c r="AU316" s="653">
        <f t="shared" ref="AU316" si="1880">AS316/AS303*AU303</f>
        <v>246.15993264526162</v>
      </c>
      <c r="AV316" s="43">
        <f t="shared" ref="AV316" si="1881">IF(ISERROR(AU316/AM316),"NA",IF(OR(AU316/AM316&gt;2,AU316/AM316&lt;0.5),"NM",AU316/AM316*100-100))</f>
        <v>4.3050562056193371</v>
      </c>
      <c r="AW316" s="653">
        <f t="shared" ref="AW316" si="1882">AU316/AU303*AW303</f>
        <v>248.45470181966454</v>
      </c>
      <c r="AX316" s="43">
        <f t="shared" ref="AX316" si="1883">IF(ISERROR(AW316/AO316),"NA",IF(OR(AW316/AO316&gt;2,AW316/AO316&lt;0.5),"NM",AW316/AO316*100-100))</f>
        <v>4.3488877865033686</v>
      </c>
      <c r="AY316" s="287"/>
      <c r="AZ316" s="15"/>
      <c r="BA316" s="40"/>
      <c r="BB316" s="122"/>
      <c r="BC316" s="40"/>
      <c r="BD316" s="928"/>
      <c r="BE316" s="40"/>
      <c r="BF316" s="55">
        <f>S316+U316+W316+Y316</f>
        <v>767.6</v>
      </c>
      <c r="BG316" s="226" t="str">
        <f t="shared" ref="BG316" si="1884">IF(ISERROR(BF316/BD316),"NA",IF(OR(BF316/BD316&gt;2,BF316/BD316&lt;0.5),"NM",BF316/BD316*100-100))</f>
        <v>NA</v>
      </c>
      <c r="BH316" s="81">
        <f>AA316+AC316+AE316+AG316</f>
        <v>791.7</v>
      </c>
      <c r="BI316" s="226">
        <f t="shared" ref="BI316:BS316" si="1885">IF(ISERROR(BH316/BF316),"NA",IF(OR(BH316/BF316&gt;2,BH316/BF316&lt;0.5),"NM",BH316/BF316*100-100))</f>
        <v>3.1396560708702594</v>
      </c>
      <c r="BJ316" s="81">
        <f>AI316+AK316+AM316+AO316</f>
        <v>922</v>
      </c>
      <c r="BK316" s="226">
        <f t="shared" si="1885"/>
        <v>16.458254389288868</v>
      </c>
      <c r="BL316" s="81">
        <f>AQ316+AS316+AU316+AW316</f>
        <v>980.96316578617552</v>
      </c>
      <c r="BM316" s="226">
        <f t="shared" si="1885"/>
        <v>6.3951372870038483</v>
      </c>
      <c r="BN316" s="81">
        <f>BL316*1.05</f>
        <v>1030.0113240754843</v>
      </c>
      <c r="BO316" s="226">
        <f t="shared" si="1885"/>
        <v>5</v>
      </c>
      <c r="BP316" s="81">
        <f>BN316*1.05</f>
        <v>1081.5118902792585</v>
      </c>
      <c r="BQ316" s="40">
        <f t="shared" si="1885"/>
        <v>5</v>
      </c>
      <c r="BR316" s="81">
        <f>BP316*1.05</f>
        <v>1135.5874847932214</v>
      </c>
      <c r="BS316" s="40">
        <f t="shared" si="1885"/>
        <v>5</v>
      </c>
      <c r="BT316" s="81">
        <f>BR316*1.05</f>
        <v>1192.3668590328825</v>
      </c>
      <c r="BU316" s="40">
        <f t="shared" ref="BU316" si="1886">IF(ISERROR(BT316/BR316),"NA",IF(OR(BT316/BR316&gt;2,BT316/BR316&lt;0.5),"NM",BT316/BR316*100-100))</f>
        <v>5</v>
      </c>
      <c r="BV316" s="43">
        <f>IF(ISERROR(((BT316/BJ316)^0.2-1)*100),"NA",IF((((BT316/BJ316)^0.2-1)*100)&gt;100,"NM",IF((((BT316/BJ316)^0.2-1)*100)&lt;-50,"NM",((BT316/BJ316)^0.2-1)*100)))</f>
        <v>5.2775561935898718</v>
      </c>
      <c r="BW316" s="722"/>
      <c r="BX316" s="722"/>
      <c r="BY316"/>
      <c r="BZ316"/>
      <c r="CA316"/>
      <c r="CB316"/>
      <c r="CC316"/>
      <c r="CD316"/>
    </row>
    <row r="317" spans="1:83" s="2" customFormat="1" ht="12.75" customHeight="1" x14ac:dyDescent="0.2">
      <c r="A317" s="41"/>
      <c r="B317" s="80"/>
      <c r="C317" s="122"/>
      <c r="D317" s="40"/>
      <c r="E317" s="122"/>
      <c r="F317" s="40"/>
      <c r="G317" s="122"/>
      <c r="H317" s="40"/>
      <c r="I317" s="122"/>
      <c r="J317" s="40"/>
      <c r="K317" s="122"/>
      <c r="L317" s="40"/>
      <c r="M317" s="134"/>
      <c r="N317" s="40"/>
      <c r="O317" s="134"/>
      <c r="P317" s="43"/>
      <c r="Q317" s="134"/>
      <c r="R317" s="43"/>
      <c r="S317" s="134"/>
      <c r="T317" s="43"/>
      <c r="U317" s="134"/>
      <c r="V317" s="43"/>
      <c r="W317" s="134"/>
      <c r="X317" s="43"/>
      <c r="Y317" s="134"/>
      <c r="Z317" s="43"/>
      <c r="AA317" s="134"/>
      <c r="AB317" s="43"/>
      <c r="AC317" s="134"/>
      <c r="AD317" s="43"/>
      <c r="AE317" s="134"/>
      <c r="AF317" s="43"/>
      <c r="AG317" s="134"/>
      <c r="AH317" s="40"/>
      <c r="AI317" s="134"/>
      <c r="AJ317" s="40"/>
      <c r="AK317" s="134"/>
      <c r="AL317" s="40"/>
      <c r="AM317" s="860"/>
      <c r="AN317" s="40"/>
      <c r="AO317" s="860"/>
      <c r="AP317" s="40"/>
      <c r="AQ317" s="122"/>
      <c r="AR317" s="40"/>
      <c r="AS317" s="122"/>
      <c r="AT317" s="40"/>
      <c r="AU317" s="122"/>
      <c r="AV317" s="40"/>
      <c r="AW317" s="122"/>
      <c r="AX317" s="40"/>
      <c r="AY317" s="287"/>
      <c r="AZ317" s="15"/>
      <c r="BA317" s="40"/>
      <c r="BB317" s="122"/>
      <c r="BC317" s="40"/>
      <c r="BD317" s="928"/>
      <c r="BE317" s="40"/>
      <c r="BF317" s="122"/>
      <c r="BG317" s="40"/>
      <c r="BH317" s="122"/>
      <c r="BI317" s="40"/>
      <c r="BJ317" s="122"/>
      <c r="BK317" s="40"/>
      <c r="BL317" s="122"/>
      <c r="BM317" s="40"/>
      <c r="BN317" s="122"/>
      <c r="BO317" s="40"/>
      <c r="BP317" s="122"/>
      <c r="BQ317" s="40"/>
      <c r="BR317" s="122"/>
      <c r="BS317" s="40"/>
      <c r="BT317" s="122"/>
      <c r="BU317" s="40"/>
      <c r="BV317" s="43"/>
      <c r="BW317" s="722"/>
      <c r="BX317" s="722"/>
      <c r="BY317"/>
      <c r="BZ317"/>
      <c r="CA317"/>
      <c r="CB317"/>
      <c r="CC317"/>
      <c r="CD317"/>
    </row>
    <row r="318" spans="1:83" s="2" customFormat="1" ht="12.75" customHeight="1" x14ac:dyDescent="0.2">
      <c r="A318" s="41"/>
      <c r="B318" s="80" t="s">
        <v>492</v>
      </c>
      <c r="C318" s="122"/>
      <c r="D318" s="40"/>
      <c r="E318" s="122"/>
      <c r="F318" s="40"/>
      <c r="G318" s="122"/>
      <c r="H318" s="40"/>
      <c r="I318" s="122"/>
      <c r="J318" s="40"/>
      <c r="K318" s="122"/>
      <c r="L318" s="40"/>
      <c r="M318" s="122"/>
      <c r="N318" s="40"/>
      <c r="O318" s="122"/>
      <c r="P318" s="43"/>
      <c r="Q318" s="122"/>
      <c r="R318" s="43"/>
      <c r="S318" s="122"/>
      <c r="T318" s="43"/>
      <c r="U318" s="122"/>
      <c r="V318" s="43"/>
      <c r="W318" s="122"/>
      <c r="X318" s="43"/>
      <c r="Y318" s="122"/>
      <c r="Z318" s="43"/>
      <c r="AA318" s="122"/>
      <c r="AB318" s="43"/>
      <c r="AC318" s="122"/>
      <c r="AD318" s="43"/>
      <c r="AE318" s="122"/>
      <c r="AF318" s="43"/>
      <c r="AG318" s="122"/>
      <c r="AH318" s="40"/>
      <c r="AI318" s="122"/>
      <c r="AJ318" s="40"/>
      <c r="AK318" s="122"/>
      <c r="AL318" s="40"/>
      <c r="AM318" s="122"/>
      <c r="AN318" s="40"/>
      <c r="AO318" s="122"/>
      <c r="AP318" s="40"/>
      <c r="AQ318" s="122"/>
      <c r="AR318" s="40"/>
      <c r="AS318" s="122"/>
      <c r="AT318" s="40"/>
      <c r="AU318" s="122"/>
      <c r="AV318" s="40"/>
      <c r="AW318" s="122"/>
      <c r="AX318" s="40"/>
      <c r="AY318" s="287"/>
      <c r="AZ318" s="15"/>
      <c r="BA318" s="40"/>
      <c r="BB318" s="122"/>
      <c r="BC318" s="40"/>
      <c r="BD318" s="928"/>
      <c r="BE318" s="40"/>
      <c r="BF318" s="122"/>
      <c r="BG318" s="40"/>
      <c r="BH318" s="122"/>
      <c r="BI318" s="40"/>
      <c r="BJ318" s="122"/>
      <c r="BK318" s="40"/>
      <c r="BL318" s="122"/>
      <c r="BM318" s="40"/>
      <c r="BN318" s="122"/>
      <c r="BO318" s="40"/>
      <c r="BP318" s="122"/>
      <c r="BQ318" s="40"/>
      <c r="BR318" s="122"/>
      <c r="BS318" s="40"/>
      <c r="BT318" s="122"/>
      <c r="BU318" s="40"/>
      <c r="BV318" s="43"/>
      <c r="BW318" s="722"/>
      <c r="BX318" s="722"/>
      <c r="BY318"/>
      <c r="BZ318"/>
      <c r="CA318"/>
      <c r="CB318"/>
      <c r="CC318"/>
      <c r="CD318"/>
    </row>
    <row r="319" spans="1:83" s="7" customFormat="1" ht="12.75" customHeight="1" x14ac:dyDescent="0.2">
      <c r="A319" s="42"/>
      <c r="B319" s="62" t="s">
        <v>374</v>
      </c>
      <c r="C319" s="653">
        <f>71.5+76.8</f>
        <v>148.30000000000001</v>
      </c>
      <c r="D319" s="9" t="str">
        <f>IF(ISERROR(C319/#REF!),"NA",IF(OR(C319/#REF!&gt;2,C319/#REF!&lt;0.5),"NM",C319/#REF!*100-100))</f>
        <v>NA</v>
      </c>
      <c r="E319" s="653">
        <f>78.3+112.4</f>
        <v>190.7</v>
      </c>
      <c r="F319" s="9" t="str">
        <f>IF(ISERROR(E319/#REF!),"NA",IF(OR(E319/#REF!&gt;2,E319/#REF!&lt;0.5),"NM",E319/#REF!*100-100))</f>
        <v>NA</v>
      </c>
      <c r="G319" s="653">
        <f>75.8+107.1</f>
        <v>182.89999999999998</v>
      </c>
      <c r="H319" s="9" t="str">
        <f>IF(ISERROR(G319/#REF!),"NA",IF(OR(G319/#REF!&gt;2,G319/#REF!&lt;0.5),"NM",G319/#REF!*100-100))</f>
        <v>NA</v>
      </c>
      <c r="I319" s="653">
        <f>66+108.1</f>
        <v>174.1</v>
      </c>
      <c r="J319" s="9" t="str">
        <f>IF(ISERROR(I319/#REF!),"NA",IF(OR(I319/#REF!&gt;2,I319/#REF!&lt;0.5),"NM",I319/#REF!*100-100))</f>
        <v>NA</v>
      </c>
      <c r="K319" s="653">
        <f>49.3+104.1</f>
        <v>153.39999999999998</v>
      </c>
      <c r="L319" s="9">
        <f t="shared" ref="L319:L334" si="1887">IF(ISERROR(K319/C319),"NA",IF(OR(K319/C319&gt;2,K319/C319&lt;0.5),"NM",K319/C319*100-100))</f>
        <v>3.4389750505731342</v>
      </c>
      <c r="M319" s="653">
        <f>84.2+105.9</f>
        <v>190.10000000000002</v>
      </c>
      <c r="N319" s="9">
        <f t="shared" ref="N319:N333" si="1888">IF(ISERROR(M319/E319),"NA",IF(OR(M319/E319&gt;2,M319/E319&lt;0.5),"NM",M319/E319*100-100))</f>
        <v>-0.31463030938645886</v>
      </c>
      <c r="O319" s="653">
        <f>47.9+113.5</f>
        <v>161.4</v>
      </c>
      <c r="P319" s="43">
        <f t="shared" si="1860"/>
        <v>-11.755057408419887</v>
      </c>
      <c r="Q319" s="653">
        <f>44.3+115.4</f>
        <v>159.69999999999999</v>
      </c>
      <c r="R319" s="43">
        <f t="shared" si="1862"/>
        <v>-8.2711085582998294</v>
      </c>
      <c r="S319" s="653">
        <f>42.9+99.8</f>
        <v>142.69999999999999</v>
      </c>
      <c r="T319" s="43">
        <f t="shared" si="1863"/>
        <v>-6.9752281616688379</v>
      </c>
      <c r="U319" s="653">
        <f>73.8+102.4</f>
        <v>176.2</v>
      </c>
      <c r="V319" s="43">
        <f t="shared" ref="V319:V357" si="1889">IF(ISERROR(U319/M319),"NA",IF(OR(U319/M319&gt;2,U319/M319&lt;0.5),"NM",U319/M319*100-100))</f>
        <v>-7.3119410836402068</v>
      </c>
      <c r="W319" s="653">
        <f>74.7+98</f>
        <v>172.7</v>
      </c>
      <c r="X319" s="43">
        <f t="shared" ref="X319:AD357" si="1890">IF(ISERROR(W319/O319),"NA",IF(OR(W319/O319&gt;2,W319/O319&lt;0.5),"NM",W319/O319*100-100))</f>
        <v>7.0012391573729786</v>
      </c>
      <c r="Y319" s="653">
        <f>61.5+101.6</f>
        <v>163.1</v>
      </c>
      <c r="Z319" s="43">
        <f t="shared" si="1890"/>
        <v>2.128991859736999</v>
      </c>
      <c r="AA319" s="653">
        <f>56.6+98.3</f>
        <v>154.9</v>
      </c>
      <c r="AB319" s="43">
        <f t="shared" si="1890"/>
        <v>8.549404344779262</v>
      </c>
      <c r="AC319" s="653">
        <f>74.1+102.3</f>
        <v>176.39999999999998</v>
      </c>
      <c r="AD319" s="43">
        <f t="shared" si="1890"/>
        <v>0.11350737797957322</v>
      </c>
      <c r="AE319" s="653">
        <f>68.2+105.4</f>
        <v>173.60000000000002</v>
      </c>
      <c r="AF319" s="43">
        <f t="shared" ref="AF319:AF357" si="1891">IF(ISERROR(AE319/W319),"NA",IF(OR(AE319/W319&gt;2,AE319/W319&lt;0.5),"NM",AE319/W319*100-100))</f>
        <v>0.52113491603940076</v>
      </c>
      <c r="AG319" s="653">
        <f>75.7+101.4</f>
        <v>177.10000000000002</v>
      </c>
      <c r="AH319" s="9">
        <f t="shared" ref="AH319:AH327" si="1892">IF(ISERROR(AG319/Y319),"NA",IF(OR(AG319/Y319&gt;2,AG319/Y319&lt;0.5),"NM",AG319/Y319*100-100))</f>
        <v>8.5836909871244842</v>
      </c>
      <c r="AI319" s="653">
        <f>52+102.6</f>
        <v>154.6</v>
      </c>
      <c r="AJ319" s="9">
        <f t="shared" ref="AJ319:AJ330" si="1893">IF(ISERROR(AI319/AA319),"NA",IF(OR(AI319/AA319&gt;2,AI319/AA319&lt;0.5),"NM",AI319/AA319*100-100))</f>
        <v>-0.1936733376371933</v>
      </c>
      <c r="AK319" s="653">
        <f>55.4+107.3</f>
        <v>162.69999999999999</v>
      </c>
      <c r="AL319" s="9">
        <f t="shared" ref="AL319:AL330" si="1894">IF(ISERROR(AK319/AC319),"NA",IF(OR(AK319/AC319&gt;2,AK319/AC319&lt;0.5),"NM",AK319/AC319*100-100))</f>
        <v>-7.7664399092970484</v>
      </c>
      <c r="AM319" s="653">
        <f>43.3+110.7</f>
        <v>154</v>
      </c>
      <c r="AN319" s="9">
        <f t="shared" ref="AN319:AN330" si="1895">IF(ISERROR(AM319/AE319),"NA",IF(OR(AM319/AE319&gt;2,AM319/AE319&lt;0.5),"NM",AM319/AE319*100-100))</f>
        <v>-11.290322580645167</v>
      </c>
      <c r="AO319" s="653">
        <f>67.3+112.9</f>
        <v>180.2</v>
      </c>
      <c r="AP319" s="9">
        <f t="shared" ref="AP319:AP330" si="1896">IF(ISERROR(AO319/AG319),"NA",IF(OR(AO319/AG319&gt;2,AO319/AG319&lt;0.5),"NM",AO319/AG319*100-100))</f>
        <v>1.7504234895538957</v>
      </c>
      <c r="AQ319" s="693">
        <f t="shared" ref="AQ319:AW319" si="1897">AQ341*AQ303/400</f>
        <v>178.44528505144618</v>
      </c>
      <c r="AR319" s="9">
        <f t="shared" ref="AR319:AR330" si="1898">IF(ISERROR(AQ319/AI319),"NA",IF(OR(AQ319/AI319&gt;2,AQ319/AI319&lt;0.5),"NM",AQ319/AI319*100-100))</f>
        <v>15.4238583773908</v>
      </c>
      <c r="AS319" s="693">
        <f t="shared" si="1897"/>
        <v>179.52439203401767</v>
      </c>
      <c r="AT319" s="9">
        <f t="shared" ref="AT319:AT330" si="1899">IF(ISERROR(AS319/AK319),"NA",IF(OR(AS319/AK319&gt;2,AS319/AK319&lt;0.5),"NM",AS319/AK319*100-100))</f>
        <v>10.340744950225982</v>
      </c>
      <c r="AU319" s="693">
        <f t="shared" si="1897"/>
        <v>181.1823947756493</v>
      </c>
      <c r="AV319" s="9">
        <f t="shared" ref="AV319:AV330" si="1900">IF(ISERROR(AU319/AM319),"NA",IF(OR(AU319/AM319&gt;2,AU319/AM319&lt;0.5),"NM",AU319/AM319*100-100))</f>
        <v>17.650905698473565</v>
      </c>
      <c r="AW319" s="693">
        <f t="shared" si="1897"/>
        <v>182.87142584584714</v>
      </c>
      <c r="AX319" s="9">
        <f t="shared" ref="AX319:AX330" si="1901">IF(ISERROR(AW319/AO319),"NA",IF(OR(AW319/AO319&gt;2,AW319/AO319&lt;0.5),"NM",AW319/AO319*100-100))</f>
        <v>1.4824782718352765</v>
      </c>
      <c r="AY319" s="287"/>
      <c r="AZ319" s="64"/>
      <c r="BA319" s="9" t="str">
        <f>IF(ISERROR(#REF!/#REF!),"NA",IF(OR(#REF!/#REF!&gt;2,#REF!/#REF!&lt;0.5),"NM",#REF!/#REF!*100-100))</f>
        <v>NA</v>
      </c>
      <c r="BB319" s="55">
        <f>C319+E319+G319+I319</f>
        <v>696</v>
      </c>
      <c r="BC319" s="226" t="str">
        <f>IF(ISERROR(BB319/#REF!),"NA",IF(OR(BB319/#REF!&gt;2,BB319/#REF!&lt;0.5),"NM",BB319/#REF!*100-100))</f>
        <v>NA</v>
      </c>
      <c r="BD319" s="908">
        <f>K319+M319+O319+Q319</f>
        <v>664.59999999999991</v>
      </c>
      <c r="BE319" s="226">
        <f t="shared" ref="BE319:BE332" si="1902">IF(ISERROR(BD319/BB319),"NA",IF(OR(BD319/BB319&gt;2,BD319/BB319&lt;0.5),"NM",BD319/BB319*100-100))</f>
        <v>-4.5114942528735753</v>
      </c>
      <c r="BF319" s="55">
        <f>S319+U319+W319+Y319</f>
        <v>654.69999999999993</v>
      </c>
      <c r="BG319" s="226">
        <f t="shared" ref="BG319:BS332" si="1903">IF(ISERROR(BF319/BD319),"NA",IF(OR(BF319/BD319&gt;2,BF319/BD319&lt;0.5),"NM",BF319/BD319*100-100))</f>
        <v>-1.4896178152272057</v>
      </c>
      <c r="BH319" s="55">
        <f>AA319+AC319+AE319+AG319</f>
        <v>682</v>
      </c>
      <c r="BI319" s="226">
        <f t="shared" ref="BI319:BS332" si="1904">IF(ISERROR(BH319/BF319),"NA",IF(OR(BH319/BF319&gt;2,BH319/BF319&lt;0.5),"NM",BH319/BF319*100-100))</f>
        <v>4.1698487857033939</v>
      </c>
      <c r="BJ319" s="55">
        <f>AI319+AK319+AM319+AO319</f>
        <v>651.5</v>
      </c>
      <c r="BK319" s="226">
        <f t="shared" si="1904"/>
        <v>-4.47214076246334</v>
      </c>
      <c r="BL319" s="55">
        <f>AQ319+AS319+AU319+AW319</f>
        <v>722.02349770696037</v>
      </c>
      <c r="BM319" s="226">
        <f t="shared" si="1904"/>
        <v>10.824788596617083</v>
      </c>
      <c r="BN319" s="693">
        <f t="shared" ref="BN319:BP320" si="1905">BN341*BN$303/100</f>
        <v>770.23646188025475</v>
      </c>
      <c r="BO319" s="226">
        <f t="shared" si="1904"/>
        <v>6.6774785483314076</v>
      </c>
      <c r="BP319" s="693">
        <f t="shared" si="1905"/>
        <v>842.06619281395524</v>
      </c>
      <c r="BQ319" s="226">
        <f t="shared" si="1904"/>
        <v>9.325672632837211</v>
      </c>
      <c r="BR319" s="693">
        <f t="shared" ref="BR319:BT320" si="1906">BR341*BR$303/100</f>
        <v>916.40009166198502</v>
      </c>
      <c r="BS319" s="226">
        <f t="shared" si="1904"/>
        <v>8.8275600519747996</v>
      </c>
      <c r="BT319" s="693">
        <f t="shared" si="1906"/>
        <v>994.16364992670015</v>
      </c>
      <c r="BU319" s="226">
        <f t="shared" ref="BU319:BU330" si="1907">IF(ISERROR(BT319/BR319),"NA",IF(OR(BT319/BR319&gt;2,BT319/BR319&lt;0.5),"NM",BT319/BR319*100-100))</f>
        <v>8.4857650028911564</v>
      </c>
      <c r="BV319" s="43">
        <f t="shared" ref="BV319:BV330" si="1908">IF(ISERROR(((BT319/BJ319)^0.2-1)*100),"NA",IF((((BT319/BJ319)^0.2-1)*100)&gt;100,"NM",IF((((BT319/BJ319)^0.2-1)*100)&lt;-50,"NM",((BT319/BJ319)^0.2-1)*100)))</f>
        <v>8.8199925772824308</v>
      </c>
      <c r="BW319" s="722"/>
      <c r="BX319" s="722"/>
      <c r="BY319"/>
      <c r="BZ319"/>
      <c r="CA319"/>
      <c r="CB319"/>
      <c r="CC319"/>
      <c r="CD319"/>
      <c r="CE319" s="2"/>
    </row>
    <row r="320" spans="1:83" s="7" customFormat="1" ht="12.75" customHeight="1" x14ac:dyDescent="0.2">
      <c r="A320" s="42"/>
      <c r="B320" s="62" t="s">
        <v>416</v>
      </c>
      <c r="C320" s="653">
        <v>113.3</v>
      </c>
      <c r="D320" s="9" t="str">
        <f>IF(ISERROR(C320/#REF!),"NA",IF(OR(C320/#REF!&gt;2,C320/#REF!&lt;0.5),"NM",C320/#REF!*100-100))</f>
        <v>NA</v>
      </c>
      <c r="E320" s="653">
        <v>97.3</v>
      </c>
      <c r="F320" s="9" t="str">
        <f>IF(ISERROR(E320/#REF!),"NA",IF(OR(E320/#REF!&gt;2,E320/#REF!&lt;0.5),"NM",E320/#REF!*100-100))</f>
        <v>NA</v>
      </c>
      <c r="G320" s="653">
        <v>132.6</v>
      </c>
      <c r="H320" s="9" t="str">
        <f>IF(ISERROR(G320/#REF!),"NA",IF(OR(G320/#REF!&gt;2,G320/#REF!&lt;0.5),"NM",G320/#REF!*100-100))</f>
        <v>NA</v>
      </c>
      <c r="I320" s="653">
        <v>162</v>
      </c>
      <c r="J320" s="9" t="str">
        <f>IF(ISERROR(I320/#REF!),"NA",IF(OR(I320/#REF!&gt;2,I320/#REF!&lt;0.5),"NM",I320/#REF!*100-100))</f>
        <v>NA</v>
      </c>
      <c r="K320" s="653">
        <v>159.19999999999999</v>
      </c>
      <c r="L320" s="9">
        <f t="shared" si="1887"/>
        <v>40.511915269196805</v>
      </c>
      <c r="M320" s="653">
        <v>181.3</v>
      </c>
      <c r="N320" s="9">
        <f t="shared" si="1888"/>
        <v>86.330935251798593</v>
      </c>
      <c r="O320" s="653">
        <v>147.6</v>
      </c>
      <c r="P320" s="43">
        <f t="shared" si="1860"/>
        <v>11.312217194570138</v>
      </c>
      <c r="Q320" s="653">
        <v>177.1</v>
      </c>
      <c r="R320" s="43">
        <f t="shared" si="1862"/>
        <v>9.3209876543209873</v>
      </c>
      <c r="S320" s="653">
        <v>108.1</v>
      </c>
      <c r="T320" s="43">
        <f t="shared" si="1863"/>
        <v>-32.097989949748737</v>
      </c>
      <c r="U320" s="653">
        <v>152.1</v>
      </c>
      <c r="V320" s="43">
        <f t="shared" si="1889"/>
        <v>-16.10590182018754</v>
      </c>
      <c r="W320" s="653">
        <v>152.80000000000001</v>
      </c>
      <c r="X320" s="43">
        <f t="shared" si="1890"/>
        <v>3.5230352303523063</v>
      </c>
      <c r="Y320" s="653">
        <v>152.9</v>
      </c>
      <c r="Z320" s="43">
        <f t="shared" si="1890"/>
        <v>-13.66459627329192</v>
      </c>
      <c r="AA320" s="653">
        <v>131.69999999999999</v>
      </c>
      <c r="AB320" s="43">
        <f t="shared" si="1890"/>
        <v>21.831637372802959</v>
      </c>
      <c r="AC320" s="653">
        <v>142.30000000000001</v>
      </c>
      <c r="AD320" s="43">
        <f t="shared" si="1890"/>
        <v>-6.4431295200525796</v>
      </c>
      <c r="AE320" s="653">
        <v>160.80000000000001</v>
      </c>
      <c r="AF320" s="43">
        <f t="shared" si="1891"/>
        <v>5.2356020942408321</v>
      </c>
      <c r="AG320" s="653">
        <v>135.19999999999999</v>
      </c>
      <c r="AH320" s="9">
        <f t="shared" si="1892"/>
        <v>-11.576193590582093</v>
      </c>
      <c r="AI320" s="653">
        <v>166.7</v>
      </c>
      <c r="AJ320" s="9">
        <f t="shared" si="1893"/>
        <v>26.575550493545947</v>
      </c>
      <c r="AK320" s="653">
        <v>156.69999999999999</v>
      </c>
      <c r="AL320" s="9">
        <f t="shared" si="1894"/>
        <v>10.119465917076582</v>
      </c>
      <c r="AM320" s="653">
        <v>120.7</v>
      </c>
      <c r="AN320" s="9">
        <f t="shared" si="1895"/>
        <v>-24.937810945273625</v>
      </c>
      <c r="AO320" s="653">
        <v>155.9</v>
      </c>
      <c r="AP320" s="9">
        <f t="shared" si="1896"/>
        <v>15.310650887573971</v>
      </c>
      <c r="AQ320" s="693">
        <f t="shared" ref="AQ320:AW320" si="1909">AQ342*AQ$303/400</f>
        <v>149.89403944321478</v>
      </c>
      <c r="AR320" s="9">
        <f t="shared" si="1898"/>
        <v>-10.081560022066711</v>
      </c>
      <c r="AS320" s="693">
        <f t="shared" si="1909"/>
        <v>150.80048930857484</v>
      </c>
      <c r="AT320" s="9">
        <f t="shared" si="1899"/>
        <v>-3.7648440915285022</v>
      </c>
      <c r="AU320" s="693">
        <f t="shared" si="1909"/>
        <v>152.19321161154542</v>
      </c>
      <c r="AV320" s="9">
        <f t="shared" si="1900"/>
        <v>26.092138866234805</v>
      </c>
      <c r="AW320" s="693">
        <f t="shared" si="1909"/>
        <v>153.61199771051162</v>
      </c>
      <c r="AX320" s="9">
        <f t="shared" si="1901"/>
        <v>-1.4676089092292415</v>
      </c>
      <c r="AY320" s="287"/>
      <c r="AZ320" s="64"/>
      <c r="BA320" s="9" t="str">
        <f>IF(ISERROR(#REF!/#REF!),"NA",IF(OR(#REF!/#REF!&gt;2,#REF!/#REF!&lt;0.5),"NM",#REF!/#REF!*100-100))</f>
        <v>NA</v>
      </c>
      <c r="BB320" s="55">
        <f>C320+E320+G320+I320</f>
        <v>505.2</v>
      </c>
      <c r="BC320" s="226" t="str">
        <f>IF(ISERROR(BB320/#REF!),"NA",IF(OR(BB320/#REF!&gt;2,BB320/#REF!&lt;0.5),"NM",BB320/#REF!*100-100))</f>
        <v>NA</v>
      </c>
      <c r="BD320" s="908">
        <f>K320+M320+O320+Q320</f>
        <v>665.2</v>
      </c>
      <c r="BE320" s="226">
        <f t="shared" si="1902"/>
        <v>31.670625494853539</v>
      </c>
      <c r="BF320" s="55">
        <f>S320+U320+W320+Y320</f>
        <v>565.9</v>
      </c>
      <c r="BG320" s="226">
        <f t="shared" si="1903"/>
        <v>-14.927841250751655</v>
      </c>
      <c r="BH320" s="55">
        <f>AA320+AC320+AE320+AG320</f>
        <v>570</v>
      </c>
      <c r="BI320" s="226">
        <f t="shared" si="1904"/>
        <v>0.72450963067680618</v>
      </c>
      <c r="BJ320" s="55">
        <f>AI320+AK320+AM320+AO320</f>
        <v>600</v>
      </c>
      <c r="BK320" s="226">
        <f t="shared" si="1904"/>
        <v>5.2631578947368354</v>
      </c>
      <c r="BL320" s="55">
        <f>AQ320+AS320+AU320+AW320</f>
        <v>606.49973807384663</v>
      </c>
      <c r="BM320" s="226">
        <f t="shared" si="1904"/>
        <v>1.0832896789744382</v>
      </c>
      <c r="BN320" s="693">
        <f t="shared" si="1905"/>
        <v>642.63241729729828</v>
      </c>
      <c r="BO320" s="226">
        <f t="shared" si="1904"/>
        <v>5.9575754044352465</v>
      </c>
      <c r="BP320" s="693">
        <f t="shared" si="1905"/>
        <v>713.15575649248308</v>
      </c>
      <c r="BQ320" s="226">
        <f t="shared" si="1904"/>
        <v>10.974133469920929</v>
      </c>
      <c r="BR320" s="693">
        <f t="shared" si="1906"/>
        <v>773.01793741132667</v>
      </c>
      <c r="BS320" s="226">
        <f t="shared" si="1904"/>
        <v>8.3939841155127084</v>
      </c>
      <c r="BT320" s="693">
        <f t="shared" si="1906"/>
        <v>850.95921381714379</v>
      </c>
      <c r="BU320" s="226">
        <f t="shared" si="1907"/>
        <v>10.082725462597409</v>
      </c>
      <c r="BV320" s="43">
        <f t="shared" si="1908"/>
        <v>7.2386897057364452</v>
      </c>
      <c r="BW320" s="722"/>
      <c r="BX320" s="722"/>
      <c r="BY320"/>
      <c r="BZ320"/>
      <c r="CA320"/>
      <c r="CB320"/>
      <c r="CC320"/>
      <c r="CD320"/>
      <c r="CE320" s="2"/>
    </row>
    <row r="321" spans="1:82" s="2" customFormat="1" ht="12.75" customHeight="1" x14ac:dyDescent="0.2">
      <c r="A321" s="66" t="s">
        <v>260</v>
      </c>
      <c r="B321" s="67" t="s">
        <v>417</v>
      </c>
      <c r="C321" s="695">
        <f>C319+C320</f>
        <v>261.60000000000002</v>
      </c>
      <c r="D321" s="9" t="str">
        <f>IF(ISERROR(C321/#REF!),"NA",IF(OR(C321/#REF!&gt;2,C321/#REF!&lt;0.5),"NM",C321/#REF!*100-100))</f>
        <v>NA</v>
      </c>
      <c r="E321" s="695">
        <f>E319+E320</f>
        <v>288</v>
      </c>
      <c r="F321" s="9" t="str">
        <f>IF(ISERROR(E321/#REF!),"NA",IF(OR(E321/#REF!&gt;2,E321/#REF!&lt;0.5),"NM",E321/#REF!*100-100))</f>
        <v>NA</v>
      </c>
      <c r="G321" s="695">
        <f>G319+G320</f>
        <v>315.5</v>
      </c>
      <c r="H321" s="9" t="str">
        <f>IF(ISERROR(G321/#REF!),"NA",IF(OR(G321/#REF!&gt;2,G321/#REF!&lt;0.5),"NM",G321/#REF!*100-100))</f>
        <v>NA</v>
      </c>
      <c r="I321" s="695">
        <f>I319+I320</f>
        <v>336.1</v>
      </c>
      <c r="J321" s="9" t="str">
        <f>IF(ISERROR(I321/#REF!),"NA",IF(OR(I321/#REF!&gt;2,I321/#REF!&lt;0.5),"NM",I321/#REF!*100-100))</f>
        <v>NA</v>
      </c>
      <c r="K321" s="695">
        <f>K319+K320</f>
        <v>312.59999999999997</v>
      </c>
      <c r="L321" s="9">
        <f t="shared" si="1887"/>
        <v>19.495412844036665</v>
      </c>
      <c r="M321" s="695">
        <f>M319+M320</f>
        <v>371.40000000000003</v>
      </c>
      <c r="N321" s="9">
        <f t="shared" si="1888"/>
        <v>28.958333333333343</v>
      </c>
      <c r="O321" s="695">
        <f>O319+O320</f>
        <v>309</v>
      </c>
      <c r="P321" s="43">
        <f t="shared" si="1860"/>
        <v>-2.0602218700475419</v>
      </c>
      <c r="Q321" s="695">
        <f>Q319+Q320</f>
        <v>336.79999999999995</v>
      </c>
      <c r="R321" s="43">
        <f t="shared" si="1862"/>
        <v>0.20827134781313816</v>
      </c>
      <c r="S321" s="695">
        <f>S319+S320</f>
        <v>250.79999999999998</v>
      </c>
      <c r="T321" s="43">
        <f t="shared" si="1863"/>
        <v>-19.769673704414586</v>
      </c>
      <c r="U321" s="695">
        <f>U319+U320</f>
        <v>328.29999999999995</v>
      </c>
      <c r="V321" s="43">
        <f t="shared" si="1889"/>
        <v>-11.604738826063567</v>
      </c>
      <c r="W321" s="695">
        <f t="shared" ref="W321:Y321" si="1910">W319+W320</f>
        <v>325.5</v>
      </c>
      <c r="X321" s="43">
        <f t="shared" si="1890"/>
        <v>5.3398058252427205</v>
      </c>
      <c r="Y321" s="695">
        <f t="shared" si="1910"/>
        <v>316</v>
      </c>
      <c r="Z321" s="43">
        <f t="shared" si="1890"/>
        <v>-6.175771971496431</v>
      </c>
      <c r="AA321" s="695">
        <f t="shared" ref="AA321:AC321" si="1911">AA319+AA320</f>
        <v>286.60000000000002</v>
      </c>
      <c r="AB321" s="43">
        <f t="shared" si="1890"/>
        <v>14.274322169059019</v>
      </c>
      <c r="AC321" s="695">
        <f t="shared" si="1911"/>
        <v>318.7</v>
      </c>
      <c r="AD321" s="43">
        <f t="shared" si="1890"/>
        <v>-2.9241547365214728</v>
      </c>
      <c r="AE321" s="695">
        <f t="shared" ref="AE321:AG321" si="1912">AE319+AE320</f>
        <v>334.40000000000003</v>
      </c>
      <c r="AF321" s="43">
        <f t="shared" si="1891"/>
        <v>2.7342549923195207</v>
      </c>
      <c r="AG321" s="695">
        <f t="shared" si="1912"/>
        <v>312.3</v>
      </c>
      <c r="AH321" s="9">
        <f t="shared" si="1892"/>
        <v>-1.1708860759493689</v>
      </c>
      <c r="AI321" s="695">
        <f t="shared" ref="AI321:AK321" si="1913">AI319+AI320</f>
        <v>321.29999999999995</v>
      </c>
      <c r="AJ321" s="9">
        <f t="shared" si="1893"/>
        <v>12.107466852756431</v>
      </c>
      <c r="AK321" s="695">
        <f t="shared" si="1913"/>
        <v>319.39999999999998</v>
      </c>
      <c r="AL321" s="9">
        <f t="shared" si="1894"/>
        <v>0.21964229683086955</v>
      </c>
      <c r="AM321" s="695">
        <f t="shared" ref="AM321:AO321" si="1914">AM319+AM320</f>
        <v>274.7</v>
      </c>
      <c r="AN321" s="9">
        <f t="shared" si="1895"/>
        <v>-17.852870813397132</v>
      </c>
      <c r="AO321" s="695">
        <f t="shared" si="1914"/>
        <v>336.1</v>
      </c>
      <c r="AP321" s="9">
        <f t="shared" si="1896"/>
        <v>7.6208773615113756</v>
      </c>
      <c r="AQ321" s="704">
        <f t="shared" ref="AQ321:AW321" si="1915">AQ319+AQ320</f>
        <v>328.33932449466096</v>
      </c>
      <c r="AR321" s="9">
        <f t="shared" si="1898"/>
        <v>2.1908884203738097</v>
      </c>
      <c r="AS321" s="704">
        <f t="shared" si="1915"/>
        <v>330.32488134259251</v>
      </c>
      <c r="AT321" s="9">
        <f t="shared" si="1899"/>
        <v>3.4204387422017959</v>
      </c>
      <c r="AU321" s="704">
        <f t="shared" si="1915"/>
        <v>333.37560638719469</v>
      </c>
      <c r="AV321" s="9">
        <f t="shared" si="1900"/>
        <v>21.359885834435644</v>
      </c>
      <c r="AW321" s="704">
        <f t="shared" si="1915"/>
        <v>336.48342355635873</v>
      </c>
      <c r="AX321" s="9">
        <f t="shared" si="1901"/>
        <v>0.11408020123732854</v>
      </c>
      <c r="AY321" s="287"/>
      <c r="AZ321" s="68"/>
      <c r="BA321" s="9" t="str">
        <f>IF(ISERROR(#REF!/#REF!),"NA",IF(OR(#REF!/#REF!&gt;2,#REF!/#REF!&lt;0.5),"NM",#REF!/#REF!*100-100))</f>
        <v>NA</v>
      </c>
      <c r="BB321" s="695">
        <f>BB319+BB320</f>
        <v>1201.2</v>
      </c>
      <c r="BC321" s="226" t="str">
        <f>IF(ISERROR(BB321/#REF!),"NA",IF(OR(BB321/#REF!&gt;2,BB321/#REF!&lt;0.5),"NM",BB321/#REF!*100-100))</f>
        <v>NA</v>
      </c>
      <c r="BD321" s="912">
        <f t="shared" ref="BD321:BP321" si="1916">BD319+BD320</f>
        <v>1329.8</v>
      </c>
      <c r="BE321" s="226">
        <f t="shared" si="1902"/>
        <v>10.705960705960706</v>
      </c>
      <c r="BF321" s="704">
        <f t="shared" si="1916"/>
        <v>1220.5999999999999</v>
      </c>
      <c r="BG321" s="226">
        <f t="shared" si="1903"/>
        <v>-8.2117611670928028</v>
      </c>
      <c r="BH321" s="704">
        <f t="shared" si="1916"/>
        <v>1252</v>
      </c>
      <c r="BI321" s="226">
        <f t="shared" si="1904"/>
        <v>2.5725053252498924</v>
      </c>
      <c r="BJ321" s="704">
        <f t="shared" ref="BJ321" si="1917">BJ319+BJ320</f>
        <v>1251.5</v>
      </c>
      <c r="BK321" s="226">
        <f t="shared" si="1904"/>
        <v>-3.9936102236424631E-2</v>
      </c>
      <c r="BL321" s="704">
        <f t="shared" ref="BL321" si="1918">BL319+BL320</f>
        <v>1328.523235780807</v>
      </c>
      <c r="BM321" s="226">
        <f t="shared" si="1904"/>
        <v>6.1544734942714285</v>
      </c>
      <c r="BN321" s="704">
        <f t="shared" si="1916"/>
        <v>1412.868879177553</v>
      </c>
      <c r="BO321" s="226">
        <f t="shared" si="1904"/>
        <v>6.3488271130744494</v>
      </c>
      <c r="BP321" s="704">
        <f t="shared" si="1916"/>
        <v>1555.2219493064383</v>
      </c>
      <c r="BQ321" s="226">
        <f t="shared" si="1904"/>
        <v>10.075462219236542</v>
      </c>
      <c r="BR321" s="704">
        <f t="shared" ref="BR321:BT321" si="1919">BR319+BR320</f>
        <v>1689.4180290733116</v>
      </c>
      <c r="BS321" s="226">
        <f t="shared" si="1904"/>
        <v>8.6287413720413895</v>
      </c>
      <c r="BT321" s="704">
        <f t="shared" si="1919"/>
        <v>1845.1228637438439</v>
      </c>
      <c r="BU321" s="226">
        <f t="shared" si="1907"/>
        <v>9.2164776266736368</v>
      </c>
      <c r="BV321" s="43">
        <f t="shared" si="1908"/>
        <v>8.073418082627736</v>
      </c>
      <c r="BW321" s="722"/>
      <c r="BX321" s="722"/>
      <c r="BY321"/>
      <c r="BZ321"/>
      <c r="CA321"/>
      <c r="CB321"/>
      <c r="CC321"/>
      <c r="CD321"/>
    </row>
    <row r="322" spans="1:82" s="2" customFormat="1" ht="12.75" customHeight="1" x14ac:dyDescent="0.2">
      <c r="A322" s="66"/>
      <c r="B322" s="67" t="s">
        <v>509</v>
      </c>
      <c r="C322" s="695">
        <f>C321-C323</f>
        <v>133.00000000000003</v>
      </c>
      <c r="D322" s="9" t="str">
        <f>IF(ISERROR(C322/#REF!),"NA",IF(OR(C322/#REF!&gt;2,C322/#REF!&lt;0.5),"NM",C322/#REF!*100-100))</f>
        <v>NA</v>
      </c>
      <c r="E322" s="695">
        <f>E321-E323</f>
        <v>165</v>
      </c>
      <c r="F322" s="9" t="str">
        <f>IF(ISERROR(E322/#REF!),"NA",IF(OR(E322/#REF!&gt;2,E322/#REF!&lt;0.5),"NM",E322/#REF!*100-100))</f>
        <v>NA</v>
      </c>
      <c r="G322" s="695">
        <f>G321-G323</f>
        <v>153.5</v>
      </c>
      <c r="H322" s="9" t="str">
        <f>IF(ISERROR(G322/#REF!),"NA",IF(OR(G322/#REF!&gt;2,G322/#REF!&lt;0.5),"NM",G322/#REF!*100-100))</f>
        <v>NA</v>
      </c>
      <c r="I322" s="695">
        <f>I321-I323</f>
        <v>182.3</v>
      </c>
      <c r="J322" s="9" t="str">
        <f>IF(ISERROR(I322/#REF!),"NA",IF(OR(I322/#REF!&gt;2,I322/#REF!&lt;0.5),"NM",I322/#REF!*100-100))</f>
        <v>NA</v>
      </c>
      <c r="K322" s="695">
        <f>K321-K323</f>
        <v>168.09999999999997</v>
      </c>
      <c r="L322" s="9">
        <f t="shared" si="1887"/>
        <v>26.390977443608961</v>
      </c>
      <c r="M322" s="695">
        <f>M321-M323</f>
        <v>177.80000000000004</v>
      </c>
      <c r="N322" s="9">
        <f t="shared" si="1888"/>
        <v>7.7575757575757791</v>
      </c>
      <c r="O322" s="695">
        <f>O321-O323</f>
        <v>193.9</v>
      </c>
      <c r="P322" s="43">
        <f t="shared" si="1860"/>
        <v>26.31921824104235</v>
      </c>
      <c r="Q322" s="695">
        <f>Q321-Q323</f>
        <v>177.19999999999996</v>
      </c>
      <c r="R322" s="43">
        <f t="shared" si="1862"/>
        <v>-2.797586396050491</v>
      </c>
      <c r="S322" s="695">
        <f>S321-S323</f>
        <v>165.5</v>
      </c>
      <c r="T322" s="43">
        <f t="shared" si="1863"/>
        <v>-1.5466983938131875</v>
      </c>
      <c r="U322" s="695">
        <f>U321-U323</f>
        <v>161.89999999999995</v>
      </c>
      <c r="V322" s="43">
        <f t="shared" si="1889"/>
        <v>-8.9426321709786833</v>
      </c>
      <c r="W322" s="695">
        <f t="shared" ref="W322:Y322" si="1920">W321-W323</f>
        <v>160.6</v>
      </c>
      <c r="X322" s="43">
        <f t="shared" si="1890"/>
        <v>-17.173800928313568</v>
      </c>
      <c r="Y322" s="695">
        <f t="shared" si="1920"/>
        <v>167.6</v>
      </c>
      <c r="Z322" s="43">
        <f t="shared" si="1890"/>
        <v>-5.4176072234762813</v>
      </c>
      <c r="AA322" s="695">
        <f t="shared" ref="AA322:AC322" si="1921">AA321-AA323</f>
        <v>158.70000000000002</v>
      </c>
      <c r="AB322" s="43">
        <f t="shared" si="1890"/>
        <v>-4.1087613293051248</v>
      </c>
      <c r="AC322" s="695">
        <f t="shared" si="1921"/>
        <v>165.7</v>
      </c>
      <c r="AD322" s="43">
        <f t="shared" si="1890"/>
        <v>2.3471278567017038</v>
      </c>
      <c r="AE322" s="695">
        <f t="shared" ref="AE322:AG322" si="1922">AE321-AE323</f>
        <v>186.00000000000003</v>
      </c>
      <c r="AF322" s="43">
        <f t="shared" si="1891"/>
        <v>15.815691158156937</v>
      </c>
      <c r="AG322" s="695">
        <f t="shared" si="1922"/>
        <v>167.60000000000002</v>
      </c>
      <c r="AH322" s="9">
        <f t="shared" si="1892"/>
        <v>2.8421709430404007E-14</v>
      </c>
      <c r="AI322" s="695">
        <f t="shared" ref="AI322:AK322" si="1923">AI321-AI323</f>
        <v>196.99999999999994</v>
      </c>
      <c r="AJ322" s="9">
        <f t="shared" si="1893"/>
        <v>24.133585381222389</v>
      </c>
      <c r="AK322" s="695">
        <f t="shared" si="1923"/>
        <v>187.59999999999997</v>
      </c>
      <c r="AL322" s="9">
        <f t="shared" si="1894"/>
        <v>13.216656608328293</v>
      </c>
      <c r="AM322" s="695">
        <f t="shared" ref="AM322:AO322" si="1924">AM321-AM323</f>
        <v>181.79999999999998</v>
      </c>
      <c r="AN322" s="9">
        <f t="shared" si="1895"/>
        <v>-2.2580645161290533</v>
      </c>
      <c r="AO322" s="695">
        <f t="shared" si="1924"/>
        <v>193.70000000000002</v>
      </c>
      <c r="AP322" s="9">
        <f t="shared" si="1896"/>
        <v>15.572792362768496</v>
      </c>
      <c r="AQ322" s="704">
        <f t="shared" ref="AQ322:AW322" si="1925">AQ321-AQ323</f>
        <v>206.99653065967755</v>
      </c>
      <c r="AR322" s="9">
        <f t="shared" si="1898"/>
        <v>5.0743810455216192</v>
      </c>
      <c r="AS322" s="704">
        <f t="shared" si="1925"/>
        <v>208.24829475946052</v>
      </c>
      <c r="AT322" s="9">
        <f t="shared" si="1899"/>
        <v>11.00655370973378</v>
      </c>
      <c r="AU322" s="704">
        <f t="shared" si="1925"/>
        <v>210.17157793975321</v>
      </c>
      <c r="AV322" s="9">
        <f t="shared" si="1900"/>
        <v>15.605928459710256</v>
      </c>
      <c r="AW322" s="704">
        <f t="shared" si="1925"/>
        <v>209.93639687103251</v>
      </c>
      <c r="AX322" s="9">
        <f t="shared" si="1901"/>
        <v>8.3822389628458893</v>
      </c>
      <c r="AY322" s="287"/>
      <c r="AZ322" s="68"/>
      <c r="BA322" s="9" t="str">
        <f>IF(ISERROR(#REF!/#REF!),"NA",IF(OR(#REF!/#REF!&gt;2,#REF!/#REF!&lt;0.5),"NM",#REF!/#REF!*100-100))</f>
        <v>NA</v>
      </c>
      <c r="BB322" s="695">
        <f>BB321-BB323</f>
        <v>633.79999999999995</v>
      </c>
      <c r="BC322" s="226" t="str">
        <f>IF(ISERROR(BB322/#REF!),"NA",IF(OR(BB322/#REF!&gt;2,BB322/#REF!&lt;0.5),"NM",BB322/#REF!*100-100))</f>
        <v>NA</v>
      </c>
      <c r="BD322" s="912">
        <f>BD321-BD323</f>
        <v>716.99999999999989</v>
      </c>
      <c r="BE322" s="226">
        <f t="shared" si="1902"/>
        <v>13.127169454086456</v>
      </c>
      <c r="BF322" s="704">
        <f>BF321-BF323</f>
        <v>655.59999999999991</v>
      </c>
      <c r="BG322" s="226">
        <f t="shared" si="1903"/>
        <v>-8.5634588563458891</v>
      </c>
      <c r="BH322" s="704">
        <f>BH321-BH323</f>
        <v>678</v>
      </c>
      <c r="BI322" s="226">
        <f t="shared" si="1904"/>
        <v>3.4167175106772447</v>
      </c>
      <c r="BJ322" s="704">
        <f>BJ321-BJ323</f>
        <v>760.1</v>
      </c>
      <c r="BK322" s="226">
        <f t="shared" si="1904"/>
        <v>12.109144542772853</v>
      </c>
      <c r="BL322" s="704">
        <f>BL321-BL323</f>
        <v>835.3528002299239</v>
      </c>
      <c r="BM322" s="226">
        <f t="shared" si="1904"/>
        <v>9.9003815589953774</v>
      </c>
      <c r="BN322" s="704">
        <f>BN321-BN323</f>
        <v>887.81719695050128</v>
      </c>
      <c r="BO322" s="226">
        <f t="shared" si="1904"/>
        <v>6.2805076736603951</v>
      </c>
      <c r="BP322" s="704">
        <f>BP321-BP323</f>
        <v>983.4925835048931</v>
      </c>
      <c r="BQ322" s="226">
        <f t="shared" si="1904"/>
        <v>10.776473679831881</v>
      </c>
      <c r="BR322" s="704">
        <f>BR321-BR323</f>
        <v>1047.9226379561467</v>
      </c>
      <c r="BS322" s="226">
        <f t="shared" si="1904"/>
        <v>6.5511479732407167</v>
      </c>
      <c r="BT322" s="704">
        <f>BT321-BT323</f>
        <v>1130.3962247525883</v>
      </c>
      <c r="BU322" s="226">
        <f t="shared" si="1907"/>
        <v>7.8701980288637543</v>
      </c>
      <c r="BV322" s="43">
        <f t="shared" si="1908"/>
        <v>8.2609897422214917</v>
      </c>
      <c r="BW322" s="43"/>
      <c r="BX322" s="43"/>
      <c r="BY322"/>
      <c r="BZ322"/>
      <c r="CA322"/>
      <c r="CB322"/>
      <c r="CC322"/>
      <c r="CD322"/>
    </row>
    <row r="323" spans="1:82" s="2" customFormat="1" ht="12.75" customHeight="1" x14ac:dyDescent="0.2">
      <c r="A323" s="41"/>
      <c r="B323" s="73" t="s">
        <v>434</v>
      </c>
      <c r="C323" s="653">
        <v>128.6</v>
      </c>
      <c r="D323" s="9" t="str">
        <f>IF(ISERROR(C323/#REF!),"NA",IF(OR(C323/#REF!&gt;2,C323/#REF!&lt;0.5),"NM",C323/#REF!*100-100))</f>
        <v>NA</v>
      </c>
      <c r="E323" s="653">
        <v>123</v>
      </c>
      <c r="F323" s="9" t="str">
        <f>IF(ISERROR(E323/#REF!),"NA",IF(OR(E323/#REF!&gt;2,E323/#REF!&lt;0.5),"NM",E323/#REF!*100-100))</f>
        <v>NA</v>
      </c>
      <c r="G323" s="653">
        <v>162</v>
      </c>
      <c r="H323" s="9" t="str">
        <f>IF(ISERROR(G323/#REF!),"NA",IF(OR(G323/#REF!&gt;2,G323/#REF!&lt;0.5),"NM",G323/#REF!*100-100))</f>
        <v>NA</v>
      </c>
      <c r="I323" s="653">
        <v>153.80000000000001</v>
      </c>
      <c r="J323" s="9" t="str">
        <f>IF(ISERROR(I323/#REF!),"NA",IF(OR(I323/#REF!&gt;2,I323/#REF!&lt;0.5),"NM",I323/#REF!*100-100))</f>
        <v>NA</v>
      </c>
      <c r="K323" s="653">
        <v>144.5</v>
      </c>
      <c r="L323" s="9">
        <f t="shared" si="1887"/>
        <v>12.363919129082433</v>
      </c>
      <c r="M323" s="653">
        <v>193.6</v>
      </c>
      <c r="N323" s="9">
        <f t="shared" si="1888"/>
        <v>57.398373983739845</v>
      </c>
      <c r="O323" s="653">
        <v>115.1</v>
      </c>
      <c r="P323" s="43">
        <f t="shared" si="1860"/>
        <v>-28.950617283950621</v>
      </c>
      <c r="Q323" s="653">
        <v>159.6</v>
      </c>
      <c r="R323" s="43">
        <f t="shared" si="1862"/>
        <v>3.7711313394018191</v>
      </c>
      <c r="S323" s="653">
        <v>85.3</v>
      </c>
      <c r="T323" s="43">
        <f t="shared" si="1863"/>
        <v>-40.968858131487892</v>
      </c>
      <c r="U323" s="653">
        <v>166.4</v>
      </c>
      <c r="V323" s="43">
        <f t="shared" si="1889"/>
        <v>-14.049586776859499</v>
      </c>
      <c r="W323" s="653">
        <v>164.9</v>
      </c>
      <c r="X323" s="43">
        <f t="shared" si="1890"/>
        <v>43.266724587315395</v>
      </c>
      <c r="Y323" s="653">
        <v>148.4</v>
      </c>
      <c r="Z323" s="43">
        <f t="shared" si="1890"/>
        <v>-7.0175438596491091</v>
      </c>
      <c r="AA323" s="653">
        <v>127.9</v>
      </c>
      <c r="AB323" s="43">
        <f t="shared" si="1890"/>
        <v>49.941383352872236</v>
      </c>
      <c r="AC323" s="653">
        <v>153</v>
      </c>
      <c r="AD323" s="43">
        <f t="shared" si="1890"/>
        <v>-8.0528846153846132</v>
      </c>
      <c r="AE323" s="653">
        <v>148.4</v>
      </c>
      <c r="AF323" s="43">
        <f t="shared" si="1891"/>
        <v>-10.006064281382649</v>
      </c>
      <c r="AG323" s="653">
        <v>144.69999999999999</v>
      </c>
      <c r="AH323" s="9">
        <f t="shared" si="1892"/>
        <v>-2.4932614555256123</v>
      </c>
      <c r="AI323" s="653">
        <v>124.3</v>
      </c>
      <c r="AJ323" s="9">
        <f t="shared" si="1893"/>
        <v>-2.8146989835809393</v>
      </c>
      <c r="AK323" s="653">
        <v>131.80000000000001</v>
      </c>
      <c r="AL323" s="9">
        <f t="shared" si="1894"/>
        <v>-13.856209150326791</v>
      </c>
      <c r="AM323" s="653">
        <v>92.9</v>
      </c>
      <c r="AN323" s="9">
        <f t="shared" si="1895"/>
        <v>-37.398921832884092</v>
      </c>
      <c r="AO323" s="653">
        <v>142.4</v>
      </c>
      <c r="AP323" s="9">
        <f t="shared" si="1896"/>
        <v>-1.5894955079474755</v>
      </c>
      <c r="AQ323" s="693">
        <f t="shared" ref="AQ323:AW323" si="1926">AQ343*AQ$303/400</f>
        <v>121.34279383498341</v>
      </c>
      <c r="AR323" s="9">
        <f t="shared" si="1898"/>
        <v>-2.3790878238266941</v>
      </c>
      <c r="AS323" s="693">
        <f t="shared" si="1926"/>
        <v>122.076586583132</v>
      </c>
      <c r="AT323" s="9">
        <f t="shared" si="1899"/>
        <v>-7.3774001645432605</v>
      </c>
      <c r="AU323" s="693">
        <f t="shared" si="1926"/>
        <v>123.2040284474415</v>
      </c>
      <c r="AV323" s="9">
        <f t="shared" si="1900"/>
        <v>32.620052150098502</v>
      </c>
      <c r="AW323" s="693">
        <f t="shared" si="1926"/>
        <v>126.54702668532622</v>
      </c>
      <c r="AX323" s="9">
        <f t="shared" si="1901"/>
        <v>-11.132705979405756</v>
      </c>
      <c r="AY323" s="287"/>
      <c r="AZ323" s="64"/>
      <c r="BA323" s="9" t="str">
        <f>IF(ISERROR(#REF!/#REF!),"NA",IF(OR(#REF!/#REF!&gt;2,#REF!/#REF!&lt;0.5),"NM",#REF!/#REF!*100-100))</f>
        <v>NA</v>
      </c>
      <c r="BB323" s="55">
        <f>C323+E323+G323+I323</f>
        <v>567.40000000000009</v>
      </c>
      <c r="BC323" s="226" t="str">
        <f>IF(ISERROR(BB323/#REF!),"NA",IF(OR(BB323/#REF!&gt;2,BB323/#REF!&lt;0.5),"NM",BB323/#REF!*100-100))</f>
        <v>NA</v>
      </c>
      <c r="BD323" s="908">
        <f>K323+M323+O323+Q323</f>
        <v>612.80000000000007</v>
      </c>
      <c r="BE323" s="226">
        <f t="shared" si="1902"/>
        <v>8.0014099400775365</v>
      </c>
      <c r="BF323" s="55">
        <f>S323+U323+W323+Y323</f>
        <v>565</v>
      </c>
      <c r="BG323" s="226">
        <f t="shared" si="1903"/>
        <v>-7.8002610966057517</v>
      </c>
      <c r="BH323" s="55">
        <f>AA323+AC323+AE323+AG323</f>
        <v>574</v>
      </c>
      <c r="BI323" s="226">
        <f t="shared" si="1904"/>
        <v>1.5929203539823078</v>
      </c>
      <c r="BJ323" s="55">
        <f>AI323+AK323+AM323+AO323</f>
        <v>491.4</v>
      </c>
      <c r="BK323" s="226">
        <f t="shared" si="1904"/>
        <v>-14.390243902439025</v>
      </c>
      <c r="BL323" s="55">
        <f>AQ323+AS323+AU323+AW323</f>
        <v>493.1704355508831</v>
      </c>
      <c r="BM323" s="226">
        <f t="shared" si="1904"/>
        <v>0.36028399488870377</v>
      </c>
      <c r="BN323" s="693">
        <f t="shared" ref="BN323:BP323" si="1927">BN343*BN$303/100</f>
        <v>525.05168222705174</v>
      </c>
      <c r="BO323" s="226">
        <f t="shared" si="1904"/>
        <v>6.4645494494325391</v>
      </c>
      <c r="BP323" s="693">
        <f t="shared" si="1927"/>
        <v>571.72936580154521</v>
      </c>
      <c r="BQ323" s="226">
        <f t="shared" si="1904"/>
        <v>8.890112184100829</v>
      </c>
      <c r="BR323" s="693">
        <f t="shared" ref="BR323:BT323" si="1928">BR343*BR$303/100</f>
        <v>641.4953911171649</v>
      </c>
      <c r="BS323" s="226">
        <f t="shared" si="1904"/>
        <v>12.202631085393008</v>
      </c>
      <c r="BT323" s="693">
        <f t="shared" si="1928"/>
        <v>714.72663899125575</v>
      </c>
      <c r="BU323" s="226">
        <f t="shared" si="1907"/>
        <v>11.415709120927346</v>
      </c>
      <c r="BV323" s="43">
        <f t="shared" si="1908"/>
        <v>7.780690954517655</v>
      </c>
      <c r="BW323" s="722"/>
      <c r="BX323" s="722"/>
      <c r="BY323"/>
      <c r="BZ323"/>
      <c r="CA323"/>
      <c r="CB323"/>
      <c r="CC323"/>
      <c r="CD323"/>
    </row>
    <row r="324" spans="1:82" s="2" customFormat="1" ht="12.75" customHeight="1" x14ac:dyDescent="0.2">
      <c r="A324" s="41"/>
      <c r="B324" s="62" t="s">
        <v>421</v>
      </c>
      <c r="C324" s="653">
        <v>12.6</v>
      </c>
      <c r="D324" s="9" t="str">
        <f>IF(ISERROR(C324/#REF!),"NA",IF(OR(C324/#REF!&gt;2,C324/#REF!&lt;0.5),"NM",C324/#REF!*100-100))</f>
        <v>NA</v>
      </c>
      <c r="E324" s="653">
        <v>20.100000000000001</v>
      </c>
      <c r="F324" s="9" t="str">
        <f>IF(ISERROR(E324/#REF!),"NA",IF(OR(E324/#REF!&gt;2,E324/#REF!&lt;0.5),"NM",E324/#REF!*100-100))</f>
        <v>NA</v>
      </c>
      <c r="G324" s="653">
        <v>17.3</v>
      </c>
      <c r="H324" s="9" t="str">
        <f>IF(ISERROR(G324/#REF!),"NA",IF(OR(G324/#REF!&gt;2,G324/#REF!&lt;0.5),"NM",G324/#REF!*100-100))</f>
        <v>NA</v>
      </c>
      <c r="I324" s="653">
        <v>19.899999999999999</v>
      </c>
      <c r="J324" s="9" t="str">
        <f>IF(ISERROR(I324/#REF!),"NA",IF(OR(I324/#REF!&gt;2,I324/#REF!&lt;0.5),"NM",I324/#REF!*100-100))</f>
        <v>NA</v>
      </c>
      <c r="K324" s="653">
        <v>16.8</v>
      </c>
      <c r="L324" s="9">
        <f t="shared" si="1887"/>
        <v>33.333333333333343</v>
      </c>
      <c r="M324" s="653">
        <v>18.3</v>
      </c>
      <c r="N324" s="9">
        <f t="shared" si="1888"/>
        <v>-8.9552238805970177</v>
      </c>
      <c r="O324" s="653">
        <v>18.600000000000001</v>
      </c>
      <c r="P324" s="43">
        <f t="shared" si="1860"/>
        <v>7.5144508670520196</v>
      </c>
      <c r="Q324" s="653">
        <v>22.1</v>
      </c>
      <c r="R324" s="43">
        <f t="shared" si="1862"/>
        <v>11.055276381909579</v>
      </c>
      <c r="S324" s="653">
        <v>15</v>
      </c>
      <c r="T324" s="43">
        <f t="shared" si="1863"/>
        <v>-10.714285714285722</v>
      </c>
      <c r="U324" s="653">
        <v>13.7</v>
      </c>
      <c r="V324" s="43">
        <f t="shared" si="1889"/>
        <v>-25.136612021857928</v>
      </c>
      <c r="W324" s="653">
        <v>13.8</v>
      </c>
      <c r="X324" s="43">
        <f t="shared" si="1890"/>
        <v>-25.806451612903231</v>
      </c>
      <c r="Y324" s="653">
        <v>14.3</v>
      </c>
      <c r="Z324" s="43">
        <f t="shared" si="1890"/>
        <v>-35.294117647058826</v>
      </c>
      <c r="AA324" s="653">
        <v>12.2</v>
      </c>
      <c r="AB324" s="43">
        <f t="shared" si="1890"/>
        <v>-18.666666666666671</v>
      </c>
      <c r="AC324" s="653">
        <v>13.5</v>
      </c>
      <c r="AD324" s="43">
        <f t="shared" si="1890"/>
        <v>-1.4598540145985339</v>
      </c>
      <c r="AE324" s="653">
        <v>13.8</v>
      </c>
      <c r="AF324" s="43">
        <f t="shared" si="1891"/>
        <v>0</v>
      </c>
      <c r="AG324" s="653">
        <v>14.5</v>
      </c>
      <c r="AH324" s="9">
        <f t="shared" si="1892"/>
        <v>1.3986013986014001</v>
      </c>
      <c r="AI324" s="653">
        <v>12.5</v>
      </c>
      <c r="AJ324" s="9">
        <f t="shared" si="1893"/>
        <v>2.4590163934426386</v>
      </c>
      <c r="AK324" s="653">
        <v>15</v>
      </c>
      <c r="AL324" s="9">
        <f t="shared" si="1894"/>
        <v>11.111111111111114</v>
      </c>
      <c r="AM324" s="653">
        <v>16.2</v>
      </c>
      <c r="AN324" s="9">
        <f t="shared" si="1895"/>
        <v>17.391304347826079</v>
      </c>
      <c r="AO324" s="653">
        <v>17.2</v>
      </c>
      <c r="AP324" s="9">
        <f t="shared" si="1896"/>
        <v>18.620689655172413</v>
      </c>
      <c r="AQ324" s="693">
        <f t="shared" ref="AQ324:AW326" si="1929">AQ346*AQ$303/400</f>
        <v>17.51360286952853</v>
      </c>
      <c r="AR324" s="9">
        <f t="shared" si="1898"/>
        <v>40.108822956228238</v>
      </c>
      <c r="AS324" s="693">
        <f t="shared" si="1929"/>
        <v>17.61951237081372</v>
      </c>
      <c r="AT324" s="9">
        <f t="shared" si="1899"/>
        <v>17.463415805424788</v>
      </c>
      <c r="AU324" s="693">
        <f t="shared" si="1929"/>
        <v>17.78223788953591</v>
      </c>
      <c r="AV324" s="9">
        <f t="shared" si="1900"/>
        <v>9.7669005526907995</v>
      </c>
      <c r="AW324" s="693">
        <f t="shared" si="1929"/>
        <v>17.948008699278581</v>
      </c>
      <c r="AX324" s="9">
        <f t="shared" si="1901"/>
        <v>4.3488877865033686</v>
      </c>
      <c r="AY324" s="287"/>
      <c r="AZ324" s="64"/>
      <c r="BA324" s="9" t="str">
        <f>IF(ISERROR(#REF!/#REF!),"NA",IF(OR(#REF!/#REF!&gt;2,#REF!/#REF!&lt;0.5),"NM",#REF!/#REF!*100-100))</f>
        <v>NA</v>
      </c>
      <c r="BB324" s="55">
        <f>C324+E324+G324+I324</f>
        <v>69.900000000000006</v>
      </c>
      <c r="BC324" s="226" t="str">
        <f>IF(ISERROR(BB324/#REF!),"NA",IF(OR(BB324/#REF!&gt;2,BB324/#REF!&lt;0.5),"NM",BB324/#REF!*100-100))</f>
        <v>NA</v>
      </c>
      <c r="BD324" s="908">
        <f>K324+M324+O324+Q324</f>
        <v>75.800000000000011</v>
      </c>
      <c r="BE324" s="226">
        <f t="shared" si="1902"/>
        <v>8.4406294706723912</v>
      </c>
      <c r="BF324" s="55">
        <f>S324+U324+W324+Y324</f>
        <v>56.8</v>
      </c>
      <c r="BG324" s="226">
        <f t="shared" si="1903"/>
        <v>-25.06596306068603</v>
      </c>
      <c r="BH324" s="55">
        <f>AA324+AC324+AE324+AG324</f>
        <v>54</v>
      </c>
      <c r="BI324" s="226">
        <f t="shared" si="1904"/>
        <v>-4.9295774647887214</v>
      </c>
      <c r="BJ324" s="55">
        <f>AI324+AK324+AM324+AO324</f>
        <v>60.900000000000006</v>
      </c>
      <c r="BK324" s="226">
        <f t="shared" si="1904"/>
        <v>12.7777777777778</v>
      </c>
      <c r="BL324" s="55">
        <f>AQ324+AS324+AU324+AW324</f>
        <v>70.86336182915673</v>
      </c>
      <c r="BM324" s="226">
        <f t="shared" si="1904"/>
        <v>16.36020004787639</v>
      </c>
      <c r="BN324" s="693">
        <f t="shared" ref="BN324:BP325" si="1930">BN346*BN$303/100</f>
        <v>75.444358896132869</v>
      </c>
      <c r="BO324" s="226">
        <f t="shared" si="1904"/>
        <v>6.4645494494325391</v>
      </c>
      <c r="BP324" s="693">
        <f t="shared" si="1930"/>
        <v>82.15144703857473</v>
      </c>
      <c r="BQ324" s="226">
        <f t="shared" si="1904"/>
        <v>8.890112184100829</v>
      </c>
      <c r="BR324" s="693">
        <f t="shared" ref="BR324:BT325" si="1931">BR346*BR$303/100</f>
        <v>89.047226453656549</v>
      </c>
      <c r="BS324" s="226">
        <f t="shared" si="1904"/>
        <v>8.3939841155127368</v>
      </c>
      <c r="BT324" s="693">
        <f t="shared" si="1931"/>
        <v>96.21869007181887</v>
      </c>
      <c r="BU324" s="226">
        <f t="shared" si="1907"/>
        <v>8.0535507996923599</v>
      </c>
      <c r="BV324" s="43">
        <f t="shared" si="1908"/>
        <v>9.5792767078756391</v>
      </c>
      <c r="BW324" s="722"/>
      <c r="BX324" s="722"/>
      <c r="BY324"/>
      <c r="BZ324"/>
      <c r="CA324"/>
      <c r="CB324"/>
      <c r="CC324"/>
      <c r="CD324"/>
    </row>
    <row r="325" spans="1:82" s="2" customFormat="1" ht="12.75" customHeight="1" x14ac:dyDescent="0.2">
      <c r="A325" s="41"/>
      <c r="B325" s="62" t="s">
        <v>391</v>
      </c>
      <c r="C325" s="653">
        <f>-10.7+3.7</f>
        <v>-6.9999999999999991</v>
      </c>
      <c r="D325" s="9" t="str">
        <f>IF(ISERROR(C325/#REF!),"NA",IF(OR(C325/#REF!&gt;2,C325/#REF!&lt;0.5),"NM",C325/#REF!*100-100))</f>
        <v>NA</v>
      </c>
      <c r="E325" s="653">
        <f>-15+4</f>
        <v>-11</v>
      </c>
      <c r="F325" s="9" t="str">
        <f>IF(ISERROR(E325/#REF!),"NA",IF(OR(E325/#REF!&gt;2,E325/#REF!&lt;0.5),"NM",E325/#REF!*100-100))</f>
        <v>NA</v>
      </c>
      <c r="G325" s="653">
        <f>-13.3+4.3</f>
        <v>-9</v>
      </c>
      <c r="H325" s="9" t="str">
        <f>IF(ISERROR(G325/#REF!),"NA",IF(OR(G325/#REF!&gt;2,G325/#REF!&lt;0.5),"NM",G325/#REF!*100-100))</f>
        <v>NA</v>
      </c>
      <c r="I325" s="653">
        <f>-15+3.9</f>
        <v>-11.1</v>
      </c>
      <c r="J325" s="9" t="str">
        <f>IF(ISERROR(I325/#REF!),"NA",IF(OR(I325/#REF!&gt;2,I325/#REF!&lt;0.5),"NM",I325/#REF!*100-100))</f>
        <v>NA</v>
      </c>
      <c r="K325" s="653">
        <f>-12.6+4.1</f>
        <v>-8.5</v>
      </c>
      <c r="L325" s="9">
        <f t="shared" si="1887"/>
        <v>21.428571428571445</v>
      </c>
      <c r="M325" s="653">
        <f>-13.9+4.2</f>
        <v>-9.6999999999999993</v>
      </c>
      <c r="N325" s="9">
        <f t="shared" si="1888"/>
        <v>-11.818181818181827</v>
      </c>
      <c r="O325" s="653">
        <f>-14.1+5.7</f>
        <v>-8.3999999999999986</v>
      </c>
      <c r="P325" s="43">
        <f t="shared" si="1860"/>
        <v>-6.6666666666666856</v>
      </c>
      <c r="Q325" s="653">
        <f>-16.1+5</f>
        <v>-11.100000000000001</v>
      </c>
      <c r="R325" s="43">
        <f t="shared" si="1862"/>
        <v>2.8421709430404007E-14</v>
      </c>
      <c r="S325" s="653">
        <f>-10.6+5</f>
        <v>-5.6</v>
      </c>
      <c r="T325" s="43">
        <f t="shared" si="1863"/>
        <v>-34.117647058823536</v>
      </c>
      <c r="U325" s="653">
        <f>-7.3+4.6</f>
        <v>-2.7</v>
      </c>
      <c r="V325" s="43" t="str">
        <f t="shared" si="1889"/>
        <v>NM</v>
      </c>
      <c r="W325" s="653">
        <f>-7.9+4.7</f>
        <v>-3.2</v>
      </c>
      <c r="X325" s="43" t="str">
        <f t="shared" si="1890"/>
        <v>NM</v>
      </c>
      <c r="Y325" s="653">
        <f>-8+4.4</f>
        <v>-3.5999999999999996</v>
      </c>
      <c r="Z325" s="43" t="str">
        <f t="shared" si="1890"/>
        <v>NM</v>
      </c>
      <c r="AA325" s="653">
        <f>-6.1+4.4</f>
        <v>-1.6999999999999993</v>
      </c>
      <c r="AB325" s="43" t="str">
        <f t="shared" si="1890"/>
        <v>NM</v>
      </c>
      <c r="AC325" s="653">
        <f>-6.6+4.6</f>
        <v>-2</v>
      </c>
      <c r="AD325" s="43">
        <f t="shared" si="1890"/>
        <v>-25.925925925925924</v>
      </c>
      <c r="AE325" s="653">
        <f>-5.9+7.5</f>
        <v>1.5999999999999996</v>
      </c>
      <c r="AF325" s="43" t="str">
        <f t="shared" si="1891"/>
        <v>NM</v>
      </c>
      <c r="AG325" s="653">
        <f>-6+5.6</f>
        <v>-0.40000000000000036</v>
      </c>
      <c r="AH325" s="9" t="str">
        <f t="shared" si="1892"/>
        <v>NM</v>
      </c>
      <c r="AI325" s="653">
        <f>-4.3+5.1</f>
        <v>0.79999999999999982</v>
      </c>
      <c r="AJ325" s="9" t="str">
        <f t="shared" si="1893"/>
        <v>NM</v>
      </c>
      <c r="AK325" s="653">
        <f>-5.4+5.5</f>
        <v>9.9999999999999645E-2</v>
      </c>
      <c r="AL325" s="9" t="str">
        <f t="shared" si="1894"/>
        <v>NM</v>
      </c>
      <c r="AM325" s="653">
        <f>-6.1+5.6</f>
        <v>-0.5</v>
      </c>
      <c r="AN325" s="9" t="str">
        <f t="shared" si="1895"/>
        <v>NM</v>
      </c>
      <c r="AO325" s="653">
        <f>-8.2+5.7</f>
        <v>-2.4999999999999991</v>
      </c>
      <c r="AP325" s="9" t="str">
        <f t="shared" si="1896"/>
        <v>NM</v>
      </c>
      <c r="AQ325" s="693">
        <f t="shared" si="1929"/>
        <v>-2.5455818124314713</v>
      </c>
      <c r="AR325" s="9" t="str">
        <f t="shared" si="1898"/>
        <v>NM</v>
      </c>
      <c r="AS325" s="693">
        <f t="shared" si="1929"/>
        <v>-2.5609756352926905</v>
      </c>
      <c r="AT325" s="9" t="str">
        <f t="shared" si="1899"/>
        <v>NM</v>
      </c>
      <c r="AU325" s="693">
        <f t="shared" si="1929"/>
        <v>-2.5846276002232416</v>
      </c>
      <c r="AV325" s="9" t="str">
        <f t="shared" si="1900"/>
        <v>NM</v>
      </c>
      <c r="AW325" s="693">
        <f t="shared" si="1929"/>
        <v>-2.6087221946625836</v>
      </c>
      <c r="AX325" s="9">
        <f t="shared" si="1901"/>
        <v>4.3488877865033686</v>
      </c>
      <c r="AY325" s="287"/>
      <c r="AZ325" s="64"/>
      <c r="BA325" s="9" t="str">
        <f>IF(ISERROR(#REF!/#REF!),"NA",IF(OR(#REF!/#REF!&gt;2,#REF!/#REF!&lt;0.5),"NM",#REF!/#REF!*100-100))</f>
        <v>NA</v>
      </c>
      <c r="BB325" s="55">
        <f>C325+E325+G325+I325</f>
        <v>-38.1</v>
      </c>
      <c r="BC325" s="226" t="str">
        <f>IF(ISERROR(BB325/#REF!),"NA",IF(OR(BB325/#REF!&gt;2,BB325/#REF!&lt;0.5),"NM",BB325/#REF!*100-100))</f>
        <v>NA</v>
      </c>
      <c r="BD325" s="908">
        <f>K325+M325+O325+Q325</f>
        <v>-37.700000000000003</v>
      </c>
      <c r="BE325" s="226">
        <f t="shared" si="1902"/>
        <v>-1.0498687664041881</v>
      </c>
      <c r="BF325" s="55">
        <f>S325+U325+W325+Y325</f>
        <v>-15.1</v>
      </c>
      <c r="BG325" s="226" t="str">
        <f t="shared" si="1903"/>
        <v>NM</v>
      </c>
      <c r="BH325" s="55">
        <f>AA325+AC325+AE325+AG325</f>
        <v>-2.5</v>
      </c>
      <c r="BI325" s="226" t="str">
        <f t="shared" si="1904"/>
        <v>NM</v>
      </c>
      <c r="BJ325" s="55">
        <f>AI325+AK325+AM325+AO325</f>
        <v>-2.0999999999999996</v>
      </c>
      <c r="BK325" s="226">
        <f t="shared" si="1904"/>
        <v>-16.000000000000014</v>
      </c>
      <c r="BL325" s="55">
        <f>AQ325+AS325+AU325+AW325</f>
        <v>-10.299907242609986</v>
      </c>
      <c r="BM325" s="226" t="str">
        <f t="shared" si="1904"/>
        <v>NM</v>
      </c>
      <c r="BN325" s="693">
        <f t="shared" si="1930"/>
        <v>-10.965749839554192</v>
      </c>
      <c r="BO325" s="226">
        <f t="shared" si="1904"/>
        <v>6.4645494494325391</v>
      </c>
      <c r="BP325" s="693">
        <f t="shared" si="1930"/>
        <v>-11.940617302118415</v>
      </c>
      <c r="BQ325" s="226">
        <f t="shared" si="1904"/>
        <v>8.8901121841008006</v>
      </c>
      <c r="BR325" s="693">
        <f t="shared" si="1931"/>
        <v>-12.942910821752401</v>
      </c>
      <c r="BS325" s="226">
        <f t="shared" si="1904"/>
        <v>8.3939841155127368</v>
      </c>
      <c r="BT325" s="693">
        <f t="shared" si="1931"/>
        <v>-13.98527471974111</v>
      </c>
      <c r="BU325" s="226">
        <f t="shared" si="1907"/>
        <v>8.0535507996923599</v>
      </c>
      <c r="BV325" s="43">
        <f t="shared" si="1908"/>
        <v>46.113499146649282</v>
      </c>
      <c r="BW325" s="722"/>
      <c r="BX325" s="722"/>
      <c r="BY325"/>
      <c r="BZ325"/>
      <c r="CA325"/>
      <c r="CB325"/>
      <c r="CC325"/>
      <c r="CD325"/>
    </row>
    <row r="326" spans="1:82" s="2" customFormat="1" ht="12.75" customHeight="1" x14ac:dyDescent="0.2">
      <c r="A326" s="41"/>
      <c r="B326" s="73" t="s">
        <v>481</v>
      </c>
      <c r="C326" s="653">
        <f>7.3+1.3+54.4</f>
        <v>63</v>
      </c>
      <c r="D326" s="9" t="str">
        <f>IF(ISERROR(C326/#REF!),"NA",IF(OR(C326/#REF!&gt;2,C326/#REF!&lt;0.5),"NM",C326/#REF!*100-100))</f>
        <v>NA</v>
      </c>
      <c r="E326" s="653">
        <f>14.5+1.4+61.7</f>
        <v>77.600000000000009</v>
      </c>
      <c r="F326" s="9" t="str">
        <f>IF(ISERROR(E326/#REF!),"NA",IF(OR(E326/#REF!&gt;2,E326/#REF!&lt;0.5),"NM",E326/#REF!*100-100))</f>
        <v>NA</v>
      </c>
      <c r="G326" s="653">
        <f>13+0.6+64.9</f>
        <v>78.5</v>
      </c>
      <c r="H326" s="9" t="str">
        <f>IF(ISERROR(G326/#REF!),"NA",IF(OR(G326/#REF!&gt;2,G326/#REF!&lt;0.5),"NM",G326/#REF!*100-100))</f>
        <v>NA</v>
      </c>
      <c r="I326" s="653">
        <f>13+0.6+69.4</f>
        <v>83</v>
      </c>
      <c r="J326" s="9" t="str">
        <f>IF(ISERROR(I326/#REF!),"NA",IF(OR(I326/#REF!&gt;2,I326/#REF!&lt;0.5),"NM",I326/#REF!*100-100))</f>
        <v>NA</v>
      </c>
      <c r="K326" s="653">
        <f>12.5+0.5+63.3</f>
        <v>76.3</v>
      </c>
      <c r="L326" s="9">
        <f t="shared" si="1887"/>
        <v>21.1111111111111</v>
      </c>
      <c r="M326" s="653">
        <f>12.6+0.4+65</f>
        <v>78</v>
      </c>
      <c r="N326" s="9">
        <f t="shared" si="1888"/>
        <v>0.51546391752577847</v>
      </c>
      <c r="O326" s="653">
        <f>12.4+0.4+68.1</f>
        <v>80.899999999999991</v>
      </c>
      <c r="P326" s="43">
        <f t="shared" si="1860"/>
        <v>3.0573248407643234</v>
      </c>
      <c r="Q326" s="653">
        <f>14.1+0.4+74</f>
        <v>88.5</v>
      </c>
      <c r="R326" s="43">
        <f t="shared" si="1862"/>
        <v>6.6265060240963862</v>
      </c>
      <c r="S326" s="653">
        <f>11.3+0.3+63.3</f>
        <v>74.900000000000006</v>
      </c>
      <c r="T326" s="43">
        <f t="shared" si="1863"/>
        <v>-1.8348623853210881</v>
      </c>
      <c r="U326" s="653">
        <f>11.3+0.4+66.8</f>
        <v>78.5</v>
      </c>
      <c r="V326" s="43">
        <f t="shared" si="1889"/>
        <v>0.6410256410256352</v>
      </c>
      <c r="W326" s="653">
        <f>34.6+0.2+68.6</f>
        <v>103.4</v>
      </c>
      <c r="X326" s="43">
        <f t="shared" si="1890"/>
        <v>27.812113720642785</v>
      </c>
      <c r="Y326" s="653">
        <f>12.1+0.5+76.5</f>
        <v>89.1</v>
      </c>
      <c r="Z326" s="43">
        <f t="shared" si="1890"/>
        <v>0.67796610169490634</v>
      </c>
      <c r="AA326" s="653">
        <f>12.2+0.3+67.4</f>
        <v>79.900000000000006</v>
      </c>
      <c r="AB326" s="43">
        <f t="shared" si="1890"/>
        <v>6.675567423230973</v>
      </c>
      <c r="AC326" s="653">
        <f>12.5+0.5+70.9</f>
        <v>83.9</v>
      </c>
      <c r="AD326" s="43">
        <f t="shared" si="1890"/>
        <v>6.878980891719749</v>
      </c>
      <c r="AE326" s="653">
        <f>12.9+0.4+72.2</f>
        <v>85.5</v>
      </c>
      <c r="AF326" s="43">
        <f t="shared" si="1891"/>
        <v>-17.311411992263061</v>
      </c>
      <c r="AG326" s="653">
        <f>12.5+0.6+73.7</f>
        <v>86.8</v>
      </c>
      <c r="AH326" s="9">
        <f t="shared" si="1892"/>
        <v>-2.5813692480359123</v>
      </c>
      <c r="AI326" s="653">
        <f>12.9+0.6+68.2</f>
        <v>81.7</v>
      </c>
      <c r="AJ326" s="9">
        <f t="shared" si="1893"/>
        <v>2.2528160200250227</v>
      </c>
      <c r="AK326" s="653">
        <f>12.9+0.6+79.7</f>
        <v>93.2</v>
      </c>
      <c r="AL326" s="9">
        <f t="shared" si="1894"/>
        <v>11.084624553039333</v>
      </c>
      <c r="AM326" s="653">
        <f>13.4+0.5+78.5</f>
        <v>92.4</v>
      </c>
      <c r="AN326" s="9">
        <f t="shared" si="1895"/>
        <v>8.0701754385964932</v>
      </c>
      <c r="AO326" s="653">
        <f>13.9+0.5+85.7</f>
        <v>100.10000000000001</v>
      </c>
      <c r="AP326" s="9">
        <f t="shared" si="1896"/>
        <v>15.322580645161295</v>
      </c>
      <c r="AQ326" s="693">
        <f t="shared" si="1929"/>
        <v>101.92509576975617</v>
      </c>
      <c r="AR326" s="9">
        <f t="shared" si="1898"/>
        <v>24.755319179628103</v>
      </c>
      <c r="AS326" s="693">
        <f t="shared" si="1929"/>
        <v>102.54146443711937</v>
      </c>
      <c r="AT326" s="9">
        <f t="shared" si="1899"/>
        <v>10.023030511930656</v>
      </c>
      <c r="AU326" s="693">
        <f t="shared" si="1929"/>
        <v>103.48848911293867</v>
      </c>
      <c r="AV326" s="9">
        <f t="shared" si="1900"/>
        <v>12.000529343007216</v>
      </c>
      <c r="AW326" s="693">
        <f t="shared" si="1929"/>
        <v>104.4532366742899</v>
      </c>
      <c r="AX326" s="9">
        <f t="shared" si="1901"/>
        <v>4.3488877865033686</v>
      </c>
      <c r="AY326" s="287"/>
      <c r="AZ326" s="64"/>
      <c r="BA326" s="9" t="str">
        <f>IF(ISERROR(#REF!/#REF!),"NA",IF(OR(#REF!/#REF!&gt;2,#REF!/#REF!&lt;0.5),"NM",#REF!/#REF!*100-100))</f>
        <v>NA</v>
      </c>
      <c r="BB326" s="55">
        <f>C326+E326+G326+I326</f>
        <v>302.10000000000002</v>
      </c>
      <c r="BC326" s="226" t="str">
        <f>IF(ISERROR(BB326/#REF!),"NA",IF(OR(BB326/#REF!&gt;2,BB326/#REF!&lt;0.5),"NM",BB326/#REF!*100-100))</f>
        <v>NA</v>
      </c>
      <c r="BD326" s="908">
        <f>K326+M326+O326+Q326</f>
        <v>323.7</v>
      </c>
      <c r="BE326" s="226">
        <f t="shared" si="1902"/>
        <v>7.1499503475670281</v>
      </c>
      <c r="BF326" s="55">
        <f>S326+U326+W326+Y326</f>
        <v>345.9</v>
      </c>
      <c r="BG326" s="226">
        <f t="shared" si="1903"/>
        <v>6.8582020389249294</v>
      </c>
      <c r="BH326" s="55">
        <f>AA326+AC326+AE326+AG326</f>
        <v>336.1</v>
      </c>
      <c r="BI326" s="226">
        <f t="shared" si="1904"/>
        <v>-2.833188782885216</v>
      </c>
      <c r="BJ326" s="55">
        <f>AI326+AK326+AM326+AO326</f>
        <v>367.40000000000003</v>
      </c>
      <c r="BK326" s="226">
        <f t="shared" si="1904"/>
        <v>9.3127045522166014</v>
      </c>
      <c r="BL326" s="55">
        <f>AQ326+AS326+AU326+AW326</f>
        <v>412.40828599410412</v>
      </c>
      <c r="BM326" s="226">
        <f t="shared" si="1904"/>
        <v>12.250486117066984</v>
      </c>
      <c r="BN326" s="693">
        <f>BN366*BN$303/100</f>
        <v>439.06862357575011</v>
      </c>
      <c r="BO326" s="226">
        <f t="shared" si="1904"/>
        <v>6.4645494494325391</v>
      </c>
      <c r="BP326" s="693">
        <f>BP366*BP$303/100</f>
        <v>478.10231677682151</v>
      </c>
      <c r="BQ326" s="226">
        <f t="shared" si="1904"/>
        <v>8.8901121841007864</v>
      </c>
      <c r="BR326" s="693">
        <f>BR366*BR$303/100</f>
        <v>518.23414930296644</v>
      </c>
      <c r="BS326" s="226">
        <f t="shared" si="1904"/>
        <v>8.3939841155127795</v>
      </c>
      <c r="BT326" s="693">
        <f>BT366*BT$303/100</f>
        <v>559.9703997784344</v>
      </c>
      <c r="BU326" s="226">
        <f t="shared" si="1907"/>
        <v>8.0535507996923599</v>
      </c>
      <c r="BV326" s="43">
        <f t="shared" si="1908"/>
        <v>8.7940598963636383</v>
      </c>
      <c r="BW326" s="722"/>
      <c r="BX326" s="722"/>
      <c r="BY326"/>
      <c r="BZ326"/>
      <c r="CA326"/>
      <c r="CB326"/>
      <c r="CC326"/>
      <c r="CD326"/>
    </row>
    <row r="327" spans="1:82" s="2" customFormat="1" ht="12.75" customHeight="1" x14ac:dyDescent="0.2">
      <c r="A327" s="66"/>
      <c r="B327" s="67" t="s">
        <v>484</v>
      </c>
      <c r="C327" s="695">
        <f>SUM(C323,C324,C325,C326)</f>
        <v>197.2</v>
      </c>
      <c r="D327" s="9" t="str">
        <f>IF(ISERROR(C327/#REF!),"NA",IF(OR(C327/#REF!&gt;2,C327/#REF!&lt;0.5),"NM",C327/#REF!*100-100))</f>
        <v>NA</v>
      </c>
      <c r="E327" s="695">
        <f>SUM(E323,E324,E325,E326)</f>
        <v>209.7</v>
      </c>
      <c r="F327" s="9" t="str">
        <f>IF(ISERROR(E327/#REF!),"NA",IF(OR(E327/#REF!&gt;2,E327/#REF!&lt;0.5),"NM",E327/#REF!*100-100))</f>
        <v>NA</v>
      </c>
      <c r="G327" s="695">
        <f>SUM(G323,G324,G325,G326)</f>
        <v>248.8</v>
      </c>
      <c r="H327" s="9" t="str">
        <f>IF(ISERROR(G327/#REF!),"NA",IF(OR(G327/#REF!&gt;2,G327/#REF!&lt;0.5),"NM",G327/#REF!*100-100))</f>
        <v>NA</v>
      </c>
      <c r="I327" s="695">
        <f>SUM(I323,I324,I325,I326)</f>
        <v>245.60000000000002</v>
      </c>
      <c r="J327" s="9" t="str">
        <f>IF(ISERROR(I327/#REF!),"NA",IF(OR(I327/#REF!&gt;2,I327/#REF!&lt;0.5),"NM",I327/#REF!*100-100))</f>
        <v>NA</v>
      </c>
      <c r="K327" s="695">
        <f>SUM(K323,K324,K325,K326)</f>
        <v>229.10000000000002</v>
      </c>
      <c r="L327" s="9">
        <f t="shared" si="1887"/>
        <v>16.176470588235304</v>
      </c>
      <c r="M327" s="695">
        <f>SUM(M323,M324,M325,M326)</f>
        <v>280.20000000000005</v>
      </c>
      <c r="N327" s="9">
        <f t="shared" si="1888"/>
        <v>33.6194563662375</v>
      </c>
      <c r="O327" s="695">
        <f>SUM(O323,O324,O325,O326)</f>
        <v>206.2</v>
      </c>
      <c r="P327" s="43">
        <f t="shared" si="1860"/>
        <v>-17.122186495176862</v>
      </c>
      <c r="Q327" s="695">
        <f>SUM(Q323,Q324,Q325,Q326)</f>
        <v>259.10000000000002</v>
      </c>
      <c r="R327" s="43">
        <f t="shared" si="1862"/>
        <v>5.4967426710097698</v>
      </c>
      <c r="S327" s="695">
        <f>SUM(S323,S324,S325,S326)</f>
        <v>169.60000000000002</v>
      </c>
      <c r="T327" s="43">
        <f t="shared" si="1863"/>
        <v>-25.971191619380178</v>
      </c>
      <c r="U327" s="695">
        <f>SUM(U323,U324,U325,U326)</f>
        <v>255.9</v>
      </c>
      <c r="V327" s="43">
        <f t="shared" si="1889"/>
        <v>-8.6723768736616762</v>
      </c>
      <c r="W327" s="695">
        <f t="shared" ref="W327:Y327" si="1932">SUM(W323,W324,W325,W326)</f>
        <v>278.90000000000003</v>
      </c>
      <c r="X327" s="43">
        <f t="shared" si="1890"/>
        <v>35.257032007759477</v>
      </c>
      <c r="Y327" s="695">
        <f t="shared" si="1932"/>
        <v>248.20000000000002</v>
      </c>
      <c r="Z327" s="43">
        <f t="shared" si="1890"/>
        <v>-4.2068699343882656</v>
      </c>
      <c r="AA327" s="695">
        <f t="shared" ref="AA327:AC327" si="1933">SUM(AA323,AA324,AA325,AA326)</f>
        <v>218.3</v>
      </c>
      <c r="AB327" s="43">
        <f t="shared" si="1890"/>
        <v>28.714622641509408</v>
      </c>
      <c r="AC327" s="695">
        <f t="shared" si="1933"/>
        <v>248.4</v>
      </c>
      <c r="AD327" s="43">
        <f t="shared" si="1890"/>
        <v>-2.9308323563892174</v>
      </c>
      <c r="AE327" s="695">
        <f t="shared" ref="AE327:AG327" si="1934">SUM(AE323,AE324,AE325,AE326)</f>
        <v>249.3</v>
      </c>
      <c r="AF327" s="43">
        <f t="shared" si="1891"/>
        <v>-10.613122983148088</v>
      </c>
      <c r="AG327" s="695">
        <f t="shared" si="1934"/>
        <v>245.59999999999997</v>
      </c>
      <c r="AH327" s="9">
        <f t="shared" si="1892"/>
        <v>-1.0475423045930796</v>
      </c>
      <c r="AI327" s="695">
        <f t="shared" ref="AI327:AK327" si="1935">SUM(AI323,AI324,AI325,AI326)</f>
        <v>219.3</v>
      </c>
      <c r="AJ327" s="9">
        <f t="shared" si="1893"/>
        <v>0.45808520384791507</v>
      </c>
      <c r="AK327" s="695">
        <f t="shared" si="1935"/>
        <v>240.10000000000002</v>
      </c>
      <c r="AL327" s="9">
        <f t="shared" si="1894"/>
        <v>-3.3413848631239915</v>
      </c>
      <c r="AM327" s="695">
        <f t="shared" ref="AM327:AO327" si="1936">SUM(AM323,AM324,AM325,AM326)</f>
        <v>201</v>
      </c>
      <c r="AN327" s="9">
        <f t="shared" si="1895"/>
        <v>-19.37424789410349</v>
      </c>
      <c r="AO327" s="695">
        <f t="shared" si="1936"/>
        <v>257.2</v>
      </c>
      <c r="AP327" s="9">
        <f t="shared" si="1896"/>
        <v>4.7231270358306148</v>
      </c>
      <c r="AQ327" s="704">
        <f t="shared" ref="AQ327:AW327" si="1937">SUM(AQ323,AQ324,AQ325,AQ326)</f>
        <v>238.23591066183667</v>
      </c>
      <c r="AR327" s="9">
        <f t="shared" si="1898"/>
        <v>8.6347061841480297</v>
      </c>
      <c r="AS327" s="704">
        <f t="shared" si="1937"/>
        <v>239.6765877557724</v>
      </c>
      <c r="AT327" s="9">
        <f t="shared" si="1899"/>
        <v>-0.17634828997401542</v>
      </c>
      <c r="AU327" s="704">
        <f t="shared" si="1937"/>
        <v>241.89012784969287</v>
      </c>
      <c r="AV327" s="9">
        <f t="shared" si="1900"/>
        <v>20.343347188901916</v>
      </c>
      <c r="AW327" s="704">
        <f t="shared" si="1937"/>
        <v>246.33954986423208</v>
      </c>
      <c r="AX327" s="9">
        <f t="shared" si="1901"/>
        <v>-4.222570037234803</v>
      </c>
      <c r="AY327" s="287"/>
      <c r="AZ327" s="68"/>
      <c r="BA327" s="9" t="str">
        <f>IF(ISERROR(#REF!/#REF!),"NA",IF(OR(#REF!/#REF!&gt;2,#REF!/#REF!&lt;0.5),"NM",#REF!/#REF!*100-100))</f>
        <v>NA</v>
      </c>
      <c r="BB327" s="695">
        <f>BB323+BB324+BB325+BB326</f>
        <v>901.30000000000007</v>
      </c>
      <c r="BC327" s="226" t="str">
        <f>IF(ISERROR(BB327/#REF!),"NA",IF(OR(BB327/#REF!&gt;2,BB327/#REF!&lt;0.5),"NM",BB327/#REF!*100-100))</f>
        <v>NA</v>
      </c>
      <c r="BD327" s="912">
        <f t="shared" ref="BD327:BP327" si="1938">BD323+BD324+BD325+BD326</f>
        <v>974.60000000000014</v>
      </c>
      <c r="BE327" s="226">
        <f t="shared" si="1902"/>
        <v>8.1326972151337031</v>
      </c>
      <c r="BF327" s="704">
        <f t="shared" si="1938"/>
        <v>952.59999999999991</v>
      </c>
      <c r="BG327" s="226">
        <f t="shared" si="1903"/>
        <v>-2.2573363431151421</v>
      </c>
      <c r="BH327" s="704">
        <f t="shared" si="1938"/>
        <v>961.6</v>
      </c>
      <c r="BI327" s="226">
        <f t="shared" si="1904"/>
        <v>0.94478269997901521</v>
      </c>
      <c r="BJ327" s="704">
        <f t="shared" ref="BJ327" si="1939">BJ323+BJ324+BJ325+BJ326</f>
        <v>917.59999999999991</v>
      </c>
      <c r="BK327" s="226">
        <f t="shared" si="1904"/>
        <v>-4.5757071547421049</v>
      </c>
      <c r="BL327" s="704">
        <f t="shared" ref="BL327" si="1940">BL323+BL324+BL325+BL326</f>
        <v>966.14217613153392</v>
      </c>
      <c r="BM327" s="226">
        <f t="shared" si="1904"/>
        <v>5.290123815555134</v>
      </c>
      <c r="BN327" s="704">
        <f t="shared" si="1938"/>
        <v>1028.5989148593806</v>
      </c>
      <c r="BO327" s="226">
        <f t="shared" si="1904"/>
        <v>6.4645494494325391</v>
      </c>
      <c r="BP327" s="704">
        <f t="shared" si="1938"/>
        <v>1120.0425123148229</v>
      </c>
      <c r="BQ327" s="226">
        <f t="shared" si="1904"/>
        <v>8.8901121841008006</v>
      </c>
      <c r="BR327" s="704">
        <f t="shared" ref="BR327:BT327" si="1941">BR323+BR324+BR325+BR326</f>
        <v>1235.8338560520356</v>
      </c>
      <c r="BS327" s="226">
        <f t="shared" si="1904"/>
        <v>10.338120425259874</v>
      </c>
      <c r="BT327" s="704">
        <f t="shared" si="1941"/>
        <v>1356.930454121768</v>
      </c>
      <c r="BU327" s="226">
        <f t="shared" si="1907"/>
        <v>9.7987765488626906</v>
      </c>
      <c r="BV327" s="43">
        <f t="shared" si="1908"/>
        <v>8.1386234547224277</v>
      </c>
      <c r="BW327" s="722"/>
      <c r="BX327" s="722"/>
      <c r="BY327"/>
      <c r="BZ327"/>
      <c r="CA327"/>
      <c r="CB327"/>
      <c r="CC327"/>
      <c r="CD327"/>
    </row>
    <row r="328" spans="1:82" s="2" customFormat="1" ht="12.75" customHeight="1" x14ac:dyDescent="0.2">
      <c r="A328" s="41"/>
      <c r="B328" s="62" t="s">
        <v>485</v>
      </c>
      <c r="C328" s="691">
        <f>C321-C327</f>
        <v>64.400000000000034</v>
      </c>
      <c r="D328" s="9" t="str">
        <f>IF(ISERROR(C328/#REF!),"NA",IF(OR(C328/#REF!&gt;2,C328/#REF!&lt;0.5),"NM",C328/#REF!*100-100))</f>
        <v>NA</v>
      </c>
      <c r="E328" s="691">
        <f>E321-E327</f>
        <v>78.300000000000011</v>
      </c>
      <c r="F328" s="9" t="str">
        <f>IF(ISERROR(E328/#REF!),"NA",IF(OR(E328/#REF!&gt;2,E328/#REF!&lt;0.5),"NM",E328/#REF!*100-100))</f>
        <v>NA</v>
      </c>
      <c r="G328" s="691">
        <f>G321-G327</f>
        <v>66.699999999999989</v>
      </c>
      <c r="H328" s="9" t="str">
        <f>IF(ISERROR(G328/#REF!),"NA",IF(OR(G328/#REF!&gt;2,G328/#REF!&lt;0.5),"NM",G328/#REF!*100-100))</f>
        <v>NA</v>
      </c>
      <c r="I328" s="691">
        <f>I321-I327</f>
        <v>90.5</v>
      </c>
      <c r="J328" s="9" t="str">
        <f>IF(ISERROR(I328/#REF!),"NA",IF(OR(I328/#REF!&gt;2,I328/#REF!&lt;0.5),"NM",I328/#REF!*100-100))</f>
        <v>NA</v>
      </c>
      <c r="K328" s="691">
        <f>K321-K327</f>
        <v>83.499999999999943</v>
      </c>
      <c r="L328" s="9">
        <f>IF(ISERROR(K328/C328),"NA",IF(OR(K328/C328&gt;2,K328/C328&lt;0.5),"NM",K328/C328*100-100))</f>
        <v>29.658385093167539</v>
      </c>
      <c r="M328" s="691">
        <f>M321-M327</f>
        <v>91.199999999999989</v>
      </c>
      <c r="N328" s="9">
        <f>IF(ISERROR(M328/E328),"NA",IF(OR(M328/E328&gt;2,M328/E328&lt;0.5),"NM",M328/E328*100-100))</f>
        <v>16.475095785440573</v>
      </c>
      <c r="O328" s="691">
        <f>O321-O327</f>
        <v>102.80000000000001</v>
      </c>
      <c r="P328" s="43">
        <f t="shared" si="1860"/>
        <v>54.122938530734672</v>
      </c>
      <c r="Q328" s="691">
        <f>Q321-Q327</f>
        <v>77.699999999999932</v>
      </c>
      <c r="R328" s="43">
        <f t="shared" si="1862"/>
        <v>-14.143646408839857</v>
      </c>
      <c r="S328" s="691">
        <f>S321-S327</f>
        <v>81.19999999999996</v>
      </c>
      <c r="T328" s="43">
        <f t="shared" si="1863"/>
        <v>-2.7544910179640567</v>
      </c>
      <c r="U328" s="691">
        <f>U321-U327</f>
        <v>72.399999999999949</v>
      </c>
      <c r="V328" s="43">
        <f t="shared" si="1889"/>
        <v>-20.614035087719344</v>
      </c>
      <c r="W328" s="691">
        <f>W321-W327</f>
        <v>46.599999999999966</v>
      </c>
      <c r="X328" s="43" t="str">
        <f t="shared" si="1890"/>
        <v>NM</v>
      </c>
      <c r="Y328" s="691">
        <f>Y321-Y327</f>
        <v>67.799999999999983</v>
      </c>
      <c r="Z328" s="43">
        <f t="shared" si="1890"/>
        <v>-12.741312741312683</v>
      </c>
      <c r="AA328" s="691">
        <f>AA321-AA327</f>
        <v>68.300000000000011</v>
      </c>
      <c r="AB328" s="43">
        <f t="shared" si="1890"/>
        <v>-15.88669950738911</v>
      </c>
      <c r="AC328" s="691">
        <f>AC321-AC327</f>
        <v>70.299999999999983</v>
      </c>
      <c r="AD328" s="43">
        <f t="shared" si="1890"/>
        <v>-2.9005524861878058</v>
      </c>
      <c r="AE328" s="691">
        <f>AE321-AE327</f>
        <v>85.100000000000023</v>
      </c>
      <c r="AF328" s="43">
        <f t="shared" si="1891"/>
        <v>82.618025751073162</v>
      </c>
      <c r="AG328" s="691">
        <f>AG321-AG327</f>
        <v>66.700000000000045</v>
      </c>
      <c r="AH328" s="9">
        <f>IF(ISERROR(AG328/Y328),"NA",IF(OR(AG328/Y328&gt;2,AG328/Y328&lt;0.5),"NM",AG328/Y328*100-100))</f>
        <v>-1.6224188790559566</v>
      </c>
      <c r="AI328" s="691">
        <f>AI321-AI327</f>
        <v>101.99999999999994</v>
      </c>
      <c r="AJ328" s="9">
        <f t="shared" si="1893"/>
        <v>49.341142020497699</v>
      </c>
      <c r="AK328" s="691">
        <f>AK321-AK327</f>
        <v>79.299999999999955</v>
      </c>
      <c r="AL328" s="9">
        <f t="shared" si="1894"/>
        <v>12.802275960170647</v>
      </c>
      <c r="AM328" s="691">
        <f>AM321-AM327</f>
        <v>73.699999999999989</v>
      </c>
      <c r="AN328" s="9">
        <f t="shared" si="1895"/>
        <v>-13.396004700352563</v>
      </c>
      <c r="AO328" s="691">
        <f>AO321-AO327</f>
        <v>78.900000000000034</v>
      </c>
      <c r="AP328" s="9">
        <f t="shared" si="1896"/>
        <v>18.290854572713627</v>
      </c>
      <c r="AQ328" s="693">
        <f t="shared" ref="AQ328:AW328" si="1942">AQ321-AQ327</f>
        <v>90.103413832824288</v>
      </c>
      <c r="AR328" s="9">
        <f t="shared" si="1898"/>
        <v>-11.663319771740845</v>
      </c>
      <c r="AS328" s="693">
        <f t="shared" si="1942"/>
        <v>90.648293586820103</v>
      </c>
      <c r="AT328" s="9">
        <f t="shared" si="1899"/>
        <v>14.310584598764379</v>
      </c>
      <c r="AU328" s="693">
        <f t="shared" si="1942"/>
        <v>91.48547853750182</v>
      </c>
      <c r="AV328" s="9">
        <f t="shared" si="1900"/>
        <v>24.132263958618495</v>
      </c>
      <c r="AW328" s="693">
        <f t="shared" si="1942"/>
        <v>90.143873692126647</v>
      </c>
      <c r="AX328" s="9">
        <f t="shared" si="1901"/>
        <v>14.250790484317633</v>
      </c>
      <c r="AY328" s="287"/>
      <c r="AZ328" s="64"/>
      <c r="BA328" s="9" t="str">
        <f>IF(ISERROR(#REF!/#REF!),"NA",IF(OR(#REF!/#REF!&gt;2,#REF!/#REF!&lt;0.5),"NM",#REF!/#REF!*100-100))</f>
        <v>NA</v>
      </c>
      <c r="BB328" s="55">
        <f>C328+E328+G328+I328</f>
        <v>299.90000000000003</v>
      </c>
      <c r="BC328" s="9" t="str">
        <f>IF(ISERROR(BB328/#REF!),"NA",IF(OR(BB328/#REF!&gt;2,BB328/#REF!&lt;0.5),"NM",BB328/#REF!*100-100))</f>
        <v>NA</v>
      </c>
      <c r="BD328" s="908">
        <f>K328+M328+O328+Q328</f>
        <v>355.19999999999987</v>
      </c>
      <c r="BE328" s="9">
        <f t="shared" si="1902"/>
        <v>18.439479826608803</v>
      </c>
      <c r="BF328" s="55">
        <f>S328+U328+W328+Y328</f>
        <v>267.99999999999989</v>
      </c>
      <c r="BG328" s="226">
        <f t="shared" si="1903"/>
        <v>-24.549549549549553</v>
      </c>
      <c r="BH328" s="55">
        <f>AA328+AC328+AE328+AG328</f>
        <v>290.40000000000009</v>
      </c>
      <c r="BI328" s="226">
        <f t="shared" si="1903"/>
        <v>8.3582089552239722</v>
      </c>
      <c r="BJ328" s="55">
        <f>AI328+AK328+AM328+AO328</f>
        <v>333.89999999999992</v>
      </c>
      <c r="BK328" s="226">
        <f t="shared" si="1903"/>
        <v>14.979338842975153</v>
      </c>
      <c r="BL328" s="55">
        <f>AQ328+AS328+AU328+AW328</f>
        <v>362.38105964927286</v>
      </c>
      <c r="BM328" s="226">
        <f t="shared" si="1903"/>
        <v>8.5298172055324812</v>
      </c>
      <c r="BN328" s="693">
        <f t="shared" ref="BN328:BP328" si="1943">BN321-BN327</f>
        <v>384.26996431817247</v>
      </c>
      <c r="BO328" s="226">
        <f t="shared" si="1903"/>
        <v>6.0403004202494941</v>
      </c>
      <c r="BP328" s="693">
        <f t="shared" si="1943"/>
        <v>435.17943699161538</v>
      </c>
      <c r="BQ328" s="226">
        <f t="shared" si="1903"/>
        <v>13.248361152497012</v>
      </c>
      <c r="BR328" s="693">
        <f t="shared" ref="BR328:BT328" si="1944">BR321-BR327</f>
        <v>453.584173021276</v>
      </c>
      <c r="BS328" s="226">
        <f t="shared" si="1903"/>
        <v>4.2292292477999638</v>
      </c>
      <c r="BT328" s="693">
        <f t="shared" si="1944"/>
        <v>488.19240962207596</v>
      </c>
      <c r="BU328" s="226">
        <f t="shared" si="1907"/>
        <v>7.6299480138996501</v>
      </c>
      <c r="BV328" s="43">
        <f t="shared" si="1908"/>
        <v>7.89341035606137</v>
      </c>
      <c r="BW328" s="722"/>
      <c r="BX328" s="722"/>
      <c r="BY328"/>
      <c r="BZ328"/>
      <c r="CA328"/>
      <c r="CB328"/>
      <c r="CC328"/>
      <c r="CD328"/>
    </row>
    <row r="329" spans="1:82" s="2" customFormat="1" ht="12.75" customHeight="1" x14ac:dyDescent="0.2">
      <c r="A329" s="66"/>
      <c r="B329" s="62" t="s">
        <v>554</v>
      </c>
      <c r="C329" s="645">
        <v>0.7</v>
      </c>
      <c r="D329" s="771" t="str">
        <f>IF(ISERROR(C329/#REF!),"NA",IF(OR(C329/#REF!&gt;2,C329/#REF!&lt;0.5),"NM",C329/#REF!*100-100))</f>
        <v>NA</v>
      </c>
      <c r="E329" s="645">
        <v>2.6</v>
      </c>
      <c r="F329" s="771" t="str">
        <f>IF(ISERROR(E329/#REF!),"NA",IF(OR(E329/#REF!&gt;2,E329/#REF!&lt;0.5),"NM",E329/#REF!*100-100))</f>
        <v>NA</v>
      </c>
      <c r="G329" s="645">
        <v>0.6</v>
      </c>
      <c r="H329" s="9" t="str">
        <f>IF(ISERROR(G329/#REF!),"NA",IF(OR(G329/#REF!&gt;2,G329/#REF!&lt;0.5),"NM",G329/#REF!*100-100))</f>
        <v>NA</v>
      </c>
      <c r="I329" s="645">
        <v>1.6</v>
      </c>
      <c r="J329" s="9" t="str">
        <f>IF(ISERROR(I329/#REF!),"NA",IF(OR(I329/#REF!&gt;2,I329/#REF!&lt;0.5),"NM",I329/#REF!*100-100))</f>
        <v>NA</v>
      </c>
      <c r="K329" s="645">
        <v>1.3</v>
      </c>
      <c r="L329" s="9">
        <f>IF(ISERROR(K329/C329),"NA",IF(OR(K329/C329&gt;2,K329/C329&lt;0.5),"NM",K329/C329*100-100))</f>
        <v>85.714285714285751</v>
      </c>
      <c r="M329" s="645">
        <v>0.6</v>
      </c>
      <c r="N329" s="9" t="str">
        <f t="shared" ref="N329:N330" si="1945">IF(ISERROR(M329/E329),"NA",IF(OR(M329/E329&gt;2,M329/E329&lt;0.5),"NM",M329/E329*100-100))</f>
        <v>NM</v>
      </c>
      <c r="O329" s="645">
        <v>0.4</v>
      </c>
      <c r="P329" s="43">
        <f t="shared" si="1860"/>
        <v>-33.333333333333329</v>
      </c>
      <c r="Q329" s="645">
        <v>0.2</v>
      </c>
      <c r="R329" s="43" t="str">
        <f t="shared" si="1862"/>
        <v>NM</v>
      </c>
      <c r="S329" s="645">
        <v>0.4</v>
      </c>
      <c r="T329" s="43" t="str">
        <f t="shared" si="1863"/>
        <v>NM</v>
      </c>
      <c r="U329" s="645">
        <v>0.2</v>
      </c>
      <c r="V329" s="43" t="str">
        <f t="shared" si="1889"/>
        <v>NM</v>
      </c>
      <c r="W329" s="645">
        <v>-4.4000000000000004</v>
      </c>
      <c r="X329" s="43" t="str">
        <f t="shared" si="1890"/>
        <v>NM</v>
      </c>
      <c r="Y329" s="645">
        <v>0.5</v>
      </c>
      <c r="Z329" s="43" t="str">
        <f t="shared" si="1890"/>
        <v>NM</v>
      </c>
      <c r="AA329" s="645">
        <v>0.3</v>
      </c>
      <c r="AB329" s="43">
        <f t="shared" si="1890"/>
        <v>-25.000000000000014</v>
      </c>
      <c r="AC329" s="645">
        <v>0.4</v>
      </c>
      <c r="AD329" s="43">
        <f t="shared" si="1890"/>
        <v>100</v>
      </c>
      <c r="AE329" s="645">
        <v>0.9</v>
      </c>
      <c r="AF329" s="43" t="str">
        <f t="shared" si="1891"/>
        <v>NM</v>
      </c>
      <c r="AG329" s="645">
        <v>0.7</v>
      </c>
      <c r="AH329" s="9">
        <f>IF(ISERROR(AG329/Y329),"NA",IF(OR(AG329/Y329&gt;2,AG329/Y329&lt;0.5),"NM",AG329/Y329*100-100))</f>
        <v>40</v>
      </c>
      <c r="AI329" s="645">
        <v>1.1000000000000001</v>
      </c>
      <c r="AJ329" s="9" t="str">
        <f t="shared" si="1893"/>
        <v>NM</v>
      </c>
      <c r="AK329" s="645">
        <v>0.9</v>
      </c>
      <c r="AL329" s="9" t="str">
        <f t="shared" si="1894"/>
        <v>NM</v>
      </c>
      <c r="AM329" s="645">
        <v>1.3</v>
      </c>
      <c r="AN329" s="9">
        <f t="shared" si="1895"/>
        <v>44.444444444444429</v>
      </c>
      <c r="AO329" s="645">
        <v>0.6</v>
      </c>
      <c r="AP329" s="9">
        <f t="shared" si="1896"/>
        <v>-14.285714285714278</v>
      </c>
      <c r="AQ329" s="645">
        <f t="shared" ref="AQ329" si="1946">AO329/AO328*AQ328</f>
        <v>0.68519706336748476</v>
      </c>
      <c r="AR329" s="9">
        <f t="shared" si="1898"/>
        <v>-37.70935787568321</v>
      </c>
      <c r="AS329" s="645">
        <f t="shared" ref="AS329" si="1947">AQ329/AQ328*AS328</f>
        <v>0.68934063564121717</v>
      </c>
      <c r="AT329" s="9">
        <f t="shared" si="1899"/>
        <v>-23.406596039864752</v>
      </c>
      <c r="AU329" s="645">
        <f t="shared" ref="AU329" si="1948">AS329/AS328*AU328</f>
        <v>0.69570706112168657</v>
      </c>
      <c r="AV329" s="9">
        <f t="shared" si="1900"/>
        <v>-46.484072221408724</v>
      </c>
      <c r="AW329" s="645">
        <f t="shared" ref="AW329" si="1949">AU329/AU328*AW328</f>
        <v>0.6855047429059058</v>
      </c>
      <c r="AX329" s="9">
        <f t="shared" si="1901"/>
        <v>14.250790484317633</v>
      </c>
      <c r="AY329" s="287"/>
      <c r="AZ329" s="68"/>
      <c r="BA329" s="9"/>
      <c r="BB329" s="55">
        <f>C329+E329+G329+I329</f>
        <v>5.5</v>
      </c>
      <c r="BC329" s="226" t="str">
        <f>IF(ISERROR(BB329/#REF!),"NA",IF(OR(BB329/#REF!&gt;2,BB329/#REF!&lt;0.5),"NM",BB329/#REF!*100-100))</f>
        <v>NA</v>
      </c>
      <c r="BD329" s="908">
        <f>K329+M329+O329+Q329</f>
        <v>2.5</v>
      </c>
      <c r="BE329" s="226" t="str">
        <f t="shared" si="1902"/>
        <v>NM</v>
      </c>
      <c r="BF329" s="55">
        <f>S329+U329+W329+Y329</f>
        <v>-3.3000000000000003</v>
      </c>
      <c r="BG329" s="226" t="str">
        <f t="shared" si="1903"/>
        <v>NM</v>
      </c>
      <c r="BH329" s="55">
        <f>AA329+AC329+AE329+AG329</f>
        <v>2.2999999999999998</v>
      </c>
      <c r="BI329" s="226" t="str">
        <f t="shared" si="1904"/>
        <v>NM</v>
      </c>
      <c r="BJ329" s="55">
        <f>AI329+AK329+AM329+AO329</f>
        <v>3.9</v>
      </c>
      <c r="BK329" s="226">
        <f t="shared" si="1904"/>
        <v>69.565217391304373</v>
      </c>
      <c r="BL329" s="55">
        <f>AQ329+AS329+AU329+AW329</f>
        <v>2.7557495030362942</v>
      </c>
      <c r="BM329" s="226">
        <f t="shared" si="1904"/>
        <v>-29.339756332402715</v>
      </c>
      <c r="BN329" s="687">
        <f>BL329/BL328*BN328</f>
        <v>2.9222050518492191</v>
      </c>
      <c r="BO329" s="226">
        <f t="shared" si="1904"/>
        <v>6.0403004202494941</v>
      </c>
      <c r="BP329" s="687">
        <f t="shared" ref="BP329" si="1950">BN329/BN328*BP328</f>
        <v>3.3093493307347162</v>
      </c>
      <c r="BQ329" s="226">
        <f t="shared" si="1904"/>
        <v>13.248361152497012</v>
      </c>
      <c r="BR329" s="687">
        <f t="shared" ref="BR329" si="1951">BP329/BP328*BR328</f>
        <v>3.4493093005420215</v>
      </c>
      <c r="BS329" s="226">
        <f t="shared" si="1904"/>
        <v>4.229229247799978</v>
      </c>
      <c r="BT329" s="687">
        <f t="shared" ref="BT329" si="1952">BR329/BR328*BT328</f>
        <v>3.7124898070119832</v>
      </c>
      <c r="BU329" s="226">
        <f t="shared" si="1907"/>
        <v>7.6299480138996501</v>
      </c>
      <c r="BV329" s="43">
        <f t="shared" si="1908"/>
        <v>-0.98063598999991175</v>
      </c>
      <c r="BW329" s="722"/>
      <c r="BX329" s="722"/>
      <c r="BY329"/>
      <c r="BZ329"/>
      <c r="CA329"/>
      <c r="CB329"/>
      <c r="CC329"/>
      <c r="CD329"/>
    </row>
    <row r="330" spans="1:82" ht="12.75" customHeight="1" x14ac:dyDescent="0.2">
      <c r="B330" s="67" t="s">
        <v>555</v>
      </c>
      <c r="C330" s="646">
        <f>C328-C329</f>
        <v>63.700000000000031</v>
      </c>
      <c r="D330" s="753" t="str">
        <f>IF(ISERROR(C330/#REF!),"NA",IF(OR(C330/#REF!&gt;2,C330/#REF!&lt;0.5),"NM",C330/#REF!*100-100))</f>
        <v>NA</v>
      </c>
      <c r="E330" s="646">
        <f t="shared" ref="E330:M330" si="1953">E328-E329</f>
        <v>75.700000000000017</v>
      </c>
      <c r="F330" s="771" t="str">
        <f>IF(ISERROR(E330/#REF!),"NA",IF(OR(E330/#REF!&gt;2,E330/#REF!&lt;0.5),"NM",E330/#REF!*100-100))</f>
        <v>NA</v>
      </c>
      <c r="G330" s="646">
        <f t="shared" si="1953"/>
        <v>66.099999999999994</v>
      </c>
      <c r="H330" s="9" t="str">
        <f>IF(ISERROR(G330/#REF!),"NA",IF(OR(G330/#REF!&gt;2,G330/#REF!&lt;0.5),"NM",G330/#REF!*100-100))</f>
        <v>NA</v>
      </c>
      <c r="I330" s="646">
        <f t="shared" si="1953"/>
        <v>88.9</v>
      </c>
      <c r="J330" s="9" t="str">
        <f>IF(ISERROR(I330/#REF!),"NA",IF(OR(I330/#REF!&gt;2,I330/#REF!&lt;0.5),"NM",I330/#REF!*100-100))</f>
        <v>NA</v>
      </c>
      <c r="K330" s="646">
        <f t="shared" si="1953"/>
        <v>82.199999999999946</v>
      </c>
      <c r="L330" s="9">
        <f>IF(ISERROR(K330/C330),"NA",IF(OR(K330/C330&gt;2,K330/C330&lt;0.5),"NM",K330/C330*100-100))</f>
        <v>29.042386185243174</v>
      </c>
      <c r="M330" s="646">
        <f t="shared" si="1953"/>
        <v>90.6</v>
      </c>
      <c r="N330" s="9">
        <f t="shared" si="1945"/>
        <v>19.682959048877109</v>
      </c>
      <c r="O330" s="646">
        <f>O328-O329</f>
        <v>102.4</v>
      </c>
      <c r="P330" s="43">
        <f t="shared" si="1860"/>
        <v>54.916792738275376</v>
      </c>
      <c r="Q330" s="646">
        <f t="shared" ref="Q330:W330" si="1954">Q328-Q329</f>
        <v>77.499999999999929</v>
      </c>
      <c r="R330" s="43">
        <f t="shared" si="1862"/>
        <v>-12.823397075365662</v>
      </c>
      <c r="S330" s="646">
        <f t="shared" si="1954"/>
        <v>80.799999999999955</v>
      </c>
      <c r="T330" s="43">
        <f t="shared" si="1863"/>
        <v>-1.7031630170316134</v>
      </c>
      <c r="U330" s="646">
        <f t="shared" si="1954"/>
        <v>72.199999999999946</v>
      </c>
      <c r="V330" s="43">
        <f t="shared" si="1889"/>
        <v>-20.309050772626989</v>
      </c>
      <c r="W330" s="646">
        <f t="shared" si="1954"/>
        <v>50.999999999999964</v>
      </c>
      <c r="X330" s="43" t="str">
        <f t="shared" si="1890"/>
        <v>NM</v>
      </c>
      <c r="Y330" s="646">
        <f t="shared" ref="Y330:AA330" si="1955">Y328-Y329</f>
        <v>67.299999999999983</v>
      </c>
      <c r="Z330" s="43">
        <f t="shared" si="1890"/>
        <v>-13.161290322580584</v>
      </c>
      <c r="AA330" s="646">
        <f t="shared" si="1955"/>
        <v>68.000000000000014</v>
      </c>
      <c r="AB330" s="43">
        <f t="shared" si="1890"/>
        <v>-15.841584158415785</v>
      </c>
      <c r="AC330" s="646">
        <f t="shared" ref="AC330:AE330" si="1956">AC328-AC329</f>
        <v>69.899999999999977</v>
      </c>
      <c r="AD330" s="43">
        <f t="shared" si="1890"/>
        <v>-3.1855955678669972</v>
      </c>
      <c r="AE330" s="646">
        <f t="shared" si="1956"/>
        <v>84.200000000000017</v>
      </c>
      <c r="AF330" s="43">
        <f t="shared" si="1891"/>
        <v>65.098039215686413</v>
      </c>
      <c r="AG330" s="646">
        <f t="shared" ref="AG330:AI330" si="1957">AG328-AG329</f>
        <v>66.000000000000043</v>
      </c>
      <c r="AH330" s="9">
        <f>IF(ISERROR(AG330/Y330),"NA",IF(OR(AG330/Y330&gt;2,AG330/Y330&lt;0.5),"NM",AG330/Y330*100-100))</f>
        <v>-1.9316493313520766</v>
      </c>
      <c r="AI330" s="646">
        <f t="shared" si="1957"/>
        <v>100.89999999999995</v>
      </c>
      <c r="AJ330" s="9">
        <f t="shared" si="1893"/>
        <v>48.382352941176379</v>
      </c>
      <c r="AK330" s="646">
        <f t="shared" ref="AK330:AM330" si="1958">AK328-AK329</f>
        <v>78.399999999999949</v>
      </c>
      <c r="AL330" s="9">
        <f t="shared" si="1894"/>
        <v>12.160228898426297</v>
      </c>
      <c r="AM330" s="646">
        <f t="shared" si="1958"/>
        <v>72.399999999999991</v>
      </c>
      <c r="AN330" s="9">
        <f t="shared" si="1895"/>
        <v>-14.014251781472709</v>
      </c>
      <c r="AO330" s="646">
        <f t="shared" ref="AO330" si="1959">AO328-AO329</f>
        <v>78.30000000000004</v>
      </c>
      <c r="AP330" s="9">
        <f t="shared" si="1896"/>
        <v>18.636363636363626</v>
      </c>
      <c r="AQ330" s="646">
        <f t="shared" ref="AQ330:AW330" si="1960">AQ328-AQ329</f>
        <v>89.418216769456805</v>
      </c>
      <c r="AR330" s="9">
        <f t="shared" si="1898"/>
        <v>-11.379368910349996</v>
      </c>
      <c r="AS330" s="646">
        <f t="shared" si="1960"/>
        <v>89.958952951178887</v>
      </c>
      <c r="AT330" s="9">
        <f t="shared" si="1899"/>
        <v>14.743562437728258</v>
      </c>
      <c r="AU330" s="646">
        <f t="shared" si="1960"/>
        <v>90.789771476380139</v>
      </c>
      <c r="AV330" s="9">
        <f t="shared" si="1900"/>
        <v>25.400236845828928</v>
      </c>
      <c r="AW330" s="646">
        <f t="shared" si="1960"/>
        <v>89.458368949220741</v>
      </c>
      <c r="AX330" s="9">
        <f t="shared" si="1901"/>
        <v>14.250790484317605</v>
      </c>
      <c r="AY330" s="287"/>
      <c r="BB330" s="648">
        <f>BB328-BB329</f>
        <v>294.40000000000003</v>
      </c>
      <c r="BC330" s="9" t="str">
        <f>IF(ISERROR(BB330/#REF!),"NA",IF(OR(BB330/#REF!&gt;2,BB330/#REF!&lt;0.5),"NM",BB330/#REF!*100-100))</f>
        <v>NA</v>
      </c>
      <c r="BD330" s="929">
        <f>BD328-BD329</f>
        <v>352.69999999999987</v>
      </c>
      <c r="BE330" s="9">
        <f t="shared" si="1902"/>
        <v>19.802989130434725</v>
      </c>
      <c r="BF330" s="646">
        <f>BF328-BF329</f>
        <v>271.2999999999999</v>
      </c>
      <c r="BG330" s="226">
        <f t="shared" si="1903"/>
        <v>-23.079104054437209</v>
      </c>
      <c r="BH330" s="646">
        <f t="shared" ref="BH330:BP330" si="1961">BH328-BH329</f>
        <v>288.10000000000008</v>
      </c>
      <c r="BI330" s="226">
        <f t="shared" si="1903"/>
        <v>6.192406929598306</v>
      </c>
      <c r="BJ330" s="646">
        <f t="shared" ref="BJ330" si="1962">BJ328-BJ329</f>
        <v>329.99999999999994</v>
      </c>
      <c r="BK330" s="226">
        <f t="shared" si="1903"/>
        <v>14.54356126345013</v>
      </c>
      <c r="BL330" s="646">
        <f t="shared" ref="BL330" si="1963">BL328-BL329</f>
        <v>359.62531014623659</v>
      </c>
      <c r="BM330" s="226">
        <f t="shared" si="1903"/>
        <v>8.9773667109807889</v>
      </c>
      <c r="BN330" s="646">
        <f t="shared" si="1961"/>
        <v>381.34775926632324</v>
      </c>
      <c r="BO330" s="226">
        <f t="shared" si="1903"/>
        <v>6.0403004202494799</v>
      </c>
      <c r="BP330" s="646">
        <f t="shared" si="1961"/>
        <v>431.87008766088064</v>
      </c>
      <c r="BQ330" s="226">
        <f t="shared" si="1903"/>
        <v>13.248361152497012</v>
      </c>
      <c r="BR330" s="646">
        <f t="shared" ref="BR330:BT330" si="1964">BR328-BR329</f>
        <v>450.13486372073396</v>
      </c>
      <c r="BS330" s="226">
        <f t="shared" si="1903"/>
        <v>4.2292292477999638</v>
      </c>
      <c r="BT330" s="646">
        <f t="shared" si="1964"/>
        <v>484.47991981506397</v>
      </c>
      <c r="BU330" s="226">
        <f t="shared" si="1907"/>
        <v>7.6299480138996501</v>
      </c>
      <c r="BV330" s="43">
        <f t="shared" si="1908"/>
        <v>7.9822489624227444</v>
      </c>
    </row>
    <row r="331" spans="1:82" s="2" customFormat="1" ht="12.75" hidden="1" customHeight="1" outlineLevel="1" x14ac:dyDescent="0.2">
      <c r="A331" s="41"/>
      <c r="B331" s="62"/>
      <c r="C331" s="691"/>
      <c r="D331" s="9"/>
      <c r="E331" s="691"/>
      <c r="F331" s="9"/>
      <c r="G331" s="691"/>
      <c r="H331" s="9"/>
      <c r="I331" s="691"/>
      <c r="J331" s="9"/>
      <c r="K331" s="691"/>
      <c r="L331" s="9"/>
      <c r="M331" s="691"/>
      <c r="N331" s="9"/>
      <c r="O331" s="691"/>
      <c r="P331" s="43"/>
      <c r="Q331" s="691"/>
      <c r="R331" s="43"/>
      <c r="S331" s="691"/>
      <c r="T331" s="43"/>
      <c r="U331" s="691"/>
      <c r="V331" s="43"/>
      <c r="W331" s="691"/>
      <c r="X331" s="43"/>
      <c r="Y331" s="691"/>
      <c r="Z331" s="43"/>
      <c r="AA331" s="691"/>
      <c r="AB331" s="43"/>
      <c r="AC331" s="691"/>
      <c r="AD331" s="43"/>
      <c r="AE331" s="691"/>
      <c r="AF331" s="43"/>
      <c r="AG331" s="691"/>
      <c r="AH331" s="9"/>
      <c r="AI331" s="691"/>
      <c r="AJ331" s="9"/>
      <c r="AK331" s="691"/>
      <c r="AL331" s="9"/>
      <c r="AM331" s="691"/>
      <c r="AN331" s="9"/>
      <c r="AO331" s="691"/>
      <c r="AP331" s="9"/>
      <c r="AQ331" s="691"/>
      <c r="AR331" s="9"/>
      <c r="AS331" s="691"/>
      <c r="AT331" s="9"/>
      <c r="AU331" s="691"/>
      <c r="AV331" s="9"/>
      <c r="AW331" s="691"/>
      <c r="AX331" s="9"/>
      <c r="AY331" s="287"/>
      <c r="AZ331" s="64"/>
      <c r="BA331" s="9"/>
      <c r="BB331" s="691"/>
      <c r="BC331" s="226"/>
      <c r="BD331" s="930"/>
      <c r="BE331" s="226"/>
      <c r="BF331" s="693"/>
      <c r="BG331" s="226"/>
      <c r="BH331" s="693"/>
      <c r="BI331" s="226"/>
      <c r="BJ331" s="693"/>
      <c r="BK331" s="226"/>
      <c r="BL331" s="693"/>
      <c r="BM331" s="226"/>
      <c r="BN331" s="693"/>
      <c r="BO331" s="226"/>
      <c r="BP331" s="693"/>
      <c r="BQ331" s="226"/>
      <c r="BR331" s="693"/>
      <c r="BS331" s="226"/>
      <c r="BT331" s="693"/>
      <c r="BU331" s="226"/>
      <c r="BV331" s="43"/>
      <c r="BW331" s="722"/>
      <c r="BX331" s="722"/>
      <c r="BY331"/>
      <c r="BZ331"/>
      <c r="CA331"/>
      <c r="CB331"/>
      <c r="CC331"/>
      <c r="CD331"/>
    </row>
    <row r="332" spans="1:82" s="2" customFormat="1" ht="12.75" hidden="1" customHeight="1" outlineLevel="1" x14ac:dyDescent="0.2">
      <c r="A332" s="41"/>
      <c r="B332" s="62" t="s">
        <v>486</v>
      </c>
      <c r="C332" s="653">
        <v>5</v>
      </c>
      <c r="D332" s="9" t="str">
        <f>IF(ISERROR(C332/#REF!),"NA",IF(OR(C332/#REF!&gt;2,C332/#REF!&lt;0.5),"NM",C332/#REF!*100-100))</f>
        <v>NA</v>
      </c>
      <c r="E332" s="653">
        <v>4.5</v>
      </c>
      <c r="F332" s="9" t="str">
        <f>IF(ISERROR(E332/#REF!),"NA",IF(OR(E332/#REF!&gt;2,E332/#REF!&lt;0.5),"NM",E332/#REF!*100-100))</f>
        <v>NA</v>
      </c>
      <c r="G332" s="653">
        <v>3.2</v>
      </c>
      <c r="H332" s="9" t="str">
        <f>IF(ISERROR(G332/#REF!),"NA",IF(OR(G332/#REF!&gt;2,G332/#REF!&lt;0.5),"NM",G332/#REF!*100-100))</f>
        <v>NA</v>
      </c>
      <c r="I332" s="653">
        <v>15.3</v>
      </c>
      <c r="J332" s="9" t="str">
        <f>IF(ISERROR(I332/#REF!),"NA",IF(OR(I332/#REF!&gt;2,I332/#REF!&lt;0.5),"NM",I332/#REF!*100-100))</f>
        <v>NA</v>
      </c>
      <c r="K332" s="653">
        <v>6.7</v>
      </c>
      <c r="L332" s="9">
        <f t="shared" si="1887"/>
        <v>34</v>
      </c>
      <c r="M332" s="653">
        <v>8.5</v>
      </c>
      <c r="N332" s="9">
        <f t="shared" si="1888"/>
        <v>88.888888888888886</v>
      </c>
      <c r="O332" s="653">
        <v>14.1</v>
      </c>
      <c r="P332" s="43" t="str">
        <f t="shared" si="1860"/>
        <v>NM</v>
      </c>
      <c r="Q332" s="653">
        <v>1</v>
      </c>
      <c r="R332" s="43" t="str">
        <f t="shared" si="1862"/>
        <v>NM</v>
      </c>
      <c r="S332" s="653">
        <v>6.3</v>
      </c>
      <c r="T332" s="43">
        <f t="shared" si="1863"/>
        <v>-5.9701492537313499</v>
      </c>
      <c r="U332" s="653">
        <v>-0.4</v>
      </c>
      <c r="V332" s="43" t="str">
        <f t="shared" si="1889"/>
        <v>NM</v>
      </c>
      <c r="W332" s="653">
        <v>-9.1</v>
      </c>
      <c r="X332" s="43" t="str">
        <f t="shared" si="1890"/>
        <v>NM</v>
      </c>
      <c r="Y332" s="653">
        <v>-9.1</v>
      </c>
      <c r="Z332" s="43" t="str">
        <f t="shared" si="1890"/>
        <v>NM</v>
      </c>
      <c r="AA332" s="653">
        <v>-9.1</v>
      </c>
      <c r="AB332" s="43" t="str">
        <f t="shared" si="1890"/>
        <v>NM</v>
      </c>
      <c r="AC332" s="653">
        <v>-9.1</v>
      </c>
      <c r="AD332" s="43" t="str">
        <f t="shared" si="1890"/>
        <v>NM</v>
      </c>
      <c r="AE332" s="653">
        <v>-9.1</v>
      </c>
      <c r="AF332" s="43">
        <f t="shared" si="1891"/>
        <v>0</v>
      </c>
      <c r="AG332" s="653">
        <v>-9.1</v>
      </c>
      <c r="AH332" s="9">
        <f>IF(ISERROR(AG332/Y332),"NA",IF(OR(AG332/Y332&gt;2,AG332/Y332&lt;0.5),"NM",AG332/Y332*100-100))</f>
        <v>0</v>
      </c>
      <c r="AI332" s="653">
        <v>-9.1</v>
      </c>
      <c r="AJ332" s="9">
        <f t="shared" ref="AJ332:AJ335" si="1965">IF(ISERROR(AI332/AA332),"NA",IF(OR(AI332/AA332&gt;2,AI332/AA332&lt;0.5),"NM",AI332/AA332*100-100))</f>
        <v>0</v>
      </c>
      <c r="AK332" s="653">
        <v>-9.1</v>
      </c>
      <c r="AL332" s="9">
        <f t="shared" ref="AL332:AL335" si="1966">IF(ISERROR(AK332/AC332),"NA",IF(OR(AK332/AC332&gt;2,AK332/AC332&lt;0.5),"NM",AK332/AC332*100-100))</f>
        <v>0</v>
      </c>
      <c r="AM332" s="653">
        <v>-9.1</v>
      </c>
      <c r="AN332" s="9">
        <f t="shared" ref="AN332:AN335" si="1967">IF(ISERROR(AM332/AE332),"NA",IF(OR(AM332/AE332&gt;2,AM332/AE332&lt;0.5),"NM",AM332/AE332*100-100))</f>
        <v>0</v>
      </c>
      <c r="AO332" s="653"/>
      <c r="AP332" s="9" t="str">
        <f t="shared" ref="AP332:AP335" si="1968">IF(ISERROR(AO332/AG332),"NA",IF(OR(AO332/AG332&gt;2,AO332/AG332&lt;0.5),"NM",AO332/AG332*100-100))</f>
        <v>NM</v>
      </c>
      <c r="AQ332" s="691">
        <f t="shared" ref="AQ332:AW332" si="1969">AQ333/100*AQ328</f>
        <v>8.1093072449541861</v>
      </c>
      <c r="AR332" s="9" t="str">
        <f t="shared" ref="AR332:AR335" si="1970">IF(ISERROR(AQ332/AI332),"NA",IF(OR(AQ332/AI332&gt;2,AQ332/AI332&lt;0.5),"NM",AQ332/AI332*100-100))</f>
        <v>NM</v>
      </c>
      <c r="AS332" s="691">
        <f t="shared" si="1969"/>
        <v>8.1583464228138087</v>
      </c>
      <c r="AT332" s="9" t="str">
        <f t="shared" ref="AT332:AT335" si="1971">IF(ISERROR(AS332/AK332),"NA",IF(OR(AS332/AK332&gt;2,AS332/AK332&lt;0.5),"NM",AS332/AK332*100-100))</f>
        <v>NM</v>
      </c>
      <c r="AU332" s="691">
        <f t="shared" si="1969"/>
        <v>8.2336930683751639</v>
      </c>
      <c r="AV332" s="9" t="str">
        <f t="shared" ref="AV332:AV335" si="1972">IF(ISERROR(AU332/AM332),"NA",IF(OR(AU332/AM332&gt;2,AU332/AM332&lt;0.5),"NM",AU332/AM332*100-100))</f>
        <v>NM</v>
      </c>
      <c r="AW332" s="691">
        <f t="shared" si="1969"/>
        <v>8.1129486322913973</v>
      </c>
      <c r="AX332" s="9" t="str">
        <f t="shared" ref="AX332:AX335" si="1973">IF(ISERROR(AW332/AO332),"NA",IF(OR(AW332/AO332&gt;2,AW332/AO332&lt;0.5),"NM",AW332/AO332*100-100))</f>
        <v>NA</v>
      </c>
      <c r="AY332" s="287"/>
      <c r="AZ332" s="64"/>
      <c r="BA332" s="9"/>
      <c r="BB332" s="691"/>
      <c r="BC332" s="226" t="str">
        <f>IF(ISERROR(BB332/#REF!),"NA",IF(OR(BB332/#REF!&gt;2,BB332/#REF!&lt;0.5),"NM",BB332/#REF!*100-100))</f>
        <v>NA</v>
      </c>
      <c r="BD332" s="691">
        <f>BD333/100*BD328</f>
        <v>31.967999999999989</v>
      </c>
      <c r="BE332" s="226" t="str">
        <f t="shared" si="1902"/>
        <v>NA</v>
      </c>
      <c r="BF332" s="691">
        <f>BF333/100*BF328</f>
        <v>24.11999999999999</v>
      </c>
      <c r="BG332" s="226">
        <f t="shared" si="1903"/>
        <v>-24.549549549549553</v>
      </c>
      <c r="BH332" s="691">
        <f>BH333/100*BH328</f>
        <v>26.136000000000006</v>
      </c>
      <c r="BI332" s="226">
        <f t="shared" si="1904"/>
        <v>8.3582089552239438</v>
      </c>
      <c r="BJ332" s="691">
        <f>BJ333/100*BJ328</f>
        <v>30.050999999999991</v>
      </c>
      <c r="BK332" s="226">
        <f t="shared" si="1904"/>
        <v>14.979338842975153</v>
      </c>
      <c r="BL332" s="691">
        <f>BL333/100*BL328</f>
        <v>32.614295368434554</v>
      </c>
      <c r="BM332" s="226">
        <f t="shared" si="1904"/>
        <v>8.5298172055324812</v>
      </c>
      <c r="BN332" s="691">
        <f>BN333/100*BN328</f>
        <v>34.58429678863552</v>
      </c>
      <c r="BO332" s="226">
        <f t="shared" si="1904"/>
        <v>6.0403004202494941</v>
      </c>
      <c r="BP332" s="691">
        <f>BP333/100*BP328</f>
        <v>39.166149329245386</v>
      </c>
      <c r="BQ332" s="226">
        <f t="shared" si="1904"/>
        <v>13.24836115249704</v>
      </c>
      <c r="BR332" s="691">
        <f>BR333/100*BR328</f>
        <v>40.82257557191484</v>
      </c>
      <c r="BS332" s="226">
        <f t="shared" si="1904"/>
        <v>4.2292292477999638</v>
      </c>
      <c r="BT332" s="691">
        <f>BT333/100*BT328</f>
        <v>43.937316865986837</v>
      </c>
      <c r="BU332" s="226">
        <f t="shared" ref="BU332" si="1974">IF(ISERROR(BT332/BR332),"NA",IF(OR(BT332/BR332&gt;2,BT332/BR332&lt;0.5),"NM",BT332/BR332*100-100))</f>
        <v>7.6299480138996501</v>
      </c>
      <c r="BV332" s="43"/>
      <c r="BW332" s="722"/>
      <c r="BX332" s="722"/>
      <c r="BY332"/>
      <c r="BZ332"/>
      <c r="CA332"/>
      <c r="CB332"/>
      <c r="CC332"/>
      <c r="CD332"/>
    </row>
    <row r="333" spans="1:82" s="2" customFormat="1" ht="12.75" hidden="1" customHeight="1" outlineLevel="1" x14ac:dyDescent="0.2">
      <c r="A333" s="41"/>
      <c r="B333" s="62" t="s">
        <v>62</v>
      </c>
      <c r="C333" s="651">
        <f>IF(ISERROR(C332/C328),"NA",IF((C332/C328)&gt;1,"NM",IF((C332/C328)&lt;0,"NM",(C332/C328*100))))</f>
        <v>7.763975155279498</v>
      </c>
      <c r="D333" s="9" t="str">
        <f>IF(ISERROR(C333/#REF!),"NA",IF(OR(C333/#REF!&gt;2,C333/#REF!&lt;0.5),"NM",C333/#REF!*100-100))</f>
        <v>NA</v>
      </c>
      <c r="E333" s="651">
        <f>IF(ISERROR(E332/E328),"NA",IF((E332/E328)&gt;1,"NM",IF((E332/E328)&lt;0,"NM",(E332/E328*100))))</f>
        <v>5.7471264367816088</v>
      </c>
      <c r="F333" s="9" t="str">
        <f>IF(ISERROR(E333/#REF!),"NA",IF(OR(E333/#REF!&gt;2,E333/#REF!&lt;0.5),"NM",E333/#REF!*100-100))</f>
        <v>NA</v>
      </c>
      <c r="G333" s="651">
        <f>IF(ISERROR(G332/G328),"NA",IF((G332/G328)&gt;1,"NM",IF((G332/G328)&lt;0,"NM",(G332/G328*100))))</f>
        <v>4.7976011994003009</v>
      </c>
      <c r="H333" s="9" t="str">
        <f>IF(ISERROR(G333/#REF!),"NA",IF(OR(G333/#REF!&gt;2,G333/#REF!&lt;0.5),"NM",G333/#REF!*100-100))</f>
        <v>NA</v>
      </c>
      <c r="I333" s="651">
        <f>IF(ISERROR(I332/I328),"NA",IF((I332/I328)&gt;1,"NM",IF((I332/I328)&lt;0,"NM",(I332/I328*100))))</f>
        <v>16.906077348066297</v>
      </c>
      <c r="J333" s="9" t="str">
        <f>IF(ISERROR(I333/#REF!),"NA",IF(OR(I333/#REF!&gt;2,I333/#REF!&lt;0.5),"NM",I333/#REF!*100-100))</f>
        <v>NA</v>
      </c>
      <c r="K333" s="651">
        <f>IF(ISERROR(K332/K328),"NA",IF((K332/K328)&gt;1,"NM",IF((K332/K328)&lt;0,"NM",(K332/K328*100))))</f>
        <v>8.0239520958083883</v>
      </c>
      <c r="L333" s="9">
        <f t="shared" si="1887"/>
        <v>3.348502994012108</v>
      </c>
      <c r="M333" s="651">
        <f>IF(ISERROR(M332/M328),"NA",IF((M332/M328)&gt;1,"NM",IF((M332/M328)&lt;0,"NM",(M332/M328*100))))</f>
        <v>9.3201754385964932</v>
      </c>
      <c r="N333" s="9">
        <f t="shared" si="1888"/>
        <v>62.171052631578988</v>
      </c>
      <c r="O333" s="651">
        <f>IF(ISERROR(O332/O328),"NA",IF((O332/O328)&gt;1,"NM",IF((O332/O328)&lt;0,"NM",(O332/O328*100))))</f>
        <v>13.715953307392995</v>
      </c>
      <c r="P333" s="43" t="str">
        <f t="shared" si="1860"/>
        <v>NM</v>
      </c>
      <c r="Q333" s="651">
        <f>IF(ISERROR(Q332/Q328),"NA",IF((Q332/Q328)&gt;1,"NM",IF((Q332/Q328)&lt;0,"NM",(Q332/Q328*100))))</f>
        <v>1.2870012870012881</v>
      </c>
      <c r="R333" s="43" t="str">
        <f t="shared" si="1862"/>
        <v>NM</v>
      </c>
      <c r="S333" s="651">
        <f>IF(ISERROR(S332/S328),"NA",IF((S332/S328)&gt;1,"NM",IF((S332/S328)&lt;0,"NM",(S332/S328*100))))</f>
        <v>7.7586206896551753</v>
      </c>
      <c r="T333" s="43">
        <f t="shared" si="1863"/>
        <v>-3.3067421513124202</v>
      </c>
      <c r="U333" s="651" t="str">
        <f>IF(ISERROR(U332/U328),"NA",IF((U332/U328)&gt;1,"NM",IF((U332/U328)&lt;0,"NM",(U332/U328*100))))</f>
        <v>NM</v>
      </c>
      <c r="V333" s="43" t="str">
        <f t="shared" si="1889"/>
        <v>NA</v>
      </c>
      <c r="W333" s="651" t="str">
        <f>IF(ISERROR(W332/W328),"NA",IF((W332/W328)&gt;1,"NM",IF((W332/W328)&lt;0,"NM",(W332/W328*100))))</f>
        <v>NM</v>
      </c>
      <c r="X333" s="43" t="str">
        <f t="shared" si="1890"/>
        <v>NA</v>
      </c>
      <c r="Y333" s="651" t="str">
        <f>IF(ISERROR(Y332/Y328),"NA",IF((Y332/Y328)&gt;1,"NM",IF((Y332/Y328)&lt;0,"NM",(Y332/Y328*100))))</f>
        <v>NM</v>
      </c>
      <c r="Z333" s="43" t="str">
        <f t="shared" si="1890"/>
        <v>NA</v>
      </c>
      <c r="AA333" s="651" t="str">
        <f>IF(ISERROR(AA332/AA328),"NA",IF((AA332/AA328)&gt;1,"NM",IF((AA332/AA328)&lt;0,"NM",(AA332/AA328*100))))</f>
        <v>NM</v>
      </c>
      <c r="AB333" s="43" t="str">
        <f t="shared" si="1890"/>
        <v>NA</v>
      </c>
      <c r="AC333" s="651" t="str">
        <f>IF(ISERROR(AC332/AC328),"NA",IF((AC332/AC328)&gt;1,"NM",IF((AC332/AC328)&lt;0,"NM",(AC332/AC328*100))))</f>
        <v>NM</v>
      </c>
      <c r="AD333" s="43" t="str">
        <f t="shared" si="1890"/>
        <v>NA</v>
      </c>
      <c r="AE333" s="651" t="str">
        <f>IF(ISERROR(AE332/AE328),"NA",IF((AE332/AE328)&gt;1,"NM",IF((AE332/AE328)&lt;0,"NM",(AE332/AE328*100))))</f>
        <v>NM</v>
      </c>
      <c r="AF333" s="43" t="str">
        <f t="shared" si="1891"/>
        <v>NA</v>
      </c>
      <c r="AG333" s="651" t="str">
        <f>IF(ISERROR(AG332/AG328),"NA",IF((AG332/AG328)&gt;1,"NM",IF((AG332/AG328)&lt;0,"NM",(AG332/AG328*100))))</f>
        <v>NM</v>
      </c>
      <c r="AH333" s="9" t="str">
        <f t="shared" ref="AH333:AH335" si="1975">IF(ISERROR(AG333/Y333),"NA",IF(OR(AG333/Y333&gt;2,AG333/Y333&lt;0.5),"NM",AG333/Y333*100-100))</f>
        <v>NA</v>
      </c>
      <c r="AI333" s="651" t="str">
        <f>IF(ISERROR(AI332/AI328),"NA",IF((AI332/AI328)&gt;1,"NM",IF((AI332/AI328)&lt;0,"NM",(AI332/AI328*100))))</f>
        <v>NM</v>
      </c>
      <c r="AJ333" s="9" t="str">
        <f t="shared" si="1965"/>
        <v>NA</v>
      </c>
      <c r="AK333" s="651" t="str">
        <f>IF(ISERROR(AK332/AK328),"NA",IF((AK332/AK328)&gt;1,"NM",IF((AK332/AK328)&lt;0,"NM",(AK332/AK328*100))))</f>
        <v>NM</v>
      </c>
      <c r="AL333" s="9" t="str">
        <f t="shared" si="1966"/>
        <v>NA</v>
      </c>
      <c r="AM333" s="651" t="str">
        <f>IF(ISERROR(AM332/AM328),"NA",IF((AM332/AM328)&gt;1,"NM",IF((AM332/AM328)&lt;0,"NM",(AM332/AM328*100))))</f>
        <v>NM</v>
      </c>
      <c r="AN333" s="9" t="str">
        <f t="shared" si="1967"/>
        <v>NA</v>
      </c>
      <c r="AO333" s="651">
        <f>IF(ISERROR(AO332/AO328),"NA",IF((AO332/AO328)&gt;1,"NM",IF((AO332/AO328)&lt;0,"NM",(AO332/AO328*100))))</f>
        <v>0</v>
      </c>
      <c r="AP333" s="9" t="str">
        <f t="shared" si="1968"/>
        <v>NA</v>
      </c>
      <c r="AQ333" s="78">
        <v>9</v>
      </c>
      <c r="AR333" s="9" t="str">
        <f t="shared" si="1970"/>
        <v>NA</v>
      </c>
      <c r="AS333" s="78">
        <v>9</v>
      </c>
      <c r="AT333" s="9" t="str">
        <f t="shared" si="1971"/>
        <v>NA</v>
      </c>
      <c r="AU333" s="78">
        <v>9</v>
      </c>
      <c r="AV333" s="9" t="str">
        <f t="shared" si="1972"/>
        <v>NA</v>
      </c>
      <c r="AW333" s="78">
        <v>9</v>
      </c>
      <c r="AX333" s="9" t="str">
        <f t="shared" si="1973"/>
        <v>NA</v>
      </c>
      <c r="AY333" s="287"/>
      <c r="AZ333" s="15"/>
      <c r="BA333" s="9"/>
      <c r="BB333" s="651"/>
      <c r="BC333" s="9"/>
      <c r="BD333" s="78">
        <v>9</v>
      </c>
      <c r="BE333" s="9"/>
      <c r="BF333" s="78">
        <v>9</v>
      </c>
      <c r="BG333" s="72"/>
      <c r="BH333" s="78">
        <v>9</v>
      </c>
      <c r="BI333" s="72"/>
      <c r="BJ333" s="78">
        <v>9</v>
      </c>
      <c r="BK333" s="72"/>
      <c r="BL333" s="78">
        <v>9</v>
      </c>
      <c r="BM333" s="72"/>
      <c r="BN333" s="78">
        <v>9</v>
      </c>
      <c r="BO333" s="72"/>
      <c r="BP333" s="78">
        <v>9</v>
      </c>
      <c r="BQ333" s="9"/>
      <c r="BR333" s="78">
        <v>9</v>
      </c>
      <c r="BS333" s="9"/>
      <c r="BT333" s="78">
        <v>9</v>
      </c>
      <c r="BU333" s="9"/>
      <c r="BV333" s="43"/>
      <c r="BW333" s="722"/>
      <c r="BX333" s="722"/>
      <c r="BY333"/>
      <c r="BZ333"/>
      <c r="CA333"/>
      <c r="CB333"/>
      <c r="CC333"/>
      <c r="CD333"/>
    </row>
    <row r="334" spans="1:82" s="2" customFormat="1" ht="12.75" hidden="1" customHeight="1" outlineLevel="1" x14ac:dyDescent="0.2">
      <c r="A334" s="41"/>
      <c r="B334" s="62" t="s">
        <v>410</v>
      </c>
      <c r="C334" s="78">
        <v>0.7</v>
      </c>
      <c r="D334" s="9" t="str">
        <f>IF(ISERROR(C334/#REF!),"NA",IF(OR(C334/#REF!&gt;2,C334/#REF!&lt;0.5),"NM",C334/#REF!*100-100))</f>
        <v>NA</v>
      </c>
      <c r="E334" s="78">
        <v>2.6</v>
      </c>
      <c r="F334" s="9" t="str">
        <f>IF(ISERROR(E334/#REF!),"NA",IF(OR(E334/#REF!&gt;2,E334/#REF!&lt;0.5),"NM",E334/#REF!*100-100))</f>
        <v>NA</v>
      </c>
      <c r="G334" s="78">
        <v>0.6</v>
      </c>
      <c r="H334" s="9"/>
      <c r="I334" s="78">
        <v>1.6</v>
      </c>
      <c r="J334" s="9" t="str">
        <f>IF(ISERROR(I334/#REF!),"NA",IF(OR(I334/#REF!&gt;2,I334/#REF!&lt;0.5),"NM",I334/#REF!*100-100))</f>
        <v>NA</v>
      </c>
      <c r="K334" s="78">
        <v>1.3</v>
      </c>
      <c r="L334" s="9">
        <f t="shared" si="1887"/>
        <v>85.714285714285751</v>
      </c>
      <c r="M334" s="78">
        <v>0.6</v>
      </c>
      <c r="N334" s="9" t="str">
        <f>IF(ISERROR(M334/E334),"NA",IF(OR(M334/E334&gt;2,M334/E334&lt;0.5),"NM",M334/E334*100-100))</f>
        <v>NM</v>
      </c>
      <c r="O334" s="78">
        <v>0.4</v>
      </c>
      <c r="P334" s="43">
        <f t="shared" si="1860"/>
        <v>-33.333333333333329</v>
      </c>
      <c r="Q334" s="78">
        <v>0.2</v>
      </c>
      <c r="R334" s="43" t="str">
        <f t="shared" si="1862"/>
        <v>NM</v>
      </c>
      <c r="S334" s="78">
        <v>0.4</v>
      </c>
      <c r="T334" s="43" t="str">
        <f t="shared" si="1863"/>
        <v>NM</v>
      </c>
      <c r="U334" s="78">
        <v>0.2</v>
      </c>
      <c r="V334" s="43" t="str">
        <f t="shared" si="1889"/>
        <v>NM</v>
      </c>
      <c r="W334" s="78">
        <v>-4.4000000000000004</v>
      </c>
      <c r="X334" s="43" t="str">
        <f t="shared" si="1890"/>
        <v>NM</v>
      </c>
      <c r="Y334" s="78">
        <v>-4.4000000000000004</v>
      </c>
      <c r="Z334" s="43" t="str">
        <f t="shared" si="1890"/>
        <v>NM</v>
      </c>
      <c r="AA334" s="78">
        <v>-4.4000000000000004</v>
      </c>
      <c r="AB334" s="43" t="str">
        <f t="shared" si="1890"/>
        <v>NM</v>
      </c>
      <c r="AC334" s="78">
        <v>-4.4000000000000004</v>
      </c>
      <c r="AD334" s="43" t="str">
        <f t="shared" si="1890"/>
        <v>NM</v>
      </c>
      <c r="AE334" s="78">
        <v>-4.4000000000000004</v>
      </c>
      <c r="AF334" s="43">
        <f t="shared" si="1891"/>
        <v>0</v>
      </c>
      <c r="AG334" s="78">
        <v>-4.4000000000000004</v>
      </c>
      <c r="AH334" s="9">
        <f t="shared" si="1975"/>
        <v>0</v>
      </c>
      <c r="AI334" s="78">
        <v>-4.4000000000000004</v>
      </c>
      <c r="AJ334" s="9">
        <f t="shared" si="1965"/>
        <v>0</v>
      </c>
      <c r="AK334" s="78">
        <v>-4.4000000000000004</v>
      </c>
      <c r="AL334" s="9">
        <f t="shared" si="1966"/>
        <v>0</v>
      </c>
      <c r="AM334" s="78">
        <v>-4.4000000000000004</v>
      </c>
      <c r="AN334" s="9">
        <f t="shared" si="1967"/>
        <v>0</v>
      </c>
      <c r="AO334" s="78"/>
      <c r="AP334" s="9" t="str">
        <f t="shared" si="1968"/>
        <v>NM</v>
      </c>
      <c r="AQ334" s="78">
        <f t="shared" ref="AQ334" si="1976">AO334</f>
        <v>0</v>
      </c>
      <c r="AR334" s="9" t="str">
        <f t="shared" si="1970"/>
        <v>NM</v>
      </c>
      <c r="AS334" s="78">
        <f t="shared" ref="AS334" si="1977">AQ334</f>
        <v>0</v>
      </c>
      <c r="AT334" s="9" t="str">
        <f t="shared" si="1971"/>
        <v>NM</v>
      </c>
      <c r="AU334" s="78">
        <f t="shared" ref="AU334" si="1978">AS334</f>
        <v>0</v>
      </c>
      <c r="AV334" s="9" t="str">
        <f t="shared" si="1972"/>
        <v>NM</v>
      </c>
      <c r="AW334" s="78">
        <f t="shared" ref="AW334" si="1979">AU334</f>
        <v>0</v>
      </c>
      <c r="AX334" s="9" t="str">
        <f t="shared" si="1973"/>
        <v>NA</v>
      </c>
      <c r="AY334" s="287"/>
      <c r="AZ334" s="15"/>
      <c r="BA334" s="9"/>
      <c r="BB334" s="651"/>
      <c r="BC334" s="9"/>
      <c r="BD334" s="78">
        <f>BB334</f>
        <v>0</v>
      </c>
      <c r="BE334" s="9"/>
      <c r="BF334" s="78">
        <f>BD334</f>
        <v>0</v>
      </c>
      <c r="BG334" s="72"/>
      <c r="BH334" s="78">
        <f>BF334</f>
        <v>0</v>
      </c>
      <c r="BI334" s="72"/>
      <c r="BJ334" s="78">
        <f>BH334</f>
        <v>0</v>
      </c>
      <c r="BK334" s="72"/>
      <c r="BL334" s="78">
        <f>BJ334</f>
        <v>0</v>
      </c>
      <c r="BM334" s="72"/>
      <c r="BN334" s="78">
        <f>BL334</f>
        <v>0</v>
      </c>
      <c r="BO334" s="72"/>
      <c r="BP334" s="78">
        <f>BN334</f>
        <v>0</v>
      </c>
      <c r="BQ334" s="9"/>
      <c r="BR334" s="78">
        <f>BP334</f>
        <v>0</v>
      </c>
      <c r="BS334" s="9"/>
      <c r="BT334" s="78">
        <f>BR334</f>
        <v>0</v>
      </c>
      <c r="BU334" s="9"/>
      <c r="BV334" s="43" t="str">
        <f>IF(ISERROR(((BT334/BJ334)^0.2-1)*100),"NA",IF((((BT334/BJ334)^0.2-1)*100)&gt;100,"NM",IF((((BT334/BJ334)^0.2-1)*100)&lt;-50,"NM",((BT334/BJ334)^0.2-1)*100)))</f>
        <v>NA</v>
      </c>
      <c r="BW334" s="722"/>
      <c r="BX334" s="722"/>
      <c r="BY334"/>
      <c r="BZ334"/>
      <c r="CA334"/>
      <c r="CB334"/>
      <c r="CC334"/>
      <c r="CD334"/>
    </row>
    <row r="335" spans="1:82" s="2" customFormat="1" ht="12.75" hidden="1" customHeight="1" outlineLevel="1" x14ac:dyDescent="0.2">
      <c r="A335" s="66" t="s">
        <v>261</v>
      </c>
      <c r="B335" s="67" t="s">
        <v>411</v>
      </c>
      <c r="C335" s="695">
        <f>C328-C332-C334</f>
        <v>58.700000000000031</v>
      </c>
      <c r="D335" s="9" t="str">
        <f>IF(ISERROR(C335/#REF!),"NA",IF(OR(C335/#REF!&gt;2,C335/#REF!&lt;0.5),"NM",C335/#REF!*100-100))</f>
        <v>NA</v>
      </c>
      <c r="E335" s="695">
        <f>E328-E332-E334</f>
        <v>71.200000000000017</v>
      </c>
      <c r="F335" s="9" t="str">
        <f>IF(ISERROR(E335/#REF!),"NA",IF(OR(E335/#REF!&gt;2,E335/#REF!&lt;0.5),"NM",E335/#REF!*100-100))</f>
        <v>NA</v>
      </c>
      <c r="G335" s="695">
        <f>G328-G332-G334</f>
        <v>62.899999999999984</v>
      </c>
      <c r="H335" s="9" t="str">
        <f>IF(ISERROR(G335/#REF!),"NA",IF(OR(G335/#REF!&gt;2,G335/#REF!&lt;0.5),"NM",G335/#REF!*100-100))</f>
        <v>NA</v>
      </c>
      <c r="I335" s="695">
        <f>I328-I332-I334</f>
        <v>73.600000000000009</v>
      </c>
      <c r="J335" s="9" t="str">
        <f>IF(ISERROR(I335/#REF!),"NA",IF(OR(I335/#REF!&gt;2,I335/#REF!&lt;0.5),"NM",I335/#REF!*100-100))</f>
        <v>NA</v>
      </c>
      <c r="K335" s="695">
        <f>K328-K332-K334</f>
        <v>75.499999999999943</v>
      </c>
      <c r="L335" s="9">
        <f>IF(ISERROR(K335/C335),"NA",IF(OR(K335/C335&gt;2,K335/C335&lt;0.5),"NM",K335/C335*100-100))</f>
        <v>28.620102214650615</v>
      </c>
      <c r="M335" s="695">
        <f>M328-M332-M334</f>
        <v>82.1</v>
      </c>
      <c r="N335" s="9">
        <f>IF(ISERROR(M335/E335),"NA",IF(OR(M335/E335&gt;2,M335/E335&lt;0.5),"NM",M335/E335*100-100))</f>
        <v>15.308988764044912</v>
      </c>
      <c r="O335" s="695">
        <f>O328-O332-O334</f>
        <v>88.300000000000011</v>
      </c>
      <c r="P335" s="43">
        <f t="shared" si="1860"/>
        <v>40.381558028616922</v>
      </c>
      <c r="Q335" s="695">
        <f>Q328-Q332-Q334</f>
        <v>76.499999999999929</v>
      </c>
      <c r="R335" s="43">
        <f t="shared" si="1862"/>
        <v>3.9402173913042304</v>
      </c>
      <c r="S335" s="695">
        <f>S328-S332-S334</f>
        <v>74.499999999999957</v>
      </c>
      <c r="T335" s="43">
        <f t="shared" si="1863"/>
        <v>-1.3245033112582689</v>
      </c>
      <c r="U335" s="695">
        <f>U328-U332-U334</f>
        <v>72.599999999999952</v>
      </c>
      <c r="V335" s="43">
        <f t="shared" si="1889"/>
        <v>-11.571254567600548</v>
      </c>
      <c r="W335" s="695">
        <f>W328-W332-W334</f>
        <v>60.099999999999966</v>
      </c>
      <c r="X335" s="43">
        <f t="shared" si="1890"/>
        <v>-31.936579841449657</v>
      </c>
      <c r="Y335" s="695">
        <f>Y328-Y332-Y334</f>
        <v>81.299999999999983</v>
      </c>
      <c r="Z335" s="43">
        <f t="shared" si="1890"/>
        <v>6.2745098039216316</v>
      </c>
      <c r="AA335" s="695">
        <f>AA328-AA332-AA334</f>
        <v>81.800000000000011</v>
      </c>
      <c r="AB335" s="43">
        <f t="shared" si="1890"/>
        <v>9.7986577181208787</v>
      </c>
      <c r="AC335" s="695">
        <f>AC328-AC332-AC334</f>
        <v>83.799999999999983</v>
      </c>
      <c r="AD335" s="43">
        <f t="shared" si="1890"/>
        <v>15.426997245179109</v>
      </c>
      <c r="AE335" s="695">
        <f>AE328-AE332-AE334</f>
        <v>98.600000000000023</v>
      </c>
      <c r="AF335" s="43">
        <f t="shared" si="1891"/>
        <v>64.059900166389468</v>
      </c>
      <c r="AG335" s="695">
        <f>AG328-AG332-AG334</f>
        <v>80.200000000000045</v>
      </c>
      <c r="AH335" s="9">
        <f t="shared" si="1975"/>
        <v>-1.3530135301352288</v>
      </c>
      <c r="AI335" s="695">
        <f>AI328-AI332-AI334</f>
        <v>115.49999999999994</v>
      </c>
      <c r="AJ335" s="9">
        <f t="shared" si="1965"/>
        <v>41.198044009779863</v>
      </c>
      <c r="AK335" s="695">
        <f>AK328-AK332-AK334</f>
        <v>92.799999999999955</v>
      </c>
      <c r="AL335" s="9">
        <f t="shared" si="1966"/>
        <v>10.739856801909269</v>
      </c>
      <c r="AM335" s="695">
        <f>AM328-AM332-AM334</f>
        <v>87.199999999999989</v>
      </c>
      <c r="AN335" s="9">
        <f t="shared" si="1967"/>
        <v>-11.561866125760673</v>
      </c>
      <c r="AO335" s="695">
        <f>AO328-AO332-AO334</f>
        <v>78.900000000000034</v>
      </c>
      <c r="AP335" s="9">
        <f t="shared" si="1968"/>
        <v>-1.6209476309227142</v>
      </c>
      <c r="AQ335" s="695">
        <f t="shared" ref="AQ335:AW335" si="1980">AQ328-AQ332-AQ334</f>
        <v>81.994106587870107</v>
      </c>
      <c r="AR335" s="9">
        <f t="shared" si="1970"/>
        <v>-29.009431525653554</v>
      </c>
      <c r="AS335" s="695">
        <f t="shared" si="1980"/>
        <v>82.489947164006296</v>
      </c>
      <c r="AT335" s="9">
        <f t="shared" si="1971"/>
        <v>-11.109970728441439</v>
      </c>
      <c r="AU335" s="695">
        <f t="shared" si="1980"/>
        <v>83.251785469126659</v>
      </c>
      <c r="AV335" s="9">
        <f t="shared" si="1972"/>
        <v>-4.5277689574235325</v>
      </c>
      <c r="AW335" s="695">
        <f t="shared" si="1980"/>
        <v>82.030925059835255</v>
      </c>
      <c r="AX335" s="9">
        <f t="shared" si="1973"/>
        <v>3.9682193407290356</v>
      </c>
      <c r="AY335" s="287"/>
      <c r="AZ335" s="68"/>
      <c r="BA335" s="9"/>
      <c r="BB335" s="695"/>
      <c r="BC335" s="9"/>
      <c r="BD335" s="695">
        <f>BD328-BD332-BD334</f>
        <v>323.23199999999986</v>
      </c>
      <c r="BE335" s="9"/>
      <c r="BF335" s="695">
        <f>BF328-BF332-BF334</f>
        <v>243.87999999999988</v>
      </c>
      <c r="BG335" s="72"/>
      <c r="BH335" s="695">
        <f>BH328-BH332-BH334</f>
        <v>264.26400000000007</v>
      </c>
      <c r="BI335" s="72"/>
      <c r="BJ335" s="695">
        <f>BJ328-BJ332-BJ334</f>
        <v>303.84899999999993</v>
      </c>
      <c r="BK335" s="72"/>
      <c r="BL335" s="695">
        <f>BL328-BL332-BL334</f>
        <v>329.76676428083829</v>
      </c>
      <c r="BM335" s="72"/>
      <c r="BN335" s="695">
        <f>BN328-BN332-BN334</f>
        <v>349.68566752953694</v>
      </c>
      <c r="BO335" s="72"/>
      <c r="BP335" s="695">
        <f>BP328-BP332-BP334</f>
        <v>396.01328766236998</v>
      </c>
      <c r="BQ335" s="9"/>
      <c r="BR335" s="695">
        <f>BR328-BR332-BR334</f>
        <v>412.76159744936115</v>
      </c>
      <c r="BS335" s="9"/>
      <c r="BT335" s="695">
        <f>BT328-BT332-BT334</f>
        <v>444.25509275608914</v>
      </c>
      <c r="BU335" s="9"/>
      <c r="BV335" s="43">
        <f>IF(ISERROR(((BT335/BJ335)^0.2-1)*100),"NA",IF((((BT335/BJ335)^0.2-1)*100)&gt;100,"NM",IF((((BT335/BJ335)^0.2-1)*100)&lt;-50,"NM",((BT335/BJ335)^0.2-1)*100)))</f>
        <v>7.89341035606137</v>
      </c>
      <c r="BW335" s="722"/>
      <c r="BX335" s="722"/>
      <c r="BY335"/>
      <c r="BZ335"/>
      <c r="CA335"/>
      <c r="CB335"/>
      <c r="CC335"/>
      <c r="CD335"/>
    </row>
    <row r="336" spans="1:82" s="2" customFormat="1" ht="12.75" customHeight="1" collapsed="1" x14ac:dyDescent="0.2">
      <c r="A336" s="66"/>
      <c r="B336" s="67"/>
      <c r="C336" s="696"/>
      <c r="D336" s="9"/>
      <c r="E336" s="696"/>
      <c r="F336" s="9"/>
      <c r="G336" s="696"/>
      <c r="H336" s="9"/>
      <c r="I336" s="696"/>
      <c r="J336" s="9"/>
      <c r="K336" s="696"/>
      <c r="L336" s="9"/>
      <c r="M336" s="696"/>
      <c r="N336" s="9"/>
      <c r="O336" s="696"/>
      <c r="P336" s="43"/>
      <c r="Q336" s="696"/>
      <c r="R336" s="43"/>
      <c r="S336" s="696"/>
      <c r="T336" s="43"/>
      <c r="U336" s="696"/>
      <c r="V336" s="43"/>
      <c r="W336" s="696"/>
      <c r="X336" s="43"/>
      <c r="Y336" s="696"/>
      <c r="Z336" s="43"/>
      <c r="AA336" s="696"/>
      <c r="AB336" s="43"/>
      <c r="AC336" s="696"/>
      <c r="AD336" s="43"/>
      <c r="AE336" s="696"/>
      <c r="AF336" s="43"/>
      <c r="AG336" s="696"/>
      <c r="AH336" s="9"/>
      <c r="AI336" s="696"/>
      <c r="AJ336" s="9"/>
      <c r="AK336" s="696"/>
      <c r="AL336" s="9"/>
      <c r="AM336" s="696"/>
      <c r="AN336" s="9"/>
      <c r="AO336" s="696"/>
      <c r="AP336" s="9"/>
      <c r="AQ336" s="696"/>
      <c r="AR336" s="9"/>
      <c r="AS336" s="696"/>
      <c r="AT336" s="9"/>
      <c r="AU336" s="696"/>
      <c r="AV336" s="9"/>
      <c r="AW336" s="696"/>
      <c r="AX336" s="9"/>
      <c r="AY336" s="287"/>
      <c r="AZ336" s="79"/>
      <c r="BA336" s="9"/>
      <c r="BB336" s="148"/>
      <c r="BC336" s="9"/>
      <c r="BD336" s="696"/>
      <c r="BE336" s="9"/>
      <c r="BF336" s="673"/>
      <c r="BG336" s="72"/>
      <c r="BH336" s="673"/>
      <c r="BI336" s="72"/>
      <c r="BJ336" s="673"/>
      <c r="BK336" s="72"/>
      <c r="BL336" s="673"/>
      <c r="BM336" s="72"/>
      <c r="BN336" s="704"/>
      <c r="BO336" s="72"/>
      <c r="BP336" s="704"/>
      <c r="BQ336" s="9"/>
      <c r="BR336" s="704"/>
      <c r="BS336" s="9"/>
      <c r="BT336" s="704"/>
      <c r="BU336" s="9"/>
      <c r="BV336" s="722"/>
      <c r="BW336" s="722"/>
      <c r="BX336" s="722"/>
      <c r="BY336"/>
      <c r="BZ336"/>
      <c r="CA336"/>
      <c r="CB336"/>
      <c r="CC336"/>
      <c r="CD336"/>
    </row>
    <row r="337" spans="1:82" s="7" customFormat="1" ht="12.75" customHeight="1" x14ac:dyDescent="0.2">
      <c r="A337" s="80"/>
      <c r="B337" s="62" t="s">
        <v>59</v>
      </c>
      <c r="C337" s="132">
        <f>-2.2/0.65</f>
        <v>-3.3846153846153846</v>
      </c>
      <c r="D337" s="9" t="str">
        <f>IF(ISERROR(C337/#REF!),"NA",IF(OR(C337/#REF!&gt;2,C337/#REF!&lt;0.5),"NM",C337/#REF!*100-100))</f>
        <v>NA</v>
      </c>
      <c r="E337" s="132">
        <f>-7/0.65</f>
        <v>-10.769230769230768</v>
      </c>
      <c r="F337" s="9" t="str">
        <f>IF(ISERROR(E337/#REF!),"NA",IF(OR(E337/#REF!&gt;2,E337/#REF!&lt;0.5),"NM",E337/#REF!*100-100))</f>
        <v>NA</v>
      </c>
      <c r="G337" s="132">
        <f>-10/0.65</f>
        <v>-15.384615384615383</v>
      </c>
      <c r="H337" s="9" t="str">
        <f>IF(ISERROR(G337/#REF!),"NA",IF(OR(G337/#REF!&gt;2,G337/#REF!&lt;0.5),"NM",G337/#REF!*100-100))</f>
        <v>NA</v>
      </c>
      <c r="I337" s="132">
        <f>(8-6-3)/0.65</f>
        <v>-1.5384615384615383</v>
      </c>
      <c r="J337" s="9" t="str">
        <f>IF(ISERROR(I337/#REF!),"NA",IF(OR(I337/#REF!&gt;2,I337/#REF!&lt;0.5),"NM",I337/#REF!*100-100))</f>
        <v>NA</v>
      </c>
      <c r="K337" s="132">
        <f>2.5/0.65</f>
        <v>3.8461538461538458</v>
      </c>
      <c r="L337" s="9" t="str">
        <f>IF(ISERROR(K337/C337),"NA",IF(OR(K337/C337&gt;2,K337/C337&lt;0.5),"NM",K337/C337*100-100))</f>
        <v>NM</v>
      </c>
      <c r="M337" s="132">
        <f>5.5/0.65</f>
        <v>8.4615384615384617</v>
      </c>
      <c r="N337" s="43" t="str">
        <f t="shared" si="1860"/>
        <v>NM</v>
      </c>
      <c r="O337" s="132">
        <f>12.4/0.65</f>
        <v>19.076923076923077</v>
      </c>
      <c r="P337" s="43" t="str">
        <f t="shared" si="1860"/>
        <v>NM</v>
      </c>
      <c r="Q337" s="132">
        <v>0</v>
      </c>
      <c r="R337" s="43" t="str">
        <f t="shared" si="1862"/>
        <v>NM</v>
      </c>
      <c r="S337" s="132">
        <v>0</v>
      </c>
      <c r="T337" s="43" t="str">
        <f t="shared" si="1863"/>
        <v>NM</v>
      </c>
      <c r="U337" s="132">
        <v>0</v>
      </c>
      <c r="V337" s="43" t="str">
        <f t="shared" si="1889"/>
        <v>NM</v>
      </c>
      <c r="W337" s="132">
        <f>(-4.7-11.3+7.6)/0.65</f>
        <v>-12.923076923076923</v>
      </c>
      <c r="X337" s="43" t="str">
        <f t="shared" si="1890"/>
        <v>NM</v>
      </c>
      <c r="Y337" s="132">
        <v>0</v>
      </c>
      <c r="Z337" s="43" t="str">
        <f t="shared" si="1890"/>
        <v>NA</v>
      </c>
      <c r="AA337" s="132">
        <v>0</v>
      </c>
      <c r="AB337" s="43" t="str">
        <f t="shared" si="1890"/>
        <v>NA</v>
      </c>
      <c r="AC337" s="132">
        <v>0</v>
      </c>
      <c r="AD337" s="43" t="str">
        <f t="shared" si="1890"/>
        <v>NA</v>
      </c>
      <c r="AE337" s="132">
        <v>-0.90000000000000036</v>
      </c>
      <c r="AF337" s="43" t="str">
        <f t="shared" si="1891"/>
        <v>NM</v>
      </c>
      <c r="AG337" s="132">
        <v>-11</v>
      </c>
      <c r="AH337" s="9" t="str">
        <f>IF(ISERROR(AG337/Y337),"NA",IF(OR(AG337/Y337&gt;2,AG337/Y337&lt;0.5),"NM",AG337/Y337*100-100))</f>
        <v>NA</v>
      </c>
      <c r="AI337" s="132">
        <v>12</v>
      </c>
      <c r="AJ337" s="9" t="str">
        <f t="shared" ref="AJ337:AJ339" si="1981">IF(ISERROR(AI337/AA337),"NA",IF(OR(AI337/AA337&gt;2,AI337/AA337&lt;0.5),"NM",AI337/AA337*100-100))</f>
        <v>NA</v>
      </c>
      <c r="AK337" s="132">
        <v>-5</v>
      </c>
      <c r="AL337" s="9" t="str">
        <f t="shared" ref="AL337:AL339" si="1982">IF(ISERROR(AK337/AC337),"NA",IF(OR(AK337/AC337&gt;2,AK337/AC337&lt;0.5),"NM",AK337/AC337*100-100))</f>
        <v>NA</v>
      </c>
      <c r="AM337" s="132">
        <v>-12</v>
      </c>
      <c r="AN337" s="9" t="str">
        <f t="shared" ref="AN337:AN339" si="1983">IF(ISERROR(AM337/AE337),"NA",IF(OR(AM337/AE337&gt;2,AM337/AE337&lt;0.5),"NM",AM337/AE337*100-100))</f>
        <v>NM</v>
      </c>
      <c r="AO337" s="132">
        <v>0</v>
      </c>
      <c r="AP337" s="9" t="str">
        <f t="shared" ref="AP337:AP339" si="1984">IF(ISERROR(AO337/AG337),"NA",IF(OR(AO337/AG337&gt;2,AO337/AG337&lt;0.5),"NM",AO337/AG337*100-100))</f>
        <v>NM</v>
      </c>
      <c r="AQ337" s="132">
        <v>0</v>
      </c>
      <c r="AR337" s="9" t="str">
        <f t="shared" ref="AR337:AR339" si="1985">IF(ISERROR(AQ337/AI337),"NA",IF(OR(AQ337/AI337&gt;2,AQ337/AI337&lt;0.5),"NM",AQ337/AI337*100-100))</f>
        <v>NM</v>
      </c>
      <c r="AS337" s="132">
        <v>0</v>
      </c>
      <c r="AT337" s="9" t="str">
        <f t="shared" ref="AT337:AT339" si="1986">IF(ISERROR(AS337/AK337),"NA",IF(OR(AS337/AK337&gt;2,AS337/AK337&lt;0.5),"NM",AS337/AK337*100-100))</f>
        <v>NM</v>
      </c>
      <c r="AU337" s="132">
        <v>0</v>
      </c>
      <c r="AV337" s="9" t="str">
        <f t="shared" ref="AV337:AV339" si="1987">IF(ISERROR(AU337/AM337),"NA",IF(OR(AU337/AM337&gt;2,AU337/AM337&lt;0.5),"NM",AU337/AM337*100-100))</f>
        <v>NM</v>
      </c>
      <c r="AW337" s="132">
        <v>0</v>
      </c>
      <c r="AX337" s="9" t="str">
        <f t="shared" ref="AX337:AX339" si="1988">IF(ISERROR(AW337/AO337),"NA",IF(OR(AW337/AO337&gt;2,AW337/AO337&lt;0.5),"NM",AW337/AO337*100-100))</f>
        <v>NA</v>
      </c>
      <c r="AY337" s="287"/>
      <c r="AZ337" s="120"/>
      <c r="BA337" s="9" t="str">
        <f>IF(ISERROR(#REF!/#REF!),"NA",IF(OR(#REF!/#REF!&gt;2,#REF!/#REF!&lt;0.5),"NM",#REF!/#REF!*100-100))</f>
        <v>NA</v>
      </c>
      <c r="BB337" s="55">
        <f>C337+E337+G337+I337</f>
        <v>-31.076923076923073</v>
      </c>
      <c r="BC337" s="9" t="str">
        <f>IF(ISERROR(BB337/#REF!),"NA",IF(OR(BB337/#REF!&gt;2,BB337/#REF!&lt;0.5),"NM",BB337/#REF!*100-100))</f>
        <v>NA</v>
      </c>
      <c r="BD337" s="55">
        <f>K337+M337+O337+Q337</f>
        <v>31.384615384615383</v>
      </c>
      <c r="BE337" s="9" t="str">
        <f t="shared" ref="BE337:BS339" si="1989">IF(ISERROR(BD337/BB337),"NA",IF(OR(BD337/BB337&gt;2,BD337/BB337&lt;0.5),"NM",BD337/BB337*100-100))</f>
        <v>NM</v>
      </c>
      <c r="BF337" s="55">
        <f>S337+U337+W337+Y337</f>
        <v>-12.923076923076923</v>
      </c>
      <c r="BG337" s="9" t="str">
        <f t="shared" si="1989"/>
        <v>NM</v>
      </c>
      <c r="BH337" s="55">
        <f>AA337+AC337+AE337+AG337</f>
        <v>-11.9</v>
      </c>
      <c r="BI337" s="9">
        <f t="shared" si="1989"/>
        <v>-7.9166666666666572</v>
      </c>
      <c r="BJ337" s="55">
        <f>AI337+AK337+AM337+AO337</f>
        <v>-5</v>
      </c>
      <c r="BK337" s="9" t="str">
        <f t="shared" si="1989"/>
        <v>NM</v>
      </c>
      <c r="BL337" s="55">
        <f>AQ337+AS337+AU337+AW337</f>
        <v>0</v>
      </c>
      <c r="BM337" s="9" t="str">
        <f t="shared" si="1989"/>
        <v>NM</v>
      </c>
      <c r="BN337" s="50">
        <v>0</v>
      </c>
      <c r="BO337" s="9" t="str">
        <f t="shared" si="1989"/>
        <v>NA</v>
      </c>
      <c r="BP337" s="50">
        <v>0</v>
      </c>
      <c r="BQ337" s="9" t="str">
        <f t="shared" si="1989"/>
        <v>NA</v>
      </c>
      <c r="BR337" s="50">
        <v>0</v>
      </c>
      <c r="BS337" s="9" t="str">
        <f t="shared" si="1989"/>
        <v>NA</v>
      </c>
      <c r="BT337" s="50">
        <v>0</v>
      </c>
      <c r="BU337" s="9" t="str">
        <f t="shared" ref="BU337" si="1990">IF(ISERROR(BT337/BR337),"NA",IF(OR(BT337/BR337&gt;2,BT337/BR337&lt;0.5),"NM",BT337/BR337*100-100))</f>
        <v>NA</v>
      </c>
      <c r="BV337" s="43" t="str">
        <f>IF(ISERROR(((BT337/BJ337)^0.2-1)*100),"NA",IF((((BT337/BJ337)^0.2-1)*100)&gt;100,"NM",IF((((BT337/BJ337)^0.2-1)*100)&lt;-50,"NM",((BT337/BJ337)^0.2-1)*100)))</f>
        <v>NM</v>
      </c>
      <c r="BW337" s="722"/>
      <c r="BX337" s="722"/>
      <c r="BY337"/>
      <c r="BZ337"/>
      <c r="CA337"/>
      <c r="CB337"/>
      <c r="CC337"/>
      <c r="CD337"/>
    </row>
    <row r="338" spans="1:82" s="7" customFormat="1" ht="12.75" hidden="1" customHeight="1" outlineLevel="1" x14ac:dyDescent="0.2">
      <c r="A338" s="80"/>
      <c r="B338" s="67" t="s">
        <v>60</v>
      </c>
      <c r="C338" s="723">
        <f>C335-C337</f>
        <v>62.084615384615418</v>
      </c>
      <c r="D338" s="9" t="str">
        <f>IF(ISERROR(C338/#REF!),"NA",IF(OR(C338/#REF!&gt;2,C338/#REF!&lt;0.5),"NM",C338/#REF!*100-100))</f>
        <v>NA</v>
      </c>
      <c r="E338" s="723">
        <f>E335-E337</f>
        <v>81.969230769230791</v>
      </c>
      <c r="F338" s="9" t="str">
        <f>IF(ISERROR(E338/#REF!),"NA",IF(OR(E338/#REF!&gt;2,E338/#REF!&lt;0.5),"NM",E338/#REF!*100-100))</f>
        <v>NA</v>
      </c>
      <c r="G338" s="723">
        <f>G335-G337</f>
        <v>78.284615384615364</v>
      </c>
      <c r="H338" s="9" t="str">
        <f>IF(ISERROR(G338/#REF!),"NA",IF(OR(G338/#REF!&gt;2,G338/#REF!&lt;0.5),"NM",G338/#REF!*100-100))</f>
        <v>NA</v>
      </c>
      <c r="I338" s="133">
        <f>I335-I337</f>
        <v>75.138461538461542</v>
      </c>
      <c r="J338" s="9" t="str">
        <f>IF(ISERROR(I338/#REF!),"NA",IF(OR(I338/#REF!&gt;2,I338/#REF!&lt;0.5),"NM",I338/#REF!*100-100))</f>
        <v>NA</v>
      </c>
      <c r="K338" s="133">
        <f>K335-K337</f>
        <v>71.653846153846104</v>
      </c>
      <c r="L338" s="9">
        <f>IF(ISERROR(K338/C338),"NA",IF(OR(K338/C338&gt;2,K338/C338&lt;0.5),"NM",K338/C338*100-100))</f>
        <v>15.413207780943978</v>
      </c>
      <c r="M338" s="133">
        <f>M335-M337</f>
        <v>73.638461538461527</v>
      </c>
      <c r="N338" s="9">
        <f>IF(ISERROR(M338/E338),"NA",IF(OR(M338/E338&gt;2,M338/E338&lt;0.5),"NM",M338/E338*100-100))</f>
        <v>-10.163288288288328</v>
      </c>
      <c r="O338" s="133">
        <f>O335-O337</f>
        <v>69.223076923076931</v>
      </c>
      <c r="P338" s="43">
        <f t="shared" si="1860"/>
        <v>-11.575120369460507</v>
      </c>
      <c r="Q338" s="133">
        <f>Q335-Q337</f>
        <v>76.499999999999929</v>
      </c>
      <c r="R338" s="43">
        <f t="shared" si="1862"/>
        <v>1.812039312039218</v>
      </c>
      <c r="S338" s="133">
        <f>S335-S337</f>
        <v>74.499999999999957</v>
      </c>
      <c r="T338" s="43">
        <f t="shared" si="1863"/>
        <v>3.9720880300590693</v>
      </c>
      <c r="U338" s="133">
        <f>U335-U337</f>
        <v>72.599999999999952</v>
      </c>
      <c r="V338" s="43">
        <f t="shared" si="1889"/>
        <v>-1.4102162331558077</v>
      </c>
      <c r="W338" s="133">
        <f t="shared" ref="W338" si="1991">W335-W337</f>
        <v>73.023076923076886</v>
      </c>
      <c r="X338" s="43">
        <f t="shared" si="1890"/>
        <v>5.4894988332036263</v>
      </c>
      <c r="Y338" s="133">
        <f t="shared" ref="Y338:AA338" si="1992">Y335-Y337</f>
        <v>81.299999999999983</v>
      </c>
      <c r="Z338" s="43">
        <f t="shared" si="1890"/>
        <v>6.2745098039216316</v>
      </c>
      <c r="AA338" s="133">
        <f t="shared" si="1992"/>
        <v>81.800000000000011</v>
      </c>
      <c r="AB338" s="43">
        <f t="shared" si="1890"/>
        <v>9.7986577181208787</v>
      </c>
      <c r="AC338" s="133">
        <f t="shared" ref="AC338:AE338" si="1993">AC335-AC337</f>
        <v>83.799999999999983</v>
      </c>
      <c r="AD338" s="43">
        <f t="shared" si="1890"/>
        <v>15.426997245179109</v>
      </c>
      <c r="AE338" s="133">
        <f t="shared" si="1993"/>
        <v>99.500000000000028</v>
      </c>
      <c r="AF338" s="43">
        <f t="shared" si="1891"/>
        <v>36.258295586221521</v>
      </c>
      <c r="AG338" s="133">
        <f t="shared" ref="AG338:AI338" si="1994">AG335-AG337</f>
        <v>91.200000000000045</v>
      </c>
      <c r="AH338" s="9">
        <f>IF(ISERROR(AG338/Y338),"NA",IF(OR(AG338/Y338&gt;2,AG338/Y338&lt;0.5),"NM",AG338/Y338*100-100))</f>
        <v>12.177121771217799</v>
      </c>
      <c r="AI338" s="133">
        <f t="shared" si="1994"/>
        <v>103.49999999999994</v>
      </c>
      <c r="AJ338" s="9">
        <f t="shared" si="1981"/>
        <v>26.528117359413116</v>
      </c>
      <c r="AK338" s="133">
        <f t="shared" ref="AK338:AM338" si="1995">AK335-AK337</f>
        <v>97.799999999999955</v>
      </c>
      <c r="AL338" s="9">
        <f t="shared" si="1982"/>
        <v>16.70644391408112</v>
      </c>
      <c r="AM338" s="133">
        <f t="shared" si="1995"/>
        <v>99.199999999999989</v>
      </c>
      <c r="AN338" s="9">
        <f t="shared" si="1983"/>
        <v>-0.30150753768847949</v>
      </c>
      <c r="AO338" s="133">
        <f t="shared" ref="AO338" si="1996">AO335-AO337</f>
        <v>78.900000000000034</v>
      </c>
      <c r="AP338" s="9">
        <f t="shared" si="1984"/>
        <v>-13.486842105263165</v>
      </c>
      <c r="AQ338" s="133">
        <f t="shared" ref="AQ338" si="1997">AQ335-AQ337</f>
        <v>81.994106587870107</v>
      </c>
      <c r="AR338" s="9">
        <f t="shared" si="1985"/>
        <v>-20.778640977903237</v>
      </c>
      <c r="AS338" s="133">
        <f t="shared" ref="AS338" si="1998">AS335-AS337</f>
        <v>82.489947164006296</v>
      </c>
      <c r="AT338" s="9">
        <f t="shared" si="1986"/>
        <v>-15.654450752549764</v>
      </c>
      <c r="AU338" s="133">
        <f t="shared" ref="AU338" si="1999">AU335-AU337</f>
        <v>83.251785469126659</v>
      </c>
      <c r="AV338" s="9">
        <f t="shared" si="1987"/>
        <v>-16.076829164186819</v>
      </c>
      <c r="AW338" s="133">
        <f t="shared" ref="AW338" si="2000">AW335-AW337</f>
        <v>82.030925059835255</v>
      </c>
      <c r="AX338" s="9">
        <f t="shared" si="1988"/>
        <v>3.9682193407290356</v>
      </c>
      <c r="AY338" s="287"/>
      <c r="AZ338" s="120"/>
      <c r="BA338" s="9"/>
      <c r="BB338" s="723"/>
      <c r="BC338" s="9"/>
      <c r="BD338" s="133">
        <f t="shared" ref="BD338:BP338" si="2001">BD335-BD337</f>
        <v>291.8473846153845</v>
      </c>
      <c r="BE338" s="9"/>
      <c r="BF338" s="133">
        <f t="shared" si="2001"/>
        <v>256.80307692307679</v>
      </c>
      <c r="BG338" s="72"/>
      <c r="BH338" s="133">
        <f t="shared" si="2001"/>
        <v>276.16400000000004</v>
      </c>
      <c r="BI338" s="72"/>
      <c r="BJ338" s="133">
        <f t="shared" ref="BJ338" si="2002">BJ335-BJ337</f>
        <v>308.84899999999993</v>
      </c>
      <c r="BK338" s="72"/>
      <c r="BL338" s="133">
        <f t="shared" ref="BL338" si="2003">BL335-BL337</f>
        <v>329.76676428083829</v>
      </c>
      <c r="BM338" s="72"/>
      <c r="BN338" s="133">
        <f t="shared" si="2001"/>
        <v>349.68566752953694</v>
      </c>
      <c r="BO338" s="72"/>
      <c r="BP338" s="133">
        <f t="shared" si="2001"/>
        <v>396.01328766236998</v>
      </c>
      <c r="BQ338" s="72"/>
      <c r="BR338" s="133">
        <f t="shared" ref="BR338:BT338" si="2004">BR335-BR337</f>
        <v>412.76159744936115</v>
      </c>
      <c r="BS338" s="72"/>
      <c r="BT338" s="133">
        <f t="shared" si="2004"/>
        <v>444.25509275608914</v>
      </c>
      <c r="BU338" s="72"/>
      <c r="BV338" s="43"/>
      <c r="BW338" s="722"/>
      <c r="BX338" s="722"/>
      <c r="BY338"/>
      <c r="BZ338"/>
      <c r="CA338"/>
      <c r="CB338"/>
      <c r="CC338"/>
      <c r="CD338"/>
    </row>
    <row r="339" spans="1:82" s="7" customFormat="1" ht="12.75" customHeight="1" collapsed="1" x14ac:dyDescent="0.2">
      <c r="A339" s="42"/>
      <c r="B339" s="67" t="s">
        <v>466</v>
      </c>
      <c r="C339" s="695">
        <f>C330-C337</f>
        <v>67.084615384615418</v>
      </c>
      <c r="D339" s="232" t="str">
        <f>IF(ISERROR(C339/#REF!),"NA",IF(OR(C339/#REF!&gt;2,C339/#REF!&lt;0.5),"NM",C339/#REF!*100-100))</f>
        <v>NA</v>
      </c>
      <c r="E339" s="695">
        <f t="shared" ref="E339:W339" si="2005">E330-E337</f>
        <v>86.469230769230791</v>
      </c>
      <c r="F339" s="9" t="str">
        <f>IF(ISERROR(E339/#REF!),"NA",IF(OR(E339/#REF!&gt;2,E339/#REF!&lt;0.5),"NM",E339/#REF!*100-100))</f>
        <v>NA</v>
      </c>
      <c r="G339" s="695">
        <f t="shared" si="2005"/>
        <v>81.484615384615381</v>
      </c>
      <c r="H339" s="9" t="str">
        <f>IF(ISERROR(G339/#REF!),"NA",IF(OR(G339/#REF!&gt;2,G339/#REF!&lt;0.5),"NM",G339/#REF!*100-100))</f>
        <v>NA</v>
      </c>
      <c r="I339" s="695">
        <f t="shared" si="2005"/>
        <v>90.438461538461539</v>
      </c>
      <c r="J339" s="9" t="str">
        <f>IF(ISERROR(I339/#REF!),"NA",IF(OR(I339/#REF!&gt;2,I339/#REF!&lt;0.5),"NM",I339/#REF!*100-100))</f>
        <v>NA</v>
      </c>
      <c r="K339" s="695">
        <f t="shared" si="2005"/>
        <v>78.353846153846106</v>
      </c>
      <c r="L339" s="9">
        <f>IF(ISERROR(K339/C339),"NA",IF(OR(K339/C339&gt;2,K339/C339&lt;0.5),"NM",K339/C339*100-100))</f>
        <v>16.798532278408302</v>
      </c>
      <c r="M339" s="695">
        <f t="shared" si="2005"/>
        <v>82.138461538461527</v>
      </c>
      <c r="N339" s="43">
        <f t="shared" si="1860"/>
        <v>-5.0084512054088037</v>
      </c>
      <c r="O339" s="695">
        <f>O330-O337</f>
        <v>83.323076923076925</v>
      </c>
      <c r="P339" s="43">
        <f t="shared" si="1860"/>
        <v>2.2562069291041382</v>
      </c>
      <c r="Q339" s="695">
        <f t="shared" si="2005"/>
        <v>77.499999999999929</v>
      </c>
      <c r="R339" s="43">
        <f t="shared" si="1862"/>
        <v>-14.306370672790763</v>
      </c>
      <c r="S339" s="695">
        <f t="shared" si="2005"/>
        <v>80.799999999999955</v>
      </c>
      <c r="T339" s="43">
        <f t="shared" si="1863"/>
        <v>3.1219320636167254</v>
      </c>
      <c r="U339" s="695">
        <f t="shared" si="2005"/>
        <v>72.199999999999946</v>
      </c>
      <c r="V339" s="43">
        <f t="shared" si="1889"/>
        <v>-12.099644128113923</v>
      </c>
      <c r="W339" s="695">
        <f t="shared" si="2005"/>
        <v>63.923076923076891</v>
      </c>
      <c r="X339" s="43">
        <f t="shared" si="1890"/>
        <v>-23.28286558345647</v>
      </c>
      <c r="Y339" s="695">
        <f t="shared" ref="Y339:AA339" si="2006">Y330-Y337</f>
        <v>67.299999999999983</v>
      </c>
      <c r="Z339" s="43">
        <f t="shared" si="1890"/>
        <v>-13.161290322580584</v>
      </c>
      <c r="AA339" s="695">
        <f t="shared" si="2006"/>
        <v>68.000000000000014</v>
      </c>
      <c r="AB339" s="43">
        <f t="shared" si="1890"/>
        <v>-15.841584158415785</v>
      </c>
      <c r="AC339" s="695">
        <f t="shared" ref="AC339:AE339" si="2007">AC330-AC337</f>
        <v>69.899999999999977</v>
      </c>
      <c r="AD339" s="43">
        <f t="shared" si="1890"/>
        <v>-3.1855955678669972</v>
      </c>
      <c r="AE339" s="695">
        <f t="shared" si="2007"/>
        <v>85.100000000000023</v>
      </c>
      <c r="AF339" s="43">
        <f t="shared" si="1891"/>
        <v>33.128760529482662</v>
      </c>
      <c r="AG339" s="695">
        <f t="shared" ref="AG339:AI339" si="2008">AG330-AG337</f>
        <v>77.000000000000043</v>
      </c>
      <c r="AH339" s="9">
        <f>IF(ISERROR(AG339/Y339),"NA",IF(OR(AG339/Y339&gt;2,AG339/Y339&lt;0.5),"NM",AG339/Y339*100-100))</f>
        <v>14.41307578008923</v>
      </c>
      <c r="AI339" s="695">
        <f t="shared" si="2008"/>
        <v>88.899999999999949</v>
      </c>
      <c r="AJ339" s="9">
        <f t="shared" si="1981"/>
        <v>30.735294117646959</v>
      </c>
      <c r="AK339" s="695">
        <f t="shared" ref="AK339:AM339" si="2009">AK330-AK337</f>
        <v>83.399999999999949</v>
      </c>
      <c r="AL339" s="9">
        <f t="shared" si="1982"/>
        <v>19.313304721030008</v>
      </c>
      <c r="AM339" s="695">
        <f t="shared" si="2009"/>
        <v>84.399999999999991</v>
      </c>
      <c r="AN339" s="9">
        <f t="shared" si="1983"/>
        <v>-0.82256169212693919</v>
      </c>
      <c r="AO339" s="695">
        <f t="shared" ref="AO339" si="2010">AO330-AO337</f>
        <v>78.30000000000004</v>
      </c>
      <c r="AP339" s="9">
        <f t="shared" si="1984"/>
        <v>1.6883116883116998</v>
      </c>
      <c r="AQ339" s="695">
        <f t="shared" ref="AQ339:AW339" si="2011">AQ330-AQ337</f>
        <v>89.418216769456805</v>
      </c>
      <c r="AR339" s="9">
        <f t="shared" si="1985"/>
        <v>0.58292100051389184</v>
      </c>
      <c r="AS339" s="695">
        <f t="shared" si="2011"/>
        <v>89.958952951178887</v>
      </c>
      <c r="AT339" s="9">
        <f t="shared" si="1986"/>
        <v>7.8644519798308608</v>
      </c>
      <c r="AU339" s="695">
        <f t="shared" si="2011"/>
        <v>90.789771476380139</v>
      </c>
      <c r="AV339" s="9">
        <f t="shared" si="1987"/>
        <v>7.5708192848105966</v>
      </c>
      <c r="AW339" s="695">
        <f t="shared" si="2011"/>
        <v>89.458368949220741</v>
      </c>
      <c r="AX339" s="9">
        <f t="shared" si="1988"/>
        <v>14.250790484317605</v>
      </c>
      <c r="AY339" s="287"/>
      <c r="AZ339" s="15"/>
      <c r="BA339" s="9" t="str">
        <f>IF(ISERROR(#REF!/#REF!),"NA",IF(OR(#REF!/#REF!&gt;2,#REF!/#REF!&lt;0.5),"NM",#REF!/#REF!*100-100))</f>
        <v>NA</v>
      </c>
      <c r="BB339" s="695">
        <f>BB330-BB337</f>
        <v>325.47692307692313</v>
      </c>
      <c r="BC339" s="9" t="str">
        <f>IF(ISERROR(BB339/#REF!),"NA",IF(OR(BB339/#REF!&gt;2,BB339/#REF!&lt;0.5),"NM",BB339/#REF!*100-100))</f>
        <v>NA</v>
      </c>
      <c r="BD339" s="912">
        <f>BD330-BD337</f>
        <v>321.31538461538452</v>
      </c>
      <c r="BE339" s="9">
        <f t="shared" si="1989"/>
        <v>-1.2785970882965074</v>
      </c>
      <c r="BF339" s="695">
        <f t="shared" ref="BF339:BP339" si="2012">BF330-BF337</f>
        <v>284.2230769230768</v>
      </c>
      <c r="BG339" s="9">
        <f t="shared" si="1989"/>
        <v>-11.543894089200663</v>
      </c>
      <c r="BH339" s="695">
        <f t="shared" si="2012"/>
        <v>300.00000000000006</v>
      </c>
      <c r="BI339" s="9">
        <f t="shared" si="1989"/>
        <v>5.5508944761699155</v>
      </c>
      <c r="BJ339" s="695">
        <f t="shared" ref="BJ339" si="2013">BJ330-BJ337</f>
        <v>334.99999999999994</v>
      </c>
      <c r="BK339" s="9">
        <f t="shared" si="1989"/>
        <v>11.666666666666629</v>
      </c>
      <c r="BL339" s="695">
        <f t="shared" ref="BL339" si="2014">BL330-BL337</f>
        <v>359.62531014623659</v>
      </c>
      <c r="BM339" s="9">
        <f t="shared" si="1989"/>
        <v>7.3508388496228889</v>
      </c>
      <c r="BN339" s="695">
        <f t="shared" si="2012"/>
        <v>381.34775926632324</v>
      </c>
      <c r="BO339" s="9">
        <f t="shared" si="1989"/>
        <v>6.0403004202494799</v>
      </c>
      <c r="BP339" s="695">
        <f t="shared" si="2012"/>
        <v>431.87008766088064</v>
      </c>
      <c r="BQ339" s="9">
        <f t="shared" si="1989"/>
        <v>13.248361152497012</v>
      </c>
      <c r="BR339" s="695">
        <f t="shared" ref="BR339:BT339" si="2015">BR330-BR337</f>
        <v>450.13486372073396</v>
      </c>
      <c r="BS339" s="9">
        <f t="shared" si="1989"/>
        <v>4.2292292477999638</v>
      </c>
      <c r="BT339" s="695">
        <f t="shared" si="2015"/>
        <v>484.47991981506397</v>
      </c>
      <c r="BU339" s="9">
        <f t="shared" ref="BU339" si="2016">IF(ISERROR(BT339/BR339),"NA",IF(OR(BT339/BR339&gt;2,BT339/BR339&lt;0.5),"NM",BT339/BR339*100-100))</f>
        <v>7.6299480138996501</v>
      </c>
      <c r="BV339" s="43">
        <f>IF(ISERROR(((BT339/BJ339)^0.2-1)*100),"NA",IF((((BT339/BJ339)^0.2-1)*100)&gt;100,"NM",IF((((BT339/BJ339)^0.2-1)*100)&lt;-50,"NM",((BT339/BJ339)^0.2-1)*100)))</f>
        <v>7.6579720869598855</v>
      </c>
      <c r="BW339" s="43"/>
      <c r="BX339" s="43"/>
      <c r="BY339"/>
      <c r="BZ339"/>
      <c r="CA339"/>
      <c r="CB339"/>
      <c r="CC339"/>
      <c r="CD339"/>
    </row>
    <row r="340" spans="1:82" s="7" customFormat="1" ht="12.75" customHeight="1" x14ac:dyDescent="0.2">
      <c r="A340" s="42"/>
      <c r="B340" s="67"/>
      <c r="C340" s="695"/>
      <c r="D340" s="691"/>
      <c r="E340" s="695"/>
      <c r="F340" s="691"/>
      <c r="G340" s="695"/>
      <c r="H340" s="691"/>
      <c r="I340" s="695"/>
      <c r="J340" s="691"/>
      <c r="K340" s="695"/>
      <c r="L340" s="695"/>
      <c r="M340" s="695"/>
      <c r="N340" s="695"/>
      <c r="O340" s="695"/>
      <c r="P340" s="43"/>
      <c r="Q340" s="695"/>
      <c r="R340" s="43"/>
      <c r="S340" s="695"/>
      <c r="T340" s="43"/>
      <c r="U340" s="695"/>
      <c r="V340" s="43"/>
      <c r="W340" s="695"/>
      <c r="X340" s="43"/>
      <c r="Y340" s="695"/>
      <c r="Z340" s="43"/>
      <c r="AA340" s="695"/>
      <c r="AB340" s="43"/>
      <c r="AC340" s="695"/>
      <c r="AD340" s="43"/>
      <c r="AE340" s="695"/>
      <c r="AF340" s="43"/>
      <c r="AG340" s="695"/>
      <c r="AH340" s="9"/>
      <c r="AI340" s="695"/>
      <c r="AJ340" s="9"/>
      <c r="AK340" s="695"/>
      <c r="AL340" s="9"/>
      <c r="AM340" s="695"/>
      <c r="AN340" s="9"/>
      <c r="AO340" s="695"/>
      <c r="AP340" s="9"/>
      <c r="AQ340" s="695"/>
      <c r="AR340" s="9"/>
      <c r="AS340" s="695"/>
      <c r="AT340" s="9"/>
      <c r="AU340" s="695"/>
      <c r="AV340" s="9"/>
      <c r="AW340" s="695"/>
      <c r="AX340" s="9"/>
      <c r="AY340" s="287"/>
      <c r="AZ340" s="15"/>
      <c r="BA340" s="9"/>
      <c r="BB340" s="695"/>
      <c r="BC340" s="695"/>
      <c r="BD340" s="912"/>
      <c r="BE340" s="695"/>
      <c r="BF340" s="695"/>
      <c r="BG340" s="695"/>
      <c r="BH340" s="695"/>
      <c r="BI340" s="695"/>
      <c r="BJ340" s="695"/>
      <c r="BK340" s="695"/>
      <c r="BL340" s="695"/>
      <c r="BM340" s="695"/>
      <c r="BN340" s="695"/>
      <c r="BO340" s="695"/>
      <c r="BP340" s="695"/>
      <c r="BQ340" s="9"/>
      <c r="BR340" s="695"/>
      <c r="BS340" s="9"/>
      <c r="BT340" s="695"/>
      <c r="BU340" s="9"/>
      <c r="BV340" s="43"/>
      <c r="BW340" s="43"/>
      <c r="BX340" s="43"/>
      <c r="BY340"/>
      <c r="BZ340"/>
      <c r="CA340"/>
      <c r="CB340"/>
      <c r="CC340"/>
      <c r="CD340"/>
    </row>
    <row r="341" spans="1:82" s="7" customFormat="1" ht="12.75" customHeight="1" x14ac:dyDescent="0.2">
      <c r="A341" s="42"/>
      <c r="B341" s="7" t="s">
        <v>375</v>
      </c>
      <c r="C341" s="695"/>
      <c r="D341" s="691"/>
      <c r="E341" s="695"/>
      <c r="F341" s="691"/>
      <c r="G341" s="695"/>
      <c r="H341" s="691"/>
      <c r="I341" s="695"/>
      <c r="J341" s="691"/>
      <c r="K341" s="695"/>
      <c r="L341" s="695"/>
      <c r="M341" s="695"/>
      <c r="N341" s="695"/>
      <c r="O341" s="83"/>
      <c r="P341" s="43"/>
      <c r="Q341" s="83">
        <f>Q319/Q$303*400</f>
        <v>0.48467374810318664</v>
      </c>
      <c r="R341" s="43" t="str">
        <f t="shared" si="1862"/>
        <v>NA</v>
      </c>
      <c r="S341" s="83">
        <f t="shared" ref="S341:U341" si="2017">S319/S$303*400</f>
        <v>0.4299811676082862</v>
      </c>
      <c r="T341" s="43" t="str">
        <f t="shared" si="1863"/>
        <v>NA</v>
      </c>
      <c r="U341" s="83">
        <f t="shared" si="2017"/>
        <v>0.49721340388007051</v>
      </c>
      <c r="V341" s="43" t="str">
        <f t="shared" si="1889"/>
        <v>NA</v>
      </c>
      <c r="W341" s="83">
        <f>W319/W$303*400</f>
        <v>0.46145624582498329</v>
      </c>
      <c r="X341" s="43" t="str">
        <f t="shared" si="1890"/>
        <v>NA</v>
      </c>
      <c r="Y341" s="83">
        <f>Y319/Y$303*400</f>
        <v>0.43580494321977281</v>
      </c>
      <c r="Z341" s="43">
        <f t="shared" si="1890"/>
        <v>-10.082824802182117</v>
      </c>
      <c r="AA341" s="83">
        <f>AA319/AA$303*400</f>
        <v>0.37642770352369381</v>
      </c>
      <c r="AB341" s="43">
        <f t="shared" si="1890"/>
        <v>-12.454839448545272</v>
      </c>
      <c r="AC341" s="83">
        <f>AC319/AC$303*400</f>
        <v>0.3446995603321934</v>
      </c>
      <c r="AD341" s="43">
        <f t="shared" si="1890"/>
        <v>-30.673719243631652</v>
      </c>
      <c r="AE341" s="83">
        <f>AE319/AE$303*400</f>
        <v>0.28033911990310867</v>
      </c>
      <c r="AF341" s="43">
        <f t="shared" si="1891"/>
        <v>-39.249035539236587</v>
      </c>
      <c r="AG341" s="83">
        <f>AG319/AG$303*400</f>
        <v>0.28228730822873083</v>
      </c>
      <c r="AH341" s="9">
        <f t="shared" ref="AH341:AH351" si="2018">IF(ISERROR(AG341/Y341),"NA",IF(OR(AG341/Y341&gt;2,AG341/Y341&lt;0.5),"NM",AG341/Y341*100-100))</f>
        <v>-35.226226177435606</v>
      </c>
      <c r="AI341" s="83">
        <f>AI319/AI$303*400</f>
        <v>0.25670402656704022</v>
      </c>
      <c r="AJ341" s="9">
        <f t="shared" ref="AJ341:AJ344" si="2019">IF(ISERROR(AI341/AA341),"NA",IF(OR(AI341/AA341&gt;2,AI341/AA341&lt;0.5),"NM",AI341/AA341*100-100))</f>
        <v>-31.805224704753357</v>
      </c>
      <c r="AK341" s="83">
        <f>AK319/AK$303*400</f>
        <v>0.26688538035677667</v>
      </c>
      <c r="AL341" s="9">
        <f t="shared" ref="AL341:AL344" si="2020">IF(ISERROR(AK341/AC341),"NA",IF(OR(AK341/AC341&gt;2,AK341/AC341&lt;0.5),"NM",AK341/AC341*100-100))</f>
        <v>-22.574493538786584</v>
      </c>
      <c r="AM341" s="83">
        <f>AM319/AM$303*400</f>
        <v>0.23692307692307693</v>
      </c>
      <c r="AN341" s="9">
        <f t="shared" ref="AN341:AN344" si="2021">IF(ISERROR(AM341/AE341),"NA",IF(OR(AM341/AE341&gt;2,AM341/AE341&lt;0.5),"NM",AM341/AE341*100-100))</f>
        <v>-15.48697270471466</v>
      </c>
      <c r="AO341" s="83">
        <f>AO319/AO$303*400</f>
        <v>0.25706134094151212</v>
      </c>
      <c r="AP341" s="9">
        <f t="shared" ref="AP341:AP344" si="2022">IF(ISERROR(AO341/AG341),"NA",IF(OR(AO341/AG341&gt;2,AO341/AG341&lt;0.5),"NM",AO341/AG341*100-100))</f>
        <v>-8.9362739846520753</v>
      </c>
      <c r="AQ341" s="102">
        <v>0.25</v>
      </c>
      <c r="AR341" s="9">
        <f t="shared" ref="AR341:AR344" si="2023">IF(ISERROR(AQ341/AI341),"NA",IF(OR(AQ341/AI341&gt;2,AQ341/AI341&lt;0.5),"NM",AQ341/AI341*100-100))</f>
        <v>-2.6115782664941634</v>
      </c>
      <c r="AS341" s="102">
        <f t="shared" ref="AS341:AS342" si="2024">AQ341</f>
        <v>0.25</v>
      </c>
      <c r="AT341" s="9">
        <f t="shared" ref="AT341:AT344" si="2025">IF(ISERROR(AS341/AK341),"NA",IF(OR(AS341/AK341&gt;2,AS341/AK341&lt;0.5),"NM",AS341/AK341*100-100))</f>
        <v>-6.3268285187461402</v>
      </c>
      <c r="AU341" s="102">
        <f t="shared" ref="AU341:AU342" si="2026">AS341</f>
        <v>0.25</v>
      </c>
      <c r="AV341" s="9">
        <f t="shared" ref="AV341:AV344" si="2027">IF(ISERROR(AU341/AM341),"NA",IF(OR(AU341/AM341&gt;2,AU341/AM341&lt;0.5),"NM",AU341/AM341*100-100))</f>
        <v>5.5194805194805241</v>
      </c>
      <c r="AW341" s="102">
        <f t="shared" ref="AW341:AW342" si="2028">AU341</f>
        <v>0.25</v>
      </c>
      <c r="AX341" s="9">
        <f t="shared" ref="AX341:AX344" si="2029">IF(ISERROR(AW341/AO341),"NA",IF(OR(AW341/AO341&gt;2,AW341/AO341&lt;0.5),"NM",AW341/AO341*100-100))</f>
        <v>-2.7469478357380694</v>
      </c>
      <c r="AY341" s="287"/>
      <c r="AZ341" s="15"/>
      <c r="BA341" s="9"/>
      <c r="BB341" s="83"/>
      <c r="BC341" s="226" t="str">
        <f>IF(ISERROR(BB341/#REF!),"NA",IF(OR(BB341/#REF!&gt;2,BB341/#REF!&lt;0.5),"NM",BB341/#REF!*100-100))</f>
        <v>NA</v>
      </c>
      <c r="BD341" s="931"/>
      <c r="BE341" s="226" t="str">
        <f t="shared" ref="BE341:BE344" si="2030">IF(ISERROR(BD341/BB341),"NA",IF(OR(BD341/BB341&gt;2,BD341/BB341&lt;0.5),"NM",BD341/BB341*100-100))</f>
        <v>NA</v>
      </c>
      <c r="BF341" s="262">
        <f>BF319/BF$303*100</f>
        <v>0.49170108899737131</v>
      </c>
      <c r="BG341" s="226" t="str">
        <f t="shared" ref="BG341:BG344" si="2031">IF(ISERROR(BF341/BD341),"NA",IF(OR(BF341/BD341&gt;2,BF341/BD341&lt;0.5),"NM",BF341/BD341*100-100))</f>
        <v>NA</v>
      </c>
      <c r="BH341" s="83">
        <f t="shared" ref="BH341" si="2032">BH319/BH$303*100</f>
        <v>0.3143038193444323</v>
      </c>
      <c r="BI341" s="226">
        <f t="shared" ref="BI341:BS344" si="2033">IF(ISERROR(BH341/BF341),"NA",IF(OR(BH341/BF341&gt;2,BH341/BF341&lt;0.5),"NM",BH341/BF341*100-100))</f>
        <v>-36.07827471252304</v>
      </c>
      <c r="BJ341" s="83">
        <f t="shared" ref="BJ341" si="2034">BJ319/BJ$303*100</f>
        <v>0.25420670145832314</v>
      </c>
      <c r="BK341" s="226">
        <f t="shared" si="2033"/>
        <v>-19.1207087497245</v>
      </c>
      <c r="BL341" s="83">
        <f t="shared" ref="BL341" si="2035">BL319/BL$303*100</f>
        <v>0.25000000000000006</v>
      </c>
      <c r="BM341" s="226">
        <f t="shared" si="2033"/>
        <v>-1.6548349961626627</v>
      </c>
      <c r="BN341" s="690">
        <f>BL341*1.002</f>
        <v>0.25050000000000006</v>
      </c>
      <c r="BO341" s="226">
        <f t="shared" si="2033"/>
        <v>0.20000000000000284</v>
      </c>
      <c r="BP341" s="690">
        <f>BN341*1.004</f>
        <v>0.25150200000000006</v>
      </c>
      <c r="BQ341" s="226">
        <f t="shared" si="2033"/>
        <v>0.40000000000000568</v>
      </c>
      <c r="BR341" s="690">
        <f>BP341*1.004</f>
        <v>0.25250800800000006</v>
      </c>
      <c r="BS341" s="226">
        <f t="shared" si="2033"/>
        <v>0.40000000000000568</v>
      </c>
      <c r="BT341" s="690">
        <f>BR341*1.004</f>
        <v>0.25351804003200007</v>
      </c>
      <c r="BU341" s="226">
        <f t="shared" ref="BU341:BU344" si="2036">IF(ISERROR(BT341/BR341),"NA",IF(OR(BT341/BR341&gt;2,BT341/BR341&lt;0.5),"NM",BT341/BR341*100-100))</f>
        <v>0.40000000000000568</v>
      </c>
      <c r="BV341" s="43">
        <f>IF(ISERROR(((BT341/BJ341)^0.2-1)*100),"NA",IF((((BT341/BJ341)^0.2-1)*100)&gt;100,"NM",IF((((BT341/BJ341)^0.2-1)*100)&lt;-50,"NM",((BT341/BJ341)^0.2-1)*100)))</f>
        <v>-5.4240024983054358E-2</v>
      </c>
      <c r="BW341" s="43"/>
      <c r="BX341" s="43"/>
      <c r="BY341"/>
      <c r="BZ341"/>
      <c r="CA341"/>
      <c r="CB341"/>
      <c r="CC341"/>
      <c r="CD341"/>
    </row>
    <row r="342" spans="1:82" s="7" customFormat="1" ht="12.75" customHeight="1" x14ac:dyDescent="0.2">
      <c r="A342" s="42"/>
      <c r="B342" s="62" t="s">
        <v>198</v>
      </c>
      <c r="C342" s="695"/>
      <c r="D342" s="691"/>
      <c r="E342" s="695"/>
      <c r="F342" s="691"/>
      <c r="G342" s="695"/>
      <c r="H342" s="691"/>
      <c r="I342" s="695"/>
      <c r="J342" s="691"/>
      <c r="K342" s="695"/>
      <c r="L342" s="695"/>
      <c r="M342" s="695"/>
      <c r="N342" s="695"/>
      <c r="O342" s="83"/>
      <c r="P342" s="43"/>
      <c r="Q342" s="83">
        <f>Q320/Q303*400</f>
        <v>0.53748103186646434</v>
      </c>
      <c r="R342" s="43" t="str">
        <f t="shared" si="1862"/>
        <v>NA</v>
      </c>
      <c r="S342" s="83">
        <f>S320/S303*400</f>
        <v>0.32572504708097927</v>
      </c>
      <c r="T342" s="43" t="str">
        <f t="shared" si="1863"/>
        <v>NA</v>
      </c>
      <c r="U342" s="83">
        <f>U320/U303*400</f>
        <v>0.4292063492063492</v>
      </c>
      <c r="V342" s="43" t="str">
        <f t="shared" si="1889"/>
        <v>NA</v>
      </c>
      <c r="W342" s="83">
        <f>W320/W303*400</f>
        <v>0.40828323313293258</v>
      </c>
      <c r="X342" s="43" t="str">
        <f t="shared" si="1890"/>
        <v>NA</v>
      </c>
      <c r="Y342" s="83">
        <f>Y320/Y303*400</f>
        <v>0.40855043420173687</v>
      </c>
      <c r="Z342" s="43">
        <f t="shared" si="1890"/>
        <v>-23.987934461054607</v>
      </c>
      <c r="AA342" s="83">
        <f>AA320/AA303*400</f>
        <v>0.320048602673147</v>
      </c>
      <c r="AB342" s="43">
        <f t="shared" si="1890"/>
        <v>-1.7427104420437871</v>
      </c>
      <c r="AC342" s="83">
        <f>AC320/AC303*400</f>
        <v>0.27806546165119689</v>
      </c>
      <c r="AD342" s="43">
        <f t="shared" si="1890"/>
        <v>-35.214038150793627</v>
      </c>
      <c r="AE342" s="83">
        <f>AE320/AE303*400</f>
        <v>0.25966895438029874</v>
      </c>
      <c r="AF342" s="43">
        <f t="shared" si="1891"/>
        <v>-36.399799622495557</v>
      </c>
      <c r="AG342" s="83">
        <f>AG320/AG303*400</f>
        <v>0.21550109583582383</v>
      </c>
      <c r="AH342" s="9">
        <f t="shared" si="2018"/>
        <v>-47.252266110819448</v>
      </c>
      <c r="AI342" s="83">
        <f>AI320/AI303*400</f>
        <v>0.27679535076795347</v>
      </c>
      <c r="AJ342" s="9">
        <f t="shared" si="2019"/>
        <v>-13.514588579337243</v>
      </c>
      <c r="AK342" s="83">
        <f>AK320/AK303*400</f>
        <v>0.25704326430182484</v>
      </c>
      <c r="AL342" s="9">
        <f t="shared" si="2020"/>
        <v>-7.5601612744491575</v>
      </c>
      <c r="AM342" s="83">
        <f>AM320/AM303*400</f>
        <v>0.18569230769230768</v>
      </c>
      <c r="AN342" s="9">
        <f t="shared" si="2021"/>
        <v>-28.488829889016458</v>
      </c>
      <c r="AO342" s="83">
        <f>AO320/AO303*400</f>
        <v>0.22239657631954352</v>
      </c>
      <c r="AP342" s="9">
        <f t="shared" si="2022"/>
        <v>3.19974265419647</v>
      </c>
      <c r="AQ342" s="102">
        <v>0.21</v>
      </c>
      <c r="AR342" s="9">
        <f t="shared" si="2023"/>
        <v>-24.131673665266945</v>
      </c>
      <c r="AS342" s="102">
        <f t="shared" si="2024"/>
        <v>0.21</v>
      </c>
      <c r="AT342" s="9">
        <f t="shared" si="2025"/>
        <v>-18.301691129546896</v>
      </c>
      <c r="AU342" s="102">
        <f t="shared" si="2026"/>
        <v>0.21</v>
      </c>
      <c r="AV342" s="9">
        <f t="shared" si="2027"/>
        <v>13.090306545153268</v>
      </c>
      <c r="AW342" s="102">
        <f t="shared" si="2028"/>
        <v>0.21</v>
      </c>
      <c r="AX342" s="9">
        <f t="shared" si="2029"/>
        <v>-5.5740859525336788</v>
      </c>
      <c r="AY342" s="287"/>
      <c r="AZ342" s="15"/>
      <c r="BA342" s="9"/>
      <c r="BB342" s="83"/>
      <c r="BC342" s="9" t="str">
        <f>IF(ISERROR(BB342/#REF!),"NA",IF(OR(BB342/#REF!&gt;2,BB342/#REF!&lt;0.5),"NM",BB342/#REF!*100-100))</f>
        <v>NA</v>
      </c>
      <c r="BD342" s="931"/>
      <c r="BE342" s="9" t="str">
        <f t="shared" si="2030"/>
        <v>NA</v>
      </c>
      <c r="BF342" s="262">
        <f>BF320/BF303*100</f>
        <v>0.42500938790837395</v>
      </c>
      <c r="BG342" s="9" t="str">
        <f t="shared" si="2031"/>
        <v>NA</v>
      </c>
      <c r="BH342" s="83">
        <f>BH320/BH303*100</f>
        <v>0.262687942853851</v>
      </c>
      <c r="BI342" s="9">
        <f t="shared" si="2033"/>
        <v>-38.192437549054134</v>
      </c>
      <c r="BJ342" s="83">
        <f>BJ320/BJ303*100</f>
        <v>0.23411208115885479</v>
      </c>
      <c r="BK342" s="9">
        <f t="shared" si="2033"/>
        <v>-10.87825401674209</v>
      </c>
      <c r="BL342" s="83">
        <f>BL320/BL303*100</f>
        <v>0.21000000000000002</v>
      </c>
      <c r="BM342" s="9">
        <f t="shared" si="2033"/>
        <v>-10.299374999999984</v>
      </c>
      <c r="BN342" s="690">
        <f>BL342-0.001</f>
        <v>0.20900000000000002</v>
      </c>
      <c r="BO342" s="9">
        <f t="shared" si="2033"/>
        <v>-0.4761904761904816</v>
      </c>
      <c r="BP342" s="690">
        <f>BN342+0.004</f>
        <v>0.21300000000000002</v>
      </c>
      <c r="BQ342" s="9">
        <f t="shared" si="2033"/>
        <v>1.9138755980861362</v>
      </c>
      <c r="BR342" s="690">
        <f>BP342</f>
        <v>0.21300000000000002</v>
      </c>
      <c r="BS342" s="9">
        <f t="shared" si="2033"/>
        <v>0</v>
      </c>
      <c r="BT342" s="690">
        <f>BR342+0.004</f>
        <v>0.21700000000000003</v>
      </c>
      <c r="BU342" s="9">
        <f t="shared" si="2036"/>
        <v>1.8779342723004788</v>
      </c>
      <c r="BV342" s="43">
        <f>IF(ISERROR(((BT342/BJ342)^0.2-1)*100),"NA",IF((((BT342/BJ342)^0.2-1)*100)&gt;100,"NM",IF((((BT342/BJ342)^0.2-1)*100)&lt;-50,"NM",((BT342/BJ342)^0.2-1)*100)))</f>
        <v>-1.5065881965297345</v>
      </c>
      <c r="BW342" s="43"/>
      <c r="BX342" s="43"/>
      <c r="BY342"/>
      <c r="BZ342"/>
      <c r="CA342"/>
      <c r="CB342"/>
      <c r="CC342"/>
      <c r="CD342"/>
    </row>
    <row r="343" spans="1:82" s="7" customFormat="1" ht="12.75" customHeight="1" x14ac:dyDescent="0.2">
      <c r="A343" s="42"/>
      <c r="B343" s="62" t="s">
        <v>433</v>
      </c>
      <c r="C343" s="695"/>
      <c r="D343" s="691"/>
      <c r="E343" s="695"/>
      <c r="F343" s="691"/>
      <c r="G343" s="695"/>
      <c r="H343" s="691"/>
      <c r="I343" s="695"/>
      <c r="J343" s="691"/>
      <c r="K343" s="695"/>
      <c r="L343" s="695"/>
      <c r="M343" s="695"/>
      <c r="N343" s="695"/>
      <c r="O343" s="697"/>
      <c r="P343" s="43"/>
      <c r="Q343" s="83">
        <f>Q323/Q303*400</f>
        <v>0.48437025796661604</v>
      </c>
      <c r="R343" s="43" t="str">
        <f t="shared" si="1862"/>
        <v>NA</v>
      </c>
      <c r="S343" s="83">
        <f>S323/S303*400</f>
        <v>0.25702448210922785</v>
      </c>
      <c r="T343" s="43" t="str">
        <f t="shared" si="1863"/>
        <v>NA</v>
      </c>
      <c r="U343" s="83">
        <f>U323/U303*400</f>
        <v>0.46955908289241621</v>
      </c>
      <c r="V343" s="43" t="str">
        <f t="shared" si="1889"/>
        <v>NA</v>
      </c>
      <c r="W343" s="83">
        <f>W323/W303*400</f>
        <v>0.44061456245824987</v>
      </c>
      <c r="X343" s="43" t="str">
        <f t="shared" si="1890"/>
        <v>NA</v>
      </c>
      <c r="Y343" s="83">
        <f>Y323/Y303*400</f>
        <v>0.39652638610554442</v>
      </c>
      <c r="Z343" s="43">
        <f t="shared" si="1890"/>
        <v>-18.135686577834022</v>
      </c>
      <c r="AA343" s="83">
        <f>AA323/AA303*400</f>
        <v>0.31081409477521266</v>
      </c>
      <c r="AB343" s="43">
        <f t="shared" si="1890"/>
        <v>20.92781676849205</v>
      </c>
      <c r="AC343" s="83">
        <f>AC323/AC303*400</f>
        <v>0.29897410845139227</v>
      </c>
      <c r="AD343" s="43">
        <f t="shared" si="1890"/>
        <v>-36.328756200443422</v>
      </c>
      <c r="AE343" s="83">
        <f>AE323/AE303*400</f>
        <v>0.2396447315300767</v>
      </c>
      <c r="AF343" s="43">
        <f t="shared" si="1891"/>
        <v>-45.611254836184841</v>
      </c>
      <c r="AG343" s="83">
        <f>AG323/AG303*400</f>
        <v>0.23064355449292687</v>
      </c>
      <c r="AH343" s="9">
        <f t="shared" si="2018"/>
        <v>-41.833995775621368</v>
      </c>
      <c r="AI343" s="83">
        <f>AI323/AI303*400</f>
        <v>0.20639269406392693</v>
      </c>
      <c r="AJ343" s="9">
        <f t="shared" si="2019"/>
        <v>-33.596095694053218</v>
      </c>
      <c r="AK343" s="83">
        <f>AK323/AK303*400</f>
        <v>0.21619848267377487</v>
      </c>
      <c r="AL343" s="9">
        <f t="shared" si="2020"/>
        <v>-27.686553262546212</v>
      </c>
      <c r="AM343" s="83">
        <f>AM323/AM303*400</f>
        <v>0.14292307692307693</v>
      </c>
      <c r="AN343" s="9">
        <f t="shared" si="2021"/>
        <v>-40.360434376943807</v>
      </c>
      <c r="AO343" s="83">
        <f>AO323/AO303*400</f>
        <v>0.20313837375178317</v>
      </c>
      <c r="AP343" s="9">
        <f t="shared" si="2022"/>
        <v>-11.925406197287515</v>
      </c>
      <c r="AQ343" s="699">
        <f t="shared" ref="AQ343:AW343" si="2037">AQ341+AQ342-AQ344</f>
        <v>0.16999999999999998</v>
      </c>
      <c r="AR343" s="9">
        <f t="shared" si="2023"/>
        <v>-17.63274336283186</v>
      </c>
      <c r="AS343" s="699">
        <f t="shared" si="2037"/>
        <v>0.16999999999999998</v>
      </c>
      <c r="AT343" s="9">
        <f t="shared" si="2025"/>
        <v>-21.368550834597883</v>
      </c>
      <c r="AU343" s="699">
        <f t="shared" si="2037"/>
        <v>0.16999999999999998</v>
      </c>
      <c r="AV343" s="9">
        <f t="shared" si="2027"/>
        <v>18.945102260495133</v>
      </c>
      <c r="AW343" s="699">
        <f t="shared" si="2037"/>
        <v>0.17299999999999999</v>
      </c>
      <c r="AX343" s="9">
        <f t="shared" si="2029"/>
        <v>-14.836376404494388</v>
      </c>
      <c r="AY343" s="287"/>
      <c r="AZ343" s="15"/>
      <c r="BA343" s="9"/>
      <c r="BB343" s="83"/>
      <c r="BC343" s="226" t="str">
        <f>IF(ISERROR(BB343/#REF!),"NA",IF(OR(BB343/#REF!&gt;2,BB343/#REF!&lt;0.5),"NM",BB343/#REF!*100-100))</f>
        <v>NA</v>
      </c>
      <c r="BD343" s="931"/>
      <c r="BE343" s="226" t="str">
        <f t="shared" si="2030"/>
        <v>NA</v>
      </c>
      <c r="BF343" s="262">
        <f>BF323/BF303*100</f>
        <v>0.42433345850544496</v>
      </c>
      <c r="BG343" s="226" t="str">
        <f t="shared" si="2031"/>
        <v>NA</v>
      </c>
      <c r="BH343" s="83">
        <f>BH323/BH303*100</f>
        <v>0.26453136701422891</v>
      </c>
      <c r="BI343" s="226">
        <f t="shared" si="2033"/>
        <v>-37.659554835496309</v>
      </c>
      <c r="BJ343" s="83">
        <f>BJ323/BJ303*100</f>
        <v>0.19173779446910208</v>
      </c>
      <c r="BK343" s="226">
        <f t="shared" si="2033"/>
        <v>-27.517936102152802</v>
      </c>
      <c r="BL343" s="83">
        <f>BL323/BL303*100</f>
        <v>0.17075982884113863</v>
      </c>
      <c r="BM343" s="226">
        <f t="shared" si="2033"/>
        <v>-10.940965335524382</v>
      </c>
      <c r="BN343" s="690">
        <f>BL343</f>
        <v>0.17075982884113863</v>
      </c>
      <c r="BO343" s="226">
        <f t="shared" si="2033"/>
        <v>0</v>
      </c>
      <c r="BP343" s="690">
        <f>BN343</f>
        <v>0.17075982884113863</v>
      </c>
      <c r="BQ343" s="226">
        <f t="shared" si="2033"/>
        <v>0</v>
      </c>
      <c r="BR343" s="690">
        <f>BP343+0.006</f>
        <v>0.17675982884113864</v>
      </c>
      <c r="BS343" s="226">
        <f t="shared" si="2033"/>
        <v>3.5137069653436583</v>
      </c>
      <c r="BT343" s="690">
        <f>BR343+0.0055</f>
        <v>0.18225982884113864</v>
      </c>
      <c r="BU343" s="226">
        <f t="shared" si="2036"/>
        <v>3.111566715163022</v>
      </c>
      <c r="BV343" s="43">
        <f>IF(ISERROR(((BT343/BJ343)^0.2-1)*100),"NA",IF((((BT343/BJ343)^0.2-1)*100)&gt;100,"NM",IF((((BT343/BJ343)^0.2-1)*100)&lt;-50,"NM",((BT343/BJ343)^0.2-1)*100)))</f>
        <v>-1.0087869613534473</v>
      </c>
      <c r="BW343" s="43"/>
      <c r="BX343" s="43"/>
      <c r="BY343"/>
      <c r="BZ343"/>
      <c r="CA343"/>
      <c r="CB343"/>
      <c r="CC343"/>
      <c r="CD343"/>
    </row>
    <row r="344" spans="1:82" s="7" customFormat="1" ht="12.75" customHeight="1" x14ac:dyDescent="0.2">
      <c r="A344" s="42"/>
      <c r="B344" s="62" t="s">
        <v>426</v>
      </c>
      <c r="C344" s="695"/>
      <c r="D344" s="691"/>
      <c r="E344" s="695"/>
      <c r="F344" s="691"/>
      <c r="G344" s="695"/>
      <c r="H344" s="691"/>
      <c r="I344" s="695"/>
      <c r="J344" s="691"/>
      <c r="K344" s="695"/>
      <c r="L344" s="695"/>
      <c r="M344" s="695"/>
      <c r="N344" s="695"/>
      <c r="O344" s="697"/>
      <c r="P344" s="43"/>
      <c r="Q344" s="83">
        <f>Q322/Q303*400</f>
        <v>0.53778452200303484</v>
      </c>
      <c r="R344" s="43" t="str">
        <f t="shared" si="1862"/>
        <v>NA</v>
      </c>
      <c r="S344" s="83">
        <f>S322/S303*400</f>
        <v>0.49868173258003762</v>
      </c>
      <c r="T344" s="43" t="str">
        <f t="shared" si="1863"/>
        <v>NA</v>
      </c>
      <c r="U344" s="83">
        <f>U322/U303*400</f>
        <v>0.45686067019400339</v>
      </c>
      <c r="V344" s="43" t="str">
        <f t="shared" si="1889"/>
        <v>NA</v>
      </c>
      <c r="W344" s="83">
        <f>W322/W303*400</f>
        <v>0.429124916499666</v>
      </c>
      <c r="X344" s="43" t="str">
        <f t="shared" si="1890"/>
        <v>NA</v>
      </c>
      <c r="Y344" s="83">
        <f>Y322/Y303*400</f>
        <v>0.44782899131596526</v>
      </c>
      <c r="Z344" s="43">
        <f t="shared" si="1890"/>
        <v>-16.727058330355206</v>
      </c>
      <c r="AA344" s="83">
        <f>AA322/AA303*400</f>
        <v>0.38566221142162821</v>
      </c>
      <c r="AB344" s="43">
        <f t="shared" si="1890"/>
        <v>-22.663657754952951</v>
      </c>
      <c r="AC344" s="83">
        <f>AC322/AC303*400</f>
        <v>0.32379091353199801</v>
      </c>
      <c r="AD344" s="43">
        <f t="shared" si="1890"/>
        <v>-29.126988892586894</v>
      </c>
      <c r="AE344" s="83">
        <f>AE322/AE303*400</f>
        <v>0.30036334275333071</v>
      </c>
      <c r="AF344" s="43">
        <f t="shared" si="1891"/>
        <v>-30.005615799854297</v>
      </c>
      <c r="AG344" s="83">
        <f>AG322/AG303*400</f>
        <v>0.26714484957162787</v>
      </c>
      <c r="AH344" s="9">
        <f t="shared" si="2018"/>
        <v>-40.34668260609682</v>
      </c>
      <c r="AI344" s="83">
        <f>AI322/AI303*400</f>
        <v>0.32710668327106673</v>
      </c>
      <c r="AJ344" s="9">
        <f t="shared" si="2019"/>
        <v>-15.183112686802801</v>
      </c>
      <c r="AK344" s="83">
        <f>AK322/AK303*400</f>
        <v>0.30773016198482667</v>
      </c>
      <c r="AL344" s="9">
        <f t="shared" si="2020"/>
        <v>-4.9602230562854146</v>
      </c>
      <c r="AM344" s="83">
        <f>AM322/AM303*400</f>
        <v>0.27969230769230768</v>
      </c>
      <c r="AN344" s="9">
        <f t="shared" si="2021"/>
        <v>-6.8820099255583358</v>
      </c>
      <c r="AO344" s="83">
        <f>AO322/AO303*400</f>
        <v>0.27631954350927246</v>
      </c>
      <c r="AP344" s="9">
        <f t="shared" si="2022"/>
        <v>3.4343517954234812</v>
      </c>
      <c r="AQ344" s="698">
        <v>0.28999999999999998</v>
      </c>
      <c r="AR344" s="9">
        <f t="shared" si="2023"/>
        <v>-11.3439086294416</v>
      </c>
      <c r="AS344" s="698">
        <f t="shared" ref="AS344" si="2038">AQ344</f>
        <v>0.28999999999999998</v>
      </c>
      <c r="AT344" s="9">
        <f t="shared" si="2025"/>
        <v>-5.7615938166311196</v>
      </c>
      <c r="AU344" s="698">
        <f t="shared" ref="AU344" si="2039">AS344</f>
        <v>0.28999999999999998</v>
      </c>
      <c r="AV344" s="9">
        <f t="shared" si="2027"/>
        <v>3.6853685368536873</v>
      </c>
      <c r="AW344" s="698">
        <f>AU344-0.003</f>
        <v>0.28699999999999998</v>
      </c>
      <c r="AX344" s="9">
        <f t="shared" si="2029"/>
        <v>3.8652555498193095</v>
      </c>
      <c r="AY344" s="287"/>
      <c r="AZ344" s="15"/>
      <c r="BA344" s="9"/>
      <c r="BB344" s="83"/>
      <c r="BC344" s="9" t="str">
        <f>IF(ISERROR(BB344/#REF!),"NA",IF(OR(BB344/#REF!&gt;2,BB344/#REF!&lt;0.5),"NM",BB344/#REF!*100-100))</f>
        <v>NA</v>
      </c>
      <c r="BD344" s="931"/>
      <c r="BE344" s="9" t="str">
        <f t="shared" si="2030"/>
        <v>NA</v>
      </c>
      <c r="BF344" s="262">
        <f>BF322/BF303*100</f>
        <v>0.4923770184003004</v>
      </c>
      <c r="BG344" s="9" t="str">
        <f t="shared" si="2031"/>
        <v>NA</v>
      </c>
      <c r="BH344" s="83">
        <f>BH322/BH303*100</f>
        <v>0.31246039518405438</v>
      </c>
      <c r="BI344" s="9">
        <f t="shared" si="2033"/>
        <v>-36.54041851928487</v>
      </c>
      <c r="BJ344" s="83">
        <f>BJ322/BJ303*100</f>
        <v>0.29658098814807587</v>
      </c>
      <c r="BK344" s="9">
        <f t="shared" si="2033"/>
        <v>-5.0820543277572199</v>
      </c>
      <c r="BL344" s="83">
        <f>BL322/BL303*100</f>
        <v>0.28924017115886147</v>
      </c>
      <c r="BM344" s="9">
        <f t="shared" si="2033"/>
        <v>-2.475147525487813</v>
      </c>
      <c r="BN344" s="690">
        <f>BL344</f>
        <v>0.28924017115886147</v>
      </c>
      <c r="BO344" s="9">
        <f t="shared" si="2033"/>
        <v>0</v>
      </c>
      <c r="BP344" s="690">
        <f t="shared" ref="BP344" si="2040">BN344</f>
        <v>0.28924017115886147</v>
      </c>
      <c r="BQ344" s="9">
        <f t="shared" si="2033"/>
        <v>0</v>
      </c>
      <c r="BR344" s="690">
        <f t="shared" ref="BR344" si="2041">BP344</f>
        <v>0.28924017115886147</v>
      </c>
      <c r="BS344" s="9">
        <f t="shared" si="2033"/>
        <v>0</v>
      </c>
      <c r="BT344" s="690">
        <f>BR344</f>
        <v>0.28924017115886147</v>
      </c>
      <c r="BU344" s="9">
        <f t="shared" si="2036"/>
        <v>0</v>
      </c>
      <c r="BV344" s="43">
        <f>IF(ISERROR(((BT344/BJ344)^0.2-1)*100),"NA",IF((((BT344/BJ344)^0.2-1)*100)&gt;100,"NM",IF((((BT344/BJ344)^0.2-1)*100)&lt;-50,"NM",((BT344/BJ344)^0.2-1)*100)))</f>
        <v>-0.50000466003959909</v>
      </c>
      <c r="BW344" s="43"/>
      <c r="BX344" s="43"/>
      <c r="BY344"/>
      <c r="BZ344"/>
      <c r="CA344"/>
      <c r="CB344"/>
      <c r="CC344"/>
      <c r="CD344"/>
    </row>
    <row r="345" spans="1:82" s="7" customFormat="1" ht="12.75" customHeight="1" x14ac:dyDescent="0.2">
      <c r="A345" s="42"/>
      <c r="B345" s="67"/>
      <c r="C345" s="695"/>
      <c r="D345" s="691"/>
      <c r="E345" s="695"/>
      <c r="F345" s="691"/>
      <c r="G345" s="695"/>
      <c r="H345" s="691"/>
      <c r="I345" s="695"/>
      <c r="J345" s="691"/>
      <c r="K345" s="695"/>
      <c r="L345" s="695"/>
      <c r="M345" s="695"/>
      <c r="N345" s="695"/>
      <c r="O345" s="696"/>
      <c r="P345" s="43"/>
      <c r="Q345" s="707"/>
      <c r="R345" s="43"/>
      <c r="S345" s="707"/>
      <c r="T345" s="43"/>
      <c r="U345" s="707"/>
      <c r="V345" s="43"/>
      <c r="W345" s="707"/>
      <c r="X345" s="43"/>
      <c r="Y345" s="707"/>
      <c r="Z345" s="43"/>
      <c r="AA345" s="707"/>
      <c r="AB345" s="43"/>
      <c r="AC345" s="707"/>
      <c r="AD345" s="43"/>
      <c r="AE345" s="707"/>
      <c r="AF345" s="43"/>
      <c r="AG345" s="707"/>
      <c r="AH345" s="9"/>
      <c r="AI345" s="707"/>
      <c r="AJ345" s="9"/>
      <c r="AK345" s="707"/>
      <c r="AL345" s="9"/>
      <c r="AM345" s="707"/>
      <c r="AN345" s="9"/>
      <c r="AO345" s="707"/>
      <c r="AP345" s="9"/>
      <c r="AQ345" s="707"/>
      <c r="AR345" s="9"/>
      <c r="AS345" s="707"/>
      <c r="AT345" s="9"/>
      <c r="AU345" s="707"/>
      <c r="AV345" s="9"/>
      <c r="AW345" s="707"/>
      <c r="AX345" s="9"/>
      <c r="AY345" s="287"/>
      <c r="AZ345" s="15"/>
      <c r="BA345" s="9"/>
      <c r="BB345" s="695"/>
      <c r="BC345" s="695"/>
      <c r="BD345" s="912"/>
      <c r="BE345" s="695"/>
      <c r="BF345" s="695"/>
      <c r="BG345" s="695"/>
      <c r="BH345" s="695"/>
      <c r="BI345" s="695"/>
      <c r="BJ345" s="695"/>
      <c r="BK345" s="695"/>
      <c r="BL345" s="695"/>
      <c r="BM345" s="695"/>
      <c r="BN345" s="695"/>
      <c r="BO345" s="695"/>
      <c r="BP345" s="695"/>
      <c r="BQ345" s="9"/>
      <c r="BR345" s="695"/>
      <c r="BS345" s="9"/>
      <c r="BT345" s="695"/>
      <c r="BU345" s="9"/>
      <c r="BV345" s="43"/>
      <c r="BW345" s="43"/>
      <c r="BX345" s="43"/>
      <c r="BY345"/>
      <c r="BZ345"/>
      <c r="CA345"/>
      <c r="CB345"/>
      <c r="CC345"/>
      <c r="CD345"/>
    </row>
    <row r="346" spans="1:82" s="7" customFormat="1" ht="12.75" customHeight="1" x14ac:dyDescent="0.2">
      <c r="A346" s="42"/>
      <c r="B346" s="62" t="s">
        <v>384</v>
      </c>
      <c r="C346" s="695"/>
      <c r="D346" s="691"/>
      <c r="E346" s="695"/>
      <c r="F346" s="691"/>
      <c r="G346" s="695"/>
      <c r="H346" s="691"/>
      <c r="I346" s="695"/>
      <c r="J346" s="691"/>
      <c r="K346" s="695"/>
      <c r="L346" s="695"/>
      <c r="M346" s="695"/>
      <c r="N346" s="695"/>
      <c r="O346" s="697"/>
      <c r="P346" s="43"/>
      <c r="Q346" s="699">
        <f>Q324/Q$303*400</f>
        <v>6.7071320182094094E-2</v>
      </c>
      <c r="R346" s="43" t="str">
        <f t="shared" si="1862"/>
        <v>NA</v>
      </c>
      <c r="S346" s="699">
        <f t="shared" ref="S346:W347" si="2042">S324/S$303*400</f>
        <v>4.519774011299435E-2</v>
      </c>
      <c r="T346" s="43" t="str">
        <f t="shared" si="1863"/>
        <v>NA</v>
      </c>
      <c r="U346" s="699">
        <f t="shared" si="2042"/>
        <v>3.8659611992945327E-2</v>
      </c>
      <c r="V346" s="43" t="str">
        <f t="shared" si="1889"/>
        <v>NA</v>
      </c>
      <c r="W346" s="699">
        <f t="shared" si="2042"/>
        <v>3.6873747494989985E-2</v>
      </c>
      <c r="X346" s="43" t="str">
        <f t="shared" si="1890"/>
        <v>NA</v>
      </c>
      <c r="Y346" s="699">
        <f t="shared" ref="Y346:AA347" si="2043">Y324/Y$303*400</f>
        <v>3.820975283901136E-2</v>
      </c>
      <c r="Z346" s="43">
        <f t="shared" si="1890"/>
        <v>-43.031160359935562</v>
      </c>
      <c r="AA346" s="699">
        <f t="shared" si="2043"/>
        <v>2.9647630619684083E-2</v>
      </c>
      <c r="AB346" s="43">
        <f t="shared" si="1890"/>
        <v>-34.40461725394897</v>
      </c>
      <c r="AC346" s="699">
        <f t="shared" ref="AC346:AE347" si="2044">AC324/AC$303*400</f>
        <v>2.6380068392769906E-2</v>
      </c>
      <c r="AD346" s="43">
        <f t="shared" si="1890"/>
        <v>-31.763235498628944</v>
      </c>
      <c r="AE346" s="699">
        <f t="shared" si="2044"/>
        <v>2.2285022204279369E-2</v>
      </c>
      <c r="AF346" s="43">
        <f t="shared" si="1891"/>
        <v>-39.563988696003236</v>
      </c>
      <c r="AG346" s="699">
        <f t="shared" ref="AG346:AI347" si="2045">AG324/AG$303*400</f>
        <v>2.3112173739788803E-2</v>
      </c>
      <c r="AH346" s="9">
        <f t="shared" si="2018"/>
        <v>-39.512370474713578</v>
      </c>
      <c r="AI346" s="699">
        <f t="shared" si="2045"/>
        <v>2.0755500207555001E-2</v>
      </c>
      <c r="AJ346" s="9">
        <f t="shared" ref="AJ346:AJ349" si="2046">IF(ISERROR(AI346/AA346),"NA",IF(OR(AI346/AA346&gt;2,AI346/AA346&lt;0.5),"NM",AI346/AA346*100-100))</f>
        <v>-29.992718562222279</v>
      </c>
      <c r="AK346" s="699">
        <f t="shared" ref="AK346:AM347" si="2047">AK324/AK$303*400</f>
        <v>2.4605290137379533E-2</v>
      </c>
      <c r="AL346" s="9">
        <f t="shared" ref="AL346:AL349" si="2048">IF(ISERROR(AK346/AC346),"NA",IF(OR(AK346/AC346&gt;2,AK346/AC346&lt;0.5),"NM",AK346/AC346*100-100))</f>
        <v>-6.7277242384890599</v>
      </c>
      <c r="AM346" s="699">
        <f t="shared" si="2047"/>
        <v>2.4923076923076923E-2</v>
      </c>
      <c r="AN346" s="9">
        <f t="shared" ref="AN346:AN349" si="2049">IF(ISERROR(AM346/AE346),"NA",IF(OR(AM346/AE346&gt;2,AM346/AE346&lt;0.5),"NM",AM346/AE346*100-100))</f>
        <v>11.837792642140471</v>
      </c>
      <c r="AO346" s="699">
        <f t="shared" ref="AO346" si="2050">AO324/AO$303*400</f>
        <v>2.4536376604850217E-2</v>
      </c>
      <c r="AP346" s="9">
        <f t="shared" ref="AP346:AP349" si="2051">IF(ISERROR(AO346/AG346),"NA",IF(OR(AO346/AG346&gt;2,AO346/AG346&lt;0.5),"NM",AO346/AG346*100-100))</f>
        <v>6.1621329135717531</v>
      </c>
      <c r="AQ346" s="700">
        <f t="shared" ref="AQ346:AQ347" si="2052">AO346</f>
        <v>2.4536376604850217E-2</v>
      </c>
      <c r="AR346" s="9">
        <f t="shared" ref="AR346:AR349" si="2053">IF(ISERROR(AQ346/AI346),"NA",IF(OR(AQ346/AI346&gt;2,AQ346/AI346&lt;0.5),"NM",AQ346/AI346*100-100))</f>
        <v>18.216262482168347</v>
      </c>
      <c r="AS346" s="700">
        <f t="shared" ref="AS346:AS348" si="2054">AQ346</f>
        <v>2.4536376604850217E-2</v>
      </c>
      <c r="AT346" s="9">
        <f t="shared" ref="AT346:AT349" si="2055">IF(ISERROR(AS346/AK346),"NA",IF(OR(AS346/AK346&gt;2,AS346/AK346&lt;0.5),"NM",AS346/AK346*100-100))</f>
        <v>-0.28007608178789667</v>
      </c>
      <c r="AU346" s="700">
        <f t="shared" ref="AU346:AU348" si="2056">AS346</f>
        <v>2.4536376604850217E-2</v>
      </c>
      <c r="AV346" s="9">
        <f t="shared" ref="AV346:AV349" si="2057">IF(ISERROR(AU346/AM346),"NA",IF(OR(AU346/AM346&gt;2,AU346/AM346&lt;0.5),"NM",AU346/AM346*100-100))</f>
        <v>-1.5515753509096157</v>
      </c>
      <c r="AW346" s="700">
        <f t="shared" ref="AW346:AW348" si="2058">AU346</f>
        <v>2.4536376604850217E-2</v>
      </c>
      <c r="AX346" s="9">
        <f t="shared" ref="AX346:AX349" si="2059">IF(ISERROR(AW346/AO346),"NA",IF(OR(AW346/AO346&gt;2,AW346/AO346&lt;0.5),"NM",AW346/AO346*100-100))</f>
        <v>0</v>
      </c>
      <c r="AY346" s="287"/>
      <c r="AZ346" s="15"/>
      <c r="BA346" s="9"/>
      <c r="BB346" s="695"/>
      <c r="BC346" s="226" t="str">
        <f>IF(ISERROR(BB346/#REF!),"NA",IF(OR(BB346/#REF!&gt;2,BB346/#REF!&lt;0.5),"NM",BB346/#REF!*100-100))</f>
        <v>NA</v>
      </c>
      <c r="BD346" s="912"/>
      <c r="BE346" s="226" t="str">
        <f t="shared" ref="BE346:BS351" si="2060">IF(ISERROR(BD346/BB346),"NA",IF(OR(BD346/BB346&gt;2,BD346/BB346&lt;0.5),"NM",BD346/BB346*100-100))</f>
        <v>NA</v>
      </c>
      <c r="BF346" s="699">
        <f>BF324/BF$303*100</f>
        <v>4.2658655651520841E-2</v>
      </c>
      <c r="BG346" s="226" t="str">
        <f t="shared" ref="BG346:BG349" si="2061">IF(ISERROR(BF346/BD346),"NA",IF(OR(BF346/BD346&gt;2,BF346/BD346&lt;0.5),"NM",BF346/BD346*100-100))</f>
        <v>NA</v>
      </c>
      <c r="BH346" s="699">
        <f t="shared" ref="BH346:BH347" si="2062">BH324/BH$303*100</f>
        <v>2.4886226165101676E-2</v>
      </c>
      <c r="BI346" s="226">
        <f t="shared" ref="BI346:BS349" si="2063">IF(ISERROR(BH346/BF346),"NA",IF(OR(BH346/BF346&gt;2,BH346/BF346&lt;0.5),"NM",BH346/BF346*100-100))</f>
        <v>-41.661953980928025</v>
      </c>
      <c r="BJ346" s="699">
        <f t="shared" ref="BJ346:BJ347" si="2064">BJ324/BJ$303*100</f>
        <v>2.3762376237623766E-2</v>
      </c>
      <c r="BK346" s="226">
        <f t="shared" si="2063"/>
        <v>-4.5159515951594926</v>
      </c>
      <c r="BL346" s="699">
        <f t="shared" ref="BL346:BL347" si="2065">BL324/BL$303*100</f>
        <v>2.4536376604850217E-2</v>
      </c>
      <c r="BM346" s="226">
        <f t="shared" si="2063"/>
        <v>3.2572515454113216</v>
      </c>
      <c r="BN346" s="689">
        <f>BL346</f>
        <v>2.4536376604850217E-2</v>
      </c>
      <c r="BO346" s="226">
        <f t="shared" si="2063"/>
        <v>0</v>
      </c>
      <c r="BP346" s="689">
        <f t="shared" ref="BP346:BP347" si="2066">BN346</f>
        <v>2.4536376604850217E-2</v>
      </c>
      <c r="BQ346" s="226">
        <f t="shared" si="2063"/>
        <v>0</v>
      </c>
      <c r="BR346" s="689">
        <f t="shared" ref="BR346:BR347" si="2067">BP346</f>
        <v>2.4536376604850217E-2</v>
      </c>
      <c r="BS346" s="226">
        <f t="shared" si="2063"/>
        <v>0</v>
      </c>
      <c r="BT346" s="689">
        <f t="shared" ref="BT346:BT347" si="2068">BR346</f>
        <v>2.4536376604850217E-2</v>
      </c>
      <c r="BU346" s="226">
        <f t="shared" ref="BU346:BU349" si="2069">IF(ISERROR(BT346/BR346),"NA",IF(OR(BT346/BR346&gt;2,BT346/BR346&lt;0.5),"NM",BT346/BR346*100-100))</f>
        <v>0</v>
      </c>
      <c r="BV346" s="43">
        <f>IF(ISERROR(((BT346/BJ346)^0.2-1)*100),"NA",IF((((BT346/BJ346)^0.2-1)*100)&gt;100,"NM",IF((((BT346/BJ346)^0.2-1)*100)&lt;-50,"NM",((BT346/BJ346)^0.2-1)*100)))</f>
        <v>0.64312474845429346</v>
      </c>
      <c r="BW346" s="43"/>
      <c r="BX346" s="43"/>
      <c r="BY346"/>
      <c r="BZ346"/>
      <c r="CA346"/>
      <c r="CB346"/>
      <c r="CC346"/>
      <c r="CD346"/>
    </row>
    <row r="347" spans="1:82" s="7" customFormat="1" ht="12.75" customHeight="1" x14ac:dyDescent="0.2">
      <c r="A347" s="42"/>
      <c r="B347" s="62" t="s">
        <v>385</v>
      </c>
      <c r="C347" s="695"/>
      <c r="D347" s="691"/>
      <c r="E347" s="695"/>
      <c r="F347" s="691"/>
      <c r="G347" s="695"/>
      <c r="H347" s="691"/>
      <c r="I347" s="695"/>
      <c r="J347" s="691"/>
      <c r="K347" s="695"/>
      <c r="L347" s="695"/>
      <c r="M347" s="695"/>
      <c r="N347" s="695"/>
      <c r="O347" s="697"/>
      <c r="P347" s="43"/>
      <c r="Q347" s="697">
        <f>Q325/Q$303*400</f>
        <v>-3.3687405159332329E-2</v>
      </c>
      <c r="R347" s="43" t="str">
        <f t="shared" si="1862"/>
        <v>NA</v>
      </c>
      <c r="S347" s="697">
        <f t="shared" si="2042"/>
        <v>-1.6873822975517889E-2</v>
      </c>
      <c r="T347" s="43" t="str">
        <f t="shared" si="1863"/>
        <v>NA</v>
      </c>
      <c r="U347" s="697">
        <f t="shared" si="2042"/>
        <v>-7.6190476190476199E-3</v>
      </c>
      <c r="V347" s="43" t="str">
        <f t="shared" si="1889"/>
        <v>NA</v>
      </c>
      <c r="W347" s="697">
        <f t="shared" si="2042"/>
        <v>-8.5504342017368087E-3</v>
      </c>
      <c r="X347" s="43" t="str">
        <f t="shared" si="1890"/>
        <v>NA</v>
      </c>
      <c r="Y347" s="697">
        <f t="shared" si="2043"/>
        <v>-9.6192384769539074E-3</v>
      </c>
      <c r="Z347" s="43" t="str">
        <f t="shared" si="1890"/>
        <v>NM</v>
      </c>
      <c r="AA347" s="697">
        <f t="shared" si="2043"/>
        <v>-4.1312272174969609E-3</v>
      </c>
      <c r="AB347" s="43" t="str">
        <f t="shared" si="1890"/>
        <v>NM</v>
      </c>
      <c r="AC347" s="697">
        <f t="shared" si="2044"/>
        <v>-3.9081582804103565E-3</v>
      </c>
      <c r="AD347" s="43">
        <f t="shared" si="1890"/>
        <v>-48.705422569614079</v>
      </c>
      <c r="AE347" s="697">
        <f t="shared" si="2044"/>
        <v>2.5837706903512306E-3</v>
      </c>
      <c r="AF347" s="43" t="str">
        <f t="shared" si="1891"/>
        <v>NM</v>
      </c>
      <c r="AG347" s="697">
        <f t="shared" si="2045"/>
        <v>-6.3757720661486406E-4</v>
      </c>
      <c r="AH347" s="9" t="str">
        <f t="shared" si="2018"/>
        <v>NM</v>
      </c>
      <c r="AI347" s="697">
        <f t="shared" si="2045"/>
        <v>1.3283520132835198E-3</v>
      </c>
      <c r="AJ347" s="9" t="str">
        <f t="shared" si="2046"/>
        <v>NM</v>
      </c>
      <c r="AK347" s="697">
        <f t="shared" si="2047"/>
        <v>1.6403526758252966E-4</v>
      </c>
      <c r="AL347" s="9" t="str">
        <f t="shared" si="2048"/>
        <v>NM</v>
      </c>
      <c r="AM347" s="697">
        <f t="shared" si="2047"/>
        <v>-7.6923076923076923E-4</v>
      </c>
      <c r="AN347" s="9" t="str">
        <f t="shared" si="2049"/>
        <v>NM</v>
      </c>
      <c r="AO347" s="697">
        <f t="shared" ref="AO347" si="2070">AO325/AO$303*400</f>
        <v>-3.5663338088445067E-3</v>
      </c>
      <c r="AP347" s="9" t="str">
        <f t="shared" si="2051"/>
        <v>NM</v>
      </c>
      <c r="AQ347" s="698">
        <f t="shared" si="2052"/>
        <v>-3.5663338088445067E-3</v>
      </c>
      <c r="AR347" s="9" t="str">
        <f t="shared" si="2053"/>
        <v>NM</v>
      </c>
      <c r="AS347" s="698">
        <f t="shared" si="2054"/>
        <v>-3.5663338088445067E-3</v>
      </c>
      <c r="AT347" s="9" t="str">
        <f t="shared" si="2055"/>
        <v>NM</v>
      </c>
      <c r="AU347" s="698">
        <f t="shared" si="2056"/>
        <v>-3.5663338088445067E-3</v>
      </c>
      <c r="AV347" s="9" t="str">
        <f t="shared" si="2057"/>
        <v>NM</v>
      </c>
      <c r="AW347" s="698">
        <f t="shared" si="2058"/>
        <v>-3.5663338088445067E-3</v>
      </c>
      <c r="AX347" s="9">
        <f t="shared" si="2059"/>
        <v>0</v>
      </c>
      <c r="AY347" s="287"/>
      <c r="AZ347" s="15"/>
      <c r="BA347" s="9"/>
      <c r="BB347" s="695"/>
      <c r="BC347" s="9" t="str">
        <f>IF(ISERROR(BB347/#REF!),"NA",IF(OR(BB347/#REF!&gt;2,BB347/#REF!&lt;0.5),"NM",BB347/#REF!*100-100))</f>
        <v>NA</v>
      </c>
      <c r="BD347" s="912"/>
      <c r="BE347" s="9" t="str">
        <f t="shared" si="2060"/>
        <v>NA</v>
      </c>
      <c r="BF347" s="697">
        <f>BF325/BF$303*100</f>
        <v>-1.1340593315809238E-2</v>
      </c>
      <c r="BG347" s="9" t="str">
        <f t="shared" si="2061"/>
        <v>NA</v>
      </c>
      <c r="BH347" s="697">
        <f t="shared" si="2062"/>
        <v>-1.1521401002361888E-3</v>
      </c>
      <c r="BI347" s="9" t="str">
        <f t="shared" si="2063"/>
        <v>NM</v>
      </c>
      <c r="BJ347" s="697">
        <f t="shared" si="2064"/>
        <v>-8.1939228405599157E-4</v>
      </c>
      <c r="BK347" s="9">
        <f t="shared" si="2063"/>
        <v>-28.880846705360213</v>
      </c>
      <c r="BL347" s="697">
        <f t="shared" si="2065"/>
        <v>-3.5663338088445071E-3</v>
      </c>
      <c r="BM347" s="9" t="str">
        <f t="shared" si="2063"/>
        <v>NM</v>
      </c>
      <c r="BN347" s="688">
        <f>BL347</f>
        <v>-3.5663338088445071E-3</v>
      </c>
      <c r="BO347" s="9">
        <f t="shared" si="2063"/>
        <v>0</v>
      </c>
      <c r="BP347" s="688">
        <f t="shared" si="2066"/>
        <v>-3.5663338088445071E-3</v>
      </c>
      <c r="BQ347" s="9">
        <f t="shared" si="2063"/>
        <v>0</v>
      </c>
      <c r="BR347" s="688">
        <f t="shared" si="2067"/>
        <v>-3.5663338088445071E-3</v>
      </c>
      <c r="BS347" s="9">
        <f t="shared" si="2063"/>
        <v>0</v>
      </c>
      <c r="BT347" s="688">
        <f t="shared" si="2068"/>
        <v>-3.5663338088445071E-3</v>
      </c>
      <c r="BU347" s="9">
        <f t="shared" si="2069"/>
        <v>0</v>
      </c>
      <c r="BV347" s="43">
        <f>IF(ISERROR(((BT347/BJ347)^0.2-1)*100),"NA",IF((((BT347/BJ347)^0.2-1)*100)&gt;100,"NM",IF((((BT347/BJ347)^0.2-1)*100)&lt;-50,"NM",((BT347/BJ347)^0.2-1)*100)))</f>
        <v>34.197994035422361</v>
      </c>
      <c r="BW347" s="43"/>
      <c r="BX347" s="43"/>
      <c r="BY347"/>
      <c r="BZ347"/>
      <c r="CA347"/>
      <c r="CB347"/>
      <c r="CC347"/>
      <c r="CD347"/>
    </row>
    <row r="348" spans="1:82" s="7" customFormat="1" ht="12.75" customHeight="1" x14ac:dyDescent="0.2">
      <c r="A348" s="42"/>
      <c r="B348" s="62" t="s">
        <v>264</v>
      </c>
      <c r="C348" s="695"/>
      <c r="D348" s="691"/>
      <c r="E348" s="695"/>
      <c r="F348" s="691"/>
      <c r="G348" s="695"/>
      <c r="H348" s="691"/>
      <c r="I348" s="695"/>
      <c r="J348" s="691"/>
      <c r="K348" s="695"/>
      <c r="L348" s="695"/>
      <c r="M348" s="695"/>
      <c r="N348" s="695"/>
      <c r="O348" s="697"/>
      <c r="P348" s="43"/>
      <c r="Q348" s="697">
        <f>Q326/Q303*400</f>
        <v>0.26858877086494692</v>
      </c>
      <c r="R348" s="43" t="str">
        <f t="shared" si="1862"/>
        <v>NA</v>
      </c>
      <c r="S348" s="697">
        <f>S326/S303*400</f>
        <v>0.22568738229755181</v>
      </c>
      <c r="T348" s="43" t="str">
        <f t="shared" si="1863"/>
        <v>NA</v>
      </c>
      <c r="U348" s="697">
        <f>U326/U303*400</f>
        <v>0.2215167548500882</v>
      </c>
      <c r="V348" s="43" t="str">
        <f t="shared" si="1889"/>
        <v>NA</v>
      </c>
      <c r="W348" s="697">
        <f>W326/W303*400</f>
        <v>0.27628590514362061</v>
      </c>
      <c r="X348" s="43" t="str">
        <f t="shared" si="1890"/>
        <v>NA</v>
      </c>
      <c r="Y348" s="697">
        <f>Y326/Y303*400</f>
        <v>0.23807615230460921</v>
      </c>
      <c r="Z348" s="43">
        <f t="shared" si="1890"/>
        <v>-11.360347814272629</v>
      </c>
      <c r="AA348" s="697">
        <f>AA326/AA303*400</f>
        <v>0.19416767922235723</v>
      </c>
      <c r="AB348" s="43">
        <f t="shared" si="1890"/>
        <v>-13.966090064192528</v>
      </c>
      <c r="AC348" s="697">
        <f>AC326/AC303*400</f>
        <v>0.16394723986321447</v>
      </c>
      <c r="AD348" s="43">
        <f t="shared" si="1890"/>
        <v>-25.988785826080743</v>
      </c>
      <c r="AE348" s="697">
        <f>AE326/AE303*400</f>
        <v>0.13807024626564393</v>
      </c>
      <c r="AF348" s="43" t="str">
        <f t="shared" si="1891"/>
        <v>NM</v>
      </c>
      <c r="AG348" s="697">
        <f>AG326/AG303*400</f>
        <v>0.13835425383542538</v>
      </c>
      <c r="AH348" s="9">
        <f t="shared" si="2018"/>
        <v>-41.886554996736315</v>
      </c>
      <c r="AI348" s="697">
        <f>AI326/AI303*400</f>
        <v>0.13565794935657949</v>
      </c>
      <c r="AJ348" s="9">
        <f t="shared" si="2046"/>
        <v>-30.133609311348607</v>
      </c>
      <c r="AK348" s="697">
        <f>AK326/AK303*400</f>
        <v>0.15288086938691819</v>
      </c>
      <c r="AL348" s="9">
        <f t="shared" si="2048"/>
        <v>-6.749958392425043</v>
      </c>
      <c r="AM348" s="697">
        <f>AM326/AM303*400</f>
        <v>0.14215384615384616</v>
      </c>
      <c r="AN348" s="9">
        <f t="shared" si="2049"/>
        <v>2.9576248313090332</v>
      </c>
      <c r="AO348" s="697">
        <f>AO326/AO303*400</f>
        <v>0.14279600570613413</v>
      </c>
      <c r="AP348" s="9">
        <f t="shared" si="2051"/>
        <v>3.2104194468731464</v>
      </c>
      <c r="AQ348" s="698">
        <f>AO348</f>
        <v>0.14279600570613413</v>
      </c>
      <c r="AR348" s="9">
        <f t="shared" si="2053"/>
        <v>5.2618046958620397</v>
      </c>
      <c r="AS348" s="698">
        <f t="shared" si="2054"/>
        <v>0.14279600570613413</v>
      </c>
      <c r="AT348" s="9">
        <f t="shared" si="2055"/>
        <v>-6.5965504521437737</v>
      </c>
      <c r="AU348" s="698">
        <f t="shared" si="2056"/>
        <v>0.14279600570613413</v>
      </c>
      <c r="AV348" s="9">
        <f t="shared" si="2057"/>
        <v>0.45173561578700117</v>
      </c>
      <c r="AW348" s="698">
        <f t="shared" si="2058"/>
        <v>0.14279600570613413</v>
      </c>
      <c r="AX348" s="9">
        <f t="shared" si="2059"/>
        <v>0</v>
      </c>
      <c r="AY348" s="287"/>
      <c r="AZ348" s="15"/>
      <c r="BA348" s="9"/>
      <c r="BB348" s="695"/>
      <c r="BC348" s="226" t="str">
        <f>IF(ISERROR(BB348/#REF!),"NA",IF(OR(BB348/#REF!&gt;2,BB348/#REF!&lt;0.5),"NM",BB348/#REF!*100-100))</f>
        <v>NA</v>
      </c>
      <c r="BD348" s="912"/>
      <c r="BE348" s="226" t="str">
        <f t="shared" si="2060"/>
        <v>NA</v>
      </c>
      <c r="BF348" s="697">
        <f>BF326/BF303*100</f>
        <v>0.25978220052572282</v>
      </c>
      <c r="BG348" s="226" t="str">
        <f t="shared" si="2061"/>
        <v>NA</v>
      </c>
      <c r="BH348" s="697">
        <f>BH326/BH303*100</f>
        <v>0.15489371507575322</v>
      </c>
      <c r="BI348" s="226">
        <f t="shared" si="2063"/>
        <v>-40.375547376881912</v>
      </c>
      <c r="BJ348" s="697">
        <f>BJ326/BJ303*100</f>
        <v>0.14335463102960544</v>
      </c>
      <c r="BK348" s="226">
        <f t="shared" si="2063"/>
        <v>-7.4496786654670899</v>
      </c>
      <c r="BL348" s="697">
        <f>BL326/BL303*100</f>
        <v>0.14279600570613415</v>
      </c>
      <c r="BM348" s="226">
        <f t="shared" si="2063"/>
        <v>-0.38968069566996633</v>
      </c>
      <c r="BN348" s="690">
        <f>BL348</f>
        <v>0.14279600570613415</v>
      </c>
      <c r="BO348" s="226">
        <f t="shared" si="2063"/>
        <v>0</v>
      </c>
      <c r="BP348" s="690">
        <f>BN348</f>
        <v>0.14279600570613415</v>
      </c>
      <c r="BQ348" s="226">
        <f t="shared" si="2063"/>
        <v>0</v>
      </c>
      <c r="BR348" s="690">
        <f>BP348</f>
        <v>0.14279600570613415</v>
      </c>
      <c r="BS348" s="226">
        <f t="shared" si="2063"/>
        <v>0</v>
      </c>
      <c r="BT348" s="690">
        <f>BR348-0.01</f>
        <v>0.13279600570613415</v>
      </c>
      <c r="BU348" s="226">
        <f t="shared" si="2069"/>
        <v>-7.0029970029970059</v>
      </c>
      <c r="BV348" s="43">
        <f>IF(ISERROR(((BT348/BJ348)^0.2-1)*100),"NA",IF((((BT348/BJ348)^0.2-1)*100)&gt;100,"NM",IF((((BT348/BJ348)^0.2-1)*100)&lt;-50,"NM",((BT348/BJ348)^0.2-1)*100)))</f>
        <v>-1.5184995064106865</v>
      </c>
      <c r="BW348" s="43"/>
      <c r="BX348" s="43"/>
      <c r="BY348"/>
      <c r="BZ348"/>
      <c r="CA348"/>
      <c r="CB348"/>
      <c r="CC348"/>
      <c r="CD348"/>
    </row>
    <row r="349" spans="1:82" s="7" customFormat="1" ht="12.75" customHeight="1" x14ac:dyDescent="0.2">
      <c r="A349" s="42"/>
      <c r="B349" s="62" t="s">
        <v>427</v>
      </c>
      <c r="C349" s="695"/>
      <c r="D349" s="691"/>
      <c r="E349" s="695"/>
      <c r="F349" s="691"/>
      <c r="G349" s="695"/>
      <c r="H349" s="691"/>
      <c r="I349" s="695"/>
      <c r="J349" s="691"/>
      <c r="K349" s="695"/>
      <c r="L349" s="695"/>
      <c r="M349" s="695"/>
      <c r="N349" s="695"/>
      <c r="O349" s="697"/>
      <c r="P349" s="43"/>
      <c r="Q349" s="697">
        <f>Q346+Q347+Q348</f>
        <v>0.3019726858877087</v>
      </c>
      <c r="R349" s="43" t="str">
        <f t="shared" si="1862"/>
        <v>NA</v>
      </c>
      <c r="S349" s="697">
        <f t="shared" ref="S349:W349" si="2071">S346+S347+S348</f>
        <v>0.25401129943502826</v>
      </c>
      <c r="T349" s="43" t="str">
        <f t="shared" si="1863"/>
        <v>NA</v>
      </c>
      <c r="U349" s="697">
        <f t="shared" si="2071"/>
        <v>0.25255731922398589</v>
      </c>
      <c r="V349" s="43" t="str">
        <f t="shared" si="1889"/>
        <v>NA</v>
      </c>
      <c r="W349" s="697">
        <f t="shared" si="2071"/>
        <v>0.30460921843687377</v>
      </c>
      <c r="X349" s="43" t="str">
        <f t="shared" si="1890"/>
        <v>NA</v>
      </c>
      <c r="Y349" s="697">
        <f t="shared" ref="Y349:AA349" si="2072">Y346+Y347+Y348</f>
        <v>0.26666666666666666</v>
      </c>
      <c r="Z349" s="43">
        <f t="shared" si="1890"/>
        <v>-11.691792294807385</v>
      </c>
      <c r="AA349" s="697">
        <f t="shared" si="2072"/>
        <v>0.21968408262454436</v>
      </c>
      <c r="AB349" s="43">
        <f t="shared" si="1890"/>
        <v>-13.514051101992095</v>
      </c>
      <c r="AC349" s="697">
        <f t="shared" ref="AC349:AE349" si="2073">AC346+AC347+AC348</f>
        <v>0.18641914997557402</v>
      </c>
      <c r="AD349" s="43">
        <f t="shared" si="1890"/>
        <v>-26.18738963955974</v>
      </c>
      <c r="AE349" s="697">
        <f t="shared" si="2073"/>
        <v>0.16293903916027452</v>
      </c>
      <c r="AF349" s="43">
        <f t="shared" si="1891"/>
        <v>-46.508828591462517</v>
      </c>
      <c r="AG349" s="697">
        <f t="shared" ref="AG349:AI349" si="2074">AG346+AG347+AG348</f>
        <v>0.16082885036859931</v>
      </c>
      <c r="AH349" s="9">
        <f t="shared" si="2018"/>
        <v>-39.689181111775248</v>
      </c>
      <c r="AI349" s="697">
        <f t="shared" si="2074"/>
        <v>0.15774180157741802</v>
      </c>
      <c r="AJ349" s="9">
        <f t="shared" si="2046"/>
        <v>-28.196071516473992</v>
      </c>
      <c r="AK349" s="697">
        <f t="shared" ref="AK349:AM349" si="2075">AK346+AK347+AK348</f>
        <v>0.17765019479188027</v>
      </c>
      <c r="AL349" s="9">
        <f t="shared" si="2048"/>
        <v>-4.7038918398902325</v>
      </c>
      <c r="AM349" s="697">
        <f t="shared" si="2075"/>
        <v>0.16630769230769232</v>
      </c>
      <c r="AN349" s="9">
        <f t="shared" si="2049"/>
        <v>2.0674315773423899</v>
      </c>
      <c r="AO349" s="697">
        <f t="shared" ref="AO349" si="2076">AO346+AO347+AO348</f>
        <v>0.16376604850213983</v>
      </c>
      <c r="AP349" s="9">
        <f t="shared" si="2051"/>
        <v>1.8262880862536974</v>
      </c>
      <c r="AQ349" s="697">
        <f t="shared" ref="AQ349:AW349" si="2077">AQ346+AQ347+AQ348</f>
        <v>0.16376604850213983</v>
      </c>
      <c r="AR349" s="9">
        <f t="shared" si="2053"/>
        <v>3.8190554846460003</v>
      </c>
      <c r="AS349" s="697">
        <f t="shared" si="2077"/>
        <v>0.16376604850213983</v>
      </c>
      <c r="AT349" s="9">
        <f t="shared" si="2055"/>
        <v>-7.8154410728375012</v>
      </c>
      <c r="AU349" s="697">
        <f t="shared" si="2077"/>
        <v>0.16376604850213983</v>
      </c>
      <c r="AV349" s="9">
        <f t="shared" si="2057"/>
        <v>-1.5282779589353481</v>
      </c>
      <c r="AW349" s="697">
        <f t="shared" si="2077"/>
        <v>0.16376604850213983</v>
      </c>
      <c r="AX349" s="9">
        <f t="shared" si="2059"/>
        <v>0</v>
      </c>
      <c r="AY349" s="287"/>
      <c r="AZ349" s="15"/>
      <c r="BA349" s="9"/>
      <c r="BB349" s="695"/>
      <c r="BC349" s="9" t="str">
        <f>IF(ISERROR(BB349/#REF!),"NA",IF(OR(BB349/#REF!&gt;2,BB349/#REF!&lt;0.5),"NM",BB349/#REF!*100-100))</f>
        <v>NA</v>
      </c>
      <c r="BD349" s="912"/>
      <c r="BE349" s="9" t="str">
        <f t="shared" si="2060"/>
        <v>NA</v>
      </c>
      <c r="BF349" s="697">
        <f>BF346+BF347+BF348</f>
        <v>0.29110026286143442</v>
      </c>
      <c r="BG349" s="9" t="str">
        <f t="shared" si="2061"/>
        <v>NA</v>
      </c>
      <c r="BH349" s="697">
        <f t="shared" ref="BH349" si="2078">BH346+BH347+BH348</f>
        <v>0.17862780114061871</v>
      </c>
      <c r="BI349" s="9">
        <f t="shared" si="2063"/>
        <v>-38.637018261420572</v>
      </c>
      <c r="BJ349" s="697">
        <f t="shared" ref="BJ349" si="2079">BJ346+BJ347+BJ348</f>
        <v>0.16629761498317322</v>
      </c>
      <c r="BK349" s="9">
        <f t="shared" si="2063"/>
        <v>-6.9027251518026418</v>
      </c>
      <c r="BL349" s="697">
        <f t="shared" ref="BL349" si="2080">BL346+BL347+BL348</f>
        <v>0.16376604850213985</v>
      </c>
      <c r="BM349" s="9">
        <f t="shared" si="2063"/>
        <v>-1.5223107567053944</v>
      </c>
      <c r="BN349" s="697">
        <f t="shared" ref="BN349:BP349" si="2081">SUM(BN346:BN348)</f>
        <v>0.16376604850213985</v>
      </c>
      <c r="BO349" s="9">
        <f t="shared" si="2063"/>
        <v>0</v>
      </c>
      <c r="BP349" s="697">
        <f t="shared" si="2081"/>
        <v>0.16376604850213985</v>
      </c>
      <c r="BQ349" s="9">
        <f t="shared" si="2063"/>
        <v>0</v>
      </c>
      <c r="BR349" s="697">
        <f t="shared" ref="BR349:BT349" si="2082">SUM(BR346:BR348)</f>
        <v>0.16376604850213985</v>
      </c>
      <c r="BS349" s="9">
        <f t="shared" si="2063"/>
        <v>0</v>
      </c>
      <c r="BT349" s="697">
        <f t="shared" si="2082"/>
        <v>0.15376604850213985</v>
      </c>
      <c r="BU349" s="9">
        <f t="shared" si="2069"/>
        <v>-6.1062717770034851</v>
      </c>
      <c r="BV349" s="43">
        <f>IF(ISERROR(((BT349/BJ349)^0.2-1)*100),"NA",IF((((BT349/BJ349)^0.2-1)*100)&gt;100,"NM",IF((((BT349/BJ349)^0.2-1)*100)&lt;-50,"NM",((BT349/BJ349)^0.2-1)*100)))</f>
        <v>-1.5547226944347514</v>
      </c>
      <c r="BW349" s="43"/>
      <c r="BX349" s="43"/>
      <c r="BY349"/>
      <c r="BZ349"/>
      <c r="CA349"/>
      <c r="CB349"/>
      <c r="CC349"/>
      <c r="CD349"/>
    </row>
    <row r="350" spans="1:82" s="7" customFormat="1" ht="12.75" customHeight="1" x14ac:dyDescent="0.2">
      <c r="A350" s="42"/>
      <c r="B350" s="62"/>
      <c r="C350" s="695"/>
      <c r="D350" s="691"/>
      <c r="E350" s="695"/>
      <c r="F350" s="691"/>
      <c r="G350" s="695"/>
      <c r="H350" s="691"/>
      <c r="I350" s="695"/>
      <c r="J350" s="691"/>
      <c r="K350" s="695"/>
      <c r="L350" s="695"/>
      <c r="M350" s="695"/>
      <c r="N350" s="695"/>
      <c r="O350" s="694"/>
      <c r="P350" s="43"/>
      <c r="Q350" s="694"/>
      <c r="R350" s="43"/>
      <c r="S350" s="694"/>
      <c r="T350" s="43"/>
      <c r="U350" s="694"/>
      <c r="V350" s="43"/>
      <c r="W350" s="694"/>
      <c r="X350" s="43"/>
      <c r="Y350" s="694"/>
      <c r="Z350" s="43"/>
      <c r="AA350" s="694"/>
      <c r="AB350" s="43"/>
      <c r="AC350" s="694"/>
      <c r="AD350" s="43"/>
      <c r="AE350" s="694"/>
      <c r="AF350" s="43"/>
      <c r="AG350" s="694"/>
      <c r="AH350" s="9"/>
      <c r="AI350" s="694"/>
      <c r="AJ350" s="9"/>
      <c r="AK350" s="694"/>
      <c r="AL350" s="9"/>
      <c r="AM350" s="694"/>
      <c r="AN350" s="9"/>
      <c r="AO350" s="694"/>
      <c r="AP350" s="9"/>
      <c r="AQ350" s="694"/>
      <c r="AR350" s="9"/>
      <c r="AS350" s="694"/>
      <c r="AT350" s="9"/>
      <c r="AU350" s="694"/>
      <c r="AV350" s="9"/>
      <c r="AW350" s="694"/>
      <c r="AX350" s="9"/>
      <c r="AY350" s="287"/>
      <c r="AZ350" s="15"/>
      <c r="BA350" s="9"/>
      <c r="BB350" s="695"/>
      <c r="BC350" s="695"/>
      <c r="BD350" s="912"/>
      <c r="BE350" s="695"/>
      <c r="BF350" s="694"/>
      <c r="BG350" s="694"/>
      <c r="BH350" s="694"/>
      <c r="BI350" s="694"/>
      <c r="BJ350" s="694"/>
      <c r="BK350" s="694"/>
      <c r="BL350" s="694"/>
      <c r="BM350" s="694"/>
      <c r="BN350" s="694"/>
      <c r="BO350" s="694"/>
      <c r="BP350" s="694"/>
      <c r="BQ350" s="9"/>
      <c r="BR350" s="694"/>
      <c r="BS350" s="9"/>
      <c r="BT350" s="694"/>
      <c r="BU350" s="9"/>
      <c r="BV350" s="43"/>
      <c r="BW350" s="43"/>
      <c r="BX350" s="43"/>
      <c r="BY350"/>
      <c r="BZ350"/>
      <c r="CA350"/>
      <c r="CB350"/>
      <c r="CC350"/>
      <c r="CD350"/>
    </row>
    <row r="351" spans="1:82" s="7" customFormat="1" ht="12.75" customHeight="1" x14ac:dyDescent="0.2">
      <c r="A351" s="42"/>
      <c r="B351" s="62" t="s">
        <v>365</v>
      </c>
      <c r="C351" s="695"/>
      <c r="D351" s="691"/>
      <c r="E351" s="695"/>
      <c r="F351" s="691"/>
      <c r="G351" s="695"/>
      <c r="H351" s="691"/>
      <c r="I351" s="695"/>
      <c r="J351" s="691"/>
      <c r="K351" s="695"/>
      <c r="L351" s="695"/>
      <c r="M351" s="695"/>
      <c r="N351" s="695"/>
      <c r="O351" s="697"/>
      <c r="P351" s="43"/>
      <c r="Q351" s="697">
        <f>+Q330/Q303*400</f>
        <v>0.2352048558421849</v>
      </c>
      <c r="R351" s="43" t="str">
        <f t="shared" si="1862"/>
        <v>NA</v>
      </c>
      <c r="S351" s="697">
        <f>+S330/S303*400</f>
        <v>0.24346516007532942</v>
      </c>
      <c r="T351" s="43" t="str">
        <f t="shared" si="1863"/>
        <v>NA</v>
      </c>
      <c r="U351" s="697">
        <f>+U330/U303*400</f>
        <v>0.20373897707231026</v>
      </c>
      <c r="V351" s="43" t="str">
        <f t="shared" si="1889"/>
        <v>NA</v>
      </c>
      <c r="W351" s="697">
        <f>+W330/W303*400</f>
        <v>0.13627254509018027</v>
      </c>
      <c r="X351" s="43" t="str">
        <f t="shared" si="1890"/>
        <v>NA</v>
      </c>
      <c r="Y351" s="697">
        <f>+Y330/Y303*400</f>
        <v>0.17982631930527718</v>
      </c>
      <c r="Z351" s="43">
        <f t="shared" si="1890"/>
        <v>-23.544810050207886</v>
      </c>
      <c r="AA351" s="697">
        <f>+AA330/AA303*400</f>
        <v>0.16524908869987853</v>
      </c>
      <c r="AB351" s="43">
        <f t="shared" si="1890"/>
        <v>-32.126186494712599</v>
      </c>
      <c r="AC351" s="697">
        <f>+AC330/AC303*400</f>
        <v>0.13659013190034192</v>
      </c>
      <c r="AD351" s="43">
        <f t="shared" si="1890"/>
        <v>-32.958271478969948</v>
      </c>
      <c r="AE351" s="697">
        <f>+AE330/AE303*400</f>
        <v>0.13597093257973356</v>
      </c>
      <c r="AF351" s="43">
        <f t="shared" si="1891"/>
        <v>-0.22133035693074987</v>
      </c>
      <c r="AG351" s="697">
        <f>+AG330/AG303*400</f>
        <v>0.10520023909145255</v>
      </c>
      <c r="AH351" s="9">
        <f t="shared" si="2018"/>
        <v>-41.498975512665481</v>
      </c>
      <c r="AI351" s="697">
        <f>+AI330/AI303*400</f>
        <v>0.16753839767538389</v>
      </c>
      <c r="AJ351" s="9">
        <f t="shared" ref="AJ351" si="2083">IF(ISERROR(AI351/AA351),"NA",IF(OR(AI351/AA351&gt;2,AI351/AA351&lt;0.5),"NM",AI351/AA351*100-100))</f>
        <v>1.385368593265369</v>
      </c>
      <c r="AK351" s="697">
        <f>+AK330/AK303*400</f>
        <v>0.12860364978470362</v>
      </c>
      <c r="AL351" s="9">
        <f t="shared" ref="AL351" si="2084">IF(ISERROR(AK351/AC351),"NA",IF(OR(AK351/AC351&gt;2,AK351/AC351&lt;0.5),"NM",AK351/AC351*100-100))</f>
        <v>-5.8470418064061533</v>
      </c>
      <c r="AM351" s="697">
        <f>+AM330/AM303*400</f>
        <v>0.11138461538461536</v>
      </c>
      <c r="AN351" s="9">
        <f t="shared" ref="AN351" si="2085">IF(ISERROR(AM351/AE351),"NA",IF(OR(AM351/AE351&gt;2,AM351/AE351&lt;0.5),"NM",AM351/AE351*100-100))</f>
        <v>-18.082039101041502</v>
      </c>
      <c r="AO351" s="697">
        <f>+AO330/AO303*400</f>
        <v>0.11169757489301005</v>
      </c>
      <c r="AP351" s="9">
        <f t="shared" ref="AP351" si="2086">IF(ISERROR(AO351/AG351),"NA",IF(OR(AO351/AG351&gt;2,AO351/AG351&lt;0.5),"NM",AO351/AG351*100-100))</f>
        <v>6.176160679548687</v>
      </c>
      <c r="AQ351" s="697">
        <f t="shared" ref="AQ351:AW351" si="2087">+AQ330/AQ303*400</f>
        <v>0.12527399749407406</v>
      </c>
      <c r="AR351" s="9">
        <f t="shared" ref="AR351" si="2088">IF(ISERROR(AQ351/AI351),"NA",IF(OR(AQ351/AI351&gt;2,AQ351/AI351&lt;0.5),"NM",AQ351/AI351*100-100))</f>
        <v>-25.226694756386379</v>
      </c>
      <c r="AS351" s="697">
        <f t="shared" si="2087"/>
        <v>0.1252739974940742</v>
      </c>
      <c r="AT351" s="9">
        <f t="shared" ref="AT351" si="2089">IF(ISERROR(AS351/AK351),"NA",IF(OR(AS351/AK351&gt;2,AS351/AK351&lt;0.5),"NM",AS351/AK351*100-100))</f>
        <v>-2.5890807113201078</v>
      </c>
      <c r="AU351" s="697">
        <f t="shared" si="2087"/>
        <v>0.12527399749407411</v>
      </c>
      <c r="AV351" s="9">
        <f t="shared" ref="AV351" si="2090">IF(ISERROR(AU351/AM351),"NA",IF(OR(AU351/AM351&gt;2,AU351/AM351&lt;0.5),"NM",AU351/AM351*100-100))</f>
        <v>12.469749131420159</v>
      </c>
      <c r="AW351" s="697">
        <f t="shared" si="2087"/>
        <v>0.12229681118228709</v>
      </c>
      <c r="AX351" s="9">
        <f t="shared" ref="AX351" si="2091">IF(ISERROR(AW351/AO351),"NA",IF(OR(AW351/AO351&gt;2,AW351/AO351&lt;0.5),"NM",AW351/AO351*100-100))</f>
        <v>9.4892268694549244</v>
      </c>
      <c r="AY351" s="287"/>
      <c r="AZ351" s="15"/>
      <c r="BA351" s="9"/>
      <c r="BB351" s="695"/>
      <c r="BC351" s="9" t="str">
        <f>IF(ISERROR(BB351/#REF!),"NA",IF(OR(BB351/#REF!&gt;2,BB351/#REF!&lt;0.5),"NM",BB351/#REF!*100-100))</f>
        <v>NA</v>
      </c>
      <c r="BD351" s="912"/>
      <c r="BE351" s="9" t="str">
        <f t="shared" si="2060"/>
        <v>NA</v>
      </c>
      <c r="BF351" s="697">
        <f>+BF330/BF303*100</f>
        <v>0.20375516334960564</v>
      </c>
      <c r="BG351" s="9" t="str">
        <f t="shared" si="2060"/>
        <v>NA</v>
      </c>
      <c r="BH351" s="697">
        <f>+BH330/BH303*100</f>
        <v>0.13277262515121843</v>
      </c>
      <c r="BI351" s="9">
        <f t="shared" si="2060"/>
        <v>-34.837172728032655</v>
      </c>
      <c r="BJ351" s="697">
        <f>+BJ330/BJ303*100</f>
        <v>0.12876164463737011</v>
      </c>
      <c r="BK351" s="9">
        <f t="shared" si="2060"/>
        <v>-3.0209393760800509</v>
      </c>
      <c r="BL351" s="697">
        <f>+BL330/BL303*100</f>
        <v>0.12451994681902782</v>
      </c>
      <c r="BM351" s="9">
        <f t="shared" si="2060"/>
        <v>-3.2942246352072715</v>
      </c>
      <c r="BN351" s="697">
        <f>+BN330/BN303*100</f>
        <v>0.12402374910039672</v>
      </c>
      <c r="BO351" s="9">
        <f t="shared" si="2060"/>
        <v>-0.39848854043623305</v>
      </c>
      <c r="BP351" s="697">
        <f>+BP330/BP303*100</f>
        <v>0.12898771107758308</v>
      </c>
      <c r="BQ351" s="9">
        <f t="shared" si="2060"/>
        <v>4.0024285777460591</v>
      </c>
      <c r="BR351" s="697">
        <f>+BR330/BR303*100</f>
        <v>0.12403169620305822</v>
      </c>
      <c r="BS351" s="9">
        <f t="shared" si="2060"/>
        <v>-3.8422380187395788</v>
      </c>
      <c r="BT351" s="697">
        <f>+BT330/BT303*100</f>
        <v>0.12354545422721042</v>
      </c>
      <c r="BU351" s="9">
        <f t="shared" ref="BU351" si="2092">IF(ISERROR(BT351/BR351),"NA",IF(OR(BT351/BR351&gt;2,BT351/BR351&lt;0.5),"NM",BT351/BR351*100-100))</f>
        <v>-0.3920304170086979</v>
      </c>
      <c r="BV351" s="43">
        <f>IF(ISERROR(((BT351/BJ351)^0.2-1)*100),"NA",IF((((BT351/BJ351)^0.2-1)*100)&gt;100,"NM",IF((((BT351/BJ351)^0.2-1)*100)&lt;-50,"NM",((BT351/BJ351)^0.2-1)*100)))</f>
        <v>-0.82366593899335649</v>
      </c>
      <c r="BW351" s="43"/>
      <c r="BX351" s="43"/>
      <c r="BY351"/>
      <c r="BZ351"/>
      <c r="CA351"/>
      <c r="CB351"/>
      <c r="CC351"/>
      <c r="CD351"/>
    </row>
    <row r="352" spans="1:82" s="7" customFormat="1" ht="12.75" customHeight="1" x14ac:dyDescent="0.2">
      <c r="A352" s="42"/>
      <c r="B352" s="62" t="s">
        <v>330</v>
      </c>
      <c r="C352" s="695"/>
      <c r="D352" s="691"/>
      <c r="E352" s="695"/>
      <c r="F352" s="691"/>
      <c r="G352" s="695"/>
      <c r="H352" s="691"/>
      <c r="I352" s="695"/>
      <c r="J352" s="691"/>
      <c r="K352" s="695"/>
      <c r="L352" s="695"/>
      <c r="M352" s="695"/>
      <c r="N352" s="695"/>
      <c r="O352" s="697"/>
      <c r="P352" s="43"/>
      <c r="Q352" s="697"/>
      <c r="R352" s="43"/>
      <c r="S352" s="697"/>
      <c r="T352" s="43"/>
      <c r="U352" s="697"/>
      <c r="V352" s="43"/>
      <c r="W352" s="697"/>
      <c r="X352" s="43"/>
      <c r="Y352" s="697"/>
      <c r="Z352" s="43"/>
      <c r="AA352" s="697"/>
      <c r="AB352" s="43"/>
      <c r="AC352" s="697"/>
      <c r="AD352" s="43"/>
      <c r="AE352" s="697"/>
      <c r="AF352" s="43"/>
      <c r="AG352" s="697"/>
      <c r="AH352" s="9"/>
      <c r="AI352" s="697"/>
      <c r="AJ352" s="9"/>
      <c r="AK352" s="697"/>
      <c r="AL352" s="9"/>
      <c r="AM352" s="697"/>
      <c r="AN352" s="9"/>
      <c r="AO352" s="697"/>
      <c r="AP352" s="9"/>
      <c r="AQ352" s="697"/>
      <c r="AR352" s="9"/>
      <c r="AS352" s="697"/>
      <c r="AT352" s="9"/>
      <c r="AU352" s="697"/>
      <c r="AV352" s="9"/>
      <c r="AW352" s="697"/>
      <c r="AX352" s="9"/>
      <c r="AY352" s="287"/>
      <c r="AZ352" s="15"/>
      <c r="BA352" s="9"/>
      <c r="BB352" s="695"/>
      <c r="BC352" s="695"/>
      <c r="BD352" s="912"/>
      <c r="BE352" s="695"/>
      <c r="BF352" s="695"/>
      <c r="BG352" s="695"/>
      <c r="BH352" s="695"/>
      <c r="BI352" s="695"/>
      <c r="BJ352" s="695"/>
      <c r="BK352" s="695"/>
      <c r="BL352" s="695"/>
      <c r="BM352" s="695"/>
      <c r="BN352" s="695"/>
      <c r="BO352" s="695"/>
      <c r="BP352" s="695"/>
      <c r="BQ352" s="9"/>
      <c r="BR352" s="695"/>
      <c r="BS352" s="9"/>
      <c r="BT352" s="695"/>
      <c r="BU352" s="9"/>
      <c r="BV352" s="43"/>
      <c r="BW352" s="43"/>
      <c r="BX352" s="43"/>
      <c r="BY352"/>
      <c r="BZ352"/>
      <c r="CA352"/>
      <c r="CB352"/>
      <c r="CC352"/>
      <c r="CD352"/>
    </row>
    <row r="353" spans="1:83" s="7" customFormat="1" ht="12.75" customHeight="1" x14ac:dyDescent="0.2">
      <c r="A353" s="42"/>
      <c r="B353" s="62"/>
      <c r="C353" s="695"/>
      <c r="D353" s="691"/>
      <c r="E353" s="695"/>
      <c r="F353" s="691"/>
      <c r="G353" s="695"/>
      <c r="H353" s="691"/>
      <c r="I353" s="695"/>
      <c r="J353" s="691"/>
      <c r="K353" s="695"/>
      <c r="L353" s="695"/>
      <c r="M353" s="695"/>
      <c r="N353" s="695"/>
      <c r="O353" s="697"/>
      <c r="P353" s="43"/>
      <c r="Q353" s="697"/>
      <c r="R353" s="43"/>
      <c r="S353" s="697"/>
      <c r="T353" s="43"/>
      <c r="U353" s="697"/>
      <c r="V353" s="43"/>
      <c r="W353" s="697"/>
      <c r="X353" s="43"/>
      <c r="Y353" s="697"/>
      <c r="Z353" s="43"/>
      <c r="AA353" s="697"/>
      <c r="AB353" s="43"/>
      <c r="AC353" s="697"/>
      <c r="AD353" s="43"/>
      <c r="AE353" s="697"/>
      <c r="AF353" s="43"/>
      <c r="AG353" s="697"/>
      <c r="AH353" s="9"/>
      <c r="AI353" s="697"/>
      <c r="AJ353" s="9"/>
      <c r="AK353" s="697"/>
      <c r="AL353" s="9"/>
      <c r="AM353" s="697"/>
      <c r="AN353" s="9"/>
      <c r="AO353" s="697"/>
      <c r="AP353" s="9"/>
      <c r="AQ353" s="697"/>
      <c r="AR353" s="9"/>
      <c r="AS353" s="697"/>
      <c r="AT353" s="9"/>
      <c r="AU353" s="697"/>
      <c r="AV353" s="9"/>
      <c r="AW353" s="697"/>
      <c r="AX353" s="9"/>
      <c r="AY353" s="287"/>
      <c r="AZ353" s="15"/>
      <c r="BA353" s="9"/>
      <c r="BB353" s="695"/>
      <c r="BC353" s="695"/>
      <c r="BD353" s="912"/>
      <c r="BE353" s="695"/>
      <c r="BF353" s="695"/>
      <c r="BG353" s="695"/>
      <c r="BH353" s="695"/>
      <c r="BI353" s="695"/>
      <c r="BJ353" s="695"/>
      <c r="BK353" s="695"/>
      <c r="BL353" s="695"/>
      <c r="BM353" s="695"/>
      <c r="BN353" s="695"/>
      <c r="BO353" s="695"/>
      <c r="BP353" s="695"/>
      <c r="BQ353" s="9"/>
      <c r="BR353" s="695"/>
      <c r="BS353" s="9"/>
      <c r="BT353" s="695"/>
      <c r="BU353" s="9"/>
      <c r="BV353" s="43"/>
      <c r="BW353" s="43"/>
      <c r="BX353" s="43"/>
      <c r="BY353"/>
      <c r="BZ353"/>
      <c r="CA353"/>
      <c r="CB353"/>
      <c r="CC353"/>
      <c r="CD353"/>
    </row>
    <row r="354" spans="1:83" s="7" customFormat="1" ht="12.75" customHeight="1" x14ac:dyDescent="0.2">
      <c r="A354" s="42"/>
      <c r="B354" s="62" t="s">
        <v>637</v>
      </c>
      <c r="C354" s="695"/>
      <c r="D354" s="691"/>
      <c r="E354" s="695"/>
      <c r="F354" s="691"/>
      <c r="G354" s="695"/>
      <c r="H354" s="691"/>
      <c r="I354" s="695"/>
      <c r="J354" s="691"/>
      <c r="K354" s="695"/>
      <c r="L354" s="695"/>
      <c r="M354" s="694"/>
      <c r="N354" s="695"/>
      <c r="O354" s="694">
        <f>O330/(O316)*100</f>
        <v>46.651480637813215</v>
      </c>
      <c r="P354" s="43"/>
      <c r="Q354" s="694">
        <f>Q330/(Q316)*100</f>
        <v>37.694552529182843</v>
      </c>
      <c r="R354" s="43" t="str">
        <f t="shared" si="1862"/>
        <v>NA</v>
      </c>
      <c r="S354" s="694">
        <f>S339/(S316)*100</f>
        <v>42.28152799581369</v>
      </c>
      <c r="T354" s="43" t="str">
        <f t="shared" si="1863"/>
        <v>NA</v>
      </c>
      <c r="U354" s="694">
        <f>U339/(U316)*100</f>
        <v>37.274135260712413</v>
      </c>
      <c r="V354" s="43" t="str">
        <f t="shared" si="1889"/>
        <v>NA</v>
      </c>
      <c r="W354" s="694">
        <f>W339/(W316)*100</f>
        <v>34.055981312241286</v>
      </c>
      <c r="X354" s="43">
        <f t="shared" si="1890"/>
        <v>-26.999141620732786</v>
      </c>
      <c r="Y354" s="694">
        <f>Y339/(Y316)*100</f>
        <v>34.495130702203994</v>
      </c>
      <c r="Z354" s="43">
        <f t="shared" si="1890"/>
        <v>-8.4877564855077736</v>
      </c>
      <c r="AA354" s="694">
        <f>AA339/(AA316)*100</f>
        <v>36.81645912290201</v>
      </c>
      <c r="AB354" s="43">
        <f t="shared" si="1890"/>
        <v>-12.925428980364146</v>
      </c>
      <c r="AC354" s="694">
        <f>AC339/(AC316)*100</f>
        <v>36.105371900826434</v>
      </c>
      <c r="AD354" s="43">
        <f t="shared" si="1890"/>
        <v>-3.1355881275611353</v>
      </c>
      <c r="AE354" s="694">
        <f>AE339/(AE316)*100</f>
        <v>39.471243042671631</v>
      </c>
      <c r="AF354" s="43">
        <f t="shared" si="1891"/>
        <v>15.9010591437101</v>
      </c>
      <c r="AG354" s="694">
        <f>AG339/(AG316)*100</f>
        <v>38.928210313447948</v>
      </c>
      <c r="AH354" s="9">
        <f t="shared" ref="AH354:AH357" si="2093">IF(ISERROR(AG354/Y354),"NA",IF(OR(AG354/Y354&gt;2,AG354/Y354&lt;0.5),"NM",AG354/Y354*100-100))</f>
        <v>12.851319942848377</v>
      </c>
      <c r="AI354" s="694">
        <f>AI339/(AI316)*100</f>
        <v>39.042599912165109</v>
      </c>
      <c r="AJ354" s="9">
        <f t="shared" ref="AJ354:AJ357" si="2094">IF(ISERROR(AI354/AA354),"NA",IF(OR(AI354/AA354&gt;2,AI354/AA354&lt;0.5),"NM",AI354/AA354*100-100))</f>
        <v>6.0465912320131423</v>
      </c>
      <c r="AK354" s="694">
        <f>AK339/(AK316)*100</f>
        <v>37.874659400544935</v>
      </c>
      <c r="AL354" s="9">
        <f t="shared" ref="AL354:AL357" si="2095">IF(ISERROR(AK354/AC354),"NA",IF(OR(AK354/AC354&gt;2,AK354/AC354&lt;0.5),"NM",AK354/AC354*100-100))</f>
        <v>4.900344205228933</v>
      </c>
      <c r="AM354" s="694">
        <f>AM339/(AM316)*100</f>
        <v>35.762711864406775</v>
      </c>
      <c r="AN354" s="9">
        <f t="shared" ref="AN354:AN357" si="2096">IF(ISERROR(AM354/AE354),"NA",IF(OR(AM354/AE354&gt;2,AM354/AE354&lt;0.5),"NM",AM354/AE354*100-100))</f>
        <v>-9.3955266984007295</v>
      </c>
      <c r="AO354" s="694">
        <f>AO339/(AO316)*100</f>
        <v>32.885342293154153</v>
      </c>
      <c r="AP354" s="9">
        <f t="shared" ref="AP354:AP357" si="2097">IF(ISERROR(AO354/AG354),"NA",IF(OR(AO354/AG354&gt;2,AO354/AG354&lt;0.5),"NM",AO354/AG354*100-100))</f>
        <v>-15.523107719663798</v>
      </c>
      <c r="AQ354" s="694">
        <f>AQ339/(AQ316)*100</f>
        <v>36.882432693551408</v>
      </c>
      <c r="AR354" s="9">
        <f t="shared" ref="AR354:AR357" si="2098">IF(ISERROR(AQ354/AI354),"NA",IF(OR(AQ354/AI354&gt;2,AQ354/AI354&lt;0.5),"NM",AQ354/AI354*100-100))</f>
        <v>-5.5328467455381372</v>
      </c>
      <c r="AS354" s="694">
        <f>AS339/(AS316)*100</f>
        <v>36.882432693551451</v>
      </c>
      <c r="AT354" s="9">
        <f t="shared" ref="AT354:AT357" si="2099">IF(ISERROR(AS354/AK354),"NA",IF(OR(AS354/AK354&gt;2,AS354/AK354&lt;0.5),"NM",AS354/AK354*100-100))</f>
        <v>-2.6197640393281176</v>
      </c>
      <c r="AU354" s="694">
        <f>AU339/(AU316)*100</f>
        <v>36.882432693551422</v>
      </c>
      <c r="AV354" s="9">
        <f t="shared" ref="AV354:AV357" si="2100">IF(ISERROR(AU354/AM354),"NA",IF(OR(AU354/AM354&gt;2,AU354/AM354&lt;0.5),"NM",AU354/AM354*100-100))</f>
        <v>3.1309729345750696</v>
      </c>
      <c r="AW354" s="694">
        <f>AW339/(AW316)*100</f>
        <v>36.005907030148357</v>
      </c>
      <c r="AX354" s="9">
        <f t="shared" ref="AX354:AX357" si="2101">IF(ISERROR(AW354/AO354),"NA",IF(OR(AW354/AO354&gt;2,AW354/AO354&lt;0.5),"NM",AW354/AO354*100-100))</f>
        <v>9.4892268694549102</v>
      </c>
      <c r="AY354" s="287"/>
      <c r="AZ354" s="15"/>
      <c r="BA354" s="9"/>
      <c r="BB354" s="694">
        <f t="shared" ref="BB354:BD355" si="2102">BB330/(BB321-BB323)*100</f>
        <v>46.449984222152111</v>
      </c>
      <c r="BC354" s="9" t="str">
        <f>IF(ISERROR(BB354/#REF!),"NA",IF(OR(BB354/#REF!&gt;2,BB354/#REF!&lt;0.5),"NM",BB354/#REF!*100-100))</f>
        <v>NA</v>
      </c>
      <c r="BD354" s="916">
        <f t="shared" si="2102"/>
        <v>49.191073919107382</v>
      </c>
      <c r="BE354" s="9">
        <f t="shared" ref="BE354:BE357" si="2103">IF(ISERROR(BD354/BB354),"NA",IF(OR(BD354/BB354&gt;2,BD354/BB354&lt;0.5),"NM",BD354/BB354*100-100))</f>
        <v>5.9011638924261263</v>
      </c>
      <c r="BF354" s="694">
        <f>BF339/(BF316)*100</f>
        <v>37.02749829638833</v>
      </c>
      <c r="BG354" s="9">
        <f t="shared" ref="BG354:BS357" si="2104">IF(ISERROR(BF354/BD354),"NA",IF(OR(BF354/BD354&gt;2,BF354/BD354&lt;0.5),"NM",BF354/BD354*100-100))</f>
        <v>-24.727200798099119</v>
      </c>
      <c r="BH354" s="694">
        <f>BH339/(BH316)*100</f>
        <v>37.893141341417206</v>
      </c>
      <c r="BI354" s="9">
        <f t="shared" si="2104"/>
        <v>2.3378383224807635</v>
      </c>
      <c r="BJ354" s="694">
        <f>BJ339/(BJ316)*100</f>
        <v>36.334056399132315</v>
      </c>
      <c r="BK354" s="9">
        <f t="shared" si="2104"/>
        <v>-4.1144251626898267</v>
      </c>
      <c r="BL354" s="694">
        <f>BL339/(BL316)*100</f>
        <v>36.660429533867486</v>
      </c>
      <c r="BM354" s="9">
        <f t="shared" si="2104"/>
        <v>0.89825680664425533</v>
      </c>
      <c r="BN354" s="694">
        <f>BN339/(BN316)*100</f>
        <v>37.023647250539959</v>
      </c>
      <c r="BO354" s="9">
        <f t="shared" si="2104"/>
        <v>0.99076230499952089</v>
      </c>
      <c r="BP354" s="694">
        <f>BP339/(BP316)*100</f>
        <v>39.932070238207643</v>
      </c>
      <c r="BQ354" s="9">
        <f t="shared" si="2104"/>
        <v>7.8555820499971674</v>
      </c>
      <c r="BR354" s="694">
        <f>BR339/(BR316)*100</f>
        <v>39.638941935213282</v>
      </c>
      <c r="BS354" s="9">
        <f t="shared" si="2104"/>
        <v>-0.73406738304765895</v>
      </c>
      <c r="BT354" s="694">
        <f>BT339/(BT316)*100</f>
        <v>40.631783426790399</v>
      </c>
      <c r="BU354" s="9">
        <f t="shared" ref="BU354:BU357" si="2105">IF(ISERROR(BT354/BR354),"NA",IF(OR(BT354/BR354&gt;2,BT354/BR354&lt;0.5),"NM",BT354/BR354*100-100))</f>
        <v>2.5047123941901219</v>
      </c>
      <c r="BV354" s="43">
        <f>IF(ISERROR(((BT354/BJ354)^0.2-1)*100),"NA",IF((((BT354/BJ354)^0.2-1)*100)&gt;100,"NM",IF((((BT354/BJ354)^0.2-1)*100)&lt;-50,"NM",((BT354/BJ354)^0.2-1)*100)))</f>
        <v>2.2610858187026794</v>
      </c>
      <c r="BW354" s="43"/>
      <c r="BX354" s="43"/>
      <c r="BY354"/>
      <c r="BZ354"/>
      <c r="CA354"/>
      <c r="CB354"/>
      <c r="CC354"/>
      <c r="CD354"/>
    </row>
    <row r="355" spans="1:83" s="7" customFormat="1" ht="12.75" customHeight="1" x14ac:dyDescent="0.2">
      <c r="A355" s="42"/>
      <c r="B355" s="62" t="s">
        <v>658</v>
      </c>
      <c r="C355" s="695"/>
      <c r="D355" s="691"/>
      <c r="E355" s="695"/>
      <c r="F355" s="691"/>
      <c r="G355" s="695"/>
      <c r="H355" s="691"/>
      <c r="I355" s="695"/>
      <c r="J355" s="691"/>
      <c r="K355" s="695"/>
      <c r="L355" s="695"/>
      <c r="M355" s="694"/>
      <c r="N355" s="695"/>
      <c r="O355" s="694"/>
      <c r="P355" s="43"/>
      <c r="Q355" s="694"/>
      <c r="R355" s="43" t="str">
        <f t="shared" si="1862"/>
        <v>NA</v>
      </c>
      <c r="S355" s="694"/>
      <c r="T355" s="43" t="str">
        <f t="shared" si="1863"/>
        <v>NA</v>
      </c>
      <c r="U355" s="694"/>
      <c r="V355" s="43" t="str">
        <f t="shared" si="1889"/>
        <v>NA</v>
      </c>
      <c r="W355" s="694">
        <f>(W330+U330+S330+Q330)/(W316+U316+S316+Q316)*100</f>
        <v>36.177869168487305</v>
      </c>
      <c r="X355" s="43" t="str">
        <f t="shared" si="1890"/>
        <v>NA</v>
      </c>
      <c r="Y355" s="694">
        <f>(Y330+W330+U330+S330)/(Y316+W316+U316+S316)*100</f>
        <v>35.343929129755061</v>
      </c>
      <c r="Z355" s="43" t="str">
        <f t="shared" si="1890"/>
        <v>NA</v>
      </c>
      <c r="AA355" s="694">
        <f>(AA330+Y330+W330+U330)/(AA316+Y316+W316+U316)*100</f>
        <v>33.959537572254327</v>
      </c>
      <c r="AB355" s="43" t="str">
        <f t="shared" si="1890"/>
        <v>NA</v>
      </c>
      <c r="AC355" s="694">
        <f>(AC330+AA330+Y330+W330)/(AC316+AA316+Y316+W316)*100</f>
        <v>33.661805281828926</v>
      </c>
      <c r="AD355" s="43" t="str">
        <f t="shared" si="1890"/>
        <v>NA</v>
      </c>
      <c r="AE355" s="694">
        <f>(AE330+AC330+AA330+Y330)/(AE316+AC316+AA316+Y316)*100</f>
        <v>36.679340937896065</v>
      </c>
      <c r="AF355" s="43">
        <f t="shared" si="1891"/>
        <v>1.3861285391721196</v>
      </c>
      <c r="AG355" s="694">
        <f>(AG330+AE330+AC330+AA330)/(AG316+AE316+AC316+AA316)*100</f>
        <v>36.390046734874318</v>
      </c>
      <c r="AH355" s="9">
        <f t="shared" si="2093"/>
        <v>2.9598226085128658</v>
      </c>
      <c r="AI355" s="694">
        <f>(AI330+AG330+AE330+AC330)/(AI316+AG316+AE316+AC316)*100</f>
        <v>38.456930633760635</v>
      </c>
      <c r="AJ355" s="9">
        <f t="shared" si="2094"/>
        <v>13.243387227924956</v>
      </c>
      <c r="AK355" s="694">
        <f>(AK330+AI330+AG330+AE330)/(AK316+AI316+AG316+AE316)*100</f>
        <v>38.25612446302101</v>
      </c>
      <c r="AL355" s="9">
        <f t="shared" si="2095"/>
        <v>13.648463422346978</v>
      </c>
      <c r="AM355" s="694">
        <f>(AM330+AK330+AI330+AG330)/(AM316+AK316+AI316+AG316)*100</f>
        <v>36.032664171486886</v>
      </c>
      <c r="AN355" s="9">
        <f t="shared" si="2096"/>
        <v>-1.7630544875495531</v>
      </c>
      <c r="AO355" s="694">
        <f>(AO330+AM330+AK330+AI330)/(AO316+AM316+AK316+AI316)*100</f>
        <v>35.79175704989153</v>
      </c>
      <c r="AP355" s="9">
        <f t="shared" si="2097"/>
        <v>-1.6441025463411023</v>
      </c>
      <c r="AQ355" s="694">
        <f t="shared" ref="AQ355" si="2106">(AQ330+AO330+AM330+AK330)/(AQ316+AO316+AM316+AK316)*100</f>
        <v>34.002797437722961</v>
      </c>
      <c r="AR355" s="9">
        <f t="shared" si="2098"/>
        <v>-11.582133890132852</v>
      </c>
      <c r="AS355" s="694">
        <f t="shared" ref="AS355" si="2107">(AS330+AQ330+AO330+AM330)/(AS316+AQ316+AO316+AM316)*100</f>
        <v>34.366981567097845</v>
      </c>
      <c r="AT355" s="9">
        <f t="shared" si="2099"/>
        <v>-10.166066088797038</v>
      </c>
      <c r="AU355" s="694">
        <f t="shared" ref="AU355" si="2108">(AU330+AS330+AQ330+AO330)/(AU316+AS316+AQ316+AO316)*100</f>
        <v>35.901906292158507</v>
      </c>
      <c r="AV355" s="9">
        <f t="shared" si="2100"/>
        <v>-0.36288707020406719</v>
      </c>
      <c r="AW355" s="694">
        <f t="shared" ref="AW355" si="2109">(AW330+AU330+AS330+AQ330)/(AW316+AU316+AS316+AQ316)*100</f>
        <v>36.660429533867486</v>
      </c>
      <c r="AX355" s="9">
        <f t="shared" si="2101"/>
        <v>2.4270182734116048</v>
      </c>
      <c r="AY355" s="287"/>
      <c r="AZ355" s="15"/>
      <c r="BA355" s="9"/>
      <c r="BB355" s="694">
        <f t="shared" si="2102"/>
        <v>0</v>
      </c>
      <c r="BC355" s="9" t="str">
        <f>IF(ISERROR(BB355/#REF!),"NA",IF(OR(BB355/#REF!&gt;2,BB355/#REF!&lt;0.5),"NM",BB355/#REF!*100-100))</f>
        <v>NA</v>
      </c>
      <c r="BD355" s="916">
        <f t="shared" si="2102"/>
        <v>0</v>
      </c>
      <c r="BE355" s="9" t="str">
        <f t="shared" si="2103"/>
        <v>NA</v>
      </c>
      <c r="BF355" s="694"/>
      <c r="BG355" s="9" t="str">
        <f t="shared" si="2104"/>
        <v>NA</v>
      </c>
      <c r="BH355" s="694"/>
      <c r="BI355" s="9" t="str">
        <f t="shared" si="2104"/>
        <v>NA</v>
      </c>
      <c r="BJ355" s="694"/>
      <c r="BK355" s="9" t="str">
        <f t="shared" si="2104"/>
        <v>NA</v>
      </c>
      <c r="BL355" s="694"/>
      <c r="BM355" s="9" t="str">
        <f t="shared" si="2104"/>
        <v>NA</v>
      </c>
      <c r="BN355" s="694"/>
      <c r="BO355" s="9" t="str">
        <f t="shared" si="2104"/>
        <v>NA</v>
      </c>
      <c r="BP355" s="694"/>
      <c r="BQ355" s="9" t="str">
        <f t="shared" si="2104"/>
        <v>NA</v>
      </c>
      <c r="BR355" s="694"/>
      <c r="BS355" s="9" t="str">
        <f t="shared" si="2104"/>
        <v>NA</v>
      </c>
      <c r="BT355" s="694"/>
      <c r="BU355" s="9" t="str">
        <f t="shared" si="2105"/>
        <v>NA</v>
      </c>
      <c r="BV355" s="43"/>
      <c r="BW355" s="43"/>
      <c r="BX355" s="43"/>
      <c r="BY355"/>
      <c r="BZ355"/>
      <c r="CA355"/>
      <c r="CB355"/>
      <c r="CC355"/>
      <c r="CD355"/>
    </row>
    <row r="356" spans="1:83" s="7" customFormat="1" ht="12.75" customHeight="1" x14ac:dyDescent="0.2">
      <c r="A356" s="42"/>
      <c r="B356" s="62" t="s">
        <v>659</v>
      </c>
      <c r="C356" s="694"/>
      <c r="D356" s="691"/>
      <c r="E356" s="694"/>
      <c r="F356" s="691"/>
      <c r="G356" s="694"/>
      <c r="H356" s="691"/>
      <c r="I356" s="694"/>
      <c r="J356" s="691"/>
      <c r="K356" s="694"/>
      <c r="L356" s="695"/>
      <c r="M356" s="694"/>
      <c r="N356" s="695"/>
      <c r="O356" s="694"/>
      <c r="P356" s="43"/>
      <c r="Q356" s="694"/>
      <c r="R356" s="43" t="str">
        <f t="shared" si="1862"/>
        <v>NA</v>
      </c>
      <c r="S356" s="694"/>
      <c r="T356" s="43" t="str">
        <f t="shared" si="1863"/>
        <v>NA</v>
      </c>
      <c r="U356" s="694"/>
      <c r="V356" s="43" t="str">
        <f t="shared" si="1889"/>
        <v>NA</v>
      </c>
      <c r="W356" s="694">
        <f>(W339+U339+S339+Q339)/(W316+U316+S316+Q316)*100</f>
        <v>37.838719563433585</v>
      </c>
      <c r="X356" s="43" t="str">
        <f t="shared" si="1890"/>
        <v>NA</v>
      </c>
      <c r="Y356" s="694">
        <f>(Y339+W339+U339+S339)/(Y316+W316+U316+S316)*100</f>
        <v>37.027498296388316</v>
      </c>
      <c r="Z356" s="43" t="str">
        <f t="shared" si="1890"/>
        <v>NA</v>
      </c>
      <c r="AA356" s="694">
        <f>(AA339+Y339+W339+U339)/(AA316+Y316+W316+U316)*100</f>
        <v>35.657261813331168</v>
      </c>
      <c r="AB356" s="43" t="str">
        <f t="shared" si="1890"/>
        <v>NA</v>
      </c>
      <c r="AC356" s="694">
        <f>(AC339+AA339+Y339+W339)/(AC316+AA316+Y316+W316)*100</f>
        <v>35.359752584821557</v>
      </c>
      <c r="AD356" s="43" t="str">
        <f t="shared" si="1890"/>
        <v>NA</v>
      </c>
      <c r="AE356" s="694">
        <f>(AE339+AC339+AA339+Y339)/(AE316+AC316+AA316+Y316)*100</f>
        <v>36.793409378960703</v>
      </c>
      <c r="AF356" s="43">
        <f t="shared" si="1891"/>
        <v>-2.7625411127364004</v>
      </c>
      <c r="AG356" s="694">
        <f>(AG339+AE339+AC339+AA339)/(AG316+AE316+AC316+AA316)*100</f>
        <v>37.893141341417206</v>
      </c>
      <c r="AH356" s="9">
        <f t="shared" si="2093"/>
        <v>2.3378383224808061</v>
      </c>
      <c r="AI356" s="694">
        <f>(AI339+AG339+AE339+AC339)/(AI316+AG316+AE316+AC316)*100</f>
        <v>38.444950281538269</v>
      </c>
      <c r="AJ356" s="9">
        <f t="shared" si="2094"/>
        <v>7.8180104877398833</v>
      </c>
      <c r="AK356" s="694">
        <f>(AK339+AI339+AG339+AE339)/(AK316+AI316+AG316+AE316)*100</f>
        <v>38.8250319284802</v>
      </c>
      <c r="AL356" s="9">
        <f t="shared" si="2095"/>
        <v>9.8000667152465866</v>
      </c>
      <c r="AM356" s="694">
        <f>(AM339+AK339+AI339+AG339)/(AM316+AK316+AI316+AG316)*100</f>
        <v>37.847340365203578</v>
      </c>
      <c r="AN356" s="9">
        <f t="shared" si="2096"/>
        <v>2.8644559012939368</v>
      </c>
      <c r="AO356" s="694">
        <f>(AO339+AM339+AK339+AI339)/(AO316+AM316+AK316+AI316)*100</f>
        <v>36.334056399132315</v>
      </c>
      <c r="AP356" s="9">
        <f t="shared" si="2097"/>
        <v>-4.1144251626898267</v>
      </c>
      <c r="AQ356" s="694">
        <f t="shared" ref="AQ356" si="2110">(AQ339+AO339+AM339+AK339)/(AQ316+AO316+AM316+AK316)*100</f>
        <v>35.817599624875982</v>
      </c>
      <c r="AR356" s="9">
        <f t="shared" si="2098"/>
        <v>-6.8340591870240388</v>
      </c>
      <c r="AS356" s="694">
        <f t="shared" ref="AS356" si="2111">(AS339+AQ339+AO339+AM339)/(AS316+AQ316+AO316+AM316)*100</f>
        <v>35.616397814680845</v>
      </c>
      <c r="AT356" s="9">
        <f t="shared" si="2099"/>
        <v>-8.2643437865292668</v>
      </c>
      <c r="AU356" s="694">
        <f t="shared" ref="AU356" si="2112">(AU339+AS339+AQ339+AO339)/(AU316+AS316+AQ316+AO316)*100</f>
        <v>35.901906292158507</v>
      </c>
      <c r="AV356" s="9">
        <f t="shared" si="2100"/>
        <v>-5.1402134318365</v>
      </c>
      <c r="AW356" s="694">
        <f t="shared" ref="AW356" si="2113">(AW339+AU339+AS339+AQ339)/(AW316+AU316+AS316+AQ316)*100</f>
        <v>36.660429533867486</v>
      </c>
      <c r="AX356" s="9">
        <f t="shared" si="2101"/>
        <v>0.89825680664425533</v>
      </c>
      <c r="AY356" s="287"/>
      <c r="AZ356" s="15"/>
      <c r="BA356" s="9"/>
      <c r="BB356" s="694">
        <f t="shared" ref="BB356:BD356" si="2114">BB339/(BB321-BB323)*100</f>
        <v>51.353253877709562</v>
      </c>
      <c r="BC356" s="9" t="str">
        <f>IF(ISERROR(BB356/#REF!),"NA",IF(OR(BB356/#REF!&gt;2,BB356/#REF!&lt;0.5),"NM",BB356/#REF!*100-100))</f>
        <v>NA</v>
      </c>
      <c r="BD356" s="916">
        <f t="shared" si="2114"/>
        <v>44.813861173693802</v>
      </c>
      <c r="BE356" s="9">
        <f t="shared" si="2103"/>
        <v>-12.734135055177603</v>
      </c>
      <c r="BF356" s="694">
        <f>BF339/(BF316)*100</f>
        <v>37.02749829638833</v>
      </c>
      <c r="BG356" s="9">
        <f t="shared" si="2104"/>
        <v>-17.374898465290343</v>
      </c>
      <c r="BH356" s="694">
        <f>BH339/(BH316)*100</f>
        <v>37.893141341417206</v>
      </c>
      <c r="BI356" s="9">
        <f t="shared" si="2104"/>
        <v>2.3378383224807635</v>
      </c>
      <c r="BJ356" s="694">
        <f>BJ339/(BJ316)*100</f>
        <v>36.334056399132315</v>
      </c>
      <c r="BK356" s="9">
        <f t="shared" si="2104"/>
        <v>-4.1144251626898267</v>
      </c>
      <c r="BL356" s="694">
        <f>BL339/(BL316)*100</f>
        <v>36.660429533867486</v>
      </c>
      <c r="BM356" s="9">
        <f t="shared" si="2104"/>
        <v>0.89825680664425533</v>
      </c>
      <c r="BN356" s="694">
        <f>BN339/(BN316)*100</f>
        <v>37.023647250539959</v>
      </c>
      <c r="BO356" s="9">
        <f t="shared" si="2104"/>
        <v>0.99076230499952089</v>
      </c>
      <c r="BP356" s="694">
        <f>BP339/(BP316)*100</f>
        <v>39.932070238207643</v>
      </c>
      <c r="BQ356" s="9">
        <f t="shared" si="2104"/>
        <v>7.8555820499971674</v>
      </c>
      <c r="BR356" s="694">
        <f>BR339/(BR316)*100</f>
        <v>39.638941935213282</v>
      </c>
      <c r="BS356" s="9">
        <f t="shared" si="2104"/>
        <v>-0.73406738304765895</v>
      </c>
      <c r="BT356" s="694">
        <f>BT339/(BT316)*100</f>
        <v>40.631783426790399</v>
      </c>
      <c r="BU356" s="9">
        <f t="shared" si="2105"/>
        <v>2.5047123941901219</v>
      </c>
      <c r="BV356" s="43">
        <f>IF(ISERROR(((BT356/BJ356)^0.2-1)*100),"NA",IF((((BT356/BJ356)^0.2-1)*100)&gt;100,"NM",IF((((BT356/BJ356)^0.2-1)*100)&lt;-50,"NM",((BT356/BJ356)^0.2-1)*100)))</f>
        <v>2.2610858187026794</v>
      </c>
      <c r="BW356" s="43"/>
      <c r="BX356" s="43"/>
      <c r="BY356"/>
      <c r="BZ356"/>
      <c r="CA356"/>
      <c r="CB356"/>
      <c r="CC356"/>
      <c r="CD356"/>
    </row>
    <row r="357" spans="1:83" s="7" customFormat="1" ht="12.75" customHeight="1" x14ac:dyDescent="0.2">
      <c r="A357" s="42"/>
      <c r="B357" s="62" t="s">
        <v>267</v>
      </c>
      <c r="C357" s="694">
        <f>C339/C321*100</f>
        <v>25.643966125617514</v>
      </c>
      <c r="D357" s="691"/>
      <c r="E357" s="694">
        <f>E339/E321*100</f>
        <v>30.024038461538471</v>
      </c>
      <c r="F357" s="691"/>
      <c r="G357" s="694">
        <f>G339/G321*100</f>
        <v>25.827136413507251</v>
      </c>
      <c r="H357" s="691"/>
      <c r="I357" s="694">
        <f>I339/I321*100</f>
        <v>26.908200398233124</v>
      </c>
      <c r="J357" s="691"/>
      <c r="K357" s="694">
        <f>K339/K321*100</f>
        <v>25.065209902062097</v>
      </c>
      <c r="L357" s="695"/>
      <c r="M357" s="694">
        <f>M339/M321*100</f>
        <v>22.115902406694001</v>
      </c>
      <c r="N357" s="695"/>
      <c r="O357" s="694">
        <f>O339/O321*100</f>
        <v>26.965397062484442</v>
      </c>
      <c r="P357" s="43"/>
      <c r="Q357" s="694">
        <f>Q339/Q321*100</f>
        <v>23.010688836104496</v>
      </c>
      <c r="R357" s="43">
        <f t="shared" si="1862"/>
        <v>-14.484475009278398</v>
      </c>
      <c r="S357" s="694">
        <f t="shared" ref="S357:W357" si="2115">S339/S321*100</f>
        <v>32.216905901116412</v>
      </c>
      <c r="T357" s="43">
        <f t="shared" si="1863"/>
        <v>28.53236029938833</v>
      </c>
      <c r="U357" s="694">
        <f t="shared" si="2115"/>
        <v>21.992080414255241</v>
      </c>
      <c r="V357" s="43">
        <f t="shared" si="1889"/>
        <v>-0.55987763990711414</v>
      </c>
      <c r="W357" s="694">
        <f t="shared" si="2115"/>
        <v>19.638426090038983</v>
      </c>
      <c r="X357" s="43">
        <f t="shared" si="1890"/>
        <v>-27.1717525815301</v>
      </c>
      <c r="Y357" s="694">
        <f t="shared" ref="Y357:AA357" si="2116">Y339/Y321*100</f>
        <v>21.297468354430375</v>
      </c>
      <c r="Z357" s="43">
        <f t="shared" si="1890"/>
        <v>-7.4453246222947627</v>
      </c>
      <c r="AA357" s="694">
        <f t="shared" si="2116"/>
        <v>23.726448011165392</v>
      </c>
      <c r="AB357" s="43">
        <f t="shared" si="1890"/>
        <v>-26.354045034649971</v>
      </c>
      <c r="AC357" s="694">
        <f t="shared" ref="AC357:AE357" si="2117">AC339/AC321*100</f>
        <v>21.932852212111698</v>
      </c>
      <c r="AD357" s="43">
        <f t="shared" si="1890"/>
        <v>-0.26931604935907671</v>
      </c>
      <c r="AE357" s="694">
        <f t="shared" si="2117"/>
        <v>25.448564593301437</v>
      </c>
      <c r="AF357" s="43">
        <f t="shared" si="1891"/>
        <v>29.585560862280488</v>
      </c>
      <c r="AG357" s="694">
        <f t="shared" ref="AG357:AI357" si="2118">AG339/AG321*100</f>
        <v>24.655779699007375</v>
      </c>
      <c r="AH357" s="9">
        <f t="shared" si="2093"/>
        <v>15.768594129068831</v>
      </c>
      <c r="AI357" s="694">
        <f t="shared" si="2118"/>
        <v>27.668845315904129</v>
      </c>
      <c r="AJ357" s="9">
        <f t="shared" si="2094"/>
        <v>16.616045110854728</v>
      </c>
      <c r="AK357" s="694">
        <f t="shared" ref="AK357:AM357" si="2119">AK339/AK321*100</f>
        <v>26.111458985597981</v>
      </c>
      <c r="AL357" s="9">
        <f t="shared" si="2095"/>
        <v>19.051816576682086</v>
      </c>
      <c r="AM357" s="694">
        <f t="shared" si="2119"/>
        <v>30.724426647251548</v>
      </c>
      <c r="AN357" s="9">
        <f t="shared" si="2096"/>
        <v>20.731472042783977</v>
      </c>
      <c r="AO357" s="694">
        <f t="shared" ref="AO357" si="2120">AO339/AO321*100</f>
        <v>23.29663790538531</v>
      </c>
      <c r="AP357" s="9">
        <f t="shared" si="2097"/>
        <v>-5.5124673006255875</v>
      </c>
      <c r="AQ357" s="694">
        <f t="shared" ref="AQ357:AW357" si="2121">AQ339/AQ321*100</f>
        <v>27.23347771610306</v>
      </c>
      <c r="AR357" s="9">
        <f t="shared" si="2098"/>
        <v>-1.5734939236904779</v>
      </c>
      <c r="AS357" s="694">
        <f t="shared" si="2121"/>
        <v>27.233477716103081</v>
      </c>
      <c r="AT357" s="9">
        <f t="shared" si="2099"/>
        <v>4.2970357616706139</v>
      </c>
      <c r="AU357" s="694">
        <f t="shared" si="2121"/>
        <v>27.233477716103067</v>
      </c>
      <c r="AV357" s="9">
        <f t="shared" si="2100"/>
        <v>-11.362128807896781</v>
      </c>
      <c r="AW357" s="694">
        <f t="shared" si="2121"/>
        <v>26.586263300497198</v>
      </c>
      <c r="AX357" s="9">
        <f t="shared" si="2101"/>
        <v>14.120601472504532</v>
      </c>
      <c r="AY357" s="287"/>
      <c r="AZ357" s="15"/>
      <c r="BA357" s="9"/>
      <c r="BB357" s="694">
        <f t="shared" ref="BB357:BP357" si="2122">BB339/BB321*100</f>
        <v>27.095980942134791</v>
      </c>
      <c r="BC357" s="694" t="str">
        <f>IF(ISERROR(BB357/#REF!),"NA",IF(OR(BB357/#REF!&gt;2,BB357/#REF!&lt;0.5),"NM",BB357/#REF!*100-100))</f>
        <v>NA</v>
      </c>
      <c r="BD357" s="694">
        <f t="shared" si="2122"/>
        <v>24.162684961301288</v>
      </c>
      <c r="BE357" s="694">
        <f t="shared" si="2103"/>
        <v>-10.825575892962675</v>
      </c>
      <c r="BF357" s="694">
        <f t="shared" si="2122"/>
        <v>23.285521622405113</v>
      </c>
      <c r="BG357" s="694">
        <f t="shared" si="2104"/>
        <v>-3.6302395213985221</v>
      </c>
      <c r="BH357" s="694">
        <f t="shared" si="2122"/>
        <v>23.961661341853038</v>
      </c>
      <c r="BI357" s="694">
        <f t="shared" si="2104"/>
        <v>2.9036915316397653</v>
      </c>
      <c r="BJ357" s="694">
        <f t="shared" ref="BJ357" si="2123">BJ339/BJ321*100</f>
        <v>26.767878545745099</v>
      </c>
      <c r="BK357" s="694">
        <f t="shared" si="2104"/>
        <v>11.711279797576196</v>
      </c>
      <c r="BL357" s="694">
        <f t="shared" ref="BL357" si="2124">BL339/BL321*100</f>
        <v>27.06955365631039</v>
      </c>
      <c r="BM357" s="694">
        <f t="shared" si="2104"/>
        <v>1.1270041817088412</v>
      </c>
      <c r="BN357" s="694">
        <f t="shared" si="2122"/>
        <v>26.991022655146178</v>
      </c>
      <c r="BO357" s="694">
        <f t="shared" si="2104"/>
        <v>-0.29010822328761776</v>
      </c>
      <c r="BP357" s="694">
        <f t="shared" si="2122"/>
        <v>27.769032442827594</v>
      </c>
      <c r="BQ357" s="9">
        <f t="shared" si="2104"/>
        <v>2.8824761389064264</v>
      </c>
      <c r="BR357" s="694">
        <f t="shared" ref="BR357:BT357" si="2125">BR339/BR321*100</f>
        <v>26.644374333310761</v>
      </c>
      <c r="BS357" s="9">
        <f t="shared" si="2104"/>
        <v>-4.0500442780364807</v>
      </c>
      <c r="BT357" s="694">
        <f t="shared" si="2125"/>
        <v>26.257325695484074</v>
      </c>
      <c r="BU357" s="9">
        <f t="shared" si="2105"/>
        <v>-1.4526467500601115</v>
      </c>
      <c r="BV357" s="43">
        <f>IF(ISERROR(((BT357/BJ357)^0.2-1)*100),"NA",IF((((BT357/BJ357)^0.2-1)*100)&gt;100,"NM",IF((((BT357/BJ357)^0.2-1)*100)&lt;-50,"NM",((BT357/BJ357)^0.2-1)*100)))</f>
        <v>-0.38441089681297003</v>
      </c>
      <c r="BW357" s="43"/>
      <c r="BX357" s="43"/>
      <c r="BY357"/>
      <c r="BZ357"/>
      <c r="CA357"/>
      <c r="CB357"/>
      <c r="CC357"/>
      <c r="CD357"/>
    </row>
    <row r="358" spans="1:83" s="7" customFormat="1" ht="12.75" customHeight="1" x14ac:dyDescent="0.2">
      <c r="A358" s="42"/>
      <c r="B358" s="67"/>
      <c r="C358" s="695"/>
      <c r="D358" s="691"/>
      <c r="E358" s="695"/>
      <c r="F358" s="691"/>
      <c r="G358" s="695"/>
      <c r="H358" s="691"/>
      <c r="I358" s="695"/>
      <c r="J358" s="691"/>
      <c r="K358" s="695"/>
      <c r="L358" s="695"/>
      <c r="M358" s="695"/>
      <c r="N358" s="695"/>
      <c r="O358" s="695"/>
      <c r="P358" s="695"/>
      <c r="Q358" s="695"/>
      <c r="R358" s="691"/>
      <c r="S358" s="695"/>
      <c r="T358" s="695"/>
      <c r="U358" s="695"/>
      <c r="V358" s="695"/>
      <c r="W358" s="695"/>
      <c r="X358" s="695"/>
      <c r="Y358" s="695"/>
      <c r="Z358" s="695"/>
      <c r="AA358" s="695"/>
      <c r="AB358" s="695"/>
      <c r="AC358" s="695"/>
      <c r="AD358" s="695"/>
      <c r="AE358" s="695"/>
      <c r="AF358" s="695"/>
      <c r="AG358" s="695"/>
      <c r="AH358" s="9"/>
      <c r="AI358" s="695"/>
      <c r="AJ358" s="9"/>
      <c r="AK358" s="695"/>
      <c r="AL358" s="9"/>
      <c r="AM358" s="695"/>
      <c r="AN358" s="9"/>
      <c r="AO358" s="695"/>
      <c r="AP358" s="9"/>
      <c r="AQ358" s="695"/>
      <c r="AR358" s="9"/>
      <c r="AS358" s="695"/>
      <c r="AT358" s="9"/>
      <c r="AU358" s="695"/>
      <c r="AV358" s="9"/>
      <c r="AW358" s="695"/>
      <c r="AX358" s="9"/>
      <c r="AY358" s="287"/>
      <c r="AZ358" s="15"/>
      <c r="BA358" s="9"/>
      <c r="BB358" s="695"/>
      <c r="BC358" s="695"/>
      <c r="BD358" s="912"/>
      <c r="BE358" s="695"/>
      <c r="BF358" s="695"/>
      <c r="BG358" s="695"/>
      <c r="BH358" s="695"/>
      <c r="BI358" s="695"/>
      <c r="BJ358" s="695"/>
      <c r="BK358" s="695"/>
      <c r="BL358" s="695"/>
      <c r="BM358" s="695"/>
      <c r="BN358" s="695"/>
      <c r="BO358" s="695"/>
      <c r="BP358" s="695"/>
      <c r="BQ358" s="9"/>
      <c r="BR358" s="695"/>
      <c r="BS358" s="9"/>
      <c r="BT358" s="695"/>
      <c r="BU358" s="9"/>
      <c r="BV358" s="43"/>
      <c r="BW358" s="43"/>
      <c r="BX358" s="43"/>
      <c r="BY358"/>
      <c r="BZ358"/>
      <c r="CA358"/>
      <c r="CB358"/>
      <c r="CC358"/>
      <c r="CD358"/>
    </row>
    <row r="359" spans="1:83" s="7" customFormat="1" ht="12.75" hidden="1" customHeight="1" outlineLevel="1" x14ac:dyDescent="0.2">
      <c r="A359" s="80"/>
      <c r="B359" s="7" t="s">
        <v>375</v>
      </c>
      <c r="C359" s="83" t="e">
        <f>+C319/C212*400</f>
        <v>#REF!</v>
      </c>
      <c r="D359" s="9" t="str">
        <f>IF(ISERROR(C359/#REF!),"NA",IF(OR(C359/#REF!&gt;2,C359/#REF!&lt;0.5),"NM",C359/#REF!*100-100))</f>
        <v>NA</v>
      </c>
      <c r="E359" s="83" t="e">
        <f>+E319/E212*400</f>
        <v>#REF!</v>
      </c>
      <c r="F359" s="9" t="str">
        <f>IF(ISERROR(E359/#REF!),"NA",IF(OR(E359/#REF!&gt;2,E359/#REF!&lt;0.5),"NM",E359/#REF!*100-100))</f>
        <v>NA</v>
      </c>
      <c r="G359" s="83" t="e">
        <f>+G319/G212*400</f>
        <v>#REF!</v>
      </c>
      <c r="H359" s="9" t="str">
        <f>IF(ISERROR(G359/#REF!),"NA",IF(OR(G359/#REF!&gt;2,G359/#REF!&lt;0.5),"NM",G359/#REF!*100-100))</f>
        <v>NA</v>
      </c>
      <c r="I359" s="83" t="e">
        <f>+I319/I212*400</f>
        <v>#REF!</v>
      </c>
      <c r="J359" s="9" t="str">
        <f>IF(ISERROR(I359/#REF!),"NA",IF(OR(I359/#REF!&gt;2,I359/#REF!&lt;0.5),"NM",I359/#REF!*100-100))</f>
        <v>NA</v>
      </c>
      <c r="K359" s="83" t="e">
        <f>+K319/K212*400</f>
        <v>#REF!</v>
      </c>
      <c r="L359" s="9" t="str">
        <f>IF(ISERROR(K359/C359),"NA",IF(OR(K359/C359&gt;2,K359/C359&lt;0.5),"NM",K359/C359*100-100))</f>
        <v>NA</v>
      </c>
      <c r="M359" s="262" t="e">
        <f>+M319/M212*400</f>
        <v>#REF!</v>
      </c>
      <c r="N359" s="9" t="str">
        <f>IF(ISERROR(M359/E359),"NA",IF(OR(M359/E359&gt;2,M359/E359&lt;0.5),"NM",M359/E359*100-100))</f>
        <v>NA</v>
      </c>
      <c r="O359" s="83"/>
      <c r="P359" s="9"/>
      <c r="Q359" s="83"/>
      <c r="R359" s="9"/>
      <c r="S359" s="83"/>
      <c r="T359" s="9"/>
      <c r="U359" s="83"/>
      <c r="V359" s="9"/>
      <c r="W359" s="83"/>
      <c r="X359" s="9"/>
      <c r="Y359" s="83"/>
      <c r="Z359" s="9"/>
      <c r="AA359" s="83"/>
      <c r="AB359" s="9"/>
      <c r="AC359" s="83"/>
      <c r="AD359" s="9"/>
      <c r="AE359" s="83"/>
      <c r="AF359" s="9"/>
      <c r="AG359" s="83"/>
      <c r="AH359" s="9"/>
      <c r="AI359" s="83"/>
      <c r="AJ359" s="9"/>
      <c r="AK359" s="83"/>
      <c r="AL359" s="9"/>
      <c r="AM359" s="102"/>
      <c r="AN359" s="9"/>
      <c r="AO359" s="102"/>
      <c r="AP359" s="9"/>
      <c r="AQ359" s="102"/>
      <c r="AR359" s="9"/>
      <c r="AS359" s="102"/>
      <c r="AT359" s="9"/>
      <c r="AU359" s="102"/>
      <c r="AV359" s="9"/>
      <c r="AW359" s="102"/>
      <c r="AX359" s="9"/>
      <c r="AY359" s="287"/>
      <c r="AZ359" s="79"/>
      <c r="BA359" s="9"/>
      <c r="BB359" s="262"/>
      <c r="BC359" s="9"/>
      <c r="BD359" s="931"/>
      <c r="BE359" s="9" t="str">
        <f>IF(ISERROR(BD359/BB359),"NA",IF(OR(BD359/BB359&gt;2,BD359/BB359&lt;0.5),"NM",BD359/BB359*100-100))</f>
        <v>NA</v>
      </c>
      <c r="BF359" s="262">
        <f>+BF319/BF303*100</f>
        <v>0.49170108899737131</v>
      </c>
      <c r="BG359" s="9" t="str">
        <f>IF(ISERROR(BF359/BD359),"NA",IF(OR(BF359/BD359&gt;2,BF359/BD359&lt;0.5),"NM",BF359/BD359*100-100))</f>
        <v>NA</v>
      </c>
      <c r="BH359" s="83">
        <f>+BH319/BH$303*100</f>
        <v>0.3143038193444323</v>
      </c>
      <c r="BI359" s="9">
        <f>IF(ISERROR(BH359/BF359),"NA",IF(OR(BH359/BF359&gt;2,BH359/BF359&lt;0.5),"NM",BH359/BF359*100-100))</f>
        <v>-36.07827471252304</v>
      </c>
      <c r="BJ359" s="83">
        <f>+BJ319/BJ$303*100</f>
        <v>0.25420670145832314</v>
      </c>
      <c r="BK359" s="9">
        <f>IF(ISERROR(BJ359/BH359),"NA",IF(OR(BJ359/BH359&gt;2,BJ359/BH359&lt;0.5),"NM",BJ359/BH359*100-100))</f>
        <v>-19.1207087497245</v>
      </c>
      <c r="BL359" s="83">
        <f>+BL319/BL$303*100</f>
        <v>0.25000000000000006</v>
      </c>
      <c r="BM359" s="9">
        <f>IF(ISERROR(BL359/BJ359),"NA",IF(OR(BL359/BJ359&gt;2,BL359/BJ359&lt;0.5),"NM",BL359/BJ359*100-100))</f>
        <v>-1.6548349961626627</v>
      </c>
      <c r="BN359" s="102">
        <f>BL359+0.05</f>
        <v>0.30000000000000004</v>
      </c>
      <c r="BO359" s="9">
        <f>IF(ISERROR(BN359/BL359),"NA",IF(OR(BN359/BL359&gt;2,BN359/BL359&lt;0.5),"NM",BN359/BL359*100-100))</f>
        <v>20</v>
      </c>
      <c r="BP359" s="102">
        <f>BN359+0.05</f>
        <v>0.35000000000000003</v>
      </c>
      <c r="BQ359" s="9">
        <f>IF(ISERROR(BP359/BN359),"NA",IF(OR(BP359/BN359&gt;2,BP359/BN359&lt;0.5),"NM",BP359/BN359*100-100))</f>
        <v>16.666666666666657</v>
      </c>
      <c r="BR359" s="102">
        <f>BP359+0.05</f>
        <v>0.4</v>
      </c>
      <c r="BS359" s="9">
        <f>IF(ISERROR(BR359/BP359),"NA",IF(OR(BR359/BP359&gt;2,BR359/BP359&lt;0.5),"NM",BR359/BP359*100-100))</f>
        <v>14.285714285714278</v>
      </c>
      <c r="BT359" s="102">
        <f>BR359+0.05</f>
        <v>0.45</v>
      </c>
      <c r="BU359" s="9">
        <f>IF(ISERROR(BT359/BR359),"NA",IF(OR(BT359/BR359&gt;2,BT359/BR359&lt;0.5),"NM",BT359/BR359*100-100))</f>
        <v>12.5</v>
      </c>
      <c r="BV359" s="43">
        <f>IF(ISERROR(((BT359/BJ359)^0.2-1)*100),"NA",IF((((BT359/BJ359)^0.2-1)*100)&gt;100,"NM",IF((((BT359/BJ359)^0.2-1)*100)&lt;-50,"NM",((BT359/BJ359)^0.2-1)*100)))</f>
        <v>12.099868640633904</v>
      </c>
      <c r="BW359" s="722"/>
      <c r="BX359" s="722"/>
      <c r="BY359"/>
      <c r="BZ359"/>
      <c r="CA359"/>
      <c r="CB359"/>
      <c r="CC359"/>
      <c r="CD359"/>
    </row>
    <row r="360" spans="1:83" s="7" customFormat="1" ht="12.75" hidden="1" customHeight="1" outlineLevel="1" x14ac:dyDescent="0.2">
      <c r="A360" s="80"/>
      <c r="B360" s="62" t="s">
        <v>198</v>
      </c>
      <c r="C360" s="83" t="e">
        <f>+C320/C212*400</f>
        <v>#REF!</v>
      </c>
      <c r="D360" s="9" t="str">
        <f>IF(ISERROR(C360/#REF!),"NA",IF(OR(C360/#REF!&gt;2,C360/#REF!&lt;0.5),"NM",C360/#REF!*100-100))</f>
        <v>NA</v>
      </c>
      <c r="E360" s="83" t="e">
        <f>+E320/E212*400</f>
        <v>#REF!</v>
      </c>
      <c r="F360" s="9" t="str">
        <f>IF(ISERROR(E360/#REF!),"NA",IF(OR(E360/#REF!&gt;2,E360/#REF!&lt;0.5),"NM",E360/#REF!*100-100))</f>
        <v>NA</v>
      </c>
      <c r="G360" s="83" t="e">
        <f>+G320/G212*400</f>
        <v>#REF!</v>
      </c>
      <c r="H360" s="9" t="str">
        <f>IF(ISERROR(G360/#REF!),"NA",IF(OR(G360/#REF!&gt;2,G360/#REF!&lt;0.5),"NM",G360/#REF!*100-100))</f>
        <v>NA</v>
      </c>
      <c r="I360" s="83" t="e">
        <f>+I320/I212*400</f>
        <v>#REF!</v>
      </c>
      <c r="J360" s="9" t="str">
        <f>IF(ISERROR(I360/#REF!),"NA",IF(OR(I360/#REF!&gt;2,I360/#REF!&lt;0.5),"NM",I360/#REF!*100-100))</f>
        <v>NA</v>
      </c>
      <c r="K360" s="83" t="e">
        <f>+K320/K212*400</f>
        <v>#REF!</v>
      </c>
      <c r="L360" s="9" t="str">
        <f>IF(ISERROR(K360/C360),"NA",IF(OR(K360/C360&gt;2,K360/C360&lt;0.5),"NM",K360/C360*100-100))</f>
        <v>NA</v>
      </c>
      <c r="M360" s="262" t="e">
        <f>+M320/M212*400</f>
        <v>#REF!</v>
      </c>
      <c r="N360" s="9" t="str">
        <f>IF(ISERROR(M360/E360),"NA",IF(OR(M360/E360&gt;2,M360/E360&lt;0.5),"NM",M360/E360*100-100))</f>
        <v>NA</v>
      </c>
      <c r="O360" s="83"/>
      <c r="P360" s="9"/>
      <c r="Q360" s="83"/>
      <c r="R360" s="9"/>
      <c r="S360" s="83"/>
      <c r="T360" s="9"/>
      <c r="U360" s="83"/>
      <c r="V360" s="9"/>
      <c r="W360" s="83"/>
      <c r="X360" s="9"/>
      <c r="Y360" s="83"/>
      <c r="Z360" s="9"/>
      <c r="AA360" s="83"/>
      <c r="AB360" s="9"/>
      <c r="AC360" s="83"/>
      <c r="AD360" s="9"/>
      <c r="AE360" s="83"/>
      <c r="AF360" s="9"/>
      <c r="AG360" s="83"/>
      <c r="AH360" s="9"/>
      <c r="AI360" s="83"/>
      <c r="AJ360" s="9"/>
      <c r="AK360" s="83"/>
      <c r="AL360" s="9"/>
      <c r="AM360" s="102"/>
      <c r="AN360" s="9"/>
      <c r="AO360" s="102"/>
      <c r="AP360" s="9"/>
      <c r="AQ360" s="102"/>
      <c r="AR360" s="9"/>
      <c r="AS360" s="102"/>
      <c r="AT360" s="9"/>
      <c r="AU360" s="102"/>
      <c r="AV360" s="9"/>
      <c r="AW360" s="102"/>
      <c r="AX360" s="9"/>
      <c r="AY360" s="287"/>
      <c r="AZ360" s="79"/>
      <c r="BA360" s="9"/>
      <c r="BB360" s="262"/>
      <c r="BC360" s="9"/>
      <c r="BD360" s="931"/>
      <c r="BE360" s="9" t="str">
        <f>IF(ISERROR(BD360/BB360),"NA",IF(OR(BD360/BB360&gt;2,BD360/BB360&lt;0.5),"NM",BD360/BB360*100-100))</f>
        <v>NA</v>
      </c>
      <c r="BF360" s="262">
        <f>+BF320/BF$303*100</f>
        <v>0.42500938790837395</v>
      </c>
      <c r="BG360" s="9" t="str">
        <f>IF(ISERROR(BF360/BD360),"NA",IF(OR(BF360/BD360&gt;2,BF360/BD360&lt;0.5),"NM",BF360/BD360*100-100))</f>
        <v>NA</v>
      </c>
      <c r="BH360" s="83">
        <f>+BH320/BH$303*100</f>
        <v>0.262687942853851</v>
      </c>
      <c r="BI360" s="9">
        <f>IF(ISERROR(BH360/BF360),"NA",IF(OR(BH360/BF360&gt;2,BH360/BF360&lt;0.5),"NM",BH360/BF360*100-100))</f>
        <v>-38.192437549054134</v>
      </c>
      <c r="BJ360" s="83">
        <f>+BJ320/BJ$303*100</f>
        <v>0.23411208115885479</v>
      </c>
      <c r="BK360" s="9">
        <f>IF(ISERROR(BJ360/BH360),"NA",IF(OR(BJ360/BH360&gt;2,BJ360/BH360&lt;0.5),"NM",BJ360/BH360*100-100))</f>
        <v>-10.87825401674209</v>
      </c>
      <c r="BL360" s="83">
        <f>+BL320/BL$303*100</f>
        <v>0.21000000000000002</v>
      </c>
      <c r="BM360" s="9">
        <f>IF(ISERROR(BL360/BJ360),"NA",IF(OR(BL360/BJ360&gt;2,BL360/BJ360&lt;0.5),"NM",BL360/BJ360*100-100))</f>
        <v>-10.299374999999984</v>
      </c>
      <c r="BN360" s="102">
        <f>BL360</f>
        <v>0.21000000000000002</v>
      </c>
      <c r="BO360" s="9">
        <f>IF(ISERROR(BN360/BL360),"NA",IF(OR(BN360/BL360&gt;2,BN360/BL360&lt;0.5),"NM",BN360/BL360*100-100))</f>
        <v>0</v>
      </c>
      <c r="BP360" s="102">
        <f>BN360</f>
        <v>0.21000000000000002</v>
      </c>
      <c r="BQ360" s="9">
        <f>IF(ISERROR(BP360/BN360),"NA",IF(OR(BP360/BN360&gt;2,BP360/BN360&lt;0.5),"NM",BP360/BN360*100-100))</f>
        <v>0</v>
      </c>
      <c r="BR360" s="102">
        <f>BP360</f>
        <v>0.21000000000000002</v>
      </c>
      <c r="BS360" s="9">
        <f>IF(ISERROR(BR360/BP360),"NA",IF(OR(BR360/BP360&gt;2,BR360/BP360&lt;0.5),"NM",BR360/BP360*100-100))</f>
        <v>0</v>
      </c>
      <c r="BT360" s="102">
        <f>BR360</f>
        <v>0.21000000000000002</v>
      </c>
      <c r="BU360" s="9">
        <f>IF(ISERROR(BT360/BR360),"NA",IF(OR(BT360/BR360&gt;2,BT360/BR360&lt;0.5),"NM",BT360/BR360*100-100))</f>
        <v>0</v>
      </c>
      <c r="BV360" s="43">
        <f>IF(ISERROR(((BT360/BJ360)^0.2-1)*100),"NA",IF((((BT360/BJ360)^0.2-1)*100)&gt;100,"NM",IF((((BT360/BJ360)^0.2-1)*100)&lt;-50,"NM",((BT360/BJ360)^0.2-1)*100)))</f>
        <v>-2.1503911750941018</v>
      </c>
      <c r="BW360" s="722"/>
      <c r="BX360" s="722"/>
      <c r="BY360"/>
      <c r="BZ360"/>
      <c r="CA360"/>
      <c r="CB360"/>
      <c r="CC360"/>
      <c r="CD360"/>
    </row>
    <row r="361" spans="1:83" s="2" customFormat="1" ht="12.75" hidden="1" customHeight="1" outlineLevel="1" x14ac:dyDescent="0.2">
      <c r="A361" s="41"/>
      <c r="B361" s="62" t="s">
        <v>433</v>
      </c>
      <c r="C361" s="697" t="e">
        <f>+C323/C$212*400</f>
        <v>#REF!</v>
      </c>
      <c r="D361" s="9" t="str">
        <f>IF(ISERROR(C361/#REF!),"NA",IF(OR(C361/#REF!&gt;2,C361/#REF!&lt;0.5),"NM",C361/#REF!*100-100))</f>
        <v>NA</v>
      </c>
      <c r="E361" s="697" t="e">
        <f>+E323/E$212*400</f>
        <v>#REF!</v>
      </c>
      <c r="F361" s="9" t="str">
        <f>IF(ISERROR(E361/#REF!),"NA",IF(OR(E361/#REF!&gt;2,E361/#REF!&lt;0.5),"NM",E361/#REF!*100-100))</f>
        <v>NA</v>
      </c>
      <c r="G361" s="697" t="e">
        <f>+G323/G$212*400</f>
        <v>#REF!</v>
      </c>
      <c r="H361" s="9" t="str">
        <f>IF(ISERROR(G361/#REF!),"NA",IF(OR(G361/#REF!&gt;2,G361/#REF!&lt;0.5),"NM",G361/#REF!*100-100))</f>
        <v>NA</v>
      </c>
      <c r="I361" s="697" t="e">
        <f>+I323/I$212*400</f>
        <v>#REF!</v>
      </c>
      <c r="J361" s="9" t="str">
        <f>IF(ISERROR(I361/#REF!),"NA",IF(OR(I361/#REF!&gt;2,I361/#REF!&lt;0.5),"NM",I361/#REF!*100-100))</f>
        <v>NA</v>
      </c>
      <c r="K361" s="697" t="e">
        <f>+K323/K$212*400</f>
        <v>#REF!</v>
      </c>
      <c r="L361" s="9" t="str">
        <f>IF(ISERROR(K361/C361),"NA",IF(OR(K361/C361&gt;2,K361/C361&lt;0.5),"NM",K361/C361*100-100))</f>
        <v>NA</v>
      </c>
      <c r="M361" s="697" t="e">
        <f>+M323/M$212*400</f>
        <v>#REF!</v>
      </c>
      <c r="N361" s="9" t="str">
        <f>IF(ISERROR(M361/E361),"NA",IF(OR(M361/E361&gt;2,M361/E361&lt;0.5),"NM",M361/E361*100-100))</f>
        <v>NA</v>
      </c>
      <c r="O361" s="697"/>
      <c r="P361" s="9"/>
      <c r="Q361" s="699"/>
      <c r="R361" s="9"/>
      <c r="S361" s="699"/>
      <c r="T361" s="9"/>
      <c r="U361" s="699"/>
      <c r="V361" s="9"/>
      <c r="W361" s="699"/>
      <c r="X361" s="9"/>
      <c r="Y361" s="699"/>
      <c r="Z361" s="9"/>
      <c r="AA361" s="699"/>
      <c r="AB361" s="9"/>
      <c r="AC361" s="699"/>
      <c r="AD361" s="9"/>
      <c r="AE361" s="699"/>
      <c r="AF361" s="9"/>
      <c r="AG361" s="699"/>
      <c r="AH361" s="9"/>
      <c r="AI361" s="699"/>
      <c r="AJ361" s="9"/>
      <c r="AK361" s="699"/>
      <c r="AL361" s="9"/>
      <c r="AM361" s="699"/>
      <c r="AN361" s="9"/>
      <c r="AO361" s="699"/>
      <c r="AP361" s="9"/>
      <c r="AQ361" s="699"/>
      <c r="AR361" s="9"/>
      <c r="AS361" s="699"/>
      <c r="AT361" s="9"/>
      <c r="AU361" s="699"/>
      <c r="AV361" s="9"/>
      <c r="AW361" s="699"/>
      <c r="AX361" s="9"/>
      <c r="AY361" s="287"/>
      <c r="AZ361" s="15"/>
      <c r="BA361" s="9"/>
      <c r="BB361" s="697"/>
      <c r="BC361" s="9"/>
      <c r="BD361" s="915"/>
      <c r="BE361" s="9" t="str">
        <f>IF(ISERROR(BD361/BB361),"NA",IF(OR(BD361/BB361&gt;2,BD361/BB361&lt;0.5),"NM",BD361/BB361*100-100))</f>
        <v>NA</v>
      </c>
      <c r="BF361" s="697">
        <f>+BF323/BF$303*100</f>
        <v>0.42433345850544496</v>
      </c>
      <c r="BG361" s="9" t="str">
        <f>IF(ISERROR(BF361/BD361),"NA",IF(OR(BF361/BD361&gt;2,BF361/BD361&lt;0.5),"NM",BF361/BD361*100-100))</f>
        <v>NA</v>
      </c>
      <c r="BH361" s="697">
        <f>+BH323/BH$303*100</f>
        <v>0.26453136701422891</v>
      </c>
      <c r="BI361" s="9">
        <f>IF(ISERROR(BH361/BF361),"NA",IF(OR(BH361/BF361&gt;2,BH361/BF361&lt;0.5),"NM",BH361/BF361*100-100))</f>
        <v>-37.659554835496309</v>
      </c>
      <c r="BJ361" s="697">
        <f>+BJ323/BJ$303*100</f>
        <v>0.19173779446910208</v>
      </c>
      <c r="BK361" s="9">
        <f>IF(ISERROR(BJ361/BH361),"NA",IF(OR(BJ361/BH361&gt;2,BJ361/BH361&lt;0.5),"NM",BJ361/BH361*100-100))</f>
        <v>-27.517936102152802</v>
      </c>
      <c r="BL361" s="697">
        <f>+BL323/BL$303*100</f>
        <v>0.17075982884113863</v>
      </c>
      <c r="BM361" s="9">
        <f>IF(ISERROR(BL361/BJ361),"NA",IF(OR(BL361/BJ361&gt;2,BL361/BJ361&lt;0.5),"NM",BL361/BJ361*100-100))</f>
        <v>-10.940965335524382</v>
      </c>
      <c r="BN361" s="697">
        <f>BN359+BN360-BN362</f>
        <v>0.22075982884113854</v>
      </c>
      <c r="BO361" s="9">
        <f>IF(ISERROR(BN361/BL361),"NA",IF(OR(BN361/BL361&gt;2,BN361/BL361&lt;0.5),"NM",BN361/BL361*100-100))</f>
        <v>29.280891377863782</v>
      </c>
      <c r="BP361" s="697">
        <f>BP359+BP360-BP362</f>
        <v>0.27075982884113858</v>
      </c>
      <c r="BQ361" s="9">
        <f>IF(ISERROR(BP361/BN361),"NA",IF(OR(BP361/BN361&gt;2,BP361/BN361&lt;0.5),"NM",BP361/BN361*100-100))</f>
        <v>22.649048181669258</v>
      </c>
      <c r="BR361" s="697">
        <f>BR359+BR360-BR362</f>
        <v>0.32075982884113863</v>
      </c>
      <c r="BS361" s="9">
        <f>IF(ISERROR(BR361/BP361),"NA",IF(OR(BR361/BP361&gt;2,BR361/BP361&lt;0.5),"NM",BR361/BP361*100-100))</f>
        <v>18.466550305487246</v>
      </c>
      <c r="BT361" s="697">
        <f>BT359+BT360-BT362</f>
        <v>0.37075982884113856</v>
      </c>
      <c r="BU361" s="9">
        <f>IF(ISERROR(BT361/BR361),"NA",IF(OR(BT361/BR361&gt;2,BT361/BR361&lt;0.5),"NM",BT361/BR361*100-100))</f>
        <v>15.587986868755692</v>
      </c>
      <c r="BV361" s="43">
        <f>IF(ISERROR(((BT361/BJ361)^0.2-1)*100),"NA",IF((((BT361/BJ361)^0.2-1)*100)&gt;100,"NM",IF((((BT361/BJ361)^0.2-1)*100)&lt;-50,"NM",((BT361/BJ361)^0.2-1)*100)))</f>
        <v>14.097726057548353</v>
      </c>
      <c r="BW361" s="722"/>
      <c r="BX361" s="722"/>
      <c r="BY361"/>
      <c r="BZ361"/>
      <c r="CA361"/>
      <c r="CB361"/>
      <c r="CC361"/>
      <c r="CD361"/>
      <c r="CE361" s="7"/>
    </row>
    <row r="362" spans="1:83" s="2" customFormat="1" ht="12.75" hidden="1" customHeight="1" outlineLevel="1" x14ac:dyDescent="0.2">
      <c r="A362" s="41"/>
      <c r="B362" s="62" t="s">
        <v>426</v>
      </c>
      <c r="C362" s="697" t="e">
        <f>C359+C360-C361</f>
        <v>#REF!</v>
      </c>
      <c r="D362" s="9" t="str">
        <f>IF(ISERROR(C362/#REF!),"NA",IF(OR(C362/#REF!&gt;2,C362/#REF!&lt;0.5),"NM",C362/#REF!*100-100))</f>
        <v>NA</v>
      </c>
      <c r="E362" s="697" t="e">
        <f>E359+E360-E361</f>
        <v>#REF!</v>
      </c>
      <c r="F362" s="9" t="str">
        <f>IF(ISERROR(E362/#REF!),"NA",IF(OR(E362/#REF!&gt;2,E362/#REF!&lt;0.5),"NM",E362/#REF!*100-100))</f>
        <v>NA</v>
      </c>
      <c r="G362" s="697" t="e">
        <f>G359+G360-G361</f>
        <v>#REF!</v>
      </c>
      <c r="H362" s="9" t="str">
        <f>IF(ISERROR(G362/#REF!),"NA",IF(OR(G362/#REF!&gt;2,G362/#REF!&lt;0.5),"NM",G362/#REF!*100-100))</f>
        <v>NA</v>
      </c>
      <c r="I362" s="697" t="e">
        <f>I359+I360-I361</f>
        <v>#REF!</v>
      </c>
      <c r="J362" s="9" t="str">
        <f>IF(ISERROR(I362/#REF!),"NA",IF(OR(I362/#REF!&gt;2,I362/#REF!&lt;0.5),"NM",I362/#REF!*100-100))</f>
        <v>NA</v>
      </c>
      <c r="K362" s="697" t="e">
        <f>K359+K360-K361</f>
        <v>#REF!</v>
      </c>
      <c r="L362" s="9" t="str">
        <f>IF(ISERROR(K362/C362),"NA",IF(OR(K362/C362&gt;2,K362/C362&lt;0.5),"NM",K362/C362*100-100))</f>
        <v>NA</v>
      </c>
      <c r="M362" s="697" t="e">
        <f>M359+M360-M361</f>
        <v>#REF!</v>
      </c>
      <c r="N362" s="9" t="str">
        <f>IF(ISERROR(M362/E362),"NA",IF(OR(M362/E362&gt;2,M362/E362&lt;0.5),"NM",M362/E362*100-100))</f>
        <v>NA</v>
      </c>
      <c r="O362" s="697"/>
      <c r="P362" s="9"/>
      <c r="Q362" s="699"/>
      <c r="R362" s="9"/>
      <c r="S362" s="699"/>
      <c r="T362" s="9"/>
      <c r="U362" s="699"/>
      <c r="V362" s="9"/>
      <c r="W362" s="699"/>
      <c r="X362" s="9"/>
      <c r="Y362" s="699"/>
      <c r="Z362" s="9"/>
      <c r="AA362" s="699"/>
      <c r="AB362" s="9"/>
      <c r="AC362" s="699"/>
      <c r="AD362" s="9"/>
      <c r="AE362" s="699"/>
      <c r="AF362" s="9"/>
      <c r="AG362" s="699"/>
      <c r="AH362" s="9"/>
      <c r="AI362" s="699"/>
      <c r="AJ362" s="9"/>
      <c r="AK362" s="699"/>
      <c r="AL362" s="9"/>
      <c r="AM362" s="698"/>
      <c r="AN362" s="9"/>
      <c r="AO362" s="698"/>
      <c r="AP362" s="9"/>
      <c r="AQ362" s="698"/>
      <c r="AR362" s="9"/>
      <c r="AS362" s="698"/>
      <c r="AT362" s="9"/>
      <c r="AU362" s="698"/>
      <c r="AV362" s="9"/>
      <c r="AW362" s="698"/>
      <c r="AX362" s="9"/>
      <c r="AY362" s="287"/>
      <c r="AZ362" s="15"/>
      <c r="BA362" s="9"/>
      <c r="BB362" s="697"/>
      <c r="BC362" s="9"/>
      <c r="BD362" s="915"/>
      <c r="BE362" s="9" t="str">
        <f>IF(ISERROR(BD362/BB362),"NA",IF(OR(BD362/BB362&gt;2,BD362/BB362&lt;0.5),"NM",BD362/BB362*100-100))</f>
        <v>NA</v>
      </c>
      <c r="BF362" s="697">
        <f>BF359+BF360-BF361</f>
        <v>0.49237701840030029</v>
      </c>
      <c r="BG362" s="9" t="str">
        <f>IF(ISERROR(BF362/BD362),"NA",IF(OR(BF362/BD362&gt;2,BF362/BD362&lt;0.5),"NM",BF362/BD362*100-100))</f>
        <v>NA</v>
      </c>
      <c r="BH362" s="697">
        <f>BH359+BH360-BH361</f>
        <v>0.31246039518405438</v>
      </c>
      <c r="BI362" s="9">
        <f>IF(ISERROR(BH362/BF362),"NA",IF(OR(BH362/BF362&gt;2,BH362/BF362&lt;0.5),"NM",BH362/BF362*100-100))</f>
        <v>-36.540418519284856</v>
      </c>
      <c r="BJ362" s="697">
        <f>BJ359+BJ360-BJ361</f>
        <v>0.29658098814807587</v>
      </c>
      <c r="BK362" s="9">
        <f>IF(ISERROR(BJ362/BH362),"NA",IF(OR(BJ362/BH362&gt;2,BJ362/BH362&lt;0.5),"NM",BJ362/BH362*100-100))</f>
        <v>-5.0820543277572199</v>
      </c>
      <c r="BL362" s="697">
        <f>BL359+BL360-BL361</f>
        <v>0.28924017115886147</v>
      </c>
      <c r="BM362" s="9">
        <f>IF(ISERROR(BL362/BJ362),"NA",IF(OR(BL362/BJ362&gt;2,BL362/BJ362&lt;0.5),"NM",BL362/BJ362*100-100))</f>
        <v>-2.475147525487813</v>
      </c>
      <c r="BN362" s="698">
        <f>BL362</f>
        <v>0.28924017115886147</v>
      </c>
      <c r="BO362" s="9">
        <f>IF(ISERROR(BN362/BL362),"NA",IF(OR(BN362/BL362&gt;2,BN362/BL362&lt;0.5),"NM",BN362/BL362*100-100))</f>
        <v>0</v>
      </c>
      <c r="BP362" s="698">
        <f>BN362</f>
        <v>0.28924017115886147</v>
      </c>
      <c r="BQ362" s="9">
        <f>IF(ISERROR(BP362/BN362),"NA",IF(OR(BP362/BN362&gt;2,BP362/BN362&lt;0.5),"NM",BP362/BN362*100-100))</f>
        <v>0</v>
      </c>
      <c r="BR362" s="698">
        <f>BP362</f>
        <v>0.28924017115886147</v>
      </c>
      <c r="BS362" s="9">
        <f>IF(ISERROR(BR362/BP362),"NA",IF(OR(BR362/BP362&gt;2,BR362/BP362&lt;0.5),"NM",BR362/BP362*100-100))</f>
        <v>0</v>
      </c>
      <c r="BT362" s="698">
        <f>BR362</f>
        <v>0.28924017115886147</v>
      </c>
      <c r="BU362" s="9">
        <f>IF(ISERROR(BT362/BR362),"NA",IF(OR(BT362/BR362&gt;2,BT362/BR362&lt;0.5),"NM",BT362/BR362*100-100))</f>
        <v>0</v>
      </c>
      <c r="BV362" s="43">
        <f>IF(ISERROR(((BT362/BJ362)^0.2-1)*100),"NA",IF((((BT362/BJ362)^0.2-1)*100)&gt;100,"NM",IF((((BT362/BJ362)^0.2-1)*100)&lt;-50,"NM",((BT362/BJ362)^0.2-1)*100)))</f>
        <v>-0.50000466003959909</v>
      </c>
      <c r="BW362" s="722"/>
      <c r="BX362" s="722"/>
      <c r="BY362"/>
      <c r="BZ362"/>
      <c r="CA362"/>
      <c r="CB362"/>
      <c r="CC362"/>
      <c r="CD362"/>
      <c r="CE362" s="7"/>
    </row>
    <row r="363" spans="1:83" s="2" customFormat="1" ht="12.75" hidden="1" customHeight="1" outlineLevel="1" x14ac:dyDescent="0.2">
      <c r="A363" s="66"/>
      <c r="B363" s="67"/>
      <c r="C363" s="696"/>
      <c r="D363" s="9"/>
      <c r="E363" s="696"/>
      <c r="F363" s="9"/>
      <c r="G363" s="696"/>
      <c r="H363" s="9"/>
      <c r="I363" s="696"/>
      <c r="J363" s="9"/>
      <c r="K363" s="696"/>
      <c r="L363" s="9"/>
      <c r="M363" s="696"/>
      <c r="N363" s="9"/>
      <c r="O363" s="696"/>
      <c r="P363" s="9"/>
      <c r="Q363" s="707"/>
      <c r="R363" s="9"/>
      <c r="S363" s="707"/>
      <c r="T363" s="9"/>
      <c r="U363" s="707"/>
      <c r="V363" s="9"/>
      <c r="W363" s="707"/>
      <c r="X363" s="9"/>
      <c r="Y363" s="707"/>
      <c r="Z363" s="9"/>
      <c r="AA363" s="707"/>
      <c r="AB363" s="9"/>
      <c r="AC363" s="707"/>
      <c r="AD363" s="9"/>
      <c r="AE363" s="707"/>
      <c r="AF363" s="9"/>
      <c r="AG363" s="707"/>
      <c r="AH363" s="9"/>
      <c r="AI363" s="707"/>
      <c r="AJ363" s="9"/>
      <c r="AK363" s="707"/>
      <c r="AL363" s="9"/>
      <c r="AM363" s="707"/>
      <c r="AN363" s="9"/>
      <c r="AO363" s="707"/>
      <c r="AP363" s="9"/>
      <c r="AQ363" s="707"/>
      <c r="AR363" s="9"/>
      <c r="AS363" s="707"/>
      <c r="AT363" s="9"/>
      <c r="AU363" s="707"/>
      <c r="AV363" s="9"/>
      <c r="AW363" s="707"/>
      <c r="AX363" s="9"/>
      <c r="AY363" s="287"/>
      <c r="AZ363" s="79"/>
      <c r="BA363" s="9"/>
      <c r="BB363" s="696"/>
      <c r="BC363" s="9"/>
      <c r="BD363" s="923"/>
      <c r="BE363" s="9"/>
      <c r="BF363" s="696"/>
      <c r="BG363" s="9"/>
      <c r="BH363" s="696"/>
      <c r="BI363" s="9"/>
      <c r="BJ363" s="696"/>
      <c r="BK363" s="9"/>
      <c r="BL363" s="696"/>
      <c r="BM363" s="9"/>
      <c r="BN363" s="696"/>
      <c r="BO363" s="9"/>
      <c r="BP363" s="696"/>
      <c r="BQ363" s="9"/>
      <c r="BR363" s="696"/>
      <c r="BS363" s="9"/>
      <c r="BT363" s="696"/>
      <c r="BU363" s="9"/>
      <c r="BV363" s="722"/>
      <c r="BW363" s="722"/>
      <c r="BX363" s="722"/>
      <c r="BY363"/>
      <c r="BZ363"/>
      <c r="CA363"/>
      <c r="CB363"/>
      <c r="CC363"/>
      <c r="CD363"/>
      <c r="CE363" s="7"/>
    </row>
    <row r="364" spans="1:83" s="2" customFormat="1" ht="12.75" hidden="1" customHeight="1" outlineLevel="1" x14ac:dyDescent="0.2">
      <c r="A364" s="41"/>
      <c r="B364" s="62" t="s">
        <v>384</v>
      </c>
      <c r="C364" s="697" t="e">
        <f>+C324/C$212*400</f>
        <v>#REF!</v>
      </c>
      <c r="D364" s="9" t="str">
        <f>IF(ISERROR(C364/#REF!),"NA",IF(OR(C364/#REF!&gt;2,C364/#REF!&lt;0.5),"NM",C364/#REF!*100-100))</f>
        <v>NA</v>
      </c>
      <c r="E364" s="697" t="e">
        <f>+E324/E$212*400</f>
        <v>#REF!</v>
      </c>
      <c r="F364" s="9" t="str">
        <f>IF(ISERROR(E364/#REF!),"NA",IF(OR(E364/#REF!&gt;2,E364/#REF!&lt;0.5),"NM",E364/#REF!*100-100))</f>
        <v>NA</v>
      </c>
      <c r="G364" s="697" t="e">
        <f>+G324/G$212*400</f>
        <v>#REF!</v>
      </c>
      <c r="H364" s="9" t="str">
        <f>IF(ISERROR(G364/#REF!),"NA",IF(OR(G364/#REF!&gt;2,G364/#REF!&lt;0.5),"NM",G364/#REF!*100-100))</f>
        <v>NA</v>
      </c>
      <c r="I364" s="697" t="e">
        <f>+I324/I$212*400</f>
        <v>#REF!</v>
      </c>
      <c r="J364" s="9" t="str">
        <f>IF(ISERROR(I364/#REF!),"NA",IF(OR(I364/#REF!&gt;2,I364/#REF!&lt;0.5),"NM",I364/#REF!*100-100))</f>
        <v>NA</v>
      </c>
      <c r="K364" s="697" t="e">
        <f>+K324/K$212*400</f>
        <v>#REF!</v>
      </c>
      <c r="L364" s="9" t="str">
        <f>IF(ISERROR(K364/C364),"NA",IF(OR(K364/C364&gt;2,K364/C364&lt;0.5),"NM",K364/C364*100-100))</f>
        <v>NA</v>
      </c>
      <c r="M364" s="697" t="e">
        <f>+M324/M$212*400</f>
        <v>#REF!</v>
      </c>
      <c r="N364" s="9" t="str">
        <f>IF(ISERROR(M364/E364),"NA",IF(OR(M364/E364&gt;2,M364/E364&lt;0.5),"NM",M364/E364*100-100))</f>
        <v>NA</v>
      </c>
      <c r="O364" s="697"/>
      <c r="P364" s="9"/>
      <c r="Q364" s="699"/>
      <c r="R364" s="9"/>
      <c r="S364" s="699"/>
      <c r="T364" s="9"/>
      <c r="U364" s="699"/>
      <c r="V364" s="9"/>
      <c r="W364" s="699"/>
      <c r="X364" s="9"/>
      <c r="Y364" s="699"/>
      <c r="Z364" s="9"/>
      <c r="AA364" s="699"/>
      <c r="AB364" s="9"/>
      <c r="AC364" s="699"/>
      <c r="AD364" s="9"/>
      <c r="AE364" s="699"/>
      <c r="AF364" s="9"/>
      <c r="AG364" s="699"/>
      <c r="AH364" s="9"/>
      <c r="AI364" s="699"/>
      <c r="AJ364" s="9"/>
      <c r="AK364" s="699"/>
      <c r="AL364" s="9"/>
      <c r="AM364" s="700"/>
      <c r="AN364" s="9"/>
      <c r="AO364" s="700"/>
      <c r="AP364" s="9"/>
      <c r="AQ364" s="700"/>
      <c r="AR364" s="9"/>
      <c r="AS364" s="700"/>
      <c r="AT364" s="9"/>
      <c r="AU364" s="700"/>
      <c r="AV364" s="9"/>
      <c r="AW364" s="700"/>
      <c r="AX364" s="9"/>
      <c r="AY364" s="287"/>
      <c r="AZ364" s="88"/>
      <c r="BA364" s="9"/>
      <c r="BB364" s="697"/>
      <c r="BC364" s="9"/>
      <c r="BD364" s="915"/>
      <c r="BE364" s="9" t="str">
        <f>IF(ISERROR(BD364/BB364),"NA",IF(OR(BD364/BB364&gt;2,BD364/BB364&lt;0.5),"NM",BD364/BB364*100-100))</f>
        <v>NA</v>
      </c>
      <c r="BF364" s="697">
        <f>+BF324/BF$303*100</f>
        <v>4.2658655651520841E-2</v>
      </c>
      <c r="BG364" s="9" t="str">
        <f>IF(ISERROR(BF364/BD364),"NA",IF(OR(BF364/BD364&gt;2,BF364/BD364&lt;0.5),"NM",BF364/BD364*100-100))</f>
        <v>NA</v>
      </c>
      <c r="BH364" s="697">
        <f>+BH324/BH$303*100</f>
        <v>2.4886226165101676E-2</v>
      </c>
      <c r="BI364" s="9">
        <f>IF(ISERROR(BH364/BF364),"NA",IF(OR(BH364/BF364&gt;2,BH364/BF364&lt;0.5),"NM",BH364/BF364*100-100))</f>
        <v>-41.661953980928025</v>
      </c>
      <c r="BJ364" s="697">
        <f>+BJ324/BJ$303*100</f>
        <v>2.3762376237623766E-2</v>
      </c>
      <c r="BK364" s="9">
        <f>IF(ISERROR(BJ364/BH364),"NA",IF(OR(BJ364/BH364&gt;2,BJ364/BH364&lt;0.5),"NM",BJ364/BH364*100-100))</f>
        <v>-4.5159515951594926</v>
      </c>
      <c r="BL364" s="697">
        <f>+BL324/BL$303*100</f>
        <v>2.4536376604850217E-2</v>
      </c>
      <c r="BM364" s="9">
        <f>IF(ISERROR(BL364/BJ364),"NA",IF(OR(BL364/BJ364&gt;2,BL364/BJ364&lt;0.5),"NM",BL364/BJ364*100-100))</f>
        <v>3.2572515454113216</v>
      </c>
      <c r="BN364" s="698">
        <f>BL364</f>
        <v>2.4536376604850217E-2</v>
      </c>
      <c r="BO364" s="9">
        <f>IF(ISERROR(BN364/BL364),"NA",IF(OR(BN364/BL364&gt;2,BN364/BL364&lt;0.5),"NM",BN364/BL364*100-100))</f>
        <v>0</v>
      </c>
      <c r="BP364" s="698">
        <f>BN364</f>
        <v>2.4536376604850217E-2</v>
      </c>
      <c r="BQ364" s="9">
        <f>IF(ISERROR(BP364/BN364),"NA",IF(OR(BP364/BN364&gt;2,BP364/BN364&lt;0.5),"NM",BP364/BN364*100-100))</f>
        <v>0</v>
      </c>
      <c r="BR364" s="698">
        <f>BP364</f>
        <v>2.4536376604850217E-2</v>
      </c>
      <c r="BS364" s="9">
        <f>IF(ISERROR(BR364/BP364),"NA",IF(OR(BR364/BP364&gt;2,BR364/BP364&lt;0.5),"NM",BR364/BP364*100-100))</f>
        <v>0</v>
      </c>
      <c r="BT364" s="698">
        <f>BR364</f>
        <v>2.4536376604850217E-2</v>
      </c>
      <c r="BU364" s="9">
        <f>IF(ISERROR(BT364/BR364),"NA",IF(OR(BT364/BR364&gt;2,BT364/BR364&lt;0.5),"NM",BT364/BR364*100-100))</f>
        <v>0</v>
      </c>
      <c r="BV364" s="43">
        <f>IF(ISERROR(((BT364/BJ364)^0.2-1)*100),"NA",IF((((BT364/BJ364)^0.2-1)*100)&gt;100,"NM",IF((((BT364/BJ364)^0.2-1)*100)&lt;-50,"NM",((BT364/BJ364)^0.2-1)*100)))</f>
        <v>0.64312474845429346</v>
      </c>
      <c r="BW364" s="722"/>
      <c r="BX364" s="722"/>
      <c r="BY364"/>
      <c r="BZ364"/>
      <c r="CA364"/>
      <c r="CB364"/>
      <c r="CC364"/>
      <c r="CD364"/>
      <c r="CE364" s="7"/>
    </row>
    <row r="365" spans="1:83" s="2" customFormat="1" ht="12.75" hidden="1" customHeight="1" outlineLevel="1" x14ac:dyDescent="0.2">
      <c r="A365" s="41"/>
      <c r="B365" s="62" t="s">
        <v>385</v>
      </c>
      <c r="C365" s="697" t="e">
        <f>+C325/C$212*400</f>
        <v>#REF!</v>
      </c>
      <c r="D365" s="9" t="str">
        <f>IF(ISERROR(C365/#REF!),"NA",IF(OR(C365/#REF!&gt;2,C365/#REF!&lt;0.5),"NM",C365/#REF!*100-100))</f>
        <v>NA</v>
      </c>
      <c r="E365" s="697" t="e">
        <f>+E325/E$212*400</f>
        <v>#REF!</v>
      </c>
      <c r="F365" s="9" t="str">
        <f>IF(ISERROR(E365/#REF!),"NA",IF(OR(E365/#REF!&gt;2,E365/#REF!&lt;0.5),"NM",E365/#REF!*100-100))</f>
        <v>NA</v>
      </c>
      <c r="G365" s="697" t="e">
        <f>+G325/G$212*400</f>
        <v>#REF!</v>
      </c>
      <c r="H365" s="9" t="str">
        <f>IF(ISERROR(G365/#REF!),"NA",IF(OR(G365/#REF!&gt;2,G365/#REF!&lt;0.5),"NM",G365/#REF!*100-100))</f>
        <v>NA</v>
      </c>
      <c r="I365" s="697" t="e">
        <f>+I325/I$212*400</f>
        <v>#REF!</v>
      </c>
      <c r="J365" s="9" t="str">
        <f>IF(ISERROR(I365/#REF!),"NA",IF(OR(I365/#REF!&gt;2,I365/#REF!&lt;0.5),"NM",I365/#REF!*100-100))</f>
        <v>NA</v>
      </c>
      <c r="K365" s="697" t="e">
        <f>+K325/K$212*400</f>
        <v>#REF!</v>
      </c>
      <c r="L365" s="9" t="str">
        <f>IF(ISERROR(K365/C365),"NA",IF(OR(K365/C365&gt;2,K365/C365&lt;0.5),"NM",K365/C365*100-100))</f>
        <v>NA</v>
      </c>
      <c r="M365" s="697" t="e">
        <f>+M325/M$212*400</f>
        <v>#REF!</v>
      </c>
      <c r="N365" s="9" t="str">
        <f>IF(ISERROR(M365/E365),"NA",IF(OR(M365/E365&gt;2,M365/E365&lt;0.5),"NM",M365/E365*100-100))</f>
        <v>NA</v>
      </c>
      <c r="O365" s="697"/>
      <c r="P365" s="9"/>
      <c r="Q365" s="697"/>
      <c r="R365" s="9"/>
      <c r="S365" s="697"/>
      <c r="T365" s="9"/>
      <c r="U365" s="697"/>
      <c r="V365" s="9"/>
      <c r="W365" s="697"/>
      <c r="X365" s="9"/>
      <c r="Y365" s="697"/>
      <c r="Z365" s="9"/>
      <c r="AA365" s="697"/>
      <c r="AB365" s="9"/>
      <c r="AC365" s="697"/>
      <c r="AD365" s="9"/>
      <c r="AE365" s="697"/>
      <c r="AF365" s="9"/>
      <c r="AG365" s="697"/>
      <c r="AH365" s="9"/>
      <c r="AI365" s="697"/>
      <c r="AJ365" s="9"/>
      <c r="AK365" s="697"/>
      <c r="AL365" s="9"/>
      <c r="AM365" s="698"/>
      <c r="AN365" s="9"/>
      <c r="AO365" s="698"/>
      <c r="AP365" s="9"/>
      <c r="AQ365" s="698"/>
      <c r="AR365" s="9"/>
      <c r="AS365" s="698"/>
      <c r="AT365" s="9"/>
      <c r="AU365" s="698"/>
      <c r="AV365" s="9"/>
      <c r="AW365" s="698"/>
      <c r="AX365" s="9"/>
      <c r="AY365" s="287"/>
      <c r="AZ365" s="88"/>
      <c r="BA365" s="9"/>
      <c r="BB365" s="697"/>
      <c r="BC365" s="9"/>
      <c r="BD365" s="915"/>
      <c r="BE365" s="9" t="str">
        <f>IF(ISERROR(BD365/BB365),"NA",IF(OR(BD365/BB365&gt;2,BD365/BB365&lt;0.5),"NM",BD365/BB365*100-100))</f>
        <v>NA</v>
      </c>
      <c r="BF365" s="697">
        <f>+BF325/BF$303*100</f>
        <v>-1.1340593315809238E-2</v>
      </c>
      <c r="BG365" s="9" t="str">
        <f>IF(ISERROR(BF365/BD365),"NA",IF(OR(BF365/BD365&gt;2,BF365/BD365&lt;0.5),"NM",BF365/BD365*100-100))</f>
        <v>NA</v>
      </c>
      <c r="BH365" s="697">
        <f>+BH325/BH$303*100</f>
        <v>-1.1521401002361888E-3</v>
      </c>
      <c r="BI365" s="9" t="str">
        <f>IF(ISERROR(BH365/BF365),"NA",IF(OR(BH365/BF365&gt;2,BH365/BF365&lt;0.5),"NM",BH365/BF365*100-100))</f>
        <v>NM</v>
      </c>
      <c r="BJ365" s="697">
        <f>+BJ325/BJ$303*100</f>
        <v>-8.1939228405599157E-4</v>
      </c>
      <c r="BK365" s="9">
        <f>IF(ISERROR(BJ365/BH365),"NA",IF(OR(BJ365/BH365&gt;2,BJ365/BH365&lt;0.5),"NM",BJ365/BH365*100-100))</f>
        <v>-28.880846705360213</v>
      </c>
      <c r="BL365" s="697">
        <f>+BL325/BL$303*100</f>
        <v>-3.5663338088445071E-3</v>
      </c>
      <c r="BM365" s="9" t="str">
        <f>IF(ISERROR(BL365/BJ365),"NA",IF(OR(BL365/BJ365&gt;2,BL365/BJ365&lt;0.5),"NM",BL365/BJ365*100-100))</f>
        <v>NM</v>
      </c>
      <c r="BN365" s="698">
        <f>BL365</f>
        <v>-3.5663338088445071E-3</v>
      </c>
      <c r="BO365" s="9">
        <f>IF(ISERROR(BN365/BL365),"NA",IF(OR(BN365/BL365&gt;2,BN365/BL365&lt;0.5),"NM",BN365/BL365*100-100))</f>
        <v>0</v>
      </c>
      <c r="BP365" s="698">
        <f>BN365</f>
        <v>-3.5663338088445071E-3</v>
      </c>
      <c r="BQ365" s="9">
        <f>IF(ISERROR(BP365/BN365),"NA",IF(OR(BP365/BN365&gt;2,BP365/BN365&lt;0.5),"NM",BP365/BN365*100-100))</f>
        <v>0</v>
      </c>
      <c r="BR365" s="698">
        <f>BP365</f>
        <v>-3.5663338088445071E-3</v>
      </c>
      <c r="BS365" s="9">
        <f>IF(ISERROR(BR365/BP365),"NA",IF(OR(BR365/BP365&gt;2,BR365/BP365&lt;0.5),"NM",BR365/BP365*100-100))</f>
        <v>0</v>
      </c>
      <c r="BT365" s="698">
        <f>BR365</f>
        <v>-3.5663338088445071E-3</v>
      </c>
      <c r="BU365" s="9">
        <f>IF(ISERROR(BT365/BR365),"NA",IF(OR(BT365/BR365&gt;2,BT365/BR365&lt;0.5),"NM",BT365/BR365*100-100))</f>
        <v>0</v>
      </c>
      <c r="BV365" s="43">
        <f>IF(ISERROR(((BT365/BJ365)^0.2-1)*100),"NA",IF((((BT365/BJ365)^0.2-1)*100)&gt;100,"NM",IF((((BT365/BJ365)^0.2-1)*100)&lt;-50,"NM",((BT365/BJ365)^0.2-1)*100)))</f>
        <v>34.197994035422361</v>
      </c>
      <c r="BW365" s="722"/>
      <c r="BX365" s="722"/>
      <c r="BY365"/>
      <c r="BZ365"/>
      <c r="CA365"/>
      <c r="CB365"/>
      <c r="CC365"/>
      <c r="CD365"/>
    </row>
    <row r="366" spans="1:83" s="2" customFormat="1" ht="12.75" hidden="1" customHeight="1" outlineLevel="1" x14ac:dyDescent="0.2">
      <c r="A366" s="41"/>
      <c r="B366" s="62" t="s">
        <v>264</v>
      </c>
      <c r="C366" s="697" t="e">
        <f>+C326/C212*400</f>
        <v>#REF!</v>
      </c>
      <c r="D366" s="9" t="str">
        <f>IF(ISERROR(C366/#REF!),"NA",IF(OR(C366/#REF!&gt;2,C366/#REF!&lt;0.5),"NM",C366/#REF!*100-100))</f>
        <v>NA</v>
      </c>
      <c r="E366" s="697" t="e">
        <f>+E326/E212*400</f>
        <v>#REF!</v>
      </c>
      <c r="F366" s="9" t="str">
        <f>IF(ISERROR(E366/#REF!),"NA",IF(OR(E366/#REF!&gt;2,E366/#REF!&lt;0.5),"NM",E366/#REF!*100-100))</f>
        <v>NA</v>
      </c>
      <c r="G366" s="697" t="e">
        <f>+G326/G212*400</f>
        <v>#REF!</v>
      </c>
      <c r="H366" s="9" t="str">
        <f>IF(ISERROR(G366/#REF!),"NA",IF(OR(G366/#REF!&gt;2,G366/#REF!&lt;0.5),"NM",G366/#REF!*100-100))</f>
        <v>NA</v>
      </c>
      <c r="I366" s="697" t="e">
        <f>+I326/I212*400</f>
        <v>#REF!</v>
      </c>
      <c r="J366" s="9" t="str">
        <f>IF(ISERROR(I366/#REF!),"NA",IF(OR(I366/#REF!&gt;2,I366/#REF!&lt;0.5),"NM",I366/#REF!*100-100))</f>
        <v>NA</v>
      </c>
      <c r="K366" s="697" t="e">
        <f>+K326/K212*400</f>
        <v>#REF!</v>
      </c>
      <c r="L366" s="9" t="str">
        <f>IF(ISERROR(K366/C366),"NA",IF(OR(K366/C366&gt;2,K366/C366&lt;0.5),"NM",K366/C366*100-100))</f>
        <v>NA</v>
      </c>
      <c r="M366" s="697" t="e">
        <f>+M326/M212*400</f>
        <v>#REF!</v>
      </c>
      <c r="N366" s="9" t="str">
        <f>IF(ISERROR(M366/E366),"NA",IF(OR(M366/E366&gt;2,M366/E366&lt;0.5),"NM",M366/E366*100-100))</f>
        <v>NA</v>
      </c>
      <c r="O366" s="697"/>
      <c r="P366" s="9"/>
      <c r="Q366" s="697"/>
      <c r="R366" s="9"/>
      <c r="S366" s="697"/>
      <c r="T366" s="9"/>
      <c r="U366" s="697"/>
      <c r="V366" s="9"/>
      <c r="W366" s="697"/>
      <c r="X366" s="9"/>
      <c r="Y366" s="697"/>
      <c r="Z366" s="9"/>
      <c r="AA366" s="697"/>
      <c r="AB366" s="9"/>
      <c r="AC366" s="697"/>
      <c r="AD366" s="9"/>
      <c r="AE366" s="697"/>
      <c r="AF366" s="9"/>
      <c r="AG366" s="697"/>
      <c r="AH366" s="9"/>
      <c r="AI366" s="697"/>
      <c r="AJ366" s="9"/>
      <c r="AK366" s="697"/>
      <c r="AL366" s="9"/>
      <c r="AM366" s="698"/>
      <c r="AN366" s="9"/>
      <c r="AO366" s="698"/>
      <c r="AP366" s="9"/>
      <c r="AQ366" s="698"/>
      <c r="AR366" s="9"/>
      <c r="AS366" s="698"/>
      <c r="AT366" s="9"/>
      <c r="AU366" s="698"/>
      <c r="AV366" s="9"/>
      <c r="AW366" s="698"/>
      <c r="AX366" s="9"/>
      <c r="AY366" s="287"/>
      <c r="AZ366" s="88"/>
      <c r="BA366" s="9"/>
      <c r="BB366" s="697"/>
      <c r="BC366" s="9"/>
      <c r="BD366" s="915"/>
      <c r="BE366" s="9" t="str">
        <f>IF(ISERROR(BD366/BB366),"NA",IF(OR(BD366/BB366&gt;2,BD366/BB366&lt;0.5),"NM",BD366/BB366*100-100))</f>
        <v>NA</v>
      </c>
      <c r="BF366" s="697">
        <f>+BF326/BF303*100</f>
        <v>0.25978220052572282</v>
      </c>
      <c r="BG366" s="9" t="str">
        <f>IF(ISERROR(BF366/BD366),"NA",IF(OR(BF366/BD366&gt;2,BF366/BD366&lt;0.5),"NM",BF366/BD366*100-100))</f>
        <v>NA</v>
      </c>
      <c r="BH366" s="697">
        <f>+BH326/BH303*100</f>
        <v>0.15489371507575322</v>
      </c>
      <c r="BI366" s="9">
        <f>IF(ISERROR(BH366/BF366),"NA",IF(OR(BH366/BF366&gt;2,BH366/BF366&lt;0.5),"NM",BH366/BF366*100-100))</f>
        <v>-40.375547376881912</v>
      </c>
      <c r="BJ366" s="697">
        <f>+BJ326/BJ303*100</f>
        <v>0.14335463102960544</v>
      </c>
      <c r="BK366" s="9">
        <f>IF(ISERROR(BJ366/BH366),"NA",IF(OR(BJ366/BH366&gt;2,BJ366/BH366&lt;0.5),"NM",BJ366/BH366*100-100))</f>
        <v>-7.4496786654670899</v>
      </c>
      <c r="BL366" s="697">
        <f>+BL326/BL303*100</f>
        <v>0.14279600570613415</v>
      </c>
      <c r="BM366" s="9">
        <f>IF(ISERROR(BL366/BJ366),"NA",IF(OR(BL366/BJ366&gt;2,BL366/BJ366&lt;0.5),"NM",BL366/BJ366*100-100))</f>
        <v>-0.38968069566996633</v>
      </c>
      <c r="BN366" s="697">
        <f>BN367-BN364-BN365</f>
        <v>0.14279600570613413</v>
      </c>
      <c r="BO366" s="9">
        <f>IF(ISERROR(BN366/BL366),"NA",IF(OR(BN366/BL366&gt;2,BN366/BL366&lt;0.5),"NM",BN366/BL366*100-100))</f>
        <v>-2.8421709430404007E-14</v>
      </c>
      <c r="BP366" s="697">
        <f>BP367-BP364-BP365</f>
        <v>0.14279600570613413</v>
      </c>
      <c r="BQ366" s="9">
        <f>IF(ISERROR(BP366/BN366),"NA",IF(OR(BP366/BN366&gt;2,BP366/BN366&lt;0.5),"NM",BP366/BN366*100-100))</f>
        <v>0</v>
      </c>
      <c r="BR366" s="697">
        <f>BR367-BR364-BR365</f>
        <v>0.14279600570613413</v>
      </c>
      <c r="BS366" s="9">
        <f>IF(ISERROR(BR366/BP366),"NA",IF(OR(BR366/BP366&gt;2,BR366/BP366&lt;0.5),"NM",BR366/BP366*100-100))</f>
        <v>0</v>
      </c>
      <c r="BT366" s="697">
        <f>BT367-BT364-BT365</f>
        <v>0.14279600570613413</v>
      </c>
      <c r="BU366" s="9">
        <f>IF(ISERROR(BT366/BR366),"NA",IF(OR(BT366/BR366&gt;2,BT366/BR366&lt;0.5),"NM",BT366/BR366*100-100))</f>
        <v>0</v>
      </c>
      <c r="BV366" s="43">
        <f>IF(ISERROR(((BT366/BJ366)^0.2-1)*100),"NA",IF((((BT366/BJ366)^0.2-1)*100)&gt;100,"NM",IF((((BT366/BJ366)^0.2-1)*100)&lt;-50,"NM",((BT366/BJ366)^0.2-1)*100)))</f>
        <v>-7.8057904779160747E-2</v>
      </c>
      <c r="BW366" s="722"/>
      <c r="BX366" s="722"/>
      <c r="BY366"/>
      <c r="BZ366"/>
      <c r="CA366"/>
      <c r="CB366"/>
      <c r="CC366"/>
      <c r="CD366"/>
    </row>
    <row r="367" spans="1:83" s="2" customFormat="1" ht="12.75" hidden="1" customHeight="1" outlineLevel="1" x14ac:dyDescent="0.2">
      <c r="A367" s="41"/>
      <c r="B367" s="62" t="s">
        <v>427</v>
      </c>
      <c r="C367" s="697" t="e">
        <f>C364+C365+C366</f>
        <v>#REF!</v>
      </c>
      <c r="D367" s="9" t="str">
        <f>IF(ISERROR(C367/#REF!),"NA",IF(OR(C367/#REF!&gt;2,C367/#REF!&lt;0.5),"NM",C367/#REF!*100-100))</f>
        <v>NA</v>
      </c>
      <c r="E367" s="697" t="e">
        <f>E364+E365+E366</f>
        <v>#REF!</v>
      </c>
      <c r="F367" s="9" t="str">
        <f>IF(ISERROR(E367/#REF!),"NA",IF(OR(E367/#REF!&gt;2,E367/#REF!&lt;0.5),"NM",E367/#REF!*100-100))</f>
        <v>NA</v>
      </c>
      <c r="G367" s="697" t="e">
        <f>G364+G365+G366</f>
        <v>#REF!</v>
      </c>
      <c r="H367" s="9" t="str">
        <f>IF(ISERROR(G367/#REF!),"NA",IF(OR(G367/#REF!&gt;2,G367/#REF!&lt;0.5),"NM",G367/#REF!*100-100))</f>
        <v>NA</v>
      </c>
      <c r="I367" s="697" t="e">
        <f>I364+I365+I366</f>
        <v>#REF!</v>
      </c>
      <c r="J367" s="9" t="str">
        <f>IF(ISERROR(I367/#REF!),"NA",IF(OR(I367/#REF!&gt;2,I367/#REF!&lt;0.5),"NM",I367/#REF!*100-100))</f>
        <v>NA</v>
      </c>
      <c r="K367" s="697" t="e">
        <f>K364+K365+K366</f>
        <v>#REF!</v>
      </c>
      <c r="L367" s="9" t="str">
        <f>IF(ISERROR(K367/C367),"NA",IF(OR(K367/C367&gt;2,K367/C367&lt;0.5),"NM",K367/C367*100-100))</f>
        <v>NA</v>
      </c>
      <c r="M367" s="697" t="e">
        <f>M364+M365+M366</f>
        <v>#REF!</v>
      </c>
      <c r="N367" s="9" t="str">
        <f>IF(ISERROR(M367/E367),"NA",IF(OR(M367/E367&gt;2,M367/E367&lt;0.5),"NM",M367/E367*100-100))</f>
        <v>NA</v>
      </c>
      <c r="O367" s="697"/>
      <c r="P367" s="9"/>
      <c r="Q367" s="697"/>
      <c r="R367" s="9"/>
      <c r="S367" s="697"/>
      <c r="T367" s="9"/>
      <c r="U367" s="697"/>
      <c r="V367" s="9"/>
      <c r="W367" s="697"/>
      <c r="X367" s="9"/>
      <c r="Y367" s="697"/>
      <c r="Z367" s="9"/>
      <c r="AA367" s="697"/>
      <c r="AB367" s="9"/>
      <c r="AC367" s="697"/>
      <c r="AD367" s="9"/>
      <c r="AE367" s="697"/>
      <c r="AF367" s="9"/>
      <c r="AG367" s="697"/>
      <c r="AH367" s="9"/>
      <c r="AI367" s="697"/>
      <c r="AJ367" s="9"/>
      <c r="AK367" s="697"/>
      <c r="AL367" s="9"/>
      <c r="AM367" s="697"/>
      <c r="AN367" s="9"/>
      <c r="AO367" s="697"/>
      <c r="AP367" s="9"/>
      <c r="AQ367" s="697"/>
      <c r="AR367" s="9"/>
      <c r="AS367" s="697"/>
      <c r="AT367" s="9"/>
      <c r="AU367" s="697"/>
      <c r="AV367" s="9"/>
      <c r="AW367" s="697"/>
      <c r="AX367" s="9"/>
      <c r="AY367" s="287"/>
      <c r="AZ367" s="88"/>
      <c r="BA367" s="9"/>
      <c r="BB367" s="697"/>
      <c r="BC367" s="9"/>
      <c r="BD367" s="915"/>
      <c r="BE367" s="9" t="str">
        <f>IF(ISERROR(BD367/BB367),"NA",IF(OR(BD367/BB367&gt;2,BD367/BB367&lt;0.5),"NM",BD367/BB367*100-100))</f>
        <v>NA</v>
      </c>
      <c r="BF367" s="697">
        <f>BF364+BF365+BF366</f>
        <v>0.29110026286143442</v>
      </c>
      <c r="BG367" s="9" t="str">
        <f>IF(ISERROR(BF367/BD367),"NA",IF(OR(BF367/BD367&gt;2,BF367/BD367&lt;0.5),"NM",BF367/BD367*100-100))</f>
        <v>NA</v>
      </c>
      <c r="BH367" s="697">
        <f>BH364+BH365+BH366</f>
        <v>0.17862780114061871</v>
      </c>
      <c r="BI367" s="9">
        <f>IF(ISERROR(BH367/BF367),"NA",IF(OR(BH367/BF367&gt;2,BH367/BF367&lt;0.5),"NM",BH367/BF367*100-100))</f>
        <v>-38.637018261420572</v>
      </c>
      <c r="BJ367" s="697">
        <f>BJ364+BJ365+BJ366</f>
        <v>0.16629761498317322</v>
      </c>
      <c r="BK367" s="9">
        <f>IF(ISERROR(BJ367/BH367),"NA",IF(OR(BJ367/BH367&gt;2,BJ367/BH367&lt;0.5),"NM",BJ367/BH367*100-100))</f>
        <v>-6.9027251518026418</v>
      </c>
      <c r="BL367" s="697">
        <f>BL364+BL365+BL366</f>
        <v>0.16376604850213985</v>
      </c>
      <c r="BM367" s="9">
        <f>IF(ISERROR(BL367/BJ367),"NA",IF(OR(BL367/BJ367&gt;2,BL367/BJ367&lt;0.5),"NM",BL367/BJ367*100-100))</f>
        <v>-1.5223107567053944</v>
      </c>
      <c r="BN367" s="698">
        <f>BL367</f>
        <v>0.16376604850213985</v>
      </c>
      <c r="BO367" s="9">
        <f>IF(ISERROR(BN367/BL367),"NA",IF(OR(BN367/BL367&gt;2,BN367/BL367&lt;0.5),"NM",BN367/BL367*100-100))</f>
        <v>0</v>
      </c>
      <c r="BP367" s="698">
        <f>BN367</f>
        <v>0.16376604850213985</v>
      </c>
      <c r="BQ367" s="9">
        <f>IF(ISERROR(BP367/BN367),"NA",IF(OR(BP367/BN367&gt;2,BP367/BN367&lt;0.5),"NM",BP367/BN367*100-100))</f>
        <v>0</v>
      </c>
      <c r="BR367" s="698">
        <f>BP367</f>
        <v>0.16376604850213985</v>
      </c>
      <c r="BS367" s="9">
        <f>IF(ISERROR(BR367/BP367),"NA",IF(OR(BR367/BP367&gt;2,BR367/BP367&lt;0.5),"NM",BR367/BP367*100-100))</f>
        <v>0</v>
      </c>
      <c r="BT367" s="698">
        <f>BR367</f>
        <v>0.16376604850213985</v>
      </c>
      <c r="BU367" s="9">
        <f>IF(ISERROR(BT367/BR367),"NA",IF(OR(BT367/BR367&gt;2,BT367/BR367&lt;0.5),"NM",BT367/BR367*100-100))</f>
        <v>0</v>
      </c>
      <c r="BV367" s="43">
        <f>IF(ISERROR(((BT367/BJ367)^0.2-1)*100),"NA",IF((((BT367/BJ367)^0.2-1)*100)&gt;100,"NM",IF((((BT367/BJ367)^0.2-1)*100)&lt;-50,"NM",((BT367/BJ367)^0.2-1)*100)))</f>
        <v>-0.30633321160836724</v>
      </c>
      <c r="BW367" s="722"/>
      <c r="BX367" s="722"/>
      <c r="BY367"/>
      <c r="BZ367"/>
      <c r="CA367"/>
      <c r="CB367"/>
      <c r="CC367"/>
      <c r="CD367"/>
    </row>
    <row r="368" spans="1:83" s="2" customFormat="1" ht="12.75" hidden="1" customHeight="1" outlineLevel="1" x14ac:dyDescent="0.2">
      <c r="A368" s="41"/>
      <c r="B368" s="62"/>
      <c r="C368" s="694"/>
      <c r="D368" s="234"/>
      <c r="E368" s="694"/>
      <c r="F368" s="234"/>
      <c r="G368" s="694"/>
      <c r="H368" s="234"/>
      <c r="I368" s="694"/>
      <c r="J368" s="234"/>
      <c r="K368" s="694"/>
      <c r="L368" s="234"/>
      <c r="M368" s="694"/>
      <c r="N368" s="234"/>
      <c r="O368" s="694"/>
      <c r="P368" s="234"/>
      <c r="Q368" s="694"/>
      <c r="R368" s="234"/>
      <c r="S368" s="694"/>
      <c r="T368" s="234"/>
      <c r="U368" s="694"/>
      <c r="V368" s="234"/>
      <c r="W368" s="694"/>
      <c r="X368" s="234"/>
      <c r="Y368" s="694"/>
      <c r="Z368" s="234"/>
      <c r="AA368" s="694"/>
      <c r="AB368" s="234"/>
      <c r="AC368" s="694"/>
      <c r="AD368" s="234"/>
      <c r="AE368" s="694"/>
      <c r="AF368" s="234"/>
      <c r="AG368" s="694"/>
      <c r="AH368" s="234"/>
      <c r="AI368" s="694"/>
      <c r="AJ368" s="234"/>
      <c r="AK368" s="694"/>
      <c r="AL368" s="234"/>
      <c r="AM368" s="694"/>
      <c r="AN368" s="234"/>
      <c r="AO368" s="694"/>
      <c r="AP368" s="234"/>
      <c r="AQ368" s="694"/>
      <c r="AR368" s="234"/>
      <c r="AS368" s="694"/>
      <c r="AT368" s="234"/>
      <c r="AU368" s="694"/>
      <c r="AV368" s="234"/>
      <c r="AW368" s="694"/>
      <c r="AX368" s="234"/>
      <c r="AY368" s="287"/>
      <c r="AZ368" s="15"/>
      <c r="BA368" s="234"/>
      <c r="BB368" s="694"/>
      <c r="BC368" s="234"/>
      <c r="BD368" s="916"/>
      <c r="BE368" s="234"/>
      <c r="BF368" s="694"/>
      <c r="BG368" s="234"/>
      <c r="BH368" s="694"/>
      <c r="BI368" s="234"/>
      <c r="BJ368" s="694"/>
      <c r="BK368" s="234"/>
      <c r="BL368" s="694"/>
      <c r="BM368" s="234"/>
      <c r="BN368" s="694"/>
      <c r="BO368" s="234"/>
      <c r="BP368" s="694"/>
      <c r="BQ368" s="234"/>
      <c r="BR368" s="694"/>
      <c r="BS368" s="234"/>
      <c r="BT368" s="694"/>
      <c r="BU368" s="234"/>
      <c r="BV368" s="722"/>
      <c r="BW368" s="722"/>
      <c r="BX368" s="722"/>
      <c r="BY368"/>
      <c r="BZ368"/>
      <c r="CA368"/>
      <c r="CB368"/>
      <c r="CC368"/>
      <c r="CD368"/>
    </row>
    <row r="369" spans="1:82" s="2" customFormat="1" ht="12.75" hidden="1" customHeight="1" outlineLevel="1" x14ac:dyDescent="0.2">
      <c r="A369" s="41"/>
      <c r="B369" s="62" t="s">
        <v>365</v>
      </c>
      <c r="C369" s="697" t="e">
        <f>+C328/C212*400</f>
        <v>#REF!</v>
      </c>
      <c r="D369" s="9" t="str">
        <f>IF(ISERROR(C369/#REF!),"NA",IF(OR(C369/#REF!&gt;2,C369/#REF!&lt;0.5),"NM",C369/#REF!*100-100))</f>
        <v>NA</v>
      </c>
      <c r="E369" s="697" t="e">
        <f>+E328/E212*400</f>
        <v>#REF!</v>
      </c>
      <c r="F369" s="9" t="str">
        <f>IF(ISERROR(E369/#REF!),"NA",IF(OR(E369/#REF!&gt;2,E369/#REF!&lt;0.5),"NM",E369/#REF!*100-100))</f>
        <v>NA</v>
      </c>
      <c r="G369" s="697" t="e">
        <f>+G328/G212*400</f>
        <v>#REF!</v>
      </c>
      <c r="H369" s="9" t="str">
        <f>IF(ISERROR(G369/#REF!),"NA",IF(OR(G369/#REF!&gt;2,G369/#REF!&lt;0.5),"NM",G369/#REF!*100-100))</f>
        <v>NA</v>
      </c>
      <c r="I369" s="697" t="e">
        <f>+I328/I212*400</f>
        <v>#REF!</v>
      </c>
      <c r="J369" s="9" t="str">
        <f>IF(ISERROR(I369/#REF!),"NA",IF(OR(I369/#REF!&gt;2,I369/#REF!&lt;0.5),"NM",I369/#REF!*100-100))</f>
        <v>NA</v>
      </c>
      <c r="K369" s="697" t="e">
        <f>+K328/K212*400</f>
        <v>#REF!</v>
      </c>
      <c r="L369" s="9" t="str">
        <f>IF(ISERROR(K369/C369),"NA",IF(OR(K369/C369&gt;2,K369/C369&lt;0.5),"NM",K369/C369*100-100))</f>
        <v>NA</v>
      </c>
      <c r="M369" s="697" t="e">
        <f>+M328/M212*400</f>
        <v>#REF!</v>
      </c>
      <c r="N369" s="9" t="str">
        <f>IF(ISERROR(M369/E369),"NA",IF(OR(M369/E369&gt;2,M369/E369&lt;0.5),"NM",M369/E369*100-100))</f>
        <v>NA</v>
      </c>
      <c r="O369" s="697"/>
      <c r="P369" s="9"/>
      <c r="Q369" s="697"/>
      <c r="R369" s="9"/>
      <c r="S369" s="697"/>
      <c r="T369" s="9"/>
      <c r="U369" s="697"/>
      <c r="V369" s="9"/>
      <c r="W369" s="697"/>
      <c r="X369" s="697"/>
      <c r="Y369" s="697"/>
      <c r="Z369" s="697"/>
      <c r="AA369" s="697"/>
      <c r="AB369" s="697"/>
      <c r="AC369" s="697"/>
      <c r="AD369" s="697"/>
      <c r="AE369" s="697"/>
      <c r="AF369" s="697"/>
      <c r="AG369" s="697"/>
      <c r="AH369" s="9"/>
      <c r="AI369" s="697"/>
      <c r="AJ369" s="9"/>
      <c r="AK369" s="697"/>
      <c r="AL369" s="9"/>
      <c r="AM369" s="697"/>
      <c r="AN369" s="9"/>
      <c r="AO369" s="697"/>
      <c r="AP369" s="9"/>
      <c r="AQ369" s="697"/>
      <c r="AR369" s="9"/>
      <c r="AS369" s="697"/>
      <c r="AT369" s="9"/>
      <c r="AU369" s="697"/>
      <c r="AV369" s="9"/>
      <c r="AW369" s="697"/>
      <c r="AX369" s="9"/>
      <c r="AY369" s="287"/>
      <c r="AZ369" s="15"/>
      <c r="BA369" s="9"/>
      <c r="BB369" s="697"/>
      <c r="BC369" s="9"/>
      <c r="BD369" s="915"/>
      <c r="BE369" s="9" t="str">
        <f>IF(ISERROR(BD369/BB369),"NA",IF(OR(BD369/BB369&gt;2,BD369/BB369&lt;0.5),"NM",BD369/BB369*100-100))</f>
        <v>NA</v>
      </c>
      <c r="BF369" s="697">
        <f>+BF328/BF303*100</f>
        <v>0.20127675553886587</v>
      </c>
      <c r="BG369" s="9" t="str">
        <f>IF(ISERROR(BF369/BD369),"NA",IF(OR(BF369/BD369&gt;2,BF369/BD369&lt;0.5),"NM",BF369/BD369*100-100))</f>
        <v>NA</v>
      </c>
      <c r="BH369" s="697">
        <f>+BH328/BH303*100</f>
        <v>0.13383259404343573</v>
      </c>
      <c r="BI369" s="9">
        <f>IF(ISERROR(BH369/BF369),"NA",IF(OR(BH369/BF369&gt;2,BH369/BF369&lt;0.5),"NM",BH369/BF369*100-100))</f>
        <v>-33.508172026554206</v>
      </c>
      <c r="BJ369" s="697">
        <f>+BJ328/BJ303*100</f>
        <v>0.13028337316490268</v>
      </c>
      <c r="BK369" s="9">
        <f>IF(ISERROR(BJ369/BH369),"NA",IF(OR(BJ369/BH369&gt;2,BJ369/BH369&lt;0.5),"NM",BJ369/BH369*100-100))</f>
        <v>-2.6519854179775706</v>
      </c>
      <c r="BL369" s="697">
        <f>+BL328/BL303*100</f>
        <v>0.12547412265672153</v>
      </c>
      <c r="BM369" s="9">
        <f>IF(ISERROR(BL369/BJ369),"NA",IF(OR(BL369/BJ369&gt;2,BL369/BJ369&lt;0.5),"NM",BL369/BJ369*100-100))</f>
        <v>-3.6913770278989944</v>
      </c>
      <c r="BN369" s="697">
        <f>+BN328/BN303*100</f>
        <v>0.12497412265672159</v>
      </c>
      <c r="BO369" s="9">
        <f>IF(ISERROR(BN369/BL369),"NA",IF(OR(BN369/BL369&gt;2,BN369/BL369&lt;0.5),"NM",BN369/BL369*100-100))</f>
        <v>-0.39848854043623305</v>
      </c>
      <c r="BP369" s="697">
        <f>+BP328/BP303*100</f>
        <v>0.12997612265672165</v>
      </c>
      <c r="BQ369" s="9">
        <f>IF(ISERROR(BP369/BN369),"NA",IF(OR(BP369/BN369&gt;2,BP369/BN369&lt;0.5),"NM",BP369/BN369*100-100))</f>
        <v>4.0024285777460875</v>
      </c>
      <c r="BR369" s="697">
        <f>+BR328/BR303*100</f>
        <v>0.12498213065672149</v>
      </c>
      <c r="BS369" s="9">
        <f>IF(ISERROR(BR369/BP369),"NA",IF(OR(BR369/BP369&gt;2,BR369/BP369&lt;0.5),"NM",BR369/BP369*100-100))</f>
        <v>-3.8422380187395788</v>
      </c>
      <c r="BT369" s="697">
        <f>+BT328/BT303*100</f>
        <v>0.12449216268872161</v>
      </c>
      <c r="BU369" s="9">
        <f>IF(ISERROR(BT369/BR369),"NA",IF(OR(BT369/BR369&gt;2,BT369/BR369&lt;0.5),"NM",BT369/BR369*100-100))</f>
        <v>-0.39203041700868368</v>
      </c>
      <c r="BV369" s="43">
        <f>IF(ISERROR(((BT369/BJ369)^0.2-1)*100),"NA",IF((((BT369/BJ369)^0.2-1)*100)&gt;100,"NM",IF((((BT369/BJ369)^0.2-1)*100)&lt;-50,"NM",((BT369/BJ369)^0.2-1)*100)))</f>
        <v>-0.90525978785896966</v>
      </c>
      <c r="BW369" s="722"/>
      <c r="BX369" s="722"/>
      <c r="BY369"/>
      <c r="BZ369"/>
      <c r="CA369"/>
      <c r="CB369"/>
      <c r="CC369"/>
      <c r="CD369"/>
    </row>
    <row r="370" spans="1:82" s="2" customFormat="1" ht="12.75" hidden="1" customHeight="1" outlineLevel="2" x14ac:dyDescent="0.2">
      <c r="A370" s="41"/>
      <c r="B370" s="62" t="s">
        <v>330</v>
      </c>
      <c r="C370" s="697"/>
      <c r="D370" s="43"/>
      <c r="E370" s="697"/>
      <c r="F370" s="43"/>
      <c r="G370" s="697"/>
      <c r="H370" s="43"/>
      <c r="I370" s="697"/>
      <c r="J370" s="43"/>
      <c r="K370" s="697"/>
      <c r="L370" s="43"/>
      <c r="M370" s="697"/>
      <c r="N370" s="43"/>
      <c r="O370" s="697"/>
      <c r="P370" s="43"/>
      <c r="Q370" s="697"/>
      <c r="R370" s="43"/>
      <c r="S370" s="697"/>
      <c r="T370" s="43"/>
      <c r="U370" s="697"/>
      <c r="V370" s="43"/>
      <c r="W370" s="697"/>
      <c r="X370" s="43"/>
      <c r="Y370" s="697"/>
      <c r="Z370" s="43"/>
      <c r="AA370" s="697"/>
      <c r="AB370" s="43"/>
      <c r="AC370" s="697"/>
      <c r="AD370" s="43"/>
      <c r="AE370" s="697"/>
      <c r="AF370" s="43"/>
      <c r="AG370" s="697"/>
      <c r="AH370" s="43"/>
      <c r="AI370" s="697"/>
      <c r="AJ370" s="43"/>
      <c r="AK370" s="697"/>
      <c r="AL370" s="43"/>
      <c r="AM370" s="697"/>
      <c r="AN370" s="43"/>
      <c r="AO370" s="697"/>
      <c r="AP370" s="43"/>
      <c r="AQ370" s="697"/>
      <c r="AR370" s="43"/>
      <c r="AS370" s="697"/>
      <c r="AT370" s="43"/>
      <c r="AU370" s="697"/>
      <c r="AV370" s="43"/>
      <c r="AW370" s="697"/>
      <c r="AX370" s="43"/>
      <c r="AY370" s="287"/>
      <c r="AZ370" s="15"/>
      <c r="BA370" s="9" t="str">
        <f>IF(ISERROR(#REF!/#REF!),"NA",IF(OR(#REF!/#REF!&gt;2,#REF!/#REF!&lt;0.5),"NM",#REF!/#REF!*100-100))</f>
        <v>NA</v>
      </c>
      <c r="BB370" s="697"/>
      <c r="BC370" s="9"/>
      <c r="BD370" s="915"/>
      <c r="BE370" s="9"/>
      <c r="BF370" s="697">
        <f>+BF338/BF303*100</f>
        <v>0.19286750050550266</v>
      </c>
      <c r="BG370" s="9" t="str">
        <f>IF(ISERROR(BF370/BD370),"NA",IF(OR(BF370/BD370&gt;2,BF370/BD370&lt;0.5),"NM",BF370/BD370*100-100))</f>
        <v>NA</v>
      </c>
      <c r="BH370" s="697">
        <f>+BH338/BH303*100</f>
        <v>0.12727184745665077</v>
      </c>
      <c r="BI370" s="9">
        <f>IF(ISERROR(BH370/BF370),"NA",IF(OR(BH370/BF370&gt;2,BH370/BF370&lt;0.5),"NM",BH370/BF370*100-100))</f>
        <v>-34.010734248604209</v>
      </c>
      <c r="BJ370" s="697">
        <f>+BJ338/BJ303*100</f>
        <v>0.12050880358971856</v>
      </c>
      <c r="BK370" s="9">
        <f>IF(ISERROR(BJ370/BH370),"NA",IF(OR(BJ370/BH370&gt;2,BJ370/BH370&lt;0.5),"NM",BJ370/BH370*100-100))</f>
        <v>-5.3138569150068378</v>
      </c>
      <c r="BL370" s="697">
        <f>+BL338/BL303*100</f>
        <v>0.11418145161761657</v>
      </c>
      <c r="BM370" s="9">
        <f>IF(ISERROR(BL370/BJ370),"NA",IF(OR(BL370/BJ370&gt;2,BL370/BJ370&lt;0.5),"NM",BL370/BJ370*100-100))</f>
        <v>-5.2505309019944661</v>
      </c>
      <c r="BN370" s="697">
        <f>+BN338/BN303*100</f>
        <v>0.11372645161761664</v>
      </c>
      <c r="BO370" s="9">
        <f>IF(ISERROR(BN370/BL370),"NA",IF(OR(BN370/BL370&gt;2,BN370/BL370&lt;0.5),"NM",BN370/BL370*100-100))</f>
        <v>-0.39848854043621884</v>
      </c>
      <c r="BP370" s="697">
        <f>+BP338/BP303*100</f>
        <v>0.11827827161761668</v>
      </c>
      <c r="BQ370" s="9">
        <f>IF(ISERROR(BP370/BN370),"NA",IF(OR(BP370/BN370&gt;2,BP370/BN370&lt;0.5),"NM",BP370/BN370*100-100))</f>
        <v>4.0024285777460591</v>
      </c>
      <c r="BR370" s="697">
        <f>+BR338/BR303*100</f>
        <v>0.11373373889761655</v>
      </c>
      <c r="BS370" s="9">
        <f>IF(ISERROR(BR370/BP370),"NA",IF(OR(BR370/BP370&gt;2,BR370/BP370&lt;0.5),"NM",BR370/BP370*100-100))</f>
        <v>-3.8422380187395788</v>
      </c>
      <c r="BT370" s="697">
        <f>+BT338/BT303*100</f>
        <v>0.11328786804673666</v>
      </c>
      <c r="BU370" s="9">
        <f>IF(ISERROR(BT370/BR370),"NA",IF(OR(BT370/BR370&gt;2,BT370/BR370&lt;0.5),"NM",BT370/BR370*100-100))</f>
        <v>-0.39203041700868368</v>
      </c>
      <c r="BV370" s="43">
        <f>IF(ISERROR(((BT370/BJ370)^0.2-1)*100),"NA",IF((((BT370/BJ370)^0.2-1)*100)&gt;100,"NM",IF((((BT370/BJ370)^0.2-1)*100)&lt;-50,"NM",((BT370/BJ370)^0.2-1)*100)))</f>
        <v>-1.2282096707919576</v>
      </c>
      <c r="BW370" s="722"/>
      <c r="BX370" s="722"/>
      <c r="BY370"/>
      <c r="BZ370"/>
      <c r="CA370"/>
      <c r="CB370"/>
      <c r="CC370"/>
      <c r="CD370"/>
    </row>
    <row r="371" spans="1:82" s="2" customFormat="1" ht="12.75" hidden="1" customHeight="1" outlineLevel="1" x14ac:dyDescent="0.2">
      <c r="A371" s="41"/>
      <c r="B371" s="62"/>
      <c r="C371" s="697"/>
      <c r="D371" s="9"/>
      <c r="E371" s="697"/>
      <c r="F371" s="9"/>
      <c r="G371" s="697"/>
      <c r="H371" s="9"/>
      <c r="I371" s="697"/>
      <c r="J371" s="9"/>
      <c r="K371" s="697"/>
      <c r="L371" s="9"/>
      <c r="M371" s="697"/>
      <c r="N371" s="9"/>
      <c r="O371" s="697"/>
      <c r="P371" s="9"/>
      <c r="Q371" s="697"/>
      <c r="R371" s="9"/>
      <c r="S371" s="697"/>
      <c r="T371" s="9"/>
      <c r="U371" s="697"/>
      <c r="V371" s="9"/>
      <c r="W371" s="697"/>
      <c r="X371" s="9"/>
      <c r="Y371" s="697"/>
      <c r="Z371" s="9"/>
      <c r="AA371" s="697"/>
      <c r="AB371" s="9"/>
      <c r="AC371" s="697"/>
      <c r="AD371" s="9"/>
      <c r="AE371" s="697"/>
      <c r="AF371" s="9"/>
      <c r="AG371" s="697"/>
      <c r="AH371" s="9"/>
      <c r="AI371" s="697"/>
      <c r="AJ371" s="9"/>
      <c r="AK371" s="697"/>
      <c r="AL371" s="9"/>
      <c r="AM371" s="697"/>
      <c r="AN371" s="9"/>
      <c r="AO371" s="697"/>
      <c r="AP371" s="9"/>
      <c r="AQ371" s="697"/>
      <c r="AR371" s="9"/>
      <c r="AS371" s="697"/>
      <c r="AT371" s="9"/>
      <c r="AU371" s="697"/>
      <c r="AV371" s="9"/>
      <c r="AW371" s="697"/>
      <c r="AX371" s="9"/>
      <c r="AY371" s="287"/>
      <c r="AZ371" s="15"/>
      <c r="BA371" s="9"/>
      <c r="BB371" s="697"/>
      <c r="BC371" s="9"/>
      <c r="BD371" s="915"/>
      <c r="BE371" s="9"/>
      <c r="BF371" s="697"/>
      <c r="BG371" s="9"/>
      <c r="BH371" s="697"/>
      <c r="BI371" s="9"/>
      <c r="BJ371" s="697"/>
      <c r="BK371" s="9"/>
      <c r="BL371" s="697"/>
      <c r="BM371" s="9"/>
      <c r="BN371" s="697"/>
      <c r="BO371" s="9"/>
      <c r="BP371" s="697"/>
      <c r="BQ371" s="9"/>
      <c r="BR371" s="697"/>
      <c r="BS371" s="9"/>
      <c r="BT371" s="697"/>
      <c r="BU371" s="9"/>
      <c r="BV371" s="722"/>
      <c r="BW371" s="722"/>
      <c r="BX371" s="722"/>
      <c r="BY371"/>
      <c r="BZ371"/>
      <c r="CA371"/>
      <c r="CB371"/>
      <c r="CC371"/>
      <c r="CD371"/>
    </row>
    <row r="372" spans="1:82" s="2" customFormat="1" ht="12.75" hidden="1" customHeight="1" outlineLevel="1" x14ac:dyDescent="0.2">
      <c r="A372" s="41"/>
      <c r="B372" s="62" t="s">
        <v>94</v>
      </c>
      <c r="C372" s="694">
        <f>C328/(C321-C323)*100</f>
        <v>48.421052631578966</v>
      </c>
      <c r="D372" s="9"/>
      <c r="E372" s="694">
        <f>E328/(E321-E323)*100</f>
        <v>47.45454545454546</v>
      </c>
      <c r="F372" s="9"/>
      <c r="G372" s="694">
        <f>G328/(G321-G323)*100</f>
        <v>43.45276872964169</v>
      </c>
      <c r="H372" s="9"/>
      <c r="I372" s="694">
        <f>I328/(I321-I323)*100</f>
        <v>49.643444871091603</v>
      </c>
      <c r="J372" s="9"/>
      <c r="K372" s="694">
        <f>K328/(K321-K323)*100</f>
        <v>49.67281380130872</v>
      </c>
      <c r="L372" s="9"/>
      <c r="M372" s="694">
        <f>M328/(M321-M323)*100</f>
        <v>51.2935883014623</v>
      </c>
      <c r="N372" s="9"/>
      <c r="O372" s="694"/>
      <c r="P372" s="9"/>
      <c r="Q372" s="694"/>
      <c r="R372" s="9"/>
      <c r="S372" s="694"/>
      <c r="T372" s="9"/>
      <c r="U372" s="694"/>
      <c r="V372" s="9"/>
      <c r="W372" s="694"/>
      <c r="X372" s="9"/>
      <c r="Y372" s="694"/>
      <c r="Z372" s="9"/>
      <c r="AA372" s="694"/>
      <c r="AB372" s="9"/>
      <c r="AC372" s="694"/>
      <c r="AD372" s="9"/>
      <c r="AE372" s="694"/>
      <c r="AF372" s="9"/>
      <c r="AG372" s="694"/>
      <c r="AH372" s="9"/>
      <c r="AI372" s="694"/>
      <c r="AJ372" s="9"/>
      <c r="AK372" s="694"/>
      <c r="AL372" s="9"/>
      <c r="AM372" s="694"/>
      <c r="AN372" s="9"/>
      <c r="AO372" s="694"/>
      <c r="AP372" s="9"/>
      <c r="AQ372" s="694"/>
      <c r="AR372" s="9"/>
      <c r="AS372" s="694"/>
      <c r="AT372" s="9"/>
      <c r="AU372" s="694"/>
      <c r="AV372" s="9"/>
      <c r="AW372" s="694"/>
      <c r="AX372" s="9"/>
      <c r="AY372" s="287"/>
      <c r="AZ372" s="15"/>
      <c r="BA372" s="9"/>
      <c r="BB372" s="694">
        <f>BB328/(BB321-BB323)*100</f>
        <v>47.317765856737147</v>
      </c>
      <c r="BC372" s="9" t="str">
        <f>IF(ISERROR(BB372/#REF!),"NA",IF(OR(BB372/#REF!&gt;2,BB372/#REF!&lt;0.5),"NM",BB372/#REF!*100-100))</f>
        <v>NA</v>
      </c>
      <c r="BD372" s="916">
        <f>BD328/(BD321-BD323)*100</f>
        <v>49.539748953974886</v>
      </c>
      <c r="BE372" s="9">
        <f>IF(ISERROR(BD372/BB372),"NA",IF(OR(BD372/BB372&gt;2,BD372/BB372&lt;0.5),"NM",BD372/BB372*100-100))</f>
        <v>4.6958749150692825</v>
      </c>
      <c r="BF372" s="694">
        <f>BF328/(BF321-BF323)*100</f>
        <v>40.878584502745561</v>
      </c>
      <c r="BG372" s="9">
        <f>IF(ISERROR(BF372/BD372),"NA",IF(OR(BF372/BD372&gt;2,BF372/BD372&lt;0.5),"NM",BF372/BD372*100-100))</f>
        <v>-17.483262701383524</v>
      </c>
      <c r="BH372" s="694">
        <f>BH328/(BH321-BH323)*100</f>
        <v>42.831858407079658</v>
      </c>
      <c r="BI372" s="9">
        <f>IF(ISERROR(BH372/BF372),"NA",IF(OR(BH372/BF372&gt;2,BH372/BF372&lt;0.5),"NM",BH372/BF372*100-100))</f>
        <v>4.7782327301546133</v>
      </c>
      <c r="BJ372" s="694">
        <f>BJ328/(BJ321-BJ323)*100</f>
        <v>43.928430469675028</v>
      </c>
      <c r="BK372" s="9">
        <f>IF(ISERROR(BJ372/BH372),"NA",IF(OR(BJ372/BH372&gt;2,BJ372/BH372&lt;0.5),"NM",BJ372/BH372*100-100))</f>
        <v>2.5601785758941418</v>
      </c>
      <c r="BL372" s="694">
        <f>BL328/(BL321-BL323)*100</f>
        <v>43.380600334317485</v>
      </c>
      <c r="BM372" s="9">
        <f>IF(ISERROR(BL372/BJ372),"NA",IF(OR(BL372/BJ372&gt;2,BL372/BJ372&lt;0.5),"NM",BL372/BJ372*100-100))</f>
        <v>-1.2470969927681068</v>
      </c>
      <c r="BN372" s="694">
        <f>BN328/(BN321-BN323)*100</f>
        <v>43.282554746413268</v>
      </c>
      <c r="BO372" s="9">
        <f>IF(ISERROR(BN372/BL372),"NA",IF(OR(BN372/BL372&gt;2,BN372/BL372&lt;0.5),"NM",BN372/BL372*100-100))</f>
        <v>-0.22601251976371373</v>
      </c>
      <c r="BP372" s="694">
        <f>BP328/(BP321-BP323)*100</f>
        <v>44.248369971510847</v>
      </c>
      <c r="BQ372" s="9">
        <f>IF(ISERROR(BP372/BN372),"NA",IF(OR(BP372/BN372&gt;2,BP372/BN372&lt;0.5),"NM",BP372/BN372*100-100))</f>
        <v>2.2314191728195425</v>
      </c>
      <c r="BR372" s="694">
        <f>BR328/(BR321-BR323)*100</f>
        <v>43.284127720147367</v>
      </c>
      <c r="BS372" s="9">
        <f>IF(ISERROR(BR372/BP372),"NA",IF(OR(BR372/BP372&gt;2,BR372/BP372&lt;0.5),"NM",BR372/BP372*100-100))</f>
        <v>-2.1791588073963055</v>
      </c>
      <c r="BT372" s="694">
        <f>BT328/(BT321-BT323)*100</f>
        <v>43.187724705019029</v>
      </c>
      <c r="BU372" s="9">
        <f>IF(ISERROR(BT372/BR372),"NA",IF(OR(BT372/BR372&gt;2,BT372/BR372&lt;0.5),"NM",BT372/BR372*100-100))</f>
        <v>-0.22272139975103755</v>
      </c>
      <c r="BV372" s="43">
        <f>IF(ISERROR(((BT372/BJ372)^0.2-1)*100),"NA",IF((((BT372/BJ372)^0.2-1)*100)&gt;100,"NM",IF((((BT372/BJ372)^0.2-1)*100)&lt;-50,"NM",((BT372/BJ372)^0.2-1)*100)))</f>
        <v>-0.33953078300443806</v>
      </c>
      <c r="BW372" s="722"/>
      <c r="BX372" s="722"/>
      <c r="BY372"/>
      <c r="BZ372"/>
      <c r="CA372"/>
      <c r="CB372"/>
      <c r="CC372"/>
      <c r="CD372"/>
    </row>
    <row r="373" spans="1:82" s="2" customFormat="1" ht="12.75" hidden="1" customHeight="1" outlineLevel="1" x14ac:dyDescent="0.2">
      <c r="A373" s="41"/>
      <c r="B373" s="62" t="s">
        <v>319</v>
      </c>
      <c r="C373" s="694">
        <f>C339/(C321-C323)*100</f>
        <v>50.439560439560452</v>
      </c>
      <c r="D373" s="9"/>
      <c r="E373" s="694">
        <f>E339/(E321-E323)*100</f>
        <v>52.405594405594414</v>
      </c>
      <c r="F373" s="9"/>
      <c r="G373" s="694">
        <f>G339/(G321-G323)*100</f>
        <v>53.084439989977447</v>
      </c>
      <c r="H373" s="9"/>
      <c r="I373" s="694">
        <f>I339/(I321-I323)*100</f>
        <v>49.609688172496725</v>
      </c>
      <c r="J373" s="9"/>
      <c r="K373" s="694">
        <f>K339/(K321-K323)*100</f>
        <v>46.611449228938802</v>
      </c>
      <c r="L373" s="9"/>
      <c r="M373" s="694">
        <f>M339/(M321-M323)*100</f>
        <v>46.19710997663752</v>
      </c>
      <c r="N373" s="9"/>
      <c r="O373" s="694"/>
      <c r="P373" s="9"/>
      <c r="Q373" s="694"/>
      <c r="R373" s="9"/>
      <c r="S373" s="694"/>
      <c r="T373" s="9"/>
      <c r="U373" s="694"/>
      <c r="V373" s="9"/>
      <c r="W373" s="694"/>
      <c r="X373" s="9"/>
      <c r="Y373" s="694"/>
      <c r="Z373" s="9"/>
      <c r="AA373" s="694"/>
      <c r="AB373" s="9"/>
      <c r="AC373" s="694"/>
      <c r="AD373" s="9"/>
      <c r="AE373" s="694"/>
      <c r="AF373" s="9"/>
      <c r="AG373" s="694"/>
      <c r="AH373" s="9"/>
      <c r="AI373" s="694"/>
      <c r="AJ373" s="9"/>
      <c r="AK373" s="694"/>
      <c r="AL373" s="9"/>
      <c r="AM373" s="694"/>
      <c r="AN373" s="9"/>
      <c r="AO373" s="694"/>
      <c r="AP373" s="9"/>
      <c r="AQ373" s="694"/>
      <c r="AR373" s="9"/>
      <c r="AS373" s="694"/>
      <c r="AT373" s="9"/>
      <c r="AU373" s="694"/>
      <c r="AV373" s="9"/>
      <c r="AW373" s="694"/>
      <c r="AX373" s="9"/>
      <c r="AY373" s="287"/>
      <c r="AZ373" s="15"/>
      <c r="BA373" s="9"/>
      <c r="BB373" s="694">
        <f>BB339/(BB321-BB323)*100</f>
        <v>51.353253877709562</v>
      </c>
      <c r="BC373" s="9"/>
      <c r="BD373" s="916">
        <f>BD339/(BD321-BD323)*100</f>
        <v>44.813861173693802</v>
      </c>
      <c r="BE373" s="9"/>
      <c r="BF373" s="694">
        <f>BF339/(BF321-BF323)*100</f>
        <v>43.353123386680423</v>
      </c>
      <c r="BG373" s="9"/>
      <c r="BH373" s="694">
        <f>BH339/(BH321-BH323)*100</f>
        <v>44.247787610619476</v>
      </c>
      <c r="BI373" s="9"/>
      <c r="BJ373" s="694">
        <f>BJ339/(BJ321-BJ323)*100</f>
        <v>44.07314826996447</v>
      </c>
      <c r="BK373" s="9"/>
      <c r="BL373" s="694">
        <f>BL339/(BL321-BL323)*100</f>
        <v>43.050709837478571</v>
      </c>
      <c r="BM373" s="9"/>
      <c r="BN373" s="694">
        <f>BN339/(BN321-BN323)*100</f>
        <v>42.953409843398724</v>
      </c>
      <c r="BO373" s="9"/>
      <c r="BP373" s="694">
        <f>BP339/(BP321-BP323)*100</f>
        <v>43.911880466024073</v>
      </c>
      <c r="BQ373" s="9"/>
      <c r="BR373" s="694">
        <f>BR339/(BR321-BR323)*100</f>
        <v>42.95497085535537</v>
      </c>
      <c r="BS373" s="9"/>
      <c r="BT373" s="694">
        <f>BT339/(BT321-BT323)*100</f>
        <v>42.859300943003667</v>
      </c>
      <c r="BU373" s="9"/>
      <c r="BV373" s="43">
        <f>IF(ISERROR(((BT373/BJ373)^0.2-1)*100),"NA",IF((((BT373/BJ373)^0.2-1)*100)&gt;100,"NM",IF((((BT373/BJ373)^0.2-1)*100)&lt;-50,"NM",((BT373/BJ373)^0.2-1)*100)))</f>
        <v>-0.55700364156788806</v>
      </c>
      <c r="BW373" s="722"/>
      <c r="BX373" s="722"/>
      <c r="BY373"/>
      <c r="BZ373"/>
      <c r="CA373"/>
      <c r="CB373"/>
      <c r="CC373"/>
      <c r="CD373"/>
    </row>
    <row r="374" spans="1:82" s="2" customFormat="1" ht="12.75" hidden="1" customHeight="1" outlineLevel="1" x14ac:dyDescent="0.2">
      <c r="A374" s="41"/>
      <c r="B374" s="62" t="s">
        <v>267</v>
      </c>
      <c r="C374" s="712">
        <f>C339/C321*100</f>
        <v>25.643966125617514</v>
      </c>
      <c r="D374" s="129"/>
      <c r="E374" s="712">
        <f>E339/E321*100</f>
        <v>30.024038461538471</v>
      </c>
      <c r="F374" s="129"/>
      <c r="G374" s="712">
        <f>G339/G321*100</f>
        <v>25.827136413507251</v>
      </c>
      <c r="H374" s="129"/>
      <c r="I374" s="712">
        <f>I339/I321*100</f>
        <v>26.908200398233124</v>
      </c>
      <c r="J374" s="129"/>
      <c r="K374" s="712">
        <f>K339/K321*100</f>
        <v>25.065209902062097</v>
      </c>
      <c r="L374" s="129"/>
      <c r="M374" s="712">
        <f>M339/M321*100</f>
        <v>22.115902406694001</v>
      </c>
      <c r="N374" s="129"/>
      <c r="O374" s="712"/>
      <c r="P374" s="129"/>
      <c r="Q374" s="712"/>
      <c r="R374" s="129"/>
      <c r="S374" s="712"/>
      <c r="T374" s="129"/>
      <c r="U374" s="712"/>
      <c r="V374" s="129"/>
      <c r="W374" s="712"/>
      <c r="X374" s="129"/>
      <c r="Y374" s="712"/>
      <c r="Z374" s="9"/>
      <c r="AA374" s="712"/>
      <c r="AB374" s="9"/>
      <c r="AC374" s="712"/>
      <c r="AD374" s="9"/>
      <c r="AE374" s="712"/>
      <c r="AF374" s="9"/>
      <c r="AG374" s="712"/>
      <c r="AH374" s="9"/>
      <c r="AI374" s="712"/>
      <c r="AJ374" s="9"/>
      <c r="AK374" s="712"/>
      <c r="AL374" s="9"/>
      <c r="AM374" s="712"/>
      <c r="AN374" s="9"/>
      <c r="AO374" s="712"/>
      <c r="AP374" s="9"/>
      <c r="AQ374" s="712"/>
      <c r="AR374" s="9"/>
      <c r="AS374" s="712"/>
      <c r="AT374" s="9"/>
      <c r="AU374" s="712"/>
      <c r="AV374" s="9"/>
      <c r="AW374" s="712"/>
      <c r="AX374" s="9"/>
      <c r="AY374" s="287"/>
      <c r="AZ374" s="15"/>
      <c r="BA374" s="9"/>
      <c r="BB374" s="712">
        <f>BB339/BB321*100</f>
        <v>27.095980942134791</v>
      </c>
      <c r="BC374" s="9"/>
      <c r="BD374" s="932">
        <f>BD339/BD321*100</f>
        <v>24.162684961301288</v>
      </c>
      <c r="BE374" s="9"/>
      <c r="BF374" s="712">
        <f>BF339/BF321*100</f>
        <v>23.285521622405113</v>
      </c>
      <c r="BG374" s="9"/>
      <c r="BH374" s="712">
        <f>BH339/BH321*100</f>
        <v>23.961661341853038</v>
      </c>
      <c r="BI374" s="9"/>
      <c r="BJ374" s="712">
        <f>BJ339/BJ321*100</f>
        <v>26.767878545745099</v>
      </c>
      <c r="BK374" s="9"/>
      <c r="BL374" s="712">
        <f>BL339/BL321*100</f>
        <v>27.06955365631039</v>
      </c>
      <c r="BM374" s="9"/>
      <c r="BN374" s="712">
        <f>BN339/BN321*100</f>
        <v>26.991022655146178</v>
      </c>
      <c r="BO374" s="9"/>
      <c r="BP374" s="712">
        <f>BP339/BP321*100</f>
        <v>27.769032442827594</v>
      </c>
      <c r="BQ374" s="9"/>
      <c r="BR374" s="712">
        <f>BR339/BR321*100</f>
        <v>26.644374333310761</v>
      </c>
      <c r="BS374" s="9"/>
      <c r="BT374" s="712">
        <f>BT339/BT321*100</f>
        <v>26.257325695484074</v>
      </c>
      <c r="BU374" s="9"/>
      <c r="BV374" s="43">
        <f>IF(ISERROR(((BT374/BJ374)^0.2-1)*100),"NA",IF((((BT374/BJ374)^0.2-1)*100)&gt;100,"NM",IF((((BT374/BJ374)^0.2-1)*100)&lt;-50,"NM",((BT374/BJ374)^0.2-1)*100)))</f>
        <v>-0.38441089681297003</v>
      </c>
      <c r="BW374" s="722"/>
      <c r="BX374" s="722"/>
      <c r="BY374"/>
      <c r="BZ374"/>
      <c r="CA374"/>
      <c r="CB374"/>
      <c r="CC374"/>
      <c r="CD374"/>
    </row>
    <row r="375" spans="1:82" s="2" customFormat="1" ht="12.75" hidden="1" customHeight="1" outlineLevel="1" x14ac:dyDescent="0.2">
      <c r="A375" s="41"/>
      <c r="B375" s="62"/>
      <c r="C375" s="697"/>
      <c r="D375" s="9"/>
      <c r="E375" s="697"/>
      <c r="F375" s="9"/>
      <c r="G375" s="697"/>
      <c r="H375" s="9"/>
      <c r="I375" s="697"/>
      <c r="J375" s="9"/>
      <c r="K375" s="697"/>
      <c r="L375" s="9"/>
      <c r="M375" s="697"/>
      <c r="N375" s="9"/>
      <c r="O375" s="697"/>
      <c r="P375" s="9"/>
      <c r="Q375" s="697"/>
      <c r="R375" s="9"/>
      <c r="S375" s="697"/>
      <c r="T375" s="9"/>
      <c r="U375" s="697"/>
      <c r="V375" s="9"/>
      <c r="W375" s="697"/>
      <c r="X375" s="9"/>
      <c r="Y375" s="697"/>
      <c r="Z375" s="9"/>
      <c r="AA375" s="697"/>
      <c r="AB375" s="9"/>
      <c r="AC375" s="697"/>
      <c r="AD375" s="9"/>
      <c r="AE375" s="697"/>
      <c r="AF375" s="9"/>
      <c r="AG375" s="697"/>
      <c r="AH375" s="9"/>
      <c r="AI375" s="697"/>
      <c r="AJ375" s="9"/>
      <c r="AK375" s="697"/>
      <c r="AL375" s="9"/>
      <c r="AM375" s="697"/>
      <c r="AN375" s="9"/>
      <c r="AO375" s="697"/>
      <c r="AP375" s="9"/>
      <c r="AQ375" s="697"/>
      <c r="AR375" s="9"/>
      <c r="AS375" s="697"/>
      <c r="AT375" s="9"/>
      <c r="AU375" s="697"/>
      <c r="AV375" s="9"/>
      <c r="AW375" s="697"/>
      <c r="AX375" s="9"/>
      <c r="AY375" s="287"/>
      <c r="AZ375" s="15"/>
      <c r="BA375" s="9"/>
      <c r="BB375" s="697"/>
      <c r="BC375" s="9"/>
      <c r="BD375" s="915"/>
      <c r="BE375" s="9"/>
      <c r="BF375" s="697"/>
      <c r="BG375" s="9"/>
      <c r="BH375" s="697"/>
      <c r="BI375" s="9"/>
      <c r="BJ375" s="697"/>
      <c r="BK375" s="9"/>
      <c r="BL375" s="697"/>
      <c r="BM375" s="9"/>
      <c r="BN375" s="697"/>
      <c r="BO375" s="9"/>
      <c r="BP375" s="697"/>
      <c r="BQ375" s="9"/>
      <c r="BR375" s="697"/>
      <c r="BS375" s="9"/>
      <c r="BT375" s="697"/>
      <c r="BU375" s="9"/>
      <c r="BV375" s="722"/>
      <c r="BW375" s="722"/>
      <c r="BX375" s="722"/>
      <c r="BY375"/>
      <c r="BZ375"/>
      <c r="CA375"/>
      <c r="CB375"/>
      <c r="CC375"/>
      <c r="CD375"/>
    </row>
    <row r="376" spans="1:82" s="265" customFormat="1" ht="12.75" customHeight="1" collapsed="1" x14ac:dyDescent="0.2">
      <c r="B376" s="266" t="s">
        <v>666</v>
      </c>
      <c r="C376" s="268"/>
      <c r="D376" s="269"/>
      <c r="E376" s="268"/>
      <c r="F376" s="269"/>
      <c r="G376" s="268"/>
      <c r="H376" s="269"/>
      <c r="I376" s="268"/>
      <c r="J376" s="269"/>
      <c r="K376" s="268"/>
      <c r="L376" s="269"/>
      <c r="M376" s="268"/>
      <c r="N376" s="269"/>
      <c r="O376" s="268"/>
      <c r="P376" s="269"/>
      <c r="Q376" s="268"/>
      <c r="R376" s="269"/>
      <c r="S376" s="268"/>
      <c r="T376" s="269"/>
      <c r="U376" s="268"/>
      <c r="V376" s="269"/>
      <c r="W376" s="268"/>
      <c r="X376" s="269"/>
      <c r="Y376" s="268"/>
      <c r="Z376" s="269"/>
      <c r="AA376" s="268"/>
      <c r="AB376" s="269"/>
      <c r="AC376" s="268"/>
      <c r="AD376" s="269"/>
      <c r="AE376" s="268"/>
      <c r="AF376" s="269"/>
      <c r="AG376" s="268"/>
      <c r="AH376" s="269"/>
      <c r="AI376" s="268"/>
      <c r="AJ376" s="269"/>
      <c r="AK376" s="268"/>
      <c r="AL376" s="269"/>
      <c r="AM376" s="268"/>
      <c r="AN376" s="269"/>
      <c r="AO376" s="268"/>
      <c r="AP376" s="269"/>
      <c r="AQ376" s="268"/>
      <c r="AR376" s="269"/>
      <c r="AS376" s="268"/>
      <c r="AT376" s="269"/>
      <c r="AU376" s="268"/>
      <c r="AV376" s="269"/>
      <c r="AW376" s="268"/>
      <c r="AX376" s="269"/>
      <c r="AY376" s="287"/>
      <c r="AZ376" s="267"/>
      <c r="BA376" s="269"/>
      <c r="BB376" s="268"/>
      <c r="BC376" s="269"/>
      <c r="BD376" s="907"/>
      <c r="BE376" s="269"/>
      <c r="BF376" s="268"/>
      <c r="BG376" s="269"/>
      <c r="BH376" s="268"/>
      <c r="BI376" s="269"/>
      <c r="BJ376" s="268"/>
      <c r="BK376" s="269"/>
      <c r="BL376" s="268"/>
      <c r="BM376" s="269"/>
      <c r="BN376" s="268"/>
      <c r="BO376" s="269"/>
      <c r="BP376" s="268"/>
      <c r="BQ376" s="269"/>
      <c r="BR376" s="268"/>
      <c r="BS376" s="269"/>
      <c r="BT376" s="268"/>
      <c r="BU376" s="269"/>
      <c r="BV376" s="270"/>
      <c r="BW376" s="270"/>
      <c r="BX376" s="270"/>
      <c r="BY376"/>
      <c r="BZ376"/>
      <c r="CA376"/>
      <c r="CB376"/>
      <c r="CC376"/>
      <c r="CD376"/>
    </row>
    <row r="377" spans="1:82" s="2" customFormat="1" ht="12.75" customHeight="1" x14ac:dyDescent="0.2">
      <c r="A377" s="41"/>
      <c r="B377" s="42"/>
      <c r="C377" s="15"/>
      <c r="D377" s="235"/>
      <c r="E377" s="15"/>
      <c r="F377" s="235"/>
      <c r="G377" s="15"/>
      <c r="H377" s="235"/>
      <c r="I377" s="15"/>
      <c r="J377" s="235"/>
      <c r="K377" s="15"/>
      <c r="L377" s="235"/>
      <c r="M377" s="15"/>
      <c r="N377" s="235"/>
      <c r="O377" s="15"/>
      <c r="P377" s="235"/>
      <c r="Q377" s="15"/>
      <c r="R377" s="235"/>
      <c r="S377" s="15"/>
      <c r="T377" s="235"/>
      <c r="U377" s="15"/>
      <c r="V377" s="235"/>
      <c r="W377" s="15"/>
      <c r="X377" s="235"/>
      <c r="Y377" s="15"/>
      <c r="Z377" s="235"/>
      <c r="AA377" s="15"/>
      <c r="AB377" s="235"/>
      <c r="AC377" s="15"/>
      <c r="AD377" s="235"/>
      <c r="AE377" s="15"/>
      <c r="AF377" s="235"/>
      <c r="AG377" s="15"/>
      <c r="AH377" s="235"/>
      <c r="AI377" s="15"/>
      <c r="AJ377" s="235"/>
      <c r="AK377" s="15"/>
      <c r="AL377" s="235"/>
      <c r="AM377" s="15"/>
      <c r="AN377" s="235"/>
      <c r="AO377" s="15"/>
      <c r="AP377" s="235"/>
      <c r="AQ377" s="15"/>
      <c r="AR377" s="235"/>
      <c r="AS377" s="15"/>
      <c r="AT377" s="235"/>
      <c r="AU377" s="15"/>
      <c r="AV377" s="235"/>
      <c r="AW377" s="15"/>
      <c r="AX377" s="235"/>
      <c r="AY377" s="287"/>
      <c r="AZ377" s="15"/>
      <c r="BA377" s="235"/>
      <c r="BB377" s="15"/>
      <c r="BC377" s="235"/>
      <c r="BD377" s="924"/>
      <c r="BE377" s="235"/>
      <c r="BF377" s="15"/>
      <c r="BG377" s="235"/>
      <c r="BH377" s="15"/>
      <c r="BI377" s="235"/>
      <c r="BJ377" s="15"/>
      <c r="BK377" s="235"/>
      <c r="BL377" s="15"/>
      <c r="BM377" s="235"/>
      <c r="BN377" s="15"/>
      <c r="BO377" s="235"/>
      <c r="BP377" s="15"/>
      <c r="BQ377" s="235"/>
      <c r="BR377" s="15"/>
      <c r="BS377" s="235"/>
      <c r="BT377" s="15"/>
      <c r="BU377" s="235"/>
      <c r="BV377" s="722"/>
      <c r="BW377" s="722"/>
      <c r="BX377" s="722"/>
      <c r="BY377"/>
      <c r="BZ377"/>
      <c r="CA377"/>
      <c r="CB377"/>
      <c r="CC377"/>
      <c r="CD377"/>
    </row>
    <row r="378" spans="1:82" s="2" customFormat="1" ht="12.75" customHeight="1" x14ac:dyDescent="0.2">
      <c r="A378" s="41"/>
      <c r="B378" s="80" t="s">
        <v>298</v>
      </c>
      <c r="C378" s="15"/>
      <c r="D378" s="235"/>
      <c r="E378" s="15"/>
      <c r="F378" s="235"/>
      <c r="G378" s="15"/>
      <c r="H378" s="235"/>
      <c r="I378" s="15"/>
      <c r="J378" s="235"/>
      <c r="K378" s="15"/>
      <c r="L378" s="235"/>
      <c r="M378" s="15"/>
      <c r="N378" s="235"/>
      <c r="O378" s="15"/>
      <c r="P378" s="235"/>
      <c r="Q378" s="15"/>
      <c r="R378" s="235"/>
      <c r="S378" s="15"/>
      <c r="T378" s="235"/>
      <c r="U378" s="15"/>
      <c r="V378" s="235"/>
      <c r="W378" s="15"/>
      <c r="X378" s="235"/>
      <c r="Y378" s="15"/>
      <c r="Z378" s="235"/>
      <c r="AA378" s="15"/>
      <c r="AB378" s="235"/>
      <c r="AC378" s="15"/>
      <c r="AD378" s="235"/>
      <c r="AE378" s="15"/>
      <c r="AF378" s="235"/>
      <c r="AG378" s="15"/>
      <c r="AH378" s="235"/>
      <c r="AI378" s="15"/>
      <c r="AJ378" s="235"/>
      <c r="AK378" s="15"/>
      <c r="AL378" s="235"/>
      <c r="AM378" s="15"/>
      <c r="AN378" s="235"/>
      <c r="AO378" s="15"/>
      <c r="AP378" s="235"/>
      <c r="AQ378" s="15"/>
      <c r="AR378" s="235"/>
      <c r="AS378" s="15"/>
      <c r="AT378" s="235"/>
      <c r="AU378" s="15"/>
      <c r="AV378" s="235"/>
      <c r="AW378" s="15"/>
      <c r="AX378" s="235"/>
      <c r="AY378" s="287"/>
      <c r="AZ378" s="15"/>
      <c r="BA378" s="235"/>
      <c r="BB378" s="15"/>
      <c r="BC378" s="235"/>
      <c r="BD378" s="924"/>
      <c r="BE378" s="235"/>
      <c r="BF378" s="15"/>
      <c r="BG378" s="235"/>
      <c r="BH378" s="15"/>
      <c r="BI378" s="235"/>
      <c r="BJ378" s="15"/>
      <c r="BK378" s="235"/>
      <c r="BL378" s="15"/>
      <c r="BM378" s="235"/>
      <c r="BN378" s="15"/>
      <c r="BO378" s="235"/>
      <c r="BP378" s="15"/>
      <c r="BQ378" s="235"/>
      <c r="BR378" s="15"/>
      <c r="BS378" s="235"/>
      <c r="BT378" s="15"/>
      <c r="BU378" s="235"/>
      <c r="BV378" s="722"/>
      <c r="BW378" s="722"/>
      <c r="BX378" s="722"/>
      <c r="BY378"/>
      <c r="BZ378"/>
      <c r="CA378"/>
      <c r="CB378"/>
      <c r="CC378"/>
      <c r="CD378"/>
    </row>
    <row r="379" spans="1:82" s="2" customFormat="1" ht="12.75" customHeight="1" x14ac:dyDescent="0.2">
      <c r="A379" s="41"/>
      <c r="B379" s="42" t="s">
        <v>299</v>
      </c>
      <c r="C379" s="653">
        <v>8952.7999999999993</v>
      </c>
      <c r="D379" s="9" t="str">
        <f>IF(ISERROR(C379/#REF!),"NA",IF(OR(C379/#REF!&gt;2,C379/#REF!&lt;0.5),"NM",C379/#REF!*100-100))</f>
        <v>NA</v>
      </c>
      <c r="E379" s="653">
        <v>9064.1</v>
      </c>
      <c r="F379" s="9" t="str">
        <f>IF(ISERROR(E379/#REF!),"NA",IF(OR(E379/#REF!&gt;2,E379/#REF!&lt;0.5),"NM",E379/#REF!*100-100))</f>
        <v>NA</v>
      </c>
      <c r="G379" s="653">
        <v>9291.7000000000007</v>
      </c>
      <c r="H379" s="9"/>
      <c r="I379" s="653">
        <v>9601.4</v>
      </c>
      <c r="J379" s="9"/>
      <c r="K379" s="653">
        <v>9838.5</v>
      </c>
      <c r="L379" s="9"/>
      <c r="M379" s="653">
        <v>10161.4</v>
      </c>
      <c r="N379" s="9">
        <f t="shared" ref="N379:N381" si="2126">IF(ISERROR(M379/E379),"NA",IF(OR(M379/E379&gt;2,M379/E379&lt;0.5),"NM",M379/E379*100-100))</f>
        <v>12.106000595756882</v>
      </c>
      <c r="O379" s="653">
        <v>10065</v>
      </c>
      <c r="P379" s="43">
        <f t="shared" ref="P379:V426" si="2127">IF(ISERROR(O379/G379),"NA",IF(OR(O379/G379&gt;2,O379/G379&lt;0.5),"NM",O379/G379*100-100))</f>
        <v>8.3224813543269534</v>
      </c>
      <c r="Q379" s="653">
        <v>10301.9</v>
      </c>
      <c r="R379" s="43">
        <f t="shared" si="2127"/>
        <v>7.2958110275584716</v>
      </c>
      <c r="S379" s="653">
        <v>10568.2</v>
      </c>
      <c r="T379" s="43">
        <f t="shared" si="2127"/>
        <v>7.4167810133658634</v>
      </c>
      <c r="U379" s="653">
        <v>10667.5</v>
      </c>
      <c r="V379" s="43">
        <f t="shared" si="2127"/>
        <v>4.9806129076702064</v>
      </c>
      <c r="W379" s="653">
        <v>10688.8</v>
      </c>
      <c r="X379" s="43">
        <f t="shared" ref="X379:X426" si="2128">IF(ISERROR(W379/O379),"NA",IF(OR(W379/O379&gt;2,W379/O379&lt;0.5),"NM",W379/O379*100-100))</f>
        <v>6.1977148534525526</v>
      </c>
      <c r="Y379" s="653"/>
      <c r="Z379" s="43" t="str">
        <f t="shared" ref="Z379:Z426" si="2129">IF(ISERROR(Y379/Q379),"NA",IF(OR(Y379/Q379&gt;2,Y379/Q379&lt;0.5),"NM",Y379/Q379*100-100))</f>
        <v>NM</v>
      </c>
      <c r="AA379" s="653"/>
      <c r="AB379" s="43" t="str">
        <f t="shared" ref="AB379:AB426" si="2130">IF(ISERROR(AA379/S379),"NA",IF(OR(AA379/S379&gt;2,AA379/S379&lt;0.5),"NM",AA379/S379*100-100))</f>
        <v>NM</v>
      </c>
      <c r="AC379" s="653"/>
      <c r="AD379" s="43" t="str">
        <f t="shared" ref="AD379:AD426" si="2131">IF(ISERROR(AC379/U379),"NA",IF(OR(AC379/U379&gt;2,AC379/U379&lt;0.5),"NM",AC379/U379*100-100))</f>
        <v>NM</v>
      </c>
      <c r="AE379" s="653"/>
      <c r="AF379" s="43" t="str">
        <f t="shared" ref="AF379:AF426" si="2132">IF(ISERROR(AE379/W379),"NA",IF(OR(AE379/W379&gt;2,AE379/W379&lt;0.5),"NM",AE379/W379*100-100))</f>
        <v>NM</v>
      </c>
      <c r="AG379" s="653"/>
      <c r="AH379" s="9" t="str">
        <f t="shared" ref="AH379:AH381" si="2133">IF(ISERROR(AG379/Y379),"NA",IF(OR(AG379/Y379&gt;2,AG379/Y379&lt;0.5),"NM",AG379/Y379*100-100))</f>
        <v>NA</v>
      </c>
      <c r="AI379" s="653"/>
      <c r="AJ379" s="9" t="str">
        <f t="shared" ref="AJ379:AJ381" si="2134">IF(ISERROR(AI379/AA379),"NA",IF(OR(AI379/AA379&gt;2,AI379/AA379&lt;0.5),"NM",AI379/AA379*100-100))</f>
        <v>NA</v>
      </c>
      <c r="AK379" s="653"/>
      <c r="AL379" s="9" t="str">
        <f t="shared" ref="AL379:AL381" si="2135">IF(ISERROR(AK379/AC379),"NA",IF(OR(AK379/AC379&gt;2,AK379/AC379&lt;0.5),"NM",AK379/AC379*100-100))</f>
        <v>NA</v>
      </c>
      <c r="AM379" s="653"/>
      <c r="AN379" s="9" t="str">
        <f t="shared" ref="AN379:AN381" si="2136">IF(ISERROR(AM379/AE379),"NA",IF(OR(AM379/AE379&gt;2,AM379/AE379&lt;0.5),"NM",AM379/AE379*100-100))</f>
        <v>NA</v>
      </c>
      <c r="AO379" s="653"/>
      <c r="AP379" s="9" t="str">
        <f t="shared" ref="AP379:AP381" si="2137">IF(ISERROR(AO379/AG379),"NA",IF(OR(AO379/AG379&gt;2,AO379/AG379&lt;0.5),"NM",AO379/AG379*100-100))</f>
        <v>NA</v>
      </c>
      <c r="AQ379" s="653"/>
      <c r="AR379" s="9" t="str">
        <f t="shared" ref="AR379:AR381" si="2138">IF(ISERROR(AQ379/AI379),"NA",IF(OR(AQ379/AI379&gt;2,AQ379/AI379&lt;0.5),"NM",AQ379/AI379*100-100))</f>
        <v>NA</v>
      </c>
      <c r="AS379" s="653"/>
      <c r="AT379" s="9" t="str">
        <f t="shared" ref="AT379:AT381" si="2139">IF(ISERROR(AS379/AK379),"NA",IF(OR(AS379/AK379&gt;2,AS379/AK379&lt;0.5),"NM",AS379/AK379*100-100))</f>
        <v>NA</v>
      </c>
      <c r="AU379" s="653"/>
      <c r="AV379" s="9" t="str">
        <f t="shared" ref="AV379:AV381" si="2140">IF(ISERROR(AU379/AM379),"NA",IF(OR(AU379/AM379&gt;2,AU379/AM379&lt;0.5),"NM",AU379/AM379*100-100))</f>
        <v>NA</v>
      </c>
      <c r="AW379" s="653"/>
      <c r="AX379" s="9" t="str">
        <f t="shared" ref="AX379:AX381" si="2141">IF(ISERROR(AW379/AO379),"NA",IF(OR(AW379/AO379&gt;2,AW379/AO379&lt;0.5),"NM",AW379/AO379*100-100))</f>
        <v>NA</v>
      </c>
      <c r="AY379" s="287"/>
      <c r="AZ379" s="15"/>
      <c r="BA379" s="9"/>
      <c r="BB379" s="691"/>
      <c r="BC379" s="9"/>
      <c r="BD379" s="930"/>
      <c r="BE379" s="9"/>
      <c r="BF379" s="691"/>
      <c r="BG379" s="9"/>
      <c r="BH379" s="691"/>
      <c r="BI379" s="9"/>
      <c r="BJ379" s="691"/>
      <c r="BK379" s="9"/>
      <c r="BL379" s="691"/>
      <c r="BM379" s="9"/>
      <c r="BN379" s="653"/>
      <c r="BO379" s="9"/>
      <c r="BP379" s="653"/>
      <c r="BQ379" s="9"/>
      <c r="BR379" s="653"/>
      <c r="BS379" s="9"/>
      <c r="BT379" s="653"/>
      <c r="BU379" s="9"/>
      <c r="BV379" s="722"/>
      <c r="BW379" s="722"/>
      <c r="BX379" s="722"/>
      <c r="BY379"/>
      <c r="BZ379"/>
      <c r="CA379"/>
      <c r="CB379"/>
      <c r="CC379"/>
      <c r="CD379"/>
    </row>
    <row r="380" spans="1:82" s="2" customFormat="1" ht="12.75" customHeight="1" x14ac:dyDescent="0.2">
      <c r="A380" s="41"/>
      <c r="B380" s="42" t="s">
        <v>447</v>
      </c>
      <c r="C380" s="653">
        <v>5427.2</v>
      </c>
      <c r="D380" s="9" t="str">
        <f>IF(ISERROR(C380/#REF!),"NA",IF(OR(C380/#REF!&gt;2,C380/#REF!&lt;0.5),"NM",C380/#REF!*100-100))</f>
        <v>NA</v>
      </c>
      <c r="E380" s="653">
        <v>5307.5</v>
      </c>
      <c r="F380" s="9" t="str">
        <f>IF(ISERROR(E380/#REF!),"NA",IF(OR(E380/#REF!&gt;2,E380/#REF!&lt;0.5),"NM",E380/#REF!*100-100))</f>
        <v>NA</v>
      </c>
      <c r="G380" s="653">
        <v>5299.8</v>
      </c>
      <c r="H380" s="9"/>
      <c r="I380" s="653">
        <v>5272.6</v>
      </c>
      <c r="J380" s="9"/>
      <c r="K380" s="653">
        <v>5289.9</v>
      </c>
      <c r="L380" s="9"/>
      <c r="M380" s="653">
        <v>5287.2</v>
      </c>
      <c r="N380" s="9">
        <f t="shared" si="2126"/>
        <v>-0.38247762600094859</v>
      </c>
      <c r="O380" s="653">
        <v>5249.2</v>
      </c>
      <c r="P380" s="43">
        <f t="shared" si="2127"/>
        <v>-0.95475300954753095</v>
      </c>
      <c r="Q380" s="653">
        <v>5218</v>
      </c>
      <c r="R380" s="43">
        <f t="shared" si="2127"/>
        <v>-1.0355422372264229</v>
      </c>
      <c r="S380" s="653">
        <v>5213.8</v>
      </c>
      <c r="T380" s="43">
        <f t="shared" si="2127"/>
        <v>-1.438590521559945</v>
      </c>
      <c r="U380" s="653">
        <v>5129.5</v>
      </c>
      <c r="V380" s="43">
        <f t="shared" si="2127"/>
        <v>-2.9826751399606621</v>
      </c>
      <c r="W380" s="653">
        <v>5082.8999999999996</v>
      </c>
      <c r="X380" s="43">
        <f t="shared" si="2128"/>
        <v>-3.1681018059894939</v>
      </c>
      <c r="Y380" s="653"/>
      <c r="Z380" s="43" t="str">
        <f t="shared" si="2129"/>
        <v>NM</v>
      </c>
      <c r="AA380" s="653"/>
      <c r="AB380" s="43" t="str">
        <f t="shared" si="2130"/>
        <v>NM</v>
      </c>
      <c r="AC380" s="653"/>
      <c r="AD380" s="43" t="str">
        <f t="shared" si="2131"/>
        <v>NM</v>
      </c>
      <c r="AE380" s="653"/>
      <c r="AF380" s="43" t="str">
        <f t="shared" si="2132"/>
        <v>NM</v>
      </c>
      <c r="AG380" s="653"/>
      <c r="AH380" s="9" t="str">
        <f t="shared" si="2133"/>
        <v>NA</v>
      </c>
      <c r="AI380" s="653"/>
      <c r="AJ380" s="9" t="str">
        <f t="shared" si="2134"/>
        <v>NA</v>
      </c>
      <c r="AK380" s="653"/>
      <c r="AL380" s="9" t="str">
        <f t="shared" si="2135"/>
        <v>NA</v>
      </c>
      <c r="AM380" s="653"/>
      <c r="AN380" s="9" t="str">
        <f t="shared" si="2136"/>
        <v>NA</v>
      </c>
      <c r="AO380" s="653"/>
      <c r="AP380" s="9" t="str">
        <f t="shared" si="2137"/>
        <v>NA</v>
      </c>
      <c r="AQ380" s="653"/>
      <c r="AR380" s="9" t="str">
        <f t="shared" si="2138"/>
        <v>NA</v>
      </c>
      <c r="AS380" s="653"/>
      <c r="AT380" s="9" t="str">
        <f t="shared" si="2139"/>
        <v>NA</v>
      </c>
      <c r="AU380" s="653"/>
      <c r="AV380" s="9" t="str">
        <f t="shared" si="2140"/>
        <v>NA</v>
      </c>
      <c r="AW380" s="653"/>
      <c r="AX380" s="9" t="str">
        <f t="shared" si="2141"/>
        <v>NA</v>
      </c>
      <c r="AY380" s="287"/>
      <c r="AZ380" s="15"/>
      <c r="BA380" s="9"/>
      <c r="BB380" s="691"/>
      <c r="BC380" s="9"/>
      <c r="BD380" s="930"/>
      <c r="BE380" s="9"/>
      <c r="BF380" s="691"/>
      <c r="BG380" s="9"/>
      <c r="BH380" s="691"/>
      <c r="BI380" s="9"/>
      <c r="BJ380" s="691"/>
      <c r="BK380" s="9"/>
      <c r="BL380" s="691"/>
      <c r="BM380" s="9"/>
      <c r="BN380" s="653"/>
      <c r="BO380" s="9"/>
      <c r="BP380" s="653"/>
      <c r="BQ380" s="9"/>
      <c r="BR380" s="653"/>
      <c r="BS380" s="9"/>
      <c r="BT380" s="653"/>
      <c r="BU380" s="9"/>
      <c r="BV380" s="722"/>
      <c r="BW380" s="722"/>
      <c r="BX380" s="722"/>
      <c r="BY380"/>
      <c r="BZ380"/>
      <c r="CA380"/>
      <c r="CB380"/>
      <c r="CC380"/>
      <c r="CD380"/>
    </row>
    <row r="381" spans="1:82" s="2" customFormat="1" ht="12.75" customHeight="1" x14ac:dyDescent="0.2">
      <c r="A381" s="41"/>
      <c r="B381" s="42" t="s">
        <v>300</v>
      </c>
      <c r="C381" s="64">
        <f>SUM(C379:C380)</f>
        <v>14380</v>
      </c>
      <c r="D381" s="9" t="str">
        <f>IF(ISERROR(C381/#REF!),"NA",IF(OR(C381/#REF!&gt;2,C381/#REF!&lt;0.5),"NM",C381/#REF!*100-100))</f>
        <v>NA</v>
      </c>
      <c r="E381" s="64">
        <f>SUM(E379:E380)</f>
        <v>14371.6</v>
      </c>
      <c r="F381" s="9" t="str">
        <f>IF(ISERROR(E381/#REF!),"NA",IF(OR(E381/#REF!&gt;2,E381/#REF!&lt;0.5),"NM",E381/#REF!*100-100))</f>
        <v>NA</v>
      </c>
      <c r="G381" s="64">
        <f>SUM(G379:G380)</f>
        <v>14591.5</v>
      </c>
      <c r="H381" s="9" t="str">
        <f>IF(ISERROR(G381/#REF!),"NA",IF(OR(G381/#REF!&gt;2,G381/#REF!&lt;0.5),"NM",G381/#REF!*100-100))</f>
        <v>NA</v>
      </c>
      <c r="I381" s="64">
        <f>SUM(I379:I380)</f>
        <v>14874</v>
      </c>
      <c r="J381" s="9" t="str">
        <f>IF(ISERROR(I381/#REF!),"NA",IF(OR(I381/#REF!&gt;2,I381/#REF!&lt;0.5),"NM",I381/#REF!*100-100))</f>
        <v>NA</v>
      </c>
      <c r="K381" s="64">
        <f>SUM(K379:K380)</f>
        <v>15128.4</v>
      </c>
      <c r="L381" s="9">
        <f>IF(ISERROR(K381/C381),"NA",IF(OR(K381/C381&gt;2,K381/C381&lt;0.5),"NM",K381/C381*100-100))</f>
        <v>5.2044506258692564</v>
      </c>
      <c r="M381" s="64">
        <f>SUM(M379:M380)</f>
        <v>15448.599999999999</v>
      </c>
      <c r="N381" s="9">
        <f t="shared" si="2126"/>
        <v>7.4939463942775859</v>
      </c>
      <c r="O381" s="64">
        <f>SUM(O379:O380)</f>
        <v>15314.2</v>
      </c>
      <c r="P381" s="43">
        <f t="shared" si="2127"/>
        <v>4.9528835280814292</v>
      </c>
      <c r="Q381" s="64">
        <f>SUM(Q379:Q380)</f>
        <v>15519.9</v>
      </c>
      <c r="R381" s="43">
        <f t="shared" si="2127"/>
        <v>4.342476805163372</v>
      </c>
      <c r="S381" s="64">
        <f>SUM(S379:S380)</f>
        <v>15782</v>
      </c>
      <c r="T381" s="43">
        <f t="shared" si="2127"/>
        <v>4.3203511276803823</v>
      </c>
      <c r="U381" s="64">
        <f>SUM(U379:U380)</f>
        <v>15797</v>
      </c>
      <c r="V381" s="43">
        <f t="shared" si="2127"/>
        <v>2.2552205377833729</v>
      </c>
      <c r="W381" s="64">
        <f t="shared" ref="W381:Y381" si="2142">SUM(W379:W380)</f>
        <v>15771.699999999999</v>
      </c>
      <c r="X381" s="43">
        <f t="shared" si="2128"/>
        <v>2.9874234370714561</v>
      </c>
      <c r="Y381" s="64">
        <f t="shared" si="2142"/>
        <v>0</v>
      </c>
      <c r="Z381" s="43" t="str">
        <f t="shared" si="2129"/>
        <v>NM</v>
      </c>
      <c r="AA381" s="64">
        <f t="shared" ref="AA381:AC381" si="2143">SUM(AA379:AA380)</f>
        <v>0</v>
      </c>
      <c r="AB381" s="43" t="str">
        <f t="shared" si="2130"/>
        <v>NM</v>
      </c>
      <c r="AC381" s="64">
        <f t="shared" si="2143"/>
        <v>0</v>
      </c>
      <c r="AD381" s="43" t="str">
        <f t="shared" si="2131"/>
        <v>NM</v>
      </c>
      <c r="AE381" s="64">
        <f t="shared" ref="AE381:AG381" si="2144">SUM(AE379:AE380)</f>
        <v>0</v>
      </c>
      <c r="AF381" s="43" t="str">
        <f t="shared" si="2132"/>
        <v>NM</v>
      </c>
      <c r="AG381" s="64">
        <f t="shared" si="2144"/>
        <v>0</v>
      </c>
      <c r="AH381" s="9" t="str">
        <f t="shared" si="2133"/>
        <v>NA</v>
      </c>
      <c r="AI381" s="64">
        <f t="shared" ref="AI381:AK381" si="2145">SUM(AI379:AI380)</f>
        <v>0</v>
      </c>
      <c r="AJ381" s="9" t="str">
        <f t="shared" si="2134"/>
        <v>NA</v>
      </c>
      <c r="AK381" s="64">
        <f t="shared" si="2145"/>
        <v>0</v>
      </c>
      <c r="AL381" s="9" t="str">
        <f t="shared" si="2135"/>
        <v>NA</v>
      </c>
      <c r="AM381" s="63"/>
      <c r="AN381" s="9" t="str">
        <f t="shared" si="2136"/>
        <v>NA</v>
      </c>
      <c r="AO381" s="63"/>
      <c r="AP381" s="9" t="str">
        <f t="shared" si="2137"/>
        <v>NA</v>
      </c>
      <c r="AQ381" s="63"/>
      <c r="AR381" s="9" t="str">
        <f t="shared" si="2138"/>
        <v>NA</v>
      </c>
      <c r="AS381" s="63"/>
      <c r="AT381" s="9" t="str">
        <f t="shared" si="2139"/>
        <v>NA</v>
      </c>
      <c r="AU381" s="63"/>
      <c r="AV381" s="9" t="str">
        <f t="shared" si="2140"/>
        <v>NA</v>
      </c>
      <c r="AW381" s="63"/>
      <c r="AX381" s="9" t="str">
        <f t="shared" si="2141"/>
        <v>NA</v>
      </c>
      <c r="AY381" s="287"/>
      <c r="AZ381" s="15"/>
      <c r="BA381" s="9" t="str">
        <f>IF(ISERROR(#REF!/#REF!),"NA",IF(OR(#REF!/#REF!&gt;2,#REF!/#REF!&lt;0.5),"NM",#REF!/#REF!*100-100))</f>
        <v>NA</v>
      </c>
      <c r="BB381" s="64"/>
      <c r="BC381" s="9" t="str">
        <f>IF(ISERROR(BB381/#REF!),"NA",IF(OR(BB381/#REF!&gt;2,BB381/#REF!&lt;0.5),"NM",BB381/#REF!*100-100))</f>
        <v>NA</v>
      </c>
      <c r="BD381" s="933">
        <f>Q381</f>
        <v>15519.9</v>
      </c>
      <c r="BE381" s="9" t="str">
        <f t="shared" ref="BE381:BS381" si="2146">IF(ISERROR(BD381/BB381),"NA",IF(OR(BD381/BB381&gt;2,BD381/BB381&lt;0.5),"NM",BD381/BB381*100-100))</f>
        <v>NA</v>
      </c>
      <c r="BF381" s="64">
        <f>Y381</f>
        <v>0</v>
      </c>
      <c r="BG381" s="9" t="str">
        <f t="shared" si="2146"/>
        <v>NM</v>
      </c>
      <c r="BH381" s="64">
        <f>AG381</f>
        <v>0</v>
      </c>
      <c r="BI381" s="9" t="str">
        <f t="shared" si="2146"/>
        <v>NA</v>
      </c>
      <c r="BJ381" s="64">
        <f>AO381</f>
        <v>0</v>
      </c>
      <c r="BK381" s="9" t="str">
        <f t="shared" si="2146"/>
        <v>NA</v>
      </c>
      <c r="BL381" s="64">
        <f>AW381</f>
        <v>0</v>
      </c>
      <c r="BM381" s="9" t="str">
        <f t="shared" si="2146"/>
        <v>NA</v>
      </c>
      <c r="BN381" s="63">
        <f>BL381*1.06</f>
        <v>0</v>
      </c>
      <c r="BO381" s="9" t="str">
        <f t="shared" si="2146"/>
        <v>NA</v>
      </c>
      <c r="BP381" s="63">
        <f>BN381*1.06</f>
        <v>0</v>
      </c>
      <c r="BQ381" s="9" t="str">
        <f t="shared" si="2146"/>
        <v>NA</v>
      </c>
      <c r="BR381" s="63">
        <f>BP381*1.06</f>
        <v>0</v>
      </c>
      <c r="BS381" s="9" t="str">
        <f t="shared" si="2146"/>
        <v>NA</v>
      </c>
      <c r="BT381" s="63">
        <f>BR381*1.06</f>
        <v>0</v>
      </c>
      <c r="BU381" s="9" t="str">
        <f t="shared" ref="BU381" si="2147">IF(ISERROR(BT381/BR381),"NA",IF(OR(BT381/BR381&gt;2,BT381/BR381&lt;0.5),"NM",BT381/BR381*100-100))</f>
        <v>NA</v>
      </c>
      <c r="BV381" s="43" t="str">
        <f>IF(ISERROR(((BT381/BJ381)^0.2-1)*100),"NA",IF((((BT381/BJ381)^0.2-1)*100)&gt;100,"NM",IF((((BT381/BJ381)^0.2-1)*100)&lt;-50,"NM",((BT381/BJ381)^0.2-1)*100)))</f>
        <v>NA</v>
      </c>
      <c r="BW381" s="722"/>
      <c r="BX381" s="722"/>
      <c r="BY381"/>
      <c r="BZ381"/>
      <c r="CA381"/>
      <c r="CB381"/>
      <c r="CC381"/>
      <c r="CD381"/>
    </row>
    <row r="382" spans="1:82" s="2" customFormat="1" ht="12.75" customHeight="1" x14ac:dyDescent="0.2">
      <c r="A382" s="41"/>
      <c r="B382" s="42"/>
      <c r="C382" s="99"/>
      <c r="D382" s="9"/>
      <c r="E382" s="99"/>
      <c r="F382" s="9"/>
      <c r="G382" s="99"/>
      <c r="H382" s="9"/>
      <c r="I382" s="99"/>
      <c r="J382" s="9"/>
      <c r="K382" s="99"/>
      <c r="L382" s="9"/>
      <c r="M382" s="99"/>
      <c r="N382" s="9"/>
      <c r="O382" s="99"/>
      <c r="P382" s="43"/>
      <c r="Q382" s="99"/>
      <c r="R382" s="43"/>
      <c r="S382" s="99"/>
      <c r="T382" s="43"/>
      <c r="U382" s="99"/>
      <c r="V382" s="43"/>
      <c r="W382" s="99"/>
      <c r="X382" s="43"/>
      <c r="Y382" s="99"/>
      <c r="Z382" s="43"/>
      <c r="AA382" s="99"/>
      <c r="AB382" s="43"/>
      <c r="AC382" s="99"/>
      <c r="AD382" s="43"/>
      <c r="AE382" s="99"/>
      <c r="AF382" s="43"/>
      <c r="AG382" s="99"/>
      <c r="AH382" s="9"/>
      <c r="AI382" s="99"/>
      <c r="AJ382" s="9"/>
      <c r="AK382" s="99"/>
      <c r="AL382" s="9"/>
      <c r="AM382" s="99"/>
      <c r="AN382" s="9"/>
      <c r="AO382" s="99"/>
      <c r="AP382" s="9"/>
      <c r="AQ382" s="99"/>
      <c r="AR382" s="9"/>
      <c r="AS382" s="99"/>
      <c r="AT382" s="9"/>
      <c r="AU382" s="99"/>
      <c r="AV382" s="9"/>
      <c r="AW382" s="99"/>
      <c r="AX382" s="9"/>
      <c r="AY382" s="287"/>
      <c r="AZ382" s="15"/>
      <c r="BA382" s="9"/>
      <c r="BB382" s="99"/>
      <c r="BC382" s="9"/>
      <c r="BD382" s="849"/>
      <c r="BE382" s="9"/>
      <c r="BF382" s="99"/>
      <c r="BG382" s="9"/>
      <c r="BH382" s="99"/>
      <c r="BI382" s="9"/>
      <c r="BJ382" s="99"/>
      <c r="BK382" s="9"/>
      <c r="BL382" s="99"/>
      <c r="BM382" s="9"/>
      <c r="BN382" s="99"/>
      <c r="BO382" s="9"/>
      <c r="BP382" s="99"/>
      <c r="BQ382" s="9"/>
      <c r="BR382" s="99"/>
      <c r="BS382" s="9"/>
      <c r="BT382" s="99"/>
      <c r="BU382" s="9"/>
      <c r="BV382" s="722"/>
      <c r="BW382" s="722"/>
      <c r="BX382" s="722"/>
      <c r="BY382"/>
      <c r="BZ382"/>
      <c r="CA382"/>
      <c r="CB382"/>
      <c r="CC382"/>
      <c r="CD382"/>
    </row>
    <row r="383" spans="1:82" s="2" customFormat="1" ht="12.75" hidden="1" customHeight="1" outlineLevel="1" x14ac:dyDescent="0.2">
      <c r="A383" s="41"/>
      <c r="B383" s="80" t="s">
        <v>234</v>
      </c>
      <c r="C383" s="101"/>
      <c r="D383" s="9"/>
      <c r="E383" s="101"/>
      <c r="F383" s="9"/>
      <c r="G383" s="101"/>
      <c r="H383" s="9"/>
      <c r="I383" s="101"/>
      <c r="J383" s="9"/>
      <c r="K383" s="101"/>
      <c r="L383" s="9"/>
      <c r="M383" s="101"/>
      <c r="N383" s="9"/>
      <c r="O383" s="101"/>
      <c r="P383" s="43"/>
      <c r="Q383" s="101"/>
      <c r="R383" s="43"/>
      <c r="S383" s="101"/>
      <c r="T383" s="43"/>
      <c r="U383" s="101"/>
      <c r="V383" s="43"/>
      <c r="W383" s="101"/>
      <c r="X383" s="43"/>
      <c r="Y383" s="101"/>
      <c r="Z383" s="43"/>
      <c r="AA383" s="101"/>
      <c r="AB383" s="43"/>
      <c r="AC383" s="101"/>
      <c r="AD383" s="43"/>
      <c r="AE383" s="101"/>
      <c r="AF383" s="43"/>
      <c r="AG383" s="101"/>
      <c r="AH383" s="9"/>
      <c r="AI383" s="101"/>
      <c r="AJ383" s="9"/>
      <c r="AK383" s="101"/>
      <c r="AL383" s="9"/>
      <c r="AM383" s="101"/>
      <c r="AN383" s="9"/>
      <c r="AO383" s="101"/>
      <c r="AP383" s="9"/>
      <c r="AQ383" s="101"/>
      <c r="AR383" s="9"/>
      <c r="AS383" s="101"/>
      <c r="AT383" s="9"/>
      <c r="AU383" s="101"/>
      <c r="AV383" s="9"/>
      <c r="AW383" s="101"/>
      <c r="AX383" s="9"/>
      <c r="AY383" s="287"/>
      <c r="AZ383" s="15"/>
      <c r="BA383" s="9"/>
      <c r="BB383" s="99"/>
      <c r="BC383" s="9"/>
      <c r="BD383" s="849"/>
      <c r="BE383" s="9"/>
      <c r="BF383" s="99"/>
      <c r="BG383" s="9"/>
      <c r="BH383" s="99"/>
      <c r="BI383" s="9"/>
      <c r="BJ383" s="99"/>
      <c r="BK383" s="9"/>
      <c r="BL383" s="99"/>
      <c r="BM383" s="9"/>
      <c r="BN383" s="101"/>
      <c r="BO383" s="9"/>
      <c r="BP383" s="101"/>
      <c r="BQ383" s="9"/>
      <c r="BR383" s="101"/>
      <c r="BS383" s="9"/>
      <c r="BT383" s="101"/>
      <c r="BU383" s="9"/>
      <c r="BV383" s="722"/>
      <c r="BW383" s="722"/>
      <c r="BX383" s="722"/>
      <c r="BY383"/>
      <c r="BZ383"/>
      <c r="CA383"/>
      <c r="CB383"/>
      <c r="CC383"/>
      <c r="CD383"/>
    </row>
    <row r="384" spans="1:82" s="2" customFormat="1" ht="12.75" hidden="1" customHeight="1" outlineLevel="1" x14ac:dyDescent="0.2">
      <c r="A384" s="41"/>
      <c r="B384" s="42" t="s">
        <v>235</v>
      </c>
      <c r="C384" s="101">
        <v>45.8</v>
      </c>
      <c r="D384" s="9"/>
      <c r="E384" s="101">
        <v>29.3</v>
      </c>
      <c r="F384" s="9"/>
      <c r="G384" s="101"/>
      <c r="H384" s="9"/>
      <c r="I384" s="101"/>
      <c r="J384" s="9"/>
      <c r="K384" s="101"/>
      <c r="L384" s="9"/>
      <c r="M384" s="101"/>
      <c r="N384" s="9"/>
      <c r="O384" s="101"/>
      <c r="P384" s="43"/>
      <c r="Q384" s="101"/>
      <c r="R384" s="43"/>
      <c r="S384" s="101"/>
      <c r="T384" s="43"/>
      <c r="U384" s="101"/>
      <c r="V384" s="43"/>
      <c r="W384" s="101"/>
      <c r="X384" s="43"/>
      <c r="Y384" s="101"/>
      <c r="Z384" s="43"/>
      <c r="AA384" s="101"/>
      <c r="AB384" s="43"/>
      <c r="AC384" s="101"/>
      <c r="AD384" s="43"/>
      <c r="AE384" s="101"/>
      <c r="AF384" s="43"/>
      <c r="AG384" s="101"/>
      <c r="AH384" s="9"/>
      <c r="AI384" s="101"/>
      <c r="AJ384" s="9"/>
      <c r="AK384" s="101"/>
      <c r="AL384" s="9"/>
      <c r="AM384" s="101"/>
      <c r="AN384" s="9"/>
      <c r="AO384" s="101"/>
      <c r="AP384" s="9"/>
      <c r="AQ384" s="101"/>
      <c r="AR384" s="9"/>
      <c r="AS384" s="101"/>
      <c r="AT384" s="9"/>
      <c r="AU384" s="101"/>
      <c r="AV384" s="9"/>
      <c r="AW384" s="101"/>
      <c r="AX384" s="9"/>
      <c r="AY384" s="287"/>
      <c r="AZ384" s="15"/>
      <c r="BA384" s="9"/>
      <c r="BB384" s="691">
        <f>O384+Q384+S384+U384</f>
        <v>0</v>
      </c>
      <c r="BC384" s="9" t="str">
        <f>IF(ISERROR(BB384/#REF!),"NA",IF(OR(BB384/#REF!&gt;2,BB384/#REF!&lt;0.5),"NM",BB384/#REF!*100-100))</f>
        <v>NA</v>
      </c>
      <c r="BD384" s="930">
        <f>Q384+S384+U384+W384</f>
        <v>0</v>
      </c>
      <c r="BE384" s="9" t="str">
        <f t="shared" ref="BE384:BS386" si="2148">IF(ISERROR(BD384/BB384),"NA",IF(OR(BD384/BB384&gt;2,BD384/BB384&lt;0.5),"NM",BD384/BB384*100-100))</f>
        <v>NA</v>
      </c>
      <c r="BF384" s="691">
        <f>S384+U384+W384+Y384</f>
        <v>0</v>
      </c>
      <c r="BG384" s="9" t="str">
        <f t="shared" si="2148"/>
        <v>NA</v>
      </c>
      <c r="BH384" s="691">
        <f>AA384+AC384+AE384+AG384</f>
        <v>0</v>
      </c>
      <c r="BI384" s="9" t="str">
        <f t="shared" si="2148"/>
        <v>NA</v>
      </c>
      <c r="BJ384" s="691">
        <f>AI384+AK384+AM384+AO384</f>
        <v>0</v>
      </c>
      <c r="BK384" s="9" t="str">
        <f t="shared" si="2148"/>
        <v>NA</v>
      </c>
      <c r="BL384" s="691">
        <f>AQ384+AS384+AU384+AW384</f>
        <v>0</v>
      </c>
      <c r="BM384" s="9" t="str">
        <f t="shared" si="2148"/>
        <v>NA</v>
      </c>
      <c r="BN384" s="101"/>
      <c r="BO384" s="9" t="str">
        <f t="shared" si="2148"/>
        <v>NA</v>
      </c>
      <c r="BP384" s="101"/>
      <c r="BQ384" s="9" t="str">
        <f t="shared" si="2148"/>
        <v>NA</v>
      </c>
      <c r="BR384" s="101"/>
      <c r="BS384" s="9" t="str">
        <f t="shared" si="2148"/>
        <v>NA</v>
      </c>
      <c r="BT384" s="101"/>
      <c r="BU384" s="9" t="str">
        <f t="shared" ref="BU384:BU386" si="2149">IF(ISERROR(BT384/BR384),"NA",IF(OR(BT384/BR384&gt;2,BT384/BR384&lt;0.5),"NM",BT384/BR384*100-100))</f>
        <v>NA</v>
      </c>
      <c r="BV384" s="722"/>
      <c r="BW384" s="722"/>
      <c r="BX384" s="722"/>
      <c r="BY384"/>
      <c r="BZ384"/>
      <c r="CA384"/>
      <c r="CB384"/>
      <c r="CC384"/>
      <c r="CD384"/>
    </row>
    <row r="385" spans="1:83" s="2" customFormat="1" ht="12.75" hidden="1" customHeight="1" outlineLevel="1" x14ac:dyDescent="0.2">
      <c r="A385" s="41"/>
      <c r="B385" s="42" t="s">
        <v>447</v>
      </c>
      <c r="C385" s="101">
        <v>13.7</v>
      </c>
      <c r="D385" s="9"/>
      <c r="E385" s="101">
        <v>14.9</v>
      </c>
      <c r="F385" s="9"/>
      <c r="G385" s="101"/>
      <c r="H385" s="9"/>
      <c r="I385" s="101"/>
      <c r="J385" s="9"/>
      <c r="K385" s="101"/>
      <c r="L385" s="9"/>
      <c r="M385" s="101"/>
      <c r="N385" s="9"/>
      <c r="O385" s="101"/>
      <c r="P385" s="43"/>
      <c r="Q385" s="101"/>
      <c r="R385" s="43"/>
      <c r="S385" s="101"/>
      <c r="T385" s="43"/>
      <c r="U385" s="101"/>
      <c r="V385" s="43"/>
      <c r="W385" s="101"/>
      <c r="X385" s="43"/>
      <c r="Y385" s="101"/>
      <c r="Z385" s="43"/>
      <c r="AA385" s="101"/>
      <c r="AB385" s="43"/>
      <c r="AC385" s="101"/>
      <c r="AD385" s="43"/>
      <c r="AE385" s="101"/>
      <c r="AF385" s="43"/>
      <c r="AG385" s="101"/>
      <c r="AH385" s="9"/>
      <c r="AI385" s="101"/>
      <c r="AJ385" s="9"/>
      <c r="AK385" s="101"/>
      <c r="AL385" s="9"/>
      <c r="AM385" s="101"/>
      <c r="AN385" s="9"/>
      <c r="AO385" s="101"/>
      <c r="AP385" s="9"/>
      <c r="AQ385" s="101"/>
      <c r="AR385" s="9"/>
      <c r="AS385" s="101"/>
      <c r="AT385" s="9"/>
      <c r="AU385" s="101"/>
      <c r="AV385" s="9"/>
      <c r="AW385" s="101"/>
      <c r="AX385" s="9"/>
      <c r="AY385" s="287"/>
      <c r="AZ385" s="15"/>
      <c r="BA385" s="9"/>
      <c r="BB385" s="691">
        <f>O385+Q385+S385+U385</f>
        <v>0</v>
      </c>
      <c r="BC385" s="9" t="str">
        <f>IF(ISERROR(BB385/#REF!),"NA",IF(OR(BB385/#REF!&gt;2,BB385/#REF!&lt;0.5),"NM",BB385/#REF!*100-100))</f>
        <v>NA</v>
      </c>
      <c r="BD385" s="930">
        <f>Q385+S385+U385+W385</f>
        <v>0</v>
      </c>
      <c r="BE385" s="9" t="str">
        <f t="shared" si="2148"/>
        <v>NA</v>
      </c>
      <c r="BF385" s="691">
        <f>S385+U385+W385+Y385</f>
        <v>0</v>
      </c>
      <c r="BG385" s="9" t="str">
        <f t="shared" si="2148"/>
        <v>NA</v>
      </c>
      <c r="BH385" s="691">
        <f>AA385+AC385+AE385+AG385</f>
        <v>0</v>
      </c>
      <c r="BI385" s="9" t="str">
        <f t="shared" si="2148"/>
        <v>NA</v>
      </c>
      <c r="BJ385" s="691">
        <f>AI385+AK385+AM385+AO385</f>
        <v>0</v>
      </c>
      <c r="BK385" s="9" t="str">
        <f t="shared" si="2148"/>
        <v>NA</v>
      </c>
      <c r="BL385" s="691">
        <f>AQ385+AS385+AU385+AW385</f>
        <v>0</v>
      </c>
      <c r="BM385" s="9" t="str">
        <f t="shared" si="2148"/>
        <v>NA</v>
      </c>
      <c r="BN385" s="101"/>
      <c r="BO385" s="9" t="str">
        <f t="shared" si="2148"/>
        <v>NA</v>
      </c>
      <c r="BP385" s="101"/>
      <c r="BQ385" s="9" t="str">
        <f t="shared" si="2148"/>
        <v>NA</v>
      </c>
      <c r="BR385" s="101"/>
      <c r="BS385" s="9" t="str">
        <f t="shared" si="2148"/>
        <v>NA</v>
      </c>
      <c r="BT385" s="101"/>
      <c r="BU385" s="9" t="str">
        <f t="shared" si="2149"/>
        <v>NA</v>
      </c>
      <c r="BV385" s="722"/>
      <c r="BW385" s="722"/>
      <c r="BX385" s="722"/>
      <c r="BY385"/>
      <c r="BZ385"/>
      <c r="CA385"/>
      <c r="CB385"/>
      <c r="CC385"/>
      <c r="CD385"/>
    </row>
    <row r="386" spans="1:83" s="2" customFormat="1" ht="12.75" hidden="1" customHeight="1" outlineLevel="1" x14ac:dyDescent="0.2">
      <c r="A386" s="41"/>
      <c r="B386" s="42" t="s">
        <v>236</v>
      </c>
      <c r="C386" s="99">
        <f>+C385+C384</f>
        <v>59.5</v>
      </c>
      <c r="D386" s="9"/>
      <c r="E386" s="99">
        <f>+E385+E384</f>
        <v>44.2</v>
      </c>
      <c r="F386" s="9"/>
      <c r="G386" s="99"/>
      <c r="H386" s="9"/>
      <c r="I386" s="99"/>
      <c r="J386" s="9"/>
      <c r="K386" s="99"/>
      <c r="L386" s="9"/>
      <c r="M386" s="99"/>
      <c r="N386" s="9"/>
      <c r="O386" s="99"/>
      <c r="P386" s="43"/>
      <c r="Q386" s="99"/>
      <c r="R386" s="43"/>
      <c r="S386" s="99"/>
      <c r="T386" s="43"/>
      <c r="U386" s="99"/>
      <c r="V386" s="43"/>
      <c r="W386" s="99"/>
      <c r="X386" s="43"/>
      <c r="Y386" s="99"/>
      <c r="Z386" s="43"/>
      <c r="AA386" s="99"/>
      <c r="AB386" s="43"/>
      <c r="AC386" s="99"/>
      <c r="AD386" s="43"/>
      <c r="AE386" s="99"/>
      <c r="AF386" s="43"/>
      <c r="AG386" s="99"/>
      <c r="AH386" s="9"/>
      <c r="AI386" s="99"/>
      <c r="AJ386" s="9"/>
      <c r="AK386" s="99"/>
      <c r="AL386" s="9"/>
      <c r="AM386" s="99"/>
      <c r="AN386" s="9"/>
      <c r="AO386" s="99"/>
      <c r="AP386" s="9"/>
      <c r="AQ386" s="99"/>
      <c r="AR386" s="9"/>
      <c r="AS386" s="99"/>
      <c r="AT386" s="9"/>
      <c r="AU386" s="99"/>
      <c r="AV386" s="9"/>
      <c r="AW386" s="99"/>
      <c r="AX386" s="9"/>
      <c r="AY386" s="287"/>
      <c r="AZ386" s="15"/>
      <c r="BA386" s="9"/>
      <c r="BB386" s="691">
        <f>O386+Q386+S386+U386</f>
        <v>0</v>
      </c>
      <c r="BC386" s="9" t="str">
        <f>IF(ISERROR(BB386/#REF!),"NA",IF(OR(BB386/#REF!&gt;2,BB386/#REF!&lt;0.5),"NM",BB386/#REF!*100-100))</f>
        <v>NA</v>
      </c>
      <c r="BD386" s="930">
        <f>Q386+S386+U386+W386</f>
        <v>0</v>
      </c>
      <c r="BE386" s="9" t="str">
        <f t="shared" si="2148"/>
        <v>NA</v>
      </c>
      <c r="BF386" s="691">
        <f>S386+U386+W386+Y386</f>
        <v>0</v>
      </c>
      <c r="BG386" s="9" t="str">
        <f t="shared" si="2148"/>
        <v>NA</v>
      </c>
      <c r="BH386" s="691">
        <f>AA386+AC386+AE386+AG386</f>
        <v>0</v>
      </c>
      <c r="BI386" s="9" t="str">
        <f t="shared" si="2148"/>
        <v>NA</v>
      </c>
      <c r="BJ386" s="691">
        <f>AI386+AK386+AM386+AO386</f>
        <v>0</v>
      </c>
      <c r="BK386" s="9" t="str">
        <f t="shared" si="2148"/>
        <v>NA</v>
      </c>
      <c r="BL386" s="691">
        <f>AQ386+AS386+AU386+AW386</f>
        <v>0</v>
      </c>
      <c r="BM386" s="9" t="str">
        <f t="shared" si="2148"/>
        <v>NA</v>
      </c>
      <c r="BN386" s="99"/>
      <c r="BO386" s="9" t="str">
        <f t="shared" si="2148"/>
        <v>NA</v>
      </c>
      <c r="BP386" s="99"/>
      <c r="BQ386" s="9" t="str">
        <f t="shared" si="2148"/>
        <v>NA</v>
      </c>
      <c r="BR386" s="99"/>
      <c r="BS386" s="9" t="str">
        <f t="shared" si="2148"/>
        <v>NA</v>
      </c>
      <c r="BT386" s="99"/>
      <c r="BU386" s="9" t="str">
        <f t="shared" si="2149"/>
        <v>NA</v>
      </c>
      <c r="BV386" s="722"/>
      <c r="BW386" s="722"/>
      <c r="BX386" s="722"/>
      <c r="BY386"/>
      <c r="BZ386"/>
      <c r="CA386"/>
      <c r="CB386"/>
      <c r="CC386"/>
      <c r="CD386"/>
    </row>
    <row r="387" spans="1:83" s="2" customFormat="1" ht="12.75" hidden="1" customHeight="1" outlineLevel="1" x14ac:dyDescent="0.2">
      <c r="A387" s="41"/>
      <c r="B387" s="42"/>
      <c r="C387" s="135"/>
      <c r="D387" s="40"/>
      <c r="E387" s="135"/>
      <c r="F387" s="40"/>
      <c r="G387" s="135"/>
      <c r="H387" s="40"/>
      <c r="I387" s="135"/>
      <c r="J387" s="40"/>
      <c r="K387" s="135"/>
      <c r="L387" s="40"/>
      <c r="M387" s="135"/>
      <c r="N387" s="40"/>
      <c r="O387" s="135"/>
      <c r="P387" s="43"/>
      <c r="Q387" s="135"/>
      <c r="R387" s="43"/>
      <c r="S387" s="135"/>
      <c r="T387" s="43"/>
      <c r="U387" s="135"/>
      <c r="V387" s="43"/>
      <c r="W387" s="135"/>
      <c r="X387" s="43"/>
      <c r="Y387" s="135"/>
      <c r="Z387" s="43"/>
      <c r="AA387" s="135"/>
      <c r="AB387" s="43"/>
      <c r="AC387" s="135"/>
      <c r="AD387" s="43"/>
      <c r="AE387" s="135"/>
      <c r="AF387" s="43"/>
      <c r="AG387" s="135"/>
      <c r="AH387" s="40"/>
      <c r="AI387" s="135"/>
      <c r="AJ387" s="40"/>
      <c r="AK387" s="135"/>
      <c r="AL387" s="40"/>
      <c r="AM387" s="135"/>
      <c r="AN387" s="40"/>
      <c r="AO387" s="135"/>
      <c r="AP387" s="40"/>
      <c r="AQ387" s="135"/>
      <c r="AR387" s="40"/>
      <c r="AS387" s="135"/>
      <c r="AT387" s="40"/>
      <c r="AU387" s="135"/>
      <c r="AV387" s="40"/>
      <c r="AW387" s="135"/>
      <c r="AX387" s="40"/>
      <c r="AY387" s="287"/>
      <c r="AZ387" s="15"/>
      <c r="BA387" s="40"/>
      <c r="BB387" s="53"/>
      <c r="BC387" s="40"/>
      <c r="BD387" s="934"/>
      <c r="BE387" s="40"/>
      <c r="BF387" s="53"/>
      <c r="BG387" s="40"/>
      <c r="BH387" s="53"/>
      <c r="BI387" s="40"/>
      <c r="BJ387" s="53"/>
      <c r="BK387" s="40"/>
      <c r="BL387" s="53"/>
      <c r="BM387" s="40"/>
      <c r="BN387" s="135"/>
      <c r="BO387" s="40"/>
      <c r="BP387" s="135"/>
      <c r="BQ387" s="40"/>
      <c r="BR387" s="135"/>
      <c r="BS387" s="40"/>
      <c r="BT387" s="135"/>
      <c r="BU387" s="40"/>
      <c r="BV387" s="722"/>
      <c r="BW387" s="722"/>
      <c r="BX387" s="722"/>
      <c r="BY387"/>
      <c r="BZ387"/>
      <c r="CA387"/>
      <c r="CB387"/>
      <c r="CC387"/>
      <c r="CD387"/>
    </row>
    <row r="388" spans="1:83" s="2" customFormat="1" ht="12.75" customHeight="1" collapsed="1" x14ac:dyDescent="0.2">
      <c r="A388" s="41"/>
      <c r="B388" s="80" t="s">
        <v>492</v>
      </c>
      <c r="C388" s="99"/>
      <c r="D388" s="40"/>
      <c r="E388" s="99"/>
      <c r="F388" s="40"/>
      <c r="G388" s="99"/>
      <c r="H388" s="40"/>
      <c r="I388" s="99"/>
      <c r="J388" s="40"/>
      <c r="K388" s="99"/>
      <c r="L388" s="40"/>
      <c r="M388" s="99"/>
      <c r="N388" s="40"/>
      <c r="O388" s="99"/>
      <c r="P388" s="43"/>
      <c r="Q388" s="99"/>
      <c r="R388" s="43"/>
      <c r="S388" s="99"/>
      <c r="T388" s="43"/>
      <c r="U388" s="99"/>
      <c r="V388" s="43"/>
      <c r="W388" s="99"/>
      <c r="X388" s="43"/>
      <c r="Y388" s="99"/>
      <c r="Z388" s="43"/>
      <c r="AA388" s="99"/>
      <c r="AB388" s="43"/>
      <c r="AC388" s="99"/>
      <c r="AD388" s="43"/>
      <c r="AE388" s="99"/>
      <c r="AF388" s="43"/>
      <c r="AG388" s="99"/>
      <c r="AH388" s="40"/>
      <c r="AI388" s="99"/>
      <c r="AJ388" s="40"/>
      <c r="AK388" s="99"/>
      <c r="AL388" s="40"/>
      <c r="AM388" s="99"/>
      <c r="AN388" s="40"/>
      <c r="AO388" s="99"/>
      <c r="AP388" s="40"/>
      <c r="AQ388" s="99"/>
      <c r="AR388" s="40"/>
      <c r="AS388" s="99"/>
      <c r="AT388" s="40"/>
      <c r="AU388" s="99"/>
      <c r="AV388" s="40"/>
      <c r="AW388" s="99"/>
      <c r="AX388" s="40"/>
      <c r="AY388" s="287"/>
      <c r="AZ388" s="15"/>
      <c r="BA388" s="40"/>
      <c r="BB388" s="99"/>
      <c r="BC388" s="40"/>
      <c r="BD388" s="849"/>
      <c r="BE388" s="40"/>
      <c r="BF388" s="99"/>
      <c r="BG388" s="40"/>
      <c r="BH388" s="99"/>
      <c r="BI388" s="40"/>
      <c r="BJ388" s="99"/>
      <c r="BK388" s="40"/>
      <c r="BL388" s="99"/>
      <c r="BM388" s="40"/>
      <c r="BN388" s="99"/>
      <c r="BO388" s="40"/>
      <c r="BP388" s="99"/>
      <c r="BQ388" s="40"/>
      <c r="BR388" s="99"/>
      <c r="BS388" s="40"/>
      <c r="BT388" s="99"/>
      <c r="BU388" s="40"/>
      <c r="BV388" s="722"/>
      <c r="BW388" s="722"/>
      <c r="BX388" s="722"/>
      <c r="BY388"/>
      <c r="BZ388"/>
      <c r="CA388"/>
      <c r="CB388"/>
      <c r="CC388"/>
      <c r="CD388"/>
    </row>
    <row r="389" spans="1:83" s="2" customFormat="1" ht="12.75" customHeight="1" x14ac:dyDescent="0.2">
      <c r="A389" s="41"/>
      <c r="B389" s="62" t="s">
        <v>374</v>
      </c>
      <c r="C389" s="87">
        <f>99.1+139.9</f>
        <v>239</v>
      </c>
      <c r="D389" s="9" t="str">
        <f>IF(ISERROR(C389/#REF!),"NA",IF(OR(C389/#REF!&gt;2,C389/#REF!&lt;0.5),"NM",C389/#REF!*100-100))</f>
        <v>NA</v>
      </c>
      <c r="E389" s="87">
        <f>93.2+133.3</f>
        <v>226.5</v>
      </c>
      <c r="F389" s="9" t="str">
        <f>IF(ISERROR(E389/#REF!),"NA",IF(OR(E389/#REF!&gt;2,E389/#REF!&lt;0.5),"NM",E389/#REF!*100-100))</f>
        <v>NA</v>
      </c>
      <c r="G389" s="87">
        <f>82.7+133.4</f>
        <v>216.10000000000002</v>
      </c>
      <c r="H389" s="9" t="str">
        <f>IF(ISERROR(G389/#REF!),"NA",IF(OR(G389/#REF!&gt;2,G389/#REF!&lt;0.5),"NM",G389/#REF!*100-100))</f>
        <v>NA</v>
      </c>
      <c r="I389" s="87">
        <f>88.8+136.7</f>
        <v>225.5</v>
      </c>
      <c r="J389" s="9" t="str">
        <f>IF(ISERROR(I389/#REF!),"NA",IF(OR(I389/#REF!&gt;2,I389/#REF!&lt;0.5),"NM",I389/#REF!*100-100))</f>
        <v>NA</v>
      </c>
      <c r="K389" s="87">
        <f>93.4+141.2</f>
        <v>234.6</v>
      </c>
      <c r="L389" s="9">
        <f>IF(ISERROR(K389/C389),"NA",IF(OR(K389/C389&gt;2,K389/C389&lt;0.5),"NM",K389/C389*100-100))</f>
        <v>-1.8410041841004272</v>
      </c>
      <c r="M389" s="87">
        <f>90+141.6</f>
        <v>231.6</v>
      </c>
      <c r="N389" s="9">
        <f>IF(ISERROR(M389/E389),"NA",IF(OR(M389/E389&gt;2,M389/E389&lt;0.5),"NM",M389/E389*100-100))</f>
        <v>2.2516556291390657</v>
      </c>
      <c r="O389" s="87">
        <f>89.2+146</f>
        <v>235.2</v>
      </c>
      <c r="P389" s="43">
        <f t="shared" si="2127"/>
        <v>8.8385006941230699</v>
      </c>
      <c r="Q389" s="87">
        <f>84.3+150</f>
        <v>234.3</v>
      </c>
      <c r="R389" s="43">
        <f t="shared" si="2127"/>
        <v>3.9024390243902474</v>
      </c>
      <c r="S389" s="87">
        <f>95.4+152.4</f>
        <v>247.8</v>
      </c>
      <c r="T389" s="43">
        <f t="shared" si="2127"/>
        <v>5.6265984654731511</v>
      </c>
      <c r="U389" s="87">
        <f>87.7+152.3</f>
        <v>240</v>
      </c>
      <c r="V389" s="43">
        <f t="shared" si="2127"/>
        <v>3.62694300518136</v>
      </c>
      <c r="W389" s="87">
        <f>85.1+154.1</f>
        <v>239.2</v>
      </c>
      <c r="X389" s="43">
        <f t="shared" si="2128"/>
        <v>1.7006802721088405</v>
      </c>
      <c r="Y389" s="87">
        <f>80.1+159</f>
        <v>239.1</v>
      </c>
      <c r="Z389" s="43">
        <f t="shared" si="2129"/>
        <v>2.0486555697823263</v>
      </c>
      <c r="AA389" s="87">
        <f>90.2+165</f>
        <v>255.2</v>
      </c>
      <c r="AB389" s="43">
        <f t="shared" si="2130"/>
        <v>2.9862792574656822</v>
      </c>
      <c r="AC389" s="87">
        <f>84.1+166.8</f>
        <v>250.9</v>
      </c>
      <c r="AD389" s="43">
        <f t="shared" si="2131"/>
        <v>4.5416666666666714</v>
      </c>
      <c r="AE389" s="87">
        <f>83.5+157.5</f>
        <v>241</v>
      </c>
      <c r="AF389" s="43">
        <f t="shared" si="2132"/>
        <v>0.75250836120402198</v>
      </c>
      <c r="AG389" s="87">
        <f>79.5+169.5</f>
        <v>249</v>
      </c>
      <c r="AH389" s="9">
        <f>IF(ISERROR(AG389/Y389),"NA",IF(OR(AG389/Y389&gt;2,AG389/Y389&lt;0.5),"NM",AG389/Y389*100-100))</f>
        <v>4.1405269761606007</v>
      </c>
      <c r="AI389" s="87">
        <f>92.4+177.6</f>
        <v>270</v>
      </c>
      <c r="AJ389" s="9">
        <f t="shared" ref="AJ389:AJ391" si="2150">IF(ISERROR(AI389/AA389),"NA",IF(OR(AI389/AA389&gt;2,AI389/AA389&lt;0.5),"NM",AI389/AA389*100-100))</f>
        <v>5.7993730407523572</v>
      </c>
      <c r="AK389" s="87">
        <f>92.4+177.8</f>
        <v>270.20000000000005</v>
      </c>
      <c r="AL389" s="9">
        <f t="shared" ref="AL389:AL391" si="2151">IF(ISERROR(AK389/AC389),"NA",IF(OR(AK389/AC389&gt;2,AK389/AC389&lt;0.5),"NM",AK389/AC389*100-100))</f>
        <v>7.6923076923077076</v>
      </c>
      <c r="AM389" s="87">
        <f>81.6+192.2</f>
        <v>273.79999999999995</v>
      </c>
      <c r="AN389" s="9">
        <f t="shared" ref="AN389:AN391" si="2152">IF(ISERROR(AM389/AE389),"NA",IF(OR(AM389/AE389&gt;2,AM389/AE389&lt;0.5),"NM",AM389/AE389*100-100))</f>
        <v>13.609958506224046</v>
      </c>
      <c r="AO389" s="87">
        <f>76+192.3</f>
        <v>268.3</v>
      </c>
      <c r="AP389" s="9">
        <f t="shared" ref="AP389:AP391" si="2153">IF(ISERROR(AO389/AG389),"NA",IF(OR(AO389/AG389&gt;2,AO389/AG389&lt;0.5),"NM",AO389/AG389*100-100))</f>
        <v>7.7510040160642575</v>
      </c>
      <c r="AQ389" s="87">
        <f>AO389*1.01</f>
        <v>270.983</v>
      </c>
      <c r="AR389" s="9">
        <f t="shared" ref="AR389:AR391" si="2154">IF(ISERROR(AQ389/AI389),"NA",IF(OR(AQ389/AI389&gt;2,AQ389/AI389&lt;0.5),"NM",AQ389/AI389*100-100))</f>
        <v>0.36407407407408243</v>
      </c>
      <c r="AS389" s="87">
        <f>AQ389*1.01</f>
        <v>273.69283000000001</v>
      </c>
      <c r="AT389" s="9">
        <f t="shared" ref="AT389:AT391" si="2155">IF(ISERROR(AS389/AK389),"NA",IF(OR(AS389/AK389&gt;2,AS389/AK389&lt;0.5),"NM",AS389/AK389*100-100))</f>
        <v>1.2926831976313906</v>
      </c>
      <c r="AU389" s="87">
        <f>AS389*1.01</f>
        <v>276.4297583</v>
      </c>
      <c r="AV389" s="9">
        <f t="shared" ref="AV389:AV391" si="2156">IF(ISERROR(AU389/AM389),"NA",IF(OR(AU389/AM389&gt;2,AU389/AM389&lt;0.5),"NM",AU389/AM389*100-100))</f>
        <v>0.96046687363040917</v>
      </c>
      <c r="AW389" s="87">
        <f>AU389*1.01</f>
        <v>279.19405588300003</v>
      </c>
      <c r="AX389" s="9">
        <f t="shared" ref="AX389:AX391" si="2157">IF(ISERROR(AW389/AO389),"NA",IF(OR(AW389/AO389&gt;2,AW389/AO389&lt;0.5),"NM",AW389/AO389*100-100))</f>
        <v>4.0604009999999988</v>
      </c>
      <c r="AY389" s="287"/>
      <c r="AZ389" s="15"/>
      <c r="BA389" s="9" t="str">
        <f>IF(ISERROR(#REF!/#REF!),"NA",IF(OR(#REF!/#REF!&gt;2,#REF!/#REF!&lt;0.5),"NM",#REF!/#REF!*100-100))</f>
        <v>NA</v>
      </c>
      <c r="BB389" s="55">
        <f>C389+E389+G389+I389</f>
        <v>907.1</v>
      </c>
      <c r="BC389" s="9" t="str">
        <f>IF(ISERROR(BB389/#REF!),"NA",IF(OR(BB389/#REF!&gt;2,BB389/#REF!&lt;0.5),"NM",BB389/#REF!*100-100))</f>
        <v>NA</v>
      </c>
      <c r="BD389" s="908">
        <f>K389+M389+O389+Q389</f>
        <v>935.7</v>
      </c>
      <c r="BE389" s="9">
        <f t="shared" ref="BE389:BS391" si="2158">IF(ISERROR(BD389/BB389),"NA",IF(OR(BD389/BB389&gt;2,BD389/BB389&lt;0.5),"NM",BD389/BB389*100-100))</f>
        <v>3.1529048616470163</v>
      </c>
      <c r="BF389" s="55">
        <f>S389+U389+W389+Y389</f>
        <v>966.1</v>
      </c>
      <c r="BG389" s="9">
        <f t="shared" si="2158"/>
        <v>3.2489045634284537</v>
      </c>
      <c r="BH389" s="55">
        <f>AA389+AC389+AE389+AG389</f>
        <v>996.1</v>
      </c>
      <c r="BI389" s="9">
        <f t="shared" si="2158"/>
        <v>3.1052686057343948</v>
      </c>
      <c r="BJ389" s="55">
        <f>AI389+AK389+AM389+AO389</f>
        <v>1082.3</v>
      </c>
      <c r="BK389" s="9">
        <f t="shared" si="2158"/>
        <v>8.6537496235317519</v>
      </c>
      <c r="BL389" s="55">
        <f>AQ389+AS389+AU389+AW389</f>
        <v>1100.2996441830001</v>
      </c>
      <c r="BM389" s="9">
        <f t="shared" si="2158"/>
        <v>1.663091950753028</v>
      </c>
      <c r="BN389" s="87">
        <f>BL389*1.04</f>
        <v>1144.3116299503201</v>
      </c>
      <c r="BO389" s="9">
        <f t="shared" si="2158"/>
        <v>4</v>
      </c>
      <c r="BP389" s="87">
        <f>BN389*1.04</f>
        <v>1190.0840951483331</v>
      </c>
      <c r="BQ389" s="9">
        <f t="shared" si="2158"/>
        <v>4</v>
      </c>
      <c r="BR389" s="87">
        <f>BP389*1.04</f>
        <v>1237.6874589542665</v>
      </c>
      <c r="BS389" s="9">
        <f t="shared" si="2158"/>
        <v>4</v>
      </c>
      <c r="BT389" s="87">
        <f>BR389*1.04</f>
        <v>1287.1949573124373</v>
      </c>
      <c r="BU389" s="9">
        <f t="shared" ref="BU389:BU391" si="2159">IF(ISERROR(BT389/BR389),"NA",IF(OR(BT389/BR389&gt;2,BT389/BR389&lt;0.5),"NM",BT389/BR389*100-100))</f>
        <v>4</v>
      </c>
      <c r="BV389" s="43">
        <f>IF(ISERROR(((BT389/BJ389)^0.2-1)*100),"NA",IF((((BT389/BJ389)^0.2-1)*100)&gt;100,"NM",IF((((BT389/BJ389)^0.2-1)*100)&lt;-50,"NM",((BT389/BJ389)^0.2-1)*100)))</f>
        <v>3.5283599705803415</v>
      </c>
      <c r="BW389" s="722"/>
      <c r="BX389" s="722"/>
      <c r="BY389"/>
      <c r="BZ389"/>
      <c r="CA389"/>
      <c r="CB389"/>
      <c r="CC389"/>
      <c r="CD389"/>
    </row>
    <row r="390" spans="1:83" s="2" customFormat="1" ht="12.75" customHeight="1" x14ac:dyDescent="0.2">
      <c r="A390" s="41"/>
      <c r="B390" s="62" t="s">
        <v>416</v>
      </c>
      <c r="C390" s="87">
        <v>140.5</v>
      </c>
      <c r="D390" s="9" t="str">
        <f>IF(ISERROR(C390/#REF!),"NA",IF(OR(C390/#REF!&gt;2,C390/#REF!&lt;0.5),"NM",C390/#REF!*100-100))</f>
        <v>NA</v>
      </c>
      <c r="E390" s="87">
        <v>141.5</v>
      </c>
      <c r="F390" s="9" t="str">
        <f>IF(ISERROR(E390/#REF!),"NA",IF(OR(E390/#REF!&gt;2,E390/#REF!&lt;0.5),"NM",E390/#REF!*100-100))</f>
        <v>NA</v>
      </c>
      <c r="G390" s="87">
        <v>146.6</v>
      </c>
      <c r="H390" s="9" t="str">
        <f>IF(ISERROR(G390/#REF!),"NA",IF(OR(G390/#REF!&gt;2,G390/#REF!&lt;0.5),"NM",G390/#REF!*100-100))</f>
        <v>NA</v>
      </c>
      <c r="I390" s="87">
        <v>147.30000000000001</v>
      </c>
      <c r="J390" s="9" t="str">
        <f>IF(ISERROR(I390/#REF!),"NA",IF(OR(I390/#REF!&gt;2,I390/#REF!&lt;0.5),"NM",I390/#REF!*100-100))</f>
        <v>NA</v>
      </c>
      <c r="K390" s="87">
        <v>149.19999999999999</v>
      </c>
      <c r="L390" s="9">
        <f>IF(ISERROR(K390/C390),"NA",IF(OR(K390/C390&gt;2,K390/C390&lt;0.5),"NM",K390/C390*100-100))</f>
        <v>6.1921708185053319</v>
      </c>
      <c r="M390" s="87">
        <v>150.4</v>
      </c>
      <c r="N390" s="9">
        <f>IF(ISERROR(M390/E390),"NA",IF(OR(M390/E390&gt;2,M390/E390&lt;0.5),"NM",M390/E390*100-100))</f>
        <v>6.2897526501766805</v>
      </c>
      <c r="O390" s="87">
        <v>147.5</v>
      </c>
      <c r="P390" s="43">
        <f t="shared" si="2127"/>
        <v>0.61391541609823719</v>
      </c>
      <c r="Q390" s="87">
        <v>152.9</v>
      </c>
      <c r="R390" s="43">
        <f t="shared" si="2127"/>
        <v>3.8017651052274317</v>
      </c>
      <c r="S390" s="87">
        <v>147.6</v>
      </c>
      <c r="T390" s="43">
        <f t="shared" si="2127"/>
        <v>-1.0723860589812375</v>
      </c>
      <c r="U390" s="87">
        <v>153.19999999999999</v>
      </c>
      <c r="V390" s="43">
        <f t="shared" si="2127"/>
        <v>1.8617021276595693</v>
      </c>
      <c r="W390" s="87">
        <v>150.4</v>
      </c>
      <c r="X390" s="43">
        <f t="shared" si="2128"/>
        <v>1.9661016949152668</v>
      </c>
      <c r="Y390" s="87">
        <v>155.4</v>
      </c>
      <c r="Z390" s="43">
        <f t="shared" si="2129"/>
        <v>1.6350555918901222</v>
      </c>
      <c r="AA390" s="87">
        <v>152.80000000000001</v>
      </c>
      <c r="AB390" s="43">
        <f t="shared" si="2130"/>
        <v>3.5230352303523063</v>
      </c>
      <c r="AC390" s="87">
        <v>159</v>
      </c>
      <c r="AD390" s="43">
        <f t="shared" si="2131"/>
        <v>3.7859007832898186</v>
      </c>
      <c r="AE390" s="87">
        <v>158.5</v>
      </c>
      <c r="AF390" s="43">
        <f t="shared" si="2132"/>
        <v>5.3856382978723332</v>
      </c>
      <c r="AG390" s="87">
        <v>159.69999999999999</v>
      </c>
      <c r="AH390" s="9">
        <f>IF(ISERROR(AG390/Y390),"NA",IF(OR(AG390/Y390&gt;2,AG390/Y390&lt;0.5),"NM",AG390/Y390*100-100))</f>
        <v>2.7670527670527605</v>
      </c>
      <c r="AI390" s="87">
        <v>157.9</v>
      </c>
      <c r="AJ390" s="9">
        <f t="shared" si="2150"/>
        <v>3.3376963350785189</v>
      </c>
      <c r="AK390" s="87">
        <v>163.19999999999999</v>
      </c>
      <c r="AL390" s="9">
        <f t="shared" si="2151"/>
        <v>2.6415094339622698</v>
      </c>
      <c r="AM390" s="87">
        <v>161.6</v>
      </c>
      <c r="AN390" s="9">
        <f t="shared" si="2152"/>
        <v>1.9558359621451018</v>
      </c>
      <c r="AO390" s="87">
        <v>166</v>
      </c>
      <c r="AP390" s="9">
        <f t="shared" si="2153"/>
        <v>3.9448966812773989</v>
      </c>
      <c r="AQ390" s="87">
        <f t="shared" ref="AQ390" si="2160">AO390*1.01</f>
        <v>167.66</v>
      </c>
      <c r="AR390" s="9">
        <f t="shared" si="2154"/>
        <v>6.1811272957567951</v>
      </c>
      <c r="AS390" s="87">
        <f t="shared" ref="AS390" si="2161">AQ390*1.01</f>
        <v>169.3366</v>
      </c>
      <c r="AT390" s="9">
        <f t="shared" si="2155"/>
        <v>3.7601715686274702</v>
      </c>
      <c r="AU390" s="87">
        <f t="shared" ref="AU390" si="2162">AS390*1.01</f>
        <v>171.029966</v>
      </c>
      <c r="AV390" s="9">
        <f t="shared" si="2156"/>
        <v>5.8353749999999991</v>
      </c>
      <c r="AW390" s="87">
        <f t="shared" ref="AW390" si="2163">AU390*1.01</f>
        <v>172.74026566000001</v>
      </c>
      <c r="AX390" s="9">
        <f t="shared" si="2157"/>
        <v>4.0604009999999988</v>
      </c>
      <c r="AY390" s="287"/>
      <c r="AZ390" s="15"/>
      <c r="BA390" s="9" t="str">
        <f>IF(ISERROR(#REF!/#REF!),"NA",IF(OR(#REF!/#REF!&gt;2,#REF!/#REF!&lt;0.5),"NM",#REF!/#REF!*100-100))</f>
        <v>NA</v>
      </c>
      <c r="BB390" s="55">
        <f>C390+E390+G390+I390</f>
        <v>575.90000000000009</v>
      </c>
      <c r="BC390" s="9" t="str">
        <f>IF(ISERROR(BB390/#REF!),"NA",IF(OR(BB390/#REF!&gt;2,BB390/#REF!&lt;0.5),"NM",BB390/#REF!*100-100))</f>
        <v>NA</v>
      </c>
      <c r="BD390" s="908">
        <f>K390+M390+O390+Q390</f>
        <v>600</v>
      </c>
      <c r="BE390" s="9">
        <f t="shared" si="2158"/>
        <v>4.1847542976211116</v>
      </c>
      <c r="BF390" s="55">
        <f>S390+U390+W390+Y390</f>
        <v>606.59999999999991</v>
      </c>
      <c r="BG390" s="9">
        <f t="shared" si="2158"/>
        <v>1.0999999999999943</v>
      </c>
      <c r="BH390" s="55">
        <f>AA390+AC390+AE390+AG390</f>
        <v>630</v>
      </c>
      <c r="BI390" s="9">
        <f t="shared" si="2158"/>
        <v>3.857566765578639</v>
      </c>
      <c r="BJ390" s="55">
        <f>AI390+AK390+AM390+AO390</f>
        <v>648.70000000000005</v>
      </c>
      <c r="BK390" s="9">
        <f t="shared" si="2158"/>
        <v>2.9682539682539755</v>
      </c>
      <c r="BL390" s="55">
        <f>AQ390+AS390+AU390+AW390</f>
        <v>680.76683165999998</v>
      </c>
      <c r="BM390" s="9">
        <f t="shared" si="2158"/>
        <v>4.9432452073377249</v>
      </c>
      <c r="BN390" s="87">
        <f>+BL390*1.04</f>
        <v>707.99750492639998</v>
      </c>
      <c r="BO390" s="9">
        <f t="shared" si="2158"/>
        <v>4</v>
      </c>
      <c r="BP390" s="87">
        <f>+BN390*1.04</f>
        <v>736.31740512345596</v>
      </c>
      <c r="BQ390" s="9">
        <f t="shared" si="2158"/>
        <v>4</v>
      </c>
      <c r="BR390" s="87">
        <f>+BP390*1.04</f>
        <v>765.77010132839428</v>
      </c>
      <c r="BS390" s="9">
        <f t="shared" si="2158"/>
        <v>4</v>
      </c>
      <c r="BT390" s="87">
        <f>+BR390*1.04</f>
        <v>796.40090538153004</v>
      </c>
      <c r="BU390" s="9">
        <f t="shared" si="2159"/>
        <v>4</v>
      </c>
      <c r="BV390" s="43">
        <f>IF(ISERROR(((BT390/BJ390)^0.2-1)*100),"NA",IF((((BT390/BJ390)^0.2-1)*100)&gt;100,"NM",IF((((BT390/BJ390)^0.2-1)*100)&lt;-50,"NM",((BT390/BJ390)^0.2-1)*100)))</f>
        <v>4.1879683488385666</v>
      </c>
      <c r="BW390" s="722"/>
      <c r="BX390" s="722"/>
      <c r="BY390"/>
      <c r="BZ390"/>
      <c r="CA390"/>
      <c r="CB390"/>
      <c r="CC390"/>
      <c r="CD390"/>
    </row>
    <row r="391" spans="1:83" s="2" customFormat="1" ht="12.75" customHeight="1" x14ac:dyDescent="0.2">
      <c r="A391" s="66" t="s">
        <v>262</v>
      </c>
      <c r="B391" s="67" t="s">
        <v>417</v>
      </c>
      <c r="C391" s="98">
        <f>C389+C390</f>
        <v>379.5</v>
      </c>
      <c r="D391" s="9" t="str">
        <f>IF(ISERROR(C391/#REF!),"NA",IF(OR(C391/#REF!&gt;2,C391/#REF!&lt;0.5),"NM",C391/#REF!*100-100))</f>
        <v>NA</v>
      </c>
      <c r="E391" s="98">
        <f>E389+E390</f>
        <v>368</v>
      </c>
      <c r="F391" s="9" t="str">
        <f>IF(ISERROR(E391/#REF!),"NA",IF(OR(E391/#REF!&gt;2,E391/#REF!&lt;0.5),"NM",E391/#REF!*100-100))</f>
        <v>NA</v>
      </c>
      <c r="G391" s="98">
        <f>G389+G390</f>
        <v>362.70000000000005</v>
      </c>
      <c r="H391" s="9" t="str">
        <f>IF(ISERROR(G391/#REF!),"NA",IF(OR(G391/#REF!&gt;2,G391/#REF!&lt;0.5),"NM",G391/#REF!*100-100))</f>
        <v>NA</v>
      </c>
      <c r="I391" s="98">
        <f>I389+I390</f>
        <v>372.8</v>
      </c>
      <c r="J391" s="9" t="str">
        <f>IF(ISERROR(I391/#REF!),"NA",IF(OR(I391/#REF!&gt;2,I391/#REF!&lt;0.5),"NM",I391/#REF!*100-100))</f>
        <v>NA</v>
      </c>
      <c r="K391" s="98">
        <f>K389+K390</f>
        <v>383.79999999999995</v>
      </c>
      <c r="L391" s="9">
        <f>IF(ISERROR(K391/C391),"NA",IF(OR(K391/C391&gt;2,K391/C391&lt;0.5),"NM",K391/C391*100-100))</f>
        <v>1.133069828721986</v>
      </c>
      <c r="M391" s="98">
        <f>M389+M390</f>
        <v>382</v>
      </c>
      <c r="N391" s="9">
        <f>IF(ISERROR(M391/E391),"NA",IF(OR(M391/E391&gt;2,M391/E391&lt;0.5),"NM",M391/E391*100-100))</f>
        <v>3.8043478260869676</v>
      </c>
      <c r="O391" s="98">
        <f>O389+O390</f>
        <v>382.7</v>
      </c>
      <c r="P391" s="43">
        <f t="shared" si="2127"/>
        <v>5.5141990625861439</v>
      </c>
      <c r="Q391" s="98">
        <f>Q389+Q390</f>
        <v>387.20000000000005</v>
      </c>
      <c r="R391" s="43">
        <f t="shared" si="2127"/>
        <v>3.8626609442060271</v>
      </c>
      <c r="S391" s="98">
        <f>S389+S390</f>
        <v>395.4</v>
      </c>
      <c r="T391" s="43">
        <f t="shared" si="2127"/>
        <v>3.0224075039082976</v>
      </c>
      <c r="U391" s="98">
        <f>U389+U390</f>
        <v>393.2</v>
      </c>
      <c r="V391" s="43">
        <f t="shared" si="2127"/>
        <v>2.931937172774866</v>
      </c>
      <c r="W391" s="98">
        <f t="shared" ref="W391:Y391" si="2164">W389+W390</f>
        <v>389.6</v>
      </c>
      <c r="X391" s="43">
        <f t="shared" si="2128"/>
        <v>1.8029788345963027</v>
      </c>
      <c r="Y391" s="98">
        <f t="shared" si="2164"/>
        <v>394.5</v>
      </c>
      <c r="Z391" s="43">
        <f t="shared" si="2129"/>
        <v>1.885330578512395</v>
      </c>
      <c r="AA391" s="98">
        <f t="shared" ref="AA391:AC391" si="2165">AA389+AA390</f>
        <v>408</v>
      </c>
      <c r="AB391" s="43">
        <f t="shared" si="2130"/>
        <v>3.1866464339908873</v>
      </c>
      <c r="AC391" s="98">
        <f t="shared" si="2165"/>
        <v>409.9</v>
      </c>
      <c r="AD391" s="43">
        <f t="shared" si="2131"/>
        <v>4.2472024415055785</v>
      </c>
      <c r="AE391" s="98">
        <f t="shared" ref="AE391:AG391" si="2166">AE389+AE390</f>
        <v>399.5</v>
      </c>
      <c r="AF391" s="43">
        <f t="shared" si="2132"/>
        <v>2.5410677618069855</v>
      </c>
      <c r="AG391" s="98">
        <f t="shared" si="2166"/>
        <v>408.7</v>
      </c>
      <c r="AH391" s="9">
        <f>IF(ISERROR(AG391/Y391),"NA",IF(OR(AG391/Y391&gt;2,AG391/Y391&lt;0.5),"NM",AG391/Y391*100-100))</f>
        <v>3.5994930291508069</v>
      </c>
      <c r="AI391" s="98">
        <f t="shared" ref="AI391:AK391" si="2167">AI389+AI390</f>
        <v>427.9</v>
      </c>
      <c r="AJ391" s="9">
        <f t="shared" si="2150"/>
        <v>4.8774509803921546</v>
      </c>
      <c r="AK391" s="98">
        <f t="shared" si="2167"/>
        <v>433.40000000000003</v>
      </c>
      <c r="AL391" s="9">
        <f t="shared" si="2151"/>
        <v>5.7331056355208716</v>
      </c>
      <c r="AM391" s="98">
        <f t="shared" ref="AM391:AO391" si="2168">AM389+AM390</f>
        <v>435.4</v>
      </c>
      <c r="AN391" s="9">
        <f t="shared" si="2152"/>
        <v>8.986232790988737</v>
      </c>
      <c r="AO391" s="98">
        <f t="shared" si="2168"/>
        <v>434.3</v>
      </c>
      <c r="AP391" s="9">
        <f t="shared" si="2153"/>
        <v>6.2637631514558478</v>
      </c>
      <c r="AQ391" s="98">
        <f t="shared" ref="AQ391:AW391" si="2169">AQ389+AQ390</f>
        <v>438.64300000000003</v>
      </c>
      <c r="AR391" s="9">
        <f t="shared" si="2154"/>
        <v>2.5106333255433526</v>
      </c>
      <c r="AS391" s="98">
        <f t="shared" si="2169"/>
        <v>443.02943000000005</v>
      </c>
      <c r="AT391" s="9">
        <f t="shared" si="2155"/>
        <v>2.2218343331795012</v>
      </c>
      <c r="AU391" s="98">
        <f t="shared" si="2169"/>
        <v>447.4597243</v>
      </c>
      <c r="AV391" s="9">
        <f t="shared" si="2156"/>
        <v>2.7698034680753381</v>
      </c>
      <c r="AW391" s="98">
        <f t="shared" si="2169"/>
        <v>451.93432154300001</v>
      </c>
      <c r="AX391" s="9">
        <f t="shared" si="2157"/>
        <v>4.0604009999999988</v>
      </c>
      <c r="AY391" s="287"/>
      <c r="AZ391" s="79"/>
      <c r="BA391" s="9" t="str">
        <f>IF(ISERROR(#REF!/#REF!),"NA",IF(OR(#REF!/#REF!&gt;2,#REF!/#REF!&lt;0.5),"NM",#REF!/#REF!*100-100))</f>
        <v>NA</v>
      </c>
      <c r="BB391" s="695">
        <f>BB389+BB390</f>
        <v>1483</v>
      </c>
      <c r="BC391" s="9" t="str">
        <f>IF(ISERROR(BB391/#REF!),"NA",IF(OR(BB391/#REF!&gt;2,BB391/#REF!&lt;0.5),"NM",BB391/#REF!*100-100))</f>
        <v>NA</v>
      </c>
      <c r="BD391" s="912">
        <f t="shared" ref="BD391:BP391" si="2170">BD389+BD390</f>
        <v>1535.7</v>
      </c>
      <c r="BE391" s="9">
        <f t="shared" si="2158"/>
        <v>3.5536075522589243</v>
      </c>
      <c r="BF391" s="695">
        <f t="shared" si="2170"/>
        <v>1572.6999999999998</v>
      </c>
      <c r="BG391" s="9">
        <f t="shared" si="2158"/>
        <v>2.4093247379045124</v>
      </c>
      <c r="BH391" s="695">
        <f t="shared" si="2170"/>
        <v>1626.1</v>
      </c>
      <c r="BI391" s="9">
        <f t="shared" si="2158"/>
        <v>3.3954346029122036</v>
      </c>
      <c r="BJ391" s="695">
        <f t="shared" ref="BJ391" si="2171">BJ389+BJ390</f>
        <v>1731</v>
      </c>
      <c r="BK391" s="9">
        <f t="shared" si="2158"/>
        <v>6.45101777258472</v>
      </c>
      <c r="BL391" s="695">
        <f t="shared" ref="BL391" si="2172">BL389+BL390</f>
        <v>1781.066475843</v>
      </c>
      <c r="BM391" s="9">
        <f t="shared" si="2158"/>
        <v>2.8923440694974119</v>
      </c>
      <c r="BN391" s="695">
        <f t="shared" si="2170"/>
        <v>1852.3091348767202</v>
      </c>
      <c r="BO391" s="9">
        <f t="shared" si="2158"/>
        <v>4</v>
      </c>
      <c r="BP391" s="695">
        <f t="shared" si="2170"/>
        <v>1926.401500271789</v>
      </c>
      <c r="BQ391" s="9">
        <f t="shared" si="2158"/>
        <v>4</v>
      </c>
      <c r="BR391" s="695">
        <f t="shared" ref="BR391:BT391" si="2173">BR389+BR390</f>
        <v>2003.4575602826608</v>
      </c>
      <c r="BS391" s="9">
        <f t="shared" si="2158"/>
        <v>4</v>
      </c>
      <c r="BT391" s="695">
        <f t="shared" si="2173"/>
        <v>2083.5958626939673</v>
      </c>
      <c r="BU391" s="9">
        <f t="shared" si="2159"/>
        <v>4</v>
      </c>
      <c r="BV391" s="43">
        <f>IF(ISERROR(((BT391/BJ391)^0.2-1)*100),"NA",IF((((BT391/BJ391)^0.2-1)*100)&gt;100,"NM",IF((((BT391/BJ391)^0.2-1)*100)&lt;-50,"NM",((BT391/BJ391)^0.2-1)*100)))</f>
        <v>3.7775189670629761</v>
      </c>
      <c r="BW391" s="722"/>
      <c r="BX391" s="722"/>
      <c r="BY391"/>
      <c r="BZ391"/>
      <c r="CA391"/>
      <c r="CB391"/>
      <c r="CC391"/>
      <c r="CD391"/>
    </row>
    <row r="392" spans="1:83" s="2" customFormat="1" ht="12.75" customHeight="1" x14ac:dyDescent="0.2">
      <c r="A392" s="41"/>
      <c r="B392" s="62"/>
      <c r="C392" s="15"/>
      <c r="D392" s="40"/>
      <c r="E392" s="15"/>
      <c r="F392" s="40"/>
      <c r="G392" s="15"/>
      <c r="H392" s="40"/>
      <c r="I392" s="15"/>
      <c r="J392" s="40"/>
      <c r="K392" s="15"/>
      <c r="L392" s="40"/>
      <c r="M392" s="15"/>
      <c r="N392" s="40"/>
      <c r="O392" s="15"/>
      <c r="P392" s="43"/>
      <c r="Q392" s="15"/>
      <c r="R392" s="43"/>
      <c r="S392" s="15"/>
      <c r="T392" s="43"/>
      <c r="U392" s="15"/>
      <c r="V392" s="43"/>
      <c r="W392" s="15"/>
      <c r="X392" s="43"/>
      <c r="Y392" s="15"/>
      <c r="Z392" s="43"/>
      <c r="AA392" s="15"/>
      <c r="AB392" s="43"/>
      <c r="AC392" s="15"/>
      <c r="AD392" s="43"/>
      <c r="AE392" s="15"/>
      <c r="AF392" s="43"/>
      <c r="AG392" s="15"/>
      <c r="AH392" s="40"/>
      <c r="AI392" s="15"/>
      <c r="AJ392" s="40"/>
      <c r="AK392" s="15"/>
      <c r="AL392" s="40"/>
      <c r="AM392" s="15"/>
      <c r="AN392" s="40"/>
      <c r="AO392" s="15"/>
      <c r="AP392" s="40"/>
      <c r="AQ392" s="15"/>
      <c r="AR392" s="40"/>
      <c r="AS392" s="15"/>
      <c r="AT392" s="40"/>
      <c r="AU392" s="15"/>
      <c r="AV392" s="40"/>
      <c r="AW392" s="15"/>
      <c r="AX392" s="40"/>
      <c r="AY392" s="287"/>
      <c r="AZ392" s="15"/>
      <c r="BA392" s="40"/>
      <c r="BB392" s="15"/>
      <c r="BC392" s="40"/>
      <c r="BD392" s="924"/>
      <c r="BE392" s="40"/>
      <c r="BF392" s="15"/>
      <c r="BG392" s="40"/>
      <c r="BH392" s="15"/>
      <c r="BI392" s="40"/>
      <c r="BJ392" s="15"/>
      <c r="BK392" s="40"/>
      <c r="BL392" s="15"/>
      <c r="BM392" s="40"/>
      <c r="BN392" s="15"/>
      <c r="BO392" s="40"/>
      <c r="BP392" s="15"/>
      <c r="BQ392" s="40"/>
      <c r="BR392" s="15"/>
      <c r="BS392" s="40"/>
      <c r="BT392" s="15"/>
      <c r="BU392" s="40"/>
      <c r="BV392" s="108"/>
      <c r="BW392" s="108"/>
      <c r="BX392" s="108"/>
      <c r="BY392"/>
      <c r="BZ392"/>
      <c r="CA392"/>
      <c r="CB392"/>
      <c r="CC392"/>
      <c r="CD392"/>
    </row>
    <row r="393" spans="1:83" s="2" customFormat="1" ht="12.75" customHeight="1" x14ac:dyDescent="0.2">
      <c r="A393" s="41"/>
      <c r="B393" s="67" t="s">
        <v>418</v>
      </c>
      <c r="C393" s="15"/>
      <c r="D393" s="40"/>
      <c r="E393" s="15"/>
      <c r="F393" s="40"/>
      <c r="G393" s="15"/>
      <c r="H393" s="40"/>
      <c r="I393" s="15"/>
      <c r="J393" s="40"/>
      <c r="K393" s="15"/>
      <c r="L393" s="40"/>
      <c r="M393" s="15"/>
      <c r="N393" s="40"/>
      <c r="O393" s="15"/>
      <c r="P393" s="43"/>
      <c r="Q393" s="15"/>
      <c r="R393" s="43"/>
      <c r="S393" s="15"/>
      <c r="T393" s="43"/>
      <c r="U393" s="15"/>
      <c r="V393" s="43"/>
      <c r="W393" s="15"/>
      <c r="X393" s="43"/>
      <c r="Y393" s="15"/>
      <c r="Z393" s="43"/>
      <c r="AA393" s="15"/>
      <c r="AB393" s="43"/>
      <c r="AC393" s="15"/>
      <c r="AD393" s="43"/>
      <c r="AE393" s="15"/>
      <c r="AF393" s="43"/>
      <c r="AG393" s="15"/>
      <c r="AH393" s="40"/>
      <c r="AI393" s="15"/>
      <c r="AJ393" s="40"/>
      <c r="AK393" s="15"/>
      <c r="AL393" s="40"/>
      <c r="AM393" s="15"/>
      <c r="AN393" s="40"/>
      <c r="AO393" s="15"/>
      <c r="AP393" s="40"/>
      <c r="AQ393" s="15"/>
      <c r="AR393" s="40"/>
      <c r="AS393" s="15"/>
      <c r="AT393" s="40"/>
      <c r="AU393" s="15"/>
      <c r="AV393" s="40"/>
      <c r="AW393" s="15"/>
      <c r="AX393" s="40"/>
      <c r="AY393" s="287"/>
      <c r="AZ393" s="15"/>
      <c r="BA393" s="40"/>
      <c r="BB393" s="15"/>
      <c r="BC393" s="40"/>
      <c r="BD393" s="924"/>
      <c r="BE393" s="40"/>
      <c r="BF393" s="15"/>
      <c r="BG393" s="40"/>
      <c r="BH393" s="15"/>
      <c r="BI393" s="40"/>
      <c r="BJ393" s="15"/>
      <c r="BK393" s="40"/>
      <c r="BL393" s="15"/>
      <c r="BM393" s="40"/>
      <c r="BN393" s="15"/>
      <c r="BO393" s="40"/>
      <c r="BP393" s="15"/>
      <c r="BQ393" s="40"/>
      <c r="BR393" s="15"/>
      <c r="BS393" s="40"/>
      <c r="BT393" s="15"/>
      <c r="BU393" s="40"/>
      <c r="BV393" s="722"/>
      <c r="BW393" s="722"/>
      <c r="BX393" s="722"/>
      <c r="BY393"/>
      <c r="BZ393"/>
      <c r="CA393"/>
      <c r="CB393"/>
      <c r="CC393"/>
      <c r="CD393"/>
    </row>
    <row r="394" spans="1:83" s="2" customFormat="1" ht="12.75" customHeight="1" x14ac:dyDescent="0.2">
      <c r="A394" s="41"/>
      <c r="B394" s="73" t="s">
        <v>434</v>
      </c>
      <c r="C394" s="653">
        <f>233.9+48</f>
        <v>281.89999999999998</v>
      </c>
      <c r="D394" s="9" t="str">
        <f>IF(ISERROR(C394/#REF!),"NA",IF(OR(C394/#REF!&gt;2,C394/#REF!&lt;0.5),"NM",C394/#REF!*100-100))</f>
        <v>NA</v>
      </c>
      <c r="E394" s="653">
        <f>215.3+47.1</f>
        <v>262.40000000000003</v>
      </c>
      <c r="F394" s="9" t="str">
        <f>IF(ISERROR(E394/#REF!),"NA",IF(OR(E394/#REF!&gt;2,E394/#REF!&lt;0.5),"NM",E394/#REF!*100-100))</f>
        <v>NA</v>
      </c>
      <c r="G394" s="653">
        <f>204.4+48</f>
        <v>252.4</v>
      </c>
      <c r="H394" s="9" t="str">
        <f>IF(ISERROR(G394/#REF!),"NA",IF(OR(G394/#REF!&gt;2,G394/#REF!&lt;0.5),"NM",G394/#REF!*100-100))</f>
        <v>NA</v>
      </c>
      <c r="I394" s="653">
        <f>205.1+44.4</f>
        <v>249.5</v>
      </c>
      <c r="J394" s="9" t="str">
        <f>IF(ISERROR(I394/#REF!),"NA",IF(OR(I394/#REF!&gt;2,I394/#REF!&lt;0.5),"NM",I394/#REF!*100-100))</f>
        <v>NA</v>
      </c>
      <c r="K394" s="653">
        <f>239.2+45.4</f>
        <v>284.59999999999997</v>
      </c>
      <c r="L394" s="9">
        <f>IF(ISERROR(K394/C394),"NA",IF(OR(K394/C394&gt;2,K394/C394&lt;0.5),"NM",K394/C394*100-100))</f>
        <v>0.95778644909540844</v>
      </c>
      <c r="M394" s="653">
        <f>236.7+44.3</f>
        <v>281</v>
      </c>
      <c r="N394" s="9">
        <f>IF(ISERROR(M394/E394),"NA",IF(OR(M394/E394&gt;2,M394/E394&lt;0.5),"NM",M394/E394*100-100))</f>
        <v>7.0884146341463321</v>
      </c>
      <c r="O394" s="653">
        <f>106.9+43.9</f>
        <v>150.80000000000001</v>
      </c>
      <c r="P394" s="43">
        <f t="shared" si="2127"/>
        <v>-40.253565768621236</v>
      </c>
      <c r="Q394" s="653">
        <f>221.2+42.6</f>
        <v>263.8</v>
      </c>
      <c r="R394" s="43">
        <f t="shared" si="2127"/>
        <v>5.7314629258517158</v>
      </c>
      <c r="S394" s="653">
        <f>234.8+42</f>
        <v>276.8</v>
      </c>
      <c r="T394" s="43">
        <f t="shared" si="2127"/>
        <v>-2.7406886858748862</v>
      </c>
      <c r="U394" s="653">
        <f>238.3+40.9</f>
        <v>279.2</v>
      </c>
      <c r="V394" s="43">
        <f t="shared" si="2127"/>
        <v>-0.64056939501779198</v>
      </c>
      <c r="W394" s="653">
        <f>174.4+40.6</f>
        <v>215</v>
      </c>
      <c r="X394" s="43">
        <f t="shared" si="2128"/>
        <v>42.572944297082216</v>
      </c>
      <c r="Y394" s="653">
        <f>238.2+39.7</f>
        <v>277.89999999999998</v>
      </c>
      <c r="Z394" s="43">
        <f t="shared" si="2129"/>
        <v>5.3449583017437305</v>
      </c>
      <c r="AA394" s="653">
        <f>238.2+38.6</f>
        <v>276.8</v>
      </c>
      <c r="AB394" s="43">
        <f t="shared" si="2130"/>
        <v>0</v>
      </c>
      <c r="AC394" s="653">
        <f>251+37.9</f>
        <v>288.89999999999998</v>
      </c>
      <c r="AD394" s="43">
        <f t="shared" si="2131"/>
        <v>3.4742120343839673</v>
      </c>
      <c r="AE394" s="653">
        <f>301.8+45.4</f>
        <v>347.2</v>
      </c>
      <c r="AF394" s="43">
        <f t="shared" si="2132"/>
        <v>61.488372093023258</v>
      </c>
      <c r="AG394" s="653">
        <f>252.2+34.3</f>
        <v>286.5</v>
      </c>
      <c r="AH394" s="9">
        <f>IF(ISERROR(AG394/Y394),"NA",IF(OR(AG394/Y394&gt;2,AG394/Y394&lt;0.5),"NM",AG394/Y394*100-100))</f>
        <v>3.0946383591220012</v>
      </c>
      <c r="AI394" s="653">
        <f>264.2+34.9</f>
        <v>299.09999999999997</v>
      </c>
      <c r="AJ394" s="9">
        <f t="shared" ref="AJ394:AJ398" si="2174">IF(ISERROR(AI394/AA394),"NA",IF(OR(AI394/AA394&gt;2,AI394/AA394&lt;0.5),"NM",AI394/AA394*100-100))</f>
        <v>8.056358381502875</v>
      </c>
      <c r="AK394" s="653">
        <f>279.4+25.1</f>
        <v>304.5</v>
      </c>
      <c r="AL394" s="9">
        <f t="shared" ref="AL394:AL398" si="2175">IF(ISERROR(AK394/AC394),"NA",IF(OR(AK394/AC394&gt;2,AK394/AC394&lt;0.5),"NM",AK394/AC394*100-100))</f>
        <v>5.3997923156801733</v>
      </c>
      <c r="AM394" s="653">
        <f>278+32.6</f>
        <v>310.60000000000002</v>
      </c>
      <c r="AN394" s="9">
        <f t="shared" ref="AN394:AN398" si="2176">IF(ISERROR(AM394/AE394),"NA",IF(OR(AM394/AE394&gt;2,AM394/AE394&lt;0.5),"NM",AM394/AE394*100-100))</f>
        <v>-10.541474654377865</v>
      </c>
      <c r="AO394" s="653">
        <f>256.3+31.8</f>
        <v>288.10000000000002</v>
      </c>
      <c r="AP394" s="9">
        <f t="shared" ref="AP394:AP398" si="2177">IF(ISERROR(AO394/AG394),"NA",IF(OR(AO394/AG394&gt;2,AO394/AG394&lt;0.5),"NM",AO394/AG394*100-100))</f>
        <v>0.55846422338569823</v>
      </c>
      <c r="AQ394" s="691">
        <f t="shared" ref="AQ394:AW397" si="2178">AQ401/100*AQ$391</f>
        <v>302.66367000000002</v>
      </c>
      <c r="AR394" s="9">
        <f t="shared" ref="AR394:AR398" si="2179">IF(ISERROR(AQ394/AI394),"NA",IF(OR(AQ394/AI394&gt;2,AQ394/AI394&lt;0.5),"NM",AQ394/AI394*100-100))</f>
        <v>1.1914643931795581</v>
      </c>
      <c r="AS394" s="691">
        <f t="shared" si="2178"/>
        <v>303.47515955000006</v>
      </c>
      <c r="AT394" s="9">
        <f t="shared" ref="AT394:AT398" si="2180">IF(ISERROR(AS394/AK394),"NA",IF(OR(AS394/AK394&gt;2,AS394/AK394&lt;0.5),"NM",AS394/AK394*100-100))</f>
        <v>-0.33656500821017232</v>
      </c>
      <c r="AU394" s="691">
        <f t="shared" si="2178"/>
        <v>303.15396321324999</v>
      </c>
      <c r="AV394" s="9">
        <f t="shared" ref="AV394:AV398" si="2181">IF(ISERROR(AU394/AM394),"NA",IF(OR(AU394/AM394&gt;2,AU394/AM394&lt;0.5),"NM",AU394/AM394*100-100))</f>
        <v>-2.3973074007566026</v>
      </c>
      <c r="AW394" s="691">
        <f t="shared" si="2178"/>
        <v>303.92583123766752</v>
      </c>
      <c r="AX394" s="9">
        <f t="shared" ref="AX394:AX398" si="2182">IF(ISERROR(AW394/AO394),"NA",IF(OR(AW394/AO394&gt;2,AW394/AO394&lt;0.5),"NM",AW394/AO394*100-100))</f>
        <v>5.4931729391418003</v>
      </c>
      <c r="AY394" s="287"/>
      <c r="AZ394" s="64"/>
      <c r="BA394" s="9" t="str">
        <f>IF(ISERROR(#REF!/#REF!),"NA",IF(OR(#REF!/#REF!&gt;2,#REF!/#REF!&lt;0.5),"NM",#REF!/#REF!*100-100))</f>
        <v>NA</v>
      </c>
      <c r="BB394" s="55">
        <f>C394+E394+G394+I394</f>
        <v>1046.1999999999998</v>
      </c>
      <c r="BC394" s="9" t="str">
        <f>IF(ISERROR(BB394/#REF!),"NA",IF(OR(BB394/#REF!&gt;2,BB394/#REF!&lt;0.5),"NM",BB394/#REF!*100-100))</f>
        <v>NA</v>
      </c>
      <c r="BD394" s="908">
        <f>K394+M394+O394+Q394</f>
        <v>980.19999999999982</v>
      </c>
      <c r="BE394" s="9">
        <f t="shared" ref="BE394:BS404" si="2183">IF(ISERROR(BD394/BB394),"NA",IF(OR(BD394/BB394&gt;2,BD394/BB394&lt;0.5),"NM",BD394/BB394*100-100))</f>
        <v>-6.3085452112406841</v>
      </c>
      <c r="BF394" s="55">
        <f>S394+U394+W394+Y394</f>
        <v>1048.9000000000001</v>
      </c>
      <c r="BG394" s="9">
        <f t="shared" si="2183"/>
        <v>7.0087737196490707</v>
      </c>
      <c r="BH394" s="55">
        <f>AA394+AC394+AE394+AG394</f>
        <v>1199.4000000000001</v>
      </c>
      <c r="BI394" s="9">
        <f t="shared" si="2183"/>
        <v>14.348364953761077</v>
      </c>
      <c r="BJ394" s="55">
        <f>AI394+AK394+AM394+AO394</f>
        <v>1202.3</v>
      </c>
      <c r="BK394" s="9">
        <f t="shared" si="2183"/>
        <v>0.24178756044688043</v>
      </c>
      <c r="BL394" s="55">
        <f>AQ394+AS394+AU394+AW394</f>
        <v>1213.2186240009175</v>
      </c>
      <c r="BM394" s="9">
        <f t="shared" si="2183"/>
        <v>0.90814472269131841</v>
      </c>
      <c r="BN394" s="691">
        <f>BN401*BN391/100</f>
        <v>1265.451987230708</v>
      </c>
      <c r="BO394" s="9">
        <f t="shared" si="2183"/>
        <v>4.3053545499933676</v>
      </c>
      <c r="BP394" s="691">
        <f>BP401*BP391/100</f>
        <v>1321.8492712207517</v>
      </c>
      <c r="BQ394" s="9">
        <f t="shared" si="2183"/>
        <v>4.4566909340798162</v>
      </c>
      <c r="BR394" s="691">
        <f>BR401*BR391/100</f>
        <v>1378.7301571901471</v>
      </c>
      <c r="BS394" s="9">
        <f t="shared" si="2183"/>
        <v>4.3031295025691492</v>
      </c>
      <c r="BT394" s="691">
        <f>BT401*BT391/100</f>
        <v>1438.0465552031412</v>
      </c>
      <c r="BU394" s="9">
        <f t="shared" ref="BU394:BU398" si="2184">IF(ISERROR(BT394/BR394),"NA",IF(OR(BT394/BR394&gt;2,BT394/BR394&lt;0.5),"NM",BT394/BR394*100-100))</f>
        <v>4.3022485367173715</v>
      </c>
      <c r="BV394" s="43">
        <f>IF(ISERROR(((BT394/BJ394)^0.2-1)*100),"NA",IF((((BT394/BJ394)^0.2-1)*100)&gt;100,"NM",IF((((BT394/BJ394)^0.2-1)*100)&lt;-50,"NM",((BT394/BJ394)^0.2-1)*100)))</f>
        <v>3.645874403208782</v>
      </c>
      <c r="BW394" s="722"/>
      <c r="BX394" s="722"/>
      <c r="BY394"/>
      <c r="BZ394"/>
      <c r="CA394"/>
      <c r="CB394"/>
      <c r="CC394"/>
      <c r="CD394"/>
    </row>
    <row r="395" spans="1:83" s="2" customFormat="1" ht="12.75" customHeight="1" x14ac:dyDescent="0.2">
      <c r="A395" s="41"/>
      <c r="B395" s="62" t="s">
        <v>421</v>
      </c>
      <c r="C395" s="653">
        <v>33.799999999999997</v>
      </c>
      <c r="D395" s="9" t="str">
        <f>IF(ISERROR(C395/#REF!),"NA",IF(OR(C395/#REF!&gt;2,C395/#REF!&lt;0.5),"NM",C395/#REF!*100-100))</f>
        <v>NA</v>
      </c>
      <c r="E395" s="653">
        <v>26.1</v>
      </c>
      <c r="F395" s="9" t="str">
        <f>IF(ISERROR(E395/#REF!),"NA",IF(OR(E395/#REF!&gt;2,E395/#REF!&lt;0.5),"NM",E395/#REF!*100-100))</f>
        <v>NA</v>
      </c>
      <c r="G395" s="653">
        <v>16.600000000000001</v>
      </c>
      <c r="H395" s="9" t="str">
        <f>IF(ISERROR(G395/#REF!),"NA",IF(OR(G395/#REF!&gt;2,G395/#REF!&lt;0.5),"NM",G395/#REF!*100-100))</f>
        <v>NA</v>
      </c>
      <c r="I395" s="653">
        <v>20.6</v>
      </c>
      <c r="J395" s="9" t="str">
        <f>IF(ISERROR(I395/#REF!),"NA",IF(OR(I395/#REF!&gt;2,I395/#REF!&lt;0.5),"NM",I395/#REF!*100-100))</f>
        <v>NA</v>
      </c>
      <c r="K395" s="653">
        <v>22.9</v>
      </c>
      <c r="L395" s="9">
        <f>IF(ISERROR(K395/C395),"NA",IF(OR(K395/C395&gt;2,K395/C395&lt;0.5),"NM",K395/C395*100-100))</f>
        <v>-32.248520710059168</v>
      </c>
      <c r="M395" s="653">
        <v>21.5</v>
      </c>
      <c r="N395" s="9">
        <f>IF(ISERROR(M395/E395),"NA",IF(OR(M395/E395&gt;2,M395/E395&lt;0.5),"NM",M395/E395*100-100))</f>
        <v>-17.624521072796938</v>
      </c>
      <c r="O395" s="653">
        <v>20.5</v>
      </c>
      <c r="P395" s="43">
        <f t="shared" si="2127"/>
        <v>23.493975903614441</v>
      </c>
      <c r="Q395" s="653">
        <v>24</v>
      </c>
      <c r="R395" s="43">
        <f t="shared" si="2127"/>
        <v>16.50485436893203</v>
      </c>
      <c r="S395" s="653">
        <v>23.4</v>
      </c>
      <c r="T395" s="43">
        <f t="shared" si="2127"/>
        <v>2.1834061135371172</v>
      </c>
      <c r="U395" s="653">
        <v>21</v>
      </c>
      <c r="V395" s="43">
        <f t="shared" si="2127"/>
        <v>-2.3255813953488484</v>
      </c>
      <c r="W395" s="653">
        <v>19.3</v>
      </c>
      <c r="X395" s="43">
        <f t="shared" si="2128"/>
        <v>-5.8536585365853568</v>
      </c>
      <c r="Y395" s="653">
        <v>22.5</v>
      </c>
      <c r="Z395" s="43">
        <f t="shared" si="2129"/>
        <v>-6.25</v>
      </c>
      <c r="AA395" s="653">
        <v>22.5</v>
      </c>
      <c r="AB395" s="43">
        <f t="shared" si="2130"/>
        <v>-3.8461538461538396</v>
      </c>
      <c r="AC395" s="653">
        <v>23.3</v>
      </c>
      <c r="AD395" s="43">
        <f t="shared" si="2131"/>
        <v>10.952380952380963</v>
      </c>
      <c r="AE395" s="653">
        <v>20.9</v>
      </c>
      <c r="AF395" s="43">
        <f t="shared" si="2132"/>
        <v>8.2901554404144946</v>
      </c>
      <c r="AG395" s="653">
        <v>26.4</v>
      </c>
      <c r="AH395" s="9">
        <f>IF(ISERROR(AG395/Y395),"NA",IF(OR(AG395/Y395&gt;2,AG395/Y395&lt;0.5),"NM",AG395/Y395*100-100))</f>
        <v>17.333333333333329</v>
      </c>
      <c r="AI395" s="653">
        <v>25.6</v>
      </c>
      <c r="AJ395" s="9">
        <f t="shared" si="2174"/>
        <v>13.777777777777771</v>
      </c>
      <c r="AK395" s="653">
        <v>24.5</v>
      </c>
      <c r="AL395" s="9">
        <f t="shared" si="2175"/>
        <v>5.1502145922746649</v>
      </c>
      <c r="AM395" s="653">
        <v>23.6</v>
      </c>
      <c r="AN395" s="9">
        <f t="shared" si="2176"/>
        <v>12.918660287081352</v>
      </c>
      <c r="AO395" s="653">
        <v>27.3</v>
      </c>
      <c r="AP395" s="9">
        <f t="shared" si="2177"/>
        <v>3.4090909090909207</v>
      </c>
      <c r="AQ395" s="691">
        <f t="shared" si="2178"/>
        <v>27.573</v>
      </c>
      <c r="AR395" s="9">
        <f t="shared" si="2179"/>
        <v>7.7070312499999858</v>
      </c>
      <c r="AS395" s="691">
        <f t="shared" si="2178"/>
        <v>27.84873</v>
      </c>
      <c r="AT395" s="9">
        <f t="shared" si="2180"/>
        <v>13.668285714285716</v>
      </c>
      <c r="AU395" s="691">
        <f t="shared" si="2178"/>
        <v>28.127217299999998</v>
      </c>
      <c r="AV395" s="9">
        <f t="shared" si="2181"/>
        <v>19.183124152542348</v>
      </c>
      <c r="AW395" s="691">
        <f t="shared" si="2178"/>
        <v>28.408489472999996</v>
      </c>
      <c r="AX395" s="9">
        <f t="shared" si="2182"/>
        <v>4.0604009999999846</v>
      </c>
      <c r="AY395" s="287"/>
      <c r="AZ395" s="64"/>
      <c r="BA395" s="9" t="str">
        <f>IF(ISERROR(#REF!/#REF!),"NA",IF(OR(#REF!/#REF!&gt;2,#REF!/#REF!&lt;0.5),"NM",#REF!/#REF!*100-100))</f>
        <v>NA</v>
      </c>
      <c r="BB395" s="55">
        <f>C395+E395+G395+I395</f>
        <v>97.1</v>
      </c>
      <c r="BC395" s="9" t="str">
        <f>IF(ISERROR(BB395/#REF!),"NA",IF(OR(BB395/#REF!&gt;2,BB395/#REF!&lt;0.5),"NM",BB395/#REF!*100-100))</f>
        <v>NA</v>
      </c>
      <c r="BD395" s="908">
        <f>K395+M395+O395+Q395</f>
        <v>88.9</v>
      </c>
      <c r="BE395" s="9">
        <f t="shared" si="2183"/>
        <v>-8.444902162718833</v>
      </c>
      <c r="BF395" s="55">
        <f>S395+U395+W395+Y395</f>
        <v>86.2</v>
      </c>
      <c r="BG395" s="9">
        <f t="shared" si="2183"/>
        <v>-3.0371203599549972</v>
      </c>
      <c r="BH395" s="55">
        <f>AA395+AC395+AE395+AG395</f>
        <v>93.1</v>
      </c>
      <c r="BI395" s="9">
        <f t="shared" si="2183"/>
        <v>8.0046403712296978</v>
      </c>
      <c r="BJ395" s="55">
        <f>AI395+AK395+AM395+AO395</f>
        <v>101</v>
      </c>
      <c r="BK395" s="9">
        <f t="shared" si="2183"/>
        <v>8.485499462943082</v>
      </c>
      <c r="BL395" s="55">
        <f>AQ395+AS395+AU395+AW395</f>
        <v>111.95743677299998</v>
      </c>
      <c r="BM395" s="9">
        <f t="shared" si="2183"/>
        <v>10.848947299999992</v>
      </c>
      <c r="BN395" s="691">
        <f>BN402*BN391/100</f>
        <v>116.43573424392001</v>
      </c>
      <c r="BO395" s="9">
        <f t="shared" si="2183"/>
        <v>4.0000000000000284</v>
      </c>
      <c r="BP395" s="691">
        <f>BP402*BP391/100</f>
        <v>121.09316361367681</v>
      </c>
      <c r="BQ395" s="9">
        <f t="shared" si="2183"/>
        <v>4</v>
      </c>
      <c r="BR395" s="691">
        <f>BR402*BR391/100</f>
        <v>125.93689015822389</v>
      </c>
      <c r="BS395" s="9">
        <f t="shared" si="2183"/>
        <v>4</v>
      </c>
      <c r="BT395" s="691">
        <f>BT402*BT391/100</f>
        <v>130.97436576455286</v>
      </c>
      <c r="BU395" s="9">
        <f t="shared" si="2184"/>
        <v>4</v>
      </c>
      <c r="BV395" s="43">
        <f>IF(ISERROR(((BT395/BJ395)^0.2-1)*100),"NA",IF((((BT395/BJ395)^0.2-1)*100)&gt;100,"NM",IF((((BT395/BJ395)^0.2-1)*100)&lt;-50,"NM",((BT395/BJ395)^0.2-1)*100)))</f>
        <v>5.3350694805373466</v>
      </c>
      <c r="BW395" s="722"/>
      <c r="BX395" s="722"/>
      <c r="BY395"/>
      <c r="BZ395"/>
      <c r="CA395"/>
      <c r="CB395"/>
      <c r="CC395"/>
      <c r="CD395"/>
    </row>
    <row r="396" spans="1:83" s="2" customFormat="1" ht="12.75" customHeight="1" x14ac:dyDescent="0.2">
      <c r="A396" s="41"/>
      <c r="B396" s="62" t="s">
        <v>137</v>
      </c>
      <c r="C396" s="653">
        <f>-68.8+14.5</f>
        <v>-54.3</v>
      </c>
      <c r="D396" s="9" t="str">
        <f>IF(ISERROR(C396/#REF!),"NA",IF(OR(C396/#REF!&gt;2,C396/#REF!&lt;0.5),"NM",C396/#REF!*100-100))</f>
        <v>NA</v>
      </c>
      <c r="E396" s="653">
        <f>-52.2+17.1</f>
        <v>-35.1</v>
      </c>
      <c r="F396" s="9" t="str">
        <f>IF(ISERROR(E396/#REF!),"NA",IF(OR(E396/#REF!&gt;2,E396/#REF!&lt;0.5),"NM",E396/#REF!*100-100))</f>
        <v>NA</v>
      </c>
      <c r="G396" s="653">
        <f>-45.4+25.1</f>
        <v>-20.299999999999997</v>
      </c>
      <c r="H396" s="9" t="str">
        <f>IF(ISERROR(G396/#REF!),"NA",IF(OR(G396/#REF!&gt;2,G396/#REF!&lt;0.5),"NM",G396/#REF!*100-100))</f>
        <v>NA</v>
      </c>
      <c r="I396" s="653">
        <f>-45.7+12.4</f>
        <v>-33.300000000000004</v>
      </c>
      <c r="J396" s="9" t="str">
        <f>IF(ISERROR(I396/#REF!),"NA",IF(OR(I396/#REF!&gt;2,I396/#REF!&lt;0.5),"NM",I396/#REF!*100-100))</f>
        <v>NA</v>
      </c>
      <c r="K396" s="653">
        <f>-42+18.5</f>
        <v>-23.5</v>
      </c>
      <c r="L396" s="9" t="str">
        <f>IF(ISERROR(K396/C396),"NA",IF(OR(K396/C396&gt;2,K396/C396&lt;0.5),"NM",K396/C396*100-100))</f>
        <v>NM</v>
      </c>
      <c r="M396" s="653">
        <f>-43.3+16.1</f>
        <v>-27.199999999999996</v>
      </c>
      <c r="N396" s="9">
        <f>IF(ISERROR(M396/E396),"NA",IF(OR(M396/E396&gt;2,M396/E396&lt;0.5),"NM",M396/E396*100-100))</f>
        <v>-22.507122507122517</v>
      </c>
      <c r="O396" s="653">
        <f>-42+94.6</f>
        <v>52.599999999999994</v>
      </c>
      <c r="P396" s="43" t="str">
        <f t="shared" si="2127"/>
        <v>NM</v>
      </c>
      <c r="Q396" s="653">
        <f>-50.1+19.1</f>
        <v>-31</v>
      </c>
      <c r="R396" s="43">
        <f t="shared" si="2127"/>
        <v>-6.9069069069069116</v>
      </c>
      <c r="S396" s="653">
        <f>-45.3+20.7</f>
        <v>-24.599999999999998</v>
      </c>
      <c r="T396" s="43">
        <f t="shared" si="2127"/>
        <v>4.6808510638297776</v>
      </c>
      <c r="U396" s="653">
        <f>-41.6+15.4</f>
        <v>-26.200000000000003</v>
      </c>
      <c r="V396" s="43">
        <f t="shared" si="2127"/>
        <v>-3.6764705882352757</v>
      </c>
      <c r="W396" s="653">
        <f>-39.5+4.6</f>
        <v>-34.9</v>
      </c>
      <c r="X396" s="43" t="str">
        <f t="shared" si="2128"/>
        <v>NM</v>
      </c>
      <c r="Y396" s="653">
        <f>-43.1+20.7</f>
        <v>-22.400000000000002</v>
      </c>
      <c r="Z396" s="43">
        <f t="shared" si="2129"/>
        <v>-27.741935483870961</v>
      </c>
      <c r="AA396" s="653">
        <f>-43.4+26</f>
        <v>-17.399999999999999</v>
      </c>
      <c r="AB396" s="43">
        <f t="shared" si="2130"/>
        <v>-29.268292682926827</v>
      </c>
      <c r="AC396" s="653">
        <f>-44.9+20.6</f>
        <v>-24.299999999999997</v>
      </c>
      <c r="AD396" s="43">
        <f t="shared" si="2131"/>
        <v>-7.2519083969465896</v>
      </c>
      <c r="AE396" s="653">
        <f>-41.8-6.2</f>
        <v>-48</v>
      </c>
      <c r="AF396" s="43">
        <f t="shared" si="2132"/>
        <v>37.535816618911184</v>
      </c>
      <c r="AG396" s="653">
        <f>-53.5+20.1</f>
        <v>-33.4</v>
      </c>
      <c r="AH396" s="9">
        <f>IF(ISERROR(AG396/Y396),"NA",IF(OR(AG396/Y396&gt;2,AG396/Y396&lt;0.5),"NM",AG396/Y396*100-100))</f>
        <v>49.107142857142833</v>
      </c>
      <c r="AI396" s="653">
        <f>-49.4+22.2</f>
        <v>-27.2</v>
      </c>
      <c r="AJ396" s="9">
        <f t="shared" si="2174"/>
        <v>56.321839080459768</v>
      </c>
      <c r="AK396" s="653">
        <f>-50.6+22.7</f>
        <v>-27.900000000000002</v>
      </c>
      <c r="AL396" s="9">
        <f t="shared" si="2175"/>
        <v>14.814814814814838</v>
      </c>
      <c r="AM396" s="653">
        <f>-50.2+61.6</f>
        <v>11.399999999999999</v>
      </c>
      <c r="AN396" s="9" t="str">
        <f t="shared" si="2176"/>
        <v>NM</v>
      </c>
      <c r="AO396" s="653">
        <f>-59.2+26.6</f>
        <v>-32.6</v>
      </c>
      <c r="AP396" s="9">
        <f t="shared" si="2177"/>
        <v>-2.3952095808383262</v>
      </c>
      <c r="AQ396" s="691">
        <f t="shared" si="2178"/>
        <v>-32.926000000000002</v>
      </c>
      <c r="AR396" s="9">
        <f t="shared" si="2179"/>
        <v>21.051470588235304</v>
      </c>
      <c r="AS396" s="691">
        <f t="shared" si="2178"/>
        <v>-33.25526</v>
      </c>
      <c r="AT396" s="9">
        <f t="shared" si="2180"/>
        <v>19.19448028673834</v>
      </c>
      <c r="AU396" s="691">
        <f t="shared" si="2178"/>
        <v>-33.587812599999999</v>
      </c>
      <c r="AV396" s="9" t="str">
        <f t="shared" si="2181"/>
        <v>NM</v>
      </c>
      <c r="AW396" s="691">
        <f t="shared" si="2178"/>
        <v>-33.923690725999997</v>
      </c>
      <c r="AX396" s="9">
        <f t="shared" si="2182"/>
        <v>4.0604009999999846</v>
      </c>
      <c r="AY396" s="287"/>
      <c r="AZ396" s="64"/>
      <c r="BA396" s="9" t="str">
        <f>IF(ISERROR(#REF!/#REF!),"NA",IF(OR(#REF!/#REF!&gt;2,#REF!/#REF!&lt;0.5),"NM",#REF!/#REF!*100-100))</f>
        <v>NA</v>
      </c>
      <c r="BB396" s="55">
        <f>C396+E396+G396+I396</f>
        <v>-143</v>
      </c>
      <c r="BC396" s="9" t="str">
        <f>IF(ISERROR(BB396/#REF!),"NA",IF(OR(BB396/#REF!&gt;2,BB396/#REF!&lt;0.5),"NM",BB396/#REF!*100-100))</f>
        <v>NA</v>
      </c>
      <c r="BD396" s="908">
        <f>K396+M396+O396+Q396</f>
        <v>-29.1</v>
      </c>
      <c r="BE396" s="9" t="str">
        <f t="shared" si="2183"/>
        <v>NM</v>
      </c>
      <c r="BF396" s="55">
        <f>S396+U396+W396+Y396</f>
        <v>-108.1</v>
      </c>
      <c r="BG396" s="9" t="str">
        <f t="shared" si="2183"/>
        <v>NM</v>
      </c>
      <c r="BH396" s="55">
        <f>AA396+AC396+AE396+AG396</f>
        <v>-123.1</v>
      </c>
      <c r="BI396" s="9">
        <f t="shared" si="2183"/>
        <v>13.876040703052723</v>
      </c>
      <c r="BJ396" s="55">
        <f>AI396+AK396+AM396+AO396</f>
        <v>-76.300000000000011</v>
      </c>
      <c r="BK396" s="9">
        <f t="shared" si="2183"/>
        <v>-38.017871649065796</v>
      </c>
      <c r="BL396" s="55">
        <f>AQ396+AS396+AU396+AW396</f>
        <v>-133.69276332600001</v>
      </c>
      <c r="BM396" s="9">
        <f t="shared" si="2183"/>
        <v>75.219873297509821</v>
      </c>
      <c r="BN396" s="691">
        <f>BN403*BN391/100</f>
        <v>-148.30201953342362</v>
      </c>
      <c r="BO396" s="9">
        <f t="shared" si="2183"/>
        <v>10.927484662576688</v>
      </c>
      <c r="BP396" s="691">
        <f>BP403*BP391/100</f>
        <v>-154.23410031476058</v>
      </c>
      <c r="BQ396" s="9">
        <f t="shared" si="2183"/>
        <v>4</v>
      </c>
      <c r="BR396" s="691">
        <f>BR403*BR391/100</f>
        <v>-160.403464327351</v>
      </c>
      <c r="BS396" s="9">
        <f t="shared" si="2183"/>
        <v>4</v>
      </c>
      <c r="BT396" s="691">
        <f>BT403*BT391/100</f>
        <v>-166.81960290044506</v>
      </c>
      <c r="BU396" s="9">
        <f t="shared" si="2184"/>
        <v>4</v>
      </c>
      <c r="BV396" s="43">
        <f>IF(ISERROR(((BT396/BJ396)^0.2-1)*100),"NA",IF((((BT396/BJ396)^0.2-1)*100)&gt;100,"NM",IF((((BT396/BJ396)^0.2-1)*100)&lt;-50,"NM",((BT396/BJ396)^0.2-1)*100)))</f>
        <v>16.934997046997392</v>
      </c>
      <c r="BW396" s="722"/>
      <c r="BX396" s="722"/>
      <c r="BY396"/>
      <c r="BZ396"/>
      <c r="CA396"/>
      <c r="CB396"/>
      <c r="CC396"/>
      <c r="CD396"/>
    </row>
    <row r="397" spans="1:83" s="2" customFormat="1" ht="12.75" customHeight="1" x14ac:dyDescent="0.2">
      <c r="A397" s="41"/>
      <c r="B397" s="62" t="s">
        <v>481</v>
      </c>
      <c r="C397" s="653">
        <f>1.4+96.8</f>
        <v>98.2</v>
      </c>
      <c r="D397" s="9" t="str">
        <f>IF(ISERROR(C397/#REF!),"NA",IF(OR(C397/#REF!&gt;2,C397/#REF!&lt;0.5),"NM",C397/#REF!*100-100))</f>
        <v>NA</v>
      </c>
      <c r="E397" s="653">
        <f>1.6+82.8</f>
        <v>84.399999999999991</v>
      </c>
      <c r="F397" s="9" t="str">
        <f>IF(ISERROR(E397/#REF!),"NA",IF(OR(E397/#REF!&gt;2,E397/#REF!&lt;0.5),"NM",E397/#REF!*100-100))</f>
        <v>NA</v>
      </c>
      <c r="G397" s="653">
        <f>1.8+80.7</f>
        <v>82.5</v>
      </c>
      <c r="H397" s="9" t="str">
        <f>IF(ISERROR(G397/#REF!),"NA",IF(OR(G397/#REF!&gt;2,G397/#REF!&lt;0.5),"NM",G397/#REF!*100-100))</f>
        <v>NA</v>
      </c>
      <c r="I397" s="653">
        <f>1.6+87.2</f>
        <v>88.8</v>
      </c>
      <c r="J397" s="9" t="str">
        <f>IF(ISERROR(I397/#REF!),"NA",IF(OR(I397/#REF!&gt;2,I397/#REF!&lt;0.5),"NM",I397/#REF!*100-100))</f>
        <v>NA</v>
      </c>
      <c r="K397" s="653">
        <f>2.1+75.9</f>
        <v>78</v>
      </c>
      <c r="L397" s="9">
        <f>IF(ISERROR(K397/C397),"NA",IF(OR(K397/C397&gt;2,K397/C397&lt;0.5),"NM",K397/C397*100-100))</f>
        <v>-20.570264765784117</v>
      </c>
      <c r="M397" s="653">
        <f>2.3+76.8</f>
        <v>79.099999999999994</v>
      </c>
      <c r="N397" s="9">
        <f>IF(ISERROR(M397/E397),"NA",IF(OR(M397/E397&gt;2,M397/E397&lt;0.5),"NM",M397/E397*100-100))</f>
        <v>-6.2796208530805728</v>
      </c>
      <c r="O397" s="653">
        <f>2.5+79.8</f>
        <v>82.3</v>
      </c>
      <c r="P397" s="43">
        <f t="shared" si="2127"/>
        <v>-0.24242424242424931</v>
      </c>
      <c r="Q397" s="653">
        <f>2.3+89.1</f>
        <v>91.399999999999991</v>
      </c>
      <c r="R397" s="43">
        <f t="shared" si="2127"/>
        <v>2.9279279279279251</v>
      </c>
      <c r="S397" s="653">
        <f>2.4+82.3</f>
        <v>84.7</v>
      </c>
      <c r="T397" s="43">
        <f t="shared" si="2127"/>
        <v>8.5897435897436054</v>
      </c>
      <c r="U397" s="653">
        <f>2.4+80.1</f>
        <v>82.5</v>
      </c>
      <c r="V397" s="43">
        <f t="shared" si="2127"/>
        <v>4.2983565107459043</v>
      </c>
      <c r="W397" s="653">
        <f>2.7+80</f>
        <v>82.7</v>
      </c>
      <c r="X397" s="43">
        <f t="shared" si="2128"/>
        <v>0.48602673147024689</v>
      </c>
      <c r="Y397" s="653">
        <f>2.6+84.1</f>
        <v>86.699999999999989</v>
      </c>
      <c r="Z397" s="43">
        <f t="shared" si="2129"/>
        <v>-5.1422319474835945</v>
      </c>
      <c r="AA397" s="653">
        <f>81.3+2.9</f>
        <v>84.2</v>
      </c>
      <c r="AB397" s="43">
        <f t="shared" si="2130"/>
        <v>-0.59031877213695338</v>
      </c>
      <c r="AC397" s="653">
        <f>2.9+82</f>
        <v>84.9</v>
      </c>
      <c r="AD397" s="43">
        <f t="shared" si="2131"/>
        <v>2.9090909090909065</v>
      </c>
      <c r="AE397" s="653">
        <f>3+80.1</f>
        <v>83.1</v>
      </c>
      <c r="AF397" s="43">
        <f t="shared" si="2132"/>
        <v>0.48367593712211487</v>
      </c>
      <c r="AG397" s="653">
        <f>2.9+91.3</f>
        <v>94.2</v>
      </c>
      <c r="AH397" s="9">
        <f>IF(ISERROR(AG397/Y397),"NA",IF(OR(AG397/Y397&gt;2,AG397/Y397&lt;0.5),"NM",AG397/Y397*100-100))</f>
        <v>8.6505190311418971</v>
      </c>
      <c r="AI397" s="653">
        <f>2.9+86.8</f>
        <v>89.7</v>
      </c>
      <c r="AJ397" s="9">
        <f t="shared" si="2174"/>
        <v>6.5320665083135481</v>
      </c>
      <c r="AK397" s="653">
        <f>2.9+88.6</f>
        <v>91.5</v>
      </c>
      <c r="AL397" s="9">
        <f t="shared" si="2175"/>
        <v>7.7738515901059912</v>
      </c>
      <c r="AM397" s="653">
        <f>2.9+87.5</f>
        <v>90.4</v>
      </c>
      <c r="AN397" s="9">
        <f t="shared" si="2176"/>
        <v>8.7845968712394864</v>
      </c>
      <c r="AO397" s="653">
        <f>3+100.2</f>
        <v>103.2</v>
      </c>
      <c r="AP397" s="9">
        <f t="shared" si="2177"/>
        <v>9.5541401273885356</v>
      </c>
      <c r="AQ397" s="691">
        <f t="shared" si="2178"/>
        <v>104.232</v>
      </c>
      <c r="AR397" s="9">
        <f t="shared" si="2179"/>
        <v>16.200668896321062</v>
      </c>
      <c r="AS397" s="691">
        <f t="shared" si="2178"/>
        <v>105.27432</v>
      </c>
      <c r="AT397" s="9">
        <f t="shared" si="2180"/>
        <v>15.053901639344261</v>
      </c>
      <c r="AU397" s="691">
        <f t="shared" si="2178"/>
        <v>106.3270632</v>
      </c>
      <c r="AV397" s="9">
        <f t="shared" si="2181"/>
        <v>17.618432743362831</v>
      </c>
      <c r="AW397" s="691">
        <f t="shared" si="2178"/>
        <v>107.390333832</v>
      </c>
      <c r="AX397" s="9">
        <f t="shared" si="2182"/>
        <v>4.0604009999999988</v>
      </c>
      <c r="AY397" s="287"/>
      <c r="AZ397" s="64"/>
      <c r="BA397" s="9" t="str">
        <f>IF(ISERROR(#REF!/#REF!),"NA",IF(OR(#REF!/#REF!&gt;2,#REF!/#REF!&lt;0.5),"NM",#REF!/#REF!*100-100))</f>
        <v>NA</v>
      </c>
      <c r="BB397" s="55">
        <f>C397+E397+G397+I397</f>
        <v>353.90000000000003</v>
      </c>
      <c r="BC397" s="9" t="str">
        <f>IF(ISERROR(BB397/#REF!),"NA",IF(OR(BB397/#REF!&gt;2,BB397/#REF!&lt;0.5),"NM",BB397/#REF!*100-100))</f>
        <v>NA</v>
      </c>
      <c r="BD397" s="908">
        <f>K397+M397+O397+Q397</f>
        <v>330.79999999999995</v>
      </c>
      <c r="BE397" s="9">
        <f t="shared" si="2183"/>
        <v>-6.5272675897146399</v>
      </c>
      <c r="BF397" s="55">
        <f>S397+U397+W397+Y397</f>
        <v>336.59999999999997</v>
      </c>
      <c r="BG397" s="9">
        <f t="shared" si="2183"/>
        <v>1.7533252720677126</v>
      </c>
      <c r="BH397" s="55">
        <f>AA397+AC397+AE397+AG397</f>
        <v>346.40000000000003</v>
      </c>
      <c r="BI397" s="9">
        <f t="shared" si="2183"/>
        <v>2.9114676173499987</v>
      </c>
      <c r="BJ397" s="55">
        <f>AI397+AK397+AM397+AO397</f>
        <v>374.8</v>
      </c>
      <c r="BK397" s="9">
        <f t="shared" si="2183"/>
        <v>8.1986143187067029</v>
      </c>
      <c r="BL397" s="55">
        <f>AQ397+AS397+AU397+AW397</f>
        <v>423.22371703200002</v>
      </c>
      <c r="BM397" s="9">
        <f t="shared" si="2183"/>
        <v>12.919881812166494</v>
      </c>
      <c r="BN397" s="691">
        <f>BN404*BN391/100</f>
        <v>443.85728398303354</v>
      </c>
      <c r="BO397" s="9">
        <f t="shared" si="2183"/>
        <v>4.8753333333333444</v>
      </c>
      <c r="BP397" s="691">
        <f>BP404*BP391/100</f>
        <v>461.61157534235485</v>
      </c>
      <c r="BQ397" s="9">
        <f t="shared" si="2183"/>
        <v>4</v>
      </c>
      <c r="BR397" s="691">
        <f>BR404*BR391/100</f>
        <v>480.07603835604908</v>
      </c>
      <c r="BS397" s="9">
        <f t="shared" si="2183"/>
        <v>4</v>
      </c>
      <c r="BT397" s="691">
        <f>BT404*BT391/100</f>
        <v>499.27907989029109</v>
      </c>
      <c r="BU397" s="9">
        <f t="shared" si="2184"/>
        <v>4</v>
      </c>
      <c r="BV397" s="43">
        <f>IF(ISERROR(((BT397/BJ397)^0.2-1)*100),"NA",IF((((BT397/BJ397)^0.2-1)*100)&gt;100,"NM",IF((((BT397/BJ397)^0.2-1)*100)&lt;-50,"NM",((BT397/BJ397)^0.2-1)*100)))</f>
        <v>5.9031205862456915</v>
      </c>
      <c r="BW397" s="722"/>
      <c r="BX397" s="722"/>
      <c r="BY397"/>
      <c r="BZ397"/>
      <c r="CA397"/>
      <c r="CB397"/>
      <c r="CC397"/>
      <c r="CD397"/>
    </row>
    <row r="398" spans="1:83" s="2" customFormat="1" ht="12.75" customHeight="1" x14ac:dyDescent="0.2">
      <c r="A398" s="66"/>
      <c r="B398" s="67" t="s">
        <v>484</v>
      </c>
      <c r="C398" s="69">
        <f>SUM(C394,C395,C397,C396)</f>
        <v>359.59999999999997</v>
      </c>
      <c r="D398" s="9" t="str">
        <f>IF(ISERROR(C398/#REF!),"NA",IF(OR(C398/#REF!&gt;2,C398/#REF!&lt;0.5),"NM",C398/#REF!*100-100))</f>
        <v>NA</v>
      </c>
      <c r="E398" s="69">
        <f>SUM(E394,E395,E397,E396)</f>
        <v>337.8</v>
      </c>
      <c r="F398" s="9" t="str">
        <f>IF(ISERROR(E398/#REF!),"NA",IF(OR(E398/#REF!&gt;2,E398/#REF!&lt;0.5),"NM",E398/#REF!*100-100))</f>
        <v>NA</v>
      </c>
      <c r="G398" s="69">
        <f>SUM(G394,G395,G397,G396)</f>
        <v>331.2</v>
      </c>
      <c r="H398" s="9" t="str">
        <f>IF(ISERROR(G398/#REF!),"NA",IF(OR(G398/#REF!&gt;2,G398/#REF!&lt;0.5),"NM",G398/#REF!*100-100))</f>
        <v>NA</v>
      </c>
      <c r="I398" s="69">
        <f>SUM(I394,I395,I397,I396)</f>
        <v>325.60000000000002</v>
      </c>
      <c r="J398" s="9" t="str">
        <f>IF(ISERROR(I398/#REF!),"NA",IF(OR(I398/#REF!&gt;2,I398/#REF!&lt;0.5),"NM",I398/#REF!*100-100))</f>
        <v>NA</v>
      </c>
      <c r="K398" s="69">
        <f>SUM(K394,K395,K397,K396)</f>
        <v>361.99999999999994</v>
      </c>
      <c r="L398" s="9">
        <f>IF(ISERROR(K398/C398),"NA",IF(OR(K398/C398&gt;2,K398/C398&lt;0.5),"NM",K398/C398*100-100))</f>
        <v>0.66740823136817085</v>
      </c>
      <c r="M398" s="69">
        <f>SUM(M394,M395,M397,M396)</f>
        <v>354.40000000000003</v>
      </c>
      <c r="N398" s="9">
        <f>IF(ISERROR(M398/E398),"NA",IF(OR(M398/E398&gt;2,M398/E398&lt;0.5),"NM",M398/E398*100-100))</f>
        <v>4.9141503848431114</v>
      </c>
      <c r="O398" s="69">
        <f>SUM(O394,O395,O397,O396)</f>
        <v>306.20000000000005</v>
      </c>
      <c r="P398" s="43">
        <f t="shared" si="2127"/>
        <v>-7.5483091787439349</v>
      </c>
      <c r="Q398" s="69">
        <f>SUM(Q394,Q395,Q397,Q396)</f>
        <v>348.2</v>
      </c>
      <c r="R398" s="43">
        <f t="shared" si="2127"/>
        <v>6.9410319410319232</v>
      </c>
      <c r="S398" s="69">
        <f>SUM(S394,S395,S397,S396)</f>
        <v>360.29999999999995</v>
      </c>
      <c r="T398" s="43">
        <f t="shared" si="2127"/>
        <v>-0.46961325966850609</v>
      </c>
      <c r="U398" s="69">
        <f>SUM(U394,U395,U397,U396)</f>
        <v>356.5</v>
      </c>
      <c r="V398" s="43">
        <f t="shared" si="2127"/>
        <v>0.59255079006770472</v>
      </c>
      <c r="W398" s="69">
        <f t="shared" ref="W398:Y398" si="2185">SUM(W394,W395,W397,W396)</f>
        <v>282.10000000000002</v>
      </c>
      <c r="X398" s="43">
        <f t="shared" si="2128"/>
        <v>-7.870672762900071</v>
      </c>
      <c r="Y398" s="69">
        <f t="shared" si="2185"/>
        <v>364.7</v>
      </c>
      <c r="Z398" s="43">
        <f t="shared" si="2129"/>
        <v>4.7386559448592749</v>
      </c>
      <c r="AA398" s="69">
        <f t="shared" ref="AA398:AC398" si="2186">SUM(AA394,AA395,AA397,AA396)</f>
        <v>366.1</v>
      </c>
      <c r="AB398" s="43">
        <f t="shared" si="2130"/>
        <v>1.6097696364141285</v>
      </c>
      <c r="AC398" s="69">
        <f t="shared" si="2186"/>
        <v>372.8</v>
      </c>
      <c r="AD398" s="43">
        <f t="shared" si="2131"/>
        <v>4.5722300140252514</v>
      </c>
      <c r="AE398" s="69">
        <f t="shared" ref="AE398:AG398" si="2187">SUM(AE394,AE395,AE397,AE396)</f>
        <v>403.19999999999993</v>
      </c>
      <c r="AF398" s="43">
        <f t="shared" si="2132"/>
        <v>42.928039702233235</v>
      </c>
      <c r="AG398" s="69">
        <f t="shared" si="2187"/>
        <v>373.7</v>
      </c>
      <c r="AH398" s="9">
        <f>IF(ISERROR(AG398/Y398),"NA",IF(OR(AG398/Y398&gt;2,AG398/Y398&lt;0.5),"NM",AG398/Y398*100-100))</f>
        <v>2.4677817384151268</v>
      </c>
      <c r="AI398" s="69">
        <f t="shared" ref="AI398:AK398" si="2188">SUM(AI394,AI395,AI397,AI396)</f>
        <v>387.2</v>
      </c>
      <c r="AJ398" s="9">
        <f t="shared" si="2174"/>
        <v>5.7634526085768982</v>
      </c>
      <c r="AK398" s="69">
        <f t="shared" si="2188"/>
        <v>392.6</v>
      </c>
      <c r="AL398" s="9">
        <f t="shared" si="2175"/>
        <v>5.3111587982832589</v>
      </c>
      <c r="AM398" s="69">
        <f t="shared" ref="AM398:AO398" si="2189">SUM(AM394,AM395,AM397,AM396)</f>
        <v>436</v>
      </c>
      <c r="AN398" s="9">
        <f t="shared" si="2176"/>
        <v>8.1349206349206469</v>
      </c>
      <c r="AO398" s="69">
        <f t="shared" si="2189"/>
        <v>386</v>
      </c>
      <c r="AP398" s="9">
        <f t="shared" si="2177"/>
        <v>3.2914102221032806</v>
      </c>
      <c r="AQ398" s="69">
        <f t="shared" ref="AQ398:AW398" si="2190">SUM(AQ394:AQ397)</f>
        <v>401.54267000000004</v>
      </c>
      <c r="AR398" s="9">
        <f t="shared" si="2179"/>
        <v>3.7042019628099325</v>
      </c>
      <c r="AS398" s="69">
        <f t="shared" si="2190"/>
        <v>403.34294955000001</v>
      </c>
      <c r="AT398" s="9">
        <f t="shared" si="2180"/>
        <v>2.7363600483952979</v>
      </c>
      <c r="AU398" s="69">
        <f t="shared" si="2190"/>
        <v>404.02043111324997</v>
      </c>
      <c r="AV398" s="9">
        <f t="shared" si="2181"/>
        <v>-7.3347635061353316</v>
      </c>
      <c r="AW398" s="69">
        <f t="shared" si="2190"/>
        <v>405.80096381666749</v>
      </c>
      <c r="AX398" s="9">
        <f t="shared" si="2182"/>
        <v>5.129783372193657</v>
      </c>
      <c r="AY398" s="287"/>
      <c r="AZ398" s="68"/>
      <c r="BA398" s="9" t="str">
        <f>IF(ISERROR(#REF!/#REF!),"NA",IF(OR(#REF!/#REF!&gt;2,#REF!/#REF!&lt;0.5),"NM",#REF!/#REF!*100-100))</f>
        <v>NA</v>
      </c>
      <c r="BB398" s="695">
        <f>BB394+BB395+BB396+BB397</f>
        <v>1354.1999999999998</v>
      </c>
      <c r="BC398" s="9" t="str">
        <f>IF(ISERROR(BB398/#REF!),"NA",IF(OR(BB398/#REF!&gt;2,BB398/#REF!&lt;0.5),"NM",BB398/#REF!*100-100))</f>
        <v>NA</v>
      </c>
      <c r="BD398" s="912">
        <f t="shared" ref="BD398:BP398" si="2191">BD394+BD395+BD396+BD397</f>
        <v>1370.8</v>
      </c>
      <c r="BE398" s="9">
        <f t="shared" si="2183"/>
        <v>1.2258159799143584</v>
      </c>
      <c r="BF398" s="695">
        <f t="shared" si="2191"/>
        <v>1363.6000000000001</v>
      </c>
      <c r="BG398" s="9">
        <f t="shared" si="2183"/>
        <v>-0.52524073533702165</v>
      </c>
      <c r="BH398" s="695">
        <f t="shared" si="2191"/>
        <v>1515.8000000000002</v>
      </c>
      <c r="BI398" s="9">
        <f t="shared" si="2183"/>
        <v>11.161630976826046</v>
      </c>
      <c r="BJ398" s="695">
        <f t="shared" ref="BJ398" si="2192">BJ394+BJ395+BJ396+BJ397</f>
        <v>1601.8</v>
      </c>
      <c r="BK398" s="9">
        <f t="shared" si="2183"/>
        <v>5.673571711307531</v>
      </c>
      <c r="BL398" s="695">
        <f t="shared" ref="BL398" si="2193">BL394+BL395+BL396+BL397</f>
        <v>1614.7070144799175</v>
      </c>
      <c r="BM398" s="9">
        <f t="shared" si="2183"/>
        <v>0.80578190035693353</v>
      </c>
      <c r="BN398" s="695">
        <f t="shared" si="2191"/>
        <v>1677.442985924238</v>
      </c>
      <c r="BO398" s="9">
        <f t="shared" si="2183"/>
        <v>3.8852851249009603</v>
      </c>
      <c r="BP398" s="695">
        <f t="shared" si="2191"/>
        <v>1750.3199098620228</v>
      </c>
      <c r="BQ398" s="9">
        <f t="shared" si="2183"/>
        <v>4.3445246455056719</v>
      </c>
      <c r="BR398" s="695">
        <f t="shared" ref="BR398:BT398" si="2194">BR394+BR395+BR396+BR397</f>
        <v>1824.3396213770691</v>
      </c>
      <c r="BS398" s="9">
        <f t="shared" si="2183"/>
        <v>4.2289247295873622</v>
      </c>
      <c r="BT398" s="695">
        <f t="shared" si="2194"/>
        <v>1901.4803979575402</v>
      </c>
      <c r="BU398" s="9">
        <f t="shared" si="2184"/>
        <v>4.2284219273954591</v>
      </c>
      <c r="BV398" s="43">
        <f>IF(ISERROR(((BT398/BJ398)^0.2-1)*100),"NA",IF((((BT398/BJ398)^0.2-1)*100)&gt;100,"NM",IF((((BT398/BJ398)^0.2-1)*100)&lt;-50,"NM",((BT398/BJ398)^0.2-1)*100)))</f>
        <v>3.4896010310815573</v>
      </c>
      <c r="BW398" s="722"/>
      <c r="BX398" s="722"/>
      <c r="BY398"/>
      <c r="BZ398"/>
      <c r="CA398"/>
      <c r="CB398"/>
      <c r="CC398"/>
      <c r="CD398"/>
    </row>
    <row r="399" spans="1:83" s="139" customFormat="1" ht="12.75" customHeight="1" x14ac:dyDescent="0.2">
      <c r="A399" s="136"/>
      <c r="B399" s="137"/>
      <c r="C399" s="114"/>
      <c r="D399" s="9"/>
      <c r="E399" s="114"/>
      <c r="F399" s="9"/>
      <c r="G399" s="114"/>
      <c r="H399" s="9"/>
      <c r="I399" s="114"/>
      <c r="J399" s="9"/>
      <c r="K399" s="114"/>
      <c r="L399" s="9"/>
      <c r="M399" s="114"/>
      <c r="N399" s="9"/>
      <c r="O399" s="114"/>
      <c r="P399" s="43"/>
      <c r="Q399" s="114"/>
      <c r="R399" s="43"/>
      <c r="S399" s="114"/>
      <c r="T399" s="43"/>
      <c r="U399" s="114"/>
      <c r="V399" s="43"/>
      <c r="W399" s="114"/>
      <c r="X399" s="43"/>
      <c r="Y399" s="114"/>
      <c r="Z399" s="43"/>
      <c r="AA399" s="114"/>
      <c r="AB399" s="43"/>
      <c r="AC399" s="114"/>
      <c r="AD399" s="43"/>
      <c r="AE399" s="114"/>
      <c r="AF399" s="43"/>
      <c r="AG399" s="114"/>
      <c r="AH399" s="9"/>
      <c r="AI399" s="114"/>
      <c r="AJ399" s="9"/>
      <c r="AK399" s="114"/>
      <c r="AL399" s="9"/>
      <c r="AM399" s="114"/>
      <c r="AN399" s="9"/>
      <c r="AO399" s="114"/>
      <c r="AP399" s="9"/>
      <c r="AQ399" s="114"/>
      <c r="AR399" s="9"/>
      <c r="AS399" s="114"/>
      <c r="AT399" s="9"/>
      <c r="AU399" s="114"/>
      <c r="AV399" s="9"/>
      <c r="AW399" s="114"/>
      <c r="AX399" s="9"/>
      <c r="AY399" s="287"/>
      <c r="AZ399" s="138"/>
      <c r="BA399" s="9"/>
      <c r="BB399" s="694"/>
      <c r="BC399" s="9"/>
      <c r="BD399" s="916"/>
      <c r="BE399" s="9"/>
      <c r="BF399" s="694"/>
      <c r="BG399" s="9"/>
      <c r="BH399" s="694"/>
      <c r="BI399" s="9"/>
      <c r="BJ399" s="694"/>
      <c r="BK399" s="9"/>
      <c r="BL399" s="694"/>
      <c r="BM399" s="9"/>
      <c r="BN399" s="114"/>
      <c r="BO399" s="9"/>
      <c r="BP399" s="114"/>
      <c r="BQ399" s="9"/>
      <c r="BR399" s="114"/>
      <c r="BS399" s="9"/>
      <c r="BT399" s="114"/>
      <c r="BU399" s="9"/>
      <c r="BV399" s="722"/>
      <c r="BW399" s="722"/>
      <c r="BX399" s="722"/>
      <c r="BY399"/>
      <c r="BZ399"/>
      <c r="CA399"/>
      <c r="CB399"/>
      <c r="CC399"/>
      <c r="CD399"/>
      <c r="CE399" s="2"/>
    </row>
    <row r="400" spans="1:83" s="2" customFormat="1" ht="12.75" customHeight="1" x14ac:dyDescent="0.2">
      <c r="A400" s="41"/>
      <c r="B400" s="62" t="s">
        <v>499</v>
      </c>
      <c r="C400" s="57">
        <f>+C394/C$391*100</f>
        <v>74.28194993412383</v>
      </c>
      <c r="D400" s="754" t="str">
        <f>IF(ISERROR(C400/#REF!),"NA",IF(OR(C400/#REF!&gt;2,C400/#REF!&lt;0.5),"NM",C400/#REF!*100-100))</f>
        <v>NA</v>
      </c>
      <c r="E400" s="57">
        <f t="shared" ref="E400:U400" si="2195">+E394/E$391*100</f>
        <v>71.304347826086968</v>
      </c>
      <c r="F400" s="9" t="str">
        <f>IF(ISERROR(E400/#REF!),"NA",IF(OR(E400/#REF!&gt;2,E400/#REF!&lt;0.5),"NM",E400/#REF!*100-100))</f>
        <v>NA</v>
      </c>
      <c r="G400" s="57">
        <f t="shared" si="2195"/>
        <v>69.589192169837318</v>
      </c>
      <c r="H400" s="9" t="str">
        <f>IF(ISERROR(G400/#REF!),"NA",IF(OR(G400/#REF!&gt;2,G400/#REF!&lt;0.5),"NM",G400/#REF!*100-100))</f>
        <v>NA</v>
      </c>
      <c r="I400" s="57">
        <f t="shared" si="2195"/>
        <v>66.925965665236049</v>
      </c>
      <c r="J400" s="9" t="str">
        <f>IF(ISERROR(I400/#REF!),"NA",IF(OR(I400/#REF!&gt;2,I400/#REF!&lt;0.5),"NM",I400/#REF!*100-100))</f>
        <v>NA</v>
      </c>
      <c r="K400" s="57">
        <f t="shared" si="2195"/>
        <v>74.153204794163628</v>
      </c>
      <c r="L400" s="9">
        <f t="shared" ref="L400:L405" si="2196">IF(ISERROR(K400/C400),"NA",IF(OR(K400/C400&gt;2,K400/C400&lt;0.5),"NM",K400/C400*100-100))</f>
        <v>-0.17331954811953665</v>
      </c>
      <c r="M400" s="57">
        <f t="shared" si="2195"/>
        <v>73.560209424083766</v>
      </c>
      <c r="N400" s="9">
        <f t="shared" ref="N400:N405" si="2197">IF(ISERROR(M400/E400),"NA",IF(OR(M400/E400&gt;2,M400/E400&lt;0.5),"NM",M400/E400*100-100))</f>
        <v>3.1637083386540468</v>
      </c>
      <c r="O400" s="57">
        <f t="shared" si="2195"/>
        <v>39.404233080742102</v>
      </c>
      <c r="P400" s="9">
        <f t="shared" ref="P400:P405" si="2198">IF(ISERROR(O400/G400),"NA",IF(OR(O400/G400&gt;2,O400/G400&lt;0.5),"NM",O400/G400*100-100))</f>
        <v>-43.375929721136444</v>
      </c>
      <c r="Q400" s="57">
        <f t="shared" si="2195"/>
        <v>68.130165289256198</v>
      </c>
      <c r="R400" s="43">
        <f t="shared" si="2127"/>
        <v>1.7993010815018522</v>
      </c>
      <c r="S400" s="57">
        <f t="shared" si="2195"/>
        <v>70.005058168942853</v>
      </c>
      <c r="T400" s="43">
        <f t="shared" si="2127"/>
        <v>-5.5940220476448843</v>
      </c>
      <c r="U400" s="57">
        <f t="shared" si="2195"/>
        <v>71.007121057985756</v>
      </c>
      <c r="V400" s="43">
        <f t="shared" si="2127"/>
        <v>-3.4707464620976509</v>
      </c>
      <c r="W400" s="57">
        <f>+W394/W$391*100</f>
        <v>55.184804928131413</v>
      </c>
      <c r="X400" s="43">
        <f t="shared" si="2128"/>
        <v>40.047910119336137</v>
      </c>
      <c r="Y400" s="57">
        <f>+Y394/Y$391*100</f>
        <v>70.44359949302914</v>
      </c>
      <c r="Z400" s="43">
        <f t="shared" si="2129"/>
        <v>3.3956092634605142</v>
      </c>
      <c r="AA400" s="57">
        <f>+AA394/AA$391*100</f>
        <v>67.843137254901961</v>
      </c>
      <c r="AB400" s="43">
        <f t="shared" si="2130"/>
        <v>-3.0882352941176521</v>
      </c>
      <c r="AC400" s="57">
        <f>+AC394/AC$391*100</f>
        <v>70.480605025616001</v>
      </c>
      <c r="AD400" s="43">
        <f t="shared" si="2131"/>
        <v>-0.74149750690469318</v>
      </c>
      <c r="AE400" s="57">
        <f>+AE394/AE$391*100</f>
        <v>86.908635794743432</v>
      </c>
      <c r="AF400" s="43">
        <f t="shared" si="2132"/>
        <v>57.486532584335094</v>
      </c>
      <c r="AG400" s="57">
        <f>+AG394/AG$391*100</f>
        <v>70.100318081722534</v>
      </c>
      <c r="AH400" s="9">
        <f t="shared" ref="AH400:AH405" si="2199">IF(ISERROR(AG400/Y400),"NA",IF(OR(AG400/Y400&gt;2,AG400/Y400&lt;0.5),"NM",AG400/Y400*100-100))</f>
        <v>-0.48731384224704755</v>
      </c>
      <c r="AI400" s="57">
        <f>+AI394/AI$391*100</f>
        <v>69.899509231128761</v>
      </c>
      <c r="AJ400" s="9">
        <f t="shared" ref="AJ400:AJ405" si="2200">IF(ISERROR(AI400/AA400),"NA",IF(OR(AI400/AA400&gt;2,AI400/AA400&lt;0.5),"NM",AI400/AA400*100-100))</f>
        <v>3.0310685198718659</v>
      </c>
      <c r="AK400" s="57">
        <f>+AK394/AK$391*100</f>
        <v>70.258421781264417</v>
      </c>
      <c r="AL400" s="9">
        <f t="shared" ref="AL400:AL405" si="2201">IF(ISERROR(AK400/AC400),"NA",IF(OR(AK400/AC400&gt;2,AK400/AC400&lt;0.5),"NM",AK400/AC400*100-100))</f>
        <v>-0.31524026258121296</v>
      </c>
      <c r="AM400" s="57">
        <f>+AM394/AM$391*100</f>
        <v>71.336701883325688</v>
      </c>
      <c r="AN400" s="9">
        <f t="shared" ref="AN400:AN405" si="2202">IF(ISERROR(AM400/AE400),"NA",IF(OR(AM400/AE400&gt;2,AM400/AE400&lt;0.5),"NM",AM400/AE400*100-100))</f>
        <v>-17.917591006945244</v>
      </c>
      <c r="AO400" s="57">
        <f>+AO394/AO$391*100</f>
        <v>66.336633663366342</v>
      </c>
      <c r="AP400" s="9">
        <f t="shared" ref="AP400:AP405" si="2203">IF(ISERROR(AO400/AG400),"NA",IF(OR(AO400/AG400&gt;2,AO400/AG400&lt;0.5),"NM",AO400/AG400*100-100))</f>
        <v>-5.3689976327475648</v>
      </c>
      <c r="AQ400" s="91">
        <v>69</v>
      </c>
      <c r="AR400" s="9">
        <f t="shared" ref="AR400:AR405" si="2204">IF(ISERROR(AQ400/AI400),"NA",IF(OR(AQ400/AI400&gt;2,AQ400/AI400&lt;0.5),"NM",AQ400/AI400*100-100))</f>
        <v>-1.2868605817452163</v>
      </c>
      <c r="AS400" s="91">
        <f>AQ400-0.5</f>
        <v>68.5</v>
      </c>
      <c r="AT400" s="9">
        <f t="shared" ref="AT400:AT405" si="2205">IF(ISERROR(AS400/AK400),"NA",IF(OR(AS400/AK400&gt;2,AS400/AK400&lt;0.5),"NM",AS400/AK400*100-100))</f>
        <v>-2.5027914614121443</v>
      </c>
      <c r="AU400" s="91">
        <f>AS400-0.75</f>
        <v>67.75</v>
      </c>
      <c r="AV400" s="9">
        <f t="shared" ref="AV400:AV405" si="2206">IF(ISERROR(AU400/AM400),"NA",IF(OR(AU400/AM400&gt;2,AU400/AM400&lt;0.5),"NM",AU400/AM400*100-100))</f>
        <v>-5.0278493238892565</v>
      </c>
      <c r="AW400" s="91">
        <f>AU400-0.5</f>
        <v>67.25</v>
      </c>
      <c r="AX400" s="9">
        <f t="shared" ref="AX400:AX405" si="2207">IF(ISERROR(AW400/AO400),"NA",IF(OR(AW400/AO400&gt;2,AW400/AO400&lt;0.5),"NM",AW400/AO400*100-100))</f>
        <v>1.3768656716417951</v>
      </c>
      <c r="AY400" s="287"/>
      <c r="AZ400" s="59"/>
      <c r="BA400" s="9" t="str">
        <f>IF(ISERROR(#REF!/#REF!),"NA",IF(OR(#REF!/#REF!&gt;2,#REF!/#REF!&lt;0.5),"NM",#REF!/#REF!*100-100))</f>
        <v>NA</v>
      </c>
      <c r="BB400" s="57">
        <f>+BB394/BB$391*100</f>
        <v>70.546190155091011</v>
      </c>
      <c r="BC400" s="9" t="str">
        <f>IF(ISERROR(BB400/#REF!),"NA",IF(OR(BB400/#REF!&gt;2,BB400/#REF!&lt;0.5),"NM",BB400/#REF!*100-100))</f>
        <v>NA</v>
      </c>
      <c r="BD400" s="911">
        <f>+BD394/BD$391*100</f>
        <v>63.827570489027799</v>
      </c>
      <c r="BE400" s="9">
        <f t="shared" si="2183"/>
        <v>-9.5237172288011323</v>
      </c>
      <c r="BF400" s="57">
        <f>+BF394/BF$391*100</f>
        <v>66.694220130984945</v>
      </c>
      <c r="BG400" s="9">
        <f t="shared" si="2183"/>
        <v>4.4912404153780727</v>
      </c>
      <c r="BH400" s="57">
        <f>+BH394/BH$391*100</f>
        <v>73.759301395978113</v>
      </c>
      <c r="BI400" s="9">
        <f t="shared" si="2183"/>
        <v>10.593243689059733</v>
      </c>
      <c r="BJ400" s="57">
        <f>+BJ394/BJ$391*100</f>
        <v>69.456961294049677</v>
      </c>
      <c r="BK400" s="9">
        <f t="shared" si="2183"/>
        <v>-5.8329458393745455</v>
      </c>
      <c r="BL400" s="57">
        <f>+BL394/BL$391*100</f>
        <v>68.117537467358531</v>
      </c>
      <c r="BM400" s="9">
        <f t="shared" si="2183"/>
        <v>-1.9284227264429603</v>
      </c>
      <c r="BN400" s="91">
        <f>BL400+0.2</f>
        <v>68.317537467358534</v>
      </c>
      <c r="BO400" s="9">
        <f t="shared" si="2183"/>
        <v>0.29361014422437393</v>
      </c>
      <c r="BP400" s="91">
        <f>BN400+0.3</f>
        <v>68.617537467358531</v>
      </c>
      <c r="BQ400" s="9">
        <f t="shared" si="2183"/>
        <v>0.43912589815364811</v>
      </c>
      <c r="BR400" s="91">
        <f>BP400+0.2</f>
        <v>68.817537467358534</v>
      </c>
      <c r="BS400" s="9">
        <f t="shared" si="2183"/>
        <v>0.29147067554727357</v>
      </c>
      <c r="BT400" s="91">
        <f>BR400+0.2</f>
        <v>69.017537467358537</v>
      </c>
      <c r="BU400" s="9">
        <f t="shared" ref="BU400:BU404" si="2208">IF(ISERROR(BT400/BR400),"NA",IF(OR(BT400/BR400&gt;2,BT400/BR400&lt;0.5),"NM",BT400/BR400*100-100))</f>
        <v>0.29062359299744855</v>
      </c>
      <c r="BV400" s="43">
        <f>IF(ISERROR(((BT400/BJ400)^0.2-1)*100),"NA",IF((((BT400/BJ400)^0.2-1)*100)&gt;100,"NM",IF((((BT400/BJ400)^0.2-1)*100)&lt;-50,"NM",((BT400/BJ400)^0.2-1)*100)))</f>
        <v>-0.12685267981400461</v>
      </c>
      <c r="BW400" s="722"/>
      <c r="BX400" s="722"/>
      <c r="BY400"/>
      <c r="BZ400"/>
      <c r="CA400"/>
      <c r="CB400"/>
      <c r="CC400"/>
      <c r="CD400"/>
    </row>
    <row r="401" spans="1:83" s="48" customFormat="1" ht="12.75" hidden="1" customHeight="1" outlineLevel="1" x14ac:dyDescent="0.2">
      <c r="A401" s="44"/>
      <c r="B401" s="301" t="s">
        <v>429</v>
      </c>
      <c r="C401" s="304">
        <f>C400</f>
        <v>74.28194993412383</v>
      </c>
      <c r="D401" s="46" t="str">
        <f>IF(ISERROR(C401/#REF!),"NA",IF(OR(C401/#REF!&gt;2,C401/#REF!&lt;0.5),"NM",C401/#REF!*100-100))</f>
        <v>NA</v>
      </c>
      <c r="E401" s="304">
        <f>E400</f>
        <v>71.304347826086968</v>
      </c>
      <c r="F401" s="46" t="str">
        <f>IF(ISERROR(E401/#REF!),"NA",IF(OR(E401/#REF!&gt;2,E401/#REF!&lt;0.5),"NM",E401/#REF!*100-100))</f>
        <v>NA</v>
      </c>
      <c r="G401" s="304">
        <f>G400</f>
        <v>69.589192169837318</v>
      </c>
      <c r="H401" s="9" t="str">
        <f>IF(ISERROR(G401/#REF!),"NA",IF(OR(G401/#REF!&gt;2,G401/#REF!&lt;0.5),"NM",G401/#REF!*100-100))</f>
        <v>NA</v>
      </c>
      <c r="I401" s="57">
        <f>I400</f>
        <v>66.925965665236049</v>
      </c>
      <c r="J401" s="9" t="str">
        <f>IF(ISERROR(I401/#REF!),"NA",IF(OR(I401/#REF!&gt;2,I401/#REF!&lt;0.5),"NM",I401/#REF!*100-100))</f>
        <v>NA</v>
      </c>
      <c r="K401" s="57">
        <f>K400</f>
        <v>74.153204794163628</v>
      </c>
      <c r="L401" s="9">
        <f t="shared" si="2196"/>
        <v>-0.17331954811953665</v>
      </c>
      <c r="M401" s="57">
        <f>M400</f>
        <v>73.560209424083766</v>
      </c>
      <c r="N401" s="9">
        <f t="shared" si="2197"/>
        <v>3.1637083386540468</v>
      </c>
      <c r="O401" s="57">
        <f>O400</f>
        <v>39.404233080742102</v>
      </c>
      <c r="P401" s="9">
        <f t="shared" si="2198"/>
        <v>-43.375929721136444</v>
      </c>
      <c r="Q401" s="57">
        <f t="shared" ref="Q401:S401" si="2209">Q400</f>
        <v>68.130165289256198</v>
      </c>
      <c r="R401" s="43">
        <f t="shared" si="2127"/>
        <v>1.7993010815018522</v>
      </c>
      <c r="S401" s="57">
        <f t="shared" si="2209"/>
        <v>70.005058168942853</v>
      </c>
      <c r="T401" s="43">
        <f t="shared" si="2127"/>
        <v>-5.5940220476448843</v>
      </c>
      <c r="U401" s="57">
        <f>U400</f>
        <v>71.007121057985756</v>
      </c>
      <c r="V401" s="43">
        <f t="shared" si="2127"/>
        <v>-3.4707464620976509</v>
      </c>
      <c r="W401" s="57">
        <f>W400</f>
        <v>55.184804928131413</v>
      </c>
      <c r="X401" s="43">
        <f t="shared" si="2128"/>
        <v>40.047910119336137</v>
      </c>
      <c r="Y401" s="57">
        <f>Y400</f>
        <v>70.44359949302914</v>
      </c>
      <c r="Z401" s="43">
        <f t="shared" si="2129"/>
        <v>3.3956092634605142</v>
      </c>
      <c r="AA401" s="57">
        <f>AA400</f>
        <v>67.843137254901961</v>
      </c>
      <c r="AB401" s="43">
        <f t="shared" si="2130"/>
        <v>-3.0882352941176521</v>
      </c>
      <c r="AC401" s="57">
        <f>AC400</f>
        <v>70.480605025616001</v>
      </c>
      <c r="AD401" s="43">
        <f t="shared" si="2131"/>
        <v>-0.74149750690469318</v>
      </c>
      <c r="AE401" s="57">
        <f>AE400</f>
        <v>86.908635794743432</v>
      </c>
      <c r="AF401" s="43">
        <f t="shared" si="2132"/>
        <v>57.486532584335094</v>
      </c>
      <c r="AG401" s="57">
        <f>AG400</f>
        <v>70.100318081722534</v>
      </c>
      <c r="AH401" s="46">
        <f t="shared" si="2199"/>
        <v>-0.48731384224704755</v>
      </c>
      <c r="AI401" s="57">
        <f>AI400</f>
        <v>69.899509231128761</v>
      </c>
      <c r="AJ401" s="46">
        <f t="shared" si="2200"/>
        <v>3.0310685198718659</v>
      </c>
      <c r="AK401" s="57">
        <f>AK400</f>
        <v>70.258421781264417</v>
      </c>
      <c r="AL401" s="46">
        <f t="shared" si="2201"/>
        <v>-0.31524026258121296</v>
      </c>
      <c r="AM401" s="57">
        <f>AM400</f>
        <v>71.336701883325688</v>
      </c>
      <c r="AN401" s="46">
        <f t="shared" si="2202"/>
        <v>-17.917591006945244</v>
      </c>
      <c r="AO401" s="57">
        <f>AO400</f>
        <v>66.336633663366342</v>
      </c>
      <c r="AP401" s="46">
        <f t="shared" si="2203"/>
        <v>-5.3689976327475648</v>
      </c>
      <c r="AQ401" s="304">
        <f t="shared" ref="AQ401" si="2210">IF($B$6=1,AQ400,IF($B$6=2,AQ400+AQ1031,IF($B$6=3,AQ400+AQ1032)))</f>
        <v>69</v>
      </c>
      <c r="AR401" s="46">
        <f t="shared" si="2204"/>
        <v>-1.2868605817452163</v>
      </c>
      <c r="AS401" s="304">
        <f t="shared" ref="AS401" si="2211">IF($B$6=1,AS400,IF($B$6=2,AS400+AS1031,IF($B$6=3,AS400+AS1032)))</f>
        <v>68.5</v>
      </c>
      <c r="AT401" s="46">
        <f t="shared" si="2205"/>
        <v>-2.5027914614121443</v>
      </c>
      <c r="AU401" s="304">
        <f t="shared" ref="AU401" si="2212">IF($B$6=1,AU400,IF($B$6=2,AU400+AU1031,IF($B$6=3,AU400+AU1032)))</f>
        <v>67.75</v>
      </c>
      <c r="AV401" s="46">
        <f t="shared" si="2206"/>
        <v>-5.0278493238892565</v>
      </c>
      <c r="AW401" s="304">
        <f t="shared" ref="AW401" si="2213">IF($B$6=1,AW400,IF($B$6=2,AW400+AW1031,IF($B$6=3,AW400+AW1032)))</f>
        <v>67.25</v>
      </c>
      <c r="AX401" s="46">
        <f t="shared" si="2207"/>
        <v>1.3768656716417951</v>
      </c>
      <c r="AY401" s="287"/>
      <c r="AZ401" s="305"/>
      <c r="BA401" s="46" t="str">
        <f>IF(ISERROR(#REF!/#REF!),"NA",IF(OR(#REF!/#REF!&gt;2,#REF!/#REF!&lt;0.5),"NM",#REF!/#REF!*100-100))</f>
        <v>NA</v>
      </c>
      <c r="BB401" s="304">
        <f>BB400</f>
        <v>70.546190155091011</v>
      </c>
      <c r="BC401" s="9" t="str">
        <f>IF(ISERROR(BB401/#REF!),"NA",IF(OR(BB401/#REF!&gt;2,BB401/#REF!&lt;0.5),"NM",BB401/#REF!*100-100))</f>
        <v>NA</v>
      </c>
      <c r="BD401" s="935">
        <f>BD400</f>
        <v>63.827570489027799</v>
      </c>
      <c r="BE401" s="9">
        <f t="shared" si="2183"/>
        <v>-9.5237172288011323</v>
      </c>
      <c r="BF401" s="304">
        <f>BF400</f>
        <v>66.694220130984945</v>
      </c>
      <c r="BG401" s="9">
        <f t="shared" si="2183"/>
        <v>4.4912404153780727</v>
      </c>
      <c r="BH401" s="304">
        <f>BH400</f>
        <v>73.759301395978113</v>
      </c>
      <c r="BI401" s="9">
        <f t="shared" si="2183"/>
        <v>10.593243689059733</v>
      </c>
      <c r="BJ401" s="304">
        <f>BJ400</f>
        <v>69.456961294049677</v>
      </c>
      <c r="BK401" s="9">
        <f t="shared" si="2183"/>
        <v>-5.8329458393745455</v>
      </c>
      <c r="BL401" s="304">
        <f>BL400</f>
        <v>68.117537467358531</v>
      </c>
      <c r="BM401" s="9">
        <f t="shared" si="2183"/>
        <v>-1.9284227264429603</v>
      </c>
      <c r="BN401" s="304">
        <f>IF($B$6=1,BN400,IF($B$6=2,BN400+BN1031,IF($B$6=3,BN400+BN1032)))</f>
        <v>68.317537467358534</v>
      </c>
      <c r="BO401" s="9">
        <f t="shared" si="2183"/>
        <v>0.29361014422437393</v>
      </c>
      <c r="BP401" s="304">
        <f>IF($B$6=1,BP400,IF($B$6=2,BP400+BP1031,IF($B$6=3,BP400+BP1032)))</f>
        <v>68.617537467358531</v>
      </c>
      <c r="BQ401" s="9">
        <f t="shared" si="2183"/>
        <v>0.43912589815364811</v>
      </c>
      <c r="BR401" s="304">
        <f>IF($B$6=1,BR400,IF($B$6=2,BR400+BR1031,IF($B$6=3,BR400+BR1032)))</f>
        <v>68.817537467358534</v>
      </c>
      <c r="BS401" s="9">
        <f t="shared" si="2183"/>
        <v>0.29147067554727357</v>
      </c>
      <c r="BT401" s="304">
        <f>IF($B$6=1,BT400,IF($B$6=2,BT400+BT1031,IF($B$6=3,BT400+BT1032)))</f>
        <v>69.017537467358537</v>
      </c>
      <c r="BU401" s="9">
        <f t="shared" si="2208"/>
        <v>0.29062359299744855</v>
      </c>
      <c r="BV401" s="43">
        <f>IF(ISERROR(((BT401/BJ401)^0.2-1)*100),"NA",IF((((BT401/BJ401)^0.2-1)*100)&gt;100,"NM",IF((((BT401/BJ401)^0.2-1)*100)&lt;-50,"NM",((BT401/BJ401)^0.2-1)*100)))</f>
        <v>-0.12685267981400461</v>
      </c>
      <c r="BW401" s="303"/>
      <c r="BX401" s="303"/>
      <c r="BY401"/>
      <c r="BZ401"/>
      <c r="CA401"/>
      <c r="CB401"/>
      <c r="CC401"/>
      <c r="CD401"/>
    </row>
    <row r="402" spans="1:83" s="2" customFormat="1" ht="12.75" customHeight="1" collapsed="1" x14ac:dyDescent="0.2">
      <c r="A402" s="41"/>
      <c r="B402" s="62" t="s">
        <v>386</v>
      </c>
      <c r="C402" s="57">
        <f>+C395/C$391*100</f>
        <v>8.9064558629776016</v>
      </c>
      <c r="D402" s="754" t="str">
        <f>IF(ISERROR(C402/#REF!),"NA",IF(OR(C402/#REF!&gt;2,C402/#REF!&lt;0.5),"NM",C402/#REF!*100-100))</f>
        <v>NA</v>
      </c>
      <c r="E402" s="57">
        <f t="shared" ref="E402:W403" si="2214">+E395/E$391*100</f>
        <v>7.0923913043478271</v>
      </c>
      <c r="F402" s="9" t="str">
        <f>IF(ISERROR(E402/#REF!),"NA",IF(OR(E402/#REF!&gt;2,E402/#REF!&lt;0.5),"NM",E402/#REF!*100-100))</f>
        <v>NA</v>
      </c>
      <c r="G402" s="57">
        <f t="shared" si="2214"/>
        <v>4.5767852219465119</v>
      </c>
      <c r="H402" s="9" t="str">
        <f>IF(ISERROR(G402/#REF!),"NA",IF(OR(G402/#REF!&gt;2,G402/#REF!&lt;0.5),"NM",G402/#REF!*100-100))</f>
        <v>NA</v>
      </c>
      <c r="I402" s="57">
        <f t="shared" si="2214"/>
        <v>5.5257510729613735</v>
      </c>
      <c r="J402" s="9" t="str">
        <f>IF(ISERROR(I402/#REF!),"NA",IF(OR(I402/#REF!&gt;2,I402/#REF!&lt;0.5),"NM",I402/#REF!*100-100))</f>
        <v>NA</v>
      </c>
      <c r="K402" s="57">
        <f t="shared" si="2214"/>
        <v>5.9666492965085984</v>
      </c>
      <c r="L402" s="9">
        <f t="shared" si="2196"/>
        <v>-33.007591478549898</v>
      </c>
      <c r="M402" s="57">
        <f t="shared" si="2214"/>
        <v>5.6282722513088999</v>
      </c>
      <c r="N402" s="9">
        <f t="shared" si="2197"/>
        <v>-20.643517682694451</v>
      </c>
      <c r="O402" s="57">
        <f t="shared" si="2214"/>
        <v>5.3566762477136143</v>
      </c>
      <c r="P402" s="9">
        <f t="shared" si="2198"/>
        <v>17.040149099140251</v>
      </c>
      <c r="Q402" s="57">
        <f t="shared" si="2214"/>
        <v>6.1983471074380159</v>
      </c>
      <c r="R402" s="43">
        <f t="shared" si="2127"/>
        <v>12.172029206451086</v>
      </c>
      <c r="S402" s="57">
        <f t="shared" si="2214"/>
        <v>5.9180576631259481</v>
      </c>
      <c r="T402" s="43">
        <f t="shared" si="2127"/>
        <v>-0.81438728787166781</v>
      </c>
      <c r="U402" s="57">
        <f t="shared" si="2214"/>
        <v>5.3407934893184139</v>
      </c>
      <c r="V402" s="43">
        <f t="shared" si="2127"/>
        <v>-5.1077621897844523</v>
      </c>
      <c r="W402" s="57">
        <f t="shared" si="2214"/>
        <v>4.9537987679671458</v>
      </c>
      <c r="X402" s="43">
        <f t="shared" si="2128"/>
        <v>-7.5210347072669919</v>
      </c>
      <c r="Y402" s="57">
        <f t="shared" ref="Y402:AA402" si="2215">+Y395/Y$391*100</f>
        <v>5.7034220532319395</v>
      </c>
      <c r="Z402" s="43">
        <f t="shared" si="2129"/>
        <v>-7.9847908745246912</v>
      </c>
      <c r="AA402" s="57">
        <f t="shared" si="2215"/>
        <v>5.5147058823529411</v>
      </c>
      <c r="AB402" s="43">
        <f t="shared" si="2130"/>
        <v>-6.8156108597285083</v>
      </c>
      <c r="AC402" s="57">
        <f t="shared" ref="AC402:AE402" si="2216">+AC395/AC$391*100</f>
        <v>5.6843132471334474</v>
      </c>
      <c r="AD402" s="43">
        <f t="shared" si="2131"/>
        <v>6.4319985129938715</v>
      </c>
      <c r="AE402" s="57">
        <f t="shared" si="2216"/>
        <v>5.2315394242803501</v>
      </c>
      <c r="AF402" s="43">
        <f t="shared" si="2132"/>
        <v>5.6066196735556701</v>
      </c>
      <c r="AG402" s="57">
        <f t="shared" ref="AG402:AI402" si="2217">+AG395/AG$391*100</f>
        <v>6.4595057499388302</v>
      </c>
      <c r="AH402" s="9">
        <f t="shared" si="2199"/>
        <v>13.256667482260823</v>
      </c>
      <c r="AI402" s="57">
        <f t="shared" si="2217"/>
        <v>5.9827062397756494</v>
      </c>
      <c r="AJ402" s="9">
        <f t="shared" si="2200"/>
        <v>8.4864064812651065</v>
      </c>
      <c r="AK402" s="57">
        <f t="shared" ref="AK402:AM402" si="2218">+AK395/AK$391*100</f>
        <v>5.652976465159206</v>
      </c>
      <c r="AL402" s="9">
        <f t="shared" si="2201"/>
        <v>-0.55128527601895883</v>
      </c>
      <c r="AM402" s="57">
        <f t="shared" si="2218"/>
        <v>5.420303169499312</v>
      </c>
      <c r="AN402" s="9">
        <f t="shared" si="2202"/>
        <v>3.6081873787069583</v>
      </c>
      <c r="AO402" s="57">
        <f t="shared" ref="AO402" si="2219">+AO395/AO$391*100</f>
        <v>6.2859774349527973</v>
      </c>
      <c r="AP402" s="9">
        <f t="shared" si="2203"/>
        <v>-2.6864023611663583</v>
      </c>
      <c r="AQ402" s="91">
        <f t="shared" ref="AQ402:AQ403" si="2220">AO402</f>
        <v>6.2859774349527973</v>
      </c>
      <c r="AR402" s="9">
        <f t="shared" si="2204"/>
        <v>5.0691306412617791</v>
      </c>
      <c r="AS402" s="91">
        <f t="shared" ref="AS402:AS404" si="2221">AQ402</f>
        <v>6.2859774349527973</v>
      </c>
      <c r="AT402" s="9">
        <f t="shared" si="2205"/>
        <v>11.197657971777247</v>
      </c>
      <c r="AU402" s="91">
        <f t="shared" ref="AU402:AU404" si="2222">AS402</f>
        <v>6.2859774349527973</v>
      </c>
      <c r="AV402" s="9">
        <f t="shared" si="2206"/>
        <v>15.970956575357945</v>
      </c>
      <c r="AW402" s="91">
        <f t="shared" ref="AW402:AW404" si="2223">AU402</f>
        <v>6.2859774349527973</v>
      </c>
      <c r="AX402" s="9">
        <f t="shared" si="2207"/>
        <v>0</v>
      </c>
      <c r="AY402" s="287"/>
      <c r="AZ402" s="59"/>
      <c r="BA402" s="9" t="str">
        <f>IF(ISERROR(#REF!/#REF!),"NA",IF(OR(#REF!/#REF!&gt;2,#REF!/#REF!&lt;0.5),"NM",#REF!/#REF!*100-100))</f>
        <v>NA</v>
      </c>
      <c r="BB402" s="57">
        <f>+BB395/BB$391*100</f>
        <v>6.5475387727579228</v>
      </c>
      <c r="BC402" s="9" t="str">
        <f>IF(ISERROR(BB402/#REF!),"NA",IF(OR(BB402/#REF!&gt;2,BB402/#REF!&lt;0.5),"NM",BB402/#REF!*100-100))</f>
        <v>NA</v>
      </c>
      <c r="BD402" s="911">
        <f>+BD395/BD$391*100</f>
        <v>5.788891059451716</v>
      </c>
      <c r="BE402" s="9">
        <f t="shared" si="2183"/>
        <v>-11.586761676962979</v>
      </c>
      <c r="BF402" s="57">
        <f>+BF395/BF$391*100</f>
        <v>5.4810199020792272</v>
      </c>
      <c r="BG402" s="9">
        <f t="shared" si="2183"/>
        <v>-5.318309745522285</v>
      </c>
      <c r="BH402" s="57">
        <f>+BH395/BH$391*100</f>
        <v>5.7253551442100727</v>
      </c>
      <c r="BI402" s="9">
        <f t="shared" si="2183"/>
        <v>4.4578426368814519</v>
      </c>
      <c r="BJ402" s="57">
        <f>+BJ395/BJ$391*100</f>
        <v>5.834777585210861</v>
      </c>
      <c r="BK402" s="9">
        <f t="shared" si="2183"/>
        <v>1.9111904544724041</v>
      </c>
      <c r="BL402" s="57">
        <f>+BL395/BL$391*100</f>
        <v>6.2859774349527973</v>
      </c>
      <c r="BM402" s="9">
        <f t="shared" si="2183"/>
        <v>7.7329399990425003</v>
      </c>
      <c r="BN402" s="91">
        <f>BL402</f>
        <v>6.2859774349527973</v>
      </c>
      <c r="BO402" s="9">
        <f t="shared" si="2183"/>
        <v>0</v>
      </c>
      <c r="BP402" s="91">
        <f>BN402</f>
        <v>6.2859774349527973</v>
      </c>
      <c r="BQ402" s="9">
        <f t="shared" si="2183"/>
        <v>0</v>
      </c>
      <c r="BR402" s="91">
        <f>BP402</f>
        <v>6.2859774349527973</v>
      </c>
      <c r="BS402" s="9">
        <f t="shared" si="2183"/>
        <v>0</v>
      </c>
      <c r="BT402" s="91">
        <f>BR402</f>
        <v>6.2859774349527973</v>
      </c>
      <c r="BU402" s="9">
        <f t="shared" si="2208"/>
        <v>0</v>
      </c>
      <c r="BV402" s="43">
        <f>IF(ISERROR(((BT402/BJ402)^0.2-1)*100),"NA",IF((((BT402/BJ402)^0.2-1)*100)&gt;100,"NM",IF((((BT402/BJ402)^0.2-1)*100)&lt;-50,"NM",((BT402/BJ402)^0.2-1)*100)))</f>
        <v>1.5008554154861686</v>
      </c>
      <c r="BW402" s="722"/>
      <c r="BX402" s="722"/>
      <c r="BY402"/>
      <c r="BZ402"/>
      <c r="CA402"/>
      <c r="CB402"/>
      <c r="CC402"/>
      <c r="CD402"/>
    </row>
    <row r="403" spans="1:83" s="2" customFormat="1" ht="12.75" customHeight="1" x14ac:dyDescent="0.2">
      <c r="A403" s="41"/>
      <c r="B403" s="62" t="s">
        <v>387</v>
      </c>
      <c r="C403" s="57">
        <f>+C396/C$391*100</f>
        <v>-14.308300395256914</v>
      </c>
      <c r="D403" s="754" t="str">
        <f>IF(ISERROR(C403/#REF!),"NA",IF(OR(C403/#REF!&gt;2,C403/#REF!&lt;0.5),"NM",C403/#REF!*100-100))</f>
        <v>NA</v>
      </c>
      <c r="E403" s="57">
        <f t="shared" si="2214"/>
        <v>-9.5380434782608692</v>
      </c>
      <c r="F403" s="9" t="str">
        <f>IF(ISERROR(E403/#REF!),"NA",IF(OR(E403/#REF!&gt;2,E403/#REF!&lt;0.5),"NM",E403/#REF!*100-100))</f>
        <v>NA</v>
      </c>
      <c r="G403" s="57">
        <f t="shared" si="2214"/>
        <v>-5.5969120485249508</v>
      </c>
      <c r="H403" s="9" t="str">
        <f>IF(ISERROR(G403/#REF!),"NA",IF(OR(G403/#REF!&gt;2,G403/#REF!&lt;0.5),"NM",G403/#REF!*100-100))</f>
        <v>NA</v>
      </c>
      <c r="I403" s="57">
        <f t="shared" si="2214"/>
        <v>-8.9324034334763969</v>
      </c>
      <c r="J403" s="9" t="str">
        <f>IF(ISERROR(I403/#REF!),"NA",IF(OR(I403/#REF!&gt;2,I403/#REF!&lt;0.5),"NM",I403/#REF!*100-100))</f>
        <v>NA</v>
      </c>
      <c r="K403" s="57">
        <f t="shared" si="2214"/>
        <v>-6.1229807191245449</v>
      </c>
      <c r="L403" s="9" t="str">
        <f t="shared" si="2196"/>
        <v>NM</v>
      </c>
      <c r="M403" s="57">
        <f t="shared" si="2214"/>
        <v>-7.1204188481675379</v>
      </c>
      <c r="N403" s="9">
        <f t="shared" si="2197"/>
        <v>-25.347175608955723</v>
      </c>
      <c r="O403" s="57">
        <f>+O396/O$391*100</f>
        <v>13.744447347792002</v>
      </c>
      <c r="P403" s="9" t="str">
        <f t="shared" si="2198"/>
        <v>NM</v>
      </c>
      <c r="Q403" s="57">
        <f>+Q396/Q$391*100</f>
        <v>-8.0061983471074374</v>
      </c>
      <c r="R403" s="43">
        <f t="shared" si="2127"/>
        <v>-10.369046732683117</v>
      </c>
      <c r="S403" s="57">
        <f>+S396/S$391*100</f>
        <v>-6.2215477996965101</v>
      </c>
      <c r="T403" s="43">
        <f t="shared" si="2127"/>
        <v>1.6097891712136203</v>
      </c>
      <c r="U403" s="57">
        <f>+U396/U$391*100</f>
        <v>-6.6632756866734493</v>
      </c>
      <c r="V403" s="43">
        <f t="shared" si="2127"/>
        <v>-6.4201723415714014</v>
      </c>
      <c r="W403" s="57">
        <f>+W396/W$391*100</f>
        <v>-8.9579055441478435</v>
      </c>
      <c r="X403" s="43" t="str">
        <f t="shared" si="2128"/>
        <v>NM</v>
      </c>
      <c r="Y403" s="57">
        <f>+Y396/Y$391*100</f>
        <v>-5.6780735107731308</v>
      </c>
      <c r="Z403" s="43">
        <f t="shared" si="2129"/>
        <v>-29.079030213827224</v>
      </c>
      <c r="AA403" s="57">
        <f>+AA396/AA$391*100</f>
        <v>-4.2647058823529402</v>
      </c>
      <c r="AB403" s="43">
        <f t="shared" si="2130"/>
        <v>-31.452654232424692</v>
      </c>
      <c r="AC403" s="57">
        <f>+AC396/AC$391*100</f>
        <v>-5.9282751890705043</v>
      </c>
      <c r="AD403" s="43">
        <f t="shared" si="2131"/>
        <v>-11.030618154865564</v>
      </c>
      <c r="AE403" s="57">
        <f>+AE396/AE$391*100</f>
        <v>-12.015018773466833</v>
      </c>
      <c r="AF403" s="43">
        <f t="shared" si="2132"/>
        <v>34.127544817841795</v>
      </c>
      <c r="AG403" s="57">
        <f>+AG396/AG$391*100</f>
        <v>-8.1722534866650349</v>
      </c>
      <c r="AH403" s="9">
        <f t="shared" si="2199"/>
        <v>43.926517878989102</v>
      </c>
      <c r="AI403" s="57">
        <f>+AI396/AI$391*100</f>
        <v>-6.3566253797616268</v>
      </c>
      <c r="AJ403" s="9">
        <f t="shared" si="2200"/>
        <v>49.051905456479545</v>
      </c>
      <c r="AK403" s="57">
        <f>+AK396/AK$391*100</f>
        <v>-6.4374711582833406</v>
      </c>
      <c r="AL403" s="9">
        <f t="shared" si="2201"/>
        <v>8.5892768633885481</v>
      </c>
      <c r="AM403" s="57">
        <f>+AM396/AM$391*100</f>
        <v>2.6182820395039044</v>
      </c>
      <c r="AN403" s="9" t="str">
        <f t="shared" si="2202"/>
        <v>NM</v>
      </c>
      <c r="AO403" s="57">
        <f>+AO396/AO$391*100</f>
        <v>-7.5063320285516921</v>
      </c>
      <c r="AP403" s="9">
        <f t="shared" si="2203"/>
        <v>-8.1485658661952982</v>
      </c>
      <c r="AQ403" s="91">
        <f t="shared" si="2220"/>
        <v>-7.5063320285516921</v>
      </c>
      <c r="AR403" s="9">
        <f t="shared" si="2204"/>
        <v>18.086745405046642</v>
      </c>
      <c r="AS403" s="91">
        <f t="shared" si="2221"/>
        <v>-7.5063320285516921</v>
      </c>
      <c r="AT403" s="9">
        <f t="shared" si="2205"/>
        <v>16.603738393344216</v>
      </c>
      <c r="AU403" s="91">
        <f t="shared" si="2222"/>
        <v>-7.5063320285516921</v>
      </c>
      <c r="AV403" s="9" t="str">
        <f t="shared" si="2206"/>
        <v>NM</v>
      </c>
      <c r="AW403" s="91">
        <f t="shared" si="2223"/>
        <v>-7.5063320285516921</v>
      </c>
      <c r="AX403" s="9">
        <f t="shared" si="2207"/>
        <v>0</v>
      </c>
      <c r="AY403" s="287"/>
      <c r="AZ403" s="59"/>
      <c r="BA403" s="9" t="str">
        <f>IF(ISERROR(#REF!/#REF!),"NA",IF(OR(#REF!/#REF!&gt;2,#REF!/#REF!&lt;0.5),"NM",#REF!/#REF!*100-100))</f>
        <v>NA</v>
      </c>
      <c r="BB403" s="57">
        <f>+BB396/BB$391*100</f>
        <v>-9.6426163182737703</v>
      </c>
      <c r="BC403" s="9" t="str">
        <f>IF(ISERROR(BB403/#REF!),"NA",IF(OR(BB403/#REF!&gt;2,BB403/#REF!&lt;0.5),"NM",BB403/#REF!*100-100))</f>
        <v>NA</v>
      </c>
      <c r="BD403" s="911">
        <f>+BD396/BD$391*100</f>
        <v>-1.8949013479195156</v>
      </c>
      <c r="BE403" s="9" t="str">
        <f t="shared" si="2183"/>
        <v>NM</v>
      </c>
      <c r="BF403" s="57">
        <f>+BF396/BF$391*100</f>
        <v>-6.8735295987791698</v>
      </c>
      <c r="BG403" s="9" t="str">
        <f t="shared" si="2183"/>
        <v>NM</v>
      </c>
      <c r="BH403" s="57">
        <f>+BH396/BH$391*100</f>
        <v>-7.5702601316032219</v>
      </c>
      <c r="BI403" s="9">
        <f t="shared" si="2183"/>
        <v>10.136430240262612</v>
      </c>
      <c r="BJ403" s="57">
        <f>+BJ396/BJ$391*100</f>
        <v>-4.4078567302137506</v>
      </c>
      <c r="BK403" s="9">
        <f t="shared" si="2183"/>
        <v>-41.774038757103327</v>
      </c>
      <c r="BL403" s="57">
        <f>+BL396/BL$391*100</f>
        <v>-7.5063320285516921</v>
      </c>
      <c r="BM403" s="9">
        <f t="shared" si="2183"/>
        <v>70.294374068453152</v>
      </c>
      <c r="BN403" s="91">
        <f>BL403-0.5</f>
        <v>-8.006332028551693</v>
      </c>
      <c r="BO403" s="9">
        <f t="shared" si="2183"/>
        <v>6.6610429447852937</v>
      </c>
      <c r="BP403" s="91">
        <f>BN403</f>
        <v>-8.006332028551693</v>
      </c>
      <c r="BQ403" s="9">
        <f t="shared" si="2183"/>
        <v>0</v>
      </c>
      <c r="BR403" s="91">
        <f>BP403</f>
        <v>-8.006332028551693</v>
      </c>
      <c r="BS403" s="9">
        <f t="shared" si="2183"/>
        <v>0</v>
      </c>
      <c r="BT403" s="91">
        <f>BR403</f>
        <v>-8.006332028551693</v>
      </c>
      <c r="BU403" s="9">
        <f t="shared" si="2208"/>
        <v>0</v>
      </c>
      <c r="BV403" s="43">
        <f>IF(ISERROR(((BT403/BJ403)^0.2-1)*100),"NA",IF((((BT403/BJ403)^0.2-1)*100)&gt;100,"NM",IF((((BT403/BJ403)^0.2-1)*100)&lt;-50,"NM",((BT403/BJ403)^0.2-1)*100)))</f>
        <v>12.678543687395671</v>
      </c>
      <c r="BW403" s="722"/>
      <c r="BX403" s="722"/>
      <c r="BY403"/>
      <c r="BZ403"/>
      <c r="CA403"/>
      <c r="CB403"/>
      <c r="CC403"/>
      <c r="CD403"/>
    </row>
    <row r="404" spans="1:83" s="2" customFormat="1" ht="12.75" customHeight="1" x14ac:dyDescent="0.2">
      <c r="A404" s="41"/>
      <c r="B404" s="62" t="s">
        <v>483</v>
      </c>
      <c r="C404" s="57">
        <f>+C397/C391*100</f>
        <v>25.87615283267457</v>
      </c>
      <c r="D404" s="754" t="str">
        <f>IF(ISERROR(C404/#REF!),"NA",IF(OR(C404/#REF!&gt;2,C404/#REF!&lt;0.5),"NM",C404/#REF!*100-100))</f>
        <v>NA</v>
      </c>
      <c r="E404" s="57">
        <f t="shared" ref="E404:W404" si="2224">+E397/E391*100</f>
        <v>22.934782608695649</v>
      </c>
      <c r="F404" s="9" t="str">
        <f>IF(ISERROR(E404/#REF!),"NA",IF(OR(E404/#REF!&gt;2,E404/#REF!&lt;0.5),"NM",E404/#REF!*100-100))</f>
        <v>NA</v>
      </c>
      <c r="G404" s="57">
        <f t="shared" si="2224"/>
        <v>22.746071133167906</v>
      </c>
      <c r="H404" s="9" t="str">
        <f>IF(ISERROR(G404/#REF!),"NA",IF(OR(G404/#REF!&gt;2,G404/#REF!&lt;0.5),"NM",G404/#REF!*100-100))</f>
        <v>NA</v>
      </c>
      <c r="I404" s="57">
        <f t="shared" si="2224"/>
        <v>23.819742489270386</v>
      </c>
      <c r="J404" s="9" t="str">
        <f>IF(ISERROR(I404/#REF!),"NA",IF(OR(I404/#REF!&gt;2,I404/#REF!&lt;0.5),"NM",I404/#REF!*100-100))</f>
        <v>NA</v>
      </c>
      <c r="K404" s="57">
        <f t="shared" si="2224"/>
        <v>20.32308494007296</v>
      </c>
      <c r="L404" s="9">
        <f t="shared" si="2196"/>
        <v>-21.460175817131471</v>
      </c>
      <c r="M404" s="57">
        <f t="shared" si="2224"/>
        <v>20.706806282722511</v>
      </c>
      <c r="N404" s="9">
        <f t="shared" si="2197"/>
        <v>-9.7143991464231618</v>
      </c>
      <c r="O404" s="57">
        <f t="shared" si="2224"/>
        <v>21.505095374967336</v>
      </c>
      <c r="P404" s="9">
        <f t="shared" si="2198"/>
        <v>-5.4557806969617815</v>
      </c>
      <c r="Q404" s="57">
        <f t="shared" si="2224"/>
        <v>23.605371900826441</v>
      </c>
      <c r="R404" s="43">
        <f t="shared" si="2127"/>
        <v>-0.89997021815206324</v>
      </c>
      <c r="S404" s="57">
        <f t="shared" si="2224"/>
        <v>21.4213454729388</v>
      </c>
      <c r="T404" s="43">
        <f t="shared" si="2127"/>
        <v>5.4040050322295912</v>
      </c>
      <c r="U404" s="57">
        <f t="shared" si="2224"/>
        <v>20.981688708036621</v>
      </c>
      <c r="V404" s="43">
        <f t="shared" si="2127"/>
        <v>1.3274979326168221</v>
      </c>
      <c r="W404" s="57">
        <f t="shared" si="2224"/>
        <v>21.226899383983572</v>
      </c>
      <c r="X404" s="43">
        <f t="shared" si="2128"/>
        <v>-1.2936282594105251</v>
      </c>
      <c r="Y404" s="57">
        <f t="shared" ref="Y404:AA404" si="2225">+Y397/Y391*100</f>
        <v>21.977186311787069</v>
      </c>
      <c r="Z404" s="43">
        <f t="shared" si="2129"/>
        <v>-6.8975214450333198</v>
      </c>
      <c r="AA404" s="57">
        <f t="shared" si="2225"/>
        <v>20.637254901960787</v>
      </c>
      <c r="AB404" s="43">
        <f t="shared" si="2130"/>
        <v>-3.6603236335856764</v>
      </c>
      <c r="AC404" s="57">
        <f t="shared" ref="AC404:AE404" si="2226">+AC397/AC391*100</f>
        <v>20.71236887045621</v>
      </c>
      <c r="AD404" s="43">
        <f t="shared" si="2131"/>
        <v>-1.2835946683226354</v>
      </c>
      <c r="AE404" s="57">
        <f t="shared" si="2226"/>
        <v>20.801001251564454</v>
      </c>
      <c r="AF404" s="43">
        <f t="shared" si="2132"/>
        <v>-2.0064076468015628</v>
      </c>
      <c r="AG404" s="57">
        <f t="shared" ref="AG404:AI404" si="2227">+AG397/AG391*100</f>
        <v>23.048690971372647</v>
      </c>
      <c r="AH404" s="9">
        <f t="shared" si="2199"/>
        <v>4.875531582543374</v>
      </c>
      <c r="AI404" s="57">
        <f t="shared" si="2227"/>
        <v>20.962841785463894</v>
      </c>
      <c r="AJ404" s="9">
        <f t="shared" si="2200"/>
        <v>1.5776656587799067</v>
      </c>
      <c r="AK404" s="57">
        <f t="shared" ref="AK404:AM404" si="2228">+AK397/AK391*100</f>
        <v>21.112136594370096</v>
      </c>
      <c r="AL404" s="9">
        <f t="shared" si="2201"/>
        <v>1.9300917553863712</v>
      </c>
      <c r="AM404" s="57">
        <f t="shared" si="2228"/>
        <v>20.762517225539735</v>
      </c>
      <c r="AN404" s="9">
        <f t="shared" si="2202"/>
        <v>-0.18501045002255978</v>
      </c>
      <c r="AO404" s="57">
        <f t="shared" ref="AO404" si="2229">+AO397/AO391*100</f>
        <v>23.762376237623762</v>
      </c>
      <c r="AP404" s="9">
        <f t="shared" si="2203"/>
        <v>3.0964242921107257</v>
      </c>
      <c r="AQ404" s="91">
        <f>AO404</f>
        <v>23.762376237623762</v>
      </c>
      <c r="AR404" s="9">
        <f t="shared" si="2204"/>
        <v>13.354746845922037</v>
      </c>
      <c r="AS404" s="91">
        <f t="shared" si="2221"/>
        <v>23.762376237623762</v>
      </c>
      <c r="AT404" s="9">
        <f t="shared" si="2205"/>
        <v>12.553156955039782</v>
      </c>
      <c r="AU404" s="91">
        <f t="shared" si="2222"/>
        <v>23.762376237623762</v>
      </c>
      <c r="AV404" s="9">
        <f t="shared" si="2206"/>
        <v>14.448435994041859</v>
      </c>
      <c r="AW404" s="91">
        <f t="shared" si="2223"/>
        <v>23.762376237623762</v>
      </c>
      <c r="AX404" s="9">
        <f t="shared" si="2207"/>
        <v>0</v>
      </c>
      <c r="AY404" s="287"/>
      <c r="AZ404" s="59"/>
      <c r="BA404" s="9" t="str">
        <f>IF(ISERROR(#REF!/#REF!),"NA",IF(OR(#REF!/#REF!&gt;2,#REF!/#REF!&lt;0.5),"NM",#REF!/#REF!*100-100))</f>
        <v>NA</v>
      </c>
      <c r="BB404" s="57">
        <f>+BB397/BB391*100</f>
        <v>23.863789615643967</v>
      </c>
      <c r="BC404" s="9" t="str">
        <f>IF(ISERROR(BB404/#REF!),"NA",IF(OR(BB404/#REF!&gt;2,BB404/#REF!&lt;0.5),"NM",BB404/#REF!*100-100))</f>
        <v>NA</v>
      </c>
      <c r="BD404" s="911">
        <f>+BD397/BD391*100</f>
        <v>21.540665494562734</v>
      </c>
      <c r="BE404" s="9">
        <f t="shared" si="2183"/>
        <v>-9.7349337992751259</v>
      </c>
      <c r="BF404" s="57">
        <f>+BF397/BF391*100</f>
        <v>21.40268328352515</v>
      </c>
      <c r="BG404" s="9">
        <f t="shared" si="2183"/>
        <v>-0.6405661471899009</v>
      </c>
      <c r="BH404" s="57">
        <f>+BH397/BH391*100</f>
        <v>21.302502921099567</v>
      </c>
      <c r="BI404" s="9">
        <f t="shared" si="2183"/>
        <v>-0.4680738442861383</v>
      </c>
      <c r="BJ404" s="57">
        <f>+BJ397/BJ391*100</f>
        <v>21.652224147891395</v>
      </c>
      <c r="BK404" s="9">
        <f t="shared" si="2183"/>
        <v>1.6416907820040194</v>
      </c>
      <c r="BL404" s="57">
        <f>+BL397/BL391*100</f>
        <v>23.762376237623766</v>
      </c>
      <c r="BM404" s="9">
        <f t="shared" si="2183"/>
        <v>9.7456597313946958</v>
      </c>
      <c r="BN404" s="91">
        <f>BL404+0.2</f>
        <v>23.962376237623765</v>
      </c>
      <c r="BO404" s="9">
        <f t="shared" si="2183"/>
        <v>0.84166666666666856</v>
      </c>
      <c r="BP404" s="91">
        <f>BN404</f>
        <v>23.962376237623765</v>
      </c>
      <c r="BQ404" s="9">
        <f t="shared" si="2183"/>
        <v>0</v>
      </c>
      <c r="BR404" s="91">
        <f>BP404</f>
        <v>23.962376237623765</v>
      </c>
      <c r="BS404" s="9">
        <f t="shared" si="2183"/>
        <v>0</v>
      </c>
      <c r="BT404" s="91">
        <f>BR404</f>
        <v>23.962376237623765</v>
      </c>
      <c r="BU404" s="9">
        <f t="shared" si="2208"/>
        <v>0</v>
      </c>
      <c r="BV404" s="43">
        <f>IF(ISERROR(((BT404/BJ404)^0.2-1)*100),"NA",IF((((BT404/BJ404)^0.2-1)*100)&gt;100,"NM",IF((((BT404/BJ404)^0.2-1)*100)&lt;-50,"NM",((BT404/BJ404)^0.2-1)*100)))</f>
        <v>2.0482293663787843</v>
      </c>
      <c r="BW404" s="722"/>
      <c r="BX404" s="722"/>
      <c r="BY404"/>
      <c r="BZ404"/>
      <c r="CA404"/>
      <c r="CB404"/>
      <c r="CC404"/>
      <c r="CD404"/>
    </row>
    <row r="405" spans="1:83" s="2" customFormat="1" ht="12.75" customHeight="1" x14ac:dyDescent="0.2">
      <c r="A405" s="41"/>
      <c r="B405" s="62" t="s">
        <v>499</v>
      </c>
      <c r="C405" s="57"/>
      <c r="D405" s="57"/>
      <c r="E405" s="57"/>
      <c r="F405" s="57"/>
      <c r="G405" s="57"/>
      <c r="H405" s="57"/>
      <c r="I405" s="57">
        <f>I394/I389*100</f>
        <v>110.6430155210643</v>
      </c>
      <c r="J405" s="9" t="str">
        <f>IF(ISERROR(I405/#REF!),"NA",IF(OR(I405/#REF!&gt;2,I405/#REF!&lt;0.5),"NM",I405/#REF!*100-100))</f>
        <v>NA</v>
      </c>
      <c r="K405" s="57">
        <f t="shared" ref="K405:W405" si="2230">K394/K389*100</f>
        <v>121.31287297527706</v>
      </c>
      <c r="L405" s="9" t="str">
        <f t="shared" si="2196"/>
        <v>NA</v>
      </c>
      <c r="M405" s="57">
        <f t="shared" si="2230"/>
        <v>121.32987910189983</v>
      </c>
      <c r="N405" s="9" t="str">
        <f t="shared" si="2197"/>
        <v>NA</v>
      </c>
      <c r="O405" s="57">
        <f t="shared" si="2230"/>
        <v>64.115646258503418</v>
      </c>
      <c r="P405" s="9" t="str">
        <f t="shared" si="2198"/>
        <v>NA</v>
      </c>
      <c r="Q405" s="57">
        <f t="shared" si="2230"/>
        <v>112.59069568928723</v>
      </c>
      <c r="R405" s="43">
        <f t="shared" si="2127"/>
        <v>1.7603281680732294</v>
      </c>
      <c r="S405" s="57">
        <f t="shared" si="2230"/>
        <v>111.70298627925746</v>
      </c>
      <c r="T405" s="43">
        <f t="shared" si="2127"/>
        <v>-7.9215720972810999</v>
      </c>
      <c r="U405" s="57">
        <f t="shared" si="2230"/>
        <v>116.33333333333333</v>
      </c>
      <c r="V405" s="43">
        <f t="shared" si="2127"/>
        <v>-4.1181494661921789</v>
      </c>
      <c r="W405" s="57">
        <f t="shared" si="2230"/>
        <v>89.88294314381271</v>
      </c>
      <c r="X405" s="43">
        <f t="shared" si="2128"/>
        <v>40.188781348970451</v>
      </c>
      <c r="Y405" s="57">
        <f t="shared" ref="Y405:AA405" si="2231">Y394/Y389*100</f>
        <v>116.22751986616477</v>
      </c>
      <c r="Z405" s="43">
        <f t="shared" si="2129"/>
        <v>3.2301285240424704</v>
      </c>
      <c r="AA405" s="57">
        <f t="shared" si="2231"/>
        <v>108.4639498432602</v>
      </c>
      <c r="AB405" s="43">
        <f t="shared" si="2130"/>
        <v>-2.8996865203761644</v>
      </c>
      <c r="AC405" s="57">
        <f t="shared" ref="AC405:AE405" si="2232">AC394/AC389*100</f>
        <v>115.14547628537264</v>
      </c>
      <c r="AD405" s="43">
        <f t="shared" si="2131"/>
        <v>-1.0210805569862629</v>
      </c>
      <c r="AE405" s="57">
        <f t="shared" si="2232"/>
        <v>144.06639004149378</v>
      </c>
      <c r="AF405" s="43">
        <f t="shared" si="2132"/>
        <v>60.282234874071207</v>
      </c>
      <c r="AG405" s="57">
        <f t="shared" ref="AG405:AI405" si="2233">AG394/AG389*100</f>
        <v>115.06024096385543</v>
      </c>
      <c r="AH405" s="9">
        <f t="shared" si="2199"/>
        <v>-1.004305093710542</v>
      </c>
      <c r="AI405" s="57">
        <f t="shared" si="2233"/>
        <v>110.77777777777777</v>
      </c>
      <c r="AJ405" s="9">
        <f t="shared" si="2200"/>
        <v>2.1332691072575329</v>
      </c>
      <c r="AK405" s="57">
        <f t="shared" ref="AK405:AM405" si="2234">AK394/AK389*100</f>
        <v>112.6943005181347</v>
      </c>
      <c r="AL405" s="9">
        <f t="shared" si="2201"/>
        <v>-2.128764278296984</v>
      </c>
      <c r="AM405" s="57">
        <f t="shared" si="2234"/>
        <v>113.44046749452157</v>
      </c>
      <c r="AN405" s="9">
        <f t="shared" si="2202"/>
        <v>-21.258200846256628</v>
      </c>
      <c r="AO405" s="57">
        <f t="shared" ref="AO405" si="2235">AO394/AO389*100</f>
        <v>107.37979873276184</v>
      </c>
      <c r="AP405" s="9">
        <f t="shared" si="2203"/>
        <v>-6.675148745348352</v>
      </c>
      <c r="AQ405" s="57">
        <f t="shared" ref="AQ405:AW405" si="2236">AQ394/AQ389*100</f>
        <v>111.69101751770407</v>
      </c>
      <c r="AR405" s="9">
        <f t="shared" si="2204"/>
        <v>0.82438893273186409</v>
      </c>
      <c r="AS405" s="57">
        <f t="shared" si="2236"/>
        <v>110.88166231830043</v>
      </c>
      <c r="AT405" s="9">
        <f t="shared" si="2205"/>
        <v>-1.6084559658299469</v>
      </c>
      <c r="AU405" s="57">
        <f t="shared" si="2236"/>
        <v>109.66762951919493</v>
      </c>
      <c r="AV405" s="9">
        <f t="shared" si="2206"/>
        <v>-3.3258307715532283</v>
      </c>
      <c r="AW405" s="57">
        <f t="shared" si="2236"/>
        <v>108.85827431979126</v>
      </c>
      <c r="AX405" s="9">
        <f t="shared" si="2207"/>
        <v>1.3768656716417667</v>
      </c>
      <c r="AY405" s="287"/>
      <c r="AZ405" s="59"/>
      <c r="BA405" s="9"/>
      <c r="BB405" s="57">
        <f t="shared" ref="BB405" si="2237">BB394/BB389*100</f>
        <v>115.33458273619223</v>
      </c>
      <c r="BC405" s="9"/>
      <c r="BD405" s="911">
        <f t="shared" ref="BD405:BP405" si="2238">BD394/BD389*100</f>
        <v>104.75579779843964</v>
      </c>
      <c r="BE405" s="9"/>
      <c r="BF405" s="57">
        <f t="shared" si="2238"/>
        <v>108.57054135182693</v>
      </c>
      <c r="BG405" s="9"/>
      <c r="BH405" s="57">
        <f t="shared" si="2238"/>
        <v>120.40959742997693</v>
      </c>
      <c r="BI405" s="9"/>
      <c r="BJ405" s="57">
        <f t="shared" ref="BJ405" si="2239">BJ394/BJ389*100</f>
        <v>111.0874988450522</v>
      </c>
      <c r="BK405" s="9"/>
      <c r="BL405" s="57">
        <f t="shared" ref="BL405" si="2240">BL394/BL389*100</f>
        <v>110.26256623955946</v>
      </c>
      <c r="BM405" s="9"/>
      <c r="BN405" s="57">
        <f t="shared" si="2238"/>
        <v>110.58630831932095</v>
      </c>
      <c r="BO405" s="9"/>
      <c r="BP405" s="57">
        <f t="shared" si="2238"/>
        <v>111.07192143896312</v>
      </c>
      <c r="BQ405" s="9"/>
      <c r="BR405" s="57">
        <f t="shared" ref="BR405:BT405" si="2241">BR394/BR389*100</f>
        <v>111.39566351872459</v>
      </c>
      <c r="BS405" s="9"/>
      <c r="BT405" s="57">
        <f t="shared" si="2241"/>
        <v>111.71940559848605</v>
      </c>
      <c r="BU405" s="9"/>
      <c r="BV405" s="43"/>
      <c r="BW405" s="722"/>
      <c r="BX405" s="722"/>
      <c r="BY405"/>
      <c r="BZ405"/>
      <c r="CA405"/>
      <c r="CB405"/>
      <c r="CC405"/>
      <c r="CD405"/>
    </row>
    <row r="406" spans="1:83" s="2" customFormat="1" ht="12.75" customHeight="1" x14ac:dyDescent="0.2">
      <c r="A406" s="41"/>
      <c r="B406" s="7"/>
      <c r="C406" s="97"/>
      <c r="D406" s="9"/>
      <c r="E406" s="97"/>
      <c r="F406" s="9"/>
      <c r="G406" s="97"/>
      <c r="H406" s="9"/>
      <c r="I406" s="97"/>
      <c r="J406" s="9"/>
      <c r="K406" s="97"/>
      <c r="L406" s="9"/>
      <c r="M406" s="97"/>
      <c r="N406" s="9"/>
      <c r="O406" s="97"/>
      <c r="P406" s="43"/>
      <c r="Q406" s="97"/>
      <c r="R406" s="43"/>
      <c r="S406" s="97"/>
      <c r="T406" s="43"/>
      <c r="U406" s="97"/>
      <c r="V406" s="43"/>
      <c r="W406" s="97"/>
      <c r="X406" s="43"/>
      <c r="Y406" s="97"/>
      <c r="Z406" s="43"/>
      <c r="AA406" s="97"/>
      <c r="AB406" s="43"/>
      <c r="AC406" s="97"/>
      <c r="AD406" s="43"/>
      <c r="AE406" s="97"/>
      <c r="AF406" s="43"/>
      <c r="AG406" s="97"/>
      <c r="AH406" s="9"/>
      <c r="AI406" s="97"/>
      <c r="AJ406" s="9"/>
      <c r="AK406" s="97"/>
      <c r="AL406" s="9"/>
      <c r="AM406" s="97"/>
      <c r="AN406" s="9"/>
      <c r="AO406" s="97"/>
      <c r="AP406" s="9"/>
      <c r="AQ406" s="97"/>
      <c r="AR406" s="9"/>
      <c r="AS406" s="97"/>
      <c r="AT406" s="9"/>
      <c r="AU406" s="97"/>
      <c r="AV406" s="9"/>
      <c r="AW406" s="97"/>
      <c r="AX406" s="9"/>
      <c r="AY406" s="287"/>
      <c r="AZ406" s="15"/>
      <c r="BA406" s="9"/>
      <c r="BB406" s="97"/>
      <c r="BC406" s="9"/>
      <c r="BD406" s="936"/>
      <c r="BE406" s="9"/>
      <c r="BF406" s="97"/>
      <c r="BG406" s="9"/>
      <c r="BH406" s="97"/>
      <c r="BI406" s="9"/>
      <c r="BJ406" s="97"/>
      <c r="BK406" s="9"/>
      <c r="BL406" s="97"/>
      <c r="BM406" s="9"/>
      <c r="BN406" s="97"/>
      <c r="BO406" s="9"/>
      <c r="BP406" s="97"/>
      <c r="BQ406" s="9"/>
      <c r="BR406" s="97"/>
      <c r="BS406" s="9"/>
      <c r="BT406" s="97"/>
      <c r="BU406" s="9"/>
      <c r="BV406" s="722"/>
      <c r="BW406" s="722"/>
      <c r="BX406" s="722"/>
      <c r="BY406"/>
      <c r="BZ406"/>
      <c r="CA406"/>
      <c r="CB406"/>
      <c r="CC406"/>
      <c r="CD406"/>
    </row>
    <row r="407" spans="1:83" s="4" customFormat="1" ht="12.75" customHeight="1" x14ac:dyDescent="0.2">
      <c r="A407" s="66" t="s">
        <v>493</v>
      </c>
      <c r="B407" s="67" t="s">
        <v>485</v>
      </c>
      <c r="C407" s="695">
        <f>+C391-C398</f>
        <v>19.900000000000034</v>
      </c>
      <c r="D407" s="9" t="str">
        <f>IF(ISERROR(C407/#REF!),"NA",IF(OR(C407/#REF!&gt;2,C407/#REF!&lt;0.5),"NM",C407/#REF!*100-100))</f>
        <v>NA</v>
      </c>
      <c r="E407" s="695">
        <f>+E391-E398</f>
        <v>30.199999999999989</v>
      </c>
      <c r="F407" s="9" t="str">
        <f>IF(ISERROR(E407/#REF!),"NA",IF(OR(E407/#REF!&gt;2,E407/#REF!&lt;0.5),"NM",E407/#REF!*100-100))</f>
        <v>NA</v>
      </c>
      <c r="G407" s="695">
        <f>+G391-G398</f>
        <v>31.500000000000057</v>
      </c>
      <c r="H407" s="9" t="str">
        <f>IF(ISERROR(G407/#REF!),"NA",IF(OR(G407/#REF!&gt;2,G407/#REF!&lt;0.5),"NM",G407/#REF!*100-100))</f>
        <v>NA</v>
      </c>
      <c r="I407" s="695">
        <f>+I391-I398</f>
        <v>47.199999999999989</v>
      </c>
      <c r="J407" s="9" t="str">
        <f>IF(ISERROR(I407/#REF!),"NA",IF(OR(I407/#REF!&gt;2,I407/#REF!&lt;0.5),"NM",I407/#REF!*100-100))</f>
        <v>NA</v>
      </c>
      <c r="K407" s="695">
        <f>+K391-K398</f>
        <v>21.800000000000011</v>
      </c>
      <c r="L407" s="613">
        <f>IF(ISERROR(K407/C407),"NA",IF(OR(K407/C407&gt;2,K407/C407&lt;0.5),"NM",K407/C407*100-100))</f>
        <v>9.5477386934672097</v>
      </c>
      <c r="M407" s="695">
        <f>+M391-M398</f>
        <v>27.599999999999966</v>
      </c>
      <c r="N407" s="613">
        <f>IF(ISERROR(M407/E407),"NA",IF(OR(M407/E407&gt;2,M407/E407&lt;0.5),"NM",M407/E407*100-100))</f>
        <v>-8.6092715231788901</v>
      </c>
      <c r="O407" s="695">
        <f>+O391-O398</f>
        <v>76.499999999999943</v>
      </c>
      <c r="P407" s="43" t="str">
        <f t="shared" si="2127"/>
        <v>NM</v>
      </c>
      <c r="Q407" s="695">
        <f>+Q391-Q398</f>
        <v>39.000000000000057</v>
      </c>
      <c r="R407" s="43">
        <f t="shared" si="2127"/>
        <v>-17.372881355932066</v>
      </c>
      <c r="S407" s="695">
        <f>+S391-S398</f>
        <v>35.100000000000023</v>
      </c>
      <c r="T407" s="43">
        <f t="shared" si="2127"/>
        <v>61.009174311926643</v>
      </c>
      <c r="U407" s="695">
        <f>+U391-U398</f>
        <v>36.699999999999989</v>
      </c>
      <c r="V407" s="43">
        <f t="shared" si="2127"/>
        <v>32.971014492753739</v>
      </c>
      <c r="W407" s="695">
        <f>+W391-W398</f>
        <v>107.5</v>
      </c>
      <c r="X407" s="43">
        <f t="shared" si="2128"/>
        <v>40.522875816993576</v>
      </c>
      <c r="Y407" s="695">
        <f>+Y391-Y398</f>
        <v>29.800000000000011</v>
      </c>
      <c r="Z407" s="43">
        <f t="shared" si="2129"/>
        <v>-23.589743589743676</v>
      </c>
      <c r="AA407" s="695">
        <f>+AA391-AA398</f>
        <v>41.899999999999977</v>
      </c>
      <c r="AB407" s="43">
        <f t="shared" si="2130"/>
        <v>19.373219373219229</v>
      </c>
      <c r="AC407" s="695">
        <f>+AC391-AC398</f>
        <v>37.099999999999966</v>
      </c>
      <c r="AD407" s="43">
        <f t="shared" si="2131"/>
        <v>1.0899182561307157</v>
      </c>
      <c r="AE407" s="695">
        <f>+AE391-AE398</f>
        <v>-3.6999999999999318</v>
      </c>
      <c r="AF407" s="43" t="str">
        <f t="shared" si="2132"/>
        <v>NM</v>
      </c>
      <c r="AG407" s="695">
        <f>+AG391-AG398</f>
        <v>35</v>
      </c>
      <c r="AH407" s="9">
        <f>IF(ISERROR(AG407/Y407),"NA",IF(OR(AG407/Y407&gt;2,AG407/Y407&lt;0.5),"NM",AG407/Y407*100-100))</f>
        <v>17.449664429530159</v>
      </c>
      <c r="AI407" s="695">
        <f>+AI391-AI398</f>
        <v>40.699999999999989</v>
      </c>
      <c r="AJ407" s="9">
        <f t="shared" ref="AJ407:AJ410" si="2242">IF(ISERROR(AI407/AA407),"NA",IF(OR(AI407/AA407&gt;2,AI407/AA407&lt;0.5),"NM",AI407/AA407*100-100))</f>
        <v>-2.863961813842451</v>
      </c>
      <c r="AK407" s="695">
        <f>+AK391-AK398</f>
        <v>40.800000000000011</v>
      </c>
      <c r="AL407" s="9">
        <f t="shared" ref="AL407:AL410" si="2243">IF(ISERROR(AK407/AC407),"NA",IF(OR(AK407/AC407&gt;2,AK407/AC407&lt;0.5),"NM",AK407/AC407*100-100))</f>
        <v>9.9730458221025629</v>
      </c>
      <c r="AM407" s="695">
        <f>+AM391-AM398</f>
        <v>-0.60000000000002274</v>
      </c>
      <c r="AN407" s="9" t="str">
        <f t="shared" ref="AN407:AN410" si="2244">IF(ISERROR(AM407/AE407),"NA",IF(OR(AM407/AE407&gt;2,AM407/AE407&lt;0.5),"NM",AM407/AE407*100-100))</f>
        <v>NM</v>
      </c>
      <c r="AO407" s="695">
        <f>+AO391-AO398</f>
        <v>48.300000000000011</v>
      </c>
      <c r="AP407" s="9">
        <f t="shared" ref="AP407:AP410" si="2245">IF(ISERROR(AO407/AG407),"NA",IF(OR(AO407/AG407&gt;2,AO407/AG407&lt;0.5),"NM",AO407/AG407*100-100))</f>
        <v>38.000000000000028</v>
      </c>
      <c r="AQ407" s="656">
        <f t="shared" ref="AQ407:AW407" si="2246">+AQ391-AQ398</f>
        <v>37.100329999999985</v>
      </c>
      <c r="AR407" s="9">
        <f t="shared" ref="AR407:AR410" si="2247">IF(ISERROR(AQ407/AI407),"NA",IF(OR(AQ407/AI407&gt;2,AQ407/AI407&lt;0.5),"NM",AQ407/AI407*100-100))</f>
        <v>-8.8443980343980542</v>
      </c>
      <c r="AS407" s="656">
        <f t="shared" si="2246"/>
        <v>39.686480450000033</v>
      </c>
      <c r="AT407" s="9">
        <f t="shared" ref="AT407:AT410" si="2248">IF(ISERROR(AS407/AK407),"NA",IF(OR(AS407/AK407&gt;2,AS407/AK407&lt;0.5),"NM",AS407/AK407*100-100))</f>
        <v>-2.7292145833332881</v>
      </c>
      <c r="AU407" s="656">
        <f t="shared" si="2246"/>
        <v>43.439293186750035</v>
      </c>
      <c r="AV407" s="9" t="str">
        <f t="shared" ref="AV407:AV410" si="2249">IF(ISERROR(AU407/AM407),"NA",IF(OR(AU407/AM407&gt;2,AU407/AM407&lt;0.5),"NM",AU407/AM407*100-100))</f>
        <v>NM</v>
      </c>
      <c r="AW407" s="656">
        <f t="shared" si="2246"/>
        <v>46.13335772633252</v>
      </c>
      <c r="AX407" s="9">
        <f t="shared" ref="AX407:AX410" si="2250">IF(ISERROR(AW407/AO407),"NA",IF(OR(AW407/AO407&gt;2,AW407/AO407&lt;0.5),"NM",AW407/AO407*100-100))</f>
        <v>-4.4858018088353901</v>
      </c>
      <c r="AY407" s="287"/>
      <c r="AZ407" s="68"/>
      <c r="BA407" s="613" t="str">
        <f>IF(ISERROR(#REF!/#REF!),"NA",IF(OR(#REF!/#REF!&gt;2,#REF!/#REF!&lt;0.5),"NM",#REF!/#REF!*100-100))</f>
        <v>NA</v>
      </c>
      <c r="BB407" s="695">
        <f>+BB391-BB398</f>
        <v>128.80000000000018</v>
      </c>
      <c r="BC407" s="9" t="str">
        <f>IF(ISERROR(BB407/#REF!),"NA",IF(OR(BB407/#REF!&gt;2,BB407/#REF!&lt;0.5),"NM",BB407/#REF!*100-100))</f>
        <v>NA</v>
      </c>
      <c r="BD407" s="912">
        <f>+BD391-BD398</f>
        <v>164.90000000000009</v>
      </c>
      <c r="BE407" s="9">
        <f t="shared" ref="BE407:BS407" si="2251">IF(ISERROR(BD407/BB407),"NA",IF(OR(BD407/BB407&gt;2,BD407/BB407&lt;0.5),"NM",BD407/BB407*100-100))</f>
        <v>28.027950310558879</v>
      </c>
      <c r="BF407" s="695">
        <f>+BF391-BF398</f>
        <v>209.09999999999968</v>
      </c>
      <c r="BG407" s="9">
        <f t="shared" si="2251"/>
        <v>26.80412371133994</v>
      </c>
      <c r="BH407" s="695">
        <f>+BH391-BH398</f>
        <v>110.29999999999973</v>
      </c>
      <c r="BI407" s="9">
        <f t="shared" si="2251"/>
        <v>-47.250119560019179</v>
      </c>
      <c r="BJ407" s="695">
        <f>+BJ391-BJ398</f>
        <v>129.20000000000005</v>
      </c>
      <c r="BK407" s="9">
        <f t="shared" si="2251"/>
        <v>17.135086128740127</v>
      </c>
      <c r="BL407" s="695">
        <f>+BL391-BL398</f>
        <v>166.35946136308257</v>
      </c>
      <c r="BM407" s="9">
        <f t="shared" si="2251"/>
        <v>28.761193005481829</v>
      </c>
      <c r="BN407" s="695">
        <f>+BN391-BN398</f>
        <v>174.86614895248226</v>
      </c>
      <c r="BO407" s="9">
        <f t="shared" si="2251"/>
        <v>5.1134378049191298</v>
      </c>
      <c r="BP407" s="695">
        <f>+BP391-BP398</f>
        <v>176.08159040976625</v>
      </c>
      <c r="BQ407" s="9">
        <f t="shared" si="2251"/>
        <v>0.69506960870640455</v>
      </c>
      <c r="BR407" s="695">
        <f>+BR391-BR398</f>
        <v>179.1179389055917</v>
      </c>
      <c r="BS407" s="9">
        <f t="shared" si="2251"/>
        <v>1.7243986090535941</v>
      </c>
      <c r="BT407" s="695">
        <f>+BT391-BT398</f>
        <v>182.11546473642716</v>
      </c>
      <c r="BU407" s="9">
        <f t="shared" ref="BU407" si="2252">IF(ISERROR(BT407/BR407),"NA",IF(OR(BT407/BR407&gt;2,BT407/BR407&lt;0.5),"NM",BT407/BR407*100-100))</f>
        <v>1.6734928110217879</v>
      </c>
      <c r="BV407" s="162">
        <f>IF(ISERROR(((BT407/BJ407)^0.2-1)*100),"NA",IF((((BT407/BJ407)^0.2-1)*100)&gt;100,"NM",IF((((BT407/BJ407)^0.2-1)*100)&lt;-50,"NM",((BT407/BJ407)^0.2-1)*100)))</f>
        <v>7.1067551999950407</v>
      </c>
      <c r="BW407" s="176"/>
      <c r="BX407" s="176"/>
      <c r="BY407"/>
      <c r="BZ407"/>
      <c r="CA407"/>
      <c r="CB407"/>
      <c r="CC407"/>
      <c r="CD407"/>
    </row>
    <row r="408" spans="1:83" s="2" customFormat="1" ht="12.75" hidden="1" customHeight="1" outlineLevel="1" x14ac:dyDescent="0.2">
      <c r="A408" s="41"/>
      <c r="B408" s="62" t="s">
        <v>486</v>
      </c>
      <c r="C408" s="653">
        <v>5</v>
      </c>
      <c r="D408" s="9" t="str">
        <f>IF(ISERROR(C408/#REF!),"NA",IF(OR(C408/#REF!&gt;2,C408/#REF!&lt;0.5),"NM",C408/#REF!*100-100))</f>
        <v>NA</v>
      </c>
      <c r="E408" s="653">
        <v>8.6999999999999993</v>
      </c>
      <c r="F408" s="9" t="str">
        <f>IF(ISERROR(E408/#REF!),"NA",IF(OR(E408/#REF!&gt;2,E408/#REF!&lt;0.5),"NM",E408/#REF!*100-100))</f>
        <v>NA</v>
      </c>
      <c r="G408" s="653">
        <v>9.1999999999999993</v>
      </c>
      <c r="H408" s="9" t="str">
        <f>IF(ISERROR(G408/#REF!),"NA",IF(OR(G408/#REF!&gt;2,G408/#REF!&lt;0.5),"NM",G408/#REF!*100-100))</f>
        <v>NA</v>
      </c>
      <c r="I408" s="653">
        <v>14.6</v>
      </c>
      <c r="J408" s="9" t="str">
        <f>IF(ISERROR(I408/#REF!),"NA",IF(OR(I408/#REF!&gt;2,I408/#REF!&lt;0.5),"NM",I408/#REF!*100-100))</f>
        <v>NA</v>
      </c>
      <c r="K408" s="653">
        <v>4.5</v>
      </c>
      <c r="L408" s="9">
        <f>IF(ISERROR(K408/C408),"NA",IF(OR(K408/C408&gt;2,K408/C408&lt;0.5),"NM",K408/C408*100-100))</f>
        <v>-10</v>
      </c>
      <c r="M408" s="653">
        <v>7.6</v>
      </c>
      <c r="N408" s="9">
        <f>IF(ISERROR(M408/E408),"NA",IF(OR(M408/E408&gt;2,M408/E408&lt;0.5),"NM",M408/E408*100-100))</f>
        <v>-12.643678160919535</v>
      </c>
      <c r="O408" s="653">
        <v>24.3</v>
      </c>
      <c r="P408" s="43" t="str">
        <f t="shared" si="2127"/>
        <v>NM</v>
      </c>
      <c r="Q408" s="653">
        <v>11.4</v>
      </c>
      <c r="R408" s="43">
        <f t="shared" si="2127"/>
        <v>-21.917808219178085</v>
      </c>
      <c r="S408" s="653">
        <v>9.6</v>
      </c>
      <c r="T408" s="43" t="str">
        <f t="shared" si="2127"/>
        <v>NM</v>
      </c>
      <c r="U408" s="653">
        <v>10.4</v>
      </c>
      <c r="V408" s="43">
        <f t="shared" si="2127"/>
        <v>36.84210526315789</v>
      </c>
      <c r="W408" s="653">
        <v>34.6</v>
      </c>
      <c r="X408" s="43">
        <f t="shared" si="2128"/>
        <v>42.386831275720169</v>
      </c>
      <c r="Y408" s="653">
        <v>34.6</v>
      </c>
      <c r="Z408" s="43" t="str">
        <f t="shared" si="2129"/>
        <v>NM</v>
      </c>
      <c r="AA408" s="653">
        <v>34.6</v>
      </c>
      <c r="AB408" s="43" t="str">
        <f t="shared" si="2130"/>
        <v>NM</v>
      </c>
      <c r="AC408" s="653">
        <v>34.6</v>
      </c>
      <c r="AD408" s="43" t="str">
        <f t="shared" si="2131"/>
        <v>NM</v>
      </c>
      <c r="AE408" s="653">
        <v>34.6</v>
      </c>
      <c r="AF408" s="43">
        <f t="shared" si="2132"/>
        <v>0</v>
      </c>
      <c r="AG408" s="653">
        <v>34.6</v>
      </c>
      <c r="AH408" s="9">
        <f>IF(ISERROR(AG408/Y408),"NA",IF(OR(AG408/Y408&gt;2,AG408/Y408&lt;0.5),"NM",AG408/Y408*100-100))</f>
        <v>0</v>
      </c>
      <c r="AI408" s="653">
        <v>34.6</v>
      </c>
      <c r="AJ408" s="9">
        <f t="shared" si="2242"/>
        <v>0</v>
      </c>
      <c r="AK408" s="653">
        <v>34.6</v>
      </c>
      <c r="AL408" s="9">
        <f t="shared" si="2243"/>
        <v>0</v>
      </c>
      <c r="AM408" s="653">
        <v>34.6</v>
      </c>
      <c r="AN408" s="9">
        <f t="shared" si="2244"/>
        <v>0</v>
      </c>
      <c r="AO408" s="653">
        <v>34.6</v>
      </c>
      <c r="AP408" s="9">
        <f t="shared" si="2245"/>
        <v>0</v>
      </c>
      <c r="AQ408" s="691"/>
      <c r="AR408" s="9" t="str">
        <f t="shared" si="2247"/>
        <v>NM</v>
      </c>
      <c r="AS408" s="691"/>
      <c r="AT408" s="9" t="str">
        <f t="shared" si="2248"/>
        <v>NM</v>
      </c>
      <c r="AU408" s="691"/>
      <c r="AV408" s="9" t="str">
        <f t="shared" si="2249"/>
        <v>NM</v>
      </c>
      <c r="AW408" s="691"/>
      <c r="AX408" s="9" t="str">
        <f t="shared" si="2250"/>
        <v>NM</v>
      </c>
      <c r="AY408" s="287"/>
      <c r="AZ408" s="64"/>
      <c r="BA408" s="9"/>
      <c r="BB408" s="691"/>
      <c r="BC408" s="9"/>
      <c r="BD408" s="930"/>
      <c r="BE408" s="9"/>
      <c r="BF408" s="691"/>
      <c r="BG408" s="9"/>
      <c r="BH408" s="691"/>
      <c r="BI408" s="9"/>
      <c r="BJ408" s="691"/>
      <c r="BK408" s="9"/>
      <c r="BL408" s="691"/>
      <c r="BM408" s="9"/>
      <c r="BN408" s="691"/>
      <c r="BO408" s="9"/>
      <c r="BP408" s="691"/>
      <c r="BQ408" s="9"/>
      <c r="BR408" s="691"/>
      <c r="BS408" s="9"/>
      <c r="BT408" s="691"/>
      <c r="BU408" s="9"/>
      <c r="BV408" s="43"/>
      <c r="BW408" s="722"/>
      <c r="BX408" s="722"/>
      <c r="BY408"/>
      <c r="BZ408"/>
      <c r="CA408"/>
      <c r="CB408"/>
      <c r="CC408"/>
      <c r="CD408"/>
    </row>
    <row r="409" spans="1:83" s="2" customFormat="1" ht="12.75" hidden="1" customHeight="1" outlineLevel="1" x14ac:dyDescent="0.2">
      <c r="A409" s="41"/>
      <c r="B409" s="62" t="s">
        <v>207</v>
      </c>
      <c r="C409" s="651">
        <f>IF(ISERROR(C408/C407),"NA",IF((C408/C407)&gt;1,"NM",IF((C408/C407)&lt;0,"NM",(C408/C407*100))))</f>
        <v>25.125628140703476</v>
      </c>
      <c r="D409" s="9" t="str">
        <f>IF(ISERROR(C409/#REF!),"NA",IF(OR(C409/#REF!&gt;2,C409/#REF!&lt;0.5),"NM",C409/#REF!*100-100))</f>
        <v>NA</v>
      </c>
      <c r="E409" s="651">
        <f>IF(ISERROR(E408/E407),"NA",IF((E408/E407)&gt;1,"NM",IF((E408/E407)&lt;0,"NM",(E408/E407*100))))</f>
        <v>28.807947019867559</v>
      </c>
      <c r="F409" s="9" t="str">
        <f>IF(ISERROR(E409/#REF!),"NA",IF(OR(E409/#REF!&gt;2,E409/#REF!&lt;0.5),"NM",E409/#REF!*100-100))</f>
        <v>NA</v>
      </c>
      <c r="G409" s="651">
        <f>IF(ISERROR(G408/G407),"NA",IF((G408/G407)&gt;1,"NM",IF((G408/G407)&lt;0,"NM",(G408/G407*100))))</f>
        <v>29.206349206349152</v>
      </c>
      <c r="H409" s="9" t="str">
        <f>IF(ISERROR(G409/#REF!),"NA",IF(OR(G409/#REF!&gt;2,G409/#REF!&lt;0.5),"NM",G409/#REF!*100-100))</f>
        <v>NA</v>
      </c>
      <c r="I409" s="651">
        <f>IF(ISERROR(I408/I407),"NA",IF((I408/I407)&gt;1,"NM",IF((I408/I407)&lt;0,"NM",(I408/I407*100))))</f>
        <v>30.932203389830516</v>
      </c>
      <c r="J409" s="9" t="str">
        <f>IF(ISERROR(I409/#REF!),"NA",IF(OR(I409/#REF!&gt;2,I409/#REF!&lt;0.5),"NM",I409/#REF!*100-100))</f>
        <v>NA</v>
      </c>
      <c r="K409" s="651">
        <f>IF(ISERROR(K408/K407),"NA",IF((K408/K407)&gt;1,"NM",IF((K408/K407)&lt;0,"NM",(K408/K407*100))))</f>
        <v>20.642201834862377</v>
      </c>
      <c r="L409" s="9">
        <f>IF(ISERROR(K409/C409),"NA",IF(OR(K409/C409&gt;2,K409/C409&lt;0.5),"NM",K409/C409*100-100))</f>
        <v>-17.844036697247617</v>
      </c>
      <c r="M409" s="651">
        <f>IF(ISERROR(M408/M407),"NA",IF((M408/M407)&gt;1,"NM",IF((M408/M407)&lt;0,"NM",(M408/M407*100))))</f>
        <v>27.536231884058004</v>
      </c>
      <c r="N409" s="9">
        <f>IF(ISERROR(M409/E409),"NA",IF(OR(M409/E409&gt;2,M409/E409&lt;0.5),"NM",M409/E409*100-100))</f>
        <v>-4.4144594369481069</v>
      </c>
      <c r="O409" s="651">
        <f>IF(ISERROR(O408/O407),"NA",IF((O408/O407)&gt;1,"NM",IF((O408/O407)&lt;0,"NM",(O408/O407*100))))</f>
        <v>31.764705882352967</v>
      </c>
      <c r="P409" s="43">
        <f t="shared" si="2127"/>
        <v>8.7595907928391625</v>
      </c>
      <c r="Q409" s="651">
        <f>IF(ISERROR(Q408/Q407),"NA",IF((Q408/Q407)&gt;1,"NM",IF((Q408/Q407)&lt;0,"NM",(Q408/Q407*100))))</f>
        <v>29.230769230769187</v>
      </c>
      <c r="R409" s="43">
        <f t="shared" si="2127"/>
        <v>-5.500526870390047</v>
      </c>
      <c r="S409" s="651">
        <f>IF(ISERROR(S408/S407),"NA",IF((S408/S407)&gt;1,"NM",IF((S408/S407)&lt;0,"NM",(S408/S407*100))))</f>
        <v>27.350427350427331</v>
      </c>
      <c r="T409" s="43">
        <f t="shared" si="2127"/>
        <v>32.497625830959123</v>
      </c>
      <c r="U409" s="651">
        <f>IF(ISERROR(U408/U407),"NA",IF((U408/U407)&gt;1,"NM",IF((U408/U407)&lt;0,"NM",(U408/U407*100))))</f>
        <v>28.337874659400551</v>
      </c>
      <c r="V409" s="43">
        <f t="shared" si="2127"/>
        <v>2.9112290262439871</v>
      </c>
      <c r="W409" s="651">
        <f t="shared" ref="W409:Y409" si="2253">IF(ISERROR(W408/W407),"NA",IF((W408/W407)&gt;1,"NM",IF((W408/W407)&lt;0,"NM",(W408/W407*100))))</f>
        <v>32.186046511627907</v>
      </c>
      <c r="X409" s="43">
        <f t="shared" si="2128"/>
        <v>1.32644272179148</v>
      </c>
      <c r="Y409" s="651" t="str">
        <f t="shared" si="2253"/>
        <v>NM</v>
      </c>
      <c r="Z409" s="43" t="str">
        <f t="shared" si="2129"/>
        <v>NA</v>
      </c>
      <c r="AA409" s="651">
        <f t="shared" ref="AA409:AC409" si="2254">IF(ISERROR(AA408/AA407),"NA",IF((AA408/AA407)&gt;1,"NM",IF((AA408/AA407)&lt;0,"NM",(AA408/AA407*100))))</f>
        <v>82.577565632458288</v>
      </c>
      <c r="AB409" s="43" t="str">
        <f t="shared" si="2130"/>
        <v>NM</v>
      </c>
      <c r="AC409" s="651">
        <f t="shared" si="2254"/>
        <v>93.261455525606564</v>
      </c>
      <c r="AD409" s="43" t="str">
        <f t="shared" si="2131"/>
        <v>NM</v>
      </c>
      <c r="AE409" s="651" t="str">
        <f t="shared" ref="AE409:AG409" si="2255">IF(ISERROR(AE408/AE407),"NA",IF((AE408/AE407)&gt;1,"NM",IF((AE408/AE407)&lt;0,"NM",(AE408/AE407*100))))</f>
        <v>NM</v>
      </c>
      <c r="AF409" s="43" t="str">
        <f t="shared" si="2132"/>
        <v>NA</v>
      </c>
      <c r="AG409" s="651">
        <f t="shared" si="2255"/>
        <v>98.857142857142861</v>
      </c>
      <c r="AH409" s="9" t="str">
        <f>IF(ISERROR(AG409/Y409),"NA",IF(OR(AG409/Y409&gt;2,AG409/Y409&lt;0.5),"NM",AG409/Y409*100-100))</f>
        <v>NA</v>
      </c>
      <c r="AI409" s="651">
        <f t="shared" ref="AI409:AK409" si="2256">IF(ISERROR(AI408/AI407),"NA",IF((AI408/AI407)&gt;1,"NM",IF((AI408/AI407)&lt;0,"NM",(AI408/AI407*100))))</f>
        <v>85.012285012285034</v>
      </c>
      <c r="AJ409" s="9">
        <f t="shared" si="2242"/>
        <v>2.9484029484029008</v>
      </c>
      <c r="AK409" s="651">
        <f t="shared" si="2256"/>
        <v>84.80392156862743</v>
      </c>
      <c r="AL409" s="9">
        <f t="shared" si="2243"/>
        <v>-9.0686274509805003</v>
      </c>
      <c r="AM409" s="651" t="str">
        <f t="shared" ref="AM409:AO409" si="2257">IF(ISERROR(AM408/AM407),"NA",IF((AM408/AM407)&gt;1,"NM",IF((AM408/AM407)&lt;0,"NM",(AM408/AM407*100))))</f>
        <v>NM</v>
      </c>
      <c r="AN409" s="9" t="str">
        <f t="shared" si="2244"/>
        <v>NA</v>
      </c>
      <c r="AO409" s="651">
        <f t="shared" si="2257"/>
        <v>71.635610766045531</v>
      </c>
      <c r="AP409" s="9">
        <f t="shared" si="2245"/>
        <v>-27.536231884057997</v>
      </c>
      <c r="AQ409" s="78"/>
      <c r="AR409" s="9" t="str">
        <f t="shared" si="2247"/>
        <v>NM</v>
      </c>
      <c r="AS409" s="78"/>
      <c r="AT409" s="9" t="str">
        <f t="shared" si="2248"/>
        <v>NM</v>
      </c>
      <c r="AU409" s="78"/>
      <c r="AV409" s="9" t="str">
        <f t="shared" si="2249"/>
        <v>NA</v>
      </c>
      <c r="AW409" s="78"/>
      <c r="AX409" s="9" t="str">
        <f t="shared" si="2250"/>
        <v>NM</v>
      </c>
      <c r="AY409" s="287"/>
      <c r="AZ409" s="15"/>
      <c r="BA409" s="9"/>
      <c r="BB409" s="651"/>
      <c r="BC409" s="9"/>
      <c r="BD409" s="937"/>
      <c r="BE409" s="9"/>
      <c r="BF409" s="651"/>
      <c r="BG409" s="9"/>
      <c r="BH409" s="651"/>
      <c r="BI409" s="9"/>
      <c r="BJ409" s="651"/>
      <c r="BK409" s="9"/>
      <c r="BL409" s="651"/>
      <c r="BM409" s="9"/>
      <c r="BN409" s="78"/>
      <c r="BO409" s="9"/>
      <c r="BP409" s="78"/>
      <c r="BQ409" s="9"/>
      <c r="BR409" s="78"/>
      <c r="BS409" s="9"/>
      <c r="BT409" s="78"/>
      <c r="BU409" s="9"/>
      <c r="BV409" s="43"/>
      <c r="BW409" s="722"/>
      <c r="BX409" s="722"/>
      <c r="BY409"/>
      <c r="BZ409"/>
      <c r="CA409"/>
      <c r="CB409"/>
      <c r="CC409"/>
      <c r="CD409"/>
    </row>
    <row r="410" spans="1:83" s="2" customFormat="1" ht="12.75" hidden="1" customHeight="1" outlineLevel="1" x14ac:dyDescent="0.2">
      <c r="A410" s="66" t="s">
        <v>223</v>
      </c>
      <c r="B410" s="67" t="s">
        <v>411</v>
      </c>
      <c r="C410" s="695">
        <f>+C407-C408</f>
        <v>14.900000000000034</v>
      </c>
      <c r="D410" s="9" t="str">
        <f>IF(ISERROR(C410/#REF!),"NA",IF(OR(C410/#REF!&gt;2,C410/#REF!&lt;0.5),"NM",C410/#REF!*100-100))</f>
        <v>NA</v>
      </c>
      <c r="E410" s="695">
        <f>+E407-E408</f>
        <v>21.499999999999989</v>
      </c>
      <c r="F410" s="9" t="str">
        <f>IF(ISERROR(E410/#REF!),"NA",IF(OR(E410/#REF!&gt;2,E410/#REF!&lt;0.5),"NM",E410/#REF!*100-100))</f>
        <v>NA</v>
      </c>
      <c r="G410" s="695">
        <f>+G407-G408</f>
        <v>22.300000000000058</v>
      </c>
      <c r="H410" s="9" t="str">
        <f>IF(ISERROR(G410/#REF!),"NA",IF(OR(G410/#REF!&gt;2,G410/#REF!&lt;0.5),"NM",G410/#REF!*100-100))</f>
        <v>NA</v>
      </c>
      <c r="I410" s="695">
        <f>+I407-I408</f>
        <v>32.599999999999987</v>
      </c>
      <c r="J410" s="9" t="str">
        <f>IF(ISERROR(I410/#REF!),"NA",IF(OR(I410/#REF!&gt;2,I410/#REF!&lt;0.5),"NM",I410/#REF!*100-100))</f>
        <v>NA</v>
      </c>
      <c r="K410" s="695">
        <f>+K407-K408</f>
        <v>17.300000000000011</v>
      </c>
      <c r="L410" s="9">
        <f>IF(ISERROR(K410/C410),"NA",IF(OR(K410/C410&gt;2,K410/C410&lt;0.5),"NM",K410/C410*100-100))</f>
        <v>16.107382550335387</v>
      </c>
      <c r="M410" s="695">
        <f>+M407-M408</f>
        <v>19.999999999999964</v>
      </c>
      <c r="N410" s="9">
        <f>IF(ISERROR(M410/E410),"NA",IF(OR(M410/E410&gt;2,M410/E410&lt;0.5),"NM",M410/E410*100-100))</f>
        <v>-6.9767441860466306</v>
      </c>
      <c r="O410" s="695">
        <f>+O407-O408</f>
        <v>52.199999999999946</v>
      </c>
      <c r="P410" s="43" t="str">
        <f t="shared" si="2127"/>
        <v>NM</v>
      </c>
      <c r="Q410" s="695">
        <f>+Q407-Q408</f>
        <v>27.600000000000058</v>
      </c>
      <c r="R410" s="43">
        <f t="shared" si="2127"/>
        <v>-15.337423312883232</v>
      </c>
      <c r="S410" s="695">
        <f>+S407-S408</f>
        <v>25.500000000000021</v>
      </c>
      <c r="T410" s="43">
        <f t="shared" si="2127"/>
        <v>47.398843930635877</v>
      </c>
      <c r="U410" s="695">
        <f>+U407-U408</f>
        <v>26.29999999999999</v>
      </c>
      <c r="V410" s="43">
        <f t="shared" si="2127"/>
        <v>31.500000000000199</v>
      </c>
      <c r="W410" s="696">
        <f t="shared" ref="W410:Y410" si="2258">+W407-W408</f>
        <v>72.900000000000006</v>
      </c>
      <c r="X410" s="43">
        <f t="shared" si="2128"/>
        <v>39.655172413793252</v>
      </c>
      <c r="Y410" s="696">
        <f t="shared" si="2258"/>
        <v>-4.7999999999999901</v>
      </c>
      <c r="Z410" s="43" t="str">
        <f t="shared" si="2129"/>
        <v>NM</v>
      </c>
      <c r="AA410" s="696">
        <f t="shared" ref="AA410:AC410" si="2259">+AA407-AA408</f>
        <v>7.2999999999999758</v>
      </c>
      <c r="AB410" s="43" t="str">
        <f t="shared" si="2130"/>
        <v>NM</v>
      </c>
      <c r="AC410" s="696">
        <f t="shared" si="2259"/>
        <v>2.4999999999999645</v>
      </c>
      <c r="AD410" s="43" t="str">
        <f t="shared" si="2131"/>
        <v>NM</v>
      </c>
      <c r="AE410" s="696">
        <f t="shared" ref="AE410:AG410" si="2260">+AE407-AE408</f>
        <v>-38.299999999999933</v>
      </c>
      <c r="AF410" s="43" t="str">
        <f t="shared" si="2132"/>
        <v>NM</v>
      </c>
      <c r="AG410" s="696">
        <f t="shared" si="2260"/>
        <v>0.39999999999999858</v>
      </c>
      <c r="AH410" s="9" t="str">
        <f>IF(ISERROR(AG410/Y410),"NA",IF(OR(AG410/Y410&gt;2,AG410/Y410&lt;0.5),"NM",AG410/Y410*100-100))</f>
        <v>NM</v>
      </c>
      <c r="AI410" s="696">
        <f t="shared" ref="AI410:AK410" si="2261">+AI407-AI408</f>
        <v>6.0999999999999872</v>
      </c>
      <c r="AJ410" s="9">
        <f t="shared" si="2242"/>
        <v>-16.438356164383464</v>
      </c>
      <c r="AK410" s="696">
        <f t="shared" si="2261"/>
        <v>6.2000000000000099</v>
      </c>
      <c r="AL410" s="9" t="str">
        <f t="shared" si="2243"/>
        <v>NM</v>
      </c>
      <c r="AM410" s="696">
        <f t="shared" ref="AM410:AO410" si="2262">+AM407-AM408</f>
        <v>-35.200000000000024</v>
      </c>
      <c r="AN410" s="9">
        <f t="shared" si="2244"/>
        <v>-8.0939947780676533</v>
      </c>
      <c r="AO410" s="696">
        <f t="shared" si="2262"/>
        <v>13.70000000000001</v>
      </c>
      <c r="AP410" s="9" t="str">
        <f t="shared" si="2245"/>
        <v>NM</v>
      </c>
      <c r="AQ410" s="695"/>
      <c r="AR410" s="9" t="str">
        <f t="shared" si="2247"/>
        <v>NM</v>
      </c>
      <c r="AS410" s="695"/>
      <c r="AT410" s="9" t="str">
        <f t="shared" si="2248"/>
        <v>NM</v>
      </c>
      <c r="AU410" s="695"/>
      <c r="AV410" s="9" t="str">
        <f t="shared" si="2249"/>
        <v>NM</v>
      </c>
      <c r="AW410" s="695"/>
      <c r="AX410" s="9" t="str">
        <f t="shared" si="2250"/>
        <v>NM</v>
      </c>
      <c r="AY410" s="287"/>
      <c r="AZ410" s="68"/>
      <c r="BA410" s="9"/>
      <c r="BB410" s="695"/>
      <c r="BC410" s="9"/>
      <c r="BD410" s="912"/>
      <c r="BE410" s="9"/>
      <c r="BF410" s="695"/>
      <c r="BG410" s="9"/>
      <c r="BH410" s="695"/>
      <c r="BI410" s="9"/>
      <c r="BJ410" s="695"/>
      <c r="BK410" s="9"/>
      <c r="BL410" s="695"/>
      <c r="BM410" s="9"/>
      <c r="BN410" s="695"/>
      <c r="BO410" s="9"/>
      <c r="BP410" s="695"/>
      <c r="BQ410" s="9"/>
      <c r="BR410" s="695"/>
      <c r="BS410" s="9"/>
      <c r="BT410" s="695"/>
      <c r="BU410" s="9"/>
      <c r="BV410" s="43"/>
      <c r="BW410" s="722"/>
      <c r="BX410" s="722"/>
      <c r="BY410"/>
      <c r="BZ410"/>
      <c r="CA410"/>
      <c r="CB410"/>
      <c r="CC410"/>
      <c r="CD410"/>
    </row>
    <row r="411" spans="1:83" s="2" customFormat="1" ht="12.75" customHeight="1" collapsed="1" x14ac:dyDescent="0.2">
      <c r="A411" s="66"/>
      <c r="B411" s="67"/>
      <c r="C411" s="696"/>
      <c r="D411" s="9"/>
      <c r="E411" s="696"/>
      <c r="F411" s="9"/>
      <c r="G411" s="696"/>
      <c r="H411" s="9"/>
      <c r="I411" s="696"/>
      <c r="J411" s="9"/>
      <c r="K411" s="696"/>
      <c r="L411" s="9"/>
      <c r="M411" s="696"/>
      <c r="N411" s="9"/>
      <c r="O411" s="696"/>
      <c r="P411" s="43"/>
      <c r="Q411" s="696"/>
      <c r="R411" s="43"/>
      <c r="S411" s="696"/>
      <c r="T411" s="43"/>
      <c r="U411" s="696"/>
      <c r="V411" s="43"/>
      <c r="W411" s="696"/>
      <c r="X411" s="43"/>
      <c r="Y411" s="696"/>
      <c r="Z411" s="43"/>
      <c r="AA411" s="696"/>
      <c r="AB411" s="43"/>
      <c r="AC411" s="696"/>
      <c r="AD411" s="43"/>
      <c r="AE411" s="696"/>
      <c r="AF411" s="43"/>
      <c r="AG411" s="696"/>
      <c r="AH411" s="9"/>
      <c r="AI411" s="696"/>
      <c r="AJ411" s="9"/>
      <c r="AK411" s="696"/>
      <c r="AL411" s="9"/>
      <c r="AM411" s="696"/>
      <c r="AN411" s="9"/>
      <c r="AO411" s="696"/>
      <c r="AP411" s="9"/>
      <c r="AQ411" s="696"/>
      <c r="AR411" s="9"/>
      <c r="AS411" s="696"/>
      <c r="AT411" s="9"/>
      <c r="AU411" s="696"/>
      <c r="AV411" s="9"/>
      <c r="AW411" s="696"/>
      <c r="AX411" s="9"/>
      <c r="AY411" s="287"/>
      <c r="AZ411" s="79"/>
      <c r="BA411" s="9"/>
      <c r="BB411" s="696"/>
      <c r="BC411" s="9"/>
      <c r="BD411" s="923"/>
      <c r="BE411" s="9"/>
      <c r="BF411" s="696"/>
      <c r="BG411" s="9"/>
      <c r="BH411" s="696"/>
      <c r="BI411" s="9"/>
      <c r="BJ411" s="696"/>
      <c r="BK411" s="9"/>
      <c r="BL411" s="696"/>
      <c r="BM411" s="9"/>
      <c r="BN411" s="696"/>
      <c r="BO411" s="9"/>
      <c r="BP411" s="696"/>
      <c r="BQ411" s="9"/>
      <c r="BR411" s="696"/>
      <c r="BS411" s="9"/>
      <c r="BT411" s="696"/>
      <c r="BU411" s="9"/>
      <c r="BV411" s="722"/>
      <c r="BW411" s="722"/>
      <c r="BX411" s="722"/>
      <c r="BY411"/>
      <c r="BZ411"/>
      <c r="CA411"/>
      <c r="CB411"/>
      <c r="CC411"/>
      <c r="CD411"/>
    </row>
    <row r="412" spans="1:83" s="7" customFormat="1" ht="12.75" customHeight="1" x14ac:dyDescent="0.2">
      <c r="A412" s="80"/>
      <c r="B412" s="62" t="s">
        <v>59</v>
      </c>
      <c r="C412" s="132">
        <v>0</v>
      </c>
      <c r="D412" s="9" t="str">
        <f>IF(ISERROR(C412/#REF!),"NA",IF(OR(C412/#REF!&gt;2,C412/#REF!&lt;0.5),"NM",C412/#REF!*100-100))</f>
        <v>NA</v>
      </c>
      <c r="E412" s="132">
        <v>0</v>
      </c>
      <c r="F412" s="9" t="str">
        <f>IF(ISERROR(E412/#REF!),"NA",IF(OR(E412/#REF!&gt;2,E412/#REF!&lt;0.5),"NM",E412/#REF!*100-100))</f>
        <v>NA</v>
      </c>
      <c r="G412" s="132">
        <v>0</v>
      </c>
      <c r="H412" s="9" t="str">
        <f>IF(ISERROR(G412/#REF!),"NA",IF(OR(G412/#REF!&gt;2,G412/#REF!&lt;0.5),"NM",G412/#REF!*100-100))</f>
        <v>NA</v>
      </c>
      <c r="I412" s="132">
        <f>3/0.65</f>
        <v>4.615384615384615</v>
      </c>
      <c r="J412" s="9" t="str">
        <f>IF(ISERROR(I412/#REF!),"NA",IF(OR(I412/#REF!&gt;2,I412/#REF!&lt;0.5),"NM",I412/#REF!*100-100))</f>
        <v>NA</v>
      </c>
      <c r="K412" s="132">
        <v>0</v>
      </c>
      <c r="L412" s="9" t="str">
        <f>IF(ISERROR(K412/C412),"NA",IF(OR(K412/C412&gt;2,K412/C412&lt;0.5),"NM",K412/C412*100-100))</f>
        <v>NA</v>
      </c>
      <c r="M412" s="132">
        <v>0</v>
      </c>
      <c r="N412" s="9" t="str">
        <f t="shared" ref="N412" si="2263">IF(ISERROR(M412/E412),"NA",IF(OR(M412/E412&gt;2,M412/E412&lt;0.5),"NM",M412/E412*100-100))</f>
        <v>NA</v>
      </c>
      <c r="O412" s="132">
        <f>39/0.65</f>
        <v>60</v>
      </c>
      <c r="P412" s="43" t="str">
        <f t="shared" si="2127"/>
        <v>NA</v>
      </c>
      <c r="Q412" s="132">
        <v>0</v>
      </c>
      <c r="R412" s="43" t="str">
        <f t="shared" si="2127"/>
        <v>NM</v>
      </c>
      <c r="S412" s="132">
        <v>0</v>
      </c>
      <c r="T412" s="43" t="str">
        <f t="shared" si="2127"/>
        <v>NA</v>
      </c>
      <c r="U412" s="132">
        <v>0</v>
      </c>
      <c r="V412" s="43" t="str">
        <f t="shared" si="2127"/>
        <v>NA</v>
      </c>
      <c r="W412" s="132">
        <f>42.4/0.65</f>
        <v>65.230769230769226</v>
      </c>
      <c r="X412" s="43">
        <f t="shared" si="2128"/>
        <v>8.7179487179487154</v>
      </c>
      <c r="Y412" s="132">
        <v>0</v>
      </c>
      <c r="Z412" s="43" t="str">
        <f t="shared" si="2129"/>
        <v>NA</v>
      </c>
      <c r="AA412" s="132">
        <v>0</v>
      </c>
      <c r="AB412" s="43" t="str">
        <f t="shared" si="2130"/>
        <v>NA</v>
      </c>
      <c r="AC412" s="132">
        <v>0</v>
      </c>
      <c r="AD412" s="43" t="str">
        <f t="shared" si="2131"/>
        <v>NA</v>
      </c>
      <c r="AE412" s="132">
        <v>-43.2</v>
      </c>
      <c r="AF412" s="43" t="str">
        <f t="shared" si="2132"/>
        <v>NM</v>
      </c>
      <c r="AG412" s="132">
        <v>0</v>
      </c>
      <c r="AH412" s="9" t="str">
        <f>IF(ISERROR(AG412/Y412),"NA",IF(OR(AG412/Y412&gt;2,AG412/Y412&lt;0.5),"NM",AG412/Y412*100-100))</f>
        <v>NA</v>
      </c>
      <c r="AI412" s="132">
        <v>0</v>
      </c>
      <c r="AJ412" s="9" t="str">
        <f t="shared" ref="AJ412:AJ414" si="2264">IF(ISERROR(AI412/AA412),"NA",IF(OR(AI412/AA412&gt;2,AI412/AA412&lt;0.5),"NM",AI412/AA412*100-100))</f>
        <v>NA</v>
      </c>
      <c r="AK412" s="132">
        <v>3</v>
      </c>
      <c r="AL412" s="9" t="str">
        <f t="shared" ref="AL412:AL414" si="2265">IF(ISERROR(AK412/AC412),"NA",IF(OR(AK412/AC412&gt;2,AK412/AC412&lt;0.5),"NM",AK412/AC412*100-100))</f>
        <v>NA</v>
      </c>
      <c r="AM412" s="132">
        <v>-47</v>
      </c>
      <c r="AN412" s="9">
        <f t="shared" ref="AN412:AN414" si="2266">IF(ISERROR(AM412/AE412),"NA",IF(OR(AM412/AE412&gt;2,AM412/AE412&lt;0.5),"NM",AM412/AE412*100-100))</f>
        <v>8.7962962962962763</v>
      </c>
      <c r="AO412" s="132">
        <v>0</v>
      </c>
      <c r="AP412" s="9" t="str">
        <f t="shared" ref="AP412:AP414" si="2267">IF(ISERROR(AO412/AG412),"NA",IF(OR(AO412/AG412&gt;2,AO412/AG412&lt;0.5),"NM",AO412/AG412*100-100))</f>
        <v>NA</v>
      </c>
      <c r="AQ412" s="132">
        <v>0</v>
      </c>
      <c r="AR412" s="9" t="str">
        <f t="shared" ref="AR412:AR414" si="2268">IF(ISERROR(AQ412/AI412),"NA",IF(OR(AQ412/AI412&gt;2,AQ412/AI412&lt;0.5),"NM",AQ412/AI412*100-100))</f>
        <v>NA</v>
      </c>
      <c r="AS412" s="132">
        <v>0</v>
      </c>
      <c r="AT412" s="9" t="str">
        <f t="shared" ref="AT412:AT414" si="2269">IF(ISERROR(AS412/AK412),"NA",IF(OR(AS412/AK412&gt;2,AS412/AK412&lt;0.5),"NM",AS412/AK412*100-100))</f>
        <v>NM</v>
      </c>
      <c r="AU412" s="132">
        <v>0</v>
      </c>
      <c r="AV412" s="9" t="str">
        <f t="shared" ref="AV412:AV414" si="2270">IF(ISERROR(AU412/AM412),"NA",IF(OR(AU412/AM412&gt;2,AU412/AM412&lt;0.5),"NM",AU412/AM412*100-100))</f>
        <v>NM</v>
      </c>
      <c r="AW412" s="132">
        <v>0</v>
      </c>
      <c r="AX412" s="9" t="str">
        <f t="shared" ref="AX412:AX414" si="2271">IF(ISERROR(AW412/AO412),"NA",IF(OR(AW412/AO412&gt;2,AW412/AO412&lt;0.5),"NM",AW412/AO412*100-100))</f>
        <v>NA</v>
      </c>
      <c r="AY412" s="287"/>
      <c r="AZ412" s="120"/>
      <c r="BA412" s="9" t="str">
        <f>IF(ISERROR(#REF!/#REF!),"NA",IF(OR(#REF!/#REF!&gt;2,#REF!/#REF!&lt;0.5),"NM",#REF!/#REF!*100-100))</f>
        <v>NA</v>
      </c>
      <c r="BB412" s="55">
        <f>C412+E412+G412+I412</f>
        <v>4.615384615384615</v>
      </c>
      <c r="BC412" s="9" t="str">
        <f>IF(ISERROR(BB412/#REF!),"NA",IF(OR(BB412/#REF!&gt;2,BB412/#REF!&lt;0.5),"NM",BB412/#REF!*100-100))</f>
        <v>NA</v>
      </c>
      <c r="BD412" s="908">
        <f>K412+M412+O412+Q412</f>
        <v>60</v>
      </c>
      <c r="BE412" s="9" t="str">
        <f t="shared" ref="BE412:BS414" si="2272">IF(ISERROR(BD412/BB412),"NA",IF(OR(BD412/BB412&gt;2,BD412/BB412&lt;0.5),"NM",BD412/BB412*100-100))</f>
        <v>NM</v>
      </c>
      <c r="BF412" s="55">
        <f>S412+U412+W412+Y412</f>
        <v>65.230769230769226</v>
      </c>
      <c r="BG412" s="9">
        <f t="shared" si="2272"/>
        <v>8.7179487179487154</v>
      </c>
      <c r="BH412" s="55">
        <f>AA412+AC412+AE412+AG412</f>
        <v>-43.2</v>
      </c>
      <c r="BI412" s="9" t="str">
        <f t="shared" si="2272"/>
        <v>NM</v>
      </c>
      <c r="BJ412" s="55">
        <f>AI412+AK412+AM412+AO412</f>
        <v>-44</v>
      </c>
      <c r="BK412" s="9">
        <f t="shared" si="2272"/>
        <v>1.8518518518518334</v>
      </c>
      <c r="BL412" s="55">
        <f>AQ412+AS412+AU412+AW412</f>
        <v>0</v>
      </c>
      <c r="BM412" s="9" t="str">
        <f t="shared" si="2272"/>
        <v>NM</v>
      </c>
      <c r="BN412" s="132">
        <v>0</v>
      </c>
      <c r="BO412" s="9" t="str">
        <f t="shared" si="2272"/>
        <v>NA</v>
      </c>
      <c r="BP412" s="132">
        <v>0</v>
      </c>
      <c r="BQ412" s="9" t="str">
        <f t="shared" si="2272"/>
        <v>NA</v>
      </c>
      <c r="BR412" s="132">
        <v>0</v>
      </c>
      <c r="BS412" s="9" t="str">
        <f t="shared" si="2272"/>
        <v>NA</v>
      </c>
      <c r="BT412" s="132">
        <v>0</v>
      </c>
      <c r="BU412" s="9" t="str">
        <f t="shared" ref="BU412:BU414" si="2273">IF(ISERROR(BT412/BR412),"NA",IF(OR(BT412/BR412&gt;2,BT412/BR412&lt;0.5),"NM",BT412/BR412*100-100))</f>
        <v>NA</v>
      </c>
      <c r="BV412" s="43" t="str">
        <f>IF(ISERROR(((BT412/BJ412)^0.2-1)*100),"NA",IF((((BT412/BJ412)^0.2-1)*100)&gt;100,"NM",IF((((BT412/BJ412)^0.2-1)*100)&lt;-50,"NM",((BT412/BJ412)^0.2-1)*100)))</f>
        <v>NM</v>
      </c>
      <c r="BW412" s="722"/>
      <c r="BX412" s="722"/>
      <c r="BY412"/>
      <c r="BZ412"/>
      <c r="CA412"/>
      <c r="CB412"/>
      <c r="CC412"/>
      <c r="CD412"/>
      <c r="CE412" s="2"/>
    </row>
    <row r="413" spans="1:83" s="7" customFormat="1" ht="12.75" hidden="1" customHeight="1" outlineLevel="1" x14ac:dyDescent="0.2">
      <c r="A413" s="80"/>
      <c r="B413" s="67" t="s">
        <v>60</v>
      </c>
      <c r="C413" s="695">
        <f>C410-C412</f>
        <v>14.900000000000034</v>
      </c>
      <c r="D413" s="9" t="str">
        <f>IF(ISERROR(C413/#REF!),"NA",IF(OR(C413/#REF!&gt;2,C413/#REF!&lt;0.5),"NM",C413/#REF!*100-100))</f>
        <v>NA</v>
      </c>
      <c r="E413" s="695">
        <f>E410-E412</f>
        <v>21.499999999999989</v>
      </c>
      <c r="F413" s="9" t="str">
        <f>IF(ISERROR(E413/#REF!),"NA",IF(OR(E413/#REF!&gt;2,E413/#REF!&lt;0.5),"NM",E413/#REF!*100-100))</f>
        <v>NA</v>
      </c>
      <c r="G413" s="695">
        <f>G410-G412</f>
        <v>22.300000000000058</v>
      </c>
      <c r="H413" s="9" t="str">
        <f>IF(ISERROR(G413/#REF!),"NA",IF(OR(G413/#REF!&gt;2,G413/#REF!&lt;0.5),"NM",G413/#REF!*100-100))</f>
        <v>NA</v>
      </c>
      <c r="I413" s="695">
        <f>I410-I412</f>
        <v>27.984615384615374</v>
      </c>
      <c r="J413" s="9" t="str">
        <f>IF(ISERROR(I413/#REF!),"NA",IF(OR(I413/#REF!&gt;2,I413/#REF!&lt;0.5),"NM",I413/#REF!*100-100))</f>
        <v>NA</v>
      </c>
      <c r="K413" s="695">
        <f>K410-K412</f>
        <v>17.300000000000011</v>
      </c>
      <c r="L413" s="9">
        <f>IF(ISERROR(K413/C413),"NA",IF(OR(K413/C413&gt;2,K413/C413&lt;0.5),"NM",K413/C413*100-100))</f>
        <v>16.107382550335387</v>
      </c>
      <c r="M413" s="695">
        <f>M410-M412</f>
        <v>19.999999999999964</v>
      </c>
      <c r="N413" s="9">
        <f>IF(ISERROR(M413/E413),"NA",IF(OR(M413/E413&gt;2,M413/E413&lt;0.5),"NM",M413/E413*100-100))</f>
        <v>-6.9767441860466306</v>
      </c>
      <c r="O413" s="695">
        <f>O410-O412</f>
        <v>-7.800000000000054</v>
      </c>
      <c r="P413" s="43" t="str">
        <f t="shared" si="2127"/>
        <v>NM</v>
      </c>
      <c r="Q413" s="695">
        <f>Q410-Q412</f>
        <v>27.600000000000058</v>
      </c>
      <c r="R413" s="43">
        <f t="shared" si="2127"/>
        <v>-1.3743815283120142</v>
      </c>
      <c r="S413" s="695">
        <f>S410-S412</f>
        <v>25.500000000000021</v>
      </c>
      <c r="T413" s="43">
        <f t="shared" si="2127"/>
        <v>47.398843930635877</v>
      </c>
      <c r="U413" s="695">
        <f>U410-U412</f>
        <v>26.29999999999999</v>
      </c>
      <c r="V413" s="43">
        <f t="shared" si="2127"/>
        <v>31.500000000000199</v>
      </c>
      <c r="W413" s="695">
        <f t="shared" ref="W413:Y413" si="2274">W410-W412</f>
        <v>7.6692307692307793</v>
      </c>
      <c r="X413" s="43" t="str">
        <f t="shared" si="2128"/>
        <v>NM</v>
      </c>
      <c r="Y413" s="695">
        <f t="shared" si="2274"/>
        <v>-4.7999999999999901</v>
      </c>
      <c r="Z413" s="43" t="str">
        <f t="shared" si="2129"/>
        <v>NM</v>
      </c>
      <c r="AA413" s="695">
        <f t="shared" ref="AA413:AC413" si="2275">AA410-AA412</f>
        <v>7.2999999999999758</v>
      </c>
      <c r="AB413" s="43" t="str">
        <f t="shared" si="2130"/>
        <v>NM</v>
      </c>
      <c r="AC413" s="695">
        <f t="shared" si="2275"/>
        <v>2.4999999999999645</v>
      </c>
      <c r="AD413" s="43" t="str">
        <f t="shared" si="2131"/>
        <v>NM</v>
      </c>
      <c r="AE413" s="695">
        <f t="shared" ref="AE413:AG413" si="2276">AE410-AE412</f>
        <v>4.9000000000000696</v>
      </c>
      <c r="AF413" s="43">
        <f t="shared" si="2132"/>
        <v>-36.108324974923953</v>
      </c>
      <c r="AG413" s="695">
        <f t="shared" si="2276"/>
        <v>0.39999999999999858</v>
      </c>
      <c r="AH413" s="9" t="str">
        <f>IF(ISERROR(AG413/Y413),"NA",IF(OR(AG413/Y413&gt;2,AG413/Y413&lt;0.5),"NM",AG413/Y413*100-100))</f>
        <v>NM</v>
      </c>
      <c r="AI413" s="695">
        <f t="shared" ref="AI413:AK413" si="2277">AI410-AI412</f>
        <v>6.0999999999999872</v>
      </c>
      <c r="AJ413" s="9">
        <f t="shared" si="2264"/>
        <v>-16.438356164383464</v>
      </c>
      <c r="AK413" s="695">
        <f t="shared" si="2277"/>
        <v>3.2000000000000099</v>
      </c>
      <c r="AL413" s="9">
        <f t="shared" si="2265"/>
        <v>28.000000000002217</v>
      </c>
      <c r="AM413" s="695">
        <f t="shared" ref="AM413:AO413" si="2278">AM410-AM412</f>
        <v>11.799999999999976</v>
      </c>
      <c r="AN413" s="9" t="str">
        <f t="shared" si="2266"/>
        <v>NM</v>
      </c>
      <c r="AO413" s="695">
        <f t="shared" si="2278"/>
        <v>13.70000000000001</v>
      </c>
      <c r="AP413" s="9" t="str">
        <f t="shared" si="2267"/>
        <v>NM</v>
      </c>
      <c r="AQ413" s="695"/>
      <c r="AR413" s="9" t="str">
        <f t="shared" si="2268"/>
        <v>NM</v>
      </c>
      <c r="AS413" s="695"/>
      <c r="AT413" s="9" t="str">
        <f t="shared" si="2269"/>
        <v>NM</v>
      </c>
      <c r="AU413" s="695"/>
      <c r="AV413" s="9" t="str">
        <f t="shared" si="2270"/>
        <v>NM</v>
      </c>
      <c r="AW413" s="695"/>
      <c r="AX413" s="9" t="str">
        <f t="shared" si="2271"/>
        <v>NM</v>
      </c>
      <c r="AY413" s="287"/>
      <c r="AZ413" s="68"/>
      <c r="BA413" s="9"/>
      <c r="BB413" s="695"/>
      <c r="BC413" s="9" t="str">
        <f>IF(ISERROR(BB413/#REF!),"NA",IF(OR(BB413/#REF!&gt;2,BB413/#REF!&lt;0.5),"NM",BB413/#REF!*100-100))</f>
        <v>NA</v>
      </c>
      <c r="BD413" s="912"/>
      <c r="BE413" s="9" t="str">
        <f t="shared" si="2272"/>
        <v>NA</v>
      </c>
      <c r="BF413" s="695"/>
      <c r="BG413" s="9" t="str">
        <f t="shared" si="2272"/>
        <v>NA</v>
      </c>
      <c r="BH413" s="695"/>
      <c r="BI413" s="9" t="str">
        <f t="shared" si="2272"/>
        <v>NA</v>
      </c>
      <c r="BJ413" s="695"/>
      <c r="BK413" s="9" t="str">
        <f t="shared" si="2272"/>
        <v>NA</v>
      </c>
      <c r="BL413" s="695"/>
      <c r="BM413" s="9" t="str">
        <f t="shared" si="2272"/>
        <v>NA</v>
      </c>
      <c r="BN413" s="695"/>
      <c r="BO413" s="9" t="str">
        <f t="shared" si="2272"/>
        <v>NA</v>
      </c>
      <c r="BP413" s="695"/>
      <c r="BQ413" s="9" t="str">
        <f t="shared" si="2272"/>
        <v>NA</v>
      </c>
      <c r="BR413" s="695"/>
      <c r="BS413" s="9" t="str">
        <f t="shared" si="2272"/>
        <v>NA</v>
      </c>
      <c r="BT413" s="695"/>
      <c r="BU413" s="9" t="str">
        <f t="shared" si="2273"/>
        <v>NA</v>
      </c>
      <c r="BV413" s="43"/>
      <c r="BW413" s="722"/>
      <c r="BX413" s="722"/>
      <c r="BY413"/>
      <c r="BZ413"/>
      <c r="CA413"/>
      <c r="CB413"/>
      <c r="CC413"/>
      <c r="CD413"/>
      <c r="CE413" s="2"/>
    </row>
    <row r="414" spans="1:83" s="103" customFormat="1" ht="12.75" customHeight="1" collapsed="1" x14ac:dyDescent="0.2">
      <c r="A414" s="80"/>
      <c r="B414" s="67" t="s">
        <v>466</v>
      </c>
      <c r="C414" s="695">
        <f>C407-C412</f>
        <v>19.900000000000034</v>
      </c>
      <c r="D414" s="705" t="str">
        <f>IF(ISERROR(C414/#REF!),"NA",IF(OR(C414/#REF!&gt;2,C414/#REF!&lt;0.5),"NM",C414/#REF!*100-100))</f>
        <v>NA</v>
      </c>
      <c r="E414" s="695">
        <f>E407-E412</f>
        <v>30.199999999999989</v>
      </c>
      <c r="F414" s="9" t="str">
        <f>IF(ISERROR(E414/#REF!),"NA",IF(OR(E414/#REF!&gt;2,E414/#REF!&lt;0.5),"NM",E414/#REF!*100-100))</f>
        <v>NA</v>
      </c>
      <c r="G414" s="695">
        <f>G407-G412</f>
        <v>31.500000000000057</v>
      </c>
      <c r="H414" s="9" t="str">
        <f>IF(ISERROR(G414/#REF!),"NA",IF(OR(G414/#REF!&gt;2,G414/#REF!&lt;0.5),"NM",G414/#REF!*100-100))</f>
        <v>NA</v>
      </c>
      <c r="I414" s="695">
        <f>I407-I412</f>
        <v>42.584615384615375</v>
      </c>
      <c r="J414" s="9" t="str">
        <f>IF(ISERROR(I414/#REF!),"NA",IF(OR(I414/#REF!&gt;2,I414/#REF!&lt;0.5),"NM",I414/#REF!*100-100))</f>
        <v>NA</v>
      </c>
      <c r="K414" s="695">
        <f>K407-K412</f>
        <v>21.800000000000011</v>
      </c>
      <c r="L414" s="9">
        <f>IF(ISERROR(K414/C414),"NA",IF(OR(K414/C414&gt;2,K414/C414&lt;0.5),"NM",K414/C414*100-100))</f>
        <v>9.5477386934672097</v>
      </c>
      <c r="M414" s="695">
        <f>M407-M412</f>
        <v>27.599999999999966</v>
      </c>
      <c r="N414" s="9">
        <f t="shared" ref="N414" si="2279">IF(ISERROR(M414/E414),"NA",IF(OR(M414/E414&gt;2,M414/E414&lt;0.5),"NM",M414/E414*100-100))</f>
        <v>-8.6092715231788901</v>
      </c>
      <c r="O414" s="695">
        <f>O407-O412</f>
        <v>16.499999999999943</v>
      </c>
      <c r="P414" s="43">
        <f t="shared" si="2127"/>
        <v>-47.61904761904789</v>
      </c>
      <c r="Q414" s="695">
        <f t="shared" ref="Q414:W414" si="2280">Q407-Q412</f>
        <v>39.000000000000057</v>
      </c>
      <c r="R414" s="43">
        <f t="shared" si="2127"/>
        <v>-8.4176300578033221</v>
      </c>
      <c r="S414" s="695">
        <f t="shared" si="2280"/>
        <v>35.100000000000023</v>
      </c>
      <c r="T414" s="43">
        <f t="shared" si="2127"/>
        <v>61.009174311926643</v>
      </c>
      <c r="U414" s="695">
        <f t="shared" si="2280"/>
        <v>36.699999999999989</v>
      </c>
      <c r="V414" s="43">
        <f t="shared" si="2127"/>
        <v>32.971014492753739</v>
      </c>
      <c r="W414" s="695">
        <f t="shared" si="2280"/>
        <v>42.269230769230774</v>
      </c>
      <c r="X414" s="43" t="str">
        <f t="shared" si="2128"/>
        <v>NM</v>
      </c>
      <c r="Y414" s="695">
        <f t="shared" ref="Y414:AA414" si="2281">Y407-Y412</f>
        <v>29.800000000000011</v>
      </c>
      <c r="Z414" s="43">
        <f t="shared" si="2129"/>
        <v>-23.589743589743676</v>
      </c>
      <c r="AA414" s="695">
        <f t="shared" si="2281"/>
        <v>41.899999999999977</v>
      </c>
      <c r="AB414" s="43">
        <f t="shared" si="2130"/>
        <v>19.373219373219229</v>
      </c>
      <c r="AC414" s="695">
        <f t="shared" ref="AC414:AE414" si="2282">AC407-AC412</f>
        <v>37.099999999999966</v>
      </c>
      <c r="AD414" s="43">
        <f t="shared" si="2131"/>
        <v>1.0899182561307157</v>
      </c>
      <c r="AE414" s="695">
        <f t="shared" si="2282"/>
        <v>39.500000000000071</v>
      </c>
      <c r="AF414" s="43">
        <f t="shared" si="2132"/>
        <v>-6.5514103730662754</v>
      </c>
      <c r="AG414" s="695">
        <f t="shared" ref="AG414:AI414" si="2283">AG407-AG412</f>
        <v>35</v>
      </c>
      <c r="AH414" s="613">
        <f>IF(ISERROR(AG414/Y414),"NA",IF(OR(AG414/Y414&gt;2,AG414/Y414&lt;0.5),"NM",AG414/Y414*100-100))</f>
        <v>17.449664429530159</v>
      </c>
      <c r="AI414" s="695">
        <f t="shared" si="2283"/>
        <v>40.699999999999989</v>
      </c>
      <c r="AJ414" s="613">
        <f t="shared" si="2264"/>
        <v>-2.863961813842451</v>
      </c>
      <c r="AK414" s="695">
        <f t="shared" ref="AK414:AM414" si="2284">AK407-AK412</f>
        <v>37.800000000000011</v>
      </c>
      <c r="AL414" s="613">
        <f t="shared" si="2265"/>
        <v>1.8867924528303206</v>
      </c>
      <c r="AM414" s="695">
        <f t="shared" si="2284"/>
        <v>46.399999999999977</v>
      </c>
      <c r="AN414" s="613">
        <f t="shared" si="2266"/>
        <v>17.468354430379492</v>
      </c>
      <c r="AO414" s="695">
        <f t="shared" ref="AO414" si="2285">AO407-AO412</f>
        <v>48.300000000000011</v>
      </c>
      <c r="AP414" s="613">
        <f t="shared" si="2267"/>
        <v>38.000000000000028</v>
      </c>
      <c r="AQ414" s="695">
        <f t="shared" ref="AQ414:AW414" si="2286">AQ407-AQ412</f>
        <v>37.100329999999985</v>
      </c>
      <c r="AR414" s="613">
        <f t="shared" si="2268"/>
        <v>-8.8443980343980542</v>
      </c>
      <c r="AS414" s="695">
        <f t="shared" si="2286"/>
        <v>39.686480450000033</v>
      </c>
      <c r="AT414" s="613">
        <f t="shared" si="2269"/>
        <v>4.9906890211640871</v>
      </c>
      <c r="AU414" s="695">
        <f t="shared" si="2286"/>
        <v>43.439293186750035</v>
      </c>
      <c r="AV414" s="613">
        <f t="shared" si="2270"/>
        <v>-6.3808336492455595</v>
      </c>
      <c r="AW414" s="695">
        <f t="shared" si="2286"/>
        <v>46.13335772633252</v>
      </c>
      <c r="AX414" s="613">
        <f t="shared" si="2271"/>
        <v>-4.4858018088353901</v>
      </c>
      <c r="AY414" s="287"/>
      <c r="AZ414" s="79"/>
      <c r="BA414" s="613" t="str">
        <f>IF(ISERROR(#REF!/#REF!),"NA",IF(OR(#REF!/#REF!&gt;2,#REF!/#REF!&lt;0.5),"NM",#REF!/#REF!*100-100))</f>
        <v>NA</v>
      </c>
      <c r="BB414" s="695">
        <f>BB407-BB412</f>
        <v>124.18461538461557</v>
      </c>
      <c r="BC414" s="9" t="str">
        <f>IF(ISERROR(BB414/#REF!),"NA",IF(OR(BB414/#REF!&gt;2,BB414/#REF!&lt;0.5),"NM",BB414/#REF!*100-100))</f>
        <v>NA</v>
      </c>
      <c r="BD414" s="912">
        <f>BD407-BD412</f>
        <v>104.90000000000009</v>
      </c>
      <c r="BE414" s="9">
        <f t="shared" si="2272"/>
        <v>-15.528989098116995</v>
      </c>
      <c r="BF414" s="695">
        <f t="shared" ref="BF414:BP414" si="2287">BF407-BF412</f>
        <v>143.86923076923046</v>
      </c>
      <c r="BG414" s="9">
        <f t="shared" si="2272"/>
        <v>37.1489330497906</v>
      </c>
      <c r="BH414" s="695">
        <f t="shared" si="2287"/>
        <v>153.49999999999972</v>
      </c>
      <c r="BI414" s="9">
        <f t="shared" si="2272"/>
        <v>6.6941132438646633</v>
      </c>
      <c r="BJ414" s="695">
        <f t="shared" ref="BJ414" si="2288">BJ407-BJ412</f>
        <v>173.20000000000005</v>
      </c>
      <c r="BK414" s="9">
        <f t="shared" si="2272"/>
        <v>12.833876221498613</v>
      </c>
      <c r="BL414" s="695">
        <f t="shared" ref="BL414" si="2289">BL407-BL412</f>
        <v>166.35946136308257</v>
      </c>
      <c r="BM414" s="9">
        <f t="shared" si="2272"/>
        <v>-3.9495026772040802</v>
      </c>
      <c r="BN414" s="695">
        <f t="shared" si="2287"/>
        <v>174.86614895248226</v>
      </c>
      <c r="BO414" s="9">
        <f t="shared" si="2272"/>
        <v>5.1134378049191298</v>
      </c>
      <c r="BP414" s="695">
        <f t="shared" si="2287"/>
        <v>176.08159040976625</v>
      </c>
      <c r="BQ414" s="9">
        <f t="shared" si="2272"/>
        <v>0.69506960870640455</v>
      </c>
      <c r="BR414" s="695">
        <f t="shared" ref="BR414:BT414" si="2290">BR407-BR412</f>
        <v>179.1179389055917</v>
      </c>
      <c r="BS414" s="9">
        <f t="shared" si="2272"/>
        <v>1.7243986090535941</v>
      </c>
      <c r="BT414" s="695">
        <f t="shared" si="2290"/>
        <v>182.11546473642716</v>
      </c>
      <c r="BU414" s="9">
        <f t="shared" si="2273"/>
        <v>1.6734928110217879</v>
      </c>
      <c r="BV414" s="43">
        <f>IF(ISERROR(((BT414/BJ414)^0.2-1)*100),"NA",IF((((BT414/BJ414)^0.2-1)*100)&gt;100,"NM",IF((((BT414/BJ414)^0.2-1)*100)&lt;-50,"NM",((BT414/BJ414)^0.2-1)*100)))</f>
        <v>1.0089339895567484</v>
      </c>
      <c r="BW414" s="162"/>
      <c r="BX414" s="176"/>
      <c r="BY414"/>
      <c r="BZ414"/>
      <c r="CA414"/>
      <c r="CB414"/>
      <c r="CC414"/>
      <c r="CD414"/>
      <c r="CE414" s="4"/>
    </row>
    <row r="415" spans="1:83" s="2" customFormat="1" ht="12.75" customHeight="1" x14ac:dyDescent="0.2">
      <c r="A415" s="41"/>
      <c r="B415" s="62"/>
      <c r="C415" s="7"/>
      <c r="D415" s="40"/>
      <c r="E415" s="7"/>
      <c r="F415" s="40"/>
      <c r="G415" s="7"/>
      <c r="H415" s="40"/>
      <c r="I415" s="7"/>
      <c r="J415" s="40"/>
      <c r="K415" s="7"/>
      <c r="L415" s="40"/>
      <c r="M415" s="42"/>
      <c r="N415" s="40"/>
      <c r="O415" s="83"/>
      <c r="P415" s="43"/>
      <c r="Q415" s="83"/>
      <c r="R415" s="43"/>
      <c r="S415" s="83"/>
      <c r="T415" s="43"/>
      <c r="U415" s="83"/>
      <c r="V415" s="43"/>
      <c r="W415" s="83"/>
      <c r="X415" s="43"/>
      <c r="Y415" s="83"/>
      <c r="Z415" s="43"/>
      <c r="AA415" s="83"/>
      <c r="AB415" s="43"/>
      <c r="AC415" s="83"/>
      <c r="AD415" s="43"/>
      <c r="AE415" s="83"/>
      <c r="AF415" s="43"/>
      <c r="AG415" s="83"/>
      <c r="AH415" s="40"/>
      <c r="AI415" s="83"/>
      <c r="AJ415" s="40"/>
      <c r="AK415" s="83"/>
      <c r="AL415" s="40"/>
      <c r="AM415" s="83"/>
      <c r="AN415" s="40"/>
      <c r="AO415" s="83"/>
      <c r="AP415" s="40"/>
      <c r="AQ415" s="7"/>
      <c r="AR415" s="40"/>
      <c r="AS415" s="7"/>
      <c r="AT415" s="40"/>
      <c r="AU415" s="7"/>
      <c r="AV415" s="40"/>
      <c r="AW415" s="7"/>
      <c r="AX415" s="40"/>
      <c r="AY415" s="287"/>
      <c r="AZ415" s="15"/>
      <c r="BA415" s="40"/>
      <c r="BB415" s="674"/>
      <c r="BC415" s="40"/>
      <c r="BD415" s="841"/>
      <c r="BE415" s="40"/>
      <c r="BF415" s="42"/>
      <c r="BG415" s="40"/>
      <c r="BH415" s="7"/>
      <c r="BI415" s="40"/>
      <c r="BJ415" s="7"/>
      <c r="BK415" s="40"/>
      <c r="BL415" s="7"/>
      <c r="BM415" s="40"/>
      <c r="BN415" s="7"/>
      <c r="BO415" s="40"/>
      <c r="BP415" s="7"/>
      <c r="BQ415" s="40"/>
      <c r="BR415" s="7"/>
      <c r="BS415" s="40"/>
      <c r="BT415" s="7"/>
      <c r="BU415" s="40"/>
      <c r="BV415" s="722"/>
      <c r="BW415" s="722"/>
      <c r="BX415" s="722"/>
      <c r="BY415"/>
      <c r="BZ415"/>
      <c r="CA415"/>
      <c r="CB415"/>
      <c r="CC415"/>
      <c r="CD415"/>
    </row>
    <row r="416" spans="1:83" s="7" customFormat="1" ht="12.75" customHeight="1" x14ac:dyDescent="0.2">
      <c r="A416" s="264"/>
      <c r="B416" s="67" t="s">
        <v>317</v>
      </c>
      <c r="C416" s="697"/>
      <c r="D416" s="9"/>
      <c r="E416" s="697"/>
      <c r="F416" s="9"/>
      <c r="G416" s="697"/>
      <c r="H416" s="9"/>
      <c r="I416" s="697"/>
      <c r="J416" s="9"/>
      <c r="K416" s="697"/>
      <c r="L416" s="9"/>
      <c r="M416" s="697"/>
      <c r="N416" s="9"/>
      <c r="O416" s="697"/>
      <c r="P416" s="43"/>
      <c r="Q416" s="697"/>
      <c r="R416" s="43"/>
      <c r="S416" s="697"/>
      <c r="T416" s="43"/>
      <c r="U416" s="697"/>
      <c r="V416" s="43"/>
      <c r="W416" s="697"/>
      <c r="X416" s="43"/>
      <c r="Y416" s="697"/>
      <c r="Z416" s="43"/>
      <c r="AA416" s="697"/>
      <c r="AB416" s="43"/>
      <c r="AC416" s="697"/>
      <c r="AD416" s="43"/>
      <c r="AE416" s="697"/>
      <c r="AF416" s="43"/>
      <c r="AG416" s="697"/>
      <c r="AH416" s="9"/>
      <c r="AI416" s="697"/>
      <c r="AJ416" s="9"/>
      <c r="AK416" s="697"/>
      <c r="AL416" s="9"/>
      <c r="AM416" s="697"/>
      <c r="AN416" s="9"/>
      <c r="AO416" s="697"/>
      <c r="AP416" s="9"/>
      <c r="AQ416" s="697"/>
      <c r="AR416" s="9"/>
      <c r="AS416" s="697"/>
      <c r="AT416" s="9"/>
      <c r="AU416" s="697"/>
      <c r="AV416" s="9"/>
      <c r="AW416" s="697"/>
      <c r="AX416" s="9"/>
      <c r="AY416" s="287"/>
      <c r="AZ416" s="15"/>
      <c r="BA416" s="9"/>
      <c r="BB416" s="697"/>
      <c r="BC416" s="9"/>
      <c r="BD416" s="915"/>
      <c r="BE416" s="9"/>
      <c r="BF416" s="697"/>
      <c r="BG416" s="9"/>
      <c r="BH416" s="697"/>
      <c r="BI416" s="9"/>
      <c r="BJ416" s="697"/>
      <c r="BK416" s="9"/>
      <c r="BL416" s="697"/>
      <c r="BM416" s="9"/>
      <c r="BN416" s="697"/>
      <c r="BO416" s="9"/>
      <c r="BP416" s="697"/>
      <c r="BQ416" s="9"/>
      <c r="BR416" s="697"/>
      <c r="BS416" s="9"/>
      <c r="BT416" s="697"/>
      <c r="BU416" s="9"/>
      <c r="BV416" s="43"/>
      <c r="BW416" s="43"/>
      <c r="BX416" s="43"/>
      <c r="BY416"/>
      <c r="BZ416"/>
      <c r="CA416"/>
      <c r="CB416"/>
      <c r="CC416"/>
      <c r="CD416"/>
    </row>
    <row r="417" spans="1:82" s="2" customFormat="1" ht="12.75" customHeight="1" x14ac:dyDescent="0.2">
      <c r="A417" s="41"/>
      <c r="B417" s="42" t="s">
        <v>265</v>
      </c>
      <c r="C417" s="99">
        <f>+C407/C389*100</f>
        <v>8.3263598326359975</v>
      </c>
      <c r="D417" s="9" t="str">
        <f>IF(ISERROR(C417/#REF!),"NA",IF(OR(C417/#REF!&gt;2,C417/#REF!&lt;0.5),"NM",C417/#REF!*100-100))</f>
        <v>NA</v>
      </c>
      <c r="E417" s="99">
        <f>+E407/E389*100</f>
        <v>13.333333333333327</v>
      </c>
      <c r="F417" s="9" t="str">
        <f>IF(ISERROR(E417/#REF!),"NA",IF(OR(E417/#REF!&gt;2,E417/#REF!&lt;0.5),"NM",E417/#REF!*100-100))</f>
        <v>NA</v>
      </c>
      <c r="G417" s="99">
        <f>+G407/G389*100</f>
        <v>14.57658491439151</v>
      </c>
      <c r="H417" s="9" t="str">
        <f>IF(ISERROR(G417/#REF!),"NA",IF(OR(G417/#REF!&gt;2,G417/#REF!&lt;0.5),"NM",G417/#REF!*100-100))</f>
        <v>NA</v>
      </c>
      <c r="I417" s="99">
        <f>+I407/I389*100</f>
        <v>20.931263858093121</v>
      </c>
      <c r="J417" s="9" t="str">
        <f>IF(ISERROR(I417/#REF!),"NA",IF(OR(I417/#REF!&gt;2,I417/#REF!&lt;0.5),"NM",I417/#REF!*100-100))</f>
        <v>NA</v>
      </c>
      <c r="K417" s="99">
        <f>+K407/K389*100</f>
        <v>9.2924126172208066</v>
      </c>
      <c r="L417" s="9">
        <f>IF(ISERROR(K417/C417),"NA",IF(OR(K417/C417&gt;2,K417/C417&lt;0.5),"NM",K417/C417*100-100))</f>
        <v>11.602342488229596</v>
      </c>
      <c r="M417" s="99">
        <f>+M407/M389*100</f>
        <v>11.91709844559584</v>
      </c>
      <c r="N417" s="9">
        <f>IF(ISERROR(M417/E417),"NA",IF(OR(M417/E417&gt;2,M417/E417&lt;0.5),"NM",M417/E417*100-100))</f>
        <v>-10.621761658031147</v>
      </c>
      <c r="O417" s="99">
        <f>+O407/O389*100</f>
        <v>32.525510204081613</v>
      </c>
      <c r="P417" s="43" t="str">
        <f t="shared" si="2127"/>
        <v>NM</v>
      </c>
      <c r="Q417" s="99">
        <f>+Q407/Q389*100</f>
        <v>16.64532650448146</v>
      </c>
      <c r="R417" s="43">
        <f t="shared" si="2127"/>
        <v>-20.476247314394698</v>
      </c>
      <c r="S417" s="99">
        <f>+S407/S389*100</f>
        <v>14.164648910411632</v>
      </c>
      <c r="T417" s="43">
        <f t="shared" si="2127"/>
        <v>52.432414421218652</v>
      </c>
      <c r="U417" s="99">
        <f>+U407/U389*100</f>
        <v>15.291666666666663</v>
      </c>
      <c r="V417" s="43">
        <f t="shared" si="2127"/>
        <v>28.317028985507363</v>
      </c>
      <c r="W417" s="99">
        <f>+W407/W389*100</f>
        <v>44.941471571906355</v>
      </c>
      <c r="X417" s="43">
        <f t="shared" si="2128"/>
        <v>38.172994950488658</v>
      </c>
      <c r="Y417" s="99">
        <f>+Y407/Y389*100</f>
        <v>12.463404433291515</v>
      </c>
      <c r="Z417" s="43">
        <f t="shared" si="2129"/>
        <v>-25.123701058456476</v>
      </c>
      <c r="AA417" s="99">
        <f>+AA407/AA389*100</f>
        <v>16.418495297805634</v>
      </c>
      <c r="AB417" s="43">
        <f t="shared" si="2130"/>
        <v>15.911770222114924</v>
      </c>
      <c r="AC417" s="99">
        <f>+AC407/AC389*100</f>
        <v>14.786767636508555</v>
      </c>
      <c r="AD417" s="43">
        <f t="shared" si="2131"/>
        <v>-3.3017920228323021</v>
      </c>
      <c r="AE417" s="99">
        <f>+AE407/AE389*100</f>
        <v>-1.5352697095435401</v>
      </c>
      <c r="AF417" s="43" t="str">
        <f t="shared" si="2132"/>
        <v>NM</v>
      </c>
      <c r="AG417" s="99">
        <f>+AG407/AG389*100</f>
        <v>14.056224899598394</v>
      </c>
      <c r="AH417" s="9">
        <f>IF(ISERROR(AG417/Y417),"NA",IF(OR(AG417/Y417&gt;2,AG417/Y417&lt;0.5),"NM",AG417/Y417*100-100))</f>
        <v>12.779978976307873</v>
      </c>
      <c r="AI417" s="99">
        <f>+AI407/AI389*100</f>
        <v>15.074074074074071</v>
      </c>
      <c r="AJ417" s="9">
        <f t="shared" ref="AJ417:AJ418" si="2291">IF(ISERROR(AI417/AA417),"NA",IF(OR(AI417/AA417&gt;2,AI417/AA417&lt;0.5),"NM",AI417/AA417*100-100))</f>
        <v>-8.1884557588614513</v>
      </c>
      <c r="AK417" s="99">
        <f>+AK407/AK389*100</f>
        <v>15.099925980754996</v>
      </c>
      <c r="AL417" s="9">
        <f t="shared" ref="AL417:AL418" si="2292">IF(ISERROR(AK417/AC417),"NA",IF(OR(AK417/AC417&gt;2,AK417/AC417&lt;0.5),"NM",AK417/AC417*100-100))</f>
        <v>2.1178282633809147</v>
      </c>
      <c r="AM417" s="99">
        <f>+AM407/AM389*100</f>
        <v>-0.21913805697590313</v>
      </c>
      <c r="AN417" s="9" t="str">
        <f t="shared" ref="AN417:AN418" si="2293">IF(ISERROR(AM417/AE417),"NA",IF(OR(AM417/AE417&gt;2,AM417/AE417&lt;0.5),"NM",AM417/AE417*100-100))</f>
        <v>NM</v>
      </c>
      <c r="AO417" s="99">
        <f>+AO407/AO389*100</f>
        <v>18.002236302646295</v>
      </c>
      <c r="AP417" s="9">
        <f t="shared" ref="AP417:AP418" si="2294">IF(ISERROR(AO417/AG417),"NA",IF(OR(AO417/AG417&gt;2,AO417/AG417&lt;0.5),"NM",AO417/AG417*100-100))</f>
        <v>28.073052553112205</v>
      </c>
      <c r="AQ417" s="99">
        <f t="shared" ref="AQ417:AW417" si="2295">+AQ407/AQ389*100</f>
        <v>13.691017517704058</v>
      </c>
      <c r="AR417" s="9">
        <f t="shared" ref="AR417:AR418" si="2296">IF(ISERROR(AQ417/AI417),"NA",IF(OR(AQ417/AI417&gt;2,AQ417/AI417&lt;0.5),"NM",AQ417/AI417*100-100))</f>
        <v>-9.1750680643710893</v>
      </c>
      <c r="AS417" s="99">
        <f t="shared" si="2295"/>
        <v>14.500372717107727</v>
      </c>
      <c r="AT417" s="9">
        <f t="shared" ref="AT417:AT418" si="2297">IF(ISERROR(AS417/AK417),"NA",IF(OR(AS417/AK417&gt;2,AS417/AK417&lt;0.5),"NM",AS417/AK417*100-100))</f>
        <v>-3.9705708783699123</v>
      </c>
      <c r="AU417" s="99">
        <f t="shared" si="2295"/>
        <v>15.714405516213207</v>
      </c>
      <c r="AV417" s="9" t="str">
        <f t="shared" ref="AV417:AV418" si="2298">IF(ISERROR(AU417/AM417),"NA",IF(OR(AU417/AM417&gt;2,AU417/AM417&lt;0.5),"NM",AU417/AM417*100-100))</f>
        <v>NM</v>
      </c>
      <c r="AW417" s="99">
        <f t="shared" si="2295"/>
        <v>16.523760715616852</v>
      </c>
      <c r="AX417" s="9">
        <f t="shared" ref="AX417:AX418" si="2299">IF(ISERROR(AW417/AO417),"NA",IF(OR(AW417/AO417&gt;2,AW417/AO417&lt;0.5),"NM",AW417/AO417*100-100))</f>
        <v>-8.2127329192546483</v>
      </c>
      <c r="AY417" s="287"/>
      <c r="AZ417" s="99"/>
      <c r="BA417" s="9" t="str">
        <f>IF(ISERROR(#REF!/#REF!),"NA",IF(OR(#REF!/#REF!&gt;2,#REF!/#REF!&lt;0.5),"NM",#REF!/#REF!*100-100))</f>
        <v>NA</v>
      </c>
      <c r="BB417" s="99">
        <f>+BB407/BB389*100</f>
        <v>14.199096020284443</v>
      </c>
      <c r="BC417" s="9" t="str">
        <f>IF(ISERROR(BB417/#REF!),"NA",IF(OR(BB417/#REF!&gt;2,BB417/#REF!&lt;0.5),"NM",BB417/#REF!*100-100))</f>
        <v>NA</v>
      </c>
      <c r="BD417" s="849">
        <f>+BD407/BD389*100</f>
        <v>17.623169819386565</v>
      </c>
      <c r="BE417" s="9">
        <f t="shared" ref="BE417:BS417" si="2300">IF(ISERROR(BD417/BB417),"NA",IF(OR(BD417/BB417&gt;2,BD417/BB417&lt;0.5),"NM",BD417/BB417*100-100))</f>
        <v>24.114730925198202</v>
      </c>
      <c r="BF417" s="99">
        <f>+BF407/BF389*100</f>
        <v>21.643722181968709</v>
      </c>
      <c r="BG417" s="9">
        <f t="shared" si="2300"/>
        <v>22.814013618363305</v>
      </c>
      <c r="BH417" s="99">
        <f>+BH407/BH389*100</f>
        <v>11.073185423150258</v>
      </c>
      <c r="BI417" s="9">
        <f t="shared" si="2300"/>
        <v>-48.838811873240175</v>
      </c>
      <c r="BJ417" s="99">
        <f>+BJ407/BJ389*100</f>
        <v>11.937540423172878</v>
      </c>
      <c r="BK417" s="9">
        <f t="shared" si="2300"/>
        <v>7.805838762670291</v>
      </c>
      <c r="BL417" s="99">
        <f>+BL407/BL389*100</f>
        <v>15.119468795848665</v>
      </c>
      <c r="BM417" s="9">
        <f t="shared" si="2300"/>
        <v>26.654807103304961</v>
      </c>
      <c r="BN417" s="99">
        <f>+BN407/BN389*100</f>
        <v>15.281339835729366</v>
      </c>
      <c r="BO417" s="9">
        <f t="shared" si="2300"/>
        <v>1.0706132739607028</v>
      </c>
      <c r="BP417" s="99">
        <f>+BP407/BP389*100</f>
        <v>14.795726716087177</v>
      </c>
      <c r="BQ417" s="9">
        <f t="shared" si="2300"/>
        <v>-3.1778176839361549</v>
      </c>
      <c r="BR417" s="99">
        <f>+BR407/BR389*100</f>
        <v>14.471984636325724</v>
      </c>
      <c r="BS417" s="9">
        <f t="shared" si="2300"/>
        <v>-2.1880782605254012</v>
      </c>
      <c r="BT417" s="99">
        <f>+BT407/BT389*100</f>
        <v>14.148242556564238</v>
      </c>
      <c r="BU417" s="9">
        <f t="shared" ref="BU417" si="2301">IF(ISERROR(BT417/BR417),"NA",IF(OR(BT417/BR417&gt;2,BT417/BR417&lt;0.5),"NM",BT417/BR417*100-100))</f>
        <v>-2.2370261432483147</v>
      </c>
      <c r="BV417" s="43">
        <f>IF(ISERROR(((BT417/BJ417)^0.2-1)*100),"NA",IF((((BT417/BJ417)^0.2-1)*100)&gt;100,"NM",IF((((BT417/BJ417)^0.2-1)*100)&lt;-50,"NM",((BT417/BJ417)^0.2-1)*100)))</f>
        <v>3.4564395982236817</v>
      </c>
      <c r="BW417" s="722"/>
      <c r="BX417" s="722"/>
      <c r="BY417"/>
      <c r="BZ417"/>
      <c r="CA417"/>
      <c r="CB417"/>
      <c r="CC417"/>
      <c r="CD417"/>
    </row>
    <row r="418" spans="1:82" s="2" customFormat="1" ht="12.75" customHeight="1" x14ac:dyDescent="0.2">
      <c r="A418" s="41"/>
      <c r="B418" s="42" t="s">
        <v>266</v>
      </c>
      <c r="C418" s="99">
        <f>+C414/C389*100</f>
        <v>8.3263598326359975</v>
      </c>
      <c r="D418" s="9" t="str">
        <f>IF(ISERROR(C418/#REF!),"NA",IF(OR(C418/#REF!&gt;2,C418/#REF!&lt;0.5),"NM",C418/#REF!*100-100))</f>
        <v>NA</v>
      </c>
      <c r="E418" s="99">
        <f>+E414/E389*100</f>
        <v>13.333333333333327</v>
      </c>
      <c r="F418" s="9" t="str">
        <f>IF(ISERROR(E418/#REF!),"NA",IF(OR(E418/#REF!&gt;2,E418/#REF!&lt;0.5),"NM",E418/#REF!*100-100))</f>
        <v>NA</v>
      </c>
      <c r="G418" s="99">
        <f>+G414/G389*100</f>
        <v>14.57658491439151</v>
      </c>
      <c r="H418" s="9" t="str">
        <f>IF(ISERROR(G418/#REF!),"NA",IF(OR(G418/#REF!&gt;2,G418/#REF!&lt;0.5),"NM",G418/#REF!*100-100))</f>
        <v>NA</v>
      </c>
      <c r="I418" s="99">
        <f>+I414/I389*100</f>
        <v>18.884530104042298</v>
      </c>
      <c r="J418" s="9" t="str">
        <f>IF(ISERROR(I418/#REF!),"NA",IF(OR(I418/#REF!&gt;2,I418/#REF!&lt;0.5),"NM",I418/#REF!*100-100))</f>
        <v>NA</v>
      </c>
      <c r="K418" s="99">
        <f>+K414/K389*100</f>
        <v>9.2924126172208066</v>
      </c>
      <c r="L418" s="9">
        <f>IF(ISERROR(K418/C418),"NA",IF(OR(K418/C418&gt;2,K418/C418&lt;0.5),"NM",K418/C418*100-100))</f>
        <v>11.602342488229596</v>
      </c>
      <c r="M418" s="99">
        <f>+M414/M389*100</f>
        <v>11.91709844559584</v>
      </c>
      <c r="N418" s="9">
        <f>IF(ISERROR(M418/E418),"NA",IF(OR(M418/E418&gt;2,M418/E418&lt;0.5),"NM",M418/E418*100-100))</f>
        <v>-10.621761658031147</v>
      </c>
      <c r="O418" s="99">
        <f>+O414/O389*100</f>
        <v>7.0153061224489557</v>
      </c>
      <c r="P418" s="43" t="str">
        <f>IF(ISERROR(O418/G418),"NA",IF(OR(O418/G418&gt;2,O418/G418&lt;0.5),"NM",O418/G418*100-100))</f>
        <v>NM</v>
      </c>
      <c r="Q418" s="99">
        <f>+Q414/Q389*100</f>
        <v>16.64532650448146</v>
      </c>
      <c r="R418" s="43">
        <f>IF(ISERROR(Q418/I418),"NA",IF(OR(Q418/I418&gt;2,Q418/I418&lt;0.5),"NM",Q418/I418*100-100))</f>
        <v>-11.857343482862348</v>
      </c>
      <c r="S418" s="99">
        <f>+S414/S389*100</f>
        <v>14.164648910411632</v>
      </c>
      <c r="T418" s="43">
        <f>IF(ISERROR(S418/K418),"NA",IF(OR(S418/K418&gt;2,S418/K418&lt;0.5),"NM",S418/K418*100-100))</f>
        <v>52.432414421218652</v>
      </c>
      <c r="U418" s="99">
        <f>+U414/U389*100</f>
        <v>15.291666666666663</v>
      </c>
      <c r="V418" s="43">
        <f>IF(ISERROR(U418/M418),"NA",IF(OR(U418/M418&gt;2,U418/M418&lt;0.5),"NM",U418/M418*100-100))</f>
        <v>28.317028985507363</v>
      </c>
      <c r="W418" s="99">
        <f>+W414/W389*100</f>
        <v>17.671083097504507</v>
      </c>
      <c r="X418" s="43" t="str">
        <f>IF(ISERROR(W418/O418),"NA",IF(OR(W418/O418&gt;2,W418/O418&lt;0.5),"NM",W418/O418*100-100))</f>
        <v>NM</v>
      </c>
      <c r="Y418" s="99">
        <f>+Y414/Y389*100</f>
        <v>12.463404433291515</v>
      </c>
      <c r="Z418" s="43">
        <f>IF(ISERROR(Y418/Q418),"NA",IF(OR(Y418/Q418&gt;2,Y418/Q418&lt;0.5),"NM",Y418/Q418*100-100))</f>
        <v>-25.123701058456476</v>
      </c>
      <c r="AA418" s="99">
        <f>+AA414/AA389*100</f>
        <v>16.418495297805634</v>
      </c>
      <c r="AB418" s="43">
        <f>IF(ISERROR(AA418/S418),"NA",IF(OR(AA418/S418&gt;2,AA418/S418&lt;0.5),"NM",AA418/S418*100-100))</f>
        <v>15.911770222114924</v>
      </c>
      <c r="AC418" s="99">
        <f>+AC414/AC389*100</f>
        <v>14.786767636508555</v>
      </c>
      <c r="AD418" s="43">
        <f>IF(ISERROR(AC418/U418),"NA",IF(OR(AC418/U418&gt;2,AC418/U418&lt;0.5),"NM",AC418/U418*100-100))</f>
        <v>-3.3017920228323021</v>
      </c>
      <c r="AE418" s="99">
        <f>+AE414/AE389*100</f>
        <v>16.390041493775964</v>
      </c>
      <c r="AF418" s="43">
        <f>IF(ISERROR(AE418/W418),"NA",IF(OR(AE418/W418&gt;2,AE418/W418&lt;0.5),"NM",AE418/W418*100-100))</f>
        <v>-7.2493666441388172</v>
      </c>
      <c r="AG418" s="99">
        <f>+AG414/AG389*100</f>
        <v>14.056224899598394</v>
      </c>
      <c r="AH418" s="9">
        <f>IF(ISERROR(AG418/Y418),"NA",IF(OR(AG418/Y418&gt;2,AG418/Y418&lt;0.5),"NM",AG418/Y418*100-100))</f>
        <v>12.779978976307873</v>
      </c>
      <c r="AI418" s="99">
        <f>+AI414/AI389*100</f>
        <v>15.074074074074071</v>
      </c>
      <c r="AJ418" s="9">
        <f t="shared" si="2291"/>
        <v>-8.1884557588614513</v>
      </c>
      <c r="AK418" s="99">
        <f>+AK414/AK389*100</f>
        <v>13.989637305699484</v>
      </c>
      <c r="AL418" s="9">
        <f t="shared" si="2292"/>
        <v>-5.3908355795147287</v>
      </c>
      <c r="AM418" s="99">
        <f>+AM414/AM389*100</f>
        <v>16.946676406135861</v>
      </c>
      <c r="AN418" s="9">
        <f t="shared" si="2293"/>
        <v>3.3961775665502358</v>
      </c>
      <c r="AO418" s="99">
        <f>+AO414/AO389*100</f>
        <v>18.002236302646295</v>
      </c>
      <c r="AP418" s="9">
        <f t="shared" si="2294"/>
        <v>28.073052553112205</v>
      </c>
      <c r="AQ418" s="99">
        <f t="shared" ref="AQ418:AW418" si="2302">+AQ414/AQ389*100</f>
        <v>13.691017517704058</v>
      </c>
      <c r="AR418" s="9">
        <f t="shared" si="2296"/>
        <v>-9.1750680643710893</v>
      </c>
      <c r="AS418" s="99">
        <f t="shared" si="2302"/>
        <v>14.500372717107727</v>
      </c>
      <c r="AT418" s="9">
        <f t="shared" si="2297"/>
        <v>3.6508123852515126</v>
      </c>
      <c r="AU418" s="99">
        <f t="shared" si="2302"/>
        <v>15.714405516213207</v>
      </c>
      <c r="AV418" s="9">
        <f t="shared" si="2298"/>
        <v>-7.2714605530349843</v>
      </c>
      <c r="AW418" s="99">
        <f t="shared" si="2302"/>
        <v>16.523760715616852</v>
      </c>
      <c r="AX418" s="9">
        <f t="shared" si="2299"/>
        <v>-8.2127329192546483</v>
      </c>
      <c r="AY418" s="287"/>
      <c r="AZ418" s="99"/>
      <c r="BA418" s="9"/>
      <c r="BB418" s="99">
        <f>+BB414/BB389*100</f>
        <v>13.690289426150985</v>
      </c>
      <c r="BC418" s="9" t="str">
        <f>IF(ISERROR(BB418/#REF!),"NA",IF(OR(BB418/#REF!&gt;2,BB418/#REF!&lt;0.5),"NM",BB418/#REF!*100-100))</f>
        <v>NA</v>
      </c>
      <c r="BD418" s="849">
        <f>+BD414/BD389*100</f>
        <v>11.21085818104094</v>
      </c>
      <c r="BE418" s="9">
        <f>IF(ISERROR(BD418/BB418),"NA",IF(OR(BD418/BB418&gt;2,BD418/BB418&lt;0.5),"NM",BD418/BB418*100-100))</f>
        <v>-18.110875292189746</v>
      </c>
      <c r="BF418" s="99">
        <f>+BF414/BF389*100</f>
        <v>14.891753521294943</v>
      </c>
      <c r="BG418" s="9">
        <f>IF(ISERROR(BF418/BD418),"NA",IF(OR(BF418/BD418&gt;2,BF418/BD418&lt;0.5),"NM",BF418/BD418*100-100))</f>
        <v>32.83330571854782</v>
      </c>
      <c r="BH418" s="99">
        <f>+BH414/BH389*100</f>
        <v>15.410099387611655</v>
      </c>
      <c r="BI418" s="9">
        <f>IF(ISERROR(BH418/BF418),"NA",IF(OR(BH418/BF418&gt;2,BH418/BF418&lt;0.5),"NM",BH418/BF418*100-100))</f>
        <v>3.4807577601622768</v>
      </c>
      <c r="BJ418" s="99">
        <f>+BJ414/BJ389*100</f>
        <v>16.002956666358685</v>
      </c>
      <c r="BK418" s="9">
        <f>IF(ISERROR(BJ418/BH418),"NA",IF(OR(BJ418/BH418&gt;2,BJ418/BH418&lt;0.5),"NM",BJ418/BH418*100-100))</f>
        <v>3.8471995788919742</v>
      </c>
      <c r="BL418" s="99">
        <f>+BL414/BL389*100</f>
        <v>15.119468795848665</v>
      </c>
      <c r="BM418" s="9">
        <f>IF(ISERROR(BL418/BJ418),"NA",IF(OR(BL418/BJ418&gt;2,BL418/BJ418&lt;0.5),"NM",BL418/BJ418*100-100))</f>
        <v>-5.52077899684177</v>
      </c>
      <c r="BN418" s="99">
        <f>+BN414/BN389*100</f>
        <v>15.281339835729366</v>
      </c>
      <c r="BO418" s="9">
        <f>IF(ISERROR(BN418/BL418),"NA",IF(OR(BN418/BL418&gt;2,BN418/BL418&lt;0.5),"NM",BN418/BL418*100-100))</f>
        <v>1.0706132739607028</v>
      </c>
      <c r="BP418" s="99">
        <f>+BP414/BP389*100</f>
        <v>14.795726716087177</v>
      </c>
      <c r="BQ418" s="9">
        <f>IF(ISERROR(BP418/BN418),"NA",IF(OR(BP418/BN418&gt;2,BP418/BN418&lt;0.5),"NM",BP418/BN418*100-100))</f>
        <v>-3.1778176839361549</v>
      </c>
      <c r="BR418" s="99">
        <f>+BR414/BR389*100</f>
        <v>14.471984636325724</v>
      </c>
      <c r="BS418" s="9">
        <f>IF(ISERROR(BR418/BP418),"NA",IF(OR(BR418/BP418&gt;2,BR418/BP418&lt;0.5),"NM",BR418/BP418*100-100))</f>
        <v>-2.1880782605254012</v>
      </c>
      <c r="BT418" s="99">
        <f>+BT414/BT389*100</f>
        <v>14.148242556564238</v>
      </c>
      <c r="BU418" s="9">
        <f>IF(ISERROR(BT418/BR418),"NA",IF(OR(BT418/BR418&gt;2,BT418/BR418&lt;0.5),"NM",BT418/BR418*100-100))</f>
        <v>-2.2370261432483147</v>
      </c>
      <c r="BV418" s="43">
        <f>IF(ISERROR(((BT418/BJ418)^0.2-1)*100),"NA",IF((((BT418/BJ418)^0.2-1)*100)&gt;100,"NM",IF((((BT418/BJ418)^0.2-1)*100)&lt;-50,"NM",((BT418/BJ418)^0.2-1)*100)))</f>
        <v>-2.4335611824040648</v>
      </c>
      <c r="BW418" s="722"/>
      <c r="BX418" s="722"/>
      <c r="BY418"/>
      <c r="BZ418"/>
      <c r="CA418"/>
      <c r="CB418"/>
      <c r="CC418"/>
      <c r="CD418"/>
    </row>
    <row r="419" spans="1:82" s="2" customFormat="1" ht="12.75" customHeight="1" x14ac:dyDescent="0.2">
      <c r="A419" s="41"/>
      <c r="B419" s="42" t="s">
        <v>662</v>
      </c>
      <c r="C419" s="99"/>
      <c r="D419" s="9"/>
      <c r="E419" s="99"/>
      <c r="F419" s="9"/>
      <c r="G419" s="99"/>
      <c r="H419" s="9"/>
      <c r="I419" s="99"/>
      <c r="J419" s="9"/>
      <c r="K419" s="99"/>
      <c r="L419" s="9"/>
      <c r="M419" s="99"/>
      <c r="N419" s="9"/>
      <c r="O419" s="99"/>
      <c r="P419" s="43"/>
      <c r="Q419" s="99"/>
      <c r="R419" s="43"/>
      <c r="S419" s="99"/>
      <c r="T419" s="43"/>
      <c r="U419" s="99"/>
      <c r="V419" s="43"/>
      <c r="W419" s="99">
        <f>+(W407+U407+S407+Q407)/(W389+U389+S389+Q389)*100</f>
        <v>22.708831790283998</v>
      </c>
      <c r="X419" s="43"/>
      <c r="Y419" s="99">
        <f>+(Y407+W407+U407+S407)/(Y389+W389+U389+S389)*100</f>
        <v>21.643722181968744</v>
      </c>
      <c r="Z419" s="43"/>
      <c r="AA419" s="99">
        <f>+(AA407+Y407+W407+U407)/(AA389+Y389+W389+U389)*100</f>
        <v>22.177709296353363</v>
      </c>
      <c r="AB419" s="43"/>
      <c r="AC419" s="99">
        <f>+(AC407+AA407+Y407+W407)/(AC389+AA389+Y389+W389)*100</f>
        <v>21.972775294595685</v>
      </c>
      <c r="AD419" s="43"/>
      <c r="AE419" s="99">
        <f>+(AE407+AC407+AA407+Y407)/(AE389+AC389+AA389+Y389)*100</f>
        <v>10.657067531940786</v>
      </c>
      <c r="AF419" s="43"/>
      <c r="AG419" s="99">
        <f>+(AG407+AE407+AC407+AA407)/(AG389+AE389+AC389+AA389)*100</f>
        <v>11.073185423150287</v>
      </c>
      <c r="AH419" s="9"/>
      <c r="AI419" s="99">
        <f>+(AI407+AG407+AE407+AC407)/(AI389+AG389+AE389+AC389)*100</f>
        <v>10.792363240676629</v>
      </c>
      <c r="AJ419" s="9"/>
      <c r="AK419" s="99">
        <f>+(AK407+AI407+AG407+AE407)/(AK389+AI389+AG389+AE389)*100</f>
        <v>10.949330227140369</v>
      </c>
      <c r="AL419" s="9"/>
      <c r="AM419" s="99">
        <f>+(AM407+AK407+AI407+AG407)/(AM389+AK389+AI389+AG389)*100</f>
        <v>10.903104421448727</v>
      </c>
      <c r="AN419" s="9"/>
      <c r="AO419" s="99">
        <f>+(AO407+AM407+AK407+AI407)/(AO389+AM389+AK389+AI389)*100</f>
        <v>11.937540423172873</v>
      </c>
      <c r="AP419" s="9"/>
      <c r="AQ419" s="99">
        <f t="shared" ref="AQ419" si="2303">+(AQ407+AO407+AM407+AK407)/(AQ389+AO389+AM389+AK389)*100</f>
        <v>11.594415309757467</v>
      </c>
      <c r="AR419" s="9"/>
      <c r="AS419" s="99">
        <f t="shared" ref="AS419" si="2304">+(AS407+AQ407+AO407+AM407)/(AS389+AQ389+AO389+AM389)*100</f>
        <v>11.454690747953054</v>
      </c>
      <c r="AT419" s="9"/>
      <c r="AU419" s="99">
        <f t="shared" ref="AU419" si="2305">+(AU407+AS407+AQ407+AO407)/(AU389+AS389+AQ389+AO389)*100</f>
        <v>15.46954646154628</v>
      </c>
      <c r="AV419" s="9"/>
      <c r="AW419" s="99">
        <f t="shared" ref="AW419" si="2306">+(AW407+AU407+AS407+AQ407)/(AW389+AU389+AS389+AQ389)*100</f>
        <v>15.119468795848665</v>
      </c>
      <c r="AX419" s="9"/>
      <c r="AY419" s="287"/>
      <c r="AZ419" s="99"/>
      <c r="BA419" s="9"/>
      <c r="BB419" s="99"/>
      <c r="BC419" s="9"/>
      <c r="BD419" s="849"/>
      <c r="BE419" s="9"/>
      <c r="BF419" s="99"/>
      <c r="BG419" s="9"/>
      <c r="BH419" s="99"/>
      <c r="BI419" s="9"/>
      <c r="BJ419" s="99"/>
      <c r="BK419" s="9"/>
      <c r="BL419" s="99"/>
      <c r="BM419" s="9"/>
      <c r="BN419" s="99"/>
      <c r="BO419" s="9"/>
      <c r="BP419" s="99"/>
      <c r="BQ419" s="9"/>
      <c r="BR419" s="99"/>
      <c r="BS419" s="9"/>
      <c r="BT419" s="99"/>
      <c r="BU419" s="9"/>
      <c r="BV419" s="43"/>
      <c r="BW419" s="722"/>
      <c r="BX419" s="722"/>
      <c r="BY419"/>
      <c r="BZ419"/>
      <c r="CA419"/>
      <c r="CB419"/>
      <c r="CC419"/>
      <c r="CD419"/>
    </row>
    <row r="420" spans="1:82" s="2" customFormat="1" ht="12.75" customHeight="1" x14ac:dyDescent="0.2">
      <c r="A420" s="41"/>
      <c r="B420" s="42" t="s">
        <v>661</v>
      </c>
      <c r="C420" s="99">
        <f>C414/(C391-C394)*100</f>
        <v>20.389344262295111</v>
      </c>
      <c r="D420" s="9" t="e">
        <f t="shared" ref="D420:AF420" si="2307">D414/(D391-D394)*100</f>
        <v>#VALUE!</v>
      </c>
      <c r="E420" s="99">
        <f t="shared" si="2307"/>
        <v>28.598484848484844</v>
      </c>
      <c r="F420" s="9" t="e">
        <f t="shared" si="2307"/>
        <v>#VALUE!</v>
      </c>
      <c r="G420" s="99">
        <f t="shared" si="2307"/>
        <v>28.558476881233041</v>
      </c>
      <c r="H420" s="9" t="e">
        <f t="shared" si="2307"/>
        <v>#VALUE!</v>
      </c>
      <c r="I420" s="99">
        <f t="shared" si="2307"/>
        <v>34.53740096075861</v>
      </c>
      <c r="J420" s="9" t="e">
        <f t="shared" si="2307"/>
        <v>#VALUE!</v>
      </c>
      <c r="K420" s="99"/>
      <c r="L420" s="9">
        <f t="shared" si="2307"/>
        <v>5447.0302397224668</v>
      </c>
      <c r="M420" s="99"/>
      <c r="N420" s="9">
        <f t="shared" si="2307"/>
        <v>262.15275225373136</v>
      </c>
      <c r="O420" s="99"/>
      <c r="P420" s="43">
        <f t="shared" si="2307"/>
        <v>-104.04494909172008</v>
      </c>
      <c r="Q420" s="99"/>
      <c r="R420" s="43">
        <f t="shared" si="2307"/>
        <v>450.42921296512429</v>
      </c>
      <c r="S420" s="99"/>
      <c r="T420" s="43">
        <f t="shared" si="2307"/>
        <v>1058.6180119652297</v>
      </c>
      <c r="U420" s="99"/>
      <c r="V420" s="43">
        <f t="shared" si="2307"/>
        <v>922.90983563189127</v>
      </c>
      <c r="W420" s="99">
        <f>+(W414+U414+S414+Q414)/(W389+U389+S389+Q389)*100</f>
        <v>15.923148940937359</v>
      </c>
      <c r="X420" s="43" t="e">
        <f t="shared" si="2307"/>
        <v>#VALUE!</v>
      </c>
      <c r="Y420" s="99">
        <f>+(Y414+W414+U414+S414)/(Y389+W389+U389+S389)*100</f>
        <v>14.891753521294982</v>
      </c>
      <c r="Z420" s="43">
        <f t="shared" si="2307"/>
        <v>681.85786092934188</v>
      </c>
      <c r="AA420" s="99">
        <f>+(AA414+Y414+W414+U414)/(AA389+Y389+W389+U389)*100</f>
        <v>15.477065307573781</v>
      </c>
      <c r="AB420" s="43">
        <f t="shared" si="2307"/>
        <v>607.95007461673822</v>
      </c>
      <c r="AC420" s="99">
        <f>+(AC414+AA414+Y414+W414)/(AC389+AA389+Y389+W389)*100</f>
        <v>15.346325758759724</v>
      </c>
      <c r="AD420" s="43">
        <f t="shared" si="2307"/>
        <v>141.00023054480721</v>
      </c>
      <c r="AE420" s="99">
        <f>+(AE414+AC414+AA414+Y414)/(AE389+AC389+AA389+Y389)*100</f>
        <v>15.037517744879336</v>
      </c>
      <c r="AF420" s="43">
        <f t="shared" si="2307"/>
        <v>11.114011823602416</v>
      </c>
      <c r="AG420" s="99">
        <f>+(AG414+AE414+AC414+AA414)/(AG389+AE389+AC389+AA389)*100</f>
        <v>15.410099387611687</v>
      </c>
      <c r="AH420" s="9"/>
      <c r="AI420" s="99">
        <f>+(AI414+AG414+AE414+AC414)/(AI389+AG389+AE389+AC389)*100</f>
        <v>15.065782965674154</v>
      </c>
      <c r="AJ420" s="9"/>
      <c r="AK420" s="99">
        <f>+(AK414+AI414+AG414+AE414)/(AK389+AI389+AG389+AE389)*100</f>
        <v>14.851485148514856</v>
      </c>
      <c r="AL420" s="9"/>
      <c r="AM420" s="99">
        <f>+(AM414+AK414+AI414+AG414)/(AM389+AK389+AI389+AG389)*100</f>
        <v>15.042333019755407</v>
      </c>
      <c r="AN420" s="9"/>
      <c r="AO420" s="99">
        <f>+(AO414+AM414+AK414+AI414)/(AO389+AM389+AK389+AI389)*100</f>
        <v>16.002956666358681</v>
      </c>
      <c r="AP420" s="9"/>
      <c r="AQ420" s="99">
        <f t="shared" ref="AQ420" si="2308">+(AQ414+AO414+AM414+AK414)/(AQ389+AO389+AM389+AK389)*100</f>
        <v>15.656142485389321</v>
      </c>
      <c r="AR420" s="9"/>
      <c r="AS420" s="99">
        <f t="shared" ref="AS420" si="2309">+(AS414+AQ414+AO414+AM414)/(AS389+AQ389+AO389+AM389)*100</f>
        <v>15.779409673658273</v>
      </c>
      <c r="AT420" s="9"/>
      <c r="AU420" s="99">
        <f t="shared" ref="AU420" si="2310">+(AU414+AS414+AQ414+AO414)/(AU389+AS389+AQ389+AO389)*100</f>
        <v>15.46954646154628</v>
      </c>
      <c r="AV420" s="9"/>
      <c r="AW420" s="99">
        <f t="shared" ref="AW420" si="2311">+(AW414+AU414+AS414+AQ414)/(AW389+AU389+AS389+AQ389)*100</f>
        <v>15.119468795848665</v>
      </c>
      <c r="AX420" s="9"/>
      <c r="AY420" s="287"/>
      <c r="AZ420" s="99"/>
      <c r="BA420" s="9"/>
      <c r="BB420" s="99">
        <f t="shared" ref="BB420:BD420" si="2312">BB414/(BB391-BB394)*100</f>
        <v>28.430543815159233</v>
      </c>
      <c r="BC420" s="9" t="str">
        <f>IF(ISERROR(BB420/#REF!),"NA",IF(OR(BB420/#REF!&gt;2,BB420/#REF!&lt;0.5),"NM",BB420/#REF!*100-100))</f>
        <v>NA</v>
      </c>
      <c r="BD420" s="849">
        <f t="shared" si="2312"/>
        <v>18.883888388838894</v>
      </c>
      <c r="BE420" s="9">
        <f>IF(ISERROR(BD420/BB420),"NA",IF(OR(BD420/BB420&gt;2,BD420/BB420&lt;0.5),"NM",BD420/BB420*100-100))</f>
        <v>-33.57887027553106</v>
      </c>
      <c r="BF420" s="99"/>
      <c r="BG420" s="9"/>
      <c r="BH420" s="99"/>
      <c r="BI420" s="9"/>
      <c r="BJ420" s="99"/>
      <c r="BK420" s="9"/>
      <c r="BL420" s="99"/>
      <c r="BM420" s="9"/>
      <c r="BN420" s="99"/>
      <c r="BO420" s="9"/>
      <c r="BP420" s="99"/>
      <c r="BQ420" s="9"/>
      <c r="BR420" s="99"/>
      <c r="BS420" s="9"/>
      <c r="BT420" s="99"/>
      <c r="BU420" s="9"/>
      <c r="BV420" s="43"/>
      <c r="BW420" s="722"/>
      <c r="BX420" s="722"/>
      <c r="BY420"/>
      <c r="BZ420"/>
      <c r="CA420"/>
      <c r="CB420"/>
      <c r="CC420"/>
      <c r="CD420"/>
    </row>
    <row r="421" spans="1:82" s="2" customFormat="1" ht="12.75" hidden="1" customHeight="1" outlineLevel="1" x14ac:dyDescent="0.2">
      <c r="A421" s="41"/>
      <c r="B421" s="42" t="s">
        <v>373</v>
      </c>
      <c r="C421" s="99">
        <f>+C410/C389*100</f>
        <v>6.2343096234309767</v>
      </c>
      <c r="D421" s="9" t="str">
        <f>IF(ISERROR(C421/#REF!),"NA",IF(OR(C421/#REF!&gt;2,C421/#REF!&lt;0.5),"NM",C421/#REF!*100-100))</f>
        <v>NA</v>
      </c>
      <c r="E421" s="99">
        <f>+E410/E389*100</f>
        <v>9.4922737306843228</v>
      </c>
      <c r="F421" s="9" t="str">
        <f>IF(ISERROR(E421/#REF!),"NA",IF(OR(E421/#REF!&gt;2,E421/#REF!&lt;0.5),"NM",E421/#REF!*100-100))</f>
        <v>NA</v>
      </c>
      <c r="G421" s="99">
        <f>+G410/G389*100</f>
        <v>10.319296621934315</v>
      </c>
      <c r="H421" s="9" t="str">
        <f>IF(ISERROR(G421/#REF!),"NA",IF(OR(G421/#REF!&gt;2,G421/#REF!&lt;0.5),"NM",G421/#REF!*100-100))</f>
        <v>NA</v>
      </c>
      <c r="I421" s="99">
        <f>+I410/I389*100</f>
        <v>14.456762749445669</v>
      </c>
      <c r="J421" s="9" t="str">
        <f>IF(ISERROR(I421/#REF!),"NA",IF(OR(I421/#REF!&gt;2,I421/#REF!&lt;0.5),"NM",I421/#REF!*100-100))</f>
        <v>NA</v>
      </c>
      <c r="K421" s="99">
        <f>+K410/K389*100</f>
        <v>7.3742540494458702</v>
      </c>
      <c r="L421" s="9">
        <f>IF(ISERROR(K421/C421),"NA",IF(OR(K421/C421&gt;2,K421/C421&lt;0.5),"NM",K421/C421*100-100))</f>
        <v>18.285014618628111</v>
      </c>
      <c r="M421" s="99">
        <f>+M410/M389*100</f>
        <v>8.6355785837650973</v>
      </c>
      <c r="N421" s="9">
        <f>IF(ISERROR(M421/E421),"NA",IF(OR(M421/E421&gt;2,M421/E421&lt;0.5),"NM",M421/E421*100-100))</f>
        <v>-9.0251837570792759</v>
      </c>
      <c r="O421" s="99"/>
      <c r="P421" s="43" t="str">
        <f t="shared" si="2127"/>
        <v>NM</v>
      </c>
      <c r="Q421" s="99"/>
      <c r="R421" s="43" t="str">
        <f t="shared" si="2127"/>
        <v>NM</v>
      </c>
      <c r="S421" s="99"/>
      <c r="T421" s="43" t="str">
        <f t="shared" si="2127"/>
        <v>NM</v>
      </c>
      <c r="U421" s="99"/>
      <c r="V421" s="43" t="str">
        <f t="shared" si="2127"/>
        <v>NM</v>
      </c>
      <c r="W421" s="99"/>
      <c r="X421" s="43" t="str">
        <f t="shared" si="2128"/>
        <v>NA</v>
      </c>
      <c r="Y421" s="99"/>
      <c r="Z421" s="43" t="str">
        <f t="shared" si="2129"/>
        <v>NA</v>
      </c>
      <c r="AA421" s="99"/>
      <c r="AB421" s="43" t="str">
        <f t="shared" si="2130"/>
        <v>NA</v>
      </c>
      <c r="AC421" s="99"/>
      <c r="AD421" s="43" t="str">
        <f t="shared" si="2131"/>
        <v>NA</v>
      </c>
      <c r="AE421" s="99"/>
      <c r="AF421" s="43" t="str">
        <f t="shared" si="2132"/>
        <v>NA</v>
      </c>
      <c r="AG421" s="99"/>
      <c r="AH421" s="9" t="str">
        <f>IF(ISERROR(AG421/Y421),"NA",IF(OR(AG421/Y421&gt;2,AG421/Y421&lt;0.5),"NM",AG421/Y421*100-100))</f>
        <v>NA</v>
      </c>
      <c r="AI421" s="99"/>
      <c r="AJ421" s="9" t="str">
        <f t="shared" ref="AJ421" si="2313">IF(ISERROR(AI421/AA421),"NA",IF(OR(AI421/AA421&gt;2,AI421/AA421&lt;0.5),"NM",AI421/AA421*100-100))</f>
        <v>NA</v>
      </c>
      <c r="AK421" s="99"/>
      <c r="AL421" s="9" t="str">
        <f t="shared" ref="AL421" si="2314">IF(ISERROR(AK421/AC421),"NA",IF(OR(AK421/AC421&gt;2,AK421/AC421&lt;0.5),"NM",AK421/AC421*100-100))</f>
        <v>NA</v>
      </c>
      <c r="AM421" s="99"/>
      <c r="AN421" s="9" t="str">
        <f t="shared" ref="AN421" si="2315">IF(ISERROR(AM421/AE421),"NA",IF(OR(AM421/AE421&gt;2,AM421/AE421&lt;0.5),"NM",AM421/AE421*100-100))</f>
        <v>NA</v>
      </c>
      <c r="AO421" s="99"/>
      <c r="AP421" s="9" t="str">
        <f t="shared" ref="AP421" si="2316">IF(ISERROR(AO421/AG421),"NA",IF(OR(AO421/AG421&gt;2,AO421/AG421&lt;0.5),"NM",AO421/AG421*100-100))</f>
        <v>NA</v>
      </c>
      <c r="AQ421" s="99"/>
      <c r="AR421" s="9" t="str">
        <f t="shared" ref="AR421" si="2317">IF(ISERROR(AQ421/AI421),"NA",IF(OR(AQ421/AI421&gt;2,AQ421/AI421&lt;0.5),"NM",AQ421/AI421*100-100))</f>
        <v>NA</v>
      </c>
      <c r="AS421" s="99"/>
      <c r="AT421" s="9" t="str">
        <f t="shared" ref="AT421" si="2318">IF(ISERROR(AS421/AK421),"NA",IF(OR(AS421/AK421&gt;2,AS421/AK421&lt;0.5),"NM",AS421/AK421*100-100))</f>
        <v>NA</v>
      </c>
      <c r="AU421" s="99"/>
      <c r="AV421" s="9" t="str">
        <f t="shared" ref="AV421" si="2319">IF(ISERROR(AU421/AM421),"NA",IF(OR(AU421/AM421&gt;2,AU421/AM421&lt;0.5),"NM",AU421/AM421*100-100))</f>
        <v>NA</v>
      </c>
      <c r="AW421" s="99"/>
      <c r="AX421" s="9" t="str">
        <f t="shared" ref="AX421" si="2320">IF(ISERROR(AW421/AO421),"NA",IF(OR(AW421/AO421&gt;2,AW421/AO421&lt;0.5),"NM",AW421/AO421*100-100))</f>
        <v>NA</v>
      </c>
      <c r="AY421" s="287"/>
      <c r="AZ421" s="99"/>
      <c r="BA421" s="9" t="str">
        <f>IF(ISERROR(#REF!/#REF!),"NA",IF(OR(#REF!/#REF!&gt;2,#REF!/#REF!&lt;0.5),"NM",#REF!/#REF!*100-100))</f>
        <v>NA</v>
      </c>
      <c r="BB421" s="99"/>
      <c r="BC421" s="9" t="str">
        <f>IF(ISERROR(BB421/#REF!),"NA",IF(OR(BB421/#REF!&gt;2,BB421/#REF!&lt;0.5),"NM",BB421/#REF!*100-100))</f>
        <v>NA</v>
      </c>
      <c r="BD421" s="849"/>
      <c r="BE421" s="9" t="str">
        <f>IF(ISERROR(BD421/BB421),"NA",IF(OR(BD421/BB421&gt;2,BD421/BB421&lt;0.5),"NM",BD421/BB421*100-100))</f>
        <v>NA</v>
      </c>
      <c r="BF421" s="99">
        <f>+BF410/BF389*100</f>
        <v>0</v>
      </c>
      <c r="BG421" s="9" t="str">
        <f>IF(ISERROR(BF421/BD421),"NA",IF(OR(BF421/BD421&gt;2,BF421/BD421&lt;0.5),"NM",BF421/BD421*100-100))</f>
        <v>NA</v>
      </c>
      <c r="BH421" s="99">
        <f>+BH410/BH389*100</f>
        <v>0</v>
      </c>
      <c r="BI421" s="9" t="str">
        <f>IF(ISERROR(BH421/BF421),"NA",IF(OR(BH421/BF421&gt;2,BH421/BF421&lt;0.5),"NM",BH421/BF421*100-100))</f>
        <v>NA</v>
      </c>
      <c r="BJ421" s="99">
        <f>+BJ410/BJ389*100</f>
        <v>0</v>
      </c>
      <c r="BK421" s="9" t="str">
        <f>IF(ISERROR(BJ421/BH421),"NA",IF(OR(BJ421/BH421&gt;2,BJ421/BH421&lt;0.5),"NM",BJ421/BH421*100-100))</f>
        <v>NA</v>
      </c>
      <c r="BL421" s="99">
        <f>+BL410/BL389*100</f>
        <v>0</v>
      </c>
      <c r="BM421" s="9" t="str">
        <f>IF(ISERROR(BL421/BJ421),"NA",IF(OR(BL421/BJ421&gt;2,BL421/BJ421&lt;0.5),"NM",BL421/BJ421*100-100))</f>
        <v>NA</v>
      </c>
      <c r="BN421" s="99">
        <f>+BN410/BN389*100</f>
        <v>0</v>
      </c>
      <c r="BO421" s="9" t="str">
        <f>IF(ISERROR(BN421/BL421),"NA",IF(OR(BN421/BL421&gt;2,BN421/BL421&lt;0.5),"NM",BN421/BL421*100-100))</f>
        <v>NA</v>
      </c>
      <c r="BP421" s="99">
        <f>+BP410/BP389*100</f>
        <v>0</v>
      </c>
      <c r="BQ421" s="9" t="str">
        <f>IF(ISERROR(BP421/BN421),"NA",IF(OR(BP421/BN421&gt;2,BP421/BN421&lt;0.5),"NM",BP421/BN421*100-100))</f>
        <v>NA</v>
      </c>
      <c r="BR421" s="99">
        <f>+BR410/BR389*100</f>
        <v>0</v>
      </c>
      <c r="BS421" s="9" t="str">
        <f>IF(ISERROR(BR421/BP421),"NA",IF(OR(BR421/BP421&gt;2,BR421/BP421&lt;0.5),"NM",BR421/BP421*100-100))</f>
        <v>NA</v>
      </c>
      <c r="BT421" s="99">
        <f>+BT410/BT389*100</f>
        <v>0</v>
      </c>
      <c r="BU421" s="9" t="str">
        <f>IF(ISERROR(BT421/BR421),"NA",IF(OR(BT421/BR421&gt;2,BT421/BR421&lt;0.5),"NM",BT421/BR421*100-100))</f>
        <v>NA</v>
      </c>
      <c r="BV421" s="43" t="str">
        <f>IF(ISERROR(((BT421/BJ421)^0.2-1)*100),"NA",IF((((BT421/BJ421)^0.2-1)*100)&gt;100,"NM",IF((((BT421/BJ421)^0.2-1)*100)&lt;-50,"NM",((BT421/BJ421)^0.2-1)*100)))</f>
        <v>NA</v>
      </c>
      <c r="BW421" s="722"/>
      <c r="BX421" s="722"/>
      <c r="BY421"/>
      <c r="BZ421"/>
      <c r="CA421"/>
      <c r="CB421"/>
      <c r="CC421"/>
      <c r="CD421"/>
    </row>
    <row r="422" spans="1:82" s="2" customFormat="1" ht="12.75" customHeight="1" collapsed="1" x14ac:dyDescent="0.2">
      <c r="A422" s="41"/>
      <c r="B422" s="42"/>
      <c r="C422" s="15"/>
      <c r="D422" s="40"/>
      <c r="E422" s="15"/>
      <c r="F422" s="40"/>
      <c r="G422" s="15"/>
      <c r="H422" s="40"/>
      <c r="I422" s="15"/>
      <c r="J422" s="40"/>
      <c r="K422" s="15"/>
      <c r="L422" s="40"/>
      <c r="M422" s="15"/>
      <c r="N422" s="40"/>
      <c r="O422" s="15"/>
      <c r="P422" s="43"/>
      <c r="Q422" s="15"/>
      <c r="R422" s="43"/>
      <c r="S422" s="15"/>
      <c r="T422" s="43"/>
      <c r="U422" s="15"/>
      <c r="V422" s="43"/>
      <c r="W422" s="15"/>
      <c r="X422" s="43"/>
      <c r="Y422" s="15"/>
      <c r="Z422" s="43"/>
      <c r="AA422" s="15"/>
      <c r="AB422" s="43"/>
      <c r="AC422" s="15"/>
      <c r="AD422" s="43"/>
      <c r="AE422" s="15"/>
      <c r="AF422" s="43"/>
      <c r="AG422" s="15"/>
      <c r="AH422" s="40"/>
      <c r="AI422" s="15"/>
      <c r="AJ422" s="40"/>
      <c r="AK422" s="15"/>
      <c r="AL422" s="40"/>
      <c r="AM422" s="15"/>
      <c r="AN422" s="40"/>
      <c r="AO422" s="15"/>
      <c r="AP422" s="40"/>
      <c r="AQ422" s="15"/>
      <c r="AR422" s="40"/>
      <c r="AS422" s="15"/>
      <c r="AT422" s="40"/>
      <c r="AU422" s="15"/>
      <c r="AV422" s="40"/>
      <c r="AW422" s="15"/>
      <c r="AX422" s="40"/>
      <c r="AY422" s="287"/>
      <c r="AZ422" s="15"/>
      <c r="BA422" s="40"/>
      <c r="BB422" s="15"/>
      <c r="BC422" s="9"/>
      <c r="BD422" s="924"/>
      <c r="BE422" s="9"/>
      <c r="BF422" s="15"/>
      <c r="BG422" s="9"/>
      <c r="BH422" s="15"/>
      <c r="BI422" s="9"/>
      <c r="BJ422" s="15"/>
      <c r="BK422" s="9"/>
      <c r="BL422" s="15"/>
      <c r="BM422" s="9"/>
      <c r="BN422" s="15"/>
      <c r="BO422" s="9"/>
      <c r="BP422" s="15"/>
      <c r="BQ422" s="9"/>
      <c r="BR422" s="15"/>
      <c r="BS422" s="9"/>
      <c r="BT422" s="15"/>
      <c r="BU422" s="9"/>
      <c r="BV422" s="722"/>
      <c r="BW422" s="722"/>
      <c r="BX422" s="722"/>
      <c r="BY422"/>
      <c r="BZ422"/>
      <c r="CA422"/>
      <c r="CB422"/>
      <c r="CC422"/>
      <c r="CD422"/>
    </row>
    <row r="423" spans="1:82" s="2" customFormat="1" ht="12.75" customHeight="1" x14ac:dyDescent="0.2">
      <c r="A423" s="41"/>
      <c r="B423" s="80" t="s">
        <v>396</v>
      </c>
      <c r="C423" s="15"/>
      <c r="D423" s="40"/>
      <c r="E423" s="15"/>
      <c r="F423" s="40"/>
      <c r="G423" s="15"/>
      <c r="H423" s="40"/>
      <c r="I423" s="15"/>
      <c r="J423" s="40"/>
      <c r="K423" s="15"/>
      <c r="L423" s="40"/>
      <c r="M423" s="15"/>
      <c r="N423" s="40"/>
      <c r="O423" s="15"/>
      <c r="P423" s="43"/>
      <c r="Q423" s="15"/>
      <c r="R423" s="43"/>
      <c r="S423" s="15"/>
      <c r="T423" s="43"/>
      <c r="U423" s="15"/>
      <c r="V423" s="43"/>
      <c r="W423" s="15"/>
      <c r="X423" s="43"/>
      <c r="Y423" s="15"/>
      <c r="Z423" s="43"/>
      <c r="AA423" s="15"/>
      <c r="AB423" s="43"/>
      <c r="AC423" s="15"/>
      <c r="AD423" s="43"/>
      <c r="AE423" s="15"/>
      <c r="AF423" s="43"/>
      <c r="AG423" s="15"/>
      <c r="AH423" s="40"/>
      <c r="AI423" s="15"/>
      <c r="AJ423" s="40"/>
      <c r="AK423" s="15"/>
      <c r="AL423" s="40"/>
      <c r="AM423" s="15"/>
      <c r="AN423" s="40"/>
      <c r="AO423" s="15"/>
      <c r="AP423" s="40"/>
      <c r="AQ423" s="15"/>
      <c r="AR423" s="40"/>
      <c r="AS423" s="15"/>
      <c r="AT423" s="40"/>
      <c r="AU423" s="15"/>
      <c r="AV423" s="40"/>
      <c r="AW423" s="15"/>
      <c r="AX423" s="40"/>
      <c r="AY423" s="287"/>
      <c r="AZ423" s="15"/>
      <c r="BA423" s="40"/>
      <c r="BB423" s="15"/>
      <c r="BC423" s="40"/>
      <c r="BD423" s="924"/>
      <c r="BE423" s="40"/>
      <c r="BF423" s="15"/>
      <c r="BG423" s="40"/>
      <c r="BH423" s="15"/>
      <c r="BI423" s="40"/>
      <c r="BJ423" s="15"/>
      <c r="BK423" s="40"/>
      <c r="BL423" s="15"/>
      <c r="BM423" s="40"/>
      <c r="BN423" s="15"/>
      <c r="BO423" s="40"/>
      <c r="BP423" s="15"/>
      <c r="BQ423" s="40"/>
      <c r="BR423" s="15"/>
      <c r="BS423" s="40"/>
      <c r="BT423" s="15"/>
      <c r="BU423" s="40"/>
      <c r="BV423" s="722"/>
      <c r="BW423" s="722"/>
      <c r="BX423" s="722"/>
      <c r="BY423"/>
      <c r="BZ423"/>
      <c r="CA423"/>
      <c r="CB423"/>
      <c r="CC423"/>
      <c r="CD423"/>
    </row>
    <row r="424" spans="1:82" s="2" customFormat="1" ht="12.75" customHeight="1" x14ac:dyDescent="0.2">
      <c r="A424" s="41"/>
      <c r="B424" s="7" t="s">
        <v>158</v>
      </c>
      <c r="C424" s="101">
        <v>61.1</v>
      </c>
      <c r="D424" s="40" t="str">
        <f>IF(ISERROR(C424/#REF!),"NA",IF(OR(C424/#REF!&gt;2,C424/#REF!&lt;0.5),"NM",C424/#REF!*100-100))</f>
        <v>NA</v>
      </c>
      <c r="E424" s="101">
        <v>65</v>
      </c>
      <c r="F424" s="40" t="str">
        <f>IF(ISERROR(E424/#REF!),"NA",IF(OR(E424/#REF!&gt;2,E424/#REF!&lt;0.5),"NM",E424/#REF!*100-100))</f>
        <v>NA</v>
      </c>
      <c r="G424" s="101">
        <v>60</v>
      </c>
      <c r="H424" s="9" t="str">
        <f>IF(ISERROR(G424/#REF!),"NA",IF(OR(G424/#REF!&gt;2,G424/#REF!&lt;0.5),"NM",G424/#REF!*100-100))</f>
        <v>NA</v>
      </c>
      <c r="I424" s="101">
        <v>64.7</v>
      </c>
      <c r="J424" s="40" t="str">
        <f>IF(ISERROR(I424/#REF!),"NA",IF(OR(I424/#REF!&gt;2,I424/#REF!&lt;0.5),"NM",I424/#REF!*100-100))</f>
        <v>NA</v>
      </c>
      <c r="K424" s="101">
        <v>70.2</v>
      </c>
      <c r="L424" s="40">
        <f>IF(ISERROR(K424/C424),"NA",IF(OR(K424/C424&gt;2,K424/C424&lt;0.5),"NM",K424/C424*100-100))</f>
        <v>14.893617021276611</v>
      </c>
      <c r="M424" s="101">
        <v>66.2</v>
      </c>
      <c r="N424" s="9">
        <f>IF(ISERROR(M424/E424),"NA",IF(OR(M424/E424&gt;2,M424/E424&lt;0.5),"NM",M424/E424*100-100))</f>
        <v>1.8461538461538538</v>
      </c>
      <c r="O424" s="101">
        <v>61</v>
      </c>
      <c r="P424" s="43">
        <f t="shared" si="2127"/>
        <v>1.6666666666666572</v>
      </c>
      <c r="Q424" s="101">
        <v>60.7</v>
      </c>
      <c r="R424" s="43">
        <f t="shared" si="2127"/>
        <v>-6.1823802163833079</v>
      </c>
      <c r="S424" s="101">
        <v>68.099999999999994</v>
      </c>
      <c r="T424" s="43">
        <f t="shared" si="2127"/>
        <v>-2.9914529914530021</v>
      </c>
      <c r="U424" s="101">
        <v>61.9</v>
      </c>
      <c r="V424" s="43">
        <f t="shared" si="2127"/>
        <v>-6.4954682779456334</v>
      </c>
      <c r="W424" s="101">
        <v>60.2</v>
      </c>
      <c r="X424" s="43">
        <f t="shared" si="2128"/>
        <v>-1.3114754098360635</v>
      </c>
      <c r="Y424" s="101">
        <v>57.7</v>
      </c>
      <c r="Z424" s="43"/>
      <c r="AA424" s="101">
        <v>67.400000000000006</v>
      </c>
      <c r="AB424" s="43"/>
      <c r="AC424" s="101">
        <v>59.1</v>
      </c>
      <c r="AD424" s="43"/>
      <c r="AE424" s="101">
        <v>67.400000000000006</v>
      </c>
      <c r="AF424" s="43"/>
      <c r="AG424" s="101">
        <v>64.599999999999994</v>
      </c>
      <c r="AH424" s="9">
        <f>IF(ISERROR(AG424/Y424),"NA",IF(OR(AG424/Y424&gt;2,AG424/Y424&lt;0.5),"NM",AG424/Y424*100-100))</f>
        <v>11.958405545927192</v>
      </c>
      <c r="AI424" s="101">
        <v>73.5</v>
      </c>
      <c r="AJ424" s="9">
        <f t="shared" ref="AJ424" si="2321">IF(ISERROR(AI424/AA424),"NA",IF(OR(AI424/AA424&gt;2,AI424/AA424&lt;0.5),"NM",AI424/AA424*100-100))</f>
        <v>9.0504451038575553</v>
      </c>
      <c r="AK424" s="101">
        <v>66.7</v>
      </c>
      <c r="AL424" s="9">
        <f t="shared" ref="AL424" si="2322">IF(ISERROR(AK424/AC424),"NA",IF(OR(AK424/AC424&gt;2,AK424/AC424&lt;0.5),"NM",AK424/AC424*100-100))</f>
        <v>12.859560067681898</v>
      </c>
      <c r="AM424" s="101">
        <v>62.1</v>
      </c>
      <c r="AN424" s="9">
        <f t="shared" ref="AN424" si="2323">IF(ISERROR(AM424/AE424),"NA",IF(OR(AM424/AE424&gt;2,AM424/AE424&lt;0.5),"NM",AM424/AE424*100-100))</f>
        <v>-7.863501483679542</v>
      </c>
      <c r="AO424" s="101">
        <v>64.2</v>
      </c>
      <c r="AP424" s="9">
        <f t="shared" ref="AP424" si="2324">IF(ISERROR(AO424/AG424),"NA",IF(OR(AO424/AG424&gt;2,AO424/AG424&lt;0.5),"NM",AO424/AG424*100-100))</f>
        <v>-0.61919504643961432</v>
      </c>
      <c r="AQ424" s="101"/>
      <c r="AR424" s="9" t="str">
        <f t="shared" ref="AR424" si="2325">IF(ISERROR(AQ424/AI424),"NA",IF(OR(AQ424/AI424&gt;2,AQ424/AI424&lt;0.5),"NM",AQ424/AI424*100-100))</f>
        <v>NM</v>
      </c>
      <c r="AS424" s="101"/>
      <c r="AT424" s="9" t="str">
        <f t="shared" ref="AT424" si="2326">IF(ISERROR(AS424/AK424),"NA",IF(OR(AS424/AK424&gt;2,AS424/AK424&lt;0.5),"NM",AS424/AK424*100-100))</f>
        <v>NM</v>
      </c>
      <c r="AU424" s="101"/>
      <c r="AV424" s="9" t="str">
        <f t="shared" ref="AV424" si="2327">IF(ISERROR(AU424/AM424),"NA",IF(OR(AU424/AM424&gt;2,AU424/AM424&lt;0.5),"NM",AU424/AM424*100-100))</f>
        <v>NM</v>
      </c>
      <c r="AW424" s="101"/>
      <c r="AX424" s="9" t="str">
        <f t="shared" ref="AX424" si="2328">IF(ISERROR(AW424/AO424),"NA",IF(OR(AW424/AO424&gt;2,AW424/AO424&lt;0.5),"NM",AW424/AO424*100-100))</f>
        <v>NM</v>
      </c>
      <c r="AY424" s="287"/>
      <c r="AZ424" s="15"/>
      <c r="BA424" s="40"/>
      <c r="BB424" s="99"/>
      <c r="BC424" s="40"/>
      <c r="BD424" s="849"/>
      <c r="BE424" s="40"/>
      <c r="BF424" s="99"/>
      <c r="BG424" s="40"/>
      <c r="BH424" s="99"/>
      <c r="BI424" s="40"/>
      <c r="BJ424" s="99"/>
      <c r="BK424" s="40"/>
      <c r="BL424" s="99"/>
      <c r="BM424" s="40"/>
      <c r="BN424" s="101"/>
      <c r="BO424" s="40"/>
      <c r="BP424" s="101"/>
      <c r="BQ424" s="40"/>
      <c r="BR424" s="101"/>
      <c r="BS424" s="40"/>
      <c r="BT424" s="101"/>
      <c r="BU424" s="40"/>
      <c r="BV424" s="722"/>
      <c r="BW424" s="722"/>
      <c r="BX424" s="722"/>
      <c r="BY424"/>
      <c r="BZ424"/>
      <c r="CA424"/>
      <c r="CB424"/>
      <c r="CC424"/>
      <c r="CD424"/>
    </row>
    <row r="425" spans="1:82" s="2" customFormat="1" ht="12.75" customHeight="1" x14ac:dyDescent="0.2">
      <c r="A425" s="41"/>
      <c r="B425" s="42"/>
      <c r="C425" s="15"/>
      <c r="D425" s="40"/>
      <c r="E425" s="15"/>
      <c r="F425" s="40"/>
      <c r="G425" s="15"/>
      <c r="H425" s="40"/>
      <c r="I425" s="15"/>
      <c r="J425" s="40"/>
      <c r="K425" s="15"/>
      <c r="L425" s="40"/>
      <c r="M425" s="15"/>
      <c r="N425" s="40"/>
      <c r="O425" s="15"/>
      <c r="P425" s="43"/>
      <c r="Q425" s="15"/>
      <c r="R425" s="43"/>
      <c r="S425" s="15"/>
      <c r="T425" s="43"/>
      <c r="U425" s="15"/>
      <c r="V425" s="43"/>
      <c r="W425" s="15"/>
      <c r="X425" s="43"/>
      <c r="Y425" s="15"/>
      <c r="Z425" s="43"/>
      <c r="AA425" s="15"/>
      <c r="AB425" s="43"/>
      <c r="AC425" s="15"/>
      <c r="AD425" s="43"/>
      <c r="AE425" s="15"/>
      <c r="AF425" s="43"/>
      <c r="AG425" s="15"/>
      <c r="AH425" s="40"/>
      <c r="AI425" s="15"/>
      <c r="AJ425" s="40"/>
      <c r="AK425" s="15"/>
      <c r="AL425" s="40"/>
      <c r="AM425" s="15"/>
      <c r="AN425" s="40"/>
      <c r="AO425" s="15"/>
      <c r="AP425" s="40"/>
      <c r="AQ425" s="15"/>
      <c r="AR425" s="40"/>
      <c r="AS425" s="15"/>
      <c r="AT425" s="40"/>
      <c r="AU425" s="15"/>
      <c r="AV425" s="40"/>
      <c r="AW425" s="15"/>
      <c r="AX425" s="40"/>
      <c r="AY425" s="287"/>
      <c r="AZ425" s="15"/>
      <c r="BA425" s="40"/>
      <c r="BB425" s="15"/>
      <c r="BC425" s="40"/>
      <c r="BD425" s="924"/>
      <c r="BE425" s="40"/>
      <c r="BF425" s="15"/>
      <c r="BG425" s="40"/>
      <c r="BH425" s="15"/>
      <c r="BI425" s="40"/>
      <c r="BJ425" s="15"/>
      <c r="BK425" s="40"/>
      <c r="BL425" s="15"/>
      <c r="BM425" s="40"/>
      <c r="BN425" s="15"/>
      <c r="BO425" s="40"/>
      <c r="BP425" s="15"/>
      <c r="BQ425" s="40"/>
      <c r="BR425" s="15"/>
      <c r="BS425" s="40"/>
      <c r="BT425" s="15"/>
      <c r="BU425" s="40"/>
      <c r="BV425" s="141"/>
      <c r="BW425" s="141"/>
      <c r="BX425" s="722"/>
      <c r="BY425"/>
      <c r="BZ425"/>
      <c r="CA425"/>
      <c r="CB425"/>
      <c r="CC425"/>
      <c r="CD425"/>
    </row>
    <row r="426" spans="1:82" s="225" customFormat="1" ht="12.75" hidden="1" customHeight="1" outlineLevel="1" x14ac:dyDescent="0.2">
      <c r="B426" s="216" t="s">
        <v>496</v>
      </c>
      <c r="C426" s="219"/>
      <c r="D426" s="220"/>
      <c r="E426" s="219"/>
      <c r="F426" s="220"/>
      <c r="G426" s="219"/>
      <c r="H426" s="220"/>
      <c r="I426" s="219"/>
      <c r="J426" s="220"/>
      <c r="K426" s="219"/>
      <c r="L426" s="220"/>
      <c r="M426" s="248"/>
      <c r="N426" s="220"/>
      <c r="O426" s="219"/>
      <c r="P426" s="783"/>
      <c r="Q426" s="784"/>
      <c r="R426" s="783" t="str">
        <f t="shared" si="2127"/>
        <v>NA</v>
      </c>
      <c r="S426" s="784"/>
      <c r="T426" s="783" t="str">
        <f t="shared" si="2127"/>
        <v>NA</v>
      </c>
      <c r="U426" s="784"/>
      <c r="V426" s="783" t="str">
        <f t="shared" si="2127"/>
        <v>NA</v>
      </c>
      <c r="W426" s="784"/>
      <c r="X426" s="783" t="str">
        <f t="shared" si="2128"/>
        <v>NA</v>
      </c>
      <c r="Y426" s="784"/>
      <c r="Z426" s="783" t="str">
        <f t="shared" si="2129"/>
        <v>NA</v>
      </c>
      <c r="AA426" s="784"/>
      <c r="AB426" s="783" t="str">
        <f t="shared" si="2130"/>
        <v>NA</v>
      </c>
      <c r="AC426" s="784"/>
      <c r="AD426" s="783" t="str">
        <f t="shared" si="2131"/>
        <v>NA</v>
      </c>
      <c r="AE426" s="784"/>
      <c r="AF426" s="783" t="str">
        <f t="shared" si="2132"/>
        <v>NA</v>
      </c>
      <c r="AG426" s="784"/>
      <c r="AH426" s="220"/>
      <c r="AI426" s="784"/>
      <c r="AJ426" s="220"/>
      <c r="AK426" s="784"/>
      <c r="AL426" s="220"/>
      <c r="AM426" s="219"/>
      <c r="AN426" s="220"/>
      <c r="AO426" s="219"/>
      <c r="AP426" s="220"/>
      <c r="AQ426" s="219"/>
      <c r="AR426" s="220"/>
      <c r="AS426" s="219"/>
      <c r="AT426" s="220"/>
      <c r="AU426" s="219"/>
      <c r="AV426" s="220"/>
      <c r="AW426" s="219"/>
      <c r="AX426" s="220"/>
      <c r="AY426" s="287"/>
      <c r="AZ426" s="217"/>
      <c r="BA426" s="220"/>
      <c r="BB426" s="224"/>
      <c r="BC426" s="220"/>
      <c r="BD426" s="655"/>
      <c r="BE426" s="220"/>
      <c r="BF426" s="847"/>
      <c r="BG426" s="220"/>
      <c r="BH426" s="224"/>
      <c r="BI426" s="220"/>
      <c r="BJ426" s="224"/>
      <c r="BK426" s="220"/>
      <c r="BL426" s="224"/>
      <c r="BM426" s="220"/>
      <c r="BN426" s="219"/>
      <c r="BO426" s="220"/>
      <c r="BP426" s="219"/>
      <c r="BQ426" s="220"/>
      <c r="BR426" s="219"/>
      <c r="BS426" s="220"/>
      <c r="BT426" s="219"/>
      <c r="BU426" s="220"/>
      <c r="BV426" s="218"/>
      <c r="BW426" s="218"/>
      <c r="BX426" s="217"/>
      <c r="BY426"/>
      <c r="BZ426"/>
      <c r="CA426"/>
      <c r="CB426"/>
      <c r="CC426"/>
      <c r="CD426"/>
    </row>
    <row r="427" spans="1:82" s="2" customFormat="1" ht="12.75" hidden="1" customHeight="1" outlineLevel="1" x14ac:dyDescent="0.2">
      <c r="A427" s="41"/>
      <c r="B427" s="42"/>
      <c r="C427" s="15"/>
      <c r="D427" s="40"/>
      <c r="E427" s="15"/>
      <c r="F427" s="40"/>
      <c r="G427" s="15"/>
      <c r="H427" s="40"/>
      <c r="I427" s="15"/>
      <c r="J427" s="40"/>
      <c r="K427" s="15"/>
      <c r="L427" s="40"/>
      <c r="M427" s="15"/>
      <c r="N427" s="40"/>
      <c r="O427" s="15"/>
      <c r="P427" s="43"/>
      <c r="Q427" s="15"/>
      <c r="R427" s="43"/>
      <c r="S427" s="15"/>
      <c r="T427" s="43"/>
      <c r="U427" s="15"/>
      <c r="V427" s="43"/>
      <c r="W427" s="15"/>
      <c r="X427" s="43"/>
      <c r="Y427" s="15"/>
      <c r="Z427" s="43"/>
      <c r="AA427" s="15"/>
      <c r="AB427" s="43"/>
      <c r="AC427" s="15"/>
      <c r="AD427" s="43"/>
      <c r="AE427" s="15"/>
      <c r="AF427" s="43"/>
      <c r="AG427" s="15"/>
      <c r="AH427" s="40"/>
      <c r="AI427" s="15"/>
      <c r="AJ427" s="40"/>
      <c r="AK427" s="15"/>
      <c r="AL427" s="40"/>
      <c r="AM427" s="15"/>
      <c r="AN427" s="40"/>
      <c r="AO427" s="15"/>
      <c r="AP427" s="40"/>
      <c r="AQ427" s="15"/>
      <c r="AR427" s="40"/>
      <c r="AS427" s="15"/>
      <c r="AT427" s="40"/>
      <c r="AU427" s="15"/>
      <c r="AV427" s="40"/>
      <c r="AW427" s="15"/>
      <c r="AX427" s="40"/>
      <c r="AY427" s="287"/>
      <c r="AZ427" s="15"/>
      <c r="BA427" s="40"/>
      <c r="BB427" s="15"/>
      <c r="BC427" s="40"/>
      <c r="BD427" s="924"/>
      <c r="BE427" s="40"/>
      <c r="BF427" s="15"/>
      <c r="BG427" s="40"/>
      <c r="BH427" s="15"/>
      <c r="BI427" s="40"/>
      <c r="BJ427" s="15"/>
      <c r="BK427" s="40"/>
      <c r="BL427" s="15"/>
      <c r="BM427" s="40"/>
      <c r="BN427" s="15"/>
      <c r="BO427" s="40"/>
      <c r="BP427" s="15"/>
      <c r="BQ427" s="40"/>
      <c r="BR427" s="15"/>
      <c r="BS427" s="40"/>
      <c r="BT427" s="15"/>
      <c r="BU427" s="40"/>
      <c r="BV427" s="722"/>
      <c r="BW427" s="722"/>
      <c r="BX427" s="722"/>
      <c r="BY427"/>
      <c r="BZ427"/>
      <c r="CA427"/>
      <c r="CB427"/>
      <c r="CC427"/>
      <c r="CD427"/>
    </row>
    <row r="428" spans="1:82" s="2" customFormat="1" ht="12.75" hidden="1" customHeight="1" outlineLevel="1" x14ac:dyDescent="0.2">
      <c r="A428" s="41"/>
      <c r="B428" s="80" t="s">
        <v>298</v>
      </c>
      <c r="C428" s="15"/>
      <c r="D428" s="235"/>
      <c r="E428" s="15"/>
      <c r="F428" s="235"/>
      <c r="G428" s="15"/>
      <c r="H428" s="235"/>
      <c r="I428" s="15"/>
      <c r="J428" s="235"/>
      <c r="K428" s="15"/>
      <c r="L428" s="235"/>
      <c r="M428" s="15"/>
      <c r="N428" s="235"/>
      <c r="O428" s="15"/>
      <c r="P428" s="43"/>
      <c r="Q428" s="15"/>
      <c r="R428" s="43"/>
      <c r="S428" s="15"/>
      <c r="T428" s="43"/>
      <c r="U428" s="15"/>
      <c r="V428" s="43"/>
      <c r="W428" s="15"/>
      <c r="X428" s="43"/>
      <c r="Y428" s="15"/>
      <c r="Z428" s="43"/>
      <c r="AA428" s="15"/>
      <c r="AB428" s="43"/>
      <c r="AC428" s="15"/>
      <c r="AD428" s="43"/>
      <c r="AE428" s="15"/>
      <c r="AF428" s="43"/>
      <c r="AG428" s="15"/>
      <c r="AH428" s="235"/>
      <c r="AI428" s="15"/>
      <c r="AJ428" s="235"/>
      <c r="AK428" s="15"/>
      <c r="AL428" s="235"/>
      <c r="AM428" s="15"/>
      <c r="AN428" s="235"/>
      <c r="AO428" s="15"/>
      <c r="AP428" s="235"/>
      <c r="AQ428" s="15"/>
      <c r="AR428" s="235"/>
      <c r="AS428" s="15"/>
      <c r="AT428" s="235"/>
      <c r="AU428" s="15"/>
      <c r="AV428" s="235"/>
      <c r="AW428" s="15"/>
      <c r="AX428" s="235"/>
      <c r="AY428" s="287"/>
      <c r="AZ428" s="15"/>
      <c r="BA428" s="235"/>
      <c r="BB428" s="15"/>
      <c r="BC428" s="235"/>
      <c r="BD428" s="924"/>
      <c r="BE428" s="235"/>
      <c r="BF428" s="15"/>
      <c r="BG428" s="235"/>
      <c r="BH428" s="15"/>
      <c r="BI428" s="235"/>
      <c r="BJ428" s="15"/>
      <c r="BK428" s="235"/>
      <c r="BL428" s="15"/>
      <c r="BM428" s="235"/>
      <c r="BN428" s="15"/>
      <c r="BO428" s="235"/>
      <c r="BP428" s="15"/>
      <c r="BQ428" s="235"/>
      <c r="BR428" s="15"/>
      <c r="BS428" s="235"/>
      <c r="BT428" s="15"/>
      <c r="BU428" s="235"/>
      <c r="BV428" s="722"/>
      <c r="BW428" s="722"/>
      <c r="BX428" s="722"/>
      <c r="BY428"/>
      <c r="BZ428"/>
      <c r="CA428"/>
      <c r="CB428"/>
      <c r="CC428"/>
      <c r="CD428"/>
    </row>
    <row r="429" spans="1:82" s="2" customFormat="1" ht="12.75" hidden="1" customHeight="1" outlineLevel="1" x14ac:dyDescent="0.2">
      <c r="A429" s="41"/>
      <c r="B429" s="42" t="s">
        <v>177</v>
      </c>
      <c r="C429" s="702"/>
      <c r="D429" s="9"/>
      <c r="E429" s="702"/>
      <c r="F429" s="9"/>
      <c r="G429" s="702"/>
      <c r="H429" s="9"/>
      <c r="I429" s="702"/>
      <c r="J429" s="9"/>
      <c r="K429" s="702"/>
      <c r="L429" s="9"/>
      <c r="M429" s="702"/>
      <c r="N429" s="9"/>
      <c r="O429" s="702"/>
      <c r="P429" s="43"/>
      <c r="Q429" s="702"/>
      <c r="R429" s="43"/>
      <c r="S429" s="702"/>
      <c r="T429" s="43"/>
      <c r="U429" s="702"/>
      <c r="V429" s="43"/>
      <c r="W429" s="702"/>
      <c r="X429" s="43"/>
      <c r="Y429" s="702"/>
      <c r="Z429" s="43"/>
      <c r="AA429" s="702"/>
      <c r="AB429" s="43"/>
      <c r="AC429" s="702"/>
      <c r="AD429" s="43"/>
      <c r="AE429" s="702"/>
      <c r="AF429" s="43"/>
      <c r="AG429" s="702"/>
      <c r="AH429" s="9"/>
      <c r="AI429" s="702"/>
      <c r="AJ429" s="9"/>
      <c r="AK429" s="702"/>
      <c r="AL429" s="9"/>
      <c r="AM429" s="702"/>
      <c r="AN429" s="9"/>
      <c r="AO429" s="702"/>
      <c r="AP429" s="9"/>
      <c r="AQ429" s="702"/>
      <c r="AR429" s="9"/>
      <c r="AS429" s="702"/>
      <c r="AT429" s="9"/>
      <c r="AU429" s="702"/>
      <c r="AV429" s="9"/>
      <c r="AW429" s="702"/>
      <c r="AX429" s="9"/>
      <c r="AY429" s="287"/>
      <c r="AZ429" s="64"/>
      <c r="BA429" s="9"/>
      <c r="BB429" s="650"/>
      <c r="BC429" s="9"/>
      <c r="BD429" s="938"/>
      <c r="BE429" s="9"/>
      <c r="BF429" s="650"/>
      <c r="BG429" s="9"/>
      <c r="BH429" s="650"/>
      <c r="BI429" s="9"/>
      <c r="BJ429" s="650"/>
      <c r="BK429" s="9"/>
      <c r="BL429" s="650"/>
      <c r="BM429" s="9"/>
      <c r="BN429" s="702"/>
      <c r="BO429" s="9"/>
      <c r="BP429" s="702"/>
      <c r="BQ429" s="9"/>
      <c r="BR429" s="702"/>
      <c r="BS429" s="9"/>
      <c r="BT429" s="702"/>
      <c r="BU429" s="9"/>
      <c r="BV429" s="722"/>
      <c r="BW429" s="722"/>
      <c r="BX429" s="722"/>
      <c r="BY429"/>
      <c r="BZ429"/>
      <c r="CA429"/>
      <c r="CB429"/>
      <c r="CC429"/>
      <c r="CD429"/>
    </row>
    <row r="430" spans="1:82" s="2" customFormat="1" ht="12.75" hidden="1" customHeight="1" outlineLevel="1" x14ac:dyDescent="0.2">
      <c r="A430" s="41"/>
      <c r="B430" s="42"/>
      <c r="C430" s="142"/>
      <c r="D430" s="40"/>
      <c r="E430" s="142"/>
      <c r="F430" s="40"/>
      <c r="G430" s="142"/>
      <c r="H430" s="40"/>
      <c r="I430" s="142"/>
      <c r="J430" s="40"/>
      <c r="K430" s="142"/>
      <c r="L430" s="40"/>
      <c r="M430" s="142"/>
      <c r="N430" s="40"/>
      <c r="O430" s="142"/>
      <c r="P430" s="43"/>
      <c r="Q430" s="142"/>
      <c r="R430" s="43"/>
      <c r="S430" s="142"/>
      <c r="T430" s="43"/>
      <c r="U430" s="142"/>
      <c r="V430" s="43"/>
      <c r="W430" s="142"/>
      <c r="X430" s="43"/>
      <c r="Y430" s="142"/>
      <c r="Z430" s="43"/>
      <c r="AA430" s="142"/>
      <c r="AB430" s="43"/>
      <c r="AC430" s="142"/>
      <c r="AD430" s="43"/>
      <c r="AE430" s="142"/>
      <c r="AF430" s="43"/>
      <c r="AG430" s="142"/>
      <c r="AH430" s="40"/>
      <c r="AI430" s="142"/>
      <c r="AJ430" s="40"/>
      <c r="AK430" s="142"/>
      <c r="AL430" s="40"/>
      <c r="AM430" s="142"/>
      <c r="AN430" s="40"/>
      <c r="AO430" s="142"/>
      <c r="AP430" s="40"/>
      <c r="AQ430" s="142"/>
      <c r="AR430" s="40"/>
      <c r="AS430" s="142"/>
      <c r="AT430" s="40"/>
      <c r="AU430" s="142"/>
      <c r="AV430" s="40"/>
      <c r="AW430" s="142"/>
      <c r="AX430" s="40"/>
      <c r="AY430" s="287"/>
      <c r="AZ430" s="64"/>
      <c r="BA430" s="40"/>
      <c r="BB430" s="143"/>
      <c r="BC430" s="40"/>
      <c r="BD430" s="939"/>
      <c r="BE430" s="40"/>
      <c r="BF430" s="143"/>
      <c r="BG430" s="40"/>
      <c r="BH430" s="143"/>
      <c r="BI430" s="40"/>
      <c r="BJ430" s="143"/>
      <c r="BK430" s="40"/>
      <c r="BL430" s="143"/>
      <c r="BM430" s="40"/>
      <c r="BN430" s="142"/>
      <c r="BO430" s="40"/>
      <c r="BP430" s="142"/>
      <c r="BQ430" s="40"/>
      <c r="BR430" s="142"/>
      <c r="BS430" s="40"/>
      <c r="BT430" s="142"/>
      <c r="BU430" s="40"/>
      <c r="BV430" s="722"/>
      <c r="BW430" s="722"/>
      <c r="BX430" s="722"/>
      <c r="BY430"/>
      <c r="BZ430"/>
      <c r="CA430"/>
      <c r="CB430"/>
      <c r="CC430"/>
      <c r="CD430"/>
    </row>
    <row r="431" spans="1:82" s="2" customFormat="1" ht="12.75" hidden="1" customHeight="1" outlineLevel="1" x14ac:dyDescent="0.2">
      <c r="A431" s="41"/>
      <c r="B431" s="80" t="s">
        <v>492</v>
      </c>
      <c r="C431" s="64"/>
      <c r="D431" s="40"/>
      <c r="E431" s="64"/>
      <c r="F431" s="40"/>
      <c r="G431" s="64"/>
      <c r="H431" s="40"/>
      <c r="I431" s="64"/>
      <c r="J431" s="40"/>
      <c r="K431" s="64"/>
      <c r="L431" s="40"/>
      <c r="M431" s="64"/>
      <c r="N431" s="40"/>
      <c r="O431" s="64"/>
      <c r="P431" s="43"/>
      <c r="Q431" s="64"/>
      <c r="R431" s="43"/>
      <c r="S431" s="64"/>
      <c r="T431" s="43"/>
      <c r="U431" s="64"/>
      <c r="V431" s="43"/>
      <c r="W431" s="64"/>
      <c r="X431" s="43"/>
      <c r="Y431" s="64"/>
      <c r="Z431" s="43"/>
      <c r="AA431" s="64"/>
      <c r="AB431" s="43"/>
      <c r="AC431" s="64"/>
      <c r="AD431" s="43"/>
      <c r="AE431" s="64"/>
      <c r="AF431" s="43"/>
      <c r="AG431" s="64"/>
      <c r="AH431" s="40"/>
      <c r="AI431" s="64"/>
      <c r="AJ431" s="40"/>
      <c r="AK431" s="64"/>
      <c r="AL431" s="40"/>
      <c r="AM431" s="64"/>
      <c r="AN431" s="40"/>
      <c r="AO431" s="64"/>
      <c r="AP431" s="40"/>
      <c r="AQ431" s="64"/>
      <c r="AR431" s="40"/>
      <c r="AS431" s="64"/>
      <c r="AT431" s="40"/>
      <c r="AU431" s="64"/>
      <c r="AV431" s="40"/>
      <c r="AW431" s="64"/>
      <c r="AX431" s="40"/>
      <c r="AY431" s="287"/>
      <c r="AZ431" s="64"/>
      <c r="BA431" s="40"/>
      <c r="BB431" s="64"/>
      <c r="BC431" s="40"/>
      <c r="BD431" s="933"/>
      <c r="BE431" s="40"/>
      <c r="BF431" s="64"/>
      <c r="BG431" s="40"/>
      <c r="BH431" s="64"/>
      <c r="BI431" s="40"/>
      <c r="BJ431" s="64"/>
      <c r="BK431" s="40"/>
      <c r="BL431" s="64"/>
      <c r="BM431" s="40"/>
      <c r="BN431" s="64"/>
      <c r="BO431" s="40"/>
      <c r="BP431" s="64"/>
      <c r="BQ431" s="40"/>
      <c r="BR431" s="64"/>
      <c r="BS431" s="40"/>
      <c r="BT431" s="64"/>
      <c r="BU431" s="40"/>
      <c r="BV431" s="722"/>
      <c r="BW431" s="722"/>
      <c r="BX431" s="722"/>
      <c r="BY431"/>
      <c r="BZ431"/>
      <c r="CA431"/>
      <c r="CB431"/>
      <c r="CC431"/>
      <c r="CD431"/>
    </row>
    <row r="432" spans="1:82" s="2" customFormat="1" ht="12.75" hidden="1" customHeight="1" outlineLevel="1" x14ac:dyDescent="0.2">
      <c r="A432" s="41"/>
      <c r="B432" s="62" t="s">
        <v>374</v>
      </c>
      <c r="C432" s="63"/>
      <c r="D432" s="9"/>
      <c r="E432" s="63"/>
      <c r="F432" s="9"/>
      <c r="G432" s="63"/>
      <c r="H432" s="9"/>
      <c r="I432" s="63"/>
      <c r="J432" s="9"/>
      <c r="K432" s="63"/>
      <c r="L432" s="9"/>
      <c r="M432" s="63"/>
      <c r="N432" s="9"/>
      <c r="O432" s="63"/>
      <c r="P432" s="43"/>
      <c r="Q432" s="63"/>
      <c r="R432" s="43"/>
      <c r="S432" s="63"/>
      <c r="T432" s="43"/>
      <c r="U432" s="63"/>
      <c r="V432" s="43"/>
      <c r="W432" s="63"/>
      <c r="X432" s="43"/>
      <c r="Y432" s="63"/>
      <c r="Z432" s="43"/>
      <c r="AA432" s="63"/>
      <c r="AB432" s="43"/>
      <c r="AC432" s="63"/>
      <c r="AD432" s="43"/>
      <c r="AE432" s="63"/>
      <c r="AF432" s="43"/>
      <c r="AG432" s="63"/>
      <c r="AH432" s="9"/>
      <c r="AI432" s="63"/>
      <c r="AJ432" s="9"/>
      <c r="AK432" s="63"/>
      <c r="AL432" s="9"/>
      <c r="AM432" s="63"/>
      <c r="AN432" s="9"/>
      <c r="AO432" s="63"/>
      <c r="AP432" s="9"/>
      <c r="AQ432" s="63"/>
      <c r="AR432" s="9"/>
      <c r="AS432" s="63"/>
      <c r="AT432" s="9"/>
      <c r="AU432" s="63"/>
      <c r="AV432" s="9"/>
      <c r="AW432" s="63"/>
      <c r="AX432" s="9"/>
      <c r="AY432" s="287"/>
      <c r="AZ432" s="64"/>
      <c r="BA432" s="9"/>
      <c r="BB432" s="64"/>
      <c r="BC432" s="9"/>
      <c r="BD432" s="933"/>
      <c r="BE432" s="9"/>
      <c r="BF432" s="64"/>
      <c r="BG432" s="9"/>
      <c r="BH432" s="64"/>
      <c r="BI432" s="9"/>
      <c r="BJ432" s="64"/>
      <c r="BK432" s="9"/>
      <c r="BL432" s="64"/>
      <c r="BM432" s="9"/>
      <c r="BN432" s="63"/>
      <c r="BO432" s="9"/>
      <c r="BP432" s="63"/>
      <c r="BQ432" s="9"/>
      <c r="BR432" s="63"/>
      <c r="BS432" s="9"/>
      <c r="BT432" s="63"/>
      <c r="BU432" s="9"/>
      <c r="BV432" s="722"/>
      <c r="BW432" s="722"/>
      <c r="BX432" s="722"/>
      <c r="BY432"/>
      <c r="BZ432"/>
      <c r="CA432"/>
      <c r="CB432"/>
      <c r="CC432"/>
      <c r="CD432"/>
    </row>
    <row r="433" spans="1:83" s="2" customFormat="1" ht="12.75" hidden="1" customHeight="1" outlineLevel="1" x14ac:dyDescent="0.2">
      <c r="A433" s="41" t="s">
        <v>256</v>
      </c>
      <c r="B433" s="62" t="s">
        <v>416</v>
      </c>
      <c r="C433" s="87"/>
      <c r="D433" s="9"/>
      <c r="E433" s="87"/>
      <c r="F433" s="9"/>
      <c r="G433" s="87"/>
      <c r="H433" s="9"/>
      <c r="I433" s="63"/>
      <c r="J433" s="9"/>
      <c r="K433" s="63"/>
      <c r="L433" s="9"/>
      <c r="M433" s="63"/>
      <c r="N433" s="9"/>
      <c r="O433" s="63"/>
      <c r="P433" s="43"/>
      <c r="Q433" s="63"/>
      <c r="R433" s="43"/>
      <c r="S433" s="63"/>
      <c r="T433" s="43"/>
      <c r="U433" s="63"/>
      <c r="V433" s="43"/>
      <c r="W433" s="63"/>
      <c r="X433" s="43"/>
      <c r="Y433" s="63"/>
      <c r="Z433" s="43"/>
      <c r="AA433" s="63"/>
      <c r="AB433" s="43"/>
      <c r="AC433" s="63"/>
      <c r="AD433" s="43"/>
      <c r="AE433" s="63"/>
      <c r="AF433" s="43"/>
      <c r="AG433" s="63"/>
      <c r="AH433" s="9"/>
      <c r="AI433" s="63"/>
      <c r="AJ433" s="9"/>
      <c r="AK433" s="63"/>
      <c r="AL433" s="9"/>
      <c r="AM433" s="63"/>
      <c r="AN433" s="9"/>
      <c r="AO433" s="63"/>
      <c r="AP433" s="9"/>
      <c r="AQ433" s="63"/>
      <c r="AR433" s="9"/>
      <c r="AS433" s="63"/>
      <c r="AT433" s="9"/>
      <c r="AU433" s="63"/>
      <c r="AV433" s="9"/>
      <c r="AW433" s="63"/>
      <c r="AX433" s="9"/>
      <c r="AY433" s="287"/>
      <c r="AZ433" s="15"/>
      <c r="BA433" s="9"/>
      <c r="BB433" s="64"/>
      <c r="BC433" s="9"/>
      <c r="BD433" s="933"/>
      <c r="BE433" s="9"/>
      <c r="BF433" s="64"/>
      <c r="BG433" s="9"/>
      <c r="BH433" s="64"/>
      <c r="BI433" s="9"/>
      <c r="BJ433" s="64"/>
      <c r="BK433" s="9"/>
      <c r="BL433" s="64"/>
      <c r="BM433" s="9"/>
      <c r="BN433" s="87"/>
      <c r="BO433" s="9"/>
      <c r="BP433" s="87"/>
      <c r="BQ433" s="9"/>
      <c r="BR433" s="87"/>
      <c r="BS433" s="9"/>
      <c r="BT433" s="87"/>
      <c r="BU433" s="9"/>
      <c r="BV433" s="722"/>
      <c r="BW433" s="722"/>
      <c r="BX433" s="722"/>
      <c r="BY433"/>
      <c r="BZ433"/>
      <c r="CA433"/>
      <c r="CB433"/>
      <c r="CC433"/>
      <c r="CD433"/>
    </row>
    <row r="434" spans="1:83" s="2" customFormat="1" ht="12.75" hidden="1" customHeight="1" outlineLevel="1" x14ac:dyDescent="0.2">
      <c r="A434" s="66" t="s">
        <v>224</v>
      </c>
      <c r="B434" s="67" t="s">
        <v>417</v>
      </c>
      <c r="C434" s="695"/>
      <c r="D434" s="9"/>
      <c r="E434" s="695"/>
      <c r="F434" s="9"/>
      <c r="G434" s="695"/>
      <c r="H434" s="9"/>
      <c r="I434" s="695"/>
      <c r="J434" s="9"/>
      <c r="K434" s="695"/>
      <c r="L434" s="9"/>
      <c r="M434" s="695"/>
      <c r="N434" s="9"/>
      <c r="O434" s="695"/>
      <c r="P434" s="43"/>
      <c r="Q434" s="695"/>
      <c r="R434" s="43"/>
      <c r="S434" s="695"/>
      <c r="T434" s="43"/>
      <c r="U434" s="695"/>
      <c r="V434" s="43"/>
      <c r="W434" s="695"/>
      <c r="X434" s="43"/>
      <c r="Y434" s="695"/>
      <c r="Z434" s="43"/>
      <c r="AA434" s="695"/>
      <c r="AB434" s="43"/>
      <c r="AC434" s="695"/>
      <c r="AD434" s="43"/>
      <c r="AE434" s="695"/>
      <c r="AF434" s="43"/>
      <c r="AG434" s="695"/>
      <c r="AH434" s="9"/>
      <c r="AI434" s="695"/>
      <c r="AJ434" s="9"/>
      <c r="AK434" s="695"/>
      <c r="AL434" s="9"/>
      <c r="AM434" s="695"/>
      <c r="AN434" s="9"/>
      <c r="AO434" s="695"/>
      <c r="AP434" s="9"/>
      <c r="AQ434" s="695"/>
      <c r="AR434" s="9"/>
      <c r="AS434" s="695"/>
      <c r="AT434" s="9"/>
      <c r="AU434" s="695"/>
      <c r="AV434" s="9"/>
      <c r="AW434" s="695"/>
      <c r="AX434" s="9"/>
      <c r="AY434" s="287"/>
      <c r="AZ434" s="68"/>
      <c r="BA434" s="9"/>
      <c r="BB434" s="68"/>
      <c r="BC434" s="9"/>
      <c r="BD434" s="940"/>
      <c r="BE434" s="9"/>
      <c r="BF434" s="68"/>
      <c r="BG434" s="9"/>
      <c r="BH434" s="68"/>
      <c r="BI434" s="9"/>
      <c r="BJ434" s="68"/>
      <c r="BK434" s="9"/>
      <c r="BL434" s="68"/>
      <c r="BM434" s="9"/>
      <c r="BN434" s="695"/>
      <c r="BO434" s="9"/>
      <c r="BP434" s="695"/>
      <c r="BQ434" s="9"/>
      <c r="BR434" s="695"/>
      <c r="BS434" s="9"/>
      <c r="BT434" s="695"/>
      <c r="BU434" s="9"/>
      <c r="BV434" s="722"/>
      <c r="BW434" s="722"/>
      <c r="BX434" s="722"/>
      <c r="BY434"/>
      <c r="BZ434"/>
      <c r="CA434"/>
      <c r="CB434"/>
      <c r="CC434"/>
      <c r="CD434"/>
    </row>
    <row r="435" spans="1:83" s="2" customFormat="1" ht="12.75" hidden="1" customHeight="1" outlineLevel="1" x14ac:dyDescent="0.2">
      <c r="A435" s="41"/>
      <c r="B435" s="62"/>
      <c r="C435" s="64"/>
      <c r="D435" s="40"/>
      <c r="E435" s="64"/>
      <c r="F435" s="40"/>
      <c r="G435" s="64"/>
      <c r="H435" s="40"/>
      <c r="I435" s="64"/>
      <c r="J435" s="40"/>
      <c r="K435" s="64"/>
      <c r="L435" s="40"/>
      <c r="M435" s="64"/>
      <c r="N435" s="40"/>
      <c r="O435" s="64"/>
      <c r="P435" s="43"/>
      <c r="Q435" s="64"/>
      <c r="R435" s="43"/>
      <c r="S435" s="64"/>
      <c r="T435" s="43"/>
      <c r="U435" s="64"/>
      <c r="V435" s="43"/>
      <c r="W435" s="64"/>
      <c r="X435" s="43"/>
      <c r="Y435" s="64"/>
      <c r="Z435" s="43"/>
      <c r="AA435" s="64"/>
      <c r="AB435" s="43"/>
      <c r="AC435" s="64"/>
      <c r="AD435" s="43"/>
      <c r="AE435" s="64"/>
      <c r="AF435" s="43"/>
      <c r="AG435" s="64"/>
      <c r="AH435" s="40"/>
      <c r="AI435" s="64"/>
      <c r="AJ435" s="40"/>
      <c r="AK435" s="64"/>
      <c r="AL435" s="40"/>
      <c r="AM435" s="64"/>
      <c r="AN435" s="40"/>
      <c r="AO435" s="64"/>
      <c r="AP435" s="40"/>
      <c r="AQ435" s="64"/>
      <c r="AR435" s="40"/>
      <c r="AS435" s="64"/>
      <c r="AT435" s="40"/>
      <c r="AU435" s="64"/>
      <c r="AV435" s="40"/>
      <c r="AW435" s="64"/>
      <c r="AX435" s="40"/>
      <c r="AY435" s="287"/>
      <c r="AZ435" s="64"/>
      <c r="BA435" s="40"/>
      <c r="BB435" s="64"/>
      <c r="BC435" s="40"/>
      <c r="BD435" s="933"/>
      <c r="BE435" s="40"/>
      <c r="BF435" s="64"/>
      <c r="BG435" s="40"/>
      <c r="BH435" s="64"/>
      <c r="BI435" s="40"/>
      <c r="BJ435" s="64"/>
      <c r="BK435" s="40"/>
      <c r="BL435" s="64"/>
      <c r="BM435" s="40"/>
      <c r="BN435" s="64"/>
      <c r="BO435" s="40"/>
      <c r="BP435" s="64"/>
      <c r="BQ435" s="40"/>
      <c r="BR435" s="64"/>
      <c r="BS435" s="40"/>
      <c r="BT435" s="64"/>
      <c r="BU435" s="40"/>
      <c r="BV435" s="108"/>
      <c r="BW435" s="108"/>
      <c r="BX435" s="108"/>
      <c r="BY435"/>
      <c r="BZ435"/>
      <c r="CA435"/>
      <c r="CB435"/>
      <c r="CC435"/>
      <c r="CD435"/>
    </row>
    <row r="436" spans="1:83" s="2" customFormat="1" ht="12.75" hidden="1" customHeight="1" outlineLevel="1" x14ac:dyDescent="0.2">
      <c r="A436" s="41"/>
      <c r="B436" s="67" t="s">
        <v>418</v>
      </c>
      <c r="C436" s="64"/>
      <c r="D436" s="40"/>
      <c r="E436" s="64"/>
      <c r="F436" s="40"/>
      <c r="G436" s="64"/>
      <c r="H436" s="40"/>
      <c r="I436" s="64"/>
      <c r="J436" s="40"/>
      <c r="K436" s="64"/>
      <c r="L436" s="40"/>
      <c r="M436" s="64"/>
      <c r="N436" s="40"/>
      <c r="O436" s="64"/>
      <c r="P436" s="43"/>
      <c r="Q436" s="64"/>
      <c r="R436" s="43"/>
      <c r="S436" s="64"/>
      <c r="T436" s="43"/>
      <c r="U436" s="64"/>
      <c r="V436" s="43"/>
      <c r="W436" s="64"/>
      <c r="X436" s="43"/>
      <c r="Y436" s="64"/>
      <c r="Z436" s="43"/>
      <c r="AA436" s="64"/>
      <c r="AB436" s="43"/>
      <c r="AC436" s="64"/>
      <c r="AD436" s="43"/>
      <c r="AE436" s="64"/>
      <c r="AF436" s="43"/>
      <c r="AG436" s="64"/>
      <c r="AH436" s="40"/>
      <c r="AI436" s="64"/>
      <c r="AJ436" s="40"/>
      <c r="AK436" s="64"/>
      <c r="AL436" s="40"/>
      <c r="AM436" s="64"/>
      <c r="AN436" s="40"/>
      <c r="AO436" s="64"/>
      <c r="AP436" s="40"/>
      <c r="AQ436" s="64"/>
      <c r="AR436" s="40"/>
      <c r="AS436" s="64"/>
      <c r="AT436" s="40"/>
      <c r="AU436" s="64"/>
      <c r="AV436" s="40"/>
      <c r="AW436" s="64"/>
      <c r="AX436" s="40"/>
      <c r="AY436" s="287"/>
      <c r="AZ436" s="64"/>
      <c r="BA436" s="40"/>
      <c r="BB436" s="64"/>
      <c r="BC436" s="40"/>
      <c r="BD436" s="933"/>
      <c r="BE436" s="40"/>
      <c r="BF436" s="64"/>
      <c r="BG436" s="40"/>
      <c r="BH436" s="64"/>
      <c r="BI436" s="40"/>
      <c r="BJ436" s="64"/>
      <c r="BK436" s="40"/>
      <c r="BL436" s="64"/>
      <c r="BM436" s="40"/>
      <c r="BN436" s="64"/>
      <c r="BO436" s="40"/>
      <c r="BP436" s="64"/>
      <c r="BQ436" s="40"/>
      <c r="BR436" s="64"/>
      <c r="BS436" s="40"/>
      <c r="BT436" s="64"/>
      <c r="BU436" s="40"/>
      <c r="BV436" s="722"/>
      <c r="BW436" s="722"/>
      <c r="BX436" s="722"/>
      <c r="BY436"/>
      <c r="BZ436"/>
      <c r="CA436"/>
      <c r="CB436"/>
      <c r="CC436"/>
      <c r="CD436"/>
    </row>
    <row r="437" spans="1:83" s="2" customFormat="1" ht="12.75" hidden="1" customHeight="1" outlineLevel="1" x14ac:dyDescent="0.2">
      <c r="A437" s="41"/>
      <c r="B437" s="73" t="s">
        <v>434</v>
      </c>
      <c r="C437" s="63"/>
      <c r="D437" s="9"/>
      <c r="E437" s="63"/>
      <c r="F437" s="9"/>
      <c r="G437" s="63"/>
      <c r="H437" s="9"/>
      <c r="I437" s="64"/>
      <c r="J437" s="9"/>
      <c r="K437" s="64"/>
      <c r="L437" s="9"/>
      <c r="M437" s="64"/>
      <c r="N437" s="9"/>
      <c r="O437" s="64"/>
      <c r="P437" s="43"/>
      <c r="Q437" s="64"/>
      <c r="R437" s="43"/>
      <c r="S437" s="64"/>
      <c r="T437" s="43"/>
      <c r="U437" s="64"/>
      <c r="V437" s="43"/>
      <c r="W437" s="64"/>
      <c r="X437" s="43"/>
      <c r="Y437" s="64"/>
      <c r="Z437" s="43"/>
      <c r="AA437" s="64"/>
      <c r="AB437" s="43"/>
      <c r="AC437" s="64"/>
      <c r="AD437" s="43"/>
      <c r="AE437" s="64"/>
      <c r="AF437" s="43"/>
      <c r="AG437" s="64"/>
      <c r="AH437" s="9"/>
      <c r="AI437" s="64"/>
      <c r="AJ437" s="9"/>
      <c r="AK437" s="64"/>
      <c r="AL437" s="9"/>
      <c r="AM437" s="64"/>
      <c r="AN437" s="9"/>
      <c r="AO437" s="64"/>
      <c r="AP437" s="9"/>
      <c r="AQ437" s="64"/>
      <c r="AR437" s="9"/>
      <c r="AS437" s="64"/>
      <c r="AT437" s="9"/>
      <c r="AU437" s="64"/>
      <c r="AV437" s="9"/>
      <c r="AW437" s="64"/>
      <c r="AX437" s="9"/>
      <c r="AY437" s="287"/>
      <c r="AZ437" s="64"/>
      <c r="BA437" s="9"/>
      <c r="BB437" s="64"/>
      <c r="BC437" s="9"/>
      <c r="BD437" s="933"/>
      <c r="BE437" s="9"/>
      <c r="BF437" s="64"/>
      <c r="BG437" s="9"/>
      <c r="BH437" s="64"/>
      <c r="BI437" s="9"/>
      <c r="BJ437" s="64"/>
      <c r="BK437" s="9"/>
      <c r="BL437" s="64"/>
      <c r="BM437" s="9"/>
      <c r="BN437" s="64"/>
      <c r="BO437" s="9"/>
      <c r="BP437" s="64"/>
      <c r="BQ437" s="9"/>
      <c r="BR437" s="64"/>
      <c r="BS437" s="9"/>
      <c r="BT437" s="64"/>
      <c r="BU437" s="9"/>
      <c r="BV437" s="722"/>
      <c r="BW437" s="722"/>
      <c r="BX437" s="722"/>
      <c r="BY437"/>
      <c r="BZ437"/>
      <c r="CA437"/>
      <c r="CB437"/>
      <c r="CC437"/>
      <c r="CD437"/>
    </row>
    <row r="438" spans="1:83" s="2" customFormat="1" ht="12.75" hidden="1" customHeight="1" outlineLevel="1" x14ac:dyDescent="0.2">
      <c r="A438" s="41"/>
      <c r="B438" s="62" t="s">
        <v>421</v>
      </c>
      <c r="C438" s="87"/>
      <c r="D438" s="9"/>
      <c r="E438" s="87"/>
      <c r="F438" s="9"/>
      <c r="G438" s="87"/>
      <c r="H438" s="9"/>
      <c r="I438" s="15"/>
      <c r="J438" s="9"/>
      <c r="K438" s="15"/>
      <c r="L438" s="9"/>
      <c r="M438" s="15"/>
      <c r="N438" s="9"/>
      <c r="O438" s="15"/>
      <c r="P438" s="43"/>
      <c r="Q438" s="15"/>
      <c r="R438" s="43"/>
      <c r="S438" s="15"/>
      <c r="T438" s="43"/>
      <c r="U438" s="15"/>
      <c r="V438" s="43"/>
      <c r="W438" s="15"/>
      <c r="X438" s="43"/>
      <c r="Y438" s="15"/>
      <c r="Z438" s="43"/>
      <c r="AA438" s="15"/>
      <c r="AB438" s="43"/>
      <c r="AC438" s="15"/>
      <c r="AD438" s="43"/>
      <c r="AE438" s="15"/>
      <c r="AF438" s="43"/>
      <c r="AG438" s="15"/>
      <c r="AH438" s="9"/>
      <c r="AI438" s="15"/>
      <c r="AJ438" s="9"/>
      <c r="AK438" s="15"/>
      <c r="AL438" s="9"/>
      <c r="AM438" s="15"/>
      <c r="AN438" s="9"/>
      <c r="AO438" s="15"/>
      <c r="AP438" s="9"/>
      <c r="AQ438" s="15"/>
      <c r="AR438" s="9"/>
      <c r="AS438" s="15"/>
      <c r="AT438" s="9"/>
      <c r="AU438" s="15"/>
      <c r="AV438" s="9"/>
      <c r="AW438" s="15"/>
      <c r="AX438" s="9"/>
      <c r="AY438" s="287"/>
      <c r="AZ438" s="15"/>
      <c r="BA438" s="9"/>
      <c r="BB438" s="64"/>
      <c r="BC438" s="9"/>
      <c r="BD438" s="933"/>
      <c r="BE438" s="9"/>
      <c r="BF438" s="64"/>
      <c r="BG438" s="9"/>
      <c r="BH438" s="64"/>
      <c r="BI438" s="9"/>
      <c r="BJ438" s="64"/>
      <c r="BK438" s="9"/>
      <c r="BL438" s="64"/>
      <c r="BM438" s="9"/>
      <c r="BN438" s="15"/>
      <c r="BO438" s="9"/>
      <c r="BP438" s="15"/>
      <c r="BQ438" s="9"/>
      <c r="BR438" s="15"/>
      <c r="BS438" s="9"/>
      <c r="BT438" s="15"/>
      <c r="BU438" s="9"/>
      <c r="BV438" s="722"/>
      <c r="BW438" s="722"/>
      <c r="BX438" s="722"/>
      <c r="BY438"/>
      <c r="BZ438"/>
      <c r="CA438"/>
      <c r="CB438"/>
      <c r="CC438"/>
      <c r="CD438"/>
    </row>
    <row r="439" spans="1:83" s="2" customFormat="1" ht="12.75" hidden="1" customHeight="1" outlineLevel="1" x14ac:dyDescent="0.2">
      <c r="B439" s="62" t="s">
        <v>391</v>
      </c>
      <c r="C439" s="87"/>
      <c r="D439" s="9"/>
      <c r="E439" s="87"/>
      <c r="F439" s="9"/>
      <c r="G439" s="87"/>
      <c r="H439" s="9"/>
      <c r="I439" s="15"/>
      <c r="J439" s="9"/>
      <c r="K439" s="15"/>
      <c r="L439" s="9"/>
      <c r="M439" s="15"/>
      <c r="N439" s="9"/>
      <c r="O439" s="15"/>
      <c r="P439" s="43"/>
      <c r="Q439" s="15"/>
      <c r="R439" s="43"/>
      <c r="S439" s="15"/>
      <c r="T439" s="43"/>
      <c r="U439" s="15"/>
      <c r="V439" s="43"/>
      <c r="W439" s="15"/>
      <c r="X439" s="43"/>
      <c r="Y439" s="15"/>
      <c r="Z439" s="43"/>
      <c r="AA439" s="15"/>
      <c r="AB439" s="43"/>
      <c r="AC439" s="15"/>
      <c r="AD439" s="43"/>
      <c r="AE439" s="15"/>
      <c r="AF439" s="43"/>
      <c r="AG439" s="15"/>
      <c r="AH439" s="9"/>
      <c r="AI439" s="15"/>
      <c r="AJ439" s="9"/>
      <c r="AK439" s="15"/>
      <c r="AL439" s="9"/>
      <c r="AM439" s="15"/>
      <c r="AN439" s="9"/>
      <c r="AO439" s="15"/>
      <c r="AP439" s="9"/>
      <c r="AQ439" s="15"/>
      <c r="AR439" s="9"/>
      <c r="AS439" s="15"/>
      <c r="AT439" s="9"/>
      <c r="AU439" s="15"/>
      <c r="AV439" s="9"/>
      <c r="AW439" s="15"/>
      <c r="AX439" s="9"/>
      <c r="AY439" s="287"/>
      <c r="AZ439" s="144"/>
      <c r="BA439" s="9"/>
      <c r="BB439" s="64"/>
      <c r="BC439" s="9"/>
      <c r="BD439" s="933"/>
      <c r="BE439" s="9"/>
      <c r="BF439" s="64"/>
      <c r="BG439" s="9"/>
      <c r="BH439" s="64"/>
      <c r="BI439" s="9"/>
      <c r="BJ439" s="64"/>
      <c r="BK439" s="9"/>
      <c r="BL439" s="64"/>
      <c r="BM439" s="9"/>
      <c r="BN439" s="15"/>
      <c r="BO439" s="9"/>
      <c r="BP439" s="15"/>
      <c r="BQ439" s="9"/>
      <c r="BR439" s="15"/>
      <c r="BS439" s="9"/>
      <c r="BT439" s="15"/>
      <c r="BU439" s="9"/>
      <c r="BV439" s="722"/>
      <c r="BW439" s="722"/>
      <c r="BX439" s="722"/>
      <c r="BY439"/>
      <c r="BZ439"/>
      <c r="CA439"/>
      <c r="CB439"/>
      <c r="CC439"/>
      <c r="CD439"/>
    </row>
    <row r="440" spans="1:83" s="2" customFormat="1" ht="12.75" hidden="1" customHeight="1" outlineLevel="1" x14ac:dyDescent="0.2">
      <c r="A440" s="41"/>
      <c r="B440" s="62" t="s">
        <v>481</v>
      </c>
      <c r="C440" s="653"/>
      <c r="D440" s="9"/>
      <c r="E440" s="653"/>
      <c r="F440" s="9"/>
      <c r="G440" s="653"/>
      <c r="H440" s="9"/>
      <c r="I440" s="691"/>
      <c r="J440" s="9"/>
      <c r="K440" s="691"/>
      <c r="L440" s="9"/>
      <c r="M440" s="691"/>
      <c r="N440" s="9"/>
      <c r="O440" s="691"/>
      <c r="P440" s="43"/>
      <c r="Q440" s="691"/>
      <c r="R440" s="43"/>
      <c r="S440" s="691"/>
      <c r="T440" s="43"/>
      <c r="U440" s="691"/>
      <c r="V440" s="43"/>
      <c r="W440" s="691"/>
      <c r="X440" s="43"/>
      <c r="Y440" s="691"/>
      <c r="Z440" s="43"/>
      <c r="AA440" s="691"/>
      <c r="AB440" s="43"/>
      <c r="AC440" s="691"/>
      <c r="AD440" s="43"/>
      <c r="AE440" s="691"/>
      <c r="AF440" s="43"/>
      <c r="AG440" s="691"/>
      <c r="AH440" s="9"/>
      <c r="AI440" s="691"/>
      <c r="AJ440" s="9"/>
      <c r="AK440" s="691"/>
      <c r="AL440" s="9"/>
      <c r="AM440" s="691"/>
      <c r="AN440" s="9"/>
      <c r="AO440" s="691"/>
      <c r="AP440" s="9"/>
      <c r="AQ440" s="691"/>
      <c r="AR440" s="9"/>
      <c r="AS440" s="691"/>
      <c r="AT440" s="9"/>
      <c r="AU440" s="691"/>
      <c r="AV440" s="9"/>
      <c r="AW440" s="691"/>
      <c r="AX440" s="9"/>
      <c r="AY440" s="287"/>
      <c r="AZ440" s="64"/>
      <c r="BA440" s="9"/>
      <c r="BB440" s="64"/>
      <c r="BC440" s="9"/>
      <c r="BD440" s="933"/>
      <c r="BE440" s="9"/>
      <c r="BF440" s="64"/>
      <c r="BG440" s="9"/>
      <c r="BH440" s="64"/>
      <c r="BI440" s="9"/>
      <c r="BJ440" s="64"/>
      <c r="BK440" s="9"/>
      <c r="BL440" s="64"/>
      <c r="BM440" s="9"/>
      <c r="BN440" s="691"/>
      <c r="BO440" s="9"/>
      <c r="BP440" s="691"/>
      <c r="BQ440" s="9"/>
      <c r="BR440" s="691"/>
      <c r="BS440" s="9"/>
      <c r="BT440" s="691"/>
      <c r="BU440" s="9"/>
      <c r="BV440" s="722"/>
      <c r="BW440" s="722"/>
      <c r="BX440" s="722"/>
      <c r="BY440"/>
      <c r="BZ440"/>
      <c r="CA440"/>
      <c r="CB440"/>
      <c r="CC440"/>
      <c r="CD440"/>
    </row>
    <row r="441" spans="1:83" s="2" customFormat="1" ht="12.75" hidden="1" customHeight="1" outlineLevel="1" x14ac:dyDescent="0.2">
      <c r="A441" s="66"/>
      <c r="B441" s="67" t="s">
        <v>484</v>
      </c>
      <c r="C441" s="69"/>
      <c r="D441" s="9"/>
      <c r="E441" s="69"/>
      <c r="F441" s="9"/>
      <c r="G441" s="69"/>
      <c r="H441" s="9"/>
      <c r="I441" s="69"/>
      <c r="J441" s="9"/>
      <c r="K441" s="69"/>
      <c r="L441" s="9"/>
      <c r="M441" s="69"/>
      <c r="N441" s="9"/>
      <c r="O441" s="69"/>
      <c r="P441" s="43"/>
      <c r="Q441" s="69"/>
      <c r="R441" s="43"/>
      <c r="S441" s="69"/>
      <c r="T441" s="43"/>
      <c r="U441" s="69"/>
      <c r="V441" s="43"/>
      <c r="W441" s="69"/>
      <c r="X441" s="43"/>
      <c r="Y441" s="69"/>
      <c r="Z441" s="43"/>
      <c r="AA441" s="69"/>
      <c r="AB441" s="43"/>
      <c r="AC441" s="69"/>
      <c r="AD441" s="43"/>
      <c r="AE441" s="69"/>
      <c r="AF441" s="43"/>
      <c r="AG441" s="69"/>
      <c r="AH441" s="9"/>
      <c r="AI441" s="69"/>
      <c r="AJ441" s="9"/>
      <c r="AK441" s="69"/>
      <c r="AL441" s="9"/>
      <c r="AM441" s="69"/>
      <c r="AN441" s="9"/>
      <c r="AO441" s="69"/>
      <c r="AP441" s="9"/>
      <c r="AQ441" s="69"/>
      <c r="AR441" s="9"/>
      <c r="AS441" s="69"/>
      <c r="AT441" s="9"/>
      <c r="AU441" s="69"/>
      <c r="AV441" s="9"/>
      <c r="AW441" s="69"/>
      <c r="AX441" s="9"/>
      <c r="AY441" s="287"/>
      <c r="AZ441" s="68"/>
      <c r="BA441" s="9"/>
      <c r="BB441" s="68"/>
      <c r="BC441" s="9"/>
      <c r="BD441" s="940"/>
      <c r="BE441" s="9"/>
      <c r="BF441" s="68"/>
      <c r="BG441" s="9"/>
      <c r="BH441" s="68"/>
      <c r="BI441" s="9"/>
      <c r="BJ441" s="68"/>
      <c r="BK441" s="9"/>
      <c r="BL441" s="68"/>
      <c r="BM441" s="9"/>
      <c r="BN441" s="69"/>
      <c r="BO441" s="9"/>
      <c r="BP441" s="69"/>
      <c r="BQ441" s="9"/>
      <c r="BR441" s="69"/>
      <c r="BS441" s="9"/>
      <c r="BT441" s="69"/>
      <c r="BU441" s="9"/>
      <c r="BV441" s="722"/>
      <c r="BW441" s="722"/>
      <c r="BX441" s="722"/>
      <c r="BY441"/>
      <c r="BZ441"/>
      <c r="CA441"/>
      <c r="CB441"/>
      <c r="CC441"/>
      <c r="CD441"/>
    </row>
    <row r="442" spans="1:83" s="139" customFormat="1" ht="12.75" hidden="1" customHeight="1" outlineLevel="1" x14ac:dyDescent="0.2">
      <c r="A442" s="146"/>
      <c r="B442" s="147"/>
      <c r="C442" s="148"/>
      <c r="D442" s="150"/>
      <c r="E442" s="148"/>
      <c r="F442" s="150"/>
      <c r="G442" s="148"/>
      <c r="H442" s="150"/>
      <c r="I442" s="148"/>
      <c r="J442" s="150"/>
      <c r="K442" s="148"/>
      <c r="L442" s="150"/>
      <c r="M442" s="148"/>
      <c r="N442" s="150"/>
      <c r="O442" s="148"/>
      <c r="P442" s="43"/>
      <c r="Q442" s="148"/>
      <c r="R442" s="43"/>
      <c r="S442" s="148"/>
      <c r="T442" s="43"/>
      <c r="U442" s="148"/>
      <c r="V442" s="43"/>
      <c r="W442" s="148"/>
      <c r="X442" s="43"/>
      <c r="Y442" s="148"/>
      <c r="Z442" s="43"/>
      <c r="AA442" s="148"/>
      <c r="AB442" s="43"/>
      <c r="AC442" s="148"/>
      <c r="AD442" s="43"/>
      <c r="AE442" s="148"/>
      <c r="AF442" s="43"/>
      <c r="AG442" s="148"/>
      <c r="AH442" s="150"/>
      <c r="AI442" s="148"/>
      <c r="AJ442" s="150"/>
      <c r="AK442" s="148"/>
      <c r="AL442" s="150"/>
      <c r="AM442" s="148"/>
      <c r="AN442" s="150"/>
      <c r="AO442" s="148"/>
      <c r="AP442" s="150"/>
      <c r="AQ442" s="148"/>
      <c r="AR442" s="150"/>
      <c r="AS442" s="148"/>
      <c r="AT442" s="150"/>
      <c r="AU442" s="148"/>
      <c r="AV442" s="150"/>
      <c r="AW442" s="148"/>
      <c r="AX442" s="150"/>
      <c r="AY442" s="287"/>
      <c r="AZ442" s="149"/>
      <c r="BA442" s="150"/>
      <c r="BB442" s="696"/>
      <c r="BC442" s="150"/>
      <c r="BD442" s="923"/>
      <c r="BE442" s="150"/>
      <c r="BF442" s="696"/>
      <c r="BG442" s="150"/>
      <c r="BH442" s="696"/>
      <c r="BI442" s="150"/>
      <c r="BJ442" s="696"/>
      <c r="BK442" s="150"/>
      <c r="BL442" s="696"/>
      <c r="BM442" s="150"/>
      <c r="BN442" s="148"/>
      <c r="BO442" s="150"/>
      <c r="BP442" s="148"/>
      <c r="BQ442" s="150"/>
      <c r="BR442" s="148"/>
      <c r="BS442" s="150"/>
      <c r="BT442" s="148"/>
      <c r="BU442" s="150"/>
      <c r="BV442" s="151"/>
      <c r="BW442" s="151"/>
      <c r="BX442" s="151"/>
      <c r="BY442"/>
      <c r="BZ442"/>
      <c r="CA442"/>
      <c r="CB442"/>
      <c r="CC442"/>
      <c r="CD442"/>
      <c r="CE442" s="2"/>
    </row>
    <row r="443" spans="1:83" s="2" customFormat="1" ht="12.75" hidden="1" customHeight="1" outlineLevel="1" x14ac:dyDescent="0.2">
      <c r="A443" s="41"/>
      <c r="B443" s="62" t="s">
        <v>420</v>
      </c>
      <c r="C443" s="701"/>
      <c r="D443" s="9"/>
      <c r="E443" s="701"/>
      <c r="F443" s="9"/>
      <c r="G443" s="701"/>
      <c r="H443" s="9"/>
      <c r="I443" s="152"/>
      <c r="J443" s="9"/>
      <c r="K443" s="152"/>
      <c r="L443" s="9"/>
      <c r="M443" s="152"/>
      <c r="N443" s="9"/>
      <c r="O443" s="152"/>
      <c r="P443" s="43"/>
      <c r="Q443" s="152"/>
      <c r="R443" s="43"/>
      <c r="S443" s="152"/>
      <c r="T443" s="43"/>
      <c r="U443" s="152"/>
      <c r="V443" s="43"/>
      <c r="W443" s="152"/>
      <c r="X443" s="43"/>
      <c r="Y443" s="152"/>
      <c r="Z443" s="43"/>
      <c r="AA443" s="152"/>
      <c r="AB443" s="43"/>
      <c r="AC443" s="152"/>
      <c r="AD443" s="43"/>
      <c r="AE443" s="152"/>
      <c r="AF443" s="43"/>
      <c r="AG443" s="152"/>
      <c r="AH443" s="9"/>
      <c r="AI443" s="152"/>
      <c r="AJ443" s="9"/>
      <c r="AK443" s="152"/>
      <c r="AL443" s="9"/>
      <c r="AM443" s="152"/>
      <c r="AN443" s="9"/>
      <c r="AO443" s="152"/>
      <c r="AP443" s="9"/>
      <c r="AQ443" s="152"/>
      <c r="AR443" s="9"/>
      <c r="AS443" s="152"/>
      <c r="AT443" s="9"/>
      <c r="AU443" s="152"/>
      <c r="AV443" s="9"/>
      <c r="AW443" s="152"/>
      <c r="AX443" s="9"/>
      <c r="AY443" s="287"/>
      <c r="AZ443" s="15"/>
      <c r="BA443" s="9"/>
      <c r="BB443" s="701"/>
      <c r="BC443" s="9"/>
      <c r="BD443" s="941"/>
      <c r="BE443" s="9"/>
      <c r="BF443" s="701"/>
      <c r="BG443" s="9"/>
      <c r="BH443" s="701"/>
      <c r="BI443" s="9"/>
      <c r="BJ443" s="701"/>
      <c r="BK443" s="9"/>
      <c r="BL443" s="701"/>
      <c r="BM443" s="9"/>
      <c r="BN443" s="152"/>
      <c r="BO443" s="9"/>
      <c r="BP443" s="152"/>
      <c r="BQ443" s="9"/>
      <c r="BR443" s="152"/>
      <c r="BS443" s="9"/>
      <c r="BT443" s="152"/>
      <c r="BU443" s="9"/>
      <c r="BV443" s="722"/>
      <c r="BW443" s="722"/>
      <c r="BX443" s="722"/>
      <c r="BY443"/>
      <c r="BZ443"/>
      <c r="CA443"/>
      <c r="CB443"/>
      <c r="CC443"/>
      <c r="CD443"/>
    </row>
    <row r="444" spans="1:83" s="48" customFormat="1" ht="12.75" hidden="1" customHeight="1" outlineLevel="1" x14ac:dyDescent="0.2">
      <c r="A444" s="44"/>
      <c r="B444" s="301" t="s">
        <v>430</v>
      </c>
      <c r="C444" s="311"/>
      <c r="D444" s="46"/>
      <c r="E444" s="311"/>
      <c r="F444" s="46"/>
      <c r="G444" s="311"/>
      <c r="H444" s="46"/>
      <c r="I444" s="311"/>
      <c r="J444" s="46"/>
      <c r="K444" s="311"/>
      <c r="L444" s="46"/>
      <c r="M444" s="311"/>
      <c r="N444" s="46"/>
      <c r="O444" s="311"/>
      <c r="P444" s="43"/>
      <c r="Q444" s="311"/>
      <c r="R444" s="43"/>
      <c r="S444" s="311"/>
      <c r="T444" s="43"/>
      <c r="U444" s="311"/>
      <c r="V444" s="43"/>
      <c r="W444" s="311"/>
      <c r="X444" s="43"/>
      <c r="Y444" s="311"/>
      <c r="Z444" s="43"/>
      <c r="AA444" s="311"/>
      <c r="AB444" s="43"/>
      <c r="AC444" s="311"/>
      <c r="AD444" s="43"/>
      <c r="AE444" s="311"/>
      <c r="AF444" s="43"/>
      <c r="AG444" s="311"/>
      <c r="AH444" s="46"/>
      <c r="AI444" s="311"/>
      <c r="AJ444" s="46"/>
      <c r="AK444" s="311"/>
      <c r="AL444" s="46"/>
      <c r="AM444" s="311"/>
      <c r="AN444" s="46"/>
      <c r="AO444" s="311"/>
      <c r="AP444" s="46"/>
      <c r="AQ444" s="311"/>
      <c r="AR444" s="46"/>
      <c r="AS444" s="311"/>
      <c r="AT444" s="46"/>
      <c r="AU444" s="311"/>
      <c r="AV444" s="46"/>
      <c r="AW444" s="311"/>
      <c r="AX444" s="46"/>
      <c r="AY444" s="287"/>
      <c r="AZ444" s="153"/>
      <c r="BA444" s="46"/>
      <c r="BB444" s="311"/>
      <c r="BC444" s="46"/>
      <c r="BD444" s="942"/>
      <c r="BE444" s="46"/>
      <c r="BF444" s="311"/>
      <c r="BG444" s="46"/>
      <c r="BH444" s="311"/>
      <c r="BI444" s="46"/>
      <c r="BJ444" s="311"/>
      <c r="BK444" s="46"/>
      <c r="BL444" s="311"/>
      <c r="BM444" s="46"/>
      <c r="BN444" s="311"/>
      <c r="BO444" s="46"/>
      <c r="BP444" s="311"/>
      <c r="BQ444" s="46"/>
      <c r="BR444" s="311"/>
      <c r="BS444" s="46"/>
      <c r="BT444" s="311"/>
      <c r="BU444" s="46"/>
      <c r="BV444" s="303"/>
      <c r="BW444" s="303"/>
      <c r="BX444" s="303"/>
      <c r="BY444"/>
      <c r="BZ444"/>
      <c r="CA444"/>
      <c r="CB444"/>
      <c r="CC444"/>
      <c r="CD444"/>
    </row>
    <row r="445" spans="1:83" s="2" customFormat="1" ht="12.75" hidden="1" customHeight="1" outlineLevel="1" x14ac:dyDescent="0.2">
      <c r="A445" s="41"/>
      <c r="B445" s="62" t="s">
        <v>386</v>
      </c>
      <c r="C445" s="701"/>
      <c r="D445" s="9"/>
      <c r="E445" s="701"/>
      <c r="F445" s="9"/>
      <c r="G445" s="701"/>
      <c r="H445" s="9"/>
      <c r="I445" s="152"/>
      <c r="J445" s="9"/>
      <c r="K445" s="152"/>
      <c r="L445" s="9"/>
      <c r="M445" s="152"/>
      <c r="N445" s="9"/>
      <c r="O445" s="152"/>
      <c r="P445" s="43"/>
      <c r="Q445" s="152"/>
      <c r="R445" s="43"/>
      <c r="S445" s="152"/>
      <c r="T445" s="43"/>
      <c r="U445" s="152"/>
      <c r="V445" s="43"/>
      <c r="W445" s="152"/>
      <c r="X445" s="43"/>
      <c r="Y445" s="152"/>
      <c r="Z445" s="43"/>
      <c r="AA445" s="152"/>
      <c r="AB445" s="43"/>
      <c r="AC445" s="152"/>
      <c r="AD445" s="43"/>
      <c r="AE445" s="152"/>
      <c r="AF445" s="43"/>
      <c r="AG445" s="152"/>
      <c r="AH445" s="9"/>
      <c r="AI445" s="152"/>
      <c r="AJ445" s="9"/>
      <c r="AK445" s="152"/>
      <c r="AL445" s="9"/>
      <c r="AM445" s="152"/>
      <c r="AN445" s="9"/>
      <c r="AO445" s="152"/>
      <c r="AP445" s="9"/>
      <c r="AQ445" s="152"/>
      <c r="AR445" s="9"/>
      <c r="AS445" s="152"/>
      <c r="AT445" s="9"/>
      <c r="AU445" s="152"/>
      <c r="AV445" s="9"/>
      <c r="AW445" s="152"/>
      <c r="AX445" s="9"/>
      <c r="AY445" s="287"/>
      <c r="AZ445" s="92"/>
      <c r="BA445" s="9"/>
      <c r="BB445" s="701"/>
      <c r="BC445" s="9"/>
      <c r="BD445" s="941"/>
      <c r="BE445" s="9"/>
      <c r="BF445" s="701"/>
      <c r="BG445" s="9"/>
      <c r="BH445" s="701"/>
      <c r="BI445" s="9"/>
      <c r="BJ445" s="701"/>
      <c r="BK445" s="9"/>
      <c r="BL445" s="701"/>
      <c r="BM445" s="9"/>
      <c r="BN445" s="152"/>
      <c r="BO445" s="9"/>
      <c r="BP445" s="152"/>
      <c r="BQ445" s="9"/>
      <c r="BR445" s="152"/>
      <c r="BS445" s="9"/>
      <c r="BT445" s="152"/>
      <c r="BU445" s="9"/>
      <c r="BV445" s="722"/>
      <c r="BW445" s="722"/>
      <c r="BX445" s="722"/>
      <c r="BY445"/>
      <c r="BZ445"/>
      <c r="CA445"/>
      <c r="CB445"/>
      <c r="CC445"/>
      <c r="CD445"/>
    </row>
    <row r="446" spans="1:83" s="2" customFormat="1" ht="12.75" hidden="1" customHeight="1" outlineLevel="1" x14ac:dyDescent="0.2">
      <c r="A446" s="41"/>
      <c r="B446" s="62" t="s">
        <v>387</v>
      </c>
      <c r="C446" s="701"/>
      <c r="D446" s="9"/>
      <c r="E446" s="701"/>
      <c r="F446" s="9"/>
      <c r="G446" s="701"/>
      <c r="H446" s="9"/>
      <c r="I446" s="152"/>
      <c r="J446" s="9"/>
      <c r="K446" s="152"/>
      <c r="L446" s="9"/>
      <c r="M446" s="152"/>
      <c r="N446" s="9"/>
      <c r="O446" s="152"/>
      <c r="P446" s="43"/>
      <c r="Q446" s="152"/>
      <c r="R446" s="43"/>
      <c r="S446" s="152"/>
      <c r="T446" s="43"/>
      <c r="U446" s="152"/>
      <c r="V446" s="43"/>
      <c r="W446" s="152"/>
      <c r="X446" s="43"/>
      <c r="Y446" s="152"/>
      <c r="Z446" s="43"/>
      <c r="AA446" s="152"/>
      <c r="AB446" s="43"/>
      <c r="AC446" s="152"/>
      <c r="AD446" s="43"/>
      <c r="AE446" s="152"/>
      <c r="AF446" s="43"/>
      <c r="AG446" s="152"/>
      <c r="AH446" s="9"/>
      <c r="AI446" s="152"/>
      <c r="AJ446" s="9"/>
      <c r="AK446" s="152"/>
      <c r="AL446" s="9"/>
      <c r="AM446" s="152"/>
      <c r="AN446" s="9"/>
      <c r="AO446" s="152"/>
      <c r="AP446" s="9"/>
      <c r="AQ446" s="152"/>
      <c r="AR446" s="9"/>
      <c r="AS446" s="152"/>
      <c r="AT446" s="9"/>
      <c r="AU446" s="152"/>
      <c r="AV446" s="9"/>
      <c r="AW446" s="152"/>
      <c r="AX446" s="9"/>
      <c r="AY446" s="287"/>
      <c r="AZ446" s="15"/>
      <c r="BA446" s="9"/>
      <c r="BB446" s="701"/>
      <c r="BC446" s="9"/>
      <c r="BD446" s="941"/>
      <c r="BE446" s="9"/>
      <c r="BF446" s="701"/>
      <c r="BG446" s="9"/>
      <c r="BH446" s="701"/>
      <c r="BI446" s="9"/>
      <c r="BJ446" s="701"/>
      <c r="BK446" s="9"/>
      <c r="BL446" s="701"/>
      <c r="BM446" s="9"/>
      <c r="BN446" s="152"/>
      <c r="BO446" s="9"/>
      <c r="BP446" s="152"/>
      <c r="BQ446" s="9"/>
      <c r="BR446" s="152"/>
      <c r="BS446" s="9"/>
      <c r="BT446" s="152"/>
      <c r="BU446" s="9"/>
      <c r="BV446" s="722"/>
      <c r="BW446" s="722"/>
      <c r="BX446" s="722"/>
      <c r="BY446"/>
      <c r="BZ446"/>
      <c r="CA446"/>
      <c r="CB446"/>
      <c r="CC446"/>
      <c r="CD446"/>
    </row>
    <row r="447" spans="1:83" s="2" customFormat="1" ht="12.75" hidden="1" customHeight="1" outlineLevel="1" x14ac:dyDescent="0.2">
      <c r="A447" s="41"/>
      <c r="B447" s="62" t="s">
        <v>138</v>
      </c>
      <c r="C447" s="701"/>
      <c r="D447" s="9"/>
      <c r="E447" s="701"/>
      <c r="F447" s="9"/>
      <c r="G447" s="701"/>
      <c r="H447" s="9"/>
      <c r="I447" s="152"/>
      <c r="J447" s="9"/>
      <c r="K447" s="152"/>
      <c r="L447" s="9"/>
      <c r="M447" s="152"/>
      <c r="N447" s="9"/>
      <c r="O447" s="152"/>
      <c r="P447" s="43"/>
      <c r="Q447" s="152"/>
      <c r="R447" s="43"/>
      <c r="S447" s="152"/>
      <c r="T447" s="43"/>
      <c r="U447" s="152"/>
      <c r="V447" s="43"/>
      <c r="W447" s="152"/>
      <c r="X447" s="43"/>
      <c r="Y447" s="152"/>
      <c r="Z447" s="43"/>
      <c r="AA447" s="152"/>
      <c r="AB447" s="43"/>
      <c r="AC447" s="152"/>
      <c r="AD447" s="43"/>
      <c r="AE447" s="152"/>
      <c r="AF447" s="43"/>
      <c r="AG447" s="152"/>
      <c r="AH447" s="9"/>
      <c r="AI447" s="152"/>
      <c r="AJ447" s="9"/>
      <c r="AK447" s="152"/>
      <c r="AL447" s="9"/>
      <c r="AM447" s="152"/>
      <c r="AN447" s="9"/>
      <c r="AO447" s="152"/>
      <c r="AP447" s="9"/>
      <c r="AQ447" s="152"/>
      <c r="AR447" s="9"/>
      <c r="AS447" s="152"/>
      <c r="AT447" s="9"/>
      <c r="AU447" s="152"/>
      <c r="AV447" s="9"/>
      <c r="AW447" s="152"/>
      <c r="AX447" s="9"/>
      <c r="AY447" s="287"/>
      <c r="AZ447" s="15"/>
      <c r="BA447" s="9"/>
      <c r="BB447" s="701"/>
      <c r="BC447" s="9"/>
      <c r="BD447" s="941"/>
      <c r="BE447" s="9"/>
      <c r="BF447" s="701"/>
      <c r="BG447" s="9"/>
      <c r="BH447" s="701"/>
      <c r="BI447" s="9"/>
      <c r="BJ447" s="701"/>
      <c r="BK447" s="9"/>
      <c r="BL447" s="701"/>
      <c r="BM447" s="9"/>
      <c r="BN447" s="152"/>
      <c r="BO447" s="9"/>
      <c r="BP447" s="152"/>
      <c r="BQ447" s="9"/>
      <c r="BR447" s="152"/>
      <c r="BS447" s="9"/>
      <c r="BT447" s="152"/>
      <c r="BU447" s="9"/>
      <c r="BV447" s="722"/>
      <c r="BW447" s="722"/>
      <c r="BX447" s="722"/>
      <c r="BY447"/>
      <c r="BZ447"/>
      <c r="CA447"/>
      <c r="CB447"/>
      <c r="CC447"/>
      <c r="CD447"/>
    </row>
    <row r="448" spans="1:83" s="2" customFormat="1" ht="12.75" hidden="1" customHeight="1" outlineLevel="1" x14ac:dyDescent="0.2">
      <c r="A448" s="41"/>
      <c r="B448" s="62" t="s">
        <v>272</v>
      </c>
      <c r="C448" s="701"/>
      <c r="D448" s="9"/>
      <c r="E448" s="701"/>
      <c r="F448" s="9"/>
      <c r="G448" s="701"/>
      <c r="H448" s="9"/>
      <c r="I448" s="701"/>
      <c r="J448" s="9"/>
      <c r="K448" s="701"/>
      <c r="L448" s="9"/>
      <c r="M448" s="701"/>
      <c r="N448" s="9"/>
      <c r="O448" s="701"/>
      <c r="P448" s="43"/>
      <c r="Q448" s="701"/>
      <c r="R448" s="43"/>
      <c r="S448" s="701"/>
      <c r="T448" s="43"/>
      <c r="U448" s="701"/>
      <c r="V448" s="43"/>
      <c r="W448" s="701"/>
      <c r="X448" s="43"/>
      <c r="Y448" s="701"/>
      <c r="Z448" s="43"/>
      <c r="AA448" s="701"/>
      <c r="AB448" s="43"/>
      <c r="AC448" s="701"/>
      <c r="AD448" s="43"/>
      <c r="AE448" s="701"/>
      <c r="AF448" s="43"/>
      <c r="AG448" s="701"/>
      <c r="AH448" s="9"/>
      <c r="AI448" s="701"/>
      <c r="AJ448" s="9"/>
      <c r="AK448" s="701"/>
      <c r="AL448" s="9"/>
      <c r="AM448" s="701"/>
      <c r="AN448" s="9"/>
      <c r="AO448" s="701"/>
      <c r="AP448" s="9"/>
      <c r="AQ448" s="701"/>
      <c r="AR448" s="9"/>
      <c r="AS448" s="701"/>
      <c r="AT448" s="9"/>
      <c r="AU448" s="701"/>
      <c r="AV448" s="9"/>
      <c r="AW448" s="701"/>
      <c r="AX448" s="9"/>
      <c r="AY448" s="287"/>
      <c r="AZ448" s="15"/>
      <c r="BA448" s="9"/>
      <c r="BB448" s="701"/>
      <c r="BC448" s="9"/>
      <c r="BD448" s="941"/>
      <c r="BE448" s="9"/>
      <c r="BF448" s="701"/>
      <c r="BG448" s="9"/>
      <c r="BH448" s="701"/>
      <c r="BI448" s="9"/>
      <c r="BJ448" s="701"/>
      <c r="BK448" s="9"/>
      <c r="BL448" s="701"/>
      <c r="BM448" s="9"/>
      <c r="BN448" s="701"/>
      <c r="BO448" s="9"/>
      <c r="BP448" s="701"/>
      <c r="BQ448" s="9"/>
      <c r="BR448" s="701"/>
      <c r="BS448" s="9"/>
      <c r="BT448" s="701"/>
      <c r="BU448" s="9"/>
      <c r="BV448" s="722"/>
      <c r="BW448" s="722"/>
      <c r="BX448" s="722"/>
      <c r="BY448"/>
      <c r="BZ448"/>
      <c r="CA448"/>
      <c r="CB448"/>
      <c r="CC448"/>
      <c r="CD448"/>
    </row>
    <row r="449" spans="1:83" s="2" customFormat="1" ht="12.75" hidden="1" customHeight="1" outlineLevel="1" x14ac:dyDescent="0.2">
      <c r="A449" s="41"/>
      <c r="B449" s="62"/>
      <c r="C449" s="15"/>
      <c r="D449" s="40"/>
      <c r="E449" s="15"/>
      <c r="F449" s="40"/>
      <c r="G449" s="15"/>
      <c r="H449" s="40"/>
      <c r="I449" s="15"/>
      <c r="J449" s="40"/>
      <c r="K449" s="15"/>
      <c r="L449" s="40"/>
      <c r="M449" s="15"/>
      <c r="N449" s="40"/>
      <c r="O449" s="15"/>
      <c r="P449" s="43"/>
      <c r="Q449" s="15"/>
      <c r="R449" s="43"/>
      <c r="S449" s="15"/>
      <c r="T449" s="43"/>
      <c r="U449" s="15"/>
      <c r="V449" s="43"/>
      <c r="W449" s="15"/>
      <c r="X449" s="43"/>
      <c r="Y449" s="15"/>
      <c r="Z449" s="43"/>
      <c r="AA449" s="15"/>
      <c r="AB449" s="43"/>
      <c r="AC449" s="15"/>
      <c r="AD449" s="43"/>
      <c r="AE449" s="15"/>
      <c r="AF449" s="43"/>
      <c r="AG449" s="15"/>
      <c r="AH449" s="40"/>
      <c r="AI449" s="15"/>
      <c r="AJ449" s="40"/>
      <c r="AK449" s="15"/>
      <c r="AL449" s="40"/>
      <c r="AM449" s="15"/>
      <c r="AN449" s="40"/>
      <c r="AO449" s="15"/>
      <c r="AP449" s="40"/>
      <c r="AQ449" s="15"/>
      <c r="AR449" s="40"/>
      <c r="AS449" s="15"/>
      <c r="AT449" s="40"/>
      <c r="AU449" s="15"/>
      <c r="AV449" s="40"/>
      <c r="AW449" s="15"/>
      <c r="AX449" s="40"/>
      <c r="AY449" s="287"/>
      <c r="AZ449" s="15"/>
      <c r="BA449" s="40"/>
      <c r="BB449" s="15"/>
      <c r="BC449" s="40"/>
      <c r="BD449" s="924"/>
      <c r="BE449" s="40"/>
      <c r="BF449" s="15"/>
      <c r="BG449" s="40"/>
      <c r="BH449" s="15"/>
      <c r="BI449" s="40"/>
      <c r="BJ449" s="15"/>
      <c r="BK449" s="40"/>
      <c r="BL449" s="15"/>
      <c r="BM449" s="40"/>
      <c r="BN449" s="15"/>
      <c r="BO449" s="40"/>
      <c r="BP449" s="15"/>
      <c r="BQ449" s="40"/>
      <c r="BR449" s="15"/>
      <c r="BS449" s="40"/>
      <c r="BT449" s="15"/>
      <c r="BU449" s="40"/>
      <c r="BV449" s="722"/>
      <c r="BW449" s="722"/>
      <c r="BX449" s="722"/>
      <c r="BY449"/>
      <c r="BZ449"/>
      <c r="CA449"/>
      <c r="CB449"/>
      <c r="CC449"/>
      <c r="CD449"/>
    </row>
    <row r="450" spans="1:83" s="2" customFormat="1" ht="12.75" hidden="1" customHeight="1" outlineLevel="1" x14ac:dyDescent="0.2">
      <c r="A450" s="41"/>
      <c r="B450" s="62" t="s">
        <v>485</v>
      </c>
      <c r="C450" s="691"/>
      <c r="D450" s="9"/>
      <c r="E450" s="691"/>
      <c r="F450" s="9"/>
      <c r="G450" s="691"/>
      <c r="H450" s="9"/>
      <c r="I450" s="691"/>
      <c r="J450" s="9"/>
      <c r="K450" s="691"/>
      <c r="L450" s="9"/>
      <c r="M450" s="691"/>
      <c r="N450" s="9"/>
      <c r="O450" s="691"/>
      <c r="P450" s="43"/>
      <c r="Q450" s="691"/>
      <c r="R450" s="43"/>
      <c r="S450" s="691"/>
      <c r="T450" s="43"/>
      <c r="U450" s="691"/>
      <c r="V450" s="43"/>
      <c r="W450" s="691"/>
      <c r="X450" s="43"/>
      <c r="Y450" s="691"/>
      <c r="Z450" s="43"/>
      <c r="AA450" s="691"/>
      <c r="AB450" s="43"/>
      <c r="AC450" s="691"/>
      <c r="AD450" s="43"/>
      <c r="AE450" s="691"/>
      <c r="AF450" s="43"/>
      <c r="AG450" s="691"/>
      <c r="AH450" s="9"/>
      <c r="AI450" s="691"/>
      <c r="AJ450" s="9"/>
      <c r="AK450" s="691"/>
      <c r="AL450" s="9"/>
      <c r="AM450" s="691"/>
      <c r="AN450" s="9"/>
      <c r="AO450" s="691"/>
      <c r="AP450" s="9"/>
      <c r="AQ450" s="691"/>
      <c r="AR450" s="9"/>
      <c r="AS450" s="691"/>
      <c r="AT450" s="9"/>
      <c r="AU450" s="691"/>
      <c r="AV450" s="9"/>
      <c r="AW450" s="691"/>
      <c r="AX450" s="9"/>
      <c r="AY450" s="287"/>
      <c r="AZ450" s="64"/>
      <c r="BA450" s="9"/>
      <c r="BB450" s="691"/>
      <c r="BC450" s="9"/>
      <c r="BD450" s="930"/>
      <c r="BE450" s="9"/>
      <c r="BF450" s="691"/>
      <c r="BG450" s="9"/>
      <c r="BH450" s="691"/>
      <c r="BI450" s="9"/>
      <c r="BJ450" s="691"/>
      <c r="BK450" s="9"/>
      <c r="BL450" s="691"/>
      <c r="BM450" s="9"/>
      <c r="BN450" s="691"/>
      <c r="BO450" s="9"/>
      <c r="BP450" s="691"/>
      <c r="BQ450" s="9"/>
      <c r="BR450" s="691"/>
      <c r="BS450" s="9"/>
      <c r="BT450" s="691"/>
      <c r="BU450" s="9"/>
      <c r="BV450" s="722"/>
      <c r="BW450" s="722"/>
      <c r="BX450" s="722"/>
      <c r="BY450"/>
      <c r="BZ450"/>
      <c r="CA450"/>
      <c r="CB450"/>
      <c r="CC450"/>
      <c r="CD450"/>
    </row>
    <row r="451" spans="1:83" s="2" customFormat="1" ht="12.75" hidden="1" customHeight="1" outlineLevel="1" x14ac:dyDescent="0.2">
      <c r="A451" s="41"/>
      <c r="B451" s="62" t="s">
        <v>486</v>
      </c>
      <c r="C451" s="58"/>
      <c r="D451" s="9"/>
      <c r="E451" s="58"/>
      <c r="F451" s="9"/>
      <c r="G451" s="58"/>
      <c r="H451" s="9"/>
      <c r="I451" s="694"/>
      <c r="J451" s="9"/>
      <c r="K451" s="694"/>
      <c r="L451" s="9"/>
      <c r="M451" s="694"/>
      <c r="N451" s="9"/>
      <c r="O451" s="694"/>
      <c r="P451" s="43"/>
      <c r="Q451" s="694"/>
      <c r="R451" s="43"/>
      <c r="S451" s="694"/>
      <c r="T451" s="43"/>
      <c r="U451" s="694"/>
      <c r="V451" s="43"/>
      <c r="W451" s="694"/>
      <c r="X451" s="43"/>
      <c r="Y451" s="694"/>
      <c r="Z451" s="43"/>
      <c r="AA451" s="694"/>
      <c r="AB451" s="43"/>
      <c r="AC451" s="694"/>
      <c r="AD451" s="43"/>
      <c r="AE451" s="694"/>
      <c r="AF451" s="43"/>
      <c r="AG451" s="694"/>
      <c r="AH451" s="9"/>
      <c r="AI451" s="694"/>
      <c r="AJ451" s="9"/>
      <c r="AK451" s="694"/>
      <c r="AL451" s="9"/>
      <c r="AM451" s="694"/>
      <c r="AN451" s="9"/>
      <c r="AO451" s="694"/>
      <c r="AP451" s="9"/>
      <c r="AQ451" s="694"/>
      <c r="AR451" s="9"/>
      <c r="AS451" s="694"/>
      <c r="AT451" s="9"/>
      <c r="AU451" s="694"/>
      <c r="AV451" s="9"/>
      <c r="AW451" s="694"/>
      <c r="AX451" s="9"/>
      <c r="AY451" s="287"/>
      <c r="AZ451" s="15"/>
      <c r="BA451" s="9"/>
      <c r="BB451" s="64"/>
      <c r="BC451" s="9"/>
      <c r="BD451" s="933"/>
      <c r="BE451" s="9"/>
      <c r="BF451" s="64"/>
      <c r="BG451" s="9"/>
      <c r="BH451" s="64"/>
      <c r="BI451" s="9"/>
      <c r="BJ451" s="64"/>
      <c r="BK451" s="9"/>
      <c r="BL451" s="64"/>
      <c r="BM451" s="9"/>
      <c r="BN451" s="694"/>
      <c r="BO451" s="9"/>
      <c r="BP451" s="694"/>
      <c r="BQ451" s="9"/>
      <c r="BR451" s="694"/>
      <c r="BS451" s="9"/>
      <c r="BT451" s="694"/>
      <c r="BU451" s="9"/>
      <c r="BV451" s="722"/>
      <c r="BW451" s="722"/>
      <c r="BX451" s="722"/>
      <c r="BY451"/>
      <c r="BZ451"/>
      <c r="CA451"/>
      <c r="CB451"/>
      <c r="CC451"/>
      <c r="CD451"/>
    </row>
    <row r="452" spans="1:83" s="2" customFormat="1" ht="12.75" hidden="1" customHeight="1" outlineLevel="1" x14ac:dyDescent="0.2">
      <c r="A452" s="41"/>
      <c r="B452" s="62" t="s">
        <v>207</v>
      </c>
      <c r="C452" s="651"/>
      <c r="D452" s="9"/>
      <c r="E452" s="651"/>
      <c r="F452" s="9"/>
      <c r="G452" s="651"/>
      <c r="H452" s="9"/>
      <c r="I452" s="78"/>
      <c r="J452" s="9"/>
      <c r="K452" s="78"/>
      <c r="L452" s="9"/>
      <c r="M452" s="78"/>
      <c r="N452" s="9"/>
      <c r="O452" s="78"/>
      <c r="P452" s="43"/>
      <c r="Q452" s="78"/>
      <c r="R452" s="43"/>
      <c r="S452" s="78"/>
      <c r="T452" s="43"/>
      <c r="U452" s="78"/>
      <c r="V452" s="43"/>
      <c r="W452" s="78"/>
      <c r="X452" s="43"/>
      <c r="Y452" s="78"/>
      <c r="Z452" s="43"/>
      <c r="AA452" s="78"/>
      <c r="AB452" s="43"/>
      <c r="AC452" s="78"/>
      <c r="AD452" s="43"/>
      <c r="AE452" s="78"/>
      <c r="AF452" s="43"/>
      <c r="AG452" s="78"/>
      <c r="AH452" s="9"/>
      <c r="AI452" s="78"/>
      <c r="AJ452" s="9"/>
      <c r="AK452" s="78"/>
      <c r="AL452" s="9"/>
      <c r="AM452" s="78"/>
      <c r="AN452" s="9"/>
      <c r="AO452" s="78"/>
      <c r="AP452" s="9"/>
      <c r="AQ452" s="78"/>
      <c r="AR452" s="9"/>
      <c r="AS452" s="78"/>
      <c r="AT452" s="9"/>
      <c r="AU452" s="78"/>
      <c r="AV452" s="9"/>
      <c r="AW452" s="78"/>
      <c r="AX452" s="9"/>
      <c r="AY452" s="287"/>
      <c r="AZ452" s="15"/>
      <c r="BA452" s="9"/>
      <c r="BB452" s="651"/>
      <c r="BC452" s="9"/>
      <c r="BD452" s="937"/>
      <c r="BE452" s="9"/>
      <c r="BF452" s="651"/>
      <c r="BG452" s="9"/>
      <c r="BH452" s="651"/>
      <c r="BI452" s="9"/>
      <c r="BJ452" s="651"/>
      <c r="BK452" s="9"/>
      <c r="BL452" s="651"/>
      <c r="BM452" s="9"/>
      <c r="BN452" s="78"/>
      <c r="BO452" s="9"/>
      <c r="BP452" s="78"/>
      <c r="BQ452" s="9"/>
      <c r="BR452" s="78"/>
      <c r="BS452" s="9"/>
      <c r="BT452" s="78"/>
      <c r="BU452" s="9"/>
      <c r="BV452" s="722"/>
      <c r="BW452" s="722"/>
      <c r="BX452" s="722"/>
      <c r="BY452"/>
      <c r="BZ452"/>
      <c r="CA452"/>
      <c r="CB452"/>
      <c r="CC452"/>
      <c r="CD452"/>
    </row>
    <row r="453" spans="1:83" s="2" customFormat="1" ht="12.75" hidden="1" customHeight="1" outlineLevel="1" x14ac:dyDescent="0.2">
      <c r="A453" s="66" t="s">
        <v>226</v>
      </c>
      <c r="B453" s="67" t="s">
        <v>411</v>
      </c>
      <c r="C453" s="695"/>
      <c r="D453" s="9"/>
      <c r="E453" s="695"/>
      <c r="F453" s="9"/>
      <c r="G453" s="695"/>
      <c r="H453" s="9"/>
      <c r="I453" s="695"/>
      <c r="J453" s="9"/>
      <c r="K453" s="695"/>
      <c r="L453" s="9"/>
      <c r="M453" s="695"/>
      <c r="N453" s="9"/>
      <c r="O453" s="695"/>
      <c r="P453" s="43"/>
      <c r="Q453" s="695"/>
      <c r="R453" s="43"/>
      <c r="S453" s="695"/>
      <c r="T453" s="43"/>
      <c r="U453" s="695"/>
      <c r="V453" s="43"/>
      <c r="W453" s="695"/>
      <c r="X453" s="43"/>
      <c r="Y453" s="695"/>
      <c r="Z453" s="43"/>
      <c r="AA453" s="695"/>
      <c r="AB453" s="43"/>
      <c r="AC453" s="695"/>
      <c r="AD453" s="43"/>
      <c r="AE453" s="695"/>
      <c r="AF453" s="43"/>
      <c r="AG453" s="695"/>
      <c r="AH453" s="9"/>
      <c r="AI453" s="695"/>
      <c r="AJ453" s="9"/>
      <c r="AK453" s="695"/>
      <c r="AL453" s="9"/>
      <c r="AM453" s="695"/>
      <c r="AN453" s="9"/>
      <c r="AO453" s="695"/>
      <c r="AP453" s="9"/>
      <c r="AQ453" s="695"/>
      <c r="AR453" s="9"/>
      <c r="AS453" s="695"/>
      <c r="AT453" s="9"/>
      <c r="AU453" s="695"/>
      <c r="AV453" s="9"/>
      <c r="AW453" s="695"/>
      <c r="AX453" s="9"/>
      <c r="AY453" s="287"/>
      <c r="AZ453" s="68"/>
      <c r="BA453" s="9"/>
      <c r="BB453" s="695"/>
      <c r="BC453" s="9"/>
      <c r="BD453" s="912"/>
      <c r="BE453" s="9"/>
      <c r="BF453" s="695"/>
      <c r="BG453" s="9"/>
      <c r="BH453" s="695"/>
      <c r="BI453" s="9"/>
      <c r="BJ453" s="695"/>
      <c r="BK453" s="9"/>
      <c r="BL453" s="695"/>
      <c r="BM453" s="9"/>
      <c r="BN453" s="695"/>
      <c r="BO453" s="9"/>
      <c r="BP453" s="695"/>
      <c r="BQ453" s="9"/>
      <c r="BR453" s="695"/>
      <c r="BS453" s="9"/>
      <c r="BT453" s="695"/>
      <c r="BU453" s="9"/>
      <c r="BV453" s="722"/>
      <c r="BW453" s="722"/>
      <c r="BX453" s="722"/>
      <c r="BY453"/>
      <c r="BZ453"/>
      <c r="CA453"/>
      <c r="CB453"/>
      <c r="CC453"/>
      <c r="CD453"/>
    </row>
    <row r="454" spans="1:83" s="2" customFormat="1" ht="12.75" hidden="1" customHeight="1" outlineLevel="1" x14ac:dyDescent="0.2">
      <c r="A454" s="66"/>
      <c r="B454" s="67"/>
      <c r="C454" s="696"/>
      <c r="D454" s="9"/>
      <c r="E454" s="696"/>
      <c r="F454" s="9"/>
      <c r="G454" s="696"/>
      <c r="H454" s="9"/>
      <c r="I454" s="696"/>
      <c r="J454" s="9"/>
      <c r="K454" s="696"/>
      <c r="L454" s="9"/>
      <c r="M454" s="696"/>
      <c r="N454" s="9"/>
      <c r="O454" s="696"/>
      <c r="P454" s="43"/>
      <c r="Q454" s="696"/>
      <c r="R454" s="43"/>
      <c r="S454" s="696"/>
      <c r="T454" s="43"/>
      <c r="U454" s="696"/>
      <c r="V454" s="43"/>
      <c r="W454" s="696"/>
      <c r="X454" s="43"/>
      <c r="Y454" s="696"/>
      <c r="Z454" s="43"/>
      <c r="AA454" s="696"/>
      <c r="AB454" s="43"/>
      <c r="AC454" s="696"/>
      <c r="AD454" s="43"/>
      <c r="AE454" s="696"/>
      <c r="AF454" s="43"/>
      <c r="AG454" s="696"/>
      <c r="AH454" s="9"/>
      <c r="AI454" s="696"/>
      <c r="AJ454" s="9"/>
      <c r="AK454" s="696"/>
      <c r="AL454" s="9"/>
      <c r="AM454" s="696"/>
      <c r="AN454" s="9"/>
      <c r="AO454" s="696"/>
      <c r="AP454" s="9"/>
      <c r="AQ454" s="696"/>
      <c r="AR454" s="9"/>
      <c r="AS454" s="696"/>
      <c r="AT454" s="9"/>
      <c r="AU454" s="696"/>
      <c r="AV454" s="9"/>
      <c r="AW454" s="696"/>
      <c r="AX454" s="9"/>
      <c r="AY454" s="287"/>
      <c r="AZ454" s="79"/>
      <c r="BA454" s="9"/>
      <c r="BB454" s="696"/>
      <c r="BC454" s="9"/>
      <c r="BD454" s="923"/>
      <c r="BE454" s="9"/>
      <c r="BF454" s="696"/>
      <c r="BG454" s="9"/>
      <c r="BH454" s="696"/>
      <c r="BI454" s="9"/>
      <c r="BJ454" s="696"/>
      <c r="BK454" s="9"/>
      <c r="BL454" s="696"/>
      <c r="BM454" s="9"/>
      <c r="BN454" s="696"/>
      <c r="BO454" s="9"/>
      <c r="BP454" s="696"/>
      <c r="BQ454" s="9"/>
      <c r="BR454" s="696"/>
      <c r="BS454" s="9"/>
      <c r="BT454" s="696"/>
      <c r="BU454" s="9"/>
      <c r="BV454" s="722"/>
      <c r="BW454" s="722"/>
      <c r="BX454" s="722"/>
      <c r="BY454"/>
      <c r="BZ454"/>
      <c r="CA454"/>
      <c r="CB454"/>
      <c r="CC454"/>
      <c r="CD454"/>
    </row>
    <row r="455" spans="1:83" s="7" customFormat="1" ht="12.75" hidden="1" customHeight="1" outlineLevel="1" x14ac:dyDescent="0.2">
      <c r="A455" s="80"/>
      <c r="B455" s="62" t="s">
        <v>59</v>
      </c>
      <c r="C455" s="132"/>
      <c r="D455" s="9"/>
      <c r="E455" s="132"/>
      <c r="F455" s="9"/>
      <c r="G455" s="132"/>
      <c r="H455" s="9"/>
      <c r="I455" s="132"/>
      <c r="J455" s="9"/>
      <c r="K455" s="132"/>
      <c r="L455" s="9"/>
      <c r="M455" s="132"/>
      <c r="N455" s="9"/>
      <c r="O455" s="132"/>
      <c r="P455" s="43"/>
      <c r="Q455" s="132"/>
      <c r="R455" s="43"/>
      <c r="S455" s="132"/>
      <c r="T455" s="43"/>
      <c r="U455" s="132"/>
      <c r="V455" s="43"/>
      <c r="W455" s="132"/>
      <c r="X455" s="43"/>
      <c r="Y455" s="132"/>
      <c r="Z455" s="43"/>
      <c r="AA455" s="132"/>
      <c r="AB455" s="43"/>
      <c r="AC455" s="132"/>
      <c r="AD455" s="43"/>
      <c r="AE455" s="132"/>
      <c r="AF455" s="43"/>
      <c r="AG455" s="132"/>
      <c r="AH455" s="9"/>
      <c r="AI455" s="132"/>
      <c r="AJ455" s="9"/>
      <c r="AK455" s="132"/>
      <c r="AL455" s="9"/>
      <c r="AM455" s="132"/>
      <c r="AN455" s="9"/>
      <c r="AO455" s="132"/>
      <c r="AP455" s="9"/>
      <c r="AQ455" s="132"/>
      <c r="AR455" s="9"/>
      <c r="AS455" s="132"/>
      <c r="AT455" s="9"/>
      <c r="AU455" s="132"/>
      <c r="AV455" s="9"/>
      <c r="AW455" s="132"/>
      <c r="AX455" s="9"/>
      <c r="AY455" s="287"/>
      <c r="AZ455" s="120"/>
      <c r="BA455" s="9"/>
      <c r="BB455" s="64"/>
      <c r="BC455" s="9"/>
      <c r="BD455" s="933"/>
      <c r="BE455" s="9"/>
      <c r="BF455" s="64"/>
      <c r="BG455" s="9"/>
      <c r="BH455" s="64"/>
      <c r="BI455" s="9"/>
      <c r="BJ455" s="64"/>
      <c r="BK455" s="9"/>
      <c r="BL455" s="64"/>
      <c r="BM455" s="9"/>
      <c r="BN455" s="132"/>
      <c r="BO455" s="9"/>
      <c r="BP455" s="132"/>
      <c r="BQ455" s="9"/>
      <c r="BR455" s="132"/>
      <c r="BS455" s="9"/>
      <c r="BT455" s="132"/>
      <c r="BU455" s="9"/>
      <c r="BV455" s="722"/>
      <c r="BW455" s="722"/>
      <c r="BX455" s="722"/>
      <c r="BY455"/>
      <c r="BZ455"/>
      <c r="CA455"/>
      <c r="CB455"/>
      <c r="CC455"/>
      <c r="CD455"/>
      <c r="CE455" s="2"/>
    </row>
    <row r="456" spans="1:83" s="7" customFormat="1" ht="12.75" hidden="1" customHeight="1" outlineLevel="1" x14ac:dyDescent="0.2">
      <c r="A456" s="80"/>
      <c r="B456" s="67" t="s">
        <v>60</v>
      </c>
      <c r="C456" s="695"/>
      <c r="D456" s="9"/>
      <c r="E456" s="695"/>
      <c r="F456" s="9"/>
      <c r="G456" s="695"/>
      <c r="H456" s="9"/>
      <c r="I456" s="695"/>
      <c r="J456" s="9"/>
      <c r="K456" s="695"/>
      <c r="L456" s="9"/>
      <c r="M456" s="695"/>
      <c r="N456" s="9"/>
      <c r="O456" s="695"/>
      <c r="P456" s="43"/>
      <c r="Q456" s="695"/>
      <c r="R456" s="43"/>
      <c r="S456" s="695"/>
      <c r="T456" s="43"/>
      <c r="U456" s="695"/>
      <c r="V456" s="43"/>
      <c r="W456" s="695"/>
      <c r="X456" s="43"/>
      <c r="Y456" s="695"/>
      <c r="Z456" s="43"/>
      <c r="AA456" s="695"/>
      <c r="AB456" s="43"/>
      <c r="AC456" s="695"/>
      <c r="AD456" s="43"/>
      <c r="AE456" s="695"/>
      <c r="AF456" s="43"/>
      <c r="AG456" s="695"/>
      <c r="AH456" s="9"/>
      <c r="AI456" s="695"/>
      <c r="AJ456" s="9"/>
      <c r="AK456" s="695"/>
      <c r="AL456" s="9"/>
      <c r="AM456" s="695"/>
      <c r="AN456" s="9"/>
      <c r="AO456" s="695"/>
      <c r="AP456" s="9"/>
      <c r="AQ456" s="695"/>
      <c r="AR456" s="9"/>
      <c r="AS456" s="695"/>
      <c r="AT456" s="9"/>
      <c r="AU456" s="695"/>
      <c r="AV456" s="9"/>
      <c r="AW456" s="695"/>
      <c r="AX456" s="9"/>
      <c r="AY456" s="287"/>
      <c r="AZ456" s="68"/>
      <c r="BA456" s="9"/>
      <c r="BB456" s="695"/>
      <c r="BC456" s="9"/>
      <c r="BD456" s="912"/>
      <c r="BE456" s="9"/>
      <c r="BF456" s="695"/>
      <c r="BG456" s="9"/>
      <c r="BH456" s="695"/>
      <c r="BI456" s="9"/>
      <c r="BJ456" s="695"/>
      <c r="BK456" s="9"/>
      <c r="BL456" s="695"/>
      <c r="BM456" s="9"/>
      <c r="BN456" s="695"/>
      <c r="BO456" s="9"/>
      <c r="BP456" s="695"/>
      <c r="BQ456" s="9"/>
      <c r="BR456" s="695"/>
      <c r="BS456" s="9"/>
      <c r="BT456" s="695"/>
      <c r="BU456" s="9"/>
      <c r="BV456" s="722"/>
      <c r="BW456" s="722"/>
      <c r="BX456" s="722"/>
      <c r="BY456"/>
      <c r="BZ456"/>
      <c r="CA456"/>
      <c r="CB456"/>
      <c r="CC456"/>
      <c r="CD456"/>
      <c r="CE456" s="2"/>
    </row>
    <row r="457" spans="1:83" s="7" customFormat="1" ht="12.75" hidden="1" customHeight="1" outlineLevel="1" x14ac:dyDescent="0.2">
      <c r="A457" s="42"/>
      <c r="B457" s="62" t="s">
        <v>466</v>
      </c>
      <c r="C457" s="691"/>
      <c r="D457" s="9"/>
      <c r="E457" s="691"/>
      <c r="F457" s="9"/>
      <c r="G457" s="691"/>
      <c r="H457" s="9"/>
      <c r="I457" s="691"/>
      <c r="J457" s="9"/>
      <c r="K457" s="691"/>
      <c r="L457" s="9"/>
      <c r="M457" s="691"/>
      <c r="N457" s="9"/>
      <c r="O457" s="691"/>
      <c r="P457" s="43"/>
      <c r="Q457" s="691"/>
      <c r="R457" s="43"/>
      <c r="S457" s="691"/>
      <c r="T457" s="43"/>
      <c r="U457" s="691"/>
      <c r="V457" s="43"/>
      <c r="W457" s="691"/>
      <c r="X457" s="43"/>
      <c r="Y457" s="691"/>
      <c r="Z457" s="43"/>
      <c r="AA457" s="691"/>
      <c r="AB457" s="43"/>
      <c r="AC457" s="691"/>
      <c r="AD457" s="43"/>
      <c r="AE457" s="691"/>
      <c r="AF457" s="43"/>
      <c r="AG457" s="691"/>
      <c r="AH457" s="9"/>
      <c r="AI457" s="691"/>
      <c r="AJ457" s="9"/>
      <c r="AK457" s="691"/>
      <c r="AL457" s="9"/>
      <c r="AM457" s="691"/>
      <c r="AN457" s="9"/>
      <c r="AO457" s="691"/>
      <c r="AP457" s="9"/>
      <c r="AQ457" s="691"/>
      <c r="AR457" s="9"/>
      <c r="AS457" s="691"/>
      <c r="AT457" s="9"/>
      <c r="AU457" s="691"/>
      <c r="AV457" s="9"/>
      <c r="AW457" s="691"/>
      <c r="AX457" s="9"/>
      <c r="AY457" s="287"/>
      <c r="AZ457" s="15"/>
      <c r="BA457" s="9"/>
      <c r="BB457" s="691"/>
      <c r="BC457" s="9"/>
      <c r="BD457" s="930"/>
      <c r="BE457" s="9"/>
      <c r="BF457" s="691"/>
      <c r="BG457" s="9"/>
      <c r="BH457" s="691"/>
      <c r="BI457" s="9"/>
      <c r="BJ457" s="691"/>
      <c r="BK457" s="9"/>
      <c r="BL457" s="691"/>
      <c r="BM457" s="9"/>
      <c r="BN457" s="691"/>
      <c r="BO457" s="9"/>
      <c r="BP457" s="691"/>
      <c r="BQ457" s="9"/>
      <c r="BR457" s="691"/>
      <c r="BS457" s="9"/>
      <c r="BT457" s="691"/>
      <c r="BU457" s="9"/>
      <c r="BV457" s="43"/>
      <c r="BW457" s="43"/>
      <c r="BX457" s="43"/>
      <c r="BY457"/>
      <c r="BZ457"/>
      <c r="CA457"/>
      <c r="CB457"/>
      <c r="CC457"/>
      <c r="CD457"/>
      <c r="CE457" s="2"/>
    </row>
    <row r="458" spans="1:83" s="2" customFormat="1" ht="12.75" hidden="1" customHeight="1" outlineLevel="1" x14ac:dyDescent="0.2">
      <c r="A458" s="41"/>
      <c r="B458" s="62"/>
      <c r="C458" s="15"/>
      <c r="D458" s="40"/>
      <c r="E458" s="15"/>
      <c r="F458" s="40"/>
      <c r="G458" s="15"/>
      <c r="H458" s="40"/>
      <c r="I458" s="15"/>
      <c r="J458" s="40"/>
      <c r="K458" s="15"/>
      <c r="L458" s="40"/>
      <c r="M458" s="15"/>
      <c r="N458" s="40"/>
      <c r="O458" s="15"/>
      <c r="P458" s="43"/>
      <c r="Q458" s="15"/>
      <c r="R458" s="43"/>
      <c r="S458" s="15"/>
      <c r="T458" s="43"/>
      <c r="U458" s="15"/>
      <c r="V458" s="43"/>
      <c r="W458" s="15"/>
      <c r="X458" s="43"/>
      <c r="Y458" s="15"/>
      <c r="Z458" s="43"/>
      <c r="AA458" s="15"/>
      <c r="AB458" s="43"/>
      <c r="AC458" s="15"/>
      <c r="AD458" s="43"/>
      <c r="AE458" s="15"/>
      <c r="AF458" s="43"/>
      <c r="AG458" s="15"/>
      <c r="AH458" s="40"/>
      <c r="AI458" s="15"/>
      <c r="AJ458" s="40"/>
      <c r="AK458" s="15"/>
      <c r="AL458" s="40"/>
      <c r="AM458" s="15"/>
      <c r="AN458" s="40"/>
      <c r="AO458" s="15"/>
      <c r="AP458" s="40"/>
      <c r="AQ458" s="15"/>
      <c r="AR458" s="40"/>
      <c r="AS458" s="15"/>
      <c r="AT458" s="40"/>
      <c r="AU458" s="15"/>
      <c r="AV458" s="40"/>
      <c r="AW458" s="15"/>
      <c r="AX458" s="40"/>
      <c r="AY458" s="287"/>
      <c r="AZ458" s="15"/>
      <c r="BA458" s="40"/>
      <c r="BB458" s="15"/>
      <c r="BC458" s="40"/>
      <c r="BD458" s="924"/>
      <c r="BE458" s="40"/>
      <c r="BF458" s="15"/>
      <c r="BG458" s="40"/>
      <c r="BH458" s="15"/>
      <c r="BI458" s="40"/>
      <c r="BJ458" s="15"/>
      <c r="BK458" s="40"/>
      <c r="BL458" s="15"/>
      <c r="BM458" s="40"/>
      <c r="BN458" s="15"/>
      <c r="BO458" s="40"/>
      <c r="BP458" s="15"/>
      <c r="BQ458" s="40"/>
      <c r="BR458" s="15"/>
      <c r="BS458" s="40"/>
      <c r="BT458" s="15"/>
      <c r="BU458" s="40"/>
      <c r="BV458" s="722"/>
      <c r="BW458" s="722"/>
      <c r="BX458" s="722"/>
      <c r="BY458"/>
      <c r="BZ458"/>
      <c r="CA458"/>
      <c r="CB458"/>
      <c r="CC458"/>
      <c r="CD458"/>
    </row>
    <row r="459" spans="1:83" s="2" customFormat="1" ht="12.75" hidden="1" customHeight="1" outlineLevel="1" x14ac:dyDescent="0.2">
      <c r="A459" s="41"/>
      <c r="B459" s="42" t="s">
        <v>372</v>
      </c>
      <c r="C459" s="105"/>
      <c r="D459" s="9"/>
      <c r="E459" s="105"/>
      <c r="F459" s="9"/>
      <c r="G459" s="105"/>
      <c r="H459" s="9"/>
      <c r="I459" s="105"/>
      <c r="J459" s="9"/>
      <c r="K459" s="105"/>
      <c r="L459" s="9"/>
      <c r="M459" s="105"/>
      <c r="N459" s="9"/>
      <c r="O459" s="105"/>
      <c r="P459" s="43"/>
      <c r="Q459" s="105"/>
      <c r="R459" s="43"/>
      <c r="S459" s="105"/>
      <c r="T459" s="43"/>
      <c r="U459" s="105"/>
      <c r="V459" s="43"/>
      <c r="W459" s="105"/>
      <c r="X459" s="43"/>
      <c r="Y459" s="105"/>
      <c r="Z459" s="43"/>
      <c r="AA459" s="105"/>
      <c r="AB459" s="43"/>
      <c r="AC459" s="105"/>
      <c r="AD459" s="43"/>
      <c r="AE459" s="105"/>
      <c r="AF459" s="43"/>
      <c r="AG459" s="105"/>
      <c r="AH459" s="9"/>
      <c r="AI459" s="105"/>
      <c r="AJ459" s="9"/>
      <c r="AK459" s="105"/>
      <c r="AL459" s="9"/>
      <c r="AM459" s="105"/>
      <c r="AN459" s="9"/>
      <c r="AO459" s="105"/>
      <c r="AP459" s="9"/>
      <c r="AQ459" s="105"/>
      <c r="AR459" s="9"/>
      <c r="AS459" s="105"/>
      <c r="AT459" s="9"/>
      <c r="AU459" s="105"/>
      <c r="AV459" s="9"/>
      <c r="AW459" s="105"/>
      <c r="AX459" s="9"/>
      <c r="AY459" s="287"/>
      <c r="AZ459" s="15"/>
      <c r="BA459" s="9"/>
      <c r="BB459" s="105"/>
      <c r="BC459" s="9"/>
      <c r="BD459" s="943"/>
      <c r="BE459" s="9"/>
      <c r="BF459" s="105"/>
      <c r="BG459" s="9"/>
      <c r="BH459" s="105"/>
      <c r="BI459" s="9"/>
      <c r="BJ459" s="105"/>
      <c r="BK459" s="9"/>
      <c r="BL459" s="105"/>
      <c r="BM459" s="9"/>
      <c r="BN459" s="105"/>
      <c r="BO459" s="9"/>
      <c r="BP459" s="105"/>
      <c r="BQ459" s="9"/>
      <c r="BR459" s="105"/>
      <c r="BS459" s="9"/>
      <c r="BT459" s="105"/>
      <c r="BU459" s="9"/>
      <c r="BV459" s="722"/>
      <c r="BW459" s="722"/>
      <c r="BX459" s="722"/>
      <c r="BY459"/>
      <c r="BZ459"/>
      <c r="CA459"/>
      <c r="CB459"/>
      <c r="CC459"/>
      <c r="CD459"/>
    </row>
    <row r="460" spans="1:83" s="2" customFormat="1" ht="12.75" hidden="1" customHeight="1" outlineLevel="1" x14ac:dyDescent="0.2">
      <c r="A460" s="41"/>
      <c r="B460" s="42" t="s">
        <v>373</v>
      </c>
      <c r="C460" s="105"/>
      <c r="D460" s="9"/>
      <c r="E460" s="105"/>
      <c r="F460" s="9"/>
      <c r="G460" s="105"/>
      <c r="H460" s="9"/>
      <c r="I460" s="105"/>
      <c r="J460" s="9"/>
      <c r="K460" s="105"/>
      <c r="L460" s="9"/>
      <c r="M460" s="105"/>
      <c r="N460" s="9"/>
      <c r="O460" s="105"/>
      <c r="P460" s="43"/>
      <c r="Q460" s="105"/>
      <c r="R460" s="43"/>
      <c r="S460" s="105"/>
      <c r="T460" s="43"/>
      <c r="U460" s="105"/>
      <c r="V460" s="43"/>
      <c r="W460" s="105"/>
      <c r="X460" s="43"/>
      <c r="Y460" s="105"/>
      <c r="Z460" s="43"/>
      <c r="AA460" s="105"/>
      <c r="AB460" s="43"/>
      <c r="AC460" s="105"/>
      <c r="AD460" s="43"/>
      <c r="AE460" s="105"/>
      <c r="AF460" s="43"/>
      <c r="AG460" s="105"/>
      <c r="AH460" s="9"/>
      <c r="AI460" s="105"/>
      <c r="AJ460" s="9"/>
      <c r="AK460" s="105"/>
      <c r="AL460" s="9"/>
      <c r="AM460" s="105"/>
      <c r="AN460" s="9"/>
      <c r="AO460" s="105"/>
      <c r="AP460" s="9"/>
      <c r="AQ460" s="105"/>
      <c r="AR460" s="9"/>
      <c r="AS460" s="105"/>
      <c r="AT460" s="9"/>
      <c r="AU460" s="105"/>
      <c r="AV460" s="9"/>
      <c r="AW460" s="105"/>
      <c r="AX460" s="9"/>
      <c r="AY460" s="287"/>
      <c r="AZ460" s="15"/>
      <c r="BA460" s="9"/>
      <c r="BB460" s="105"/>
      <c r="BC460" s="9"/>
      <c r="BD460" s="943"/>
      <c r="BE460" s="9"/>
      <c r="BF460" s="105"/>
      <c r="BG460" s="9"/>
      <c r="BH460" s="105"/>
      <c r="BI460" s="9"/>
      <c r="BJ460" s="105"/>
      <c r="BK460" s="9"/>
      <c r="BL460" s="105"/>
      <c r="BM460" s="9"/>
      <c r="BN460" s="105"/>
      <c r="BO460" s="9"/>
      <c r="BP460" s="105"/>
      <c r="BQ460" s="9"/>
      <c r="BR460" s="105"/>
      <c r="BS460" s="9"/>
      <c r="BT460" s="105"/>
      <c r="BU460" s="9"/>
      <c r="BV460" s="722"/>
      <c r="BW460" s="722"/>
      <c r="BX460" s="722"/>
      <c r="BY460"/>
      <c r="BZ460"/>
      <c r="CA460"/>
      <c r="CB460"/>
      <c r="CC460"/>
      <c r="CD460"/>
    </row>
    <row r="461" spans="1:83" s="2" customFormat="1" ht="12.75" hidden="1" customHeight="1" outlineLevel="1" x14ac:dyDescent="0.2">
      <c r="A461" s="41"/>
      <c r="B461" s="42"/>
      <c r="C461" s="15"/>
      <c r="D461" s="40"/>
      <c r="E461" s="15"/>
      <c r="F461" s="40"/>
      <c r="G461" s="15"/>
      <c r="H461" s="40"/>
      <c r="I461" s="15"/>
      <c r="J461" s="40"/>
      <c r="K461" s="15"/>
      <c r="L461" s="40"/>
      <c r="M461" s="15"/>
      <c r="N461" s="40"/>
      <c r="O461" s="15"/>
      <c r="P461" s="43"/>
      <c r="Q461" s="15"/>
      <c r="R461" s="43"/>
      <c r="S461" s="15"/>
      <c r="T461" s="43"/>
      <c r="U461" s="15"/>
      <c r="V461" s="43"/>
      <c r="W461" s="15"/>
      <c r="X461" s="43"/>
      <c r="Y461" s="15"/>
      <c r="Z461" s="43"/>
      <c r="AA461" s="15"/>
      <c r="AB461" s="43"/>
      <c r="AC461" s="15"/>
      <c r="AD461" s="43"/>
      <c r="AE461" s="15"/>
      <c r="AF461" s="43"/>
      <c r="AG461" s="15"/>
      <c r="AH461" s="40"/>
      <c r="AI461" s="15"/>
      <c r="AJ461" s="40"/>
      <c r="AK461" s="15"/>
      <c r="AL461" s="40"/>
      <c r="AM461" s="15"/>
      <c r="AN461" s="40"/>
      <c r="AO461" s="15"/>
      <c r="AP461" s="40"/>
      <c r="AQ461" s="15"/>
      <c r="AR461" s="40"/>
      <c r="AS461" s="15"/>
      <c r="AT461" s="40"/>
      <c r="AU461" s="15"/>
      <c r="AV461" s="40"/>
      <c r="AW461" s="15"/>
      <c r="AX461" s="40"/>
      <c r="AY461" s="287"/>
      <c r="AZ461" s="15"/>
      <c r="BA461" s="40"/>
      <c r="BB461" s="15"/>
      <c r="BC461" s="40"/>
      <c r="BD461" s="924"/>
      <c r="BE461" s="40"/>
      <c r="BF461" s="15"/>
      <c r="BG461" s="40"/>
      <c r="BH461" s="15"/>
      <c r="BI461" s="40"/>
      <c r="BJ461" s="15"/>
      <c r="BK461" s="40"/>
      <c r="BL461" s="15"/>
      <c r="BM461" s="40"/>
      <c r="BN461" s="15"/>
      <c r="BO461" s="40"/>
      <c r="BP461" s="15"/>
      <c r="BQ461" s="40"/>
      <c r="BR461" s="15"/>
      <c r="BS461" s="40"/>
      <c r="BT461" s="15"/>
      <c r="BU461" s="40"/>
      <c r="BV461" s="722"/>
      <c r="BW461" s="722"/>
      <c r="BX461" s="722"/>
      <c r="BY461"/>
      <c r="BZ461"/>
      <c r="CA461"/>
      <c r="CB461"/>
      <c r="CC461"/>
      <c r="CD461"/>
    </row>
    <row r="462" spans="1:83" s="2" customFormat="1" ht="12.75" hidden="1" customHeight="1" outlineLevel="1" x14ac:dyDescent="0.2">
      <c r="A462" s="41"/>
      <c r="B462" s="80" t="s">
        <v>396</v>
      </c>
      <c r="C462" s="15"/>
      <c r="D462" s="40"/>
      <c r="E462" s="15"/>
      <c r="F462" s="40"/>
      <c r="G462" s="15"/>
      <c r="H462" s="40"/>
      <c r="I462" s="15"/>
      <c r="J462" s="40"/>
      <c r="K462" s="15"/>
      <c r="L462" s="40"/>
      <c r="M462" s="15"/>
      <c r="N462" s="40"/>
      <c r="O462" s="15"/>
      <c r="P462" s="43"/>
      <c r="Q462" s="15"/>
      <c r="R462" s="43"/>
      <c r="S462" s="15"/>
      <c r="T462" s="43"/>
      <c r="U462" s="15"/>
      <c r="V462" s="43"/>
      <c r="W462" s="15"/>
      <c r="X462" s="43"/>
      <c r="Y462" s="15"/>
      <c r="Z462" s="43"/>
      <c r="AA462" s="15"/>
      <c r="AB462" s="43"/>
      <c r="AC462" s="15"/>
      <c r="AD462" s="43"/>
      <c r="AE462" s="15"/>
      <c r="AF462" s="43"/>
      <c r="AG462" s="15"/>
      <c r="AH462" s="40"/>
      <c r="AI462" s="15"/>
      <c r="AJ462" s="40"/>
      <c r="AK462" s="15"/>
      <c r="AL462" s="40"/>
      <c r="AM462" s="15"/>
      <c r="AN462" s="40"/>
      <c r="AO462" s="15"/>
      <c r="AP462" s="40"/>
      <c r="AQ462" s="15"/>
      <c r="AR462" s="40"/>
      <c r="AS462" s="15"/>
      <c r="AT462" s="40"/>
      <c r="AU462" s="15"/>
      <c r="AV462" s="40"/>
      <c r="AW462" s="15"/>
      <c r="AX462" s="40"/>
      <c r="AY462" s="287"/>
      <c r="AZ462" s="15"/>
      <c r="BA462" s="40"/>
      <c r="BB462" s="15"/>
      <c r="BC462" s="40"/>
      <c r="BD462" s="924"/>
      <c r="BE462" s="40"/>
      <c r="BF462" s="15"/>
      <c r="BG462" s="40"/>
      <c r="BH462" s="15"/>
      <c r="BI462" s="40"/>
      <c r="BJ462" s="15"/>
      <c r="BK462" s="40"/>
      <c r="BL462" s="15"/>
      <c r="BM462" s="40"/>
      <c r="BN462" s="15"/>
      <c r="BO462" s="40"/>
      <c r="BP462" s="15"/>
      <c r="BQ462" s="40"/>
      <c r="BR462" s="15"/>
      <c r="BS462" s="40"/>
      <c r="BT462" s="15"/>
      <c r="BU462" s="40"/>
      <c r="BV462" s="722"/>
      <c r="BW462" s="722"/>
      <c r="BX462" s="722"/>
      <c r="BY462"/>
      <c r="BZ462"/>
      <c r="CA462"/>
      <c r="CB462"/>
      <c r="CC462"/>
      <c r="CD462"/>
    </row>
    <row r="463" spans="1:83" s="2" customFormat="1" ht="12.75" hidden="1" customHeight="1" outlineLevel="1" x14ac:dyDescent="0.2">
      <c r="A463" s="41"/>
      <c r="B463" s="7" t="s">
        <v>159</v>
      </c>
      <c r="C463" s="101"/>
      <c r="D463" s="40"/>
      <c r="E463" s="101"/>
      <c r="F463" s="40"/>
      <c r="G463" s="101"/>
      <c r="H463" s="40"/>
      <c r="I463" s="101"/>
      <c r="J463" s="40"/>
      <c r="K463" s="101"/>
      <c r="L463" s="40"/>
      <c r="M463" s="101"/>
      <c r="N463" s="40"/>
      <c r="O463" s="101"/>
      <c r="P463" s="43"/>
      <c r="Q463" s="101"/>
      <c r="R463" s="43"/>
      <c r="S463" s="101"/>
      <c r="T463" s="43"/>
      <c r="U463" s="101"/>
      <c r="V463" s="43"/>
      <c r="W463" s="101"/>
      <c r="X463" s="43"/>
      <c r="Y463" s="101"/>
      <c r="Z463" s="43"/>
      <c r="AA463" s="101"/>
      <c r="AB463" s="43"/>
      <c r="AC463" s="101"/>
      <c r="AD463" s="43"/>
      <c r="AE463" s="101"/>
      <c r="AF463" s="43"/>
      <c r="AG463" s="101"/>
      <c r="AH463" s="40"/>
      <c r="AI463" s="101"/>
      <c r="AJ463" s="40"/>
      <c r="AK463" s="101"/>
      <c r="AL463" s="40"/>
      <c r="AM463" s="101"/>
      <c r="AN463" s="40"/>
      <c r="AO463" s="101"/>
      <c r="AP463" s="40"/>
      <c r="AQ463" s="101"/>
      <c r="AR463" s="40"/>
      <c r="AS463" s="101"/>
      <c r="AT463" s="40"/>
      <c r="AU463" s="101"/>
      <c r="AV463" s="40"/>
      <c r="AW463" s="101"/>
      <c r="AX463" s="40"/>
      <c r="AY463" s="287"/>
      <c r="AZ463" s="15"/>
      <c r="BA463" s="40"/>
      <c r="BB463" s="99"/>
      <c r="BC463" s="40"/>
      <c r="BD463" s="849"/>
      <c r="BE463" s="40"/>
      <c r="BF463" s="99"/>
      <c r="BG463" s="40"/>
      <c r="BH463" s="99"/>
      <c r="BI463" s="40"/>
      <c r="BJ463" s="99"/>
      <c r="BK463" s="40"/>
      <c r="BL463" s="99"/>
      <c r="BM463" s="40"/>
      <c r="BN463" s="101"/>
      <c r="BO463" s="40"/>
      <c r="BP463" s="101"/>
      <c r="BQ463" s="40"/>
      <c r="BR463" s="101"/>
      <c r="BS463" s="40"/>
      <c r="BT463" s="101"/>
      <c r="BU463" s="40"/>
      <c r="BV463" s="722"/>
      <c r="BW463" s="722"/>
      <c r="BX463" s="722"/>
      <c r="BY463"/>
      <c r="BZ463"/>
      <c r="CA463"/>
      <c r="CB463"/>
      <c r="CC463"/>
      <c r="CD463"/>
    </row>
    <row r="464" spans="1:83" s="2" customFormat="1" ht="12.75" hidden="1" customHeight="1" outlineLevel="1" x14ac:dyDescent="0.2">
      <c r="A464" s="41"/>
      <c r="B464" s="7" t="s">
        <v>395</v>
      </c>
      <c r="C464" s="101"/>
      <c r="D464" s="40"/>
      <c r="E464" s="101"/>
      <c r="F464" s="40"/>
      <c r="G464" s="101"/>
      <c r="H464" s="40"/>
      <c r="I464" s="101"/>
      <c r="J464" s="40"/>
      <c r="K464" s="101"/>
      <c r="L464" s="40"/>
      <c r="M464" s="101"/>
      <c r="N464" s="40"/>
      <c r="O464" s="101"/>
      <c r="P464" s="43"/>
      <c r="Q464" s="101"/>
      <c r="R464" s="43"/>
      <c r="S464" s="101"/>
      <c r="T464" s="43"/>
      <c r="U464" s="101"/>
      <c r="V464" s="43"/>
      <c r="W464" s="101"/>
      <c r="X464" s="43"/>
      <c r="Y464" s="101"/>
      <c r="Z464" s="43"/>
      <c r="AA464" s="101"/>
      <c r="AB464" s="43"/>
      <c r="AC464" s="101"/>
      <c r="AD464" s="43"/>
      <c r="AE464" s="101"/>
      <c r="AF464" s="43"/>
      <c r="AG464" s="101"/>
      <c r="AH464" s="40"/>
      <c r="AI464" s="101"/>
      <c r="AJ464" s="40"/>
      <c r="AK464" s="101"/>
      <c r="AL464" s="40"/>
      <c r="AM464" s="101"/>
      <c r="AN464" s="40"/>
      <c r="AO464" s="101"/>
      <c r="AP464" s="40"/>
      <c r="AQ464" s="101"/>
      <c r="AR464" s="40"/>
      <c r="AS464" s="101"/>
      <c r="AT464" s="40"/>
      <c r="AU464" s="101"/>
      <c r="AV464" s="40"/>
      <c r="AW464" s="101"/>
      <c r="AX464" s="40"/>
      <c r="AY464" s="287"/>
      <c r="AZ464" s="15"/>
      <c r="BA464" s="40"/>
      <c r="BB464" s="99"/>
      <c r="BC464" s="40"/>
      <c r="BD464" s="849"/>
      <c r="BE464" s="40"/>
      <c r="BF464" s="99"/>
      <c r="BG464" s="40"/>
      <c r="BH464" s="99"/>
      <c r="BI464" s="40"/>
      <c r="BJ464" s="99"/>
      <c r="BK464" s="40"/>
      <c r="BL464" s="99"/>
      <c r="BM464" s="40"/>
      <c r="BN464" s="101"/>
      <c r="BO464" s="40"/>
      <c r="BP464" s="101"/>
      <c r="BQ464" s="40"/>
      <c r="BR464" s="101"/>
      <c r="BS464" s="40"/>
      <c r="BT464" s="101"/>
      <c r="BU464" s="40"/>
      <c r="BV464" s="722"/>
      <c r="BW464" s="722"/>
      <c r="BX464" s="722"/>
      <c r="BY464"/>
      <c r="BZ464"/>
      <c r="CA464"/>
      <c r="CB464"/>
      <c r="CC464"/>
      <c r="CD464"/>
    </row>
    <row r="465" spans="1:82" s="2" customFormat="1" ht="12.75" hidden="1" customHeight="1" outlineLevel="1" x14ac:dyDescent="0.2">
      <c r="A465" s="41"/>
      <c r="B465" s="42"/>
      <c r="C465" s="15"/>
      <c r="D465" s="40"/>
      <c r="E465" s="15"/>
      <c r="F465" s="40"/>
      <c r="G465" s="15"/>
      <c r="H465" s="40"/>
      <c r="I465" s="15"/>
      <c r="J465" s="40"/>
      <c r="K465" s="15"/>
      <c r="L465" s="40"/>
      <c r="M465" s="15"/>
      <c r="N465" s="40"/>
      <c r="O465" s="15"/>
      <c r="P465" s="43"/>
      <c r="Q465" s="15"/>
      <c r="R465" s="43"/>
      <c r="S465" s="15"/>
      <c r="T465" s="43"/>
      <c r="U465" s="15"/>
      <c r="V465" s="43"/>
      <c r="W465" s="15"/>
      <c r="X465" s="43"/>
      <c r="Y465" s="15"/>
      <c r="Z465" s="43"/>
      <c r="AA465" s="15"/>
      <c r="AB465" s="43"/>
      <c r="AC465" s="15"/>
      <c r="AD465" s="43"/>
      <c r="AE465" s="15"/>
      <c r="AF465" s="43"/>
      <c r="AG465" s="15"/>
      <c r="AH465" s="40"/>
      <c r="AI465" s="15"/>
      <c r="AJ465" s="40"/>
      <c r="AK465" s="15"/>
      <c r="AL465" s="40"/>
      <c r="AM465" s="15"/>
      <c r="AN465" s="40"/>
      <c r="AO465" s="15"/>
      <c r="AP465" s="40"/>
      <c r="AQ465" s="15"/>
      <c r="AR465" s="40"/>
      <c r="AS465" s="15"/>
      <c r="AT465" s="40"/>
      <c r="AU465" s="15"/>
      <c r="AV465" s="40"/>
      <c r="AW465" s="15"/>
      <c r="AX465" s="40"/>
      <c r="AY465" s="287"/>
      <c r="AZ465" s="15"/>
      <c r="BA465" s="40"/>
      <c r="BB465" s="15"/>
      <c r="BC465" s="40"/>
      <c r="BD465" s="924"/>
      <c r="BE465" s="40"/>
      <c r="BF465" s="15"/>
      <c r="BG465" s="40"/>
      <c r="BH465" s="15"/>
      <c r="BI465" s="40"/>
      <c r="BJ465" s="15"/>
      <c r="BK465" s="40"/>
      <c r="BL465" s="15"/>
      <c r="BM465" s="40"/>
      <c r="BN465" s="15"/>
      <c r="BO465" s="40"/>
      <c r="BP465" s="15"/>
      <c r="BQ465" s="40"/>
      <c r="BR465" s="15"/>
      <c r="BS465" s="40"/>
      <c r="BT465" s="15"/>
      <c r="BU465" s="40"/>
      <c r="BV465" s="722"/>
      <c r="BW465" s="722"/>
      <c r="BX465" s="722"/>
      <c r="BY465"/>
      <c r="BZ465"/>
      <c r="CA465"/>
      <c r="CB465"/>
      <c r="CC465"/>
      <c r="CD465"/>
    </row>
    <row r="466" spans="1:82" s="265" customFormat="1" ht="12.75" customHeight="1" collapsed="1" x14ac:dyDescent="0.2">
      <c r="B466" s="266" t="s">
        <v>43</v>
      </c>
      <c r="C466" s="268"/>
      <c r="D466" s="269"/>
      <c r="E466" s="268"/>
      <c r="F466" s="269"/>
      <c r="G466" s="268"/>
      <c r="H466" s="269"/>
      <c r="I466" s="268"/>
      <c r="J466" s="269"/>
      <c r="K466" s="268"/>
      <c r="L466" s="269"/>
      <c r="M466" s="268"/>
      <c r="N466" s="269"/>
      <c r="O466" s="268"/>
      <c r="P466" s="268"/>
      <c r="Q466" s="268"/>
      <c r="R466" s="268"/>
      <c r="S466" s="268"/>
      <c r="T466" s="268"/>
      <c r="U466" s="268"/>
      <c r="V466" s="268"/>
      <c r="W466" s="268"/>
      <c r="X466" s="268"/>
      <c r="Y466" s="268"/>
      <c r="Z466" s="268"/>
      <c r="AA466" s="268"/>
      <c r="AB466" s="268"/>
      <c r="AC466" s="268"/>
      <c r="AD466" s="268"/>
      <c r="AE466" s="268"/>
      <c r="AF466" s="268"/>
      <c r="AG466" s="268"/>
      <c r="AH466" s="268"/>
      <c r="AI466" s="268"/>
      <c r="AJ466" s="268"/>
      <c r="AK466" s="268"/>
      <c r="AL466" s="268"/>
      <c r="AM466" s="268"/>
      <c r="AN466" s="268"/>
      <c r="AO466" s="268"/>
      <c r="AP466" s="268"/>
      <c r="AQ466" s="268"/>
      <c r="AR466" s="268"/>
      <c r="AS466" s="268"/>
      <c r="AT466" s="268"/>
      <c r="AU466" s="268"/>
      <c r="AV466" s="268"/>
      <c r="AW466" s="268"/>
      <c r="AX466" s="268"/>
      <c r="AY466" s="287"/>
      <c r="AZ466" s="267"/>
      <c r="BA466" s="269"/>
      <c r="BB466" s="268"/>
      <c r="BC466" s="269"/>
      <c r="BD466" s="907"/>
      <c r="BE466" s="269"/>
      <c r="BF466" s="268"/>
      <c r="BG466" s="269"/>
      <c r="BH466" s="268"/>
      <c r="BI466" s="269"/>
      <c r="BJ466" s="268"/>
      <c r="BK466" s="269"/>
      <c r="BL466" s="268"/>
      <c r="BM466" s="269"/>
      <c r="BN466" s="268"/>
      <c r="BO466" s="269"/>
      <c r="BP466" s="268"/>
      <c r="BQ466" s="269"/>
      <c r="BR466" s="268"/>
      <c r="BS466" s="269"/>
      <c r="BT466" s="268"/>
      <c r="BU466" s="269"/>
      <c r="BV466" s="270"/>
      <c r="BW466" s="270"/>
      <c r="BX466" s="270"/>
      <c r="BY466"/>
      <c r="BZ466"/>
      <c r="CA466"/>
      <c r="CB466"/>
      <c r="CC466"/>
      <c r="CD466"/>
    </row>
    <row r="467" spans="1:82" s="2" customFormat="1" ht="12.75" customHeight="1" x14ac:dyDescent="0.2">
      <c r="A467" s="41"/>
      <c r="B467" s="42"/>
      <c r="C467" s="15"/>
      <c r="D467" s="40"/>
      <c r="E467" s="15"/>
      <c r="F467" s="40"/>
      <c r="G467" s="15"/>
      <c r="H467" s="40"/>
      <c r="I467" s="15"/>
      <c r="J467" s="40"/>
      <c r="K467" s="15"/>
      <c r="L467" s="40"/>
      <c r="M467" s="15"/>
      <c r="N467" s="40"/>
      <c r="O467" s="15"/>
      <c r="P467" s="43"/>
      <c r="Q467" s="15"/>
      <c r="R467" s="43"/>
      <c r="S467" s="15"/>
      <c r="T467" s="43"/>
      <c r="U467" s="15"/>
      <c r="V467" s="43"/>
      <c r="W467" s="15"/>
      <c r="X467" s="43"/>
      <c r="Y467" s="15"/>
      <c r="Z467" s="43"/>
      <c r="AA467" s="15"/>
      <c r="AB467" s="43"/>
      <c r="AC467" s="15"/>
      <c r="AD467" s="43"/>
      <c r="AE467" s="15"/>
      <c r="AF467" s="43"/>
      <c r="AG467" s="15"/>
      <c r="AH467" s="40"/>
      <c r="AI467" s="15"/>
      <c r="AJ467" s="40"/>
      <c r="AK467" s="15"/>
      <c r="AL467" s="40"/>
      <c r="AM467" s="15"/>
      <c r="AN467" s="40"/>
      <c r="AO467" s="15"/>
      <c r="AP467" s="40"/>
      <c r="AQ467" s="15"/>
      <c r="AR467" s="40"/>
      <c r="AS467" s="15"/>
      <c r="AT467" s="40"/>
      <c r="AU467" s="15"/>
      <c r="AV467" s="40"/>
      <c r="AW467" s="15"/>
      <c r="AX467" s="40"/>
      <c r="AY467" s="287"/>
      <c r="AZ467" s="15"/>
      <c r="BA467" s="40"/>
      <c r="BB467" s="15"/>
      <c r="BC467" s="40"/>
      <c r="BD467" s="924"/>
      <c r="BE467" s="40"/>
      <c r="BF467" s="15"/>
      <c r="BG467" s="40"/>
      <c r="BH467" s="15"/>
      <c r="BI467" s="40"/>
      <c r="BJ467" s="15"/>
      <c r="BK467" s="40"/>
      <c r="BL467" s="15"/>
      <c r="BM467" s="40"/>
      <c r="BN467" s="15"/>
      <c r="BO467" s="40"/>
      <c r="BP467" s="15"/>
      <c r="BQ467" s="40"/>
      <c r="BR467" s="15"/>
      <c r="BS467" s="40"/>
      <c r="BT467" s="15"/>
      <c r="BU467" s="40"/>
      <c r="BV467" s="722"/>
      <c r="BW467" s="722"/>
      <c r="BX467" s="722"/>
      <c r="BY467"/>
      <c r="BZ467"/>
      <c r="CA467"/>
      <c r="CB467"/>
      <c r="CC467"/>
      <c r="CD467"/>
    </row>
    <row r="468" spans="1:82" s="2" customFormat="1" ht="12.75" customHeight="1" x14ac:dyDescent="0.2">
      <c r="A468" s="41"/>
      <c r="B468" s="67" t="s">
        <v>298</v>
      </c>
      <c r="C468" s="694"/>
      <c r="D468" s="9"/>
      <c r="E468" s="694"/>
      <c r="F468" s="9"/>
      <c r="G468" s="694"/>
      <c r="H468" s="9"/>
      <c r="I468" s="694"/>
      <c r="J468" s="9"/>
      <c r="K468" s="694"/>
      <c r="L468" s="9"/>
      <c r="M468" s="694"/>
      <c r="N468" s="9"/>
      <c r="O468" s="694"/>
      <c r="P468" s="43"/>
      <c r="Q468" s="694"/>
      <c r="R468" s="43"/>
      <c r="S468" s="694"/>
      <c r="T468" s="43"/>
      <c r="U468" s="694"/>
      <c r="V468" s="43"/>
      <c r="W468" s="694"/>
      <c r="X468" s="43"/>
      <c r="Y468" s="694"/>
      <c r="Z468" s="43"/>
      <c r="AA468" s="694"/>
      <c r="AB468" s="43"/>
      <c r="AC468" s="694"/>
      <c r="AD468" s="43"/>
      <c r="AE468" s="694"/>
      <c r="AF468" s="43"/>
      <c r="AG468" s="694"/>
      <c r="AH468" s="9"/>
      <c r="AI468" s="694"/>
      <c r="AJ468" s="9"/>
      <c r="AK468" s="694"/>
      <c r="AL468" s="9"/>
      <c r="AM468" s="694"/>
      <c r="AN468" s="9"/>
      <c r="AO468" s="694"/>
      <c r="AP468" s="9"/>
      <c r="AQ468" s="694"/>
      <c r="AR468" s="9"/>
      <c r="AS468" s="694"/>
      <c r="AT468" s="9"/>
      <c r="AU468" s="694"/>
      <c r="AV468" s="9"/>
      <c r="AW468" s="694"/>
      <c r="AX468" s="9"/>
      <c r="AY468" s="287"/>
      <c r="AZ468" s="15"/>
      <c r="BA468" s="9"/>
      <c r="BB468" s="694"/>
      <c r="BC468" s="9"/>
      <c r="BD468" s="916"/>
      <c r="BE468" s="9"/>
      <c r="BF468" s="694"/>
      <c r="BG468" s="9"/>
      <c r="BH468" s="694"/>
      <c r="BI468" s="9"/>
      <c r="BJ468" s="694"/>
      <c r="BK468" s="9"/>
      <c r="BL468" s="694"/>
      <c r="BM468" s="9"/>
      <c r="BN468" s="694"/>
      <c r="BO468" s="9"/>
      <c r="BP468" s="694"/>
      <c r="BQ468" s="9"/>
      <c r="BR468" s="694"/>
      <c r="BS468" s="9"/>
      <c r="BT468" s="694"/>
      <c r="BU468" s="9"/>
      <c r="BV468" s="722"/>
      <c r="BW468" s="722"/>
      <c r="BX468" s="722"/>
      <c r="BY468"/>
      <c r="BZ468"/>
      <c r="CA468"/>
      <c r="CB468"/>
      <c r="CC468"/>
      <c r="CD468"/>
    </row>
    <row r="469" spans="1:82" s="2" customFormat="1" ht="12.75" customHeight="1" x14ac:dyDescent="0.2">
      <c r="A469" s="41"/>
      <c r="B469" s="42" t="s">
        <v>321</v>
      </c>
      <c r="C469" s="702">
        <v>26.2</v>
      </c>
      <c r="D469" s="9" t="str">
        <f>IF(ISERROR(C469/#REF!),"NA",IF(OR(C469/#REF!&gt;2,C469/#REF!&lt;0.5),"NM",C469/#REF!*100-100))</f>
        <v>NA</v>
      </c>
      <c r="E469" s="702">
        <v>25.9</v>
      </c>
      <c r="F469" s="9" t="str">
        <f>IF(ISERROR(E469/#REF!),"NA",IF(OR(E469/#REF!&gt;2,E469/#REF!&lt;0.5),"NM",E469/#REF!*100-100))</f>
        <v>NA</v>
      </c>
      <c r="G469" s="702">
        <v>24.8</v>
      </c>
      <c r="H469" s="9" t="str">
        <f>IF(ISERROR(G469/#REF!),"NA",IF(OR(G469/#REF!&gt;2,G469/#REF!&lt;0.5),"NM",G469/#REF!*100-100))</f>
        <v>NA</v>
      </c>
      <c r="I469" s="702">
        <v>24.6</v>
      </c>
      <c r="J469" s="9" t="str">
        <f>IF(ISERROR(I469/#REF!),"NA",IF(OR(I469/#REF!&gt;2,I469/#REF!&lt;0.5),"NM",I469/#REF!*100-100))</f>
        <v>NA</v>
      </c>
      <c r="K469" s="702">
        <v>26.1</v>
      </c>
      <c r="L469" s="9">
        <f t="shared" ref="L469:L474" si="2329">IF(ISERROR(K469/C469),"NA",IF(OR(K469/C469&gt;2,K469/C469&lt;0.5),"NM",K469/C469*100-100))</f>
        <v>-0.3816793893129784</v>
      </c>
      <c r="M469" s="702">
        <v>26.6</v>
      </c>
      <c r="N469" s="9">
        <f t="shared" ref="N469:N474" si="2330">IF(ISERROR(M469/E469),"NA",IF(OR(M469/E469&gt;2,M469/E469&lt;0.5),"NM",M469/E469*100-100))</f>
        <v>2.7027027027027231</v>
      </c>
      <c r="O469" s="702">
        <v>24</v>
      </c>
      <c r="P469" s="43">
        <f t="shared" ref="P469:V507" si="2331">IF(ISERROR(O469/G469),"NA",IF(OR(O469/G469&gt;2,O469/G469&lt;0.5),"NM",O469/G469*100-100))</f>
        <v>-3.225806451612911</v>
      </c>
      <c r="Q469" s="702">
        <v>25.7</v>
      </c>
      <c r="R469" s="43">
        <f t="shared" si="2331"/>
        <v>4.4715447154471519</v>
      </c>
      <c r="S469" s="702">
        <v>30.5</v>
      </c>
      <c r="T469" s="43">
        <f t="shared" si="2331"/>
        <v>16.858237547892713</v>
      </c>
      <c r="U469" s="702">
        <v>31.4</v>
      </c>
      <c r="V469" s="43">
        <f t="shared" si="2331"/>
        <v>18.045112781954884</v>
      </c>
      <c r="W469" s="702">
        <v>29.6</v>
      </c>
      <c r="X469" s="43">
        <f t="shared" ref="X469:X507" si="2332">IF(ISERROR(W469/O469),"NA",IF(OR(W469/O469&gt;2,W469/O469&lt;0.5),"NM",W469/O469*100-100))</f>
        <v>23.333333333333343</v>
      </c>
      <c r="Y469" s="702"/>
      <c r="Z469" s="43"/>
      <c r="AA469" s="702"/>
      <c r="AB469" s="43"/>
      <c r="AC469" s="702"/>
      <c r="AD469" s="43"/>
      <c r="AE469" s="702"/>
      <c r="AF469" s="43"/>
      <c r="AG469" s="702"/>
      <c r="AH469" s="9" t="str">
        <f t="shared" ref="AH469:AH474" si="2333">IF(ISERROR(AG469/Y469),"NA",IF(OR(AG469/Y469&gt;2,AG469/Y469&lt;0.5),"NM",AG469/Y469*100-100))</f>
        <v>NA</v>
      </c>
      <c r="AI469" s="702"/>
      <c r="AJ469" s="9" t="str">
        <f t="shared" ref="AJ469:AJ474" si="2334">IF(ISERROR(AI469/AA469),"NA",IF(OR(AI469/AA469&gt;2,AI469/AA469&lt;0.5),"NM",AI469/AA469*100-100))</f>
        <v>NA</v>
      </c>
      <c r="AK469" s="702"/>
      <c r="AL469" s="9" t="str">
        <f t="shared" ref="AL469:AL474" si="2335">IF(ISERROR(AK469/AC469),"NA",IF(OR(AK469/AC469&gt;2,AK469/AC469&lt;0.5),"NM",AK469/AC469*100-100))</f>
        <v>NA</v>
      </c>
      <c r="AM469" s="702"/>
      <c r="AN469" s="9" t="str">
        <f t="shared" ref="AN469:AN474" si="2336">IF(ISERROR(AM469/AE469),"NA",IF(OR(AM469/AE469&gt;2,AM469/AE469&lt;0.5),"NM",AM469/AE469*100-100))</f>
        <v>NA</v>
      </c>
      <c r="AO469" s="702"/>
      <c r="AP469" s="9" t="str">
        <f t="shared" ref="AP469:AP474" si="2337">IF(ISERROR(AO469/AG469),"NA",IF(OR(AO469/AG469&gt;2,AO469/AG469&lt;0.5),"NM",AO469/AG469*100-100))</f>
        <v>NA</v>
      </c>
      <c r="AQ469" s="702"/>
      <c r="AR469" s="9" t="str">
        <f t="shared" ref="AR469:AR474" si="2338">IF(ISERROR(AQ469/AI469),"NA",IF(OR(AQ469/AI469&gt;2,AQ469/AI469&lt;0.5),"NM",AQ469/AI469*100-100))</f>
        <v>NA</v>
      </c>
      <c r="AS469" s="702"/>
      <c r="AT469" s="9" t="str">
        <f t="shared" ref="AT469:AT474" si="2339">IF(ISERROR(AS469/AK469),"NA",IF(OR(AS469/AK469&gt;2,AS469/AK469&lt;0.5),"NM",AS469/AK469*100-100))</f>
        <v>NA</v>
      </c>
      <c r="AU469" s="702"/>
      <c r="AV469" s="9" t="str">
        <f t="shared" ref="AV469:AV474" si="2340">IF(ISERROR(AU469/AM469),"NA",IF(OR(AU469/AM469&gt;2,AU469/AM469&lt;0.5),"NM",AU469/AM469*100-100))</f>
        <v>NA</v>
      </c>
      <c r="AW469" s="702"/>
      <c r="AX469" s="9" t="str">
        <f t="shared" ref="AX469:AX474" si="2341">IF(ISERROR(AW469/AO469),"NA",IF(OR(AW469/AO469&gt;2,AW469/AO469&lt;0.5),"NM",AW469/AO469*100-100))</f>
        <v>NA</v>
      </c>
      <c r="AY469" s="287"/>
      <c r="AZ469" s="64"/>
      <c r="BA469" s="9" t="str">
        <f>IF(ISERROR(#REF!/#REF!),"NA",IF(OR(#REF!/#REF!&gt;2,#REF!/#REF!&lt;0.5),"NM",#REF!/#REF!*100-100))</f>
        <v>NA</v>
      </c>
      <c r="BB469" s="650">
        <f>U469</f>
        <v>31.4</v>
      </c>
      <c r="BC469" s="9" t="str">
        <f>IF(ISERROR(BB469/#REF!),"NA",IF(OR(BB469/#REF!&gt;2,BB469/#REF!&lt;0.5),"NM",BB469/#REF!*100-100))</f>
        <v>NA</v>
      </c>
      <c r="BD469" s="938">
        <f>W469</f>
        <v>29.6</v>
      </c>
      <c r="BE469" s="9">
        <f t="shared" ref="BE469:BS474" si="2342">IF(ISERROR(BD469/BB469),"NA",IF(OR(BD469/BB469&gt;2,BD469/BB469&lt;0.5),"NM",BD469/BB469*100-100))</f>
        <v>-5.73248407643311</v>
      </c>
      <c r="BF469" s="650">
        <f>Y469</f>
        <v>0</v>
      </c>
      <c r="BG469" s="9" t="str">
        <f t="shared" si="2342"/>
        <v>NM</v>
      </c>
      <c r="BH469" s="650">
        <f>AG469</f>
        <v>0</v>
      </c>
      <c r="BI469" s="9" t="str">
        <f t="shared" si="2342"/>
        <v>NA</v>
      </c>
      <c r="BJ469" s="650">
        <f>AO469</f>
        <v>0</v>
      </c>
      <c r="BK469" s="9" t="str">
        <f t="shared" si="2342"/>
        <v>NA</v>
      </c>
      <c r="BL469" s="650">
        <f>AW469</f>
        <v>0</v>
      </c>
      <c r="BM469" s="9" t="str">
        <f t="shared" si="2342"/>
        <v>NA</v>
      </c>
      <c r="BN469" s="702">
        <f>+BL469*1.03</f>
        <v>0</v>
      </c>
      <c r="BO469" s="9" t="str">
        <f t="shared" si="2342"/>
        <v>NA</v>
      </c>
      <c r="BP469" s="702">
        <f>+BN469*1.03</f>
        <v>0</v>
      </c>
      <c r="BQ469" s="9" t="str">
        <f t="shared" si="2342"/>
        <v>NA</v>
      </c>
      <c r="BR469" s="702">
        <f>+BP469*1.03</f>
        <v>0</v>
      </c>
      <c r="BS469" s="9" t="str">
        <f t="shared" si="2342"/>
        <v>NA</v>
      </c>
      <c r="BT469" s="702">
        <f>+BR469*1.03</f>
        <v>0</v>
      </c>
      <c r="BU469" s="9" t="str">
        <f t="shared" ref="BU469:BU474" si="2343">IF(ISERROR(BT469/BR469),"NA",IF(OR(BT469/BR469&gt;2,BT469/BR469&lt;0.5),"NM",BT469/BR469*100-100))</f>
        <v>NA</v>
      </c>
      <c r="BV469" s="43" t="str">
        <f t="shared" ref="BV469:BV474" si="2344">IF(ISERROR(((BT469/BJ469)^0.2-1)*100),"NA",IF((((BT469/BJ469)^0.2-1)*100)&gt;100,"NM",IF((((BT469/BJ469)^0.2-1)*100)&lt;-50,"NM",((BT469/BJ469)^0.2-1)*100)))</f>
        <v>NA</v>
      </c>
      <c r="BW469" s="722"/>
      <c r="BX469" s="722"/>
      <c r="BY469"/>
      <c r="BZ469"/>
      <c r="CA469"/>
      <c r="CB469"/>
      <c r="CC469"/>
      <c r="CD469"/>
    </row>
    <row r="470" spans="1:82" s="2" customFormat="1" ht="12.75" customHeight="1" x14ac:dyDescent="0.2">
      <c r="A470" s="41"/>
      <c r="B470" s="42" t="s">
        <v>158</v>
      </c>
      <c r="C470" s="702">
        <v>336.3</v>
      </c>
      <c r="D470" s="9" t="str">
        <f>IF(ISERROR(C470/#REF!),"NA",IF(OR(C470/#REF!&gt;2,C470/#REF!&lt;0.5),"NM",C470/#REF!*100-100))</f>
        <v>NA</v>
      </c>
      <c r="E470" s="702">
        <v>329.1</v>
      </c>
      <c r="F470" s="9" t="str">
        <f>IF(ISERROR(E470/#REF!),"NA",IF(OR(E470/#REF!&gt;2,E470/#REF!&lt;0.5),"NM",E470/#REF!*100-100))</f>
        <v>NA</v>
      </c>
      <c r="G470" s="702">
        <v>323.10000000000002</v>
      </c>
      <c r="H470" s="9" t="str">
        <f>IF(ISERROR(G470/#REF!),"NA",IF(OR(G470/#REF!&gt;2,G470/#REF!&lt;0.5),"NM",G470/#REF!*100-100))</f>
        <v>NA</v>
      </c>
      <c r="I470" s="702">
        <v>328</v>
      </c>
      <c r="J470" s="9" t="str">
        <f>IF(ISERROR(I470/#REF!),"NA",IF(OR(I470/#REF!&gt;2,I470/#REF!&lt;0.5),"NM",I470/#REF!*100-100))</f>
        <v>NA</v>
      </c>
      <c r="K470" s="702">
        <v>325.39999999999998</v>
      </c>
      <c r="L470" s="9">
        <f t="shared" si="2329"/>
        <v>-3.241153731787108</v>
      </c>
      <c r="M470" s="702">
        <v>323.2</v>
      </c>
      <c r="N470" s="9">
        <f t="shared" si="2330"/>
        <v>-1.7927681555758141</v>
      </c>
      <c r="O470" s="702">
        <v>317.5</v>
      </c>
      <c r="P470" s="43">
        <f t="shared" si="2331"/>
        <v>-1.7332095326524382</v>
      </c>
      <c r="Q470" s="702">
        <v>312.7</v>
      </c>
      <c r="R470" s="43">
        <f t="shared" si="2331"/>
        <v>-4.6646341463414558</v>
      </c>
      <c r="S470" s="702">
        <v>314.3</v>
      </c>
      <c r="T470" s="43">
        <f t="shared" si="2331"/>
        <v>-3.4111862323294275</v>
      </c>
      <c r="U470" s="702">
        <v>306.8</v>
      </c>
      <c r="V470" s="43">
        <f t="shared" si="2331"/>
        <v>-5.074257425742573</v>
      </c>
      <c r="W470" s="702">
        <v>300.7</v>
      </c>
      <c r="X470" s="43">
        <f t="shared" si="2332"/>
        <v>-5.2913385826771702</v>
      </c>
      <c r="Y470" s="702"/>
      <c r="Z470" s="43"/>
      <c r="AA470" s="702"/>
      <c r="AB470" s="43"/>
      <c r="AC470" s="702"/>
      <c r="AD470" s="43"/>
      <c r="AE470" s="702"/>
      <c r="AF470" s="43"/>
      <c r="AG470" s="702"/>
      <c r="AH470" s="9" t="str">
        <f t="shared" si="2333"/>
        <v>NA</v>
      </c>
      <c r="AI470" s="702"/>
      <c r="AJ470" s="9" t="str">
        <f t="shared" si="2334"/>
        <v>NA</v>
      </c>
      <c r="AK470" s="702"/>
      <c r="AL470" s="9" t="str">
        <f t="shared" si="2335"/>
        <v>NA</v>
      </c>
      <c r="AM470" s="702"/>
      <c r="AN470" s="9" t="str">
        <f t="shared" si="2336"/>
        <v>NA</v>
      </c>
      <c r="AO470" s="702"/>
      <c r="AP470" s="9" t="str">
        <f t="shared" si="2337"/>
        <v>NA</v>
      </c>
      <c r="AQ470" s="702"/>
      <c r="AR470" s="9" t="str">
        <f t="shared" si="2338"/>
        <v>NA</v>
      </c>
      <c r="AS470" s="702"/>
      <c r="AT470" s="9" t="str">
        <f t="shared" si="2339"/>
        <v>NA</v>
      </c>
      <c r="AU470" s="702"/>
      <c r="AV470" s="9" t="str">
        <f t="shared" si="2340"/>
        <v>NA</v>
      </c>
      <c r="AW470" s="702"/>
      <c r="AX470" s="9" t="str">
        <f t="shared" si="2341"/>
        <v>NA</v>
      </c>
      <c r="AY470" s="287"/>
      <c r="AZ470" s="64"/>
      <c r="BA470" s="9" t="str">
        <f>IF(ISERROR(#REF!/#REF!),"NA",IF(OR(#REF!/#REF!&gt;2,#REF!/#REF!&lt;0.5),"NM",#REF!/#REF!*100-100))</f>
        <v>NA</v>
      </c>
      <c r="BB470" s="650">
        <f>U470</f>
        <v>306.8</v>
      </c>
      <c r="BC470" s="9" t="str">
        <f>IF(ISERROR(BB470/#REF!),"NA",IF(OR(BB470/#REF!&gt;2,BB470/#REF!&lt;0.5),"NM",BB470/#REF!*100-100))</f>
        <v>NA</v>
      </c>
      <c r="BD470" s="938">
        <f>W470</f>
        <v>300.7</v>
      </c>
      <c r="BE470" s="9">
        <f t="shared" si="2342"/>
        <v>-1.9882659713168209</v>
      </c>
      <c r="BF470" s="650">
        <f>Y470</f>
        <v>0</v>
      </c>
      <c r="BG470" s="9" t="str">
        <f t="shared" si="2342"/>
        <v>NM</v>
      </c>
      <c r="BH470" s="650">
        <f>AG470</f>
        <v>0</v>
      </c>
      <c r="BI470" s="9" t="str">
        <f t="shared" si="2342"/>
        <v>NA</v>
      </c>
      <c r="BJ470" s="650">
        <f>AO470</f>
        <v>0</v>
      </c>
      <c r="BK470" s="9" t="str">
        <f t="shared" si="2342"/>
        <v>NA</v>
      </c>
      <c r="BL470" s="650">
        <f>AW470</f>
        <v>0</v>
      </c>
      <c r="BM470" s="9" t="str">
        <f t="shared" si="2342"/>
        <v>NA</v>
      </c>
      <c r="BN470" s="702">
        <f>+BL470*1.03</f>
        <v>0</v>
      </c>
      <c r="BO470" s="9" t="str">
        <f t="shared" si="2342"/>
        <v>NA</v>
      </c>
      <c r="BP470" s="702">
        <f>+BN470*1.03</f>
        <v>0</v>
      </c>
      <c r="BQ470" s="9" t="str">
        <f t="shared" si="2342"/>
        <v>NA</v>
      </c>
      <c r="BR470" s="702">
        <f>+BP470*1.03</f>
        <v>0</v>
      </c>
      <c r="BS470" s="9" t="str">
        <f t="shared" si="2342"/>
        <v>NA</v>
      </c>
      <c r="BT470" s="702">
        <f>+BR470*1.03</f>
        <v>0</v>
      </c>
      <c r="BU470" s="9" t="str">
        <f t="shared" si="2343"/>
        <v>NA</v>
      </c>
      <c r="BV470" s="43" t="str">
        <f t="shared" si="2344"/>
        <v>NA</v>
      </c>
      <c r="BW470" s="705"/>
      <c r="BX470" s="705"/>
      <c r="BY470"/>
      <c r="BZ470"/>
      <c r="CA470"/>
      <c r="CB470"/>
      <c r="CC470"/>
      <c r="CD470"/>
    </row>
    <row r="471" spans="1:82" s="2" customFormat="1" ht="12.75" customHeight="1" x14ac:dyDescent="0.2">
      <c r="A471" s="41"/>
      <c r="B471" s="42" t="s">
        <v>322</v>
      </c>
      <c r="C471" s="653">
        <v>751.2</v>
      </c>
      <c r="D471" s="9" t="str">
        <f>IF(ISERROR(C471/#REF!),"NA",IF(OR(C471/#REF!&gt;2,C471/#REF!&lt;0.5),"NM",C471/#REF!*100-100))</f>
        <v>NA</v>
      </c>
      <c r="E471" s="653">
        <v>740.8</v>
      </c>
      <c r="F471" s="9" t="str">
        <f>IF(ISERROR(E471/#REF!),"NA",IF(OR(E471/#REF!&gt;2,E471/#REF!&lt;0.5),"NM",E471/#REF!*100-100))</f>
        <v>NA</v>
      </c>
      <c r="G471" s="653">
        <v>747.3</v>
      </c>
      <c r="H471" s="9" t="str">
        <f>IF(ISERROR(G471/#REF!),"NA",IF(OR(G471/#REF!&gt;2,G471/#REF!&lt;0.5),"NM",G471/#REF!*100-100))</f>
        <v>NA</v>
      </c>
      <c r="I471" s="702">
        <v>756.2</v>
      </c>
      <c r="J471" s="9" t="str">
        <f>IF(ISERROR(I471/#REF!),"NA",IF(OR(I471/#REF!&gt;2,I471/#REF!&lt;0.5),"NM",I471/#REF!*100-100))</f>
        <v>NA</v>
      </c>
      <c r="K471" s="702">
        <v>771.9</v>
      </c>
      <c r="L471" s="9">
        <f t="shared" si="2329"/>
        <v>2.7555910543130864</v>
      </c>
      <c r="M471" s="702">
        <v>787.8</v>
      </c>
      <c r="N471" s="9">
        <f t="shared" si="2330"/>
        <v>6.3444924406047534</v>
      </c>
      <c r="O471" s="702">
        <v>795.8</v>
      </c>
      <c r="P471" s="43">
        <f t="shared" si="2331"/>
        <v>6.4900307774655488</v>
      </c>
      <c r="Q471" s="702">
        <v>815.9</v>
      </c>
      <c r="R471" s="43">
        <f t="shared" si="2331"/>
        <v>7.894736842105246</v>
      </c>
      <c r="S471" s="702">
        <v>830.1</v>
      </c>
      <c r="T471" s="43">
        <f t="shared" si="2331"/>
        <v>7.5398367664205352</v>
      </c>
      <c r="U471" s="702">
        <v>829.5</v>
      </c>
      <c r="V471" s="43">
        <f t="shared" si="2331"/>
        <v>5.2932216298553101</v>
      </c>
      <c r="W471" s="702">
        <v>817.8</v>
      </c>
      <c r="X471" s="43">
        <f t="shared" si="2332"/>
        <v>2.7645136969087787</v>
      </c>
      <c r="Y471" s="702"/>
      <c r="Z471" s="43"/>
      <c r="AA471" s="702"/>
      <c r="AB471" s="43"/>
      <c r="AC471" s="702"/>
      <c r="AD471" s="43"/>
      <c r="AE471" s="702"/>
      <c r="AF471" s="43"/>
      <c r="AG471" s="702"/>
      <c r="AH471" s="9" t="str">
        <f t="shared" si="2333"/>
        <v>NA</v>
      </c>
      <c r="AI471" s="702"/>
      <c r="AJ471" s="9" t="str">
        <f t="shared" si="2334"/>
        <v>NA</v>
      </c>
      <c r="AK471" s="702"/>
      <c r="AL471" s="9" t="str">
        <f t="shared" si="2335"/>
        <v>NA</v>
      </c>
      <c r="AM471" s="702"/>
      <c r="AN471" s="9" t="str">
        <f t="shared" si="2336"/>
        <v>NA</v>
      </c>
      <c r="AO471" s="702"/>
      <c r="AP471" s="9" t="str">
        <f t="shared" si="2337"/>
        <v>NA</v>
      </c>
      <c r="AQ471" s="702"/>
      <c r="AR471" s="9" t="str">
        <f t="shared" si="2338"/>
        <v>NA</v>
      </c>
      <c r="AS471" s="702"/>
      <c r="AT471" s="9" t="str">
        <f t="shared" si="2339"/>
        <v>NA</v>
      </c>
      <c r="AU471" s="702"/>
      <c r="AV471" s="9" t="str">
        <f t="shared" si="2340"/>
        <v>NA</v>
      </c>
      <c r="AW471" s="702"/>
      <c r="AX471" s="9" t="str">
        <f t="shared" si="2341"/>
        <v>NA</v>
      </c>
      <c r="AY471" s="287"/>
      <c r="AZ471" s="64"/>
      <c r="BA471" s="9" t="str">
        <f>IF(ISERROR(#REF!/#REF!),"NA",IF(OR(#REF!/#REF!&gt;2,#REF!/#REF!&lt;0.5),"NM",#REF!/#REF!*100-100))</f>
        <v>NA</v>
      </c>
      <c r="BB471" s="650">
        <f>U471</f>
        <v>829.5</v>
      </c>
      <c r="BC471" s="9" t="str">
        <f>IF(ISERROR(BB471/#REF!),"NA",IF(OR(BB471/#REF!&gt;2,BB471/#REF!&lt;0.5),"NM",BB471/#REF!*100-100))</f>
        <v>NA</v>
      </c>
      <c r="BD471" s="938">
        <f>W471</f>
        <v>817.8</v>
      </c>
      <c r="BE471" s="9">
        <f t="shared" si="2342"/>
        <v>-1.4104882459312904</v>
      </c>
      <c r="BF471" s="650">
        <f>Y471</f>
        <v>0</v>
      </c>
      <c r="BG471" s="9" t="str">
        <f t="shared" si="2342"/>
        <v>NM</v>
      </c>
      <c r="BH471" s="650">
        <f>AG471</f>
        <v>0</v>
      </c>
      <c r="BI471" s="9" t="str">
        <f t="shared" si="2342"/>
        <v>NA</v>
      </c>
      <c r="BJ471" s="650">
        <f>AO471</f>
        <v>0</v>
      </c>
      <c r="BK471" s="9" t="str">
        <f t="shared" si="2342"/>
        <v>NA</v>
      </c>
      <c r="BL471" s="650">
        <f>AW471</f>
        <v>0</v>
      </c>
      <c r="BM471" s="9" t="str">
        <f t="shared" si="2342"/>
        <v>NA</v>
      </c>
      <c r="BN471" s="653">
        <f>+BL471*1.03</f>
        <v>0</v>
      </c>
      <c r="BO471" s="9" t="str">
        <f t="shared" si="2342"/>
        <v>NA</v>
      </c>
      <c r="BP471" s="653">
        <f>+BN471*1.03</f>
        <v>0</v>
      </c>
      <c r="BQ471" s="9" t="str">
        <f t="shared" si="2342"/>
        <v>NA</v>
      </c>
      <c r="BR471" s="653">
        <f>+BP471*1.03</f>
        <v>0</v>
      </c>
      <c r="BS471" s="9" t="str">
        <f t="shared" si="2342"/>
        <v>NA</v>
      </c>
      <c r="BT471" s="653">
        <f>+BR471*1.03</f>
        <v>0</v>
      </c>
      <c r="BU471" s="9" t="str">
        <f t="shared" si="2343"/>
        <v>NA</v>
      </c>
      <c r="BV471" s="43" t="str">
        <f t="shared" si="2344"/>
        <v>NA</v>
      </c>
      <c r="BW471" s="705"/>
      <c r="BX471" s="705"/>
      <c r="BY471"/>
      <c r="BZ471"/>
      <c r="CA471"/>
      <c r="CB471"/>
      <c r="CC471"/>
      <c r="CD471"/>
    </row>
    <row r="472" spans="1:82" s="2" customFormat="1" ht="12.75" customHeight="1" x14ac:dyDescent="0.2">
      <c r="A472" s="41"/>
      <c r="B472" s="62" t="s">
        <v>448</v>
      </c>
      <c r="C472" s="653">
        <v>1149.7</v>
      </c>
      <c r="D472" s="9" t="str">
        <f>IF(ISERROR(C472/#REF!),"NA",IF(OR(C472/#REF!&gt;2,C472/#REF!&lt;0.5),"NM",C472/#REF!*100-100))</f>
        <v>NA</v>
      </c>
      <c r="E472" s="653">
        <v>1160.4000000000001</v>
      </c>
      <c r="F472" s="9" t="str">
        <f>IF(ISERROR(E472/#REF!),"NA",IF(OR(E472/#REF!&gt;2,E472/#REF!&lt;0.5),"NM",E472/#REF!*100-100))</f>
        <v>NA</v>
      </c>
      <c r="G472" s="653">
        <v>1192.0999999999999</v>
      </c>
      <c r="H472" s="9" t="str">
        <f>IF(ISERROR(G472/#REF!),"NA",IF(OR(G472/#REF!&gt;2,G472/#REF!&lt;0.5),"NM",G472/#REF!*100-100))</f>
        <v>NA</v>
      </c>
      <c r="I472" s="702">
        <v>1225.8</v>
      </c>
      <c r="J472" s="9" t="str">
        <f>IF(ISERROR(I472/#REF!),"NA",IF(OR(I472/#REF!&gt;2,I472/#REF!&lt;0.5),"NM",I472/#REF!*100-100))</f>
        <v>NA</v>
      </c>
      <c r="K472" s="702">
        <v>1272.5999999999999</v>
      </c>
      <c r="L472" s="9">
        <f t="shared" si="2329"/>
        <v>10.689745150908919</v>
      </c>
      <c r="M472" s="702">
        <v>1313.1</v>
      </c>
      <c r="N472" s="9">
        <f t="shared" si="2330"/>
        <v>13.159255429162343</v>
      </c>
      <c r="O472" s="702">
        <v>1351.1</v>
      </c>
      <c r="P472" s="43">
        <f t="shared" si="2331"/>
        <v>13.337807230937003</v>
      </c>
      <c r="Q472" s="702">
        <v>1389.4</v>
      </c>
      <c r="R472" s="43">
        <f t="shared" si="2331"/>
        <v>13.346386033610713</v>
      </c>
      <c r="S472" s="702">
        <v>1426.5</v>
      </c>
      <c r="T472" s="43">
        <f t="shared" si="2331"/>
        <v>12.09335219236209</v>
      </c>
      <c r="U472" s="702">
        <v>1440.2</v>
      </c>
      <c r="V472" s="43">
        <f t="shared" si="2331"/>
        <v>9.679384662249646</v>
      </c>
      <c r="W472" s="702">
        <v>1469.5</v>
      </c>
      <c r="X472" s="43">
        <f t="shared" si="2332"/>
        <v>8.7632299607727049</v>
      </c>
      <c r="Y472" s="702"/>
      <c r="Z472" s="43"/>
      <c r="AA472" s="702"/>
      <c r="AB472" s="43"/>
      <c r="AC472" s="702"/>
      <c r="AD472" s="43"/>
      <c r="AE472" s="702"/>
      <c r="AF472" s="43"/>
      <c r="AG472" s="702"/>
      <c r="AH472" s="9" t="str">
        <f t="shared" si="2333"/>
        <v>NA</v>
      </c>
      <c r="AI472" s="702"/>
      <c r="AJ472" s="9" t="str">
        <f t="shared" si="2334"/>
        <v>NA</v>
      </c>
      <c r="AK472" s="702"/>
      <c r="AL472" s="9" t="str">
        <f t="shared" si="2335"/>
        <v>NA</v>
      </c>
      <c r="AM472" s="702"/>
      <c r="AN472" s="9" t="str">
        <f t="shared" si="2336"/>
        <v>NA</v>
      </c>
      <c r="AO472" s="702"/>
      <c r="AP472" s="9" t="str">
        <f t="shared" si="2337"/>
        <v>NA</v>
      </c>
      <c r="AQ472" s="702"/>
      <c r="AR472" s="9" t="str">
        <f t="shared" si="2338"/>
        <v>NA</v>
      </c>
      <c r="AS472" s="702"/>
      <c r="AT472" s="9" t="str">
        <f t="shared" si="2339"/>
        <v>NA</v>
      </c>
      <c r="AU472" s="702"/>
      <c r="AV472" s="9" t="str">
        <f t="shared" si="2340"/>
        <v>NA</v>
      </c>
      <c r="AW472" s="702"/>
      <c r="AX472" s="9" t="str">
        <f t="shared" si="2341"/>
        <v>NA</v>
      </c>
      <c r="AY472" s="287"/>
      <c r="AZ472" s="64"/>
      <c r="BA472" s="9" t="str">
        <f>IF(ISERROR(#REF!/#REF!),"NA",IF(OR(#REF!/#REF!&gt;2,#REF!/#REF!&lt;0.5),"NM",#REF!/#REF!*100-100))</f>
        <v>NA</v>
      </c>
      <c r="BB472" s="650">
        <f>U472</f>
        <v>1440.2</v>
      </c>
      <c r="BC472" s="9" t="str">
        <f>IF(ISERROR(BB472/#REF!),"NA",IF(OR(BB472/#REF!&gt;2,BB472/#REF!&lt;0.5),"NM",BB472/#REF!*100-100))</f>
        <v>NA</v>
      </c>
      <c r="BD472" s="938">
        <f>W472</f>
        <v>1469.5</v>
      </c>
      <c r="BE472" s="9">
        <f t="shared" si="2342"/>
        <v>2.0344396611581743</v>
      </c>
      <c r="BF472" s="650">
        <f>Y472</f>
        <v>0</v>
      </c>
      <c r="BG472" s="9" t="str">
        <f t="shared" si="2342"/>
        <v>NM</v>
      </c>
      <c r="BH472" s="650">
        <f>AG472</f>
        <v>0</v>
      </c>
      <c r="BI472" s="9" t="str">
        <f t="shared" si="2342"/>
        <v>NA</v>
      </c>
      <c r="BJ472" s="650">
        <f>AO472</f>
        <v>0</v>
      </c>
      <c r="BK472" s="9" t="str">
        <f t="shared" si="2342"/>
        <v>NA</v>
      </c>
      <c r="BL472" s="650">
        <f>AW472</f>
        <v>0</v>
      </c>
      <c r="BM472" s="9" t="str">
        <f t="shared" si="2342"/>
        <v>NA</v>
      </c>
      <c r="BN472" s="653">
        <f>+BL472*1.03</f>
        <v>0</v>
      </c>
      <c r="BO472" s="9" t="str">
        <f t="shared" si="2342"/>
        <v>NA</v>
      </c>
      <c r="BP472" s="653">
        <f>+BN472*1.03</f>
        <v>0</v>
      </c>
      <c r="BQ472" s="9" t="str">
        <f t="shared" si="2342"/>
        <v>NA</v>
      </c>
      <c r="BR472" s="653">
        <f>+BP472*1.03</f>
        <v>0</v>
      </c>
      <c r="BS472" s="9" t="str">
        <f t="shared" si="2342"/>
        <v>NA</v>
      </c>
      <c r="BT472" s="653">
        <f>+BR472*1.03</f>
        <v>0</v>
      </c>
      <c r="BU472" s="9" t="str">
        <f t="shared" si="2343"/>
        <v>NA</v>
      </c>
      <c r="BV472" s="43" t="str">
        <f t="shared" si="2344"/>
        <v>NA</v>
      </c>
      <c r="BW472" s="705"/>
      <c r="BX472" s="705"/>
      <c r="BY472"/>
      <c r="BZ472"/>
      <c r="CA472"/>
      <c r="CB472"/>
      <c r="CC472"/>
      <c r="CD472"/>
    </row>
    <row r="473" spans="1:82" s="2" customFormat="1" ht="12.75" customHeight="1" x14ac:dyDescent="0.2">
      <c r="A473" s="41" t="s">
        <v>227</v>
      </c>
      <c r="B473" s="62" t="s">
        <v>413</v>
      </c>
      <c r="C473" s="691">
        <f>SUM(C469:C472)</f>
        <v>2263.4</v>
      </c>
      <c r="D473" s="9" t="str">
        <f>IF(ISERROR(C473/#REF!),"NA",IF(OR(C473/#REF!&gt;2,C473/#REF!&lt;0.5),"NM",C473/#REF!*100-100))</f>
        <v>NA</v>
      </c>
      <c r="E473" s="691">
        <f>SUM(E469:E472)</f>
        <v>2256.1999999999998</v>
      </c>
      <c r="F473" s="9" t="str">
        <f>IF(ISERROR(E473/#REF!),"NA",IF(OR(E473/#REF!&gt;2,E473/#REF!&lt;0.5),"NM",E473/#REF!*100-100))</f>
        <v>NA</v>
      </c>
      <c r="G473" s="691">
        <f>SUM(G469:G472)</f>
        <v>2287.3000000000002</v>
      </c>
      <c r="H473" s="9" t="str">
        <f>IF(ISERROR(G473/#REF!),"NA",IF(OR(G473/#REF!&gt;2,G473/#REF!&lt;0.5),"NM",G473/#REF!*100-100))</f>
        <v>NA</v>
      </c>
      <c r="I473" s="691">
        <f>SUM(I469:I472)</f>
        <v>2334.6000000000004</v>
      </c>
      <c r="J473" s="9" t="str">
        <f>IF(ISERROR(I473/#REF!),"NA",IF(OR(I473/#REF!&gt;2,I473/#REF!&lt;0.5),"NM",I473/#REF!*100-100))</f>
        <v>NA</v>
      </c>
      <c r="K473" s="691">
        <f>SUM(K469:K472)</f>
        <v>2396</v>
      </c>
      <c r="L473" s="9">
        <f t="shared" si="2329"/>
        <v>5.8584430502783391</v>
      </c>
      <c r="M473" s="691">
        <f>SUM(M469:M472)</f>
        <v>2450.6999999999998</v>
      </c>
      <c r="N473" s="9">
        <f t="shared" si="2330"/>
        <v>8.6206896551724128</v>
      </c>
      <c r="O473" s="691">
        <f>SUM(O469:O472)</f>
        <v>2488.3999999999996</v>
      </c>
      <c r="P473" s="43">
        <f t="shared" si="2331"/>
        <v>8.7920255322869565</v>
      </c>
      <c r="Q473" s="691">
        <f>SUM(Q469:Q472)</f>
        <v>2543.6999999999998</v>
      </c>
      <c r="R473" s="43">
        <f t="shared" si="2331"/>
        <v>8.9565664353636407</v>
      </c>
      <c r="S473" s="691">
        <f>SUM(S469:S472)</f>
        <v>2601.4</v>
      </c>
      <c r="T473" s="43">
        <f t="shared" si="2331"/>
        <v>8.5726210350584324</v>
      </c>
      <c r="U473" s="691">
        <f>SUM(U469:U472)</f>
        <v>2607.9</v>
      </c>
      <c r="V473" s="43">
        <f t="shared" si="2331"/>
        <v>6.4144938180928079</v>
      </c>
      <c r="W473" s="691">
        <f>SUM(W469:W472)</f>
        <v>2617.6</v>
      </c>
      <c r="X473" s="43">
        <f t="shared" si="2332"/>
        <v>5.1920913036489509</v>
      </c>
      <c r="Y473" s="691"/>
      <c r="Z473" s="43"/>
      <c r="AA473" s="691"/>
      <c r="AB473" s="43"/>
      <c r="AC473" s="691"/>
      <c r="AD473" s="43"/>
      <c r="AE473" s="691"/>
      <c r="AF473" s="43"/>
      <c r="AG473" s="691"/>
      <c r="AH473" s="9" t="str">
        <f t="shared" si="2333"/>
        <v>NA</v>
      </c>
      <c r="AI473" s="691"/>
      <c r="AJ473" s="9" t="str">
        <f t="shared" si="2334"/>
        <v>NA</v>
      </c>
      <c r="AK473" s="691"/>
      <c r="AL473" s="9" t="str">
        <f t="shared" si="2335"/>
        <v>NA</v>
      </c>
      <c r="AM473" s="691"/>
      <c r="AN473" s="9" t="str">
        <f t="shared" si="2336"/>
        <v>NA</v>
      </c>
      <c r="AO473" s="691"/>
      <c r="AP473" s="9" t="str">
        <f t="shared" si="2337"/>
        <v>NA</v>
      </c>
      <c r="AQ473" s="691"/>
      <c r="AR473" s="9" t="str">
        <f t="shared" si="2338"/>
        <v>NA</v>
      </c>
      <c r="AS473" s="691"/>
      <c r="AT473" s="9" t="str">
        <f t="shared" si="2339"/>
        <v>NA</v>
      </c>
      <c r="AU473" s="691"/>
      <c r="AV473" s="9" t="str">
        <f t="shared" si="2340"/>
        <v>NA</v>
      </c>
      <c r="AW473" s="691"/>
      <c r="AX473" s="9" t="str">
        <f t="shared" si="2341"/>
        <v>NA</v>
      </c>
      <c r="AY473" s="287"/>
      <c r="AZ473" s="64"/>
      <c r="BA473" s="9" t="str">
        <f>IF(ISERROR(#REF!/#REF!),"NA",IF(OR(#REF!/#REF!&gt;2,#REF!/#REF!&lt;0.5),"NM",#REF!/#REF!*100-100))</f>
        <v>NA</v>
      </c>
      <c r="BB473" s="691">
        <f>SUM(BB469:BB472)</f>
        <v>2607.9</v>
      </c>
      <c r="BC473" s="9" t="str">
        <f>IF(ISERROR(BB473/#REF!),"NA",IF(OR(BB473/#REF!&gt;2,BB473/#REF!&lt;0.5),"NM",BB473/#REF!*100-100))</f>
        <v>NA</v>
      </c>
      <c r="BD473" s="930">
        <f>SUM(BD469:BD472)</f>
        <v>2617.6</v>
      </c>
      <c r="BE473" s="9">
        <f t="shared" si="2342"/>
        <v>0.37194677710034796</v>
      </c>
      <c r="BF473" s="691">
        <f>SUM(BF469:BF472)</f>
        <v>0</v>
      </c>
      <c r="BG473" s="9" t="str">
        <f t="shared" si="2342"/>
        <v>NM</v>
      </c>
      <c r="BH473" s="691">
        <f>SUM(BH469:BH472)</f>
        <v>0</v>
      </c>
      <c r="BI473" s="9" t="str">
        <f t="shared" si="2342"/>
        <v>NA</v>
      </c>
      <c r="BJ473" s="691">
        <f>SUM(BJ469:BJ472)</f>
        <v>0</v>
      </c>
      <c r="BK473" s="9" t="str">
        <f t="shared" si="2342"/>
        <v>NA</v>
      </c>
      <c r="BL473" s="691">
        <f>SUM(BL469:BL472)</f>
        <v>0</v>
      </c>
      <c r="BM473" s="9" t="str">
        <f t="shared" si="2342"/>
        <v>NA</v>
      </c>
      <c r="BN473" s="691">
        <f>SUM(BN469:BN472)</f>
        <v>0</v>
      </c>
      <c r="BO473" s="9" t="str">
        <f t="shared" si="2342"/>
        <v>NA</v>
      </c>
      <c r="BP473" s="691">
        <f>SUM(BP469:BP472)</f>
        <v>0</v>
      </c>
      <c r="BQ473" s="9" t="str">
        <f t="shared" si="2342"/>
        <v>NA</v>
      </c>
      <c r="BR473" s="691">
        <f>SUM(BR469:BR472)</f>
        <v>0</v>
      </c>
      <c r="BS473" s="9" t="str">
        <f t="shared" si="2342"/>
        <v>NA</v>
      </c>
      <c r="BT473" s="691">
        <f>SUM(BT469:BT472)</f>
        <v>0</v>
      </c>
      <c r="BU473" s="9" t="str">
        <f t="shared" si="2343"/>
        <v>NA</v>
      </c>
      <c r="BV473" s="43" t="str">
        <f t="shared" si="2344"/>
        <v>NA</v>
      </c>
      <c r="BW473" s="722"/>
      <c r="BX473" s="722"/>
      <c r="BY473"/>
      <c r="BZ473"/>
      <c r="CA473"/>
      <c r="CB473"/>
      <c r="CC473"/>
      <c r="CD473"/>
    </row>
    <row r="474" spans="1:82" s="2" customFormat="1" ht="12.75" customHeight="1" x14ac:dyDescent="0.2">
      <c r="A474" s="41"/>
      <c r="B474" s="62" t="s">
        <v>414</v>
      </c>
      <c r="C474" s="691" t="e">
        <f>AVERAGE(C473,#REF!)</f>
        <v>#REF!</v>
      </c>
      <c r="D474" s="9" t="str">
        <f>IF(ISERROR(C474/#REF!),"NA",IF(OR(C474/#REF!&gt;2,C474/#REF!&lt;0.5),"NM",C474/#REF!*100-100))</f>
        <v>NA</v>
      </c>
      <c r="E474" s="691">
        <f>AVERAGE(E473,C473)</f>
        <v>2259.8000000000002</v>
      </c>
      <c r="F474" s="9" t="str">
        <f>IF(ISERROR(E474/#REF!),"NA",IF(OR(E474/#REF!&gt;2,E474/#REF!&lt;0.5),"NM",E474/#REF!*100-100))</f>
        <v>NA</v>
      </c>
      <c r="G474" s="691">
        <f>AVERAGE(G473,E473)</f>
        <v>2271.75</v>
      </c>
      <c r="H474" s="9" t="str">
        <f>IF(ISERROR(G474/#REF!),"NA",IF(OR(G474/#REF!&gt;2,G474/#REF!&lt;0.5),"NM",G474/#REF!*100-100))</f>
        <v>NA</v>
      </c>
      <c r="I474" s="691">
        <f>AVERAGE(I473,G473)</f>
        <v>2310.9500000000003</v>
      </c>
      <c r="J474" s="9" t="str">
        <f>IF(ISERROR(I474/#REF!),"NA",IF(OR(I474/#REF!&gt;2,I474/#REF!&lt;0.5),"NM",I474/#REF!*100-100))</f>
        <v>NA</v>
      </c>
      <c r="K474" s="691">
        <f>AVERAGE(K473,I473)</f>
        <v>2365.3000000000002</v>
      </c>
      <c r="L474" s="9" t="str">
        <f t="shared" si="2329"/>
        <v>NA</v>
      </c>
      <c r="M474" s="691">
        <f>AVERAGE(M473,K473)</f>
        <v>2423.35</v>
      </c>
      <c r="N474" s="9">
        <f t="shared" si="2330"/>
        <v>7.2373661385963146</v>
      </c>
      <c r="O474" s="691">
        <f>AVERAGE(O473,M473)</f>
        <v>2469.5499999999997</v>
      </c>
      <c r="P474" s="43">
        <f t="shared" si="2331"/>
        <v>8.7069439859139379</v>
      </c>
      <c r="Q474" s="691">
        <f>AVERAGE(Q473,O473)</f>
        <v>2516.0499999999997</v>
      </c>
      <c r="R474" s="43">
        <f t="shared" si="2331"/>
        <v>8.8751379302883748</v>
      </c>
      <c r="S474" s="691">
        <f>AVERAGE(S473,Q473)</f>
        <v>2572.5500000000002</v>
      </c>
      <c r="T474" s="43">
        <f t="shared" si="2331"/>
        <v>8.7621020589354401</v>
      </c>
      <c r="U474" s="691">
        <f>AVERAGE(U473,S473)</f>
        <v>2604.65</v>
      </c>
      <c r="V474" s="43">
        <f t="shared" si="2331"/>
        <v>7.4813790826748061</v>
      </c>
      <c r="W474" s="691">
        <f>AVERAGE(W473,U473)</f>
        <v>2612.75</v>
      </c>
      <c r="X474" s="43">
        <f t="shared" si="2332"/>
        <v>5.7986272802737346</v>
      </c>
      <c r="Y474" s="691"/>
      <c r="Z474" s="43"/>
      <c r="AA474" s="691"/>
      <c r="AB474" s="43"/>
      <c r="AC474" s="691"/>
      <c r="AD474" s="43"/>
      <c r="AE474" s="691"/>
      <c r="AF474" s="43"/>
      <c r="AG474" s="691"/>
      <c r="AH474" s="9" t="str">
        <f t="shared" si="2333"/>
        <v>NA</v>
      </c>
      <c r="AI474" s="691"/>
      <c r="AJ474" s="9" t="str">
        <f t="shared" si="2334"/>
        <v>NA</v>
      </c>
      <c r="AK474" s="691"/>
      <c r="AL474" s="9" t="str">
        <f t="shared" si="2335"/>
        <v>NA</v>
      </c>
      <c r="AM474" s="691"/>
      <c r="AN474" s="9" t="str">
        <f t="shared" si="2336"/>
        <v>NA</v>
      </c>
      <c r="AO474" s="691"/>
      <c r="AP474" s="9" t="str">
        <f t="shared" si="2337"/>
        <v>NA</v>
      </c>
      <c r="AQ474" s="691"/>
      <c r="AR474" s="9" t="str">
        <f t="shared" si="2338"/>
        <v>NA</v>
      </c>
      <c r="AS474" s="691"/>
      <c r="AT474" s="9" t="str">
        <f t="shared" si="2339"/>
        <v>NA</v>
      </c>
      <c r="AU474" s="691"/>
      <c r="AV474" s="9" t="str">
        <f t="shared" si="2340"/>
        <v>NA</v>
      </c>
      <c r="AW474" s="691"/>
      <c r="AX474" s="9" t="str">
        <f t="shared" si="2341"/>
        <v>NA</v>
      </c>
      <c r="AY474" s="287"/>
      <c r="AZ474" s="64"/>
      <c r="BA474" s="9" t="str">
        <f>IF(ISERROR(#REF!/#REF!),"NA",IF(OR(#REF!/#REF!&gt;2,#REF!/#REF!&lt;0.5),"NM",#REF!/#REF!*100-100))</f>
        <v>NA</v>
      </c>
      <c r="BB474" s="691" t="e">
        <f>AVERAGE(BB473,#REF!)</f>
        <v>#REF!</v>
      </c>
      <c r="BC474" s="9" t="str">
        <f>IF(ISERROR(BB474/#REF!),"NA",IF(OR(BB474/#REF!&gt;2,BB474/#REF!&lt;0.5),"NM",BB474/#REF!*100-100))</f>
        <v>NA</v>
      </c>
      <c r="BD474" s="930">
        <f>AVERAGE(BD473,BB473)</f>
        <v>2612.75</v>
      </c>
      <c r="BE474" s="9" t="str">
        <f t="shared" si="2342"/>
        <v>NA</v>
      </c>
      <c r="BF474" s="691">
        <f>AVERAGE(BF473,BD473)</f>
        <v>1308.8</v>
      </c>
      <c r="BG474" s="9">
        <f t="shared" si="2342"/>
        <v>-49.90718591522343</v>
      </c>
      <c r="BH474" s="691">
        <f>AVERAGE(BH473,BF473)</f>
        <v>0</v>
      </c>
      <c r="BI474" s="9" t="str">
        <f t="shared" si="2342"/>
        <v>NM</v>
      </c>
      <c r="BJ474" s="691">
        <f>AVERAGE(BJ473,BH473)</f>
        <v>0</v>
      </c>
      <c r="BK474" s="9" t="str">
        <f t="shared" si="2342"/>
        <v>NA</v>
      </c>
      <c r="BL474" s="691">
        <f>AVERAGE(BL473,BJ473)</f>
        <v>0</v>
      </c>
      <c r="BM474" s="9" t="str">
        <f t="shared" si="2342"/>
        <v>NA</v>
      </c>
      <c r="BN474" s="691">
        <f>AVERAGE(BN473,BL473)</f>
        <v>0</v>
      </c>
      <c r="BO474" s="9" t="str">
        <f t="shared" si="2342"/>
        <v>NA</v>
      </c>
      <c r="BP474" s="691">
        <f>AVERAGE(BP473,BN473)</f>
        <v>0</v>
      </c>
      <c r="BQ474" s="9" t="str">
        <f t="shared" si="2342"/>
        <v>NA</v>
      </c>
      <c r="BR474" s="691">
        <f>AVERAGE(BR473,BP473)</f>
        <v>0</v>
      </c>
      <c r="BS474" s="9" t="str">
        <f t="shared" si="2342"/>
        <v>NA</v>
      </c>
      <c r="BT474" s="691">
        <f>AVERAGE(BT473,BR473)</f>
        <v>0</v>
      </c>
      <c r="BU474" s="9" t="str">
        <f t="shared" si="2343"/>
        <v>NA</v>
      </c>
      <c r="BV474" s="43" t="str">
        <f t="shared" si="2344"/>
        <v>NA</v>
      </c>
      <c r="BW474" s="722"/>
      <c r="BX474" s="722"/>
      <c r="BY474"/>
      <c r="BZ474"/>
      <c r="CA474"/>
      <c r="CB474"/>
      <c r="CC474"/>
      <c r="CD474"/>
    </row>
    <row r="475" spans="1:82" s="2" customFormat="1" ht="12.75" customHeight="1" x14ac:dyDescent="0.2">
      <c r="A475" s="41"/>
      <c r="B475" s="62"/>
      <c r="C475" s="99"/>
      <c r="D475" s="9"/>
      <c r="E475" s="99"/>
      <c r="F475" s="9"/>
      <c r="G475" s="99"/>
      <c r="H475" s="9"/>
      <c r="I475" s="99"/>
      <c r="J475" s="9"/>
      <c r="K475" s="99"/>
      <c r="L475" s="9"/>
      <c r="M475" s="99"/>
      <c r="N475" s="9"/>
      <c r="O475" s="99"/>
      <c r="P475" s="43"/>
      <c r="Q475" s="99"/>
      <c r="R475" s="43"/>
      <c r="S475" s="99"/>
      <c r="T475" s="43"/>
      <c r="U475" s="99"/>
      <c r="V475" s="43"/>
      <c r="W475" s="99"/>
      <c r="X475" s="43"/>
      <c r="Y475" s="99"/>
      <c r="Z475" s="43"/>
      <c r="AA475" s="99"/>
      <c r="AB475" s="43"/>
      <c r="AC475" s="99"/>
      <c r="AD475" s="43"/>
      <c r="AE475" s="99"/>
      <c r="AF475" s="43"/>
      <c r="AG475" s="99"/>
      <c r="AH475" s="9"/>
      <c r="AI475" s="99"/>
      <c r="AJ475" s="9"/>
      <c r="AK475" s="99"/>
      <c r="AL475" s="9"/>
      <c r="AM475" s="99"/>
      <c r="AN475" s="9"/>
      <c r="AO475" s="99"/>
      <c r="AP475" s="9"/>
      <c r="AQ475" s="99"/>
      <c r="AR475" s="9"/>
      <c r="AS475" s="99"/>
      <c r="AT475" s="9"/>
      <c r="AU475" s="99"/>
      <c r="AV475" s="9"/>
      <c r="AW475" s="99"/>
      <c r="AX475" s="9"/>
      <c r="AY475" s="287"/>
      <c r="AZ475" s="15"/>
      <c r="BA475" s="9"/>
      <c r="BB475" s="99"/>
      <c r="BC475" s="40"/>
      <c r="BD475" s="849"/>
      <c r="BE475" s="40"/>
      <c r="BF475" s="99"/>
      <c r="BG475" s="40"/>
      <c r="BH475" s="99"/>
      <c r="BI475" s="40"/>
      <c r="BJ475" s="99"/>
      <c r="BK475" s="40"/>
      <c r="BL475" s="99"/>
      <c r="BM475" s="40"/>
      <c r="BN475" s="99"/>
      <c r="BO475" s="40"/>
      <c r="BP475" s="99"/>
      <c r="BQ475" s="40"/>
      <c r="BR475" s="99"/>
      <c r="BS475" s="40"/>
      <c r="BT475" s="99"/>
      <c r="BU475" s="40"/>
      <c r="BV475" s="722"/>
      <c r="BW475" s="722"/>
      <c r="BX475" s="722"/>
      <c r="BY475"/>
      <c r="BZ475"/>
      <c r="CA475"/>
      <c r="CB475"/>
      <c r="CC475"/>
      <c r="CD475"/>
    </row>
    <row r="476" spans="1:82" s="2" customFormat="1" ht="12.75" customHeight="1" x14ac:dyDescent="0.2">
      <c r="A476" s="41"/>
      <c r="B476" s="80" t="s">
        <v>492</v>
      </c>
      <c r="C476" s="15"/>
      <c r="D476" s="40"/>
      <c r="E476" s="15"/>
      <c r="F476" s="40"/>
      <c r="G476" s="15"/>
      <c r="H476" s="40"/>
      <c r="I476" s="15"/>
      <c r="J476" s="40"/>
      <c r="K476" s="15"/>
      <c r="L476" s="40"/>
      <c r="M476" s="15"/>
      <c r="N476" s="40"/>
      <c r="O476" s="15"/>
      <c r="P476" s="43"/>
      <c r="Q476" s="15"/>
      <c r="R476" s="43"/>
      <c r="S476" s="15"/>
      <c r="T476" s="43"/>
      <c r="U476" s="15"/>
      <c r="V476" s="43"/>
      <c r="W476" s="15"/>
      <c r="X476" s="43"/>
      <c r="Y476" s="15"/>
      <c r="Z476" s="43"/>
      <c r="AA476" s="15"/>
      <c r="AB476" s="43"/>
      <c r="AC476" s="15"/>
      <c r="AD476" s="43"/>
      <c r="AE476" s="15"/>
      <c r="AF476" s="43"/>
      <c r="AG476" s="15"/>
      <c r="AH476" s="40"/>
      <c r="AI476" s="15"/>
      <c r="AJ476" s="40"/>
      <c r="AK476" s="15"/>
      <c r="AL476" s="40"/>
      <c r="AM476" s="15"/>
      <c r="AN476" s="40"/>
      <c r="AO476" s="15"/>
      <c r="AP476" s="40"/>
      <c r="AQ476" s="15"/>
      <c r="AR476" s="40"/>
      <c r="AS476" s="15"/>
      <c r="AT476" s="40"/>
      <c r="AU476" s="15"/>
      <c r="AV476" s="40"/>
      <c r="AW476" s="15"/>
      <c r="AX476" s="40"/>
      <c r="AY476" s="287"/>
      <c r="AZ476" s="15"/>
      <c r="BA476" s="40"/>
      <c r="BB476" s="15"/>
      <c r="BC476" s="40"/>
      <c r="BD476" s="924"/>
      <c r="BE476" s="40"/>
      <c r="BF476" s="15"/>
      <c r="BG476" s="40"/>
      <c r="BH476" s="15"/>
      <c r="BI476" s="40"/>
      <c r="BJ476" s="15"/>
      <c r="BK476" s="40"/>
      <c r="BL476" s="15"/>
      <c r="BM476" s="40"/>
      <c r="BN476" s="15"/>
      <c r="BO476" s="40"/>
      <c r="BP476" s="15"/>
      <c r="BQ476" s="40"/>
      <c r="BR476" s="15"/>
      <c r="BS476" s="40"/>
      <c r="BT476" s="15"/>
      <c r="BU476" s="40"/>
      <c r="BV476" s="722"/>
      <c r="BW476" s="722"/>
      <c r="BX476" s="722"/>
      <c r="BY476"/>
      <c r="BZ476"/>
      <c r="CA476"/>
      <c r="CB476"/>
      <c r="CC476"/>
      <c r="CD476"/>
    </row>
    <row r="477" spans="1:82" s="2" customFormat="1" ht="12.75" customHeight="1" x14ac:dyDescent="0.2">
      <c r="A477" s="41"/>
      <c r="B477" s="62" t="s">
        <v>374</v>
      </c>
      <c r="C477" s="702">
        <f>355+11.7</f>
        <v>366.7</v>
      </c>
      <c r="D477" s="9" t="str">
        <f>IF(ISERROR(C477/#REF!),"NA",IF(OR(C477/#REF!&gt;2,C477/#REF!&lt;0.5),"NM",C477/#REF!*100-100))</f>
        <v>NA</v>
      </c>
      <c r="E477" s="702">
        <f>361.5+10.8</f>
        <v>372.3</v>
      </c>
      <c r="F477" s="9" t="str">
        <f>IF(ISERROR(E477/#REF!),"NA",IF(OR(E477/#REF!&gt;2,E477/#REF!&lt;0.5),"NM",E477/#REF!*100-100))</f>
        <v>NA</v>
      </c>
      <c r="G477" s="702">
        <f>363+8.9</f>
        <v>371.9</v>
      </c>
      <c r="H477" s="9" t="str">
        <f>IF(ISERROR(G477/#REF!),"NA",IF(OR(G477/#REF!&gt;2,G477/#REF!&lt;0.5),"NM",G477/#REF!*100-100))</f>
        <v>NA</v>
      </c>
      <c r="I477" s="702">
        <f>373.2+8.6</f>
        <v>381.8</v>
      </c>
      <c r="J477" s="9" t="str">
        <f>IF(ISERROR(I477/#REF!),"NA",IF(OR(I477/#REF!&gt;2,I477/#REF!&lt;0.5),"NM",I477/#REF!*100-100))</f>
        <v>NA</v>
      </c>
      <c r="K477" s="702">
        <f>376.5+8.6</f>
        <v>385.1</v>
      </c>
      <c r="L477" s="9">
        <f>IF(ISERROR(K477/C477),"NA",IF(OR(K477/C477&gt;2,K477/C477&lt;0.5),"NM",K477/C477*100-100))</f>
        <v>5.0177256613035155</v>
      </c>
      <c r="M477" s="702">
        <f>386.2+8.7</f>
        <v>394.9</v>
      </c>
      <c r="N477" s="9">
        <f t="shared" ref="N477:N479" si="2345">IF(ISERROR(M477/E477),"NA",IF(OR(M477/E477&gt;2,M477/E477&lt;0.5),"NM",M477/E477*100-100))</f>
        <v>6.0703733548213705</v>
      </c>
      <c r="O477" s="702">
        <f>396.3+8.8</f>
        <v>405.1</v>
      </c>
      <c r="P477" s="43">
        <f t="shared" si="2331"/>
        <v>8.9271309491798974</v>
      </c>
      <c r="Q477" s="702">
        <f>397.9+8.4</f>
        <v>406.29999999999995</v>
      </c>
      <c r="R477" s="43">
        <f t="shared" si="2331"/>
        <v>6.4169722367731481</v>
      </c>
      <c r="S477" s="702">
        <f>426.6+9</f>
        <v>435.6</v>
      </c>
      <c r="T477" s="43">
        <f t="shared" si="2331"/>
        <v>13.113477018956104</v>
      </c>
      <c r="U477" s="702">
        <f>419.4+8.8</f>
        <v>428.2</v>
      </c>
      <c r="V477" s="43">
        <f t="shared" si="2331"/>
        <v>8.4325145606482579</v>
      </c>
      <c r="W477" s="702">
        <f>421.1+8.5</f>
        <v>429.6</v>
      </c>
      <c r="X477" s="43">
        <f t="shared" si="2332"/>
        <v>6.0478894100222078</v>
      </c>
      <c r="Y477" s="702">
        <f>430.5+8.7</f>
        <v>439.2</v>
      </c>
      <c r="Z477" s="43">
        <f t="shared" ref="Z477:Z507" si="2346">IF(ISERROR(Y477/Q477),"NA",IF(OR(Y477/Q477&gt;2,Y477/Q477&lt;0.5),"NM",Y477/Q477*100-100))</f>
        <v>8.0974649273935597</v>
      </c>
      <c r="AA477" s="702">
        <f>441+8.7</f>
        <v>449.7</v>
      </c>
      <c r="AB477" s="43">
        <f t="shared" ref="AB477:AB507" si="2347">IF(ISERROR(AA477/S477),"NA",IF(OR(AA477/S477&gt;2,AA477/S477&lt;0.5),"NM",AA477/S477*100-100))</f>
        <v>3.2369146005509606</v>
      </c>
      <c r="AC477" s="702">
        <f>455.1+9.1</f>
        <v>464.20000000000005</v>
      </c>
      <c r="AD477" s="43">
        <f t="shared" ref="AD477:AD507" si="2348">IF(ISERROR(AC477/U477),"NA",IF(OR(AC477/U477&gt;2,AC477/U477&lt;0.5),"NM",AC477/U477*100-100))</f>
        <v>8.4072863148061856</v>
      </c>
      <c r="AE477" s="702">
        <f>460.1+9.2</f>
        <v>469.3</v>
      </c>
      <c r="AF477" s="43">
        <f t="shared" ref="AF477:AF507" si="2349">IF(ISERROR(AE477/W477),"NA",IF(OR(AE477/W477&gt;2,AE477/W477&lt;0.5),"NM",AE477/W477*100-100))</f>
        <v>9.2411545623836133</v>
      </c>
      <c r="AG477" s="702">
        <f>470.1+9</f>
        <v>479.1</v>
      </c>
      <c r="AH477" s="9">
        <f t="shared" ref="AH477:AH479" si="2350">IF(ISERROR(AG477/Y477),"NA",IF(OR(AG477/Y477&gt;2,AG477/Y477&lt;0.5),"NM",AG477/Y477*100-100))</f>
        <v>9.0846994535519201</v>
      </c>
      <c r="AI477" s="702">
        <f>478.9+8.7</f>
        <v>487.59999999999997</v>
      </c>
      <c r="AJ477" s="9">
        <f t="shared" ref="AJ477:AJ479" si="2351">IF(ISERROR(AI477/AA477),"NA",IF(OR(AI477/AA477&gt;2,AI477/AA477&lt;0.5),"NM",AI477/AA477*100-100))</f>
        <v>8.427840782744056</v>
      </c>
      <c r="AK477" s="702">
        <f>490.2+9</f>
        <v>499.2</v>
      </c>
      <c r="AL477" s="9">
        <f t="shared" ref="AL477:AL479" si="2352">IF(ISERROR(AK477/AC477),"NA",IF(OR(AK477/AC477&gt;2,AK477/AC477&lt;0.5),"NM",AK477/AC477*100-100))</f>
        <v>7.5398535114174763</v>
      </c>
      <c r="AM477" s="702">
        <f>505.1+8.6</f>
        <v>513.70000000000005</v>
      </c>
      <c r="AN477" s="9">
        <f t="shared" ref="AN477:AN479" si="2353">IF(ISERROR(AM477/AE477),"NA",IF(OR(AM477/AE477&gt;2,AM477/AE477&lt;0.5),"NM",AM477/AE477*100-100))</f>
        <v>9.4608992115917374</v>
      </c>
      <c r="AO477" s="702">
        <f>511.7+8.9</f>
        <v>520.6</v>
      </c>
      <c r="AP477" s="9">
        <f t="shared" ref="AP477:AP479" si="2354">IF(ISERROR(AO477/AG477),"NA",IF(OR(AO477/AG477&gt;2,AO477/AG477&lt;0.5),"NM",AO477/AG477*100-100))</f>
        <v>8.6620747234397868</v>
      </c>
      <c r="AQ477" s="702">
        <f t="shared" ref="AQ477" si="2355">AI477*1.07</f>
        <v>521.73199999999997</v>
      </c>
      <c r="AR477" s="9">
        <f t="shared" ref="AR477:AR479" si="2356">IF(ISERROR(AQ477/AI477),"NA",IF(OR(AQ477/AI477&gt;2,AQ477/AI477&lt;0.5),"NM",AQ477/AI477*100-100))</f>
        <v>7</v>
      </c>
      <c r="AS477" s="702">
        <f t="shared" ref="AS477" si="2357">AK477*1.07</f>
        <v>534.14400000000001</v>
      </c>
      <c r="AT477" s="9">
        <f t="shared" ref="AT477:AT479" si="2358">IF(ISERROR(AS477/AK477),"NA",IF(OR(AS477/AK477&gt;2,AS477/AK477&lt;0.5),"NM",AS477/AK477*100-100))</f>
        <v>7</v>
      </c>
      <c r="AU477" s="702">
        <f t="shared" ref="AU477" si="2359">AM477*1.07</f>
        <v>549.65900000000011</v>
      </c>
      <c r="AV477" s="9">
        <f t="shared" ref="AV477:AV479" si="2360">IF(ISERROR(AU477/AM477),"NA",IF(OR(AU477/AM477&gt;2,AU477/AM477&lt;0.5),"NM",AU477/AM477*100-100))</f>
        <v>7</v>
      </c>
      <c r="AW477" s="702">
        <f t="shared" ref="AW477" si="2361">AO477*1.07</f>
        <v>557.04200000000003</v>
      </c>
      <c r="AX477" s="9">
        <f t="shared" ref="AX477:AX479" si="2362">IF(ISERROR(AW477/AO477),"NA",IF(OR(AW477/AO477&gt;2,AW477/AO477&lt;0.5),"NM",AW477/AO477*100-100))</f>
        <v>7</v>
      </c>
      <c r="AY477" s="287"/>
      <c r="AZ477" s="64"/>
      <c r="BA477" s="9" t="str">
        <f>IF(ISERROR(#REF!/#REF!),"NA",IF(OR(#REF!/#REF!&gt;2,#REF!/#REF!&lt;0.5),"NM",#REF!/#REF!*100-100))</f>
        <v>NA</v>
      </c>
      <c r="BB477" s="55">
        <f>C477+E477+G477+I477</f>
        <v>1492.7</v>
      </c>
      <c r="BC477" s="9" t="str">
        <f>IF(ISERROR(BB477/#REF!),"NA",IF(OR(BB477/#REF!&gt;2,BB477/#REF!&lt;0.5),"NM",BB477/#REF!*100-100))</f>
        <v>NA</v>
      </c>
      <c r="BD477" s="908">
        <f>K477+M477+O477+Q477</f>
        <v>1591.3999999999999</v>
      </c>
      <c r="BE477" s="9">
        <f t="shared" ref="BE477:BS479" si="2363">IF(ISERROR(BD477/BB477),"NA",IF(OR(BD477/BB477&gt;2,BD477/BB477&lt;0.5),"NM",BD477/BB477*100-100))</f>
        <v>6.6121792724593007</v>
      </c>
      <c r="BF477" s="55">
        <f>S477+U477+W477+Y477</f>
        <v>1732.6000000000001</v>
      </c>
      <c r="BG477" s="9">
        <f t="shared" si="2363"/>
        <v>8.8726907125801517</v>
      </c>
      <c r="BH477" s="55">
        <f>AA477+AC477+AE477+AG477</f>
        <v>1862.3000000000002</v>
      </c>
      <c r="BI477" s="9">
        <f t="shared" si="2363"/>
        <v>7.4858594020547002</v>
      </c>
      <c r="BJ477" s="55">
        <f>AI477+AK477+AM477+AO477</f>
        <v>2021.1</v>
      </c>
      <c r="BK477" s="9">
        <f t="shared" si="2363"/>
        <v>8.5270901573323101</v>
      </c>
      <c r="BL477" s="55">
        <f>AQ477+AS477+AU477+AW477</f>
        <v>2162.5770000000002</v>
      </c>
      <c r="BM477" s="9">
        <f t="shared" si="2363"/>
        <v>7</v>
      </c>
      <c r="BN477" s="702">
        <f>BL477*1.07</f>
        <v>2313.9573900000005</v>
      </c>
      <c r="BO477" s="9">
        <f t="shared" si="2363"/>
        <v>7</v>
      </c>
      <c r="BP477" s="702">
        <f>BN477*1.07</f>
        <v>2475.9344073000007</v>
      </c>
      <c r="BQ477" s="9">
        <f t="shared" si="2363"/>
        <v>7</v>
      </c>
      <c r="BR477" s="702">
        <f>BP477*1.07</f>
        <v>2649.2498158110006</v>
      </c>
      <c r="BS477" s="9">
        <f t="shared" si="2363"/>
        <v>7</v>
      </c>
      <c r="BT477" s="702">
        <f>BR477*1.07</f>
        <v>2834.6973029177707</v>
      </c>
      <c r="BU477" s="9">
        <f t="shared" ref="BU477:BU479" si="2364">IF(ISERROR(BT477/BR477),"NA",IF(OR(BT477/BR477&gt;2,BT477/BR477&lt;0.5),"NM",BT477/BR477*100-100))</f>
        <v>7</v>
      </c>
      <c r="BV477" s="43">
        <f>IF(ISERROR(((BT477/BJ477)^0.2-1)*100),"NA",IF((((BT477/BJ477)^0.2-1)*100)&gt;100,"NM",IF((((BT477/BJ477)^0.2-1)*100)&lt;-50,"NM",((BT477/BJ477)^0.2-1)*100)))</f>
        <v>7.0000000000000062</v>
      </c>
      <c r="BW477" s="722"/>
      <c r="BX477" s="722"/>
      <c r="BY477"/>
      <c r="BZ477"/>
      <c r="CA477"/>
      <c r="CB477"/>
      <c r="CC477"/>
      <c r="CD477"/>
    </row>
    <row r="478" spans="1:82" s="2" customFormat="1" ht="12.75" customHeight="1" x14ac:dyDescent="0.2">
      <c r="A478" s="41" t="s">
        <v>306</v>
      </c>
      <c r="B478" s="62" t="s">
        <v>416</v>
      </c>
      <c r="C478" s="63">
        <v>31.8</v>
      </c>
      <c r="D478" s="9" t="str">
        <f>IF(ISERROR(C478/#REF!),"NA",IF(OR(C478/#REF!&gt;2,C478/#REF!&lt;0.5),"NM",C478/#REF!*100-100))</f>
        <v>NA</v>
      </c>
      <c r="E478" s="63">
        <v>32.799999999999997</v>
      </c>
      <c r="F478" s="9" t="str">
        <f>IF(ISERROR(E478/#REF!),"NA",IF(OR(E478/#REF!&gt;2,E478/#REF!&lt;0.5),"NM",E478/#REF!*100-100))</f>
        <v>NA</v>
      </c>
      <c r="G478" s="63">
        <v>33.1</v>
      </c>
      <c r="H478" s="9" t="str">
        <f>IF(ISERROR(G478/#REF!),"NA",IF(OR(G478/#REF!&gt;2,G478/#REF!&lt;0.5),"NM",G478/#REF!*100-100))</f>
        <v>NA</v>
      </c>
      <c r="I478" s="702">
        <v>33.200000000000003</v>
      </c>
      <c r="J478" s="9" t="str">
        <f>IF(ISERROR(I478/#REF!),"NA",IF(OR(I478/#REF!&gt;2,I478/#REF!&lt;0.5),"NM",I478/#REF!*100-100))</f>
        <v>NA</v>
      </c>
      <c r="K478" s="702">
        <v>35.5</v>
      </c>
      <c r="L478" s="9">
        <f>IF(ISERROR(K478/C478),"NA",IF(OR(K478/C478&gt;2,K478/C478&lt;0.5),"NM",K478/C478*100-100))</f>
        <v>11.635220125786176</v>
      </c>
      <c r="M478" s="702">
        <v>34.6</v>
      </c>
      <c r="N478" s="9">
        <f t="shared" si="2345"/>
        <v>5.4878048780487916</v>
      </c>
      <c r="O478" s="702">
        <v>33.200000000000003</v>
      </c>
      <c r="P478" s="43">
        <f t="shared" si="2331"/>
        <v>0.30211480362538623</v>
      </c>
      <c r="Q478" s="702">
        <v>32.4</v>
      </c>
      <c r="R478" s="43">
        <f t="shared" si="2331"/>
        <v>-2.409638554216869</v>
      </c>
      <c r="S478" s="702">
        <v>30.7</v>
      </c>
      <c r="T478" s="43">
        <f t="shared" si="2331"/>
        <v>-13.521126760563391</v>
      </c>
      <c r="U478" s="702">
        <v>36.5</v>
      </c>
      <c r="V478" s="43">
        <f t="shared" si="2331"/>
        <v>5.4913294797687797</v>
      </c>
      <c r="W478" s="702">
        <v>34</v>
      </c>
      <c r="X478" s="43">
        <f t="shared" si="2332"/>
        <v>2.4096385542168548</v>
      </c>
      <c r="Y478" s="702">
        <v>34.299999999999997</v>
      </c>
      <c r="Z478" s="43">
        <f t="shared" si="2346"/>
        <v>5.8641975308642031</v>
      </c>
      <c r="AA478" s="702">
        <v>33.200000000000003</v>
      </c>
      <c r="AB478" s="43">
        <f t="shared" si="2347"/>
        <v>8.1433224755700309</v>
      </c>
      <c r="AC478" s="702">
        <v>34</v>
      </c>
      <c r="AD478" s="43">
        <f t="shared" si="2348"/>
        <v>-6.849315068493155</v>
      </c>
      <c r="AE478" s="702">
        <v>41.6</v>
      </c>
      <c r="AF478" s="43">
        <f t="shared" si="2349"/>
        <v>22.352941176470594</v>
      </c>
      <c r="AG478" s="702">
        <v>40.299999999999997</v>
      </c>
      <c r="AH478" s="9">
        <f t="shared" si="2350"/>
        <v>17.492711370262384</v>
      </c>
      <c r="AI478" s="702">
        <v>40.9</v>
      </c>
      <c r="AJ478" s="9">
        <f t="shared" si="2351"/>
        <v>23.192771084337323</v>
      </c>
      <c r="AK478" s="702">
        <v>38.1</v>
      </c>
      <c r="AL478" s="9">
        <f t="shared" si="2352"/>
        <v>12.058823529411768</v>
      </c>
      <c r="AM478" s="702">
        <v>36.4</v>
      </c>
      <c r="AN478" s="9">
        <f t="shared" si="2353"/>
        <v>-12.500000000000014</v>
      </c>
      <c r="AO478" s="702">
        <v>35.299999999999997</v>
      </c>
      <c r="AP478" s="9">
        <f t="shared" si="2354"/>
        <v>-12.40694789081887</v>
      </c>
      <c r="AQ478" s="702">
        <f t="shared" ref="AQ478" si="2365">AI478*1.03</f>
        <v>42.127000000000002</v>
      </c>
      <c r="AR478" s="9">
        <f t="shared" si="2356"/>
        <v>3</v>
      </c>
      <c r="AS478" s="702">
        <f t="shared" ref="AS478" si="2366">AK478*1.03</f>
        <v>39.243000000000002</v>
      </c>
      <c r="AT478" s="9">
        <f t="shared" si="2358"/>
        <v>3</v>
      </c>
      <c r="AU478" s="702">
        <f t="shared" ref="AU478" si="2367">AM478*1.03</f>
        <v>37.491999999999997</v>
      </c>
      <c r="AV478" s="9">
        <f t="shared" si="2360"/>
        <v>3</v>
      </c>
      <c r="AW478" s="702">
        <f t="shared" ref="AW478" si="2368">AO478*1.03</f>
        <v>36.358999999999995</v>
      </c>
      <c r="AX478" s="9">
        <f t="shared" si="2362"/>
        <v>3</v>
      </c>
      <c r="AY478" s="287"/>
      <c r="AZ478" s="64"/>
      <c r="BA478" s="9" t="str">
        <f>IF(ISERROR(#REF!/#REF!),"NA",IF(OR(#REF!/#REF!&gt;2,#REF!/#REF!&lt;0.5),"NM",#REF!/#REF!*100-100))</f>
        <v>NA</v>
      </c>
      <c r="BB478" s="55">
        <f>C478+E478+G478+I478</f>
        <v>130.89999999999998</v>
      </c>
      <c r="BC478" s="9" t="str">
        <f>IF(ISERROR(BB478/#REF!),"NA",IF(OR(BB478/#REF!&gt;2,BB478/#REF!&lt;0.5),"NM",BB478/#REF!*100-100))</f>
        <v>NA</v>
      </c>
      <c r="BD478" s="908">
        <f>K478+M478+O478+Q478</f>
        <v>135.69999999999999</v>
      </c>
      <c r="BE478" s="9">
        <f t="shared" si="2363"/>
        <v>3.66692131398014</v>
      </c>
      <c r="BF478" s="55">
        <f>S478+U478+W478+Y478</f>
        <v>135.5</v>
      </c>
      <c r="BG478" s="9">
        <f t="shared" si="2363"/>
        <v>-0.14738393515105486</v>
      </c>
      <c r="BH478" s="55">
        <f>AA478+AC478+AE478+AG478</f>
        <v>149.10000000000002</v>
      </c>
      <c r="BI478" s="9">
        <f t="shared" si="2363"/>
        <v>10.036900369003703</v>
      </c>
      <c r="BJ478" s="55">
        <f>AI478+AK478+AM478+AO478</f>
        <v>150.69999999999999</v>
      </c>
      <c r="BK478" s="9">
        <f t="shared" si="2363"/>
        <v>1.0731052984573921</v>
      </c>
      <c r="BL478" s="55">
        <f>AQ478+AS478+AU478+AW478</f>
        <v>155.221</v>
      </c>
      <c r="BM478" s="9">
        <f t="shared" si="2363"/>
        <v>3</v>
      </c>
      <c r="BN478" s="63">
        <f>+BL478*1.05</f>
        <v>162.98205000000002</v>
      </c>
      <c r="BO478" s="9">
        <f t="shared" si="2363"/>
        <v>5</v>
      </c>
      <c r="BP478" s="63">
        <f>+BN478*1.05</f>
        <v>171.13115250000001</v>
      </c>
      <c r="BQ478" s="9">
        <f t="shared" si="2363"/>
        <v>5</v>
      </c>
      <c r="BR478" s="63">
        <f>+BP478*1.05</f>
        <v>179.68771012500002</v>
      </c>
      <c r="BS478" s="9">
        <f t="shared" si="2363"/>
        <v>5</v>
      </c>
      <c r="BT478" s="63">
        <f>+BR478*1.05</f>
        <v>188.67209563125004</v>
      </c>
      <c r="BU478" s="9">
        <f t="shared" si="2364"/>
        <v>5</v>
      </c>
      <c r="BV478" s="43">
        <f>IF(ISERROR(((BT478/BJ478)^0.2-1)*100),"NA",IF((((BT478/BJ478)^0.2-1)*100)&gt;100,"NM",IF((((BT478/BJ478)^0.2-1)*100)&lt;-50,"NM",((BT478/BJ478)^0.2-1)*100)))</f>
        <v>4.5969170797945047</v>
      </c>
      <c r="BW478" s="722"/>
      <c r="BX478" s="722"/>
      <c r="BY478"/>
      <c r="BZ478"/>
      <c r="CA478"/>
      <c r="CB478"/>
      <c r="CC478"/>
      <c r="CD478"/>
    </row>
    <row r="479" spans="1:82" s="2" customFormat="1" ht="12.75" customHeight="1" x14ac:dyDescent="0.2">
      <c r="A479" s="66" t="s">
        <v>228</v>
      </c>
      <c r="B479" s="67" t="s">
        <v>417</v>
      </c>
      <c r="C479" s="695">
        <f>C477+C478</f>
        <v>398.5</v>
      </c>
      <c r="D479" s="9" t="str">
        <f>IF(ISERROR(C479/#REF!),"NA",IF(OR(C479/#REF!&gt;2,C479/#REF!&lt;0.5),"NM",C479/#REF!*100-100))</f>
        <v>NA</v>
      </c>
      <c r="E479" s="695">
        <f>E477+E478</f>
        <v>405.1</v>
      </c>
      <c r="F479" s="9" t="str">
        <f>IF(ISERROR(E479/#REF!),"NA",IF(OR(E479/#REF!&gt;2,E479/#REF!&lt;0.5),"NM",E479/#REF!*100-100))</f>
        <v>NA</v>
      </c>
      <c r="G479" s="695">
        <f>G477+G478</f>
        <v>405</v>
      </c>
      <c r="H479" s="9" t="str">
        <f>IF(ISERROR(G479/#REF!),"NA",IF(OR(G479/#REF!&gt;2,G479/#REF!&lt;0.5),"NM",G479/#REF!*100-100))</f>
        <v>NA</v>
      </c>
      <c r="I479" s="695">
        <f>I477+I478</f>
        <v>415</v>
      </c>
      <c r="J479" s="9" t="str">
        <f>IF(ISERROR(I479/#REF!),"NA",IF(OR(I479/#REF!&gt;2,I479/#REF!&lt;0.5),"NM",I479/#REF!*100-100))</f>
        <v>NA</v>
      </c>
      <c r="K479" s="695">
        <f>K477+K478</f>
        <v>420.6</v>
      </c>
      <c r="L479" s="9">
        <f>IF(ISERROR(K479/C479),"NA",IF(OR(K479/C479&gt;2,K479/C479&lt;0.5),"NM",K479/C479*100-100))</f>
        <v>5.5457967377666222</v>
      </c>
      <c r="M479" s="695">
        <f>M477+M478</f>
        <v>429.5</v>
      </c>
      <c r="N479" s="9">
        <f t="shared" si="2345"/>
        <v>6.0232041471241615</v>
      </c>
      <c r="O479" s="695">
        <f>O477+O478</f>
        <v>438.3</v>
      </c>
      <c r="P479" s="43">
        <f t="shared" si="2331"/>
        <v>8.2222222222222143</v>
      </c>
      <c r="Q479" s="695">
        <f>Q477+Q478</f>
        <v>438.69999999999993</v>
      </c>
      <c r="R479" s="43">
        <f t="shared" si="2331"/>
        <v>5.7108433734939723</v>
      </c>
      <c r="S479" s="695">
        <f>S477+S478</f>
        <v>466.3</v>
      </c>
      <c r="T479" s="43">
        <f t="shared" si="2331"/>
        <v>10.865430337612935</v>
      </c>
      <c r="U479" s="695">
        <f>U477+U478</f>
        <v>464.7</v>
      </c>
      <c r="V479" s="43">
        <f t="shared" si="2331"/>
        <v>8.1955762514551793</v>
      </c>
      <c r="W479" s="695">
        <f t="shared" ref="W479:Y479" si="2369">W477+W478</f>
        <v>463.6</v>
      </c>
      <c r="X479" s="43">
        <f t="shared" si="2332"/>
        <v>5.7723020762035162</v>
      </c>
      <c r="Y479" s="695">
        <f t="shared" si="2369"/>
        <v>473.5</v>
      </c>
      <c r="Z479" s="43">
        <f t="shared" si="2346"/>
        <v>7.9325279234100776</v>
      </c>
      <c r="AA479" s="695">
        <f t="shared" ref="AA479:AC479" si="2370">AA477+AA478</f>
        <v>482.9</v>
      </c>
      <c r="AB479" s="43">
        <f t="shared" si="2347"/>
        <v>3.5599399528200735</v>
      </c>
      <c r="AC479" s="695">
        <f t="shared" si="2370"/>
        <v>498.20000000000005</v>
      </c>
      <c r="AD479" s="43">
        <f t="shared" si="2348"/>
        <v>7.2089520120508013</v>
      </c>
      <c r="AE479" s="695">
        <f t="shared" ref="AE479:AG479" si="2371">AE477+AE478</f>
        <v>510.90000000000003</v>
      </c>
      <c r="AF479" s="43">
        <f t="shared" si="2349"/>
        <v>10.202761000862807</v>
      </c>
      <c r="AG479" s="695">
        <f t="shared" si="2371"/>
        <v>519.4</v>
      </c>
      <c r="AH479" s="9">
        <f t="shared" si="2350"/>
        <v>9.6937697993664216</v>
      </c>
      <c r="AI479" s="695">
        <f t="shared" ref="AI479:AK479" si="2372">AI477+AI478</f>
        <v>528.5</v>
      </c>
      <c r="AJ479" s="9">
        <f t="shared" si="2351"/>
        <v>9.4429488506937247</v>
      </c>
      <c r="AK479" s="695">
        <f t="shared" si="2372"/>
        <v>537.29999999999995</v>
      </c>
      <c r="AL479" s="9">
        <f t="shared" si="2352"/>
        <v>7.8482537133681092</v>
      </c>
      <c r="AM479" s="695">
        <f t="shared" ref="AM479:AO479" si="2373">AM477+AM478</f>
        <v>550.1</v>
      </c>
      <c r="AN479" s="9">
        <f t="shared" si="2353"/>
        <v>7.6727343902916374</v>
      </c>
      <c r="AO479" s="695">
        <f t="shared" si="2373"/>
        <v>555.9</v>
      </c>
      <c r="AP479" s="9">
        <f t="shared" si="2354"/>
        <v>7.0273392375818275</v>
      </c>
      <c r="AQ479" s="695">
        <f t="shared" ref="AQ479:AW479" si="2374">AQ477+AQ478</f>
        <v>563.85899999999992</v>
      </c>
      <c r="AR479" s="9">
        <f t="shared" si="2356"/>
        <v>6.6904446546830485</v>
      </c>
      <c r="AS479" s="695">
        <f t="shared" si="2374"/>
        <v>573.38700000000006</v>
      </c>
      <c r="AT479" s="9">
        <f t="shared" si="2358"/>
        <v>6.7163595756560852</v>
      </c>
      <c r="AU479" s="695">
        <f t="shared" si="2374"/>
        <v>587.15100000000007</v>
      </c>
      <c r="AV479" s="9">
        <f t="shared" si="2360"/>
        <v>6.7353208507544053</v>
      </c>
      <c r="AW479" s="695">
        <f t="shared" si="2374"/>
        <v>593.40100000000007</v>
      </c>
      <c r="AX479" s="9">
        <f t="shared" si="2362"/>
        <v>6.7459974815614316</v>
      </c>
      <c r="AY479" s="287"/>
      <c r="AZ479" s="68"/>
      <c r="BA479" s="9" t="str">
        <f>IF(ISERROR(#REF!/#REF!),"NA",IF(OR(#REF!/#REF!&gt;2,#REF!/#REF!&lt;0.5),"NM",#REF!/#REF!*100-100))</f>
        <v>NA</v>
      </c>
      <c r="BB479" s="695">
        <f>BB477+BB478</f>
        <v>1623.6</v>
      </c>
      <c r="BC479" s="9" t="str">
        <f>IF(ISERROR(BB479/#REF!),"NA",IF(OR(BB479/#REF!&gt;2,BB479/#REF!&lt;0.5),"NM",BB479/#REF!*100-100))</f>
        <v>NA</v>
      </c>
      <c r="BD479" s="912">
        <f t="shared" ref="BD479:BP479" si="2375">BD477+BD478</f>
        <v>1727.1</v>
      </c>
      <c r="BE479" s="9">
        <f t="shared" si="2363"/>
        <v>6.3747228381374725</v>
      </c>
      <c r="BF479" s="695">
        <f t="shared" si="2375"/>
        <v>1868.1000000000001</v>
      </c>
      <c r="BG479" s="9">
        <f t="shared" si="2363"/>
        <v>8.1639742921660599</v>
      </c>
      <c r="BH479" s="695">
        <f t="shared" si="2375"/>
        <v>2011.4</v>
      </c>
      <c r="BI479" s="9">
        <f t="shared" si="2363"/>
        <v>7.6708955623360708</v>
      </c>
      <c r="BJ479" s="695">
        <f t="shared" ref="BJ479" si="2376">BJ477+BJ478</f>
        <v>2171.7999999999997</v>
      </c>
      <c r="BK479" s="9">
        <f t="shared" si="2363"/>
        <v>7.9745450929700468</v>
      </c>
      <c r="BL479" s="695">
        <f t="shared" ref="BL479" si="2377">BL477+BL478</f>
        <v>2317.7980000000002</v>
      </c>
      <c r="BM479" s="9">
        <f t="shared" si="2363"/>
        <v>6.7224422138318687</v>
      </c>
      <c r="BN479" s="695">
        <f t="shared" si="2375"/>
        <v>2476.9394400000006</v>
      </c>
      <c r="BO479" s="9">
        <f t="shared" si="2363"/>
        <v>6.8660616671513424</v>
      </c>
      <c r="BP479" s="695">
        <f t="shared" si="2375"/>
        <v>2647.0655598000008</v>
      </c>
      <c r="BQ479" s="9">
        <f t="shared" si="2363"/>
        <v>6.8684004563309031</v>
      </c>
      <c r="BR479" s="695">
        <f t="shared" ref="BR479:BT479" si="2378">BR477+BR478</f>
        <v>2828.9375259360008</v>
      </c>
      <c r="BS479" s="9">
        <f t="shared" si="2363"/>
        <v>6.8707012360412136</v>
      </c>
      <c r="BT479" s="695">
        <f t="shared" si="2378"/>
        <v>3023.3693985490208</v>
      </c>
      <c r="BU479" s="9">
        <f t="shared" si="2364"/>
        <v>6.8729645257432423</v>
      </c>
      <c r="BV479" s="43">
        <f>IF(ISERROR(((BT479/BJ479)^0.2-1)*100),"NA",IF((((BT479/BJ479)^0.2-1)*100)&gt;100,"NM",IF((((BT479/BJ479)^0.2-1)*100)&lt;-50,"NM",((BT479/BJ479)^0.2-1)*100)))</f>
        <v>6.8400977859222722</v>
      </c>
      <c r="BW479" s="722"/>
      <c r="BX479" s="722"/>
      <c r="BY479"/>
      <c r="BZ479"/>
      <c r="CA479"/>
      <c r="CB479"/>
      <c r="CC479"/>
      <c r="CD479"/>
    </row>
    <row r="480" spans="1:82" s="2" customFormat="1" ht="12.75" customHeight="1" x14ac:dyDescent="0.2">
      <c r="A480" s="41"/>
      <c r="B480" s="62"/>
      <c r="C480" s="64"/>
      <c r="D480" s="40"/>
      <c r="E480" s="64"/>
      <c r="F480" s="40"/>
      <c r="G480" s="64"/>
      <c r="H480" s="40"/>
      <c r="I480" s="64"/>
      <c r="J480" s="40"/>
      <c r="K480" s="64"/>
      <c r="L480" s="40"/>
      <c r="M480" s="64"/>
      <c r="N480" s="40"/>
      <c r="O480" s="64"/>
      <c r="P480" s="43"/>
      <c r="Q480" s="64"/>
      <c r="R480" s="43"/>
      <c r="S480" s="64"/>
      <c r="T480" s="43"/>
      <c r="U480" s="64"/>
      <c r="V480" s="43"/>
      <c r="W480" s="64"/>
      <c r="X480" s="43"/>
      <c r="Y480" s="64"/>
      <c r="Z480" s="43"/>
      <c r="AA480" s="64"/>
      <c r="AB480" s="43"/>
      <c r="AC480" s="64"/>
      <c r="AD480" s="43"/>
      <c r="AE480" s="64"/>
      <c r="AF480" s="43"/>
      <c r="AG480" s="64"/>
      <c r="AH480" s="40"/>
      <c r="AI480" s="64"/>
      <c r="AJ480" s="40"/>
      <c r="AK480" s="64"/>
      <c r="AL480" s="40"/>
      <c r="AM480" s="64"/>
      <c r="AN480" s="40"/>
      <c r="AO480" s="64"/>
      <c r="AP480" s="40"/>
      <c r="AQ480" s="64"/>
      <c r="AR480" s="40"/>
      <c r="AS480" s="64"/>
      <c r="AT480" s="40"/>
      <c r="AU480" s="64"/>
      <c r="AV480" s="40"/>
      <c r="AW480" s="64"/>
      <c r="AX480" s="40"/>
      <c r="AY480" s="287"/>
      <c r="AZ480" s="64"/>
      <c r="BA480" s="40"/>
      <c r="BB480" s="64"/>
      <c r="BC480" s="40"/>
      <c r="BD480" s="933"/>
      <c r="BE480" s="40"/>
      <c r="BF480" s="64"/>
      <c r="BG480" s="40"/>
      <c r="BH480" s="64"/>
      <c r="BI480" s="40"/>
      <c r="BJ480" s="64"/>
      <c r="BK480" s="40"/>
      <c r="BL480" s="64"/>
      <c r="BM480" s="40"/>
      <c r="BN480" s="64"/>
      <c r="BO480" s="40"/>
      <c r="BP480" s="64"/>
      <c r="BQ480" s="40"/>
      <c r="BR480" s="64"/>
      <c r="BS480" s="40"/>
      <c r="BT480" s="64"/>
      <c r="BU480" s="40"/>
      <c r="BV480" s="722"/>
      <c r="BW480" s="722"/>
      <c r="BX480" s="722"/>
      <c r="BY480"/>
      <c r="BZ480"/>
      <c r="CA480"/>
      <c r="CB480"/>
      <c r="CC480"/>
      <c r="CD480"/>
    </row>
    <row r="481" spans="1:83" s="2" customFormat="1" ht="12.75" customHeight="1" x14ac:dyDescent="0.2">
      <c r="A481" s="41"/>
      <c r="B481" s="67" t="s">
        <v>418</v>
      </c>
      <c r="C481" s="64"/>
      <c r="D481" s="40"/>
      <c r="E481" s="64"/>
      <c r="F481" s="40"/>
      <c r="G481" s="64"/>
      <c r="H481" s="40"/>
      <c r="I481" s="64"/>
      <c r="J481" s="40"/>
      <c r="K481" s="64"/>
      <c r="L481" s="40"/>
      <c r="M481" s="64"/>
      <c r="N481" s="40"/>
      <c r="O481" s="64"/>
      <c r="P481" s="43"/>
      <c r="Q481" s="64"/>
      <c r="R481" s="43"/>
      <c r="S481" s="64"/>
      <c r="T481" s="43"/>
      <c r="U481" s="64"/>
      <c r="V481" s="43"/>
      <c r="W481" s="64"/>
      <c r="X481" s="43"/>
      <c r="Y481" s="64"/>
      <c r="Z481" s="43"/>
      <c r="AA481" s="64"/>
      <c r="AB481" s="43"/>
      <c r="AC481" s="64"/>
      <c r="AD481" s="43"/>
      <c r="AE481" s="64"/>
      <c r="AF481" s="43"/>
      <c r="AG481" s="64"/>
      <c r="AH481" s="40"/>
      <c r="AI481" s="64"/>
      <c r="AJ481" s="40"/>
      <c r="AK481" s="64"/>
      <c r="AL481" s="40"/>
      <c r="AM481" s="64"/>
      <c r="AN481" s="40"/>
      <c r="AO481" s="64"/>
      <c r="AP481" s="40"/>
      <c r="AQ481" s="64"/>
      <c r="AR481" s="40"/>
      <c r="AS481" s="64"/>
      <c r="AT481" s="40"/>
      <c r="AU481" s="64"/>
      <c r="AV481" s="40"/>
      <c r="AW481" s="64"/>
      <c r="AX481" s="40"/>
      <c r="AY481" s="287"/>
      <c r="AZ481" s="64"/>
      <c r="BA481" s="40"/>
      <c r="BB481" s="64"/>
      <c r="BC481" s="40"/>
      <c r="BD481" s="933"/>
      <c r="BE481" s="40"/>
      <c r="BF481" s="64"/>
      <c r="BG481" s="40"/>
      <c r="BH481" s="64"/>
      <c r="BI481" s="40"/>
      <c r="BJ481" s="64"/>
      <c r="BK481" s="40"/>
      <c r="BL481" s="64"/>
      <c r="BM481" s="40"/>
      <c r="BN481" s="64"/>
      <c r="BO481" s="40"/>
      <c r="BP481" s="64"/>
      <c r="BQ481" s="40"/>
      <c r="BR481" s="64"/>
      <c r="BS481" s="40"/>
      <c r="BT481" s="64"/>
      <c r="BU481" s="40"/>
      <c r="BV481" s="722"/>
      <c r="BW481" s="722"/>
      <c r="BX481" s="722"/>
      <c r="BY481"/>
      <c r="BZ481"/>
      <c r="CA481"/>
      <c r="CB481"/>
      <c r="CC481"/>
      <c r="CD481"/>
    </row>
    <row r="482" spans="1:83" s="2" customFormat="1" ht="12.75" customHeight="1" x14ac:dyDescent="0.2">
      <c r="A482" s="41"/>
      <c r="B482" s="73" t="s">
        <v>434</v>
      </c>
      <c r="C482" s="653">
        <v>243.6</v>
      </c>
      <c r="D482" s="9" t="str">
        <f>IF(ISERROR(C482/#REF!),"NA",IF(OR(C482/#REF!&gt;2,C482/#REF!&lt;0.5),"NM",C482/#REF!*100-100))</f>
        <v>NA</v>
      </c>
      <c r="E482" s="653">
        <v>244.8</v>
      </c>
      <c r="F482" s="9" t="str">
        <f>IF(ISERROR(E482/#REF!),"NA",IF(OR(E482/#REF!&gt;2,E482/#REF!&lt;0.5),"NM",E482/#REF!*100-100))</f>
        <v>NA</v>
      </c>
      <c r="G482" s="653">
        <v>241.8</v>
      </c>
      <c r="H482" s="9" t="str">
        <f>IF(ISERROR(G482/#REF!),"NA",IF(OR(G482/#REF!&gt;2,G482/#REF!&lt;0.5),"NM",G482/#REF!*100-100))</f>
        <v>NA</v>
      </c>
      <c r="I482" s="653">
        <v>247.3</v>
      </c>
      <c r="J482" s="9" t="str">
        <f>IF(ISERROR(I482/#REF!),"NA",IF(OR(I482/#REF!&gt;2,I482/#REF!&lt;0.5),"NM",I482/#REF!*100-100))</f>
        <v>NA</v>
      </c>
      <c r="K482" s="653">
        <v>258.7</v>
      </c>
      <c r="L482" s="9">
        <f>IF(ISERROR(K482/C482),"NA",IF(OR(K482/C482&gt;2,K482/C482&lt;0.5),"NM",K482/C482*100-100))</f>
        <v>6.1986863711001661</v>
      </c>
      <c r="M482" s="653">
        <v>259.2</v>
      </c>
      <c r="N482" s="9">
        <f>IF(ISERROR(M482/E482),"NA",IF(OR(M482/E482&gt;2,M482/E482&lt;0.5),"NM",M482/E482*100-100))</f>
        <v>5.8823529411764781</v>
      </c>
      <c r="O482" s="653">
        <v>259.7</v>
      </c>
      <c r="P482" s="43">
        <f t="shared" si="2331"/>
        <v>7.4028122415219002</v>
      </c>
      <c r="Q482" s="653">
        <v>261.3</v>
      </c>
      <c r="R482" s="43">
        <f t="shared" si="2331"/>
        <v>5.6611403154063851</v>
      </c>
      <c r="S482" s="653">
        <v>273.39999999999998</v>
      </c>
      <c r="T482" s="43">
        <f t="shared" si="2331"/>
        <v>5.6822574410513909</v>
      </c>
      <c r="U482" s="653">
        <v>277.3</v>
      </c>
      <c r="V482" s="43">
        <f t="shared" si="2331"/>
        <v>6.9830246913580254</v>
      </c>
      <c r="W482" s="653">
        <v>257.60000000000002</v>
      </c>
      <c r="X482" s="43">
        <f t="shared" si="2332"/>
        <v>-0.80862533692722138</v>
      </c>
      <c r="Y482" s="653">
        <v>270.10000000000002</v>
      </c>
      <c r="Z482" s="43">
        <f t="shared" si="2346"/>
        <v>3.3677765021048742</v>
      </c>
      <c r="AA482" s="653">
        <v>297.2</v>
      </c>
      <c r="AB482" s="43">
        <f t="shared" si="2347"/>
        <v>8.7051938551572903</v>
      </c>
      <c r="AC482" s="653">
        <v>284.2</v>
      </c>
      <c r="AD482" s="43">
        <f t="shared" si="2348"/>
        <v>2.4882798413270706</v>
      </c>
      <c r="AE482" s="653">
        <v>303</v>
      </c>
      <c r="AF482" s="43">
        <f t="shared" si="2349"/>
        <v>17.624223602484463</v>
      </c>
      <c r="AG482" s="653">
        <v>292.89999999999998</v>
      </c>
      <c r="AH482" s="9">
        <f>IF(ISERROR(AG482/Y482),"NA",IF(OR(AG482/Y482&gt;2,AG482/Y482&lt;0.5),"NM",AG482/Y482*100-100))</f>
        <v>8.4413180303590991</v>
      </c>
      <c r="AI482" s="653">
        <v>321.7</v>
      </c>
      <c r="AJ482" s="9">
        <f t="shared" ref="AJ482:AJ486" si="2379">IF(ISERROR(AI482/AA482),"NA",IF(OR(AI482/AA482&gt;2,AI482/AA482&lt;0.5),"NM",AI482/AA482*100-100))</f>
        <v>8.2436069986541014</v>
      </c>
      <c r="AK482" s="653">
        <v>316.3</v>
      </c>
      <c r="AL482" s="9">
        <f t="shared" ref="AL482:AL486" si="2380">IF(ISERROR(AK482/AC482),"NA",IF(OR(AK482/AC482&gt;2,AK482/AC482&lt;0.5),"NM",AK482/AC482*100-100))</f>
        <v>11.294862772695296</v>
      </c>
      <c r="AM482" s="653">
        <v>310.10000000000002</v>
      </c>
      <c r="AN482" s="9">
        <f t="shared" ref="AN482:AN486" si="2381">IF(ISERROR(AM482/AE482),"NA",IF(OR(AM482/AE482&gt;2,AM482/AE482&lt;0.5),"NM",AM482/AE482*100-100))</f>
        <v>2.3432343234323554</v>
      </c>
      <c r="AO482" s="653">
        <v>320.3</v>
      </c>
      <c r="AP482" s="9">
        <f t="shared" ref="AP482:AP486" si="2382">IF(ISERROR(AO482/AG482),"NA",IF(OR(AO482/AG482&gt;2,AO482/AG482&lt;0.5),"NM",AO482/AG482*100-100))</f>
        <v>9.3547285763059307</v>
      </c>
      <c r="AQ482" s="691">
        <f t="shared" ref="AQ482:AW482" si="2383">AQ489/100*AQ477</f>
        <v>333.90848</v>
      </c>
      <c r="AR482" s="9">
        <f t="shared" ref="AR482:AR486" si="2384">IF(ISERROR(AQ482/AI482),"NA",IF(OR(AQ482/AI482&gt;2,AQ482/AI482&lt;0.5),"NM",AQ482/AI482*100-100))</f>
        <v>3.7949891202984105</v>
      </c>
      <c r="AS482" s="691">
        <f t="shared" si="2383"/>
        <v>338.44099999999997</v>
      </c>
      <c r="AT482" s="9">
        <f t="shared" ref="AT482:AT486" si="2385">IF(ISERROR(AS482/AK482),"NA",IF(OR(AS482/AK482&gt;2,AS482/AK482&lt;0.5),"NM",AS482/AK482*100-100))</f>
        <v>6.9999999999999858</v>
      </c>
      <c r="AU482" s="691">
        <f t="shared" si="2383"/>
        <v>340.78858000000008</v>
      </c>
      <c r="AV482" s="9">
        <f t="shared" ref="AV482:AV486" si="2386">IF(ISERROR(AU482/AM482),"NA",IF(OR(AU482/AM482&gt;2,AU482/AM482&lt;0.5),"NM",AU482/AM482*100-100))</f>
        <v>9.8963495646565747</v>
      </c>
      <c r="AW482" s="691">
        <f t="shared" si="2383"/>
        <v>339.79561999999999</v>
      </c>
      <c r="AX482" s="9">
        <f t="shared" ref="AX482:AX486" si="2387">IF(ISERROR(AW482/AO482),"NA",IF(OR(AW482/AO482&gt;2,AW482/AO482&lt;0.5),"NM",AW482/AO482*100-100))</f>
        <v>6.0866749921948156</v>
      </c>
      <c r="AY482" s="287"/>
      <c r="AZ482" s="64"/>
      <c r="BA482" s="9" t="str">
        <f>IF(ISERROR(#REF!/#REF!),"NA",IF(OR(#REF!/#REF!&gt;2,#REF!/#REF!&lt;0.5),"NM",#REF!/#REF!*100-100))</f>
        <v>NA</v>
      </c>
      <c r="BB482" s="55">
        <f>C482+E482+G482+I482</f>
        <v>977.5</v>
      </c>
      <c r="BC482" s="9" t="str">
        <f>IF(ISERROR(BB482/#REF!),"NA",IF(OR(BB482/#REF!&gt;2,BB482/#REF!&lt;0.5),"NM",BB482/#REF!*100-100))</f>
        <v>NA</v>
      </c>
      <c r="BD482" s="908">
        <f>K482+M482+O482+Q482</f>
        <v>1038.8999999999999</v>
      </c>
      <c r="BE482" s="9">
        <f t="shared" ref="BE482:BS495" si="2388">IF(ISERROR(BD482/BB482),"NA",IF(OR(BD482/BB482&gt;2,BD482/BB482&lt;0.5),"NM",BD482/BB482*100-100))</f>
        <v>6.2813299232736313</v>
      </c>
      <c r="BF482" s="55">
        <f>S482+U482+W482+Y482</f>
        <v>1078.4000000000001</v>
      </c>
      <c r="BG482" s="9">
        <f t="shared" si="2388"/>
        <v>3.8020983732794491</v>
      </c>
      <c r="BH482" s="55">
        <f>AA482+AC482+AE482+AG482</f>
        <v>1177.3</v>
      </c>
      <c r="BI482" s="9">
        <f t="shared" si="2388"/>
        <v>9.1709940652818744</v>
      </c>
      <c r="BJ482" s="55">
        <f>AI482+AK482+AM482+AO482</f>
        <v>1268.4000000000001</v>
      </c>
      <c r="BK482" s="9">
        <f t="shared" si="2388"/>
        <v>7.7380446785016801</v>
      </c>
      <c r="BL482" s="55">
        <f>AQ482+AS482+AU482+AW482</f>
        <v>1352.9336800000001</v>
      </c>
      <c r="BM482" s="9">
        <f t="shared" si="2388"/>
        <v>6.6645916114790253</v>
      </c>
      <c r="BN482" s="691">
        <f>BN489/100*BN477</f>
        <v>1452.2669523800002</v>
      </c>
      <c r="BO482" s="9">
        <f t="shared" si="2388"/>
        <v>7.3420651616862784</v>
      </c>
      <c r="BP482" s="691">
        <f>BP489/100*BP477</f>
        <v>1558.8775078612005</v>
      </c>
      <c r="BQ482" s="9">
        <f t="shared" si="2388"/>
        <v>7.3409751083631818</v>
      </c>
      <c r="BR482" s="691">
        <f>BR489/100*BR477</f>
        <v>1673.2974330431066</v>
      </c>
      <c r="BS482" s="9">
        <f t="shared" si="2388"/>
        <v>7.3398919802808393</v>
      </c>
      <c r="BT482" s="691">
        <f>BT489/100*BT477</f>
        <v>1796.0976479619596</v>
      </c>
      <c r="BU482" s="9">
        <f t="shared" ref="BU482:BU486" si="2389">IF(ISERROR(BT482/BR482),"NA",IF(OR(BT482/BR482&gt;2,BT482/BR482&lt;0.5),"NM",BT482/BR482*100-100))</f>
        <v>7.3388157116529555</v>
      </c>
      <c r="BV482" s="43">
        <f>IF(ISERROR(((BT482/BJ482)^0.2-1)*100),"NA",IF((((BT482/BJ482)^0.2-1)*100)&gt;100,"NM",IF((((BT482/BJ482)^0.2-1)*100)&lt;-50,"NM",((BT482/BJ482)^0.2-1)*100)))</f>
        <v>7.2049261925874575</v>
      </c>
      <c r="BW482" s="722"/>
      <c r="BX482" s="722"/>
      <c r="BY482"/>
      <c r="BZ482"/>
      <c r="CA482"/>
      <c r="CB482"/>
      <c r="CC482"/>
      <c r="CD482"/>
    </row>
    <row r="483" spans="1:83" s="2" customFormat="1" ht="12.75" customHeight="1" x14ac:dyDescent="0.2">
      <c r="A483" s="41"/>
      <c r="B483" s="62" t="s">
        <v>436</v>
      </c>
      <c r="C483" s="653">
        <v>36.4</v>
      </c>
      <c r="D483" s="9" t="str">
        <f>IF(ISERROR(C483/#REF!),"NA",IF(OR(C483/#REF!&gt;2,C483/#REF!&lt;0.5),"NM",C483/#REF!*100-100))</f>
        <v>NA</v>
      </c>
      <c r="E483" s="653">
        <v>35.799999999999997</v>
      </c>
      <c r="F483" s="9" t="str">
        <f>IF(ISERROR(E483/#REF!),"NA",IF(OR(E483/#REF!&gt;2,E483/#REF!&lt;0.5),"NM",E483/#REF!*100-100))</f>
        <v>NA</v>
      </c>
      <c r="G483" s="653">
        <v>35.4</v>
      </c>
      <c r="H483" s="9" t="str">
        <f>IF(ISERROR(G483/#REF!),"NA",IF(OR(G483/#REF!&gt;2,G483/#REF!&lt;0.5),"NM",G483/#REF!*100-100))</f>
        <v>NA</v>
      </c>
      <c r="I483" s="653">
        <v>38.299999999999997</v>
      </c>
      <c r="J483" s="9" t="str">
        <f>IF(ISERROR(I483/#REF!),"NA",IF(OR(I483/#REF!&gt;2,I483/#REF!&lt;0.5),"NM",I483/#REF!*100-100))</f>
        <v>NA</v>
      </c>
      <c r="K483" s="653">
        <v>36.9</v>
      </c>
      <c r="L483" s="9">
        <f>IF(ISERROR(K483/C483),"NA",IF(OR(K483/C483&gt;2,K483/C483&lt;0.5),"NM",K483/C483*100-100))</f>
        <v>1.3736263736263652</v>
      </c>
      <c r="M483" s="653">
        <v>37.700000000000003</v>
      </c>
      <c r="N483" s="9">
        <f>IF(ISERROR(M483/E483),"NA",IF(OR(M483/E483&gt;2,M483/E483&lt;0.5),"NM",M483/E483*100-100))</f>
        <v>5.3072625698324316</v>
      </c>
      <c r="O483" s="653">
        <v>40.700000000000003</v>
      </c>
      <c r="P483" s="43">
        <f t="shared" si="2331"/>
        <v>14.971751412429384</v>
      </c>
      <c r="Q483" s="653">
        <v>39.9</v>
      </c>
      <c r="R483" s="43">
        <f t="shared" si="2331"/>
        <v>4.1775456919060048</v>
      </c>
      <c r="S483" s="653">
        <v>55.9</v>
      </c>
      <c r="T483" s="43">
        <f t="shared" si="2331"/>
        <v>51.490514905149041</v>
      </c>
      <c r="U483" s="653">
        <v>42.4</v>
      </c>
      <c r="V483" s="43">
        <f t="shared" si="2331"/>
        <v>12.466843501326252</v>
      </c>
      <c r="W483" s="653">
        <v>46.5</v>
      </c>
      <c r="X483" s="43">
        <f t="shared" si="2332"/>
        <v>14.250614250614248</v>
      </c>
      <c r="Y483" s="653">
        <v>45.8</v>
      </c>
      <c r="Z483" s="43">
        <f t="shared" si="2346"/>
        <v>14.786967418546368</v>
      </c>
      <c r="AA483" s="653">
        <v>44.7</v>
      </c>
      <c r="AB483" s="43">
        <f t="shared" si="2347"/>
        <v>-20.035778175313055</v>
      </c>
      <c r="AC483" s="653">
        <v>47.4</v>
      </c>
      <c r="AD483" s="43">
        <f t="shared" si="2348"/>
        <v>11.79245283018868</v>
      </c>
      <c r="AE483" s="653">
        <v>46.9</v>
      </c>
      <c r="AF483" s="43">
        <f t="shared" si="2349"/>
        <v>0.8602150537634401</v>
      </c>
      <c r="AG483" s="653">
        <v>48.2</v>
      </c>
      <c r="AH483" s="9">
        <f>IF(ISERROR(AG483/Y483),"NA",IF(OR(AG483/Y483&gt;2,AG483/Y483&lt;0.5),"NM",AG483/Y483*100-100))</f>
        <v>5.2401746724890899</v>
      </c>
      <c r="AI483" s="653">
        <v>50.7</v>
      </c>
      <c r="AJ483" s="9">
        <f t="shared" si="2379"/>
        <v>13.422818791946312</v>
      </c>
      <c r="AK483" s="653">
        <v>52.5</v>
      </c>
      <c r="AL483" s="9">
        <f t="shared" si="2380"/>
        <v>10.759493670886087</v>
      </c>
      <c r="AM483" s="653">
        <v>52.9</v>
      </c>
      <c r="AN483" s="9">
        <f t="shared" si="2381"/>
        <v>12.793176972281444</v>
      </c>
      <c r="AO483" s="653">
        <v>53.6</v>
      </c>
      <c r="AP483" s="9">
        <f t="shared" si="2382"/>
        <v>11.203319502074692</v>
      </c>
      <c r="AQ483" s="691">
        <f t="shared" ref="AQ483:AW485" si="2390">AQ490*AQ$479/100</f>
        <v>54.367408526713433</v>
      </c>
      <c r="AR483" s="9">
        <f t="shared" si="2384"/>
        <v>7.2335473899673133</v>
      </c>
      <c r="AS483" s="691">
        <f t="shared" si="2390"/>
        <v>55.286100377765798</v>
      </c>
      <c r="AT483" s="9">
        <f t="shared" si="2385"/>
        <v>5.3068578624110501</v>
      </c>
      <c r="AU483" s="691">
        <f t="shared" si="2390"/>
        <v>56.613228278467361</v>
      </c>
      <c r="AV483" s="9">
        <f t="shared" si="2386"/>
        <v>7.0193351199761054</v>
      </c>
      <c r="AW483" s="691">
        <f t="shared" si="2390"/>
        <v>57.215854650116945</v>
      </c>
      <c r="AX483" s="9">
        <f t="shared" si="2387"/>
        <v>6.7459974815614601</v>
      </c>
      <c r="AY483" s="287"/>
      <c r="AZ483" s="64"/>
      <c r="BA483" s="9" t="str">
        <f>IF(ISERROR(#REF!/#REF!),"NA",IF(OR(#REF!/#REF!&gt;2,#REF!/#REF!&lt;0.5),"NM",#REF!/#REF!*100-100))</f>
        <v>NA</v>
      </c>
      <c r="BB483" s="55">
        <f>C483+E483+G483+I483</f>
        <v>145.89999999999998</v>
      </c>
      <c r="BC483" s="9" t="str">
        <f>IF(ISERROR(BB483/#REF!),"NA",IF(OR(BB483/#REF!&gt;2,BB483/#REF!&lt;0.5),"NM",BB483/#REF!*100-100))</f>
        <v>NA</v>
      </c>
      <c r="BD483" s="908">
        <f>K483+M483+O483+Q483</f>
        <v>155.19999999999999</v>
      </c>
      <c r="BE483" s="9">
        <f t="shared" si="2388"/>
        <v>6.3742289239204979</v>
      </c>
      <c r="BF483" s="55">
        <f>S483+U483+W483+Y483</f>
        <v>190.60000000000002</v>
      </c>
      <c r="BG483" s="9">
        <f t="shared" si="2388"/>
        <v>22.809278350515498</v>
      </c>
      <c r="BH483" s="55">
        <f>AA483+AC483+AE483+AG483</f>
        <v>187.2</v>
      </c>
      <c r="BI483" s="9">
        <f t="shared" si="2388"/>
        <v>-1.7838405036726357</v>
      </c>
      <c r="BJ483" s="55">
        <f>AI483+AK483+AM483+AO483</f>
        <v>209.7</v>
      </c>
      <c r="BK483" s="9">
        <f t="shared" si="2388"/>
        <v>12.019230769230774</v>
      </c>
      <c r="BL483" s="55">
        <f>AQ483+AS483+AU483+AW483</f>
        <v>223.48259183306354</v>
      </c>
      <c r="BM483" s="9">
        <f t="shared" si="2388"/>
        <v>6.5725282942601666</v>
      </c>
      <c r="BN483" s="691">
        <f>BN490*BN477/100</f>
        <v>239.12637326137801</v>
      </c>
      <c r="BO483" s="9">
        <f t="shared" si="2388"/>
        <v>7</v>
      </c>
      <c r="BP483" s="691">
        <f>BP490*BP477/100</f>
        <v>258.34115379697448</v>
      </c>
      <c r="BQ483" s="9">
        <f t="shared" si="2388"/>
        <v>8.0354083380814245</v>
      </c>
      <c r="BR483" s="691">
        <f>BR490*BR477/100</f>
        <v>279.07428437857362</v>
      </c>
      <c r="BS483" s="9">
        <f t="shared" si="2388"/>
        <v>8.025485013469023</v>
      </c>
      <c r="BT483" s="691">
        <f>BT490*BT477/100</f>
        <v>301.44418158799158</v>
      </c>
      <c r="BU483" s="9">
        <f t="shared" si="2389"/>
        <v>8.0157500929295367</v>
      </c>
      <c r="BV483" s="43">
        <f>IF(ISERROR(((BT483/BJ483)^0.2-1)*100),"NA",IF((((BT483/BJ483)^0.2-1)*100)&gt;100,"NM",IF((((BT483/BJ483)^0.2-1)*100)&lt;-50,"NM",((BT483/BJ483)^0.2-1)*100)))</f>
        <v>7.5280314308900032</v>
      </c>
      <c r="BW483" s="722"/>
      <c r="BX483" s="722"/>
      <c r="BY483"/>
      <c r="BZ483"/>
      <c r="CA483"/>
      <c r="CB483"/>
      <c r="CC483"/>
      <c r="CD483"/>
    </row>
    <row r="484" spans="1:83" s="2" customFormat="1" ht="12.75" customHeight="1" x14ac:dyDescent="0.2">
      <c r="A484" s="41"/>
      <c r="B484" s="62" t="s">
        <v>391</v>
      </c>
      <c r="C484" s="653">
        <f>-15.1+7.9</f>
        <v>-7.1999999999999993</v>
      </c>
      <c r="D484" s="9" t="str">
        <f>IF(ISERROR(C484/#REF!),"NA",IF(OR(C484/#REF!&gt;2,C484/#REF!&lt;0.5),"NM",C484/#REF!*100-100))</f>
        <v>NA</v>
      </c>
      <c r="E484" s="653">
        <f>-15.8+8.5</f>
        <v>-7.3000000000000007</v>
      </c>
      <c r="F484" s="9" t="str">
        <f>IF(ISERROR(E484/#REF!),"NA",IF(OR(E484/#REF!&gt;2,E484/#REF!&lt;0.5),"NM",E484/#REF!*100-100))</f>
        <v>NA</v>
      </c>
      <c r="G484" s="653">
        <f>-16.2+8.7</f>
        <v>-7.5</v>
      </c>
      <c r="H484" s="9" t="str">
        <f>IF(ISERROR(G484/#REF!),"NA",IF(OR(G484/#REF!&gt;2,G484/#REF!&lt;0.5),"NM",G484/#REF!*100-100))</f>
        <v>NA</v>
      </c>
      <c r="I484" s="653">
        <f>-16.8+8.9</f>
        <v>-7.9</v>
      </c>
      <c r="J484" s="9" t="str">
        <f>IF(ISERROR(I484/#REF!),"NA",IF(OR(I484/#REF!&gt;2,I484/#REF!&lt;0.5),"NM",I484/#REF!*100-100))</f>
        <v>NA</v>
      </c>
      <c r="K484" s="653">
        <f>-14.3+7.8</f>
        <v>-6.5000000000000009</v>
      </c>
      <c r="L484" s="9">
        <f>IF(ISERROR(K484/C484),"NA",IF(OR(K484/C484&gt;2,K484/C484&lt;0.5),"NM",K484/C484*100-100))</f>
        <v>-9.7222222222222001</v>
      </c>
      <c r="M484" s="653">
        <f>-15.3+9.3</f>
        <v>-6</v>
      </c>
      <c r="N484" s="9">
        <f>IF(ISERROR(M484/E484),"NA",IF(OR(M484/E484&gt;2,M484/E484&lt;0.5),"NM",M484/E484*100-100))</f>
        <v>-17.808219178082197</v>
      </c>
      <c r="O484" s="653">
        <f>-17.3+9</f>
        <v>-8.3000000000000007</v>
      </c>
      <c r="P484" s="43">
        <f t="shared" si="2331"/>
        <v>10.666666666666671</v>
      </c>
      <c r="Q484" s="653">
        <f>-17.1+10.3</f>
        <v>-6.8000000000000007</v>
      </c>
      <c r="R484" s="43">
        <f t="shared" si="2331"/>
        <v>-13.924050632911388</v>
      </c>
      <c r="S484" s="653">
        <f>-15.6+5</f>
        <v>-10.6</v>
      </c>
      <c r="T484" s="43">
        <f t="shared" si="2331"/>
        <v>63.076923076923066</v>
      </c>
      <c r="U484" s="653">
        <f>-16+9.5</f>
        <v>-6.5</v>
      </c>
      <c r="V484" s="43">
        <f t="shared" si="2331"/>
        <v>8.3333333333333286</v>
      </c>
      <c r="W484" s="653">
        <f>-18.3+10.1</f>
        <v>-8.2000000000000011</v>
      </c>
      <c r="X484" s="43">
        <f t="shared" si="2332"/>
        <v>-1.2048192771084274</v>
      </c>
      <c r="Y484" s="653">
        <f>-16.8+9.7</f>
        <v>-7.1000000000000014</v>
      </c>
      <c r="Z484" s="43">
        <f t="shared" si="2346"/>
        <v>4.4117647058823621</v>
      </c>
      <c r="AA484" s="653">
        <f>-15.7+9.8</f>
        <v>-5.8999999999999986</v>
      </c>
      <c r="AB484" s="43">
        <f t="shared" si="2347"/>
        <v>-44.339622641509443</v>
      </c>
      <c r="AC484" s="653">
        <f>-18.2+10.7</f>
        <v>-7.5</v>
      </c>
      <c r="AD484" s="43">
        <f t="shared" si="2348"/>
        <v>15.384615384615373</v>
      </c>
      <c r="AE484" s="653">
        <f>-20.2+11.6</f>
        <v>-8.6</v>
      </c>
      <c r="AF484" s="43">
        <f t="shared" si="2349"/>
        <v>4.8780487804877879</v>
      </c>
      <c r="AG484" s="653">
        <f>-18.6+10.4</f>
        <v>-8.2000000000000011</v>
      </c>
      <c r="AH484" s="9">
        <f>IF(ISERROR(AG484/Y484),"NA",IF(OR(AG484/Y484&gt;2,AG484/Y484&lt;0.5),"NM",AG484/Y484*100-100))</f>
        <v>15.492957746478879</v>
      </c>
      <c r="AI484" s="653">
        <f>-18.9+11</f>
        <v>-7.8999999999999986</v>
      </c>
      <c r="AJ484" s="9">
        <f t="shared" si="2379"/>
        <v>33.898305084745772</v>
      </c>
      <c r="AK484" s="653">
        <f>-19.6+10.8</f>
        <v>-8.8000000000000007</v>
      </c>
      <c r="AL484" s="9">
        <f t="shared" si="2380"/>
        <v>17.333333333333329</v>
      </c>
      <c r="AM484" s="653">
        <f>-21+12.1</f>
        <v>-8.9</v>
      </c>
      <c r="AN484" s="9">
        <f t="shared" si="2381"/>
        <v>3.4883720930232585</v>
      </c>
      <c r="AO484" s="653">
        <f>-19.7+12.5</f>
        <v>-7.1999999999999993</v>
      </c>
      <c r="AP484" s="9">
        <f t="shared" si="2382"/>
        <v>-12.195121951219534</v>
      </c>
      <c r="AQ484" s="691">
        <f t="shared" si="2390"/>
        <v>-7.3030847274689679</v>
      </c>
      <c r="AR484" s="9">
        <f t="shared" si="2384"/>
        <v>-7.5558895257092473</v>
      </c>
      <c r="AS484" s="691">
        <f t="shared" si="2390"/>
        <v>-7.4264910955207775</v>
      </c>
      <c r="AT484" s="9">
        <f t="shared" si="2385"/>
        <v>-15.608055732718441</v>
      </c>
      <c r="AU484" s="691">
        <f t="shared" si="2390"/>
        <v>-7.6047620075553164</v>
      </c>
      <c r="AV484" s="9">
        <f t="shared" si="2386"/>
        <v>-14.553235870164983</v>
      </c>
      <c r="AW484" s="691">
        <f t="shared" si="2390"/>
        <v>-7.6857118186724236</v>
      </c>
      <c r="AX484" s="9">
        <f t="shared" si="2387"/>
        <v>6.7459974815614316</v>
      </c>
      <c r="AY484" s="287"/>
      <c r="AZ484" s="64"/>
      <c r="BA484" s="9" t="str">
        <f>IF(ISERROR(#REF!/#REF!),"NA",IF(OR(#REF!/#REF!&gt;2,#REF!/#REF!&lt;0.5),"NM",#REF!/#REF!*100-100))</f>
        <v>NA</v>
      </c>
      <c r="BB484" s="55">
        <f>C484+E484+G484+I484</f>
        <v>-29.9</v>
      </c>
      <c r="BC484" s="9" t="str">
        <f>IF(ISERROR(BB484/#REF!),"NA",IF(OR(BB484/#REF!&gt;2,BB484/#REF!&lt;0.5),"NM",BB484/#REF!*100-100))</f>
        <v>NA</v>
      </c>
      <c r="BD484" s="908">
        <f>K484+M484+O484+Q484</f>
        <v>-27.6</v>
      </c>
      <c r="BE484" s="9">
        <f t="shared" si="2388"/>
        <v>-7.6923076923076934</v>
      </c>
      <c r="BF484" s="55">
        <f>S484+U484+W484+Y484</f>
        <v>-32.400000000000006</v>
      </c>
      <c r="BG484" s="9">
        <f t="shared" si="2388"/>
        <v>17.391304347826093</v>
      </c>
      <c r="BH484" s="55">
        <f>AA484+AC484+AE484+AG484</f>
        <v>-30.200000000000003</v>
      </c>
      <c r="BI484" s="9">
        <f t="shared" si="2388"/>
        <v>-6.790123456790127</v>
      </c>
      <c r="BJ484" s="55">
        <f>AI484+AK484+AM484+AO484</f>
        <v>-32.799999999999997</v>
      </c>
      <c r="BK484" s="9">
        <f t="shared" si="2388"/>
        <v>8.6092715231787906</v>
      </c>
      <c r="BL484" s="55">
        <f>AQ484+AS484+AU484+AW484</f>
        <v>-30.020049649217484</v>
      </c>
      <c r="BM484" s="9">
        <f t="shared" si="2388"/>
        <v>-8.4754583865320541</v>
      </c>
      <c r="BN484" s="691">
        <f>BN491*BN$479/100</f>
        <v>-34.383906314968186</v>
      </c>
      <c r="BO484" s="9">
        <f t="shared" si="2388"/>
        <v>14.536473845786773</v>
      </c>
      <c r="BP484" s="691">
        <f>BP491*BP$479/100</f>
        <v>-36.745530693209851</v>
      </c>
      <c r="BQ484" s="9">
        <f t="shared" si="2388"/>
        <v>6.8684004563309031</v>
      </c>
      <c r="BR484" s="691">
        <f>BR491*BR$479/100</f>
        <v>-39.270206324738126</v>
      </c>
      <c r="BS484" s="9">
        <f t="shared" si="2388"/>
        <v>6.8707012360412136</v>
      </c>
      <c r="BT484" s="691">
        <f>BT491*BT$479/100</f>
        <v>-41.969233674623567</v>
      </c>
      <c r="BU484" s="9">
        <f t="shared" si="2389"/>
        <v>6.8729645257432708</v>
      </c>
      <c r="BV484" s="43">
        <f>IF(ISERROR(((BT484/BJ484)^0.2-1)*100),"NA",IF((((BT484/BJ484)^0.2-1)*100)&gt;100,"NM",IF((((BT484/BJ484)^0.2-1)*100)&lt;-50,"NM",((BT484/BJ484)^0.2-1)*100)))</f>
        <v>5.0537208610435647</v>
      </c>
      <c r="BW484" s="722"/>
      <c r="BX484" s="722"/>
      <c r="BY484"/>
      <c r="BZ484"/>
      <c r="CA484"/>
      <c r="CB484"/>
      <c r="CC484"/>
      <c r="CD484"/>
    </row>
    <row r="485" spans="1:83" s="2" customFormat="1" ht="12.75" customHeight="1" x14ac:dyDescent="0.2">
      <c r="A485" s="41"/>
      <c r="B485" s="62" t="s">
        <v>481</v>
      </c>
      <c r="C485" s="653">
        <f>2.9+90.9</f>
        <v>93.800000000000011</v>
      </c>
      <c r="D485" s="9" t="str">
        <f>IF(ISERROR(C485/#REF!),"NA",IF(OR(C485/#REF!&gt;2,C485/#REF!&lt;0.5),"NM",C485/#REF!*100-100))</f>
        <v>NA</v>
      </c>
      <c r="E485" s="653">
        <f>2.8+89.5</f>
        <v>92.3</v>
      </c>
      <c r="F485" s="9" t="str">
        <f>IF(ISERROR(E485/#REF!),"NA",IF(OR(E485/#REF!&gt;2,E485/#REF!&lt;0.5),"NM",E485/#REF!*100-100))</f>
        <v>NA</v>
      </c>
      <c r="G485" s="653">
        <f>2.6+84</f>
        <v>86.6</v>
      </c>
      <c r="H485" s="9" t="str">
        <f>IF(ISERROR(G485/#REF!),"NA",IF(OR(G485/#REF!&gt;2,G485/#REF!&lt;0.5),"NM",G485/#REF!*100-100))</f>
        <v>NA</v>
      </c>
      <c r="I485" s="653">
        <f>2.5+93.1</f>
        <v>95.6</v>
      </c>
      <c r="J485" s="9" t="str">
        <f>IF(ISERROR(I485/#REF!),"NA",IF(OR(I485/#REF!&gt;2,I485/#REF!&lt;0.5),"NM",I485/#REF!*100-100))</f>
        <v>NA</v>
      </c>
      <c r="K485" s="653">
        <f>2.8+87.8</f>
        <v>90.6</v>
      </c>
      <c r="L485" s="9">
        <f>IF(ISERROR(K485/C485),"NA",IF(OR(K485/C485&gt;2,K485/C485&lt;0.5),"NM",K485/C485*100-100))</f>
        <v>-3.4115138592750753</v>
      </c>
      <c r="M485" s="653">
        <f>2.9+90.1</f>
        <v>93</v>
      </c>
      <c r="N485" s="9">
        <f>IF(ISERROR(M485/E485),"NA",IF(OR(M485/E485&gt;2,M485/E485&lt;0.5),"NM",M485/E485*100-100))</f>
        <v>0.75839653304441867</v>
      </c>
      <c r="O485" s="653">
        <f>3.2+94.4</f>
        <v>97.600000000000009</v>
      </c>
      <c r="P485" s="43">
        <f t="shared" si="2331"/>
        <v>12.702078521939967</v>
      </c>
      <c r="Q485" s="653">
        <f>3.1+97.1</f>
        <v>100.19999999999999</v>
      </c>
      <c r="R485" s="43">
        <f t="shared" si="2331"/>
        <v>4.8117154811715466</v>
      </c>
      <c r="S485" s="653">
        <f>3.1+97.7</f>
        <v>100.8</v>
      </c>
      <c r="T485" s="43">
        <f t="shared" si="2331"/>
        <v>11.258278145695371</v>
      </c>
      <c r="U485" s="653">
        <f>3.3+96.8</f>
        <v>100.1</v>
      </c>
      <c r="V485" s="43">
        <f t="shared" si="2331"/>
        <v>7.6344086021505291</v>
      </c>
      <c r="W485" s="653">
        <f>3.3+99</f>
        <v>102.3</v>
      </c>
      <c r="X485" s="43">
        <f t="shared" si="2332"/>
        <v>4.8155737704917954</v>
      </c>
      <c r="Y485" s="653">
        <f>3.3+104.6</f>
        <v>107.89999999999999</v>
      </c>
      <c r="Z485" s="43">
        <f t="shared" si="2346"/>
        <v>7.6846307385229693</v>
      </c>
      <c r="AA485" s="653">
        <f>3.5+104.8</f>
        <v>108.3</v>
      </c>
      <c r="AB485" s="43">
        <f t="shared" si="2347"/>
        <v>7.4404761904761898</v>
      </c>
      <c r="AC485" s="653">
        <f>3.8+103.8</f>
        <v>107.6</v>
      </c>
      <c r="AD485" s="43">
        <f t="shared" si="2348"/>
        <v>7.4925074925074995</v>
      </c>
      <c r="AE485" s="653">
        <f>3.8+91.9</f>
        <v>95.7</v>
      </c>
      <c r="AF485" s="43">
        <f t="shared" si="2349"/>
        <v>-6.4516129032257936</v>
      </c>
      <c r="AG485" s="653">
        <f>4+110.6</f>
        <v>114.6</v>
      </c>
      <c r="AH485" s="9">
        <f>IF(ISERROR(AG485/Y485),"NA",IF(OR(AG485/Y485&gt;2,AG485/Y485&lt;0.5),"NM",AG485/Y485*100-100))</f>
        <v>6.2094531974049971</v>
      </c>
      <c r="AI485" s="653">
        <f>3.8+114.7</f>
        <v>118.5</v>
      </c>
      <c r="AJ485" s="9">
        <f t="shared" si="2379"/>
        <v>9.418282548476455</v>
      </c>
      <c r="AK485" s="653">
        <f>4.2+109.5</f>
        <v>113.7</v>
      </c>
      <c r="AL485" s="9">
        <f t="shared" si="2380"/>
        <v>5.6691449814126429</v>
      </c>
      <c r="AM485" s="653">
        <f>4.3+107.9</f>
        <v>112.2</v>
      </c>
      <c r="AN485" s="9">
        <f t="shared" si="2381"/>
        <v>17.241379310344811</v>
      </c>
      <c r="AO485" s="653">
        <f>4.1+122.5</f>
        <v>126.6</v>
      </c>
      <c r="AP485" s="9">
        <f t="shared" si="2382"/>
        <v>10.471204188481693</v>
      </c>
      <c r="AQ485" s="691">
        <f t="shared" si="2390"/>
        <v>126.42817691579943</v>
      </c>
      <c r="AR485" s="9">
        <f t="shared" si="2384"/>
        <v>6.6904446546830627</v>
      </c>
      <c r="AS485" s="691">
        <f t="shared" si="2390"/>
        <v>121.33650083752096</v>
      </c>
      <c r="AT485" s="9">
        <f t="shared" si="2385"/>
        <v>6.7163595756560852</v>
      </c>
      <c r="AU485" s="691">
        <f t="shared" si="2390"/>
        <v>122.10563399454647</v>
      </c>
      <c r="AV485" s="9">
        <f t="shared" si="2386"/>
        <v>8.8285507972784956</v>
      </c>
      <c r="AW485" s="691">
        <f t="shared" si="2390"/>
        <v>123.99880321850574</v>
      </c>
      <c r="AX485" s="9">
        <f t="shared" si="2387"/>
        <v>-2.054657805287718</v>
      </c>
      <c r="AY485" s="287"/>
      <c r="AZ485" s="64"/>
      <c r="BA485" s="9" t="str">
        <f>IF(ISERROR(#REF!/#REF!),"NA",IF(OR(#REF!/#REF!&gt;2,#REF!/#REF!&lt;0.5),"NM",#REF!/#REF!*100-100))</f>
        <v>NA</v>
      </c>
      <c r="BB485" s="55">
        <f>C485+E485+G485+I485</f>
        <v>368.30000000000007</v>
      </c>
      <c r="BC485" s="9" t="str">
        <f>IF(ISERROR(BB485/#REF!),"NA",IF(OR(BB485/#REF!&gt;2,BB485/#REF!&lt;0.5),"NM",BB485/#REF!*100-100))</f>
        <v>NA</v>
      </c>
      <c r="BD485" s="908">
        <f>K485+M485+O485+Q485</f>
        <v>381.4</v>
      </c>
      <c r="BE485" s="9">
        <f t="shared" si="2388"/>
        <v>3.5568829758348954</v>
      </c>
      <c r="BF485" s="55">
        <f>S485+U485+W485+Y485</f>
        <v>411.09999999999997</v>
      </c>
      <c r="BG485" s="9">
        <f t="shared" si="2388"/>
        <v>7.7871001573151659</v>
      </c>
      <c r="BH485" s="55">
        <f>AA485+AC485+AE485+AG485</f>
        <v>426.19999999999993</v>
      </c>
      <c r="BI485" s="9">
        <f t="shared" si="2388"/>
        <v>3.6730722451958115</v>
      </c>
      <c r="BJ485" s="55">
        <f>AI485+AK485+AM485+AO485</f>
        <v>471</v>
      </c>
      <c r="BK485" s="9">
        <f t="shared" si="2388"/>
        <v>10.511496949788864</v>
      </c>
      <c r="BL485" s="55">
        <f>AQ485+AS485+AU485+AW485</f>
        <v>493.86911496637254</v>
      </c>
      <c r="BM485" s="9">
        <f t="shared" si="2388"/>
        <v>4.8554384217351441</v>
      </c>
      <c r="BN485" s="691">
        <f>BN492*BN$479/100</f>
        <v>527.77847295497816</v>
      </c>
      <c r="BO485" s="9">
        <f t="shared" si="2388"/>
        <v>6.8660616671513424</v>
      </c>
      <c r="BP485" s="691">
        <f>BP492*BP$479/100</f>
        <v>564.02841199983413</v>
      </c>
      <c r="BQ485" s="9">
        <f t="shared" si="2388"/>
        <v>6.8684004563309031</v>
      </c>
      <c r="BR485" s="691">
        <f>BR492*BR$479/100</f>
        <v>602.78111907473044</v>
      </c>
      <c r="BS485" s="9">
        <f t="shared" si="2388"/>
        <v>6.8707012360412278</v>
      </c>
      <c r="BT485" s="691">
        <f>BT492*BT$479/100</f>
        <v>644.21005155661487</v>
      </c>
      <c r="BU485" s="9">
        <f t="shared" si="2389"/>
        <v>6.8729645257432708</v>
      </c>
      <c r="BV485" s="43">
        <f>IF(ISERROR(((BT485/BJ485)^0.2-1)*100),"NA",IF((((BT485/BJ485)^0.2-1)*100)&gt;100,"NM",IF((((BT485/BJ485)^0.2-1)*100)&lt;-50,"NM",((BT485/BJ485)^0.2-1)*100)))</f>
        <v>6.4636417850260752</v>
      </c>
      <c r="BW485" s="722"/>
      <c r="BX485" s="722"/>
      <c r="BY485"/>
      <c r="BZ485"/>
      <c r="CA485"/>
      <c r="CB485"/>
      <c r="CC485"/>
      <c r="CD485"/>
    </row>
    <row r="486" spans="1:83" s="2" customFormat="1" ht="12.75" customHeight="1" x14ac:dyDescent="0.2">
      <c r="A486" s="66"/>
      <c r="B486" s="67" t="s">
        <v>484</v>
      </c>
      <c r="C486" s="69">
        <f>SUM(C482,C483,C484,C485)</f>
        <v>366.6</v>
      </c>
      <c r="D486" s="9" t="str">
        <f>IF(ISERROR(C486/#REF!),"NA",IF(OR(C486/#REF!&gt;2,C486/#REF!&lt;0.5),"NM",C486/#REF!*100-100))</f>
        <v>NA</v>
      </c>
      <c r="E486" s="69">
        <f>SUM(E482,E483,E484,E485)</f>
        <v>365.6</v>
      </c>
      <c r="F486" s="9" t="str">
        <f>IF(ISERROR(E486/#REF!),"NA",IF(OR(E486/#REF!&gt;2,E486/#REF!&lt;0.5),"NM",E486/#REF!*100-100))</f>
        <v>NA</v>
      </c>
      <c r="G486" s="69">
        <f>SUM(G482,G483,G484,G485)</f>
        <v>356.29999999999995</v>
      </c>
      <c r="H486" s="9" t="str">
        <f>IF(ISERROR(G486/#REF!),"NA",IF(OR(G486/#REF!&gt;2,G486/#REF!&lt;0.5),"NM",G486/#REF!*100-100))</f>
        <v>NA</v>
      </c>
      <c r="I486" s="69">
        <f>SUM(I482,I483,I484,I485)</f>
        <v>373.30000000000007</v>
      </c>
      <c r="J486" s="9" t="str">
        <f>IF(ISERROR(I486/#REF!),"NA",IF(OR(I486/#REF!&gt;2,I486/#REF!&lt;0.5),"NM",I486/#REF!*100-100))</f>
        <v>NA</v>
      </c>
      <c r="K486" s="69">
        <f>SUM(K482,K483,K484,K485)</f>
        <v>379.69999999999993</v>
      </c>
      <c r="L486" s="9">
        <f>IF(ISERROR(K486/C486),"NA",IF(OR(K486/C486&gt;2,K486/C486&lt;0.5),"NM",K486/C486*100-100))</f>
        <v>3.5733769776322646</v>
      </c>
      <c r="M486" s="69">
        <f>SUM(M482,M483,M484,M485)</f>
        <v>383.9</v>
      </c>
      <c r="N486" s="9">
        <f>IF(ISERROR(M486/E486),"NA",IF(OR(M486/E486&gt;2,M486/E486&lt;0.5),"NM",M486/E486*100-100))</f>
        <v>5.0054704595185768</v>
      </c>
      <c r="O486" s="69">
        <f>SUM(O482,O483,O484,O485)</f>
        <v>389.7</v>
      </c>
      <c r="P486" s="43">
        <f t="shared" si="2331"/>
        <v>9.3741229301150781</v>
      </c>
      <c r="Q486" s="69">
        <f>SUM(Q482,Q483,Q484,Q485)</f>
        <v>394.59999999999997</v>
      </c>
      <c r="R486" s="43">
        <f t="shared" si="2331"/>
        <v>5.7058665952316971</v>
      </c>
      <c r="S486" s="69">
        <f>SUM(S482,S483,S484,S485)</f>
        <v>419.49999999999994</v>
      </c>
      <c r="T486" s="43">
        <f t="shared" si="2331"/>
        <v>10.481959441664486</v>
      </c>
      <c r="U486" s="69">
        <f>SUM(U482,U483,U484,U485)</f>
        <v>413.29999999999995</v>
      </c>
      <c r="V486" s="43">
        <f t="shared" si="2331"/>
        <v>7.658244334462097</v>
      </c>
      <c r="W486" s="69">
        <f t="shared" ref="W486:Y486" si="2391">SUM(W482,W483,W484,W485)</f>
        <v>398.20000000000005</v>
      </c>
      <c r="X486" s="43">
        <f t="shared" si="2332"/>
        <v>2.1811649987169659</v>
      </c>
      <c r="Y486" s="69">
        <f t="shared" si="2391"/>
        <v>416.7</v>
      </c>
      <c r="Z486" s="43">
        <f t="shared" si="2346"/>
        <v>5.6006082108464312</v>
      </c>
      <c r="AA486" s="69">
        <f t="shared" ref="AA486:AC486" si="2392">SUM(AA482,AA483,AA484,AA485)</f>
        <v>444.3</v>
      </c>
      <c r="AB486" s="43">
        <f t="shared" si="2347"/>
        <v>5.9117997616209976</v>
      </c>
      <c r="AC486" s="69">
        <f t="shared" si="2392"/>
        <v>431.69999999999993</v>
      </c>
      <c r="AD486" s="43">
        <f t="shared" si="2348"/>
        <v>4.4519719332204204</v>
      </c>
      <c r="AE486" s="69">
        <f t="shared" ref="AE486:AG486" si="2393">SUM(AE482,AE483,AE484,AE485)</f>
        <v>436.99999999999994</v>
      </c>
      <c r="AF486" s="43">
        <f t="shared" si="2349"/>
        <v>9.743847312908045</v>
      </c>
      <c r="AG486" s="69">
        <f t="shared" si="2393"/>
        <v>447.5</v>
      </c>
      <c r="AH486" s="9">
        <f>IF(ISERROR(AG486/Y486),"NA",IF(OR(AG486/Y486&gt;2,AG486/Y486&lt;0.5),"NM",AG486/Y486*100-100))</f>
        <v>7.3914086873050167</v>
      </c>
      <c r="AI486" s="69">
        <f t="shared" ref="AI486:AK486" si="2394">SUM(AI482,AI483,AI484,AI485)</f>
        <v>483</v>
      </c>
      <c r="AJ486" s="9">
        <f t="shared" si="2379"/>
        <v>8.7103308575287031</v>
      </c>
      <c r="AK486" s="69">
        <f t="shared" si="2394"/>
        <v>473.7</v>
      </c>
      <c r="AL486" s="9">
        <f t="shared" si="2380"/>
        <v>9.728978457261988</v>
      </c>
      <c r="AM486" s="69">
        <f t="shared" ref="AM486:AO486" si="2395">SUM(AM482,AM483,AM484,AM485)</f>
        <v>466.3</v>
      </c>
      <c r="AN486" s="9">
        <f t="shared" si="2381"/>
        <v>6.7048054919908679</v>
      </c>
      <c r="AO486" s="69">
        <f t="shared" si="2395"/>
        <v>493.30000000000007</v>
      </c>
      <c r="AP486" s="9">
        <f t="shared" si="2382"/>
        <v>10.234636871508386</v>
      </c>
      <c r="AQ486" s="69">
        <f t="shared" ref="AQ486:AW486" si="2396">SUM(AQ482:AQ485)</f>
        <v>507.40098071504389</v>
      </c>
      <c r="AR486" s="9">
        <f t="shared" si="2384"/>
        <v>5.0519628809614545</v>
      </c>
      <c r="AS486" s="69">
        <f t="shared" si="2396"/>
        <v>507.63711011976602</v>
      </c>
      <c r="AT486" s="9">
        <f t="shared" si="2385"/>
        <v>7.1642622165433778</v>
      </c>
      <c r="AU486" s="69">
        <f t="shared" si="2396"/>
        <v>511.90268026545857</v>
      </c>
      <c r="AV486" s="9">
        <f t="shared" si="2386"/>
        <v>9.7796869537762205</v>
      </c>
      <c r="AW486" s="69">
        <f t="shared" si="2396"/>
        <v>513.32456604995025</v>
      </c>
      <c r="AX486" s="9">
        <f t="shared" si="2387"/>
        <v>4.0593079363369498</v>
      </c>
      <c r="AY486" s="287"/>
      <c r="AZ486" s="68"/>
      <c r="BA486" s="9" t="str">
        <f>IF(ISERROR(#REF!/#REF!),"NA",IF(OR(#REF!/#REF!&gt;2,#REF!/#REF!&lt;0.5),"NM",#REF!/#REF!*100-100))</f>
        <v>NA</v>
      </c>
      <c r="BB486" s="708">
        <f>BB482+BB483+BB484+BB485</f>
        <v>1461.8000000000002</v>
      </c>
      <c r="BC486" s="9" t="str">
        <f>IF(ISERROR(BB486/#REF!),"NA",IF(OR(BB486/#REF!&gt;2,BB486/#REF!&lt;0.5),"NM",BB486/#REF!*100-100))</f>
        <v>NA</v>
      </c>
      <c r="BD486" s="944">
        <f t="shared" ref="BD486:BP486" si="2397">BD482+BD483+BD484+BD485</f>
        <v>1547.9</v>
      </c>
      <c r="BE486" s="9">
        <f t="shared" si="2388"/>
        <v>5.8899986318237723</v>
      </c>
      <c r="BF486" s="708">
        <f t="shared" si="2397"/>
        <v>1647.6999999999998</v>
      </c>
      <c r="BG486" s="9">
        <f t="shared" si="2388"/>
        <v>6.4474449253827686</v>
      </c>
      <c r="BH486" s="708">
        <f t="shared" si="2397"/>
        <v>1760.5</v>
      </c>
      <c r="BI486" s="9">
        <f t="shared" si="2388"/>
        <v>6.8459064150027302</v>
      </c>
      <c r="BJ486" s="708">
        <f t="shared" ref="BJ486" si="2398">BJ482+BJ483+BJ484+BJ485</f>
        <v>1916.3000000000002</v>
      </c>
      <c r="BK486" s="9">
        <f t="shared" si="2388"/>
        <v>8.8497585913092962</v>
      </c>
      <c r="BL486" s="708">
        <f t="shared" ref="BL486" si="2399">BL482+BL483+BL484+BL485</f>
        <v>2040.2653371502186</v>
      </c>
      <c r="BM486" s="9">
        <f t="shared" si="2388"/>
        <v>6.4689942676104124</v>
      </c>
      <c r="BN486" s="708">
        <f t="shared" si="2397"/>
        <v>2184.7878922813879</v>
      </c>
      <c r="BO486" s="9">
        <f t="shared" si="2388"/>
        <v>7.0835176434960232</v>
      </c>
      <c r="BP486" s="708">
        <f t="shared" si="2397"/>
        <v>2344.5015429647992</v>
      </c>
      <c r="BQ486" s="9">
        <f t="shared" si="2388"/>
        <v>7.310258869872996</v>
      </c>
      <c r="BR486" s="708">
        <f t="shared" ref="BR486:BT486" si="2400">BR482+BR483+BR484+BR485</f>
        <v>2515.8826301716726</v>
      </c>
      <c r="BS486" s="9">
        <f t="shared" si="2388"/>
        <v>7.3099157354424023</v>
      </c>
      <c r="BT486" s="708">
        <f t="shared" si="2400"/>
        <v>2699.7826474319427</v>
      </c>
      <c r="BU486" s="9">
        <f t="shared" si="2389"/>
        <v>7.3095626582437774</v>
      </c>
      <c r="BV486" s="43">
        <f>IF(ISERROR(((BT486/BJ486)^0.2-1)*100),"NA",IF((((BT486/BJ486)^0.2-1)*100)&gt;100,"NM",IF((((BT486/BJ486)^0.2-1)*100)&lt;-50,"NM",((BT486/BJ486)^0.2-1)*100)))</f>
        <v>7.0959531529841913</v>
      </c>
      <c r="BW486" s="722"/>
      <c r="BX486" s="722"/>
      <c r="BY486"/>
      <c r="BZ486"/>
      <c r="CA486"/>
      <c r="CB486"/>
      <c r="CC486"/>
      <c r="CD486"/>
    </row>
    <row r="487" spans="1:83" s="139" customFormat="1" ht="12.75" customHeight="1" x14ac:dyDescent="0.2">
      <c r="A487" s="146"/>
      <c r="B487" s="147"/>
      <c r="C487" s="148"/>
      <c r="D487" s="150"/>
      <c r="E487" s="54"/>
      <c r="F487" s="150"/>
      <c r="G487" s="54"/>
      <c r="H487" s="150"/>
      <c r="I487" s="148"/>
      <c r="J487" s="150"/>
      <c r="K487" s="148"/>
      <c r="L487" s="150"/>
      <c r="M487" s="148"/>
      <c r="N487" s="150"/>
      <c r="O487" s="148"/>
      <c r="P487" s="43"/>
      <c r="Q487" s="148"/>
      <c r="R487" s="43"/>
      <c r="S487" s="148"/>
      <c r="T487" s="43"/>
      <c r="U487" s="148"/>
      <c r="V487" s="43"/>
      <c r="W487" s="148"/>
      <c r="X487" s="43"/>
      <c r="Y487" s="148"/>
      <c r="Z487" s="43"/>
      <c r="AA487" s="148"/>
      <c r="AB487" s="43"/>
      <c r="AC487" s="148"/>
      <c r="AD487" s="43"/>
      <c r="AE487" s="148"/>
      <c r="AF487" s="43"/>
      <c r="AG487" s="148"/>
      <c r="AH487" s="150"/>
      <c r="AI487" s="148"/>
      <c r="AJ487" s="150"/>
      <c r="AK487" s="148"/>
      <c r="AL487" s="150"/>
      <c r="AM487" s="148"/>
      <c r="AN487" s="150"/>
      <c r="AO487" s="148"/>
      <c r="AP487" s="150"/>
      <c r="AQ487" s="148"/>
      <c r="AR487" s="150"/>
      <c r="AS487" s="148"/>
      <c r="AT487" s="150"/>
      <c r="AU487" s="148"/>
      <c r="AV487" s="150"/>
      <c r="AW487" s="148"/>
      <c r="AX487" s="150"/>
      <c r="AY487" s="287"/>
      <c r="AZ487" s="149"/>
      <c r="BA487" s="150"/>
      <c r="BB487" s="696"/>
      <c r="BC487" s="9"/>
      <c r="BD487" s="923"/>
      <c r="BE487" s="9"/>
      <c r="BF487" s="696"/>
      <c r="BG487" s="9"/>
      <c r="BH487" s="696"/>
      <c r="BI487" s="9"/>
      <c r="BJ487" s="696"/>
      <c r="BK487" s="9"/>
      <c r="BL487" s="696"/>
      <c r="BM487" s="9"/>
      <c r="BN487" s="148"/>
      <c r="BO487" s="9"/>
      <c r="BP487" s="148"/>
      <c r="BQ487" s="9"/>
      <c r="BR487" s="148"/>
      <c r="BS487" s="9"/>
      <c r="BT487" s="148"/>
      <c r="BU487" s="9"/>
      <c r="BV487" s="151"/>
      <c r="BW487" s="151"/>
      <c r="BX487" s="151"/>
      <c r="BY487"/>
      <c r="BZ487"/>
      <c r="CA487"/>
      <c r="CB487"/>
      <c r="CC487"/>
      <c r="CD487"/>
      <c r="CE487" s="2"/>
    </row>
    <row r="488" spans="1:83" s="2" customFormat="1" ht="12.75" customHeight="1" x14ac:dyDescent="0.2">
      <c r="A488" s="41"/>
      <c r="B488" s="62" t="s">
        <v>499</v>
      </c>
      <c r="C488" s="701">
        <f>+C482/C$477*100</f>
        <v>66.430324515953103</v>
      </c>
      <c r="D488" s="9" t="str">
        <f>IF(ISERROR(C488/#REF!),"NA",IF(OR(C488/#REF!&gt;2,C488/#REF!&lt;0.5),"NM",C488/#REF!*100-100))</f>
        <v>NA</v>
      </c>
      <c r="E488" s="701">
        <f>+E482/E$477*100</f>
        <v>65.753424657534239</v>
      </c>
      <c r="F488" s="9" t="str">
        <f>IF(ISERROR(E488/#REF!),"NA",IF(OR(E488/#REF!&gt;2,E488/#REF!&lt;0.5),"NM",E488/#REF!*100-100))</f>
        <v>NA</v>
      </c>
      <c r="G488" s="701">
        <f>+G482/G$477*100</f>
        <v>65.017477816617372</v>
      </c>
      <c r="H488" s="9" t="str">
        <f>IF(ISERROR(G488/#REF!),"NA",IF(OR(G488/#REF!&gt;2,G488/#REF!&lt;0.5),"NM",G488/#REF!*100-100))</f>
        <v>NA</v>
      </c>
      <c r="I488" s="701">
        <f>+I482/I$477*100</f>
        <v>64.772132006286014</v>
      </c>
      <c r="J488" s="9" t="str">
        <f>IF(ISERROR(I488/#REF!),"NA",IF(OR(I488/#REF!&gt;2,I488/#REF!&lt;0.5),"NM",I488/#REF!*100-100))</f>
        <v>NA</v>
      </c>
      <c r="K488" s="701">
        <f>+K482/K$477*100</f>
        <v>67.17735653077122</v>
      </c>
      <c r="L488" s="85">
        <f>IF(ISERROR(K488/C488),"NA",IF(OR(K488/C488&gt;2,K488/C488&lt;0.5),"NM",K488/C488*100-100))</f>
        <v>1.1245346462799688</v>
      </c>
      <c r="M488" s="701">
        <f>+M482/M$477*100</f>
        <v>65.636870093694611</v>
      </c>
      <c r="N488" s="85">
        <f>IF(ISERROR(M488/E488),"NA",IF(OR(M488/E488&gt;2,M488/E488&lt;0.5),"NM",M488/E488*100-100))</f>
        <v>-0.17726006583943388</v>
      </c>
      <c r="O488" s="701">
        <f>+O482/O$477*100</f>
        <v>64.107627746235494</v>
      </c>
      <c r="P488" s="43">
        <f t="shared" si="2331"/>
        <v>-1.3993930569686626</v>
      </c>
      <c r="Q488" s="701">
        <f>+Q482/Q$477*100</f>
        <v>64.312084666502585</v>
      </c>
      <c r="R488" s="43">
        <f t="shared" si="2331"/>
        <v>-0.71025505187752458</v>
      </c>
      <c r="S488" s="701">
        <f>+S482/S$477*100</f>
        <v>62.764003673094571</v>
      </c>
      <c r="T488" s="43">
        <f t="shared" si="2331"/>
        <v>-6.569703074956621</v>
      </c>
      <c r="U488" s="701">
        <f>+U482/U$477*100</f>
        <v>64.759458197104152</v>
      </c>
      <c r="V488" s="43">
        <f t="shared" si="2331"/>
        <v>-1.3367668131310637</v>
      </c>
      <c r="W488" s="701">
        <f t="shared" ref="W488:Y488" si="2401">+W482/W$477*100</f>
        <v>59.962756052141529</v>
      </c>
      <c r="X488" s="43">
        <f t="shared" si="2332"/>
        <v>-6.46548911543114</v>
      </c>
      <c r="Y488" s="701">
        <f t="shared" si="2401"/>
        <v>61.498178506375233</v>
      </c>
      <c r="Z488" s="43">
        <f t="shared" si="2346"/>
        <v>-4.3753925482577216</v>
      </c>
      <c r="AA488" s="701">
        <f t="shared" ref="AA488:AC488" si="2402">+AA482/AA$477*100</f>
        <v>66.08850344674228</v>
      </c>
      <c r="AB488" s="43">
        <f t="shared" si="2347"/>
        <v>5.2968255354826113</v>
      </c>
      <c r="AC488" s="701">
        <f t="shared" si="2402"/>
        <v>61.223610512710025</v>
      </c>
      <c r="AD488" s="43">
        <f t="shared" si="2348"/>
        <v>-5.4599710726922694</v>
      </c>
      <c r="AE488" s="701">
        <f t="shared" ref="AE488:AG488" si="2403">+AE482/AE$477*100</f>
        <v>64.564244619646288</v>
      </c>
      <c r="AF488" s="43">
        <f t="shared" si="2349"/>
        <v>7.6739110582299901</v>
      </c>
      <c r="AG488" s="701">
        <f t="shared" si="2403"/>
        <v>61.13546232519306</v>
      </c>
      <c r="AH488" s="9">
        <f>IF(ISERROR(AG488/Y488),"NA",IF(OR(AG488/Y488&gt;2,AG488/Y488&lt;0.5),"NM",AG488/Y488*100-100))</f>
        <v>-0.58979987699078151</v>
      </c>
      <c r="AI488" s="701">
        <f t="shared" ref="AI488:AK488" si="2404">+AI482/AI$477*100</f>
        <v>65.976210008203452</v>
      </c>
      <c r="AJ488" s="9">
        <f t="shared" ref="AJ488:AJ492" si="2405">IF(ISERROR(AI488/AA488),"NA",IF(OR(AI488/AA488&gt;2,AI488/AA488&lt;0.5),"NM",AI488/AA488*100-100))</f>
        <v>-0.16991372581060205</v>
      </c>
      <c r="AK488" s="701">
        <f t="shared" si="2404"/>
        <v>63.361378205128204</v>
      </c>
      <c r="AL488" s="9">
        <f t="shared" ref="AL488:AL492" si="2406">IF(ISERROR(AK488/AC488),"NA",IF(OR(AK488/AC488&gt;2,AK488/AC488&lt;0.5),"NM",AK488/AC488*100-100))</f>
        <v>3.4917373779750847</v>
      </c>
      <c r="AM488" s="701">
        <f t="shared" ref="AM488:AO488" si="2407">+AM482/AM$477*100</f>
        <v>60.365972357407053</v>
      </c>
      <c r="AN488" s="9">
        <f t="shared" ref="AN488:AN492" si="2408">IF(ISERROR(AM488/AE488),"NA",IF(OR(AM488/AE488&gt;2,AM488/AE488&lt;0.5),"NM",AM488/AE488*100-100))</f>
        <v>-6.5024725170589903</v>
      </c>
      <c r="AO488" s="701">
        <f t="shared" si="2407"/>
        <v>61.525163273146369</v>
      </c>
      <c r="AP488" s="9">
        <f t="shared" ref="AP488:AP492" si="2409">IF(ISERROR(AO488/AG488),"NA",IF(OR(AO488/AG488&gt;2,AO488/AG488&lt;0.5),"NM",AO488/AG488*100-100))</f>
        <v>0.63743845737258198</v>
      </c>
      <c r="AQ488" s="152">
        <v>64</v>
      </c>
      <c r="AR488" s="9">
        <f t="shared" ref="AR488:AR492" si="2410">IF(ISERROR(AQ488/AI488),"NA",IF(OR(AQ488/AI488&gt;2,AQ488/AI488&lt;0.5),"NM",AQ488/AI488*100-100))</f>
        <v>-2.995337270749161</v>
      </c>
      <c r="AS488" s="152">
        <f>AK488</f>
        <v>63.361378205128204</v>
      </c>
      <c r="AT488" s="9">
        <f t="shared" ref="AT488:AT492" si="2411">IF(ISERROR(AS488/AK488),"NA",IF(OR(AS488/AK488&gt;2,AS488/AK488&lt;0.5),"NM",AS488/AK488*100-100))</f>
        <v>0</v>
      </c>
      <c r="AU488" s="152">
        <v>62</v>
      </c>
      <c r="AV488" s="9">
        <f t="shared" ref="AV488:AV492" si="2412">IF(ISERROR(AU488/AM488),"NA",IF(OR(AU488/AM488&gt;2,AU488/AM488&lt;0.5),"NM",AU488/AM488*100-100))</f>
        <v>2.7068687520154668</v>
      </c>
      <c r="AW488" s="152">
        <v>61</v>
      </c>
      <c r="AX488" s="9">
        <f t="shared" ref="AX488:AX492" si="2413">IF(ISERROR(AW488/AO488),"NA",IF(OR(AW488/AO488&gt;2,AW488/AO488&lt;0.5),"NM",AW488/AO488*100-100))</f>
        <v>-0.85357477364969725</v>
      </c>
      <c r="AY488" s="287"/>
      <c r="AZ488" s="59"/>
      <c r="BA488" s="9" t="str">
        <f>IF(ISERROR(#REF!/#REF!),"NA",IF(OR(#REF!/#REF!&gt;2,#REF!/#REF!&lt;0.5),"NM",#REF!/#REF!*100-100))</f>
        <v>NA</v>
      </c>
      <c r="BB488" s="701">
        <f>+BB482/BB$477*100</f>
        <v>65.485362095531585</v>
      </c>
      <c r="BC488" s="9" t="str">
        <f>IF(ISERROR(BB488/#REF!),"NA",IF(OR(BB488/#REF!&gt;2,BB488/#REF!&lt;0.5),"NM",BB488/#REF!*100-100))</f>
        <v>NA</v>
      </c>
      <c r="BD488" s="941">
        <f>+BD482/BD$477*100</f>
        <v>65.282141510619567</v>
      </c>
      <c r="BE488" s="9">
        <f t="shared" si="2388"/>
        <v>-0.31032978731269623</v>
      </c>
      <c r="BF488" s="701">
        <f>+BF482/BF$477*100</f>
        <v>62.241717649774905</v>
      </c>
      <c r="BG488" s="9">
        <f t="shared" si="2388"/>
        <v>-4.6573592570489808</v>
      </c>
      <c r="BH488" s="701">
        <f>+BH482/BH$477*100</f>
        <v>63.217526714278037</v>
      </c>
      <c r="BI488" s="9">
        <f t="shared" si="2388"/>
        <v>1.5677733541896544</v>
      </c>
      <c r="BJ488" s="701">
        <f>+BJ482/BJ$477*100</f>
        <v>62.757904111622388</v>
      </c>
      <c r="BK488" s="9">
        <f t="shared" si="2388"/>
        <v>-0.72704932721109117</v>
      </c>
      <c r="BL488" s="701">
        <f>+BL482/BL$477*100</f>
        <v>62.561179555687495</v>
      </c>
      <c r="BM488" s="9">
        <f t="shared" si="2388"/>
        <v>-0.3134657836644692</v>
      </c>
      <c r="BN488" s="152">
        <f>+BL488+0.2</f>
        <v>62.761179555687498</v>
      </c>
      <c r="BO488" s="9">
        <f t="shared" si="2388"/>
        <v>0.31968706699652216</v>
      </c>
      <c r="BP488" s="152">
        <f>+BN488+0.2</f>
        <v>62.961179555687501</v>
      </c>
      <c r="BQ488" s="9">
        <f t="shared" si="2388"/>
        <v>0.31866832557305713</v>
      </c>
      <c r="BR488" s="152">
        <f>+BP488+0.2</f>
        <v>63.161179555687504</v>
      </c>
      <c r="BS488" s="9">
        <f t="shared" si="2388"/>
        <v>0.31765605633724192</v>
      </c>
      <c r="BT488" s="152">
        <f>+BR488+0.2</f>
        <v>63.361179555687507</v>
      </c>
      <c r="BU488" s="9">
        <f t="shared" ref="BU488:BU492" si="2414">IF(ISERROR(BT488/BR488),"NA",IF(OR(BT488/BR488&gt;2,BT488/BR488&lt;0.5),"NM",BT488/BR488*100-100))</f>
        <v>0.31665019780649573</v>
      </c>
      <c r="BV488" s="43">
        <f>IF(ISERROR(((BT488/BJ488)^0.2-1)*100),"NA",IF((((BT488/BJ488)^0.2-1)*100)&gt;100,"NM",IF((((BT488/BJ488)^0.2-1)*100)&lt;-50,"NM",((BT488/BJ488)^0.2-1)*100)))</f>
        <v>0.19151980615650377</v>
      </c>
      <c r="BW488" s="722"/>
      <c r="BX488" s="722"/>
      <c r="BY488"/>
      <c r="BZ488"/>
      <c r="CA488"/>
      <c r="CB488"/>
      <c r="CC488"/>
      <c r="CD488"/>
    </row>
    <row r="489" spans="1:83" s="48" customFormat="1" ht="12.75" hidden="1" customHeight="1" outlineLevel="1" x14ac:dyDescent="0.2">
      <c r="A489" s="44"/>
      <c r="B489" s="301" t="s">
        <v>429</v>
      </c>
      <c r="C489" s="57">
        <f>C488</f>
        <v>66.430324515953103</v>
      </c>
      <c r="D489" s="46" t="str">
        <f>IF(ISERROR(C489/#REF!),"NA",IF(OR(C489/#REF!&gt;2,C489/#REF!&lt;0.5),"NM",C489/#REF!*100-100))</f>
        <v>NA</v>
      </c>
      <c r="E489" s="57">
        <f>E488</f>
        <v>65.753424657534239</v>
      </c>
      <c r="F489" s="46" t="str">
        <f>IF(ISERROR(E489/#REF!),"NA",IF(OR(E489/#REF!&gt;2,E489/#REF!&lt;0.5),"NM",E489/#REF!*100-100))</f>
        <v>NA</v>
      </c>
      <c r="G489" s="57">
        <f>G488</f>
        <v>65.017477816617372</v>
      </c>
      <c r="H489" s="46" t="str">
        <f>IF(ISERROR(G489/#REF!),"NA",IF(OR(G489/#REF!&gt;2,G489/#REF!&lt;0.5),"NM",G489/#REF!*100-100))</f>
        <v>NA</v>
      </c>
      <c r="I489" s="57">
        <f>I488</f>
        <v>64.772132006286014</v>
      </c>
      <c r="J489" s="9" t="str">
        <f>IF(ISERROR(I489/#REF!),"NA",IF(OR(I489/#REF!&gt;2,I489/#REF!&lt;0.5),"NM",I489/#REF!*100-100))</f>
        <v>NA</v>
      </c>
      <c r="K489" s="57">
        <f>K488</f>
        <v>67.17735653077122</v>
      </c>
      <c r="L489" s="85">
        <f>IF(ISERROR(K489/C489),"NA",IF(OR(K489/C489&gt;2,K489/C489&lt;0.5),"NM",K489/C489*100-100))</f>
        <v>1.1245346462799688</v>
      </c>
      <c r="M489" s="57">
        <f>M488</f>
        <v>65.636870093694611</v>
      </c>
      <c r="N489" s="85">
        <f>IF(ISERROR(M489/E489),"NA",IF(OR(M489/E489&gt;2,M489/E489&lt;0.5),"NM",M489/E489*100-100))</f>
        <v>-0.17726006583943388</v>
      </c>
      <c r="O489" s="57">
        <f>O488</f>
        <v>64.107627746235494</v>
      </c>
      <c r="P489" s="43">
        <f t="shared" si="2331"/>
        <v>-1.3993930569686626</v>
      </c>
      <c r="Q489" s="57">
        <f>Q488</f>
        <v>64.312084666502585</v>
      </c>
      <c r="R489" s="43">
        <f t="shared" si="2331"/>
        <v>-0.71025505187752458</v>
      </c>
      <c r="S489" s="57">
        <f>S488</f>
        <v>62.764003673094571</v>
      </c>
      <c r="T489" s="43">
        <f t="shared" si="2331"/>
        <v>-6.569703074956621</v>
      </c>
      <c r="U489" s="57">
        <f>U488</f>
        <v>64.759458197104152</v>
      </c>
      <c r="V489" s="43">
        <f t="shared" si="2331"/>
        <v>-1.3367668131310637</v>
      </c>
      <c r="W489" s="57">
        <f t="shared" ref="W489:Y489" si="2415">W488</f>
        <v>59.962756052141529</v>
      </c>
      <c r="X489" s="43">
        <f t="shared" si="2332"/>
        <v>-6.46548911543114</v>
      </c>
      <c r="Y489" s="57">
        <f t="shared" si="2415"/>
        <v>61.498178506375233</v>
      </c>
      <c r="Z489" s="43">
        <f t="shared" si="2346"/>
        <v>-4.3753925482577216</v>
      </c>
      <c r="AA489" s="57">
        <f t="shared" ref="AA489:AC489" si="2416">AA488</f>
        <v>66.08850344674228</v>
      </c>
      <c r="AB489" s="43">
        <f t="shared" si="2347"/>
        <v>5.2968255354826113</v>
      </c>
      <c r="AC489" s="57">
        <f t="shared" si="2416"/>
        <v>61.223610512710025</v>
      </c>
      <c r="AD489" s="43">
        <f t="shared" si="2348"/>
        <v>-5.4599710726922694</v>
      </c>
      <c r="AE489" s="57">
        <f t="shared" ref="AE489:AG489" si="2417">AE488</f>
        <v>64.564244619646288</v>
      </c>
      <c r="AF489" s="43">
        <f t="shared" si="2349"/>
        <v>7.6739110582299901</v>
      </c>
      <c r="AG489" s="57">
        <f t="shared" si="2417"/>
        <v>61.13546232519306</v>
      </c>
      <c r="AH489" s="46">
        <f>IF(ISERROR(AG489/Y489),"NA",IF(OR(AG489/Y489&gt;2,AG489/Y489&lt;0.5),"NM",AG489/Y489*100-100))</f>
        <v>-0.58979987699078151</v>
      </c>
      <c r="AI489" s="57">
        <f t="shared" ref="AI489:AK489" si="2418">AI488</f>
        <v>65.976210008203452</v>
      </c>
      <c r="AJ489" s="46">
        <f t="shared" si="2405"/>
        <v>-0.16991372581060205</v>
      </c>
      <c r="AK489" s="57">
        <f t="shared" si="2418"/>
        <v>63.361378205128204</v>
      </c>
      <c r="AL489" s="46">
        <f t="shared" si="2406"/>
        <v>3.4917373779750847</v>
      </c>
      <c r="AM489" s="57">
        <f t="shared" ref="AM489:AO489" si="2419">AM488</f>
        <v>60.365972357407053</v>
      </c>
      <c r="AN489" s="46">
        <f t="shared" si="2408"/>
        <v>-6.5024725170589903</v>
      </c>
      <c r="AO489" s="57">
        <f t="shared" si="2419"/>
        <v>61.525163273146369</v>
      </c>
      <c r="AP489" s="46">
        <f t="shared" si="2409"/>
        <v>0.63743845737258198</v>
      </c>
      <c r="AQ489" s="304">
        <f t="shared" ref="AQ489" si="2420">IF($B$6=1,AQ488,IF($B$6=2,AQ488+AQ1037,IF($B$6=3,AQ488+AQ1038)))</f>
        <v>64</v>
      </c>
      <c r="AR489" s="46">
        <f t="shared" si="2410"/>
        <v>-2.995337270749161</v>
      </c>
      <c r="AS489" s="304">
        <f t="shared" ref="AS489" si="2421">IF($B$6=1,AS488,IF($B$6=2,AS488+AS1037,IF($B$6=3,AS488+AS1038)))</f>
        <v>63.361378205128204</v>
      </c>
      <c r="AT489" s="46">
        <f t="shared" si="2411"/>
        <v>0</v>
      </c>
      <c r="AU489" s="304">
        <f t="shared" ref="AU489" si="2422">IF($B$6=1,AU488,IF($B$6=2,AU488+AU1037,IF($B$6=3,AU488+AU1038)))</f>
        <v>62</v>
      </c>
      <c r="AV489" s="46">
        <f t="shared" si="2412"/>
        <v>2.7068687520154668</v>
      </c>
      <c r="AW489" s="304">
        <f t="shared" ref="AW489" si="2423">IF($B$6=1,AW488,IF($B$6=2,AW488+AW1037,IF($B$6=3,AW488+AW1038)))</f>
        <v>61</v>
      </c>
      <c r="AX489" s="46">
        <f t="shared" si="2413"/>
        <v>-0.85357477364969725</v>
      </c>
      <c r="AY489" s="287"/>
      <c r="AZ489" s="305"/>
      <c r="BA489" s="46" t="str">
        <f>IF(ISERROR(#REF!/#REF!),"NA",IF(OR(#REF!/#REF!&gt;2,#REF!/#REF!&lt;0.5),"NM",#REF!/#REF!*100-100))</f>
        <v>NA</v>
      </c>
      <c r="BB489" s="304">
        <f>BB488</f>
        <v>65.485362095531585</v>
      </c>
      <c r="BC489" s="9" t="str">
        <f>IF(ISERROR(BB489/#REF!),"NA",IF(OR(BB489/#REF!&gt;2,BB489/#REF!&lt;0.5),"NM",BB489/#REF!*100-100))</f>
        <v>NA</v>
      </c>
      <c r="BD489" s="935">
        <f>BD488</f>
        <v>65.282141510619567</v>
      </c>
      <c r="BE489" s="9">
        <f t="shared" si="2388"/>
        <v>-0.31032978731269623</v>
      </c>
      <c r="BF489" s="304">
        <f>BF488</f>
        <v>62.241717649774905</v>
      </c>
      <c r="BG489" s="9">
        <f t="shared" si="2388"/>
        <v>-4.6573592570489808</v>
      </c>
      <c r="BH489" s="304">
        <f>BH488</f>
        <v>63.217526714278037</v>
      </c>
      <c r="BI489" s="9">
        <f t="shared" si="2388"/>
        <v>1.5677733541896544</v>
      </c>
      <c r="BJ489" s="304">
        <f>BJ488</f>
        <v>62.757904111622388</v>
      </c>
      <c r="BK489" s="9">
        <f t="shared" si="2388"/>
        <v>-0.72704932721109117</v>
      </c>
      <c r="BL489" s="304">
        <f>BL488</f>
        <v>62.561179555687495</v>
      </c>
      <c r="BM489" s="9">
        <f t="shared" si="2388"/>
        <v>-0.3134657836644692</v>
      </c>
      <c r="BN489" s="304">
        <f>IF($B$6=1,BN488,IF($B$6=2,BN488+BN1037,IF($B$6=3,BN488+BN1038)))</f>
        <v>62.761179555687498</v>
      </c>
      <c r="BO489" s="9">
        <f t="shared" si="2388"/>
        <v>0.31968706699652216</v>
      </c>
      <c r="BP489" s="304">
        <f>IF($B$6=1,BP488,IF($B$6=2,BP488+BP1037,IF($B$6=3,BP488+BP1038)))</f>
        <v>62.961179555687501</v>
      </c>
      <c r="BQ489" s="9">
        <f t="shared" si="2388"/>
        <v>0.31866832557305713</v>
      </c>
      <c r="BR489" s="304">
        <f>IF($B$6=1,BR488,IF($B$6=2,BR488+BR1037,IF($B$6=3,BR488+BR1038)))</f>
        <v>63.161179555687504</v>
      </c>
      <c r="BS489" s="9">
        <f t="shared" si="2388"/>
        <v>0.31765605633724192</v>
      </c>
      <c r="BT489" s="304">
        <f>IF($B$6=1,BT488,IF($B$6=2,BT488+BT1037,IF($B$6=3,BT488+BT1038)))</f>
        <v>63.361179555687507</v>
      </c>
      <c r="BU489" s="9">
        <f t="shared" si="2414"/>
        <v>0.31665019780649573</v>
      </c>
      <c r="BV489" s="43">
        <f>IF(ISERROR(((BT489/BJ489)^0.2-1)*100),"NA",IF((((BT489/BJ489)^0.2-1)*100)&gt;100,"NM",IF((((BT489/BJ489)^0.2-1)*100)&lt;-50,"NM",((BT489/BJ489)^0.2-1)*100)))</f>
        <v>0.19151980615650377</v>
      </c>
      <c r="BW489" s="303"/>
      <c r="BX489" s="303"/>
      <c r="BY489"/>
      <c r="BZ489"/>
      <c r="CA489"/>
      <c r="CB489"/>
      <c r="CC489"/>
      <c r="CD489"/>
    </row>
    <row r="490" spans="1:83" s="2" customFormat="1" ht="12.75" customHeight="1" collapsed="1" x14ac:dyDescent="0.2">
      <c r="A490" s="41"/>
      <c r="B490" s="62" t="s">
        <v>386</v>
      </c>
      <c r="C490" s="701">
        <f>+C483/C$479*100</f>
        <v>9.1342534504391466</v>
      </c>
      <c r="D490" s="772" t="str">
        <f>IF(ISERROR(C490/#REF!),"NA",IF(OR(C490/#REF!&gt;2,C490/#REF!&lt;0.5),"NM",C490/#REF!*100-100))</f>
        <v>NA</v>
      </c>
      <c r="E490" s="701">
        <f t="shared" ref="E490:W491" si="2424">+E483/E$479*100</f>
        <v>8.8373241175018507</v>
      </c>
      <c r="F490" s="9" t="str">
        <f>IF(ISERROR(E490/#REF!),"NA",IF(OR(E490/#REF!&gt;2,E490/#REF!&lt;0.5),"NM",E490/#REF!*100-100))</f>
        <v>NA</v>
      </c>
      <c r="G490" s="701">
        <f t="shared" si="2424"/>
        <v>8.7407407407407405</v>
      </c>
      <c r="H490" s="9" t="str">
        <f>IF(ISERROR(G490/#REF!),"NA",IF(OR(G490/#REF!&gt;2,G490/#REF!&lt;0.5),"NM",G490/#REF!*100-100))</f>
        <v>NA</v>
      </c>
      <c r="I490" s="701">
        <f t="shared" si="2424"/>
        <v>9.2289156626506017</v>
      </c>
      <c r="J490" s="9" t="str">
        <f>IF(ISERROR(I490/#REF!),"NA",IF(OR(I490/#REF!&gt;2,I490/#REF!&lt;0.5),"NM",I490/#REF!*100-100))</f>
        <v>NA</v>
      </c>
      <c r="K490" s="701">
        <f t="shared" si="2424"/>
        <v>8.7731811697574873</v>
      </c>
      <c r="L490" s="85">
        <f>IF(ISERROR(K490/C490),"NA",IF(OR(K490/C490&gt;2,K490/C490&lt;0.5),"NM",K490/C490*100-100))</f>
        <v>-3.9529479080121206</v>
      </c>
      <c r="M490" s="701">
        <f t="shared" si="2424"/>
        <v>8.7776484284051222</v>
      </c>
      <c r="N490" s="85">
        <f>IF(ISERROR(M490/E490),"NA",IF(OR(M490/E490&gt;2,M490/E490&lt;0.5),"NM",M490/E490*100-100))</f>
        <v>-0.67526876125934621</v>
      </c>
      <c r="O490" s="701">
        <f t="shared" si="2424"/>
        <v>9.2858772530230436</v>
      </c>
      <c r="P490" s="43">
        <f t="shared" si="2331"/>
        <v>6.2367312845856588</v>
      </c>
      <c r="Q490" s="701">
        <f t="shared" si="2424"/>
        <v>9.0950535673581054</v>
      </c>
      <c r="R490" s="43">
        <f t="shared" si="2331"/>
        <v>-1.4504639568247057</v>
      </c>
      <c r="S490" s="701">
        <f t="shared" si="2424"/>
        <v>11.987990564014583</v>
      </c>
      <c r="T490" s="43">
        <f t="shared" si="2331"/>
        <v>36.643599762182504</v>
      </c>
      <c r="U490" s="701">
        <f t="shared" si="2424"/>
        <v>9.1241661286851716</v>
      </c>
      <c r="V490" s="43">
        <f t="shared" si="2331"/>
        <v>3.9477281769305392</v>
      </c>
      <c r="W490" s="701">
        <f t="shared" si="2424"/>
        <v>10.030198446937014</v>
      </c>
      <c r="X490" s="43">
        <f t="shared" si="2332"/>
        <v>8.0156260268425825</v>
      </c>
      <c r="Y490" s="701">
        <f t="shared" ref="Y490:AA490" si="2425">+Y483/Y$479*100</f>
        <v>9.6726504751847937</v>
      </c>
      <c r="Z490" s="43">
        <f t="shared" si="2346"/>
        <v>6.3506707634979591</v>
      </c>
      <c r="AA490" s="701">
        <f t="shared" si="2425"/>
        <v>9.2565748602195068</v>
      </c>
      <c r="AB490" s="43">
        <f t="shared" si="2347"/>
        <v>-22.784600047936394</v>
      </c>
      <c r="AC490" s="701">
        <f t="shared" ref="AC490:AE490" si="2426">+AC483/AC$479*100</f>
        <v>9.5142513046969075</v>
      </c>
      <c r="AD490" s="43">
        <f t="shared" si="2348"/>
        <v>4.2752967286003241</v>
      </c>
      <c r="AE490" s="701">
        <f t="shared" si="2426"/>
        <v>9.1798786455274985</v>
      </c>
      <c r="AF490" s="43">
        <f t="shared" si="2349"/>
        <v>-8.4775969878161561</v>
      </c>
      <c r="AG490" s="701">
        <f t="shared" ref="AG490:AI490" si="2427">+AG483/AG$479*100</f>
        <v>9.2799383904505213</v>
      </c>
      <c r="AH490" s="9">
        <f>IF(ISERROR(AG490/Y490),"NA",IF(OR(AG490/Y490&gt;2,AG490/Y490&lt;0.5),"NM",AG490/Y490*100-100))</f>
        <v>-4.0600255921763733</v>
      </c>
      <c r="AI490" s="701">
        <f t="shared" si="2427"/>
        <v>9.5931882686849566</v>
      </c>
      <c r="AJ490" s="9">
        <f t="shared" si="2405"/>
        <v>3.636479081609977</v>
      </c>
      <c r="AK490" s="701">
        <f t="shared" ref="AK490:AM490" si="2428">+AK483/AK$479*100</f>
        <v>9.7710776102735917</v>
      </c>
      <c r="AL490" s="9">
        <f t="shared" si="2406"/>
        <v>2.6993853467996587</v>
      </c>
      <c r="AM490" s="701">
        <f t="shared" si="2428"/>
        <v>9.6164333757498621</v>
      </c>
      <c r="AN490" s="9">
        <f t="shared" si="2408"/>
        <v>4.7555610164308177</v>
      </c>
      <c r="AO490" s="701">
        <f t="shared" ref="AO490" si="2429">+AO483/AO$479*100</f>
        <v>9.6420219463932373</v>
      </c>
      <c r="AP490" s="9">
        <f t="shared" si="2409"/>
        <v>3.9017883600964041</v>
      </c>
      <c r="AQ490" s="152">
        <f t="shared" ref="AQ490:AQ491" si="2430">AO490</f>
        <v>9.6420219463932373</v>
      </c>
      <c r="AR490" s="9">
        <f t="shared" si="2410"/>
        <v>0.50904533863563017</v>
      </c>
      <c r="AS490" s="152">
        <f t="shared" ref="AS490:AS491" si="2431">AQ490</f>
        <v>9.6420219463932373</v>
      </c>
      <c r="AT490" s="9">
        <f t="shared" si="2411"/>
        <v>-1.320792537198372</v>
      </c>
      <c r="AU490" s="152">
        <f t="shared" ref="AU490:AU491" si="2432">AS490</f>
        <v>9.6420219463932373</v>
      </c>
      <c r="AV490" s="9">
        <f t="shared" si="2412"/>
        <v>0.26609211173762048</v>
      </c>
      <c r="AW490" s="152">
        <f t="shared" ref="AW490:AW491" si="2433">AU490</f>
        <v>9.6420219463932373</v>
      </c>
      <c r="AX490" s="9">
        <f t="shared" si="2413"/>
        <v>0</v>
      </c>
      <c r="AY490" s="287"/>
      <c r="AZ490" s="59"/>
      <c r="BA490" s="9" t="str">
        <f>IF(ISERROR(#REF!/#REF!),"NA",IF(OR(#REF!/#REF!&gt;2,#REF!/#REF!&lt;0.5),"NM",#REF!/#REF!*100-100))</f>
        <v>NA</v>
      </c>
      <c r="BB490" s="701">
        <f>+BB483/BB$477*100</f>
        <v>9.7742346084276797</v>
      </c>
      <c r="BC490" s="9" t="str">
        <f>IF(ISERROR(BB490/#REF!),"NA",IF(OR(BB490/#REF!&gt;2,BB490/#REF!&lt;0.5),"NM",BB490/#REF!*100-100))</f>
        <v>NA</v>
      </c>
      <c r="BD490" s="941">
        <f>+BD483/BD$477*100</f>
        <v>9.7524192534874956</v>
      </c>
      <c r="BE490" s="9">
        <f t="shared" si="2388"/>
        <v>-0.22319246277733384</v>
      </c>
      <c r="BF490" s="701">
        <f>+BF483/BF$477*100</f>
        <v>11.000808034168303</v>
      </c>
      <c r="BG490" s="9">
        <f t="shared" si="2388"/>
        <v>12.80081124726442</v>
      </c>
      <c r="BH490" s="701">
        <f>+BH483/BH$477*100</f>
        <v>10.052086130054233</v>
      </c>
      <c r="BI490" s="9">
        <f t="shared" si="2388"/>
        <v>-8.6241110759078623</v>
      </c>
      <c r="BJ490" s="701">
        <f>+BJ483/BJ$477*100</f>
        <v>10.375538073326407</v>
      </c>
      <c r="BK490" s="9">
        <f t="shared" si="2388"/>
        <v>3.2177593694218416</v>
      </c>
      <c r="BL490" s="701">
        <f>+BL483/BL$477*100</f>
        <v>10.334087148483661</v>
      </c>
      <c r="BM490" s="9">
        <f t="shared" si="2388"/>
        <v>-0.39950626704660408</v>
      </c>
      <c r="BN490" s="152">
        <f>BL490</f>
        <v>10.334087148483661</v>
      </c>
      <c r="BO490" s="9">
        <f t="shared" si="2388"/>
        <v>0</v>
      </c>
      <c r="BP490" s="152">
        <f>BN490+0.1</f>
        <v>10.434087148483661</v>
      </c>
      <c r="BQ490" s="9">
        <f t="shared" si="2388"/>
        <v>0.96767134400133159</v>
      </c>
      <c r="BR490" s="152">
        <f>BP490+0.1</f>
        <v>10.53408714848366</v>
      </c>
      <c r="BS490" s="9">
        <f t="shared" si="2388"/>
        <v>0.95839720884957558</v>
      </c>
      <c r="BT490" s="152">
        <f>BR490+0.1</f>
        <v>10.63408714848366</v>
      </c>
      <c r="BU490" s="9">
        <f t="shared" si="2414"/>
        <v>0.94929915227058359</v>
      </c>
      <c r="BV490" s="43">
        <f>IF(ISERROR(((BT490/BJ490)^0.2-1)*100),"NA",IF((((BT490/BJ490)^0.2-1)*100)&gt;100,"NM",IF((((BT490/BJ490)^0.2-1)*100)&lt;-50,"NM",((BT490/BJ490)^0.2-1)*100)))</f>
        <v>0.49348731858878114</v>
      </c>
      <c r="BW490" s="722"/>
      <c r="BX490" s="722"/>
      <c r="BY490"/>
      <c r="BZ490"/>
      <c r="CA490"/>
      <c r="CB490"/>
      <c r="CC490"/>
      <c r="CD490"/>
    </row>
    <row r="491" spans="1:83" s="2" customFormat="1" ht="12.75" customHeight="1" x14ac:dyDescent="0.2">
      <c r="A491" s="41"/>
      <c r="B491" s="62" t="s">
        <v>387</v>
      </c>
      <c r="C491" s="701">
        <f>+C484/C$479*100</f>
        <v>-1.8067754077791716</v>
      </c>
      <c r="D491" s="772" t="str">
        <f>IF(ISERROR(C491/#REF!),"NA",IF(OR(C491/#REF!&gt;2,C491/#REF!&lt;0.5),"NM",C491/#REF!*100-100))</f>
        <v>NA</v>
      </c>
      <c r="E491" s="701">
        <f t="shared" si="2424"/>
        <v>-1.8020241915576403</v>
      </c>
      <c r="F491" s="9" t="str">
        <f>IF(ISERROR(E491/#REF!),"NA",IF(OR(E491/#REF!&gt;2,E491/#REF!&lt;0.5),"NM",E491/#REF!*100-100))</f>
        <v>NA</v>
      </c>
      <c r="G491" s="701">
        <f t="shared" si="2424"/>
        <v>-1.8518518518518516</v>
      </c>
      <c r="H491" s="9" t="str">
        <f>IF(ISERROR(G491/#REF!),"NA",IF(OR(G491/#REF!&gt;2,G491/#REF!&lt;0.5),"NM",G491/#REF!*100-100))</f>
        <v>NA</v>
      </c>
      <c r="I491" s="701">
        <f t="shared" si="2424"/>
        <v>-1.9036144578313252</v>
      </c>
      <c r="J491" s="9" t="str">
        <f>IF(ISERROR(I491/#REF!),"NA",IF(OR(I491/#REF!&gt;2,I491/#REF!&lt;0.5),"NM",I491/#REF!*100-100))</f>
        <v>NA</v>
      </c>
      <c r="K491" s="701">
        <f t="shared" si="2424"/>
        <v>-1.5454113171659536</v>
      </c>
      <c r="L491" s="85">
        <f>IF(ISERROR(K491/C491),"NA",IF(OR(K491/C491&gt;2,K491/C491&lt;0.5),"NM",K491/C491*100-100))</f>
        <v>-14.465776404078795</v>
      </c>
      <c r="M491" s="701">
        <f t="shared" si="2424"/>
        <v>-1.3969732246798603</v>
      </c>
      <c r="N491" s="85">
        <f>IF(ISERROR(M491/E491),"NA",IF(OR(M491/E491&gt;2,M491/E491&lt;0.5),"NM",M491/E491*100-100))</f>
        <v>-22.477554340025847</v>
      </c>
      <c r="O491" s="701">
        <f t="shared" si="2424"/>
        <v>-1.8936801277663702</v>
      </c>
      <c r="P491" s="43">
        <f t="shared" si="2331"/>
        <v>2.2587268993840013</v>
      </c>
      <c r="Q491" s="701">
        <f>+Q484/Q$479*100</f>
        <v>-1.5500341919307048</v>
      </c>
      <c r="R491" s="43">
        <f t="shared" si="2331"/>
        <v>-18.574153208703478</v>
      </c>
      <c r="S491" s="701">
        <f>+S484/S$479*100</f>
        <v>-2.2732146686682393</v>
      </c>
      <c r="T491" s="43">
        <f t="shared" si="2331"/>
        <v>47.094475329517138</v>
      </c>
      <c r="U491" s="701">
        <f>+U484/U$479*100</f>
        <v>-1.398751882935227</v>
      </c>
      <c r="V491" s="43">
        <f t="shared" si="2331"/>
        <v>0.12732228678001434</v>
      </c>
      <c r="W491" s="701">
        <f>+W484/W$479*100</f>
        <v>-1.7687661777394306</v>
      </c>
      <c r="X491" s="43">
        <f t="shared" si="2332"/>
        <v>-6.5963595538322437</v>
      </c>
      <c r="Y491" s="701">
        <f>+Y484/Y$479*100</f>
        <v>-1.4994720168954596</v>
      </c>
      <c r="Z491" s="43">
        <f t="shared" si="2346"/>
        <v>-3.2620038511708884</v>
      </c>
      <c r="AA491" s="701">
        <f>+AA484/AA$479*100</f>
        <v>-1.2217850486643196</v>
      </c>
      <c r="AB491" s="43">
        <f t="shared" si="2347"/>
        <v>-46.252984132813943</v>
      </c>
      <c r="AC491" s="701">
        <f>+AC484/AC$479*100</f>
        <v>-1.5054195102368524</v>
      </c>
      <c r="AD491" s="43">
        <f t="shared" si="2348"/>
        <v>7.6259148318561927</v>
      </c>
      <c r="AE491" s="701">
        <f>+AE484/AE$479*100</f>
        <v>-1.6833039733803092</v>
      </c>
      <c r="AF491" s="43">
        <f t="shared" si="2349"/>
        <v>-4.8317412123034984</v>
      </c>
      <c r="AG491" s="701">
        <f>+AG484/AG$479*100</f>
        <v>-1.5787447054293418</v>
      </c>
      <c r="AH491" s="9">
        <f>IF(ISERROR(AG491/Y491),"NA",IF(OR(AG491/Y491&gt;2,AG491/Y491&lt;0.5),"NM",AG491/Y491*100-100))</f>
        <v>5.286706763491992</v>
      </c>
      <c r="AI491" s="701">
        <f>+AI484/AI$479*100</f>
        <v>-1.4947965941343422</v>
      </c>
      <c r="AJ491" s="9">
        <f t="shared" si="2405"/>
        <v>22.345300899571853</v>
      </c>
      <c r="AK491" s="701">
        <f>+AK484/AK$479*100</f>
        <v>-1.6378187232458592</v>
      </c>
      <c r="AL491" s="9">
        <f t="shared" si="2406"/>
        <v>8.7948383894783007</v>
      </c>
      <c r="AM491" s="701">
        <f>+AM484/AM$479*100</f>
        <v>-1.6178876567896745</v>
      </c>
      <c r="AN491" s="9">
        <f t="shared" si="2408"/>
        <v>-3.8861855983901421</v>
      </c>
      <c r="AO491" s="701">
        <f>+AO484/AO$479*100</f>
        <v>-1.2951969778737182</v>
      </c>
      <c r="AP491" s="9">
        <f t="shared" si="2409"/>
        <v>-17.96032801126718</v>
      </c>
      <c r="AQ491" s="152">
        <f t="shared" si="2430"/>
        <v>-1.2951969778737182</v>
      </c>
      <c r="AR491" s="9">
        <f t="shared" si="2410"/>
        <v>-13.352961670093649</v>
      </c>
      <c r="AS491" s="152">
        <f t="shared" si="2431"/>
        <v>-1.2951969778737182</v>
      </c>
      <c r="AT491" s="9">
        <f t="shared" si="2411"/>
        <v>-20.919393612324015</v>
      </c>
      <c r="AU491" s="152">
        <f t="shared" si="2432"/>
        <v>-1.2951969778737182</v>
      </c>
      <c r="AV491" s="9">
        <f t="shared" si="2412"/>
        <v>-19.945184547378375</v>
      </c>
      <c r="AW491" s="152">
        <f t="shared" si="2433"/>
        <v>-1.2951969778737182</v>
      </c>
      <c r="AX491" s="9">
        <f t="shared" si="2413"/>
        <v>0</v>
      </c>
      <c r="AY491" s="287"/>
      <c r="AZ491" s="59"/>
      <c r="BA491" s="9" t="str">
        <f>IF(ISERROR(#REF!/#REF!),"NA",IF(OR(#REF!/#REF!&gt;2,#REF!/#REF!&lt;0.5),"NM",#REF!/#REF!*100-100))</f>
        <v>NA</v>
      </c>
      <c r="BB491" s="701">
        <f>+BB484/BB$477*100</f>
        <v>-2.0030816640986133</v>
      </c>
      <c r="BC491" s="9" t="str">
        <f>IF(ISERROR(BB491/#REF!),"NA",IF(OR(BB491/#REF!&gt;2,BB491/#REF!&lt;0.5),"NM",BB491/#REF!*100-100))</f>
        <v>NA</v>
      </c>
      <c r="BD491" s="941">
        <f>+BD484/BD$477*100</f>
        <v>-1.7343219806459722</v>
      </c>
      <c r="BE491" s="9">
        <f t="shared" si="2388"/>
        <v>-13.417310350828004</v>
      </c>
      <c r="BF491" s="701">
        <f>+BF484/BF$477*100</f>
        <v>-1.870021932355997</v>
      </c>
      <c r="BG491" s="9">
        <f t="shared" si="2388"/>
        <v>7.8243805489613578</v>
      </c>
      <c r="BH491" s="701">
        <f>+BH484/BH$477*100</f>
        <v>-1.6216506470493477</v>
      </c>
      <c r="BI491" s="9">
        <f t="shared" si="2388"/>
        <v>-13.281731139577175</v>
      </c>
      <c r="BJ491" s="701">
        <f>+BJ484/BJ$477*100</f>
        <v>-1.6228786304487657</v>
      </c>
      <c r="BK491" s="9">
        <f t="shared" si="2388"/>
        <v>7.5724287574047366E-2</v>
      </c>
      <c r="BL491" s="701">
        <f>+BL484/BL$477*100</f>
        <v>-1.3881609602440736</v>
      </c>
      <c r="BM491" s="9">
        <f t="shared" si="2388"/>
        <v>-14.463045221058024</v>
      </c>
      <c r="BN491" s="152">
        <f>BL491</f>
        <v>-1.3881609602440736</v>
      </c>
      <c r="BO491" s="9">
        <f t="shared" si="2388"/>
        <v>0</v>
      </c>
      <c r="BP491" s="152">
        <f>BN491</f>
        <v>-1.3881609602440736</v>
      </c>
      <c r="BQ491" s="9">
        <f t="shared" si="2388"/>
        <v>0</v>
      </c>
      <c r="BR491" s="152">
        <f>BP491</f>
        <v>-1.3881609602440736</v>
      </c>
      <c r="BS491" s="9">
        <f t="shared" si="2388"/>
        <v>0</v>
      </c>
      <c r="BT491" s="152">
        <f>BR491</f>
        <v>-1.3881609602440736</v>
      </c>
      <c r="BU491" s="9">
        <f t="shared" si="2414"/>
        <v>0</v>
      </c>
      <c r="BV491" s="43">
        <f>IF(ISERROR(((BT491/BJ491)^0.2-1)*100),"NA",IF((((BT491/BJ491)^0.2-1)*100)&gt;100,"NM",IF((((BT491/BJ491)^0.2-1)*100)&lt;-50,"NM",((BT491/BJ491)^0.2-1)*100)))</f>
        <v>-3.0761276505486213</v>
      </c>
      <c r="BW491" s="722"/>
      <c r="BX491" s="722"/>
      <c r="BY491"/>
      <c r="BZ491"/>
      <c r="CA491"/>
      <c r="CB491"/>
      <c r="CC491"/>
      <c r="CD491"/>
    </row>
    <row r="492" spans="1:83" s="2" customFormat="1" ht="12.75" customHeight="1" x14ac:dyDescent="0.2">
      <c r="A492" s="41"/>
      <c r="B492" s="62" t="s">
        <v>138</v>
      </c>
      <c r="C492" s="701">
        <f>+C485/C479*100</f>
        <v>23.538268506900881</v>
      </c>
      <c r="D492" s="772" t="str">
        <f>IF(ISERROR(C492/#REF!),"NA",IF(OR(C492/#REF!&gt;2,C492/#REF!&lt;0.5),"NM",C492/#REF!*100-100))</f>
        <v>NA</v>
      </c>
      <c r="E492" s="701">
        <f t="shared" ref="E492:W492" si="2434">+E485/E479*100</f>
        <v>22.784497654900022</v>
      </c>
      <c r="F492" s="9" t="str">
        <f>IF(ISERROR(E492/#REF!),"NA",IF(OR(E492/#REF!&gt;2,E492/#REF!&lt;0.5),"NM",E492/#REF!*100-100))</f>
        <v>NA</v>
      </c>
      <c r="G492" s="701">
        <f t="shared" si="2434"/>
        <v>21.382716049382715</v>
      </c>
      <c r="H492" s="9" t="str">
        <f>IF(ISERROR(G492/#REF!),"NA",IF(OR(G492/#REF!&gt;2,G492/#REF!&lt;0.5),"NM",G492/#REF!*100-100))</f>
        <v>NA</v>
      </c>
      <c r="I492" s="701">
        <f t="shared" si="2434"/>
        <v>23.036144578313252</v>
      </c>
      <c r="J492" s="9" t="str">
        <f>IF(ISERROR(I492/#REF!),"NA",IF(OR(I492/#REF!&gt;2,I492/#REF!&lt;0.5),"NM",I492/#REF!*100-100))</f>
        <v>NA</v>
      </c>
      <c r="K492" s="701">
        <f t="shared" si="2434"/>
        <v>21.540656205420824</v>
      </c>
      <c r="L492" s="85">
        <f>IF(ISERROR(K492/C492),"NA",IF(OR(K492/C492&gt;2,K492/C492&lt;0.5),"NM",K492/C492*100-100))</f>
        <v>-8.4866578053283916</v>
      </c>
      <c r="M492" s="701">
        <f t="shared" si="2434"/>
        <v>21.653084982537834</v>
      </c>
      <c r="N492" s="85">
        <f>IF(ISERROR(M492/E492),"NA",IF(OR(M492/E492&gt;2,M492/E492&lt;0.5),"NM",M492/E492*100-100))</f>
        <v>-4.9657126064346926</v>
      </c>
      <c r="O492" s="701">
        <f t="shared" si="2434"/>
        <v>22.267853068674427</v>
      </c>
      <c r="P492" s="43">
        <f t="shared" si="2331"/>
        <v>4.1394976075420686</v>
      </c>
      <c r="Q492" s="701">
        <f t="shared" si="2434"/>
        <v>22.840209710508322</v>
      </c>
      <c r="R492" s="43">
        <f t="shared" si="2331"/>
        <v>-0.85055408095236373</v>
      </c>
      <c r="S492" s="701">
        <f t="shared" si="2434"/>
        <v>21.616984773750801</v>
      </c>
      <c r="T492" s="43">
        <f t="shared" si="2331"/>
        <v>0.3543465324457884</v>
      </c>
      <c r="U492" s="701">
        <f t="shared" si="2434"/>
        <v>21.540778997202494</v>
      </c>
      <c r="V492" s="43">
        <f t="shared" si="2331"/>
        <v>-0.51866043765083703</v>
      </c>
      <c r="W492" s="701">
        <f t="shared" si="2434"/>
        <v>22.066436583261432</v>
      </c>
      <c r="X492" s="43">
        <f t="shared" si="2332"/>
        <v>-0.90451686021020805</v>
      </c>
      <c r="Y492" s="701">
        <f t="shared" ref="Y492:AA492" si="2435">+Y485/Y479*100</f>
        <v>22.787750791974656</v>
      </c>
      <c r="Z492" s="43">
        <f t="shared" si="2346"/>
        <v>-0.22967791976765284</v>
      </c>
      <c r="AA492" s="701">
        <f t="shared" si="2435"/>
        <v>22.427003520397598</v>
      </c>
      <c r="AB492" s="43">
        <f t="shared" si="2347"/>
        <v>3.7471402932678757</v>
      </c>
      <c r="AC492" s="701">
        <f t="shared" ref="AC492:AE492" si="2436">+AC485/AC479*100</f>
        <v>21.597751906864708</v>
      </c>
      <c r="AD492" s="43">
        <f t="shared" si="2348"/>
        <v>0.26448862257772987</v>
      </c>
      <c r="AE492" s="701">
        <f t="shared" si="2436"/>
        <v>18.731650029359955</v>
      </c>
      <c r="AF492" s="43">
        <f t="shared" si="2349"/>
        <v>-15.112483346908363</v>
      </c>
      <c r="AG492" s="701">
        <f t="shared" ref="AG492:AI492" si="2437">+AG485/AG479*100</f>
        <v>22.063919907585674</v>
      </c>
      <c r="AH492" s="9">
        <f>IF(ISERROR(AG492/Y492),"NA",IF(OR(AG492/Y492&gt;2,AG492/Y492&lt;0.5),"NM",AG492/Y492*100-100))</f>
        <v>-3.1764033712528601</v>
      </c>
      <c r="AI492" s="701">
        <f t="shared" si="2437"/>
        <v>22.421948912015139</v>
      </c>
      <c r="AJ492" s="9">
        <f t="shared" si="2405"/>
        <v>-2.2538046056226335E-2</v>
      </c>
      <c r="AK492" s="701">
        <f t="shared" ref="AK492:AM492" si="2438">+AK485/AK479*100</f>
        <v>21.16136236739252</v>
      </c>
      <c r="AL492" s="9">
        <f t="shared" si="2406"/>
        <v>-2.0205322357346063</v>
      </c>
      <c r="AM492" s="701">
        <f t="shared" si="2438"/>
        <v>20.396291583348482</v>
      </c>
      <c r="AN492" s="9">
        <f t="shared" si="2408"/>
        <v>8.8867854747412593</v>
      </c>
      <c r="AO492" s="701">
        <f t="shared" ref="AO492" si="2439">+AO485/AO479*100</f>
        <v>22.773880194279545</v>
      </c>
      <c r="AP492" s="9">
        <f t="shared" si="2409"/>
        <v>3.2177432190994466</v>
      </c>
      <c r="AQ492" s="152">
        <f>AI492</f>
        <v>22.421948912015139</v>
      </c>
      <c r="AR492" s="9">
        <f t="shared" si="2410"/>
        <v>0</v>
      </c>
      <c r="AS492" s="152">
        <f>AK492</f>
        <v>21.16136236739252</v>
      </c>
      <c r="AT492" s="9">
        <f t="shared" si="2411"/>
        <v>0</v>
      </c>
      <c r="AU492" s="152">
        <f>AM492+0.4</f>
        <v>20.796291583348481</v>
      </c>
      <c r="AV492" s="9">
        <f t="shared" si="2412"/>
        <v>1.9611408199643421</v>
      </c>
      <c r="AW492" s="152">
        <f>AU492+0.1</f>
        <v>20.896291583348482</v>
      </c>
      <c r="AX492" s="9">
        <f t="shared" si="2413"/>
        <v>-8.2444826920740724</v>
      </c>
      <c r="AY492" s="287"/>
      <c r="AZ492" s="59"/>
      <c r="BA492" s="9" t="str">
        <f>IF(ISERROR(#REF!/#REF!),"NA",IF(OR(#REF!/#REF!&gt;2,#REF!/#REF!&lt;0.5),"NM",#REF!/#REF!*100-100))</f>
        <v>NA</v>
      </c>
      <c r="BB492" s="701">
        <f>+BB485/BB479*100</f>
        <v>22.684158659768421</v>
      </c>
      <c r="BC492" s="9" t="str">
        <f>IF(ISERROR(BB492/#REF!),"NA",IF(OR(BB492/#REF!&gt;2,BB492/#REF!&lt;0.5),"NM",BB492/#REF!*100-100))</f>
        <v>NA</v>
      </c>
      <c r="BD492" s="941">
        <f>+BD485/BD479*100</f>
        <v>22.083260957674714</v>
      </c>
      <c r="BE492" s="9">
        <f t="shared" si="2388"/>
        <v>-2.6489750451244731</v>
      </c>
      <c r="BF492" s="701">
        <f>+BF485/BF479*100</f>
        <v>22.006316578341629</v>
      </c>
      <c r="BG492" s="9">
        <f t="shared" si="2388"/>
        <v>-0.34842852004763358</v>
      </c>
      <c r="BH492" s="701">
        <f>+BH485/BH479*100</f>
        <v>21.189221437804509</v>
      </c>
      <c r="BI492" s="9">
        <f t="shared" si="2388"/>
        <v>-3.713002753678893</v>
      </c>
      <c r="BJ492" s="701">
        <f>+BJ485/BJ479*100</f>
        <v>21.687079841606042</v>
      </c>
      <c r="BK492" s="9">
        <f t="shared" si="2388"/>
        <v>2.3495832787574074</v>
      </c>
      <c r="BL492" s="701">
        <f>+BL485/BL479*100</f>
        <v>21.30768578479973</v>
      </c>
      <c r="BM492" s="9">
        <f t="shared" si="2388"/>
        <v>-1.7494013005773752</v>
      </c>
      <c r="BN492" s="152">
        <f>BL492</f>
        <v>21.30768578479973</v>
      </c>
      <c r="BO492" s="9">
        <f t="shared" si="2388"/>
        <v>0</v>
      </c>
      <c r="BP492" s="152">
        <f>BN492</f>
        <v>21.30768578479973</v>
      </c>
      <c r="BQ492" s="9">
        <f t="shared" si="2388"/>
        <v>0</v>
      </c>
      <c r="BR492" s="152">
        <f>BP492</f>
        <v>21.30768578479973</v>
      </c>
      <c r="BS492" s="9">
        <f t="shared" si="2388"/>
        <v>0</v>
      </c>
      <c r="BT492" s="152">
        <f>BR492</f>
        <v>21.30768578479973</v>
      </c>
      <c r="BU492" s="9">
        <f t="shared" si="2414"/>
        <v>0</v>
      </c>
      <c r="BV492" s="43">
        <f>IF(ISERROR(((BT492/BJ492)^0.2-1)*100),"NA",IF((((BT492/BJ492)^0.2-1)*100)&gt;100,"NM",IF((((BT492/BJ492)^0.2-1)*100)&lt;-50,"NM",((BT492/BJ492)^0.2-1)*100)))</f>
        <v>-0.3523546015939627</v>
      </c>
      <c r="BW492" s="722"/>
      <c r="BX492" s="722"/>
      <c r="BY492"/>
      <c r="BZ492"/>
      <c r="CA492"/>
      <c r="CB492"/>
      <c r="CC492"/>
      <c r="CD492"/>
    </row>
    <row r="493" spans="1:83" s="2" customFormat="1" ht="12.75" customHeight="1" x14ac:dyDescent="0.2">
      <c r="A493" s="41"/>
      <c r="B493" s="62"/>
      <c r="C493" s="694"/>
      <c r="D493" s="40"/>
      <c r="E493" s="694"/>
      <c r="F493" s="40"/>
      <c r="G493" s="694"/>
      <c r="H493" s="40"/>
      <c r="I493" s="694"/>
      <c r="J493" s="40"/>
      <c r="K493" s="694"/>
      <c r="L493" s="40"/>
      <c r="M493" s="694"/>
      <c r="N493" s="40"/>
      <c r="O493" s="694"/>
      <c r="P493" s="43"/>
      <c r="Q493" s="694"/>
      <c r="R493" s="43"/>
      <c r="S493" s="694"/>
      <c r="T493" s="43"/>
      <c r="U493" s="694"/>
      <c r="V493" s="43"/>
      <c r="W493" s="694"/>
      <c r="X493" s="43"/>
      <c r="Y493" s="694"/>
      <c r="Z493" s="43"/>
      <c r="AA493" s="694"/>
      <c r="AB493" s="43"/>
      <c r="AC493" s="694"/>
      <c r="AD493" s="43"/>
      <c r="AE493" s="694"/>
      <c r="AF493" s="43"/>
      <c r="AG493" s="694"/>
      <c r="AH493" s="40"/>
      <c r="AI493" s="694"/>
      <c r="AJ493" s="40"/>
      <c r="AK493" s="694"/>
      <c r="AL493" s="40"/>
      <c r="AM493" s="694"/>
      <c r="AN493" s="40"/>
      <c r="AO493" s="694"/>
      <c r="AP493" s="40"/>
      <c r="AQ493" s="694"/>
      <c r="AR493" s="40"/>
      <c r="AS493" s="694"/>
      <c r="AT493" s="40"/>
      <c r="AU493" s="694"/>
      <c r="AV493" s="40"/>
      <c r="AW493" s="694"/>
      <c r="AX493" s="40"/>
      <c r="AY493" s="287"/>
      <c r="AZ493" s="15"/>
      <c r="BA493" s="40"/>
      <c r="BB493" s="694"/>
      <c r="BC493" s="9"/>
      <c r="BD493" s="916"/>
      <c r="BE493" s="9"/>
      <c r="BF493" s="694"/>
      <c r="BG493" s="9"/>
      <c r="BH493" s="694"/>
      <c r="BI493" s="9"/>
      <c r="BJ493" s="694"/>
      <c r="BK493" s="9"/>
      <c r="BL493" s="694"/>
      <c r="BM493" s="9"/>
      <c r="BN493" s="694"/>
      <c r="BO493" s="9"/>
      <c r="BP493" s="694"/>
      <c r="BQ493" s="9"/>
      <c r="BR493" s="694"/>
      <c r="BS493" s="9"/>
      <c r="BT493" s="694"/>
      <c r="BU493" s="9"/>
      <c r="BV493" s="722"/>
      <c r="BW493" s="722"/>
      <c r="BX493" s="722"/>
      <c r="BY493"/>
      <c r="BZ493"/>
      <c r="CA493"/>
      <c r="CB493"/>
      <c r="CC493"/>
      <c r="CD493"/>
    </row>
    <row r="494" spans="1:83" s="2" customFormat="1" ht="12.75" customHeight="1" x14ac:dyDescent="0.2">
      <c r="A494" s="41" t="s">
        <v>302</v>
      </c>
      <c r="B494" s="67" t="s">
        <v>485</v>
      </c>
      <c r="C494" s="695">
        <f>+C479-C486</f>
        <v>31.899999999999977</v>
      </c>
      <c r="D494" s="9" t="str">
        <f>IF(ISERROR(C494/#REF!),"NA",IF(OR(C494/#REF!&gt;2,C494/#REF!&lt;0.5),"NM",C494/#REF!*100-100))</f>
        <v>NA</v>
      </c>
      <c r="E494" s="695">
        <f>+E479-E486</f>
        <v>39.5</v>
      </c>
      <c r="F494" s="9" t="str">
        <f>IF(ISERROR(E494/#REF!),"NA",IF(OR(E494/#REF!&gt;2,E494/#REF!&lt;0.5),"NM",E494/#REF!*100-100))</f>
        <v>NA</v>
      </c>
      <c r="G494" s="695">
        <f>+G479-G486</f>
        <v>48.700000000000045</v>
      </c>
      <c r="H494" s="9" t="str">
        <f>IF(ISERROR(G494/#REF!),"NA",IF(OR(G494/#REF!&gt;2,G494/#REF!&lt;0.5),"NM",G494/#REF!*100-100))</f>
        <v>NA</v>
      </c>
      <c r="I494" s="695">
        <f>+I479-I486</f>
        <v>41.699999999999932</v>
      </c>
      <c r="J494" s="9" t="str">
        <f>IF(ISERROR(I494/#REF!),"NA",IF(OR(I494/#REF!&gt;2,I494/#REF!&lt;0.5),"NM",I494/#REF!*100-100))</f>
        <v>NA</v>
      </c>
      <c r="K494" s="695">
        <f>+K479-K486</f>
        <v>40.900000000000091</v>
      </c>
      <c r="L494" s="613">
        <f>IF(ISERROR(K494/C494),"NA",IF(OR(K494/C494&gt;2,K494/C494&lt;0.5),"NM",K494/C494*100-100))</f>
        <v>28.213166144200983</v>
      </c>
      <c r="M494" s="695">
        <f>+M479-M486</f>
        <v>45.600000000000023</v>
      </c>
      <c r="N494" s="9">
        <f>IF(ISERROR(M494/E494),"NA",IF(OR(M494/E494&gt;2,M494/E494&lt;0.5),"NM",M494/E494*100-100))</f>
        <v>15.443037974683605</v>
      </c>
      <c r="O494" s="695">
        <f>+O479-O486</f>
        <v>48.600000000000023</v>
      </c>
      <c r="P494" s="43">
        <f t="shared" si="2331"/>
        <v>-0.20533880903495572</v>
      </c>
      <c r="Q494" s="695">
        <f>+Q479-Q486</f>
        <v>44.099999999999966</v>
      </c>
      <c r="R494" s="43">
        <f t="shared" si="2331"/>
        <v>5.7553956834533295</v>
      </c>
      <c r="S494" s="695">
        <f>+S479-S486</f>
        <v>46.800000000000068</v>
      </c>
      <c r="T494" s="43">
        <f t="shared" si="2331"/>
        <v>14.425427872860539</v>
      </c>
      <c r="U494" s="695">
        <f>+U479-U486</f>
        <v>51.400000000000034</v>
      </c>
      <c r="V494" s="43">
        <f t="shared" si="2331"/>
        <v>12.71929824561407</v>
      </c>
      <c r="W494" s="695">
        <f t="shared" ref="W494:Y494" si="2440">+W479-W486</f>
        <v>65.399999999999977</v>
      </c>
      <c r="X494" s="43">
        <f t="shared" si="2332"/>
        <v>34.567901234567785</v>
      </c>
      <c r="Y494" s="695">
        <f t="shared" si="2440"/>
        <v>56.800000000000011</v>
      </c>
      <c r="Z494" s="43">
        <f t="shared" si="2346"/>
        <v>28.798185941043215</v>
      </c>
      <c r="AA494" s="695">
        <f t="shared" ref="AA494:AC494" si="2441">+AA479-AA486</f>
        <v>38.599999999999966</v>
      </c>
      <c r="AB494" s="43">
        <f t="shared" si="2347"/>
        <v>-17.521367521367708</v>
      </c>
      <c r="AC494" s="695">
        <f t="shared" si="2441"/>
        <v>66.500000000000114</v>
      </c>
      <c r="AD494" s="43">
        <f t="shared" si="2348"/>
        <v>29.37743190661493</v>
      </c>
      <c r="AE494" s="695">
        <f t="shared" ref="AE494:AG494" si="2442">+AE479-AE486</f>
        <v>73.900000000000091</v>
      </c>
      <c r="AF494" s="43">
        <f t="shared" si="2349"/>
        <v>12.996941896024651</v>
      </c>
      <c r="AG494" s="695">
        <f t="shared" si="2442"/>
        <v>71.899999999999977</v>
      </c>
      <c r="AH494" s="9">
        <f>IF(ISERROR(AG494/Y494),"NA",IF(OR(AG494/Y494&gt;2,AG494/Y494&lt;0.5),"NM",AG494/Y494*100-100))</f>
        <v>26.584507042253463</v>
      </c>
      <c r="AI494" s="695">
        <f t="shared" ref="AI494:AK494" si="2443">+AI479-AI486</f>
        <v>45.5</v>
      </c>
      <c r="AJ494" s="9">
        <f t="shared" ref="AJ494" si="2444">IF(ISERROR(AI494/AA494),"NA",IF(OR(AI494/AA494&gt;2,AI494/AA494&lt;0.5),"NM",AI494/AA494*100-100))</f>
        <v>17.875647668393896</v>
      </c>
      <c r="AK494" s="695">
        <f t="shared" si="2443"/>
        <v>63.599999999999966</v>
      </c>
      <c r="AL494" s="9">
        <f t="shared" ref="AL494" si="2445">IF(ISERROR(AK494/AC494),"NA",IF(OR(AK494/AC494&gt;2,AK494/AC494&lt;0.5),"NM",AK494/AC494*100-100))</f>
        <v>-4.3609022556393029</v>
      </c>
      <c r="AM494" s="695">
        <f t="shared" ref="AM494:AO494" si="2446">+AM479-AM486</f>
        <v>83.800000000000011</v>
      </c>
      <c r="AN494" s="9">
        <f t="shared" ref="AN494" si="2447">IF(ISERROR(AM494/AE494),"NA",IF(OR(AM494/AE494&gt;2,AM494/AE494&lt;0.5),"NM",AM494/AE494*100-100))</f>
        <v>13.396481732070242</v>
      </c>
      <c r="AO494" s="695">
        <f t="shared" si="2446"/>
        <v>62.599999999999909</v>
      </c>
      <c r="AP494" s="9">
        <f t="shared" ref="AP494" si="2448">IF(ISERROR(AO494/AG494),"NA",IF(OR(AO494/AG494&gt;2,AO494/AG494&lt;0.5),"NM",AO494/AG494*100-100))</f>
        <v>-12.934631432545302</v>
      </c>
      <c r="AQ494" s="695">
        <f t="shared" ref="AQ494:AW494" si="2449">+AQ479-AQ486</f>
        <v>56.458019284956038</v>
      </c>
      <c r="AR494" s="9">
        <f t="shared" ref="AR494" si="2450">IF(ISERROR(AQ494/AI494),"NA",IF(OR(AQ494/AI494&gt;2,AQ494/AI494&lt;0.5),"NM",AQ494/AI494*100-100))</f>
        <v>24.08355886803524</v>
      </c>
      <c r="AS494" s="695">
        <f t="shared" si="2449"/>
        <v>65.749889880234036</v>
      </c>
      <c r="AT494" s="9">
        <f t="shared" ref="AT494" si="2451">IF(ISERROR(AS494/AK494),"NA",IF(OR(AS494/AK494&gt;2,AS494/AK494&lt;0.5),"NM",AS494/AK494*100-100))</f>
        <v>3.3803300003680334</v>
      </c>
      <c r="AU494" s="695">
        <f t="shared" si="2449"/>
        <v>75.248319734541496</v>
      </c>
      <c r="AV494" s="9">
        <f t="shared" ref="AV494" si="2452">IF(ISERROR(AU494/AM494),"NA",IF(OR(AU494/AM494&gt;2,AU494/AM494&lt;0.5),"NM",AU494/AM494*100-100))</f>
        <v>-10.204869051859802</v>
      </c>
      <c r="AW494" s="695">
        <f t="shared" si="2449"/>
        <v>80.076433950049818</v>
      </c>
      <c r="AX494" s="9">
        <f t="shared" ref="AX494" si="2453">IF(ISERROR(AW494/AO494),"NA",IF(OR(AW494/AO494&gt;2,AW494/AO494&lt;0.5),"NM",AW494/AO494*100-100))</f>
        <v>27.917626118290627</v>
      </c>
      <c r="AY494" s="287"/>
      <c r="AZ494" s="68"/>
      <c r="BA494" s="613" t="str">
        <f>IF(ISERROR(#REF!/#REF!),"NA",IF(OR(#REF!/#REF!&gt;2,#REF!/#REF!&lt;0.5),"NM",#REF!/#REF!*100-100))</f>
        <v>NA</v>
      </c>
      <c r="BB494" s="695">
        <f>+BB479-BB486</f>
        <v>161.79999999999973</v>
      </c>
      <c r="BC494" s="9" t="str">
        <f>IF(ISERROR(BB494/#REF!),"NA",IF(OR(BB494/#REF!&gt;2,BB494/#REF!&lt;0.5),"NM",BB494/#REF!*100-100))</f>
        <v>NA</v>
      </c>
      <c r="BD494" s="912">
        <f>+BD479-BD486</f>
        <v>179.19999999999982</v>
      </c>
      <c r="BE494" s="9">
        <f t="shared" si="2388"/>
        <v>10.754017305315287</v>
      </c>
      <c r="BF494" s="695">
        <f>+BF479-BF486</f>
        <v>220.40000000000032</v>
      </c>
      <c r="BG494" s="9">
        <f t="shared" si="2388"/>
        <v>22.991071428571729</v>
      </c>
      <c r="BH494" s="695">
        <f>+BH479-BH486</f>
        <v>250.90000000000009</v>
      </c>
      <c r="BI494" s="9">
        <f t="shared" si="2388"/>
        <v>13.838475499092425</v>
      </c>
      <c r="BJ494" s="695">
        <f>+BJ479-BJ486</f>
        <v>255.49999999999955</v>
      </c>
      <c r="BK494" s="9">
        <f t="shared" si="2388"/>
        <v>1.8333997608606722</v>
      </c>
      <c r="BL494" s="695">
        <f>+BL479-BL486</f>
        <v>277.53266284978167</v>
      </c>
      <c r="BM494" s="9">
        <f t="shared" si="2388"/>
        <v>8.6233514089167045</v>
      </c>
      <c r="BN494" s="695">
        <f>+BN479-BN486</f>
        <v>292.15154771861262</v>
      </c>
      <c r="BO494" s="9">
        <f t="shared" si="2388"/>
        <v>5.2674466200555372</v>
      </c>
      <c r="BP494" s="695">
        <f>+BP479-BP486</f>
        <v>302.56401683520153</v>
      </c>
      <c r="BQ494" s="9">
        <f t="shared" si="2388"/>
        <v>3.564064335068224</v>
      </c>
      <c r="BR494" s="695">
        <f>+BR479-BR486</f>
        <v>313.05489576432819</v>
      </c>
      <c r="BS494" s="9">
        <f t="shared" si="2388"/>
        <v>3.467325374266423</v>
      </c>
      <c r="BT494" s="695">
        <f>+BT479-BT486</f>
        <v>323.58675111707817</v>
      </c>
      <c r="BU494" s="9">
        <f t="shared" ref="BU494:BU495" si="2454">IF(ISERROR(BT494/BR494),"NA",IF(OR(BT494/BR494&gt;2,BT494/BR494&lt;0.5),"NM",BT494/BR494*100-100))</f>
        <v>3.3642199803444441</v>
      </c>
      <c r="BV494" s="43">
        <f>IF(ISERROR(((BT494/BJ494)^0.2-1)*100),"NA",IF((((BT494/BJ494)^0.2-1)*100)&gt;100,"NM",IF((((BT494/BJ494)^0.2-1)*100)&lt;-50,"NM",((BT494/BJ494)^0.2-1)*100)))</f>
        <v>4.8382988843020058</v>
      </c>
      <c r="BW494" s="722"/>
      <c r="BX494" s="722"/>
      <c r="BY494"/>
      <c r="BZ494"/>
      <c r="CA494"/>
      <c r="CB494"/>
      <c r="CC494"/>
      <c r="CD494"/>
    </row>
    <row r="495" spans="1:83" s="2" customFormat="1" ht="12.75" hidden="1" customHeight="1" outlineLevel="1" x14ac:dyDescent="0.2">
      <c r="A495" s="41"/>
      <c r="B495" s="62" t="s">
        <v>486</v>
      </c>
      <c r="C495" s="653">
        <v>11.1</v>
      </c>
      <c r="D495" s="9" t="str">
        <f>IF(ISERROR(C495/#REF!),"NA",IF(OR(C495/#REF!&gt;2,C495/#REF!&lt;0.5),"NM",C495/#REF!*100-100))</f>
        <v>NA</v>
      </c>
      <c r="E495" s="653">
        <v>13.8</v>
      </c>
      <c r="F495" s="9" t="str">
        <f>IF(ISERROR(E495/#REF!),"NA",IF(OR(E495/#REF!&gt;2,E495/#REF!&lt;0.5),"NM",E495/#REF!*100-100))</f>
        <v>NA</v>
      </c>
      <c r="G495" s="653">
        <v>17</v>
      </c>
      <c r="H495" s="9" t="str">
        <f>IF(ISERROR(G495/#REF!),"NA",IF(OR(G495/#REF!&gt;2,G495/#REF!&lt;0.5),"NM",G495/#REF!*100-100))</f>
        <v>NA</v>
      </c>
      <c r="I495" s="653">
        <v>14.6</v>
      </c>
      <c r="J495" s="9" t="str">
        <f>IF(ISERROR(I495/#REF!),"NA",IF(OR(I495/#REF!&gt;2,I495/#REF!&lt;0.5),"NM",I495/#REF!*100-100))</f>
        <v>NA</v>
      </c>
      <c r="K495" s="653">
        <v>14.8</v>
      </c>
      <c r="L495" s="9">
        <f>IF(ISERROR(K495/C495),"NA",IF(OR(K495/C495&gt;2,K495/C495&lt;0.5),"NM",K495/C495*100-100))</f>
        <v>33.333333333333343</v>
      </c>
      <c r="M495" s="653">
        <v>16.600000000000001</v>
      </c>
      <c r="N495" s="9">
        <f>IF(ISERROR(M495/E495),"NA",IF(OR(M495/E495&gt;2,M495/E495&lt;0.5),"NM",M495/E495*100-100))</f>
        <v>20.289855072463766</v>
      </c>
      <c r="O495" s="653">
        <v>17.5</v>
      </c>
      <c r="P495" s="43">
        <f t="shared" si="2331"/>
        <v>2.941176470588232</v>
      </c>
      <c r="Q495" s="653">
        <v>16.100000000000001</v>
      </c>
      <c r="R495" s="43">
        <f t="shared" si="2331"/>
        <v>10.273972602739747</v>
      </c>
      <c r="S495" s="653">
        <v>17.2</v>
      </c>
      <c r="T495" s="43">
        <f t="shared" si="2331"/>
        <v>16.21621621621621</v>
      </c>
      <c r="U495" s="653">
        <v>18.899999999999999</v>
      </c>
      <c r="V495" s="43">
        <f t="shared" si="2331"/>
        <v>13.855421686746965</v>
      </c>
      <c r="W495" s="653">
        <v>23.8</v>
      </c>
      <c r="X495" s="43">
        <f t="shared" si="2332"/>
        <v>36</v>
      </c>
      <c r="Y495" s="653">
        <v>23.8</v>
      </c>
      <c r="Z495" s="43">
        <f t="shared" si="2346"/>
        <v>47.826086956521721</v>
      </c>
      <c r="AA495" s="653">
        <v>23.8</v>
      </c>
      <c r="AB495" s="43">
        <f t="shared" si="2347"/>
        <v>38.372093023255815</v>
      </c>
      <c r="AC495" s="653">
        <v>23.8</v>
      </c>
      <c r="AD495" s="43">
        <f t="shared" si="2348"/>
        <v>25.925925925925924</v>
      </c>
      <c r="AE495" s="653">
        <v>23.8</v>
      </c>
      <c r="AF495" s="43">
        <f t="shared" si="2349"/>
        <v>0</v>
      </c>
      <c r="AG495" s="653">
        <v>23.8</v>
      </c>
      <c r="AH495" s="9"/>
      <c r="AI495" s="653">
        <v>23.8</v>
      </c>
      <c r="AJ495" s="9"/>
      <c r="AK495" s="653">
        <v>23.8</v>
      </c>
      <c r="AL495" s="9"/>
      <c r="AM495" s="653">
        <v>23.8</v>
      </c>
      <c r="AN495" s="9"/>
      <c r="AO495" s="653"/>
      <c r="AP495" s="9"/>
      <c r="AQ495" s="691"/>
      <c r="AR495" s="9"/>
      <c r="AS495" s="691"/>
      <c r="AT495" s="9"/>
      <c r="AU495" s="691"/>
      <c r="AV495" s="9"/>
      <c r="AW495" s="691"/>
      <c r="AX495" s="9"/>
      <c r="AY495" s="287"/>
      <c r="AZ495" s="64"/>
      <c r="BA495" s="9"/>
      <c r="BB495" s="691"/>
      <c r="BC495" s="9" t="str">
        <f>IF(ISERROR(BB495/#REF!),"NA",IF(OR(BB495/#REF!&gt;2,BB495/#REF!&lt;0.5),"NM",BB495/#REF!*100-100))</f>
        <v>NA</v>
      </c>
      <c r="BD495" s="930"/>
      <c r="BE495" s="9" t="str">
        <f t="shared" si="2388"/>
        <v>NA</v>
      </c>
      <c r="BF495" s="691"/>
      <c r="BG495" s="9" t="str">
        <f t="shared" si="2388"/>
        <v>NA</v>
      </c>
      <c r="BH495" s="691"/>
      <c r="BI495" s="9" t="str">
        <f t="shared" si="2388"/>
        <v>NA</v>
      </c>
      <c r="BJ495" s="691"/>
      <c r="BK495" s="9" t="str">
        <f t="shared" si="2388"/>
        <v>NA</v>
      </c>
      <c r="BL495" s="691"/>
      <c r="BM495" s="9" t="str">
        <f t="shared" si="2388"/>
        <v>NA</v>
      </c>
      <c r="BN495" s="691"/>
      <c r="BO495" s="9" t="str">
        <f t="shared" si="2388"/>
        <v>NA</v>
      </c>
      <c r="BP495" s="691"/>
      <c r="BQ495" s="9" t="str">
        <f t="shared" si="2388"/>
        <v>NA</v>
      </c>
      <c r="BR495" s="691"/>
      <c r="BS495" s="9" t="str">
        <f t="shared" si="2388"/>
        <v>NA</v>
      </c>
      <c r="BT495" s="691"/>
      <c r="BU495" s="9" t="str">
        <f t="shared" si="2454"/>
        <v>NA</v>
      </c>
      <c r="BV495" s="43"/>
      <c r="BW495" s="722"/>
      <c r="BX495" s="722"/>
      <c r="BY495"/>
      <c r="BZ495"/>
      <c r="CA495"/>
      <c r="CB495"/>
      <c r="CC495"/>
      <c r="CD495"/>
    </row>
    <row r="496" spans="1:83" s="2" customFormat="1" ht="12.75" hidden="1" customHeight="1" outlineLevel="1" x14ac:dyDescent="0.2">
      <c r="A496" s="41"/>
      <c r="B496" s="62" t="s">
        <v>62</v>
      </c>
      <c r="C496" s="93">
        <f>IF(ISERROR(C495/C494),"NA",IF((C495/C494)&gt;1,"NM",IF((C495/C494)&lt;0,"NM",(C495/C494*100))))</f>
        <v>34.796238244514136</v>
      </c>
      <c r="D496" s="9" t="str">
        <f>IF(ISERROR(C496/#REF!),"NA",IF(OR(C496/#REF!&gt;2,C496/#REF!&lt;0.5),"NM",C496/#REF!*100-100))</f>
        <v>NA</v>
      </c>
      <c r="E496" s="93">
        <f>IF(ISERROR(E495/E494),"NA",IF((E495/E494)&gt;1,"NM",IF((E495/E494)&lt;0,"NM",(E495/E494*100))))</f>
        <v>34.936708860759495</v>
      </c>
      <c r="F496" s="9" t="str">
        <f>IF(ISERROR(E496/#REF!),"NA",IF(OR(E496/#REF!&gt;2,E496/#REF!&lt;0.5),"NM",E496/#REF!*100-100))</f>
        <v>NA</v>
      </c>
      <c r="G496" s="93">
        <f>IF(ISERROR(G495/G494),"NA",IF((G495/G494)&gt;1,"NM",IF((G495/G494)&lt;0,"NM",(G495/G494*100))))</f>
        <v>34.907597535934258</v>
      </c>
      <c r="H496" s="9" t="str">
        <f>IF(ISERROR(G496/#REF!),"NA",IF(OR(G496/#REF!&gt;2,G496/#REF!&lt;0.5),"NM",G496/#REF!*100-100))</f>
        <v>NA</v>
      </c>
      <c r="I496" s="92">
        <f>IF(ISERROR(I495/I494),"NA",IF((I495/I494)&gt;1,"NM",IF((I495/I494)&lt;0,"NM",(I495/I494*100))))</f>
        <v>35.011990407673913</v>
      </c>
      <c r="J496" s="9" t="str">
        <f>IF(ISERROR(I496/#REF!),"NA",IF(OR(I496/#REF!&gt;2,I496/#REF!&lt;0.5),"NM",I496/#REF!*100-100))</f>
        <v>NA</v>
      </c>
      <c r="K496" s="92">
        <f>IF(ISERROR(K495/K494),"NA",IF((K495/K494)&gt;1,"NM",IF((K495/K494)&lt;0,"NM",(K495/K494*100))))</f>
        <v>36.185819070904572</v>
      </c>
      <c r="L496" s="9">
        <f>IF(ISERROR(K496/C496),"NA",IF(OR(K496/C496&gt;2,K496/C496&lt;0.5),"NM",K496/C496*100-100))</f>
        <v>3.9934800325995354</v>
      </c>
      <c r="M496" s="92">
        <f>IF(ISERROR(M495/M494),"NA",IF((M495/M494)&gt;1,"NM",IF((M495/M494)&lt;0,"NM",(M495/M494*100))))</f>
        <v>36.403508771929808</v>
      </c>
      <c r="N496" s="9">
        <f>IF(ISERROR(M496/E496),"NA",IF(OR(M496/E496&gt;2,M496/E496&lt;0.5),"NM",M496/E496*100-100))</f>
        <v>4.1984490211034284</v>
      </c>
      <c r="O496" s="92">
        <f>IF(ISERROR(O495/O494),"NA",IF((O495/O494)&gt;1,"NM",IF((O495/O494)&lt;0,"NM",(O495/O494*100))))</f>
        <v>36.00823045267488</v>
      </c>
      <c r="P496" s="43">
        <f t="shared" si="2331"/>
        <v>3.1529895908981302</v>
      </c>
      <c r="Q496" s="92">
        <f>IF(ISERROR(Q495/Q494),"NA",IF((Q495/Q494)&gt;1,"NM",IF((Q495/Q494)&lt;0,"NM",(Q495/Q494*100))))</f>
        <v>36.507936507936542</v>
      </c>
      <c r="R496" s="43">
        <f t="shared" si="2331"/>
        <v>4.2726679712980342</v>
      </c>
      <c r="S496" s="92">
        <f>IF(ISERROR(S495/S494),"NA",IF((S495/S494)&gt;1,"NM",IF((S495/S494)&lt;0,"NM",(S495/S494*100))))</f>
        <v>36.7521367521367</v>
      </c>
      <c r="T496" s="43">
        <f t="shared" si="2331"/>
        <v>1.5650265650266135</v>
      </c>
      <c r="U496" s="92">
        <f>IF(ISERROR(U495/U494),"NA",IF((U495/U494)&gt;1,"NM",IF((U495/U494)&lt;0,"NM",(U495/U494*100))))</f>
        <v>36.770428015564178</v>
      </c>
      <c r="V496" s="43">
        <f t="shared" si="2331"/>
        <v>1.0079227415498337</v>
      </c>
      <c r="W496" s="92">
        <f t="shared" ref="W496:Y496" si="2455">IF(ISERROR(W495/W494),"NA",IF((W495/W494)&gt;1,"NM",IF((W495/W494)&lt;0,"NM",(W495/W494*100))))</f>
        <v>36.391437308868511</v>
      </c>
      <c r="X496" s="43">
        <f t="shared" si="2332"/>
        <v>1.064220183486313</v>
      </c>
      <c r="Y496" s="92">
        <f t="shared" si="2455"/>
        <v>41.901408450704217</v>
      </c>
      <c r="Z496" s="43">
        <f t="shared" si="2346"/>
        <v>14.773423147581013</v>
      </c>
      <c r="AA496" s="92">
        <f t="shared" ref="AA496:AC496" si="2456">IF(ISERROR(AA495/AA494),"NA",IF((AA495/AA494)&gt;1,"NM",IF((AA495/AA494)&lt;0,"NM",(AA495/AA494*100))))</f>
        <v>61.658031088082957</v>
      </c>
      <c r="AB496" s="43">
        <f t="shared" si="2347"/>
        <v>67.767200867574786</v>
      </c>
      <c r="AC496" s="92">
        <f t="shared" si="2456"/>
        <v>35.789473684210463</v>
      </c>
      <c r="AD496" s="43">
        <f t="shared" si="2348"/>
        <v>-2.6677805625175068</v>
      </c>
      <c r="AE496" s="92">
        <f t="shared" ref="AE496:AG496" si="2457">IF(ISERROR(AE495/AE494),"NA",IF((AE495/AE494)&gt;1,"NM",IF((AE495/AE494)&lt;0,"NM",(AE495/AE494*100))))</f>
        <v>32.205683355886293</v>
      </c>
      <c r="AF496" s="43">
        <f t="shared" si="2349"/>
        <v>-11.502029769959535</v>
      </c>
      <c r="AG496" s="92">
        <f t="shared" si="2457"/>
        <v>33.101529902642568</v>
      </c>
      <c r="AH496" s="9"/>
      <c r="AI496" s="92">
        <f t="shared" ref="AI496:AK496" si="2458">IF(ISERROR(AI495/AI494),"NA",IF((AI495/AI494)&gt;1,"NM",IF((AI495/AI494)&lt;0,"NM",(AI495/AI494*100))))</f>
        <v>52.307692307692314</v>
      </c>
      <c r="AJ496" s="9"/>
      <c r="AK496" s="92">
        <f t="shared" si="2458"/>
        <v>37.421383647798763</v>
      </c>
      <c r="AL496" s="9"/>
      <c r="AM496" s="92">
        <f t="shared" ref="AM496:AO496" si="2459">IF(ISERROR(AM495/AM494),"NA",IF((AM495/AM494)&gt;1,"NM",IF((AM495/AM494)&lt;0,"NM",(AM495/AM494*100))))</f>
        <v>28.400954653937944</v>
      </c>
      <c r="AN496" s="9"/>
      <c r="AO496" s="92">
        <f t="shared" si="2459"/>
        <v>0</v>
      </c>
      <c r="AP496" s="9"/>
      <c r="AQ496" s="111"/>
      <c r="AR496" s="9"/>
      <c r="AS496" s="111"/>
      <c r="AT496" s="9"/>
      <c r="AU496" s="111"/>
      <c r="AV496" s="9"/>
      <c r="AW496" s="111"/>
      <c r="AX496" s="9"/>
      <c r="AY496" s="287"/>
      <c r="AZ496" s="15"/>
      <c r="BA496" s="9"/>
      <c r="BB496" s="92"/>
      <c r="BC496" s="9"/>
      <c r="BD496" s="945"/>
      <c r="BE496" s="9"/>
      <c r="BF496" s="92"/>
      <c r="BG496" s="9"/>
      <c r="BH496" s="92"/>
      <c r="BI496" s="9"/>
      <c r="BJ496" s="92"/>
      <c r="BK496" s="9"/>
      <c r="BL496" s="92"/>
      <c r="BM496" s="9"/>
      <c r="BN496" s="111"/>
      <c r="BO496" s="9"/>
      <c r="BP496" s="111"/>
      <c r="BQ496" s="9"/>
      <c r="BR496" s="111"/>
      <c r="BS496" s="9"/>
      <c r="BT496" s="111"/>
      <c r="BU496" s="9"/>
      <c r="BV496" s="43"/>
      <c r="BW496" s="722"/>
      <c r="BX496" s="722"/>
      <c r="BY496"/>
      <c r="BZ496"/>
      <c r="CA496"/>
      <c r="CB496"/>
      <c r="CC496"/>
      <c r="CD496"/>
    </row>
    <row r="497" spans="1:83" s="2" customFormat="1" ht="12.75" hidden="1" customHeight="1" outlineLevel="1" x14ac:dyDescent="0.2">
      <c r="A497" s="66" t="s">
        <v>229</v>
      </c>
      <c r="B497" s="67" t="s">
        <v>411</v>
      </c>
      <c r="C497" s="695">
        <f>+C494-C495</f>
        <v>20.799999999999976</v>
      </c>
      <c r="D497" s="9" t="str">
        <f>IF(ISERROR(C497/#REF!),"NA",IF(OR(C497/#REF!&gt;2,C497/#REF!&lt;0.5),"NM",C497/#REF!*100-100))</f>
        <v>NA</v>
      </c>
      <c r="E497" s="695">
        <f>+E494-E495</f>
        <v>25.7</v>
      </c>
      <c r="F497" s="9" t="str">
        <f>IF(ISERROR(E497/#REF!),"NA",IF(OR(E497/#REF!&gt;2,E497/#REF!&lt;0.5),"NM",E497/#REF!*100-100))</f>
        <v>NA</v>
      </c>
      <c r="G497" s="695">
        <f>+G494-G495</f>
        <v>31.700000000000045</v>
      </c>
      <c r="H497" s="9" t="str">
        <f>IF(ISERROR(G497/#REF!),"NA",IF(OR(G497/#REF!&gt;2,G497/#REF!&lt;0.5),"NM",G497/#REF!*100-100))</f>
        <v>NA</v>
      </c>
      <c r="I497" s="695">
        <f>+I494-I495</f>
        <v>27.09999999999993</v>
      </c>
      <c r="J497" s="9" t="str">
        <f>IF(ISERROR(I497/#REF!),"NA",IF(OR(I497/#REF!&gt;2,I497/#REF!&lt;0.5),"NM",I497/#REF!*100-100))</f>
        <v>NA</v>
      </c>
      <c r="K497" s="695">
        <f>+K494-K495</f>
        <v>26.10000000000009</v>
      </c>
      <c r="L497" s="9">
        <f>IF(ISERROR(K497/C497),"NA",IF(OR(K497/C497&gt;2,K497/C497&lt;0.5),"NM",K497/C497*100-100))</f>
        <v>25.480769230769809</v>
      </c>
      <c r="M497" s="695">
        <f>+M494-M495</f>
        <v>29.000000000000021</v>
      </c>
      <c r="N497" s="9">
        <f>IF(ISERROR(M497/E497),"NA",IF(OR(M497/E497&gt;2,M497/E497&lt;0.5),"NM",M497/E497*100-100))</f>
        <v>12.840466926070121</v>
      </c>
      <c r="O497" s="695">
        <f>+O494-O495</f>
        <v>31.100000000000023</v>
      </c>
      <c r="P497" s="43">
        <f t="shared" si="2331"/>
        <v>-1.8927444794953345</v>
      </c>
      <c r="Q497" s="695">
        <f>+Q494-Q495</f>
        <v>27.999999999999964</v>
      </c>
      <c r="R497" s="43">
        <f t="shared" si="2331"/>
        <v>3.3210332103322315</v>
      </c>
      <c r="S497" s="695">
        <f>+S494-S495</f>
        <v>29.600000000000069</v>
      </c>
      <c r="T497" s="43">
        <f t="shared" si="2331"/>
        <v>13.409961685823617</v>
      </c>
      <c r="U497" s="695">
        <f>+U494-U495</f>
        <v>32.500000000000036</v>
      </c>
      <c r="V497" s="43">
        <f t="shared" si="2331"/>
        <v>12.068965517241409</v>
      </c>
      <c r="W497" s="695">
        <f t="shared" ref="W497:Y497" si="2460">+W494-W495</f>
        <v>41.59999999999998</v>
      </c>
      <c r="X497" s="43">
        <f t="shared" si="2332"/>
        <v>33.762057877813334</v>
      </c>
      <c r="Y497" s="695">
        <f t="shared" si="2460"/>
        <v>33.000000000000014</v>
      </c>
      <c r="Z497" s="43">
        <f t="shared" si="2346"/>
        <v>17.85714285714306</v>
      </c>
      <c r="AA497" s="695">
        <f t="shared" ref="AA497:AC497" si="2461">+AA494-AA495</f>
        <v>14.799999999999965</v>
      </c>
      <c r="AB497" s="43" t="str">
        <f t="shared" si="2347"/>
        <v>NM</v>
      </c>
      <c r="AC497" s="695">
        <f t="shared" si="2461"/>
        <v>42.700000000000117</v>
      </c>
      <c r="AD497" s="43">
        <f t="shared" si="2348"/>
        <v>31.384615384615614</v>
      </c>
      <c r="AE497" s="695">
        <f t="shared" ref="AE497:AG497" si="2462">+AE494-AE495</f>
        <v>50.100000000000094</v>
      </c>
      <c r="AF497" s="43">
        <f t="shared" si="2349"/>
        <v>20.432692307692605</v>
      </c>
      <c r="AG497" s="695">
        <f t="shared" si="2462"/>
        <v>48.09999999999998</v>
      </c>
      <c r="AH497" s="9"/>
      <c r="AI497" s="695">
        <f t="shared" ref="AI497:AK497" si="2463">+AI494-AI495</f>
        <v>21.7</v>
      </c>
      <c r="AJ497" s="9"/>
      <c r="AK497" s="695">
        <f t="shared" si="2463"/>
        <v>39.799999999999969</v>
      </c>
      <c r="AL497" s="9"/>
      <c r="AM497" s="695">
        <f t="shared" ref="AM497:AO497" si="2464">+AM494-AM495</f>
        <v>60.000000000000014</v>
      </c>
      <c r="AN497" s="9"/>
      <c r="AO497" s="695">
        <f t="shared" si="2464"/>
        <v>62.599999999999909</v>
      </c>
      <c r="AP497" s="9"/>
      <c r="AQ497" s="695"/>
      <c r="AR497" s="9"/>
      <c r="AS497" s="695"/>
      <c r="AT497" s="9"/>
      <c r="AU497" s="695"/>
      <c r="AV497" s="9"/>
      <c r="AW497" s="695"/>
      <c r="AX497" s="9"/>
      <c r="AY497" s="287"/>
      <c r="AZ497" s="68"/>
      <c r="BA497" s="9"/>
      <c r="BB497" s="695"/>
      <c r="BC497" s="9"/>
      <c r="BD497" s="912"/>
      <c r="BE497" s="9"/>
      <c r="BF497" s="695"/>
      <c r="BG497" s="9"/>
      <c r="BH497" s="695"/>
      <c r="BI497" s="9"/>
      <c r="BJ497" s="695"/>
      <c r="BK497" s="9"/>
      <c r="BL497" s="695"/>
      <c r="BM497" s="9"/>
      <c r="BN497" s="695"/>
      <c r="BO497" s="9"/>
      <c r="BP497" s="695"/>
      <c r="BQ497" s="9"/>
      <c r="BR497" s="695"/>
      <c r="BS497" s="9"/>
      <c r="BT497" s="695"/>
      <c r="BU497" s="9"/>
      <c r="BV497" s="43"/>
      <c r="BW497" s="722"/>
      <c r="BX497" s="722"/>
      <c r="BY497"/>
      <c r="BZ497"/>
      <c r="CA497"/>
      <c r="CB497"/>
      <c r="CC497"/>
      <c r="CD497"/>
    </row>
    <row r="498" spans="1:83" s="2" customFormat="1" ht="12.75" customHeight="1" collapsed="1" x14ac:dyDescent="0.2">
      <c r="A498" s="66"/>
      <c r="B498" s="67"/>
      <c r="C498" s="696"/>
      <c r="D498" s="9"/>
      <c r="E498" s="696"/>
      <c r="F498" s="9"/>
      <c r="G498" s="696"/>
      <c r="H498" s="9"/>
      <c r="I498" s="696"/>
      <c r="J498" s="9"/>
      <c r="K498" s="696"/>
      <c r="L498" s="9"/>
      <c r="M498" s="696"/>
      <c r="N498" s="9"/>
      <c r="O498" s="696"/>
      <c r="P498" s="43"/>
      <c r="Q498" s="696"/>
      <c r="R498" s="43"/>
      <c r="S498" s="696"/>
      <c r="T498" s="43"/>
      <c r="U498" s="696"/>
      <c r="V498" s="43"/>
      <c r="W498" s="696"/>
      <c r="X498" s="43"/>
      <c r="Y498" s="696"/>
      <c r="Z498" s="43"/>
      <c r="AA498" s="696"/>
      <c r="AB498" s="43"/>
      <c r="AC498" s="696"/>
      <c r="AD498" s="43"/>
      <c r="AE498" s="696"/>
      <c r="AF498" s="43"/>
      <c r="AG498" s="696"/>
      <c r="AH498" s="9"/>
      <c r="AI498" s="696"/>
      <c r="AJ498" s="9"/>
      <c r="AK498" s="696"/>
      <c r="AL498" s="9"/>
      <c r="AM498" s="696"/>
      <c r="AN498" s="9"/>
      <c r="AO498" s="696"/>
      <c r="AP498" s="9"/>
      <c r="AQ498" s="696"/>
      <c r="AR498" s="9"/>
      <c r="AS498" s="696"/>
      <c r="AT498" s="9"/>
      <c r="AU498" s="696"/>
      <c r="AV498" s="9"/>
      <c r="AW498" s="696"/>
      <c r="AX498" s="9"/>
      <c r="AY498" s="287"/>
      <c r="AZ498" s="79"/>
      <c r="BA498" s="9"/>
      <c r="BB498" s="696"/>
      <c r="BC498" s="9"/>
      <c r="BD498" s="923"/>
      <c r="BE498" s="9"/>
      <c r="BF498" s="696"/>
      <c r="BG498" s="9"/>
      <c r="BH498" s="696"/>
      <c r="BI498" s="9"/>
      <c r="BJ498" s="696"/>
      <c r="BK498" s="9"/>
      <c r="BL498" s="696"/>
      <c r="BM498" s="9"/>
      <c r="BN498" s="696"/>
      <c r="BO498" s="9"/>
      <c r="BP498" s="696"/>
      <c r="BQ498" s="9"/>
      <c r="BR498" s="696"/>
      <c r="BS498" s="9"/>
      <c r="BT498" s="696"/>
      <c r="BU498" s="9"/>
      <c r="BV498" s="722"/>
      <c r="BW498" s="722"/>
      <c r="BX498" s="722"/>
      <c r="BY498"/>
      <c r="BZ498"/>
      <c r="CA498"/>
      <c r="CB498"/>
      <c r="CC498"/>
      <c r="CD498"/>
    </row>
    <row r="499" spans="1:83" s="7" customFormat="1" ht="12.75" customHeight="1" x14ac:dyDescent="0.2">
      <c r="A499" s="80"/>
      <c r="B499" s="62" t="s">
        <v>59</v>
      </c>
      <c r="C499" s="132">
        <v>0</v>
      </c>
      <c r="D499" s="9" t="str">
        <f>IF(ISERROR(C499/#REF!),"NA",IF(OR(C499/#REF!&gt;2,C499/#REF!&lt;0.5),"NM",C499/#REF!*100-100))</f>
        <v>NA</v>
      </c>
      <c r="E499" s="132">
        <v>0</v>
      </c>
      <c r="F499" s="9" t="str">
        <f>IF(ISERROR(E499/#REF!),"NA",IF(OR(E499/#REF!&gt;2,E499/#REF!&lt;0.5),"NM",E499/#REF!*100-100))</f>
        <v>NA</v>
      </c>
      <c r="G499" s="132">
        <v>0</v>
      </c>
      <c r="H499" s="9" t="str">
        <f>IF(ISERROR(G499/#REF!),"NA",IF(OR(G499/#REF!&gt;2,G499/#REF!&lt;0.5),"NM",G499/#REF!*100-100))</f>
        <v>NA</v>
      </c>
      <c r="I499" s="132">
        <v>0</v>
      </c>
      <c r="J499" s="9" t="str">
        <f>IF(ISERROR(I499/#REF!),"NA",IF(OR(I499/#REF!&gt;2,I499/#REF!&lt;0.5),"NM",I499/#REF!*100-100))</f>
        <v>NA</v>
      </c>
      <c r="K499" s="132">
        <v>0</v>
      </c>
      <c r="L499" s="9" t="str">
        <f>IF(ISERROR(K499/C499),"NA",IF(OR(K499/C499&gt;2,K499/C499&lt;0.5),"NM",K499/C499*100-100))</f>
        <v>NA</v>
      </c>
      <c r="M499" s="132">
        <v>0</v>
      </c>
      <c r="N499" s="9" t="str">
        <f>IF(ISERROR(M499/E499),"NA",IF(OR(M499/E499&gt;2,M499/E499&lt;0.5),"NM",M499/E499*100-100))</f>
        <v>NA</v>
      </c>
      <c r="O499" s="132">
        <v>0</v>
      </c>
      <c r="P499" s="43" t="str">
        <f t="shared" si="2331"/>
        <v>NA</v>
      </c>
      <c r="Q499" s="132">
        <v>0</v>
      </c>
      <c r="R499" s="43" t="str">
        <f t="shared" si="2331"/>
        <v>NA</v>
      </c>
      <c r="S499" s="132">
        <f>3/0.65</f>
        <v>4.615384615384615</v>
      </c>
      <c r="T499" s="43" t="str">
        <f t="shared" si="2331"/>
        <v>NA</v>
      </c>
      <c r="U499" s="132">
        <v>0</v>
      </c>
      <c r="V499" s="43" t="str">
        <f t="shared" si="2331"/>
        <v>NA</v>
      </c>
      <c r="W499" s="132">
        <f>7.9/0.65</f>
        <v>12.153846153846153</v>
      </c>
      <c r="X499" s="43" t="str">
        <f t="shared" si="2332"/>
        <v>NA</v>
      </c>
      <c r="Y499" s="132">
        <v>0</v>
      </c>
      <c r="Z499" s="43" t="str">
        <f t="shared" si="2346"/>
        <v>NA</v>
      </c>
      <c r="AA499" s="132">
        <v>0</v>
      </c>
      <c r="AB499" s="43" t="str">
        <f t="shared" si="2347"/>
        <v>NM</v>
      </c>
      <c r="AC499" s="132">
        <v>0</v>
      </c>
      <c r="AD499" s="43" t="str">
        <f t="shared" si="2348"/>
        <v>NA</v>
      </c>
      <c r="AE499" s="132">
        <v>17.899999999999999</v>
      </c>
      <c r="AF499" s="43">
        <f t="shared" si="2349"/>
        <v>47.278481012658204</v>
      </c>
      <c r="AG499" s="132">
        <v>5</v>
      </c>
      <c r="AH499" s="9" t="str">
        <f>IF(ISERROR(AG499/Y499),"NA",IF(OR(AG499/Y499&gt;2,AG499/Y499&lt;0.5),"NM",AG499/Y499*100-100))</f>
        <v>NA</v>
      </c>
      <c r="AI499" s="132">
        <f>6-6</f>
        <v>0</v>
      </c>
      <c r="AJ499" s="9" t="str">
        <f t="shared" ref="AJ499:AJ500" si="2465">IF(ISERROR(AI499/AA499),"NA",IF(OR(AI499/AA499&gt;2,AI499/AA499&lt;0.5),"NM",AI499/AA499*100-100))</f>
        <v>NA</v>
      </c>
      <c r="AK499" s="132">
        <f>6-6</f>
        <v>0</v>
      </c>
      <c r="AL499" s="9" t="str">
        <f t="shared" ref="AL499:AL500" si="2466">IF(ISERROR(AK499/AC499),"NA",IF(OR(AK499/AC499&gt;2,AK499/AC499&lt;0.5),"NM",AK499/AC499*100-100))</f>
        <v>NA</v>
      </c>
      <c r="AM499" s="132">
        <v>14</v>
      </c>
      <c r="AN499" s="9">
        <f t="shared" ref="AN499:AN500" si="2467">IF(ISERROR(AM499/AE499),"NA",IF(OR(AM499/AE499&gt;2,AM499/AE499&lt;0.5),"NM",AM499/AE499*100-100))</f>
        <v>-21.787709497206691</v>
      </c>
      <c r="AO499" s="132">
        <v>0</v>
      </c>
      <c r="AP499" s="9" t="str">
        <f t="shared" ref="AP499:AP500" si="2468">IF(ISERROR(AO499/AG499),"NA",IF(OR(AO499/AG499&gt;2,AO499/AG499&lt;0.5),"NM",AO499/AG499*100-100))</f>
        <v>NM</v>
      </c>
      <c r="AQ499" s="132">
        <v>0</v>
      </c>
      <c r="AR499" s="9" t="str">
        <f t="shared" ref="AR499:AR500" si="2469">IF(ISERROR(AQ499/AI499),"NA",IF(OR(AQ499/AI499&gt;2,AQ499/AI499&lt;0.5),"NM",AQ499/AI499*100-100))</f>
        <v>NA</v>
      </c>
      <c r="AS499" s="132">
        <v>0</v>
      </c>
      <c r="AT499" s="9" t="str">
        <f t="shared" ref="AT499:AT500" si="2470">IF(ISERROR(AS499/AK499),"NA",IF(OR(AS499/AK499&gt;2,AS499/AK499&lt;0.5),"NM",AS499/AK499*100-100))</f>
        <v>NA</v>
      </c>
      <c r="AU499" s="132">
        <v>0</v>
      </c>
      <c r="AV499" s="9" t="str">
        <f t="shared" ref="AV499:AV500" si="2471">IF(ISERROR(AU499/AM499),"NA",IF(OR(AU499/AM499&gt;2,AU499/AM499&lt;0.5),"NM",AU499/AM499*100-100))</f>
        <v>NM</v>
      </c>
      <c r="AW499" s="132">
        <v>0</v>
      </c>
      <c r="AX499" s="9" t="str">
        <f t="shared" ref="AX499:AX500" si="2472">IF(ISERROR(AW499/AO499),"NA",IF(OR(AW499/AO499&gt;2,AW499/AO499&lt;0.5),"NM",AW499/AO499*100-100))</f>
        <v>NA</v>
      </c>
      <c r="AY499" s="287"/>
      <c r="AZ499" s="120"/>
      <c r="BA499" s="9" t="str">
        <f>IF(ISERROR(#REF!/#REF!),"NA",IF(OR(#REF!/#REF!&gt;2,#REF!/#REF!&lt;0.5),"NM",#REF!/#REF!*100-100))</f>
        <v>NA</v>
      </c>
      <c r="BB499" s="55">
        <f>C499+E499+G499+I499</f>
        <v>0</v>
      </c>
      <c r="BC499" s="9" t="str">
        <f>IF(ISERROR(BB499/#REF!),"NA",IF(OR(BB499/#REF!&gt;2,BB499/#REF!&lt;0.5),"NM",BB499/#REF!*100-100))</f>
        <v>NA</v>
      </c>
      <c r="BD499" s="908">
        <f>K499+M499+O499+Q499</f>
        <v>0</v>
      </c>
      <c r="BE499" s="9" t="str">
        <f t="shared" ref="BE499:BS500" si="2473">IF(ISERROR(BD499/BB499),"NA",IF(OR(BD499/BB499&gt;2,BD499/BB499&lt;0.5),"NM",BD499/BB499*100-100))</f>
        <v>NA</v>
      </c>
      <c r="BF499" s="55">
        <f>S499+U499+W499+Y499</f>
        <v>16.769230769230766</v>
      </c>
      <c r="BG499" s="9" t="str">
        <f t="shared" si="2473"/>
        <v>NA</v>
      </c>
      <c r="BH499" s="55">
        <f>AA499+AC499+AE499+AG499</f>
        <v>22.9</v>
      </c>
      <c r="BI499" s="9">
        <f t="shared" si="2473"/>
        <v>36.559633027522949</v>
      </c>
      <c r="BJ499" s="55">
        <f>AI499+AK499+AM499+AO499</f>
        <v>14</v>
      </c>
      <c r="BK499" s="9">
        <f t="shared" si="2473"/>
        <v>-38.864628820960689</v>
      </c>
      <c r="BL499" s="55">
        <f>AQ499+AS499+AU499+AW499</f>
        <v>0</v>
      </c>
      <c r="BM499" s="9" t="str">
        <f t="shared" si="2473"/>
        <v>NM</v>
      </c>
      <c r="BN499" s="132">
        <v>0</v>
      </c>
      <c r="BO499" s="9" t="str">
        <f t="shared" si="2473"/>
        <v>NA</v>
      </c>
      <c r="BP499" s="132">
        <v>0</v>
      </c>
      <c r="BQ499" s="9" t="str">
        <f t="shared" si="2473"/>
        <v>NA</v>
      </c>
      <c r="BR499" s="132">
        <v>0</v>
      </c>
      <c r="BS499" s="9" t="str">
        <f t="shared" si="2473"/>
        <v>NA</v>
      </c>
      <c r="BT499" s="132">
        <v>0</v>
      </c>
      <c r="BU499" s="9" t="str">
        <f t="shared" ref="BU499:BU500" si="2474">IF(ISERROR(BT499/BR499),"NA",IF(OR(BT499/BR499&gt;2,BT499/BR499&lt;0.5),"NM",BT499/BR499*100-100))</f>
        <v>NA</v>
      </c>
      <c r="BV499" s="43" t="str">
        <f>IF(ISERROR(((BT499/BJ499)^0.2-1)*100),"NA",IF((((BT499/BJ499)^0.2-1)*100)&gt;100,"NM",IF((((BT499/BJ499)^0.2-1)*100)&lt;-50,"NM",((BT499/BJ499)^0.2-1)*100)))</f>
        <v>NM</v>
      </c>
      <c r="BW499" s="722"/>
      <c r="BX499" s="722"/>
      <c r="BY499"/>
      <c r="BZ499"/>
      <c r="CA499"/>
      <c r="CB499"/>
      <c r="CC499"/>
      <c r="CD499"/>
      <c r="CE499" s="2"/>
    </row>
    <row r="500" spans="1:83" s="7" customFormat="1" ht="12.75" customHeight="1" x14ac:dyDescent="0.2">
      <c r="A500" s="42"/>
      <c r="B500" s="67" t="s">
        <v>466</v>
      </c>
      <c r="C500" s="695">
        <f>C494-C499</f>
        <v>31.899999999999977</v>
      </c>
      <c r="D500" s="9" t="str">
        <f>IF(ISERROR(C500/#REF!),"NA",IF(OR(C500/#REF!&gt;2,C500/#REF!&lt;0.5),"NM",C500/#REF!*100-100))</f>
        <v>NA</v>
      </c>
      <c r="E500" s="695">
        <f>E494-E499</f>
        <v>39.5</v>
      </c>
      <c r="F500" s="9" t="str">
        <f>IF(ISERROR(E500/#REF!),"NA",IF(OR(E500/#REF!&gt;2,E500/#REF!&lt;0.5),"NM",E500/#REF!*100-100))</f>
        <v>NA</v>
      </c>
      <c r="G500" s="695">
        <f>G494-G499</f>
        <v>48.700000000000045</v>
      </c>
      <c r="H500" s="9" t="str">
        <f>IF(ISERROR(G500/#REF!),"NA",IF(OR(G500/#REF!&gt;2,G500/#REF!&lt;0.5),"NM",G500/#REF!*100-100))</f>
        <v>NA</v>
      </c>
      <c r="I500" s="695">
        <f>I494-I499</f>
        <v>41.699999999999932</v>
      </c>
      <c r="J500" s="9" t="str">
        <f>IF(ISERROR(I500/#REF!),"NA",IF(OR(I500/#REF!&gt;2,I500/#REF!&lt;0.5),"NM",I500/#REF!*100-100))</f>
        <v>NA</v>
      </c>
      <c r="K500" s="695">
        <f>K494-K499</f>
        <v>40.900000000000091</v>
      </c>
      <c r="L500" s="613">
        <f>IF(ISERROR(K500/C500),"NA",IF(OR(K500/C500&gt;2,K500/C500&lt;0.5),"NM",K500/C500*100-100))</f>
        <v>28.213166144200983</v>
      </c>
      <c r="M500" s="695">
        <f>M494-M499</f>
        <v>45.600000000000023</v>
      </c>
      <c r="N500" s="9">
        <f>IF(ISERROR(M500/E500),"NA",IF(OR(M500/E500&gt;2,M500/E500&lt;0.5),"NM",M500/E500*100-100))</f>
        <v>15.443037974683605</v>
      </c>
      <c r="O500" s="695">
        <f>O494-O499</f>
        <v>48.600000000000023</v>
      </c>
      <c r="P500" s="43">
        <f t="shared" si="2331"/>
        <v>-0.20533880903495572</v>
      </c>
      <c r="Q500" s="695">
        <f>Q494-Q499</f>
        <v>44.099999999999966</v>
      </c>
      <c r="R500" s="43">
        <f t="shared" si="2331"/>
        <v>5.7553956834533295</v>
      </c>
      <c r="S500" s="695">
        <f>S494-S499</f>
        <v>42.184615384615455</v>
      </c>
      <c r="T500" s="43">
        <f t="shared" si="2331"/>
        <v>3.1408689110400019</v>
      </c>
      <c r="U500" s="695">
        <f>U494-U499</f>
        <v>51.400000000000034</v>
      </c>
      <c r="V500" s="43">
        <f t="shared" si="2331"/>
        <v>12.71929824561407</v>
      </c>
      <c r="W500" s="695">
        <f>W494-W499</f>
        <v>53.246153846153824</v>
      </c>
      <c r="X500" s="43">
        <f t="shared" si="2332"/>
        <v>9.5599873377650226</v>
      </c>
      <c r="Y500" s="695">
        <f>Y494-Y499</f>
        <v>56.800000000000011</v>
      </c>
      <c r="Z500" s="43">
        <f t="shared" si="2346"/>
        <v>28.798185941043215</v>
      </c>
      <c r="AA500" s="695">
        <f>AA494-AA499</f>
        <v>38.599999999999966</v>
      </c>
      <c r="AB500" s="43">
        <f t="shared" si="2347"/>
        <v>-8.4974471188915572</v>
      </c>
      <c r="AC500" s="695">
        <f>AC494-AC499</f>
        <v>66.500000000000114</v>
      </c>
      <c r="AD500" s="43">
        <f t="shared" si="2348"/>
        <v>29.37743190661493</v>
      </c>
      <c r="AE500" s="695">
        <f>AE494-AE499</f>
        <v>56.000000000000092</v>
      </c>
      <c r="AF500" s="43">
        <f t="shared" si="2349"/>
        <v>5.171915631320644</v>
      </c>
      <c r="AG500" s="695">
        <f>AG494-AG499</f>
        <v>66.899999999999977</v>
      </c>
      <c r="AH500" s="9">
        <f>IF(ISERROR(AG500/Y500),"NA",IF(OR(AG500/Y500&gt;2,AG500/Y500&lt;0.5),"NM",AG500/Y500*100-100))</f>
        <v>17.781690140845001</v>
      </c>
      <c r="AI500" s="695">
        <f>AI494-AI499</f>
        <v>45.5</v>
      </c>
      <c r="AJ500" s="9">
        <f t="shared" si="2465"/>
        <v>17.875647668393896</v>
      </c>
      <c r="AK500" s="695">
        <f>AK494-AK499</f>
        <v>63.599999999999966</v>
      </c>
      <c r="AL500" s="9">
        <f t="shared" si="2466"/>
        <v>-4.3609022556393029</v>
      </c>
      <c r="AM500" s="695">
        <f>AM494-AM499</f>
        <v>69.800000000000011</v>
      </c>
      <c r="AN500" s="9">
        <f t="shared" si="2467"/>
        <v>24.642857142856968</v>
      </c>
      <c r="AO500" s="695">
        <f>AO494-AO499</f>
        <v>62.599999999999909</v>
      </c>
      <c r="AP500" s="9">
        <f t="shared" si="2468"/>
        <v>-6.4275037369208832</v>
      </c>
      <c r="AQ500" s="695">
        <f t="shared" ref="AQ500" si="2475">AQ494-AQ499</f>
        <v>56.458019284956038</v>
      </c>
      <c r="AR500" s="9">
        <f t="shared" si="2469"/>
        <v>24.08355886803524</v>
      </c>
      <c r="AS500" s="695">
        <f t="shared" ref="AS500" si="2476">AS494-AS499</f>
        <v>65.749889880234036</v>
      </c>
      <c r="AT500" s="9">
        <f t="shared" si="2470"/>
        <v>3.3803300003680334</v>
      </c>
      <c r="AU500" s="695">
        <f t="shared" ref="AU500" si="2477">AU494-AU499</f>
        <v>75.248319734541496</v>
      </c>
      <c r="AV500" s="9">
        <f t="shared" si="2471"/>
        <v>7.8056156655322155</v>
      </c>
      <c r="AW500" s="695">
        <f t="shared" ref="AW500" si="2478">AW494-AW499</f>
        <v>80.076433950049818</v>
      </c>
      <c r="AX500" s="9">
        <f t="shared" si="2472"/>
        <v>27.917626118290627</v>
      </c>
      <c r="AY500" s="287"/>
      <c r="AZ500" s="15"/>
      <c r="BA500" s="9" t="str">
        <f>IF(ISERROR(#REF!/#REF!),"NA",IF(OR(#REF!/#REF!&gt;2,#REF!/#REF!&lt;0.5),"NM",#REF!/#REF!*100-100))</f>
        <v>NA</v>
      </c>
      <c r="BB500" s="695">
        <f>BB494-BB499</f>
        <v>161.79999999999973</v>
      </c>
      <c r="BC500" s="9" t="str">
        <f>IF(ISERROR(BB500/#REF!),"NA",IF(OR(BB500/#REF!&gt;2,BB500/#REF!&lt;0.5),"NM",BB500/#REF!*100-100))</f>
        <v>NA</v>
      </c>
      <c r="BD500" s="912">
        <f>BD494-BD499</f>
        <v>179.19999999999982</v>
      </c>
      <c r="BE500" s="9">
        <f t="shared" si="2473"/>
        <v>10.754017305315287</v>
      </c>
      <c r="BF500" s="695">
        <f>BF494-BF499</f>
        <v>203.63076923076954</v>
      </c>
      <c r="BG500" s="9">
        <f t="shared" si="2473"/>
        <v>13.63324175824205</v>
      </c>
      <c r="BH500" s="695">
        <f>BH494-BH499</f>
        <v>228.00000000000009</v>
      </c>
      <c r="BI500" s="9">
        <f t="shared" si="2473"/>
        <v>11.967361740707034</v>
      </c>
      <c r="BJ500" s="695">
        <f>BJ494-BJ499</f>
        <v>241.49999999999955</v>
      </c>
      <c r="BK500" s="9">
        <f t="shared" si="2473"/>
        <v>5.9210526315787178</v>
      </c>
      <c r="BL500" s="695">
        <f>BL494-BL499</f>
        <v>277.53266284978167</v>
      </c>
      <c r="BM500" s="9">
        <f t="shared" si="2473"/>
        <v>14.9203572876945</v>
      </c>
      <c r="BN500" s="695">
        <f>BN494-BN499</f>
        <v>292.15154771861262</v>
      </c>
      <c r="BO500" s="9">
        <f t="shared" si="2473"/>
        <v>5.2674466200555372</v>
      </c>
      <c r="BP500" s="695">
        <f>BP494-BP499</f>
        <v>302.56401683520153</v>
      </c>
      <c r="BQ500" s="9">
        <f t="shared" si="2473"/>
        <v>3.564064335068224</v>
      </c>
      <c r="BR500" s="695">
        <f>BR494-BR499</f>
        <v>313.05489576432819</v>
      </c>
      <c r="BS500" s="9">
        <f t="shared" si="2473"/>
        <v>3.467325374266423</v>
      </c>
      <c r="BT500" s="695">
        <f>BT494-BT499</f>
        <v>323.58675111707817</v>
      </c>
      <c r="BU500" s="9">
        <f t="shared" si="2474"/>
        <v>3.3642199803444441</v>
      </c>
      <c r="BV500" s="43">
        <f>IF(ISERROR(((BT500/BJ500)^0.2-1)*100),"NA",IF((((BT500/BJ500)^0.2-1)*100)&gt;100,"NM",IF((((BT500/BJ500)^0.2-1)*100)&lt;-50,"NM",((BT500/BJ500)^0.2-1)*100)))</f>
        <v>6.0265717735567659</v>
      </c>
      <c r="BW500" s="43"/>
      <c r="BX500" s="43"/>
      <c r="BY500"/>
      <c r="BZ500"/>
      <c r="CA500"/>
      <c r="CB500"/>
      <c r="CC500"/>
      <c r="CD500"/>
      <c r="CE500" s="2"/>
    </row>
    <row r="501" spans="1:83" s="2" customFormat="1" ht="12.75" customHeight="1" x14ac:dyDescent="0.2">
      <c r="A501" s="41"/>
      <c r="B501" s="62"/>
      <c r="C501" s="154"/>
      <c r="D501" s="40"/>
      <c r="E501" s="154"/>
      <c r="F501" s="40"/>
      <c r="G501" s="154"/>
      <c r="H501" s="40"/>
      <c r="I501" s="154"/>
      <c r="J501" s="40"/>
      <c r="K501" s="154"/>
      <c r="L501" s="40"/>
      <c r="M501" s="249"/>
      <c r="N501" s="40"/>
      <c r="O501" s="154"/>
      <c r="P501" s="43"/>
      <c r="Q501" s="154"/>
      <c r="R501" s="43"/>
      <c r="S501" s="154"/>
      <c r="T501" s="43"/>
      <c r="U501" s="154"/>
      <c r="V501" s="43"/>
      <c r="W501" s="154"/>
      <c r="X501" s="43"/>
      <c r="Y501" s="154"/>
      <c r="Z501" s="43"/>
      <c r="AA501" s="154"/>
      <c r="AB501" s="43"/>
      <c r="AC501" s="154"/>
      <c r="AD501" s="43"/>
      <c r="AE501" s="154"/>
      <c r="AF501" s="43"/>
      <c r="AG501" s="154"/>
      <c r="AH501" s="40"/>
      <c r="AI501" s="154"/>
      <c r="AJ501" s="40"/>
      <c r="AK501" s="154"/>
      <c r="AL501" s="40"/>
      <c r="AM501" s="154"/>
      <c r="AN501" s="40"/>
      <c r="AO501" s="154"/>
      <c r="AP501" s="40"/>
      <c r="AQ501" s="852"/>
      <c r="AR501" s="40"/>
      <c r="AS501" s="852"/>
      <c r="AT501" s="40"/>
      <c r="AU501" s="852"/>
      <c r="AV501" s="40"/>
      <c r="AW501" s="852"/>
      <c r="AX501" s="40"/>
      <c r="AY501" s="287"/>
      <c r="AZ501" s="15"/>
      <c r="BA501" s="40"/>
      <c r="BB501" s="249"/>
      <c r="BC501" s="9"/>
      <c r="BD501" s="946"/>
      <c r="BE501" s="9"/>
      <c r="BF501" s="249"/>
      <c r="BG501" s="9"/>
      <c r="BH501" s="154"/>
      <c r="BI501" s="9"/>
      <c r="BJ501" s="154"/>
      <c r="BK501" s="9"/>
      <c r="BL501" s="154"/>
      <c r="BM501" s="9"/>
      <c r="BN501" s="154"/>
      <c r="BO501" s="9"/>
      <c r="BP501" s="154"/>
      <c r="BQ501" s="9"/>
      <c r="BR501" s="154"/>
      <c r="BS501" s="9"/>
      <c r="BT501" s="154"/>
      <c r="BU501" s="9"/>
      <c r="BV501" s="722"/>
      <c r="BW501" s="722"/>
      <c r="BX501" s="722"/>
      <c r="BY501"/>
      <c r="BZ501"/>
      <c r="CA501"/>
      <c r="CB501"/>
      <c r="CC501"/>
      <c r="CD501"/>
    </row>
    <row r="502" spans="1:83" s="7" customFormat="1" ht="12.75" customHeight="1" x14ac:dyDescent="0.2">
      <c r="A502" s="264"/>
      <c r="B502" s="67" t="s">
        <v>317</v>
      </c>
      <c r="C502" s="697"/>
      <c r="D502" s="9"/>
      <c r="E502" s="697"/>
      <c r="F502" s="9"/>
      <c r="G502" s="697"/>
      <c r="H502" s="9"/>
      <c r="I502" s="697"/>
      <c r="J502" s="9"/>
      <c r="K502" s="697"/>
      <c r="L502" s="9"/>
      <c r="M502" s="697"/>
      <c r="N502" s="9"/>
      <c r="O502" s="697"/>
      <c r="P502" s="43"/>
      <c r="Q502" s="697"/>
      <c r="R502" s="43"/>
      <c r="S502" s="697"/>
      <c r="T502" s="43"/>
      <c r="U502" s="697"/>
      <c r="V502" s="43"/>
      <c r="W502" s="697"/>
      <c r="X502" s="43"/>
      <c r="Y502" s="697"/>
      <c r="Z502" s="43"/>
      <c r="AA502" s="697"/>
      <c r="AB502" s="43"/>
      <c r="AC502" s="697"/>
      <c r="AD502" s="43"/>
      <c r="AE502" s="697"/>
      <c r="AF502" s="43"/>
      <c r="AG502" s="697"/>
      <c r="AH502" s="9"/>
      <c r="AI502" s="697"/>
      <c r="AJ502" s="9"/>
      <c r="AK502" s="697"/>
      <c r="AL502" s="9"/>
      <c r="AM502" s="697"/>
      <c r="AN502" s="9"/>
      <c r="AO502" s="697"/>
      <c r="AP502" s="9"/>
      <c r="AQ502" s="697"/>
      <c r="AR502" s="9"/>
      <c r="AS502" s="697"/>
      <c r="AT502" s="9"/>
      <c r="AU502" s="697"/>
      <c r="AV502" s="9"/>
      <c r="AW502" s="697"/>
      <c r="AX502" s="9"/>
      <c r="AY502" s="287"/>
      <c r="AZ502" s="15"/>
      <c r="BA502" s="9"/>
      <c r="BB502" s="697"/>
      <c r="BC502" s="40"/>
      <c r="BD502" s="915"/>
      <c r="BE502" s="40"/>
      <c r="BF502" s="697"/>
      <c r="BG502" s="40"/>
      <c r="BH502" s="697"/>
      <c r="BI502" s="40"/>
      <c r="BJ502" s="697"/>
      <c r="BK502" s="40"/>
      <c r="BL502" s="697"/>
      <c r="BM502" s="40"/>
      <c r="BN502" s="697"/>
      <c r="BO502" s="40"/>
      <c r="BP502" s="697"/>
      <c r="BQ502" s="40"/>
      <c r="BR502" s="697"/>
      <c r="BS502" s="40"/>
      <c r="BT502" s="697"/>
      <c r="BU502" s="40"/>
      <c r="BV502" s="43"/>
      <c r="BW502" s="43"/>
      <c r="BX502" s="43"/>
      <c r="BY502"/>
      <c r="BZ502"/>
      <c r="CA502"/>
      <c r="CB502"/>
      <c r="CC502"/>
      <c r="CD502"/>
    </row>
    <row r="503" spans="1:83" s="2" customFormat="1" ht="12.75" customHeight="1" x14ac:dyDescent="0.2">
      <c r="A503" s="41"/>
      <c r="B503" s="42" t="s">
        <v>372</v>
      </c>
      <c r="C503" s="99">
        <f>+C494/C477*100</f>
        <v>8.6992091628033759</v>
      </c>
      <c r="D503" s="9" t="str">
        <f>IF(ISERROR(C503/#REF!),"NA",IF(OR(C503/#REF!&gt;2,C503/#REF!&lt;0.5),"NM",C503/#REF!*100-100))</f>
        <v>NA</v>
      </c>
      <c r="E503" s="99">
        <f>+E494/E477*100</f>
        <v>10.609723341391351</v>
      </c>
      <c r="F503" s="9" t="str">
        <f>IF(ISERROR(E503/#REF!),"NA",IF(OR(E503/#REF!&gt;2,E503/#REF!&lt;0.5),"NM",E503/#REF!*100-100))</f>
        <v>NA</v>
      </c>
      <c r="G503" s="99">
        <f>+G494/G477*100</f>
        <v>13.094917988706655</v>
      </c>
      <c r="H503" s="9" t="str">
        <f>IF(ISERROR(G503/#REF!),"NA",IF(OR(G503/#REF!&gt;2,G503/#REF!&lt;0.5),"NM",G503/#REF!*100-100))</f>
        <v>NA</v>
      </c>
      <c r="I503" s="99">
        <f>+I494/I477*100</f>
        <v>10.921948664222088</v>
      </c>
      <c r="J503" s="9" t="str">
        <f>IF(ISERROR(I503/#REF!),"NA",IF(OR(I503/#REF!&gt;2,I503/#REF!&lt;0.5),"NM",I503/#REF!*100-100))</f>
        <v>NA</v>
      </c>
      <c r="K503" s="99">
        <f>+K494/K477*100</f>
        <v>10.620618021293193</v>
      </c>
      <c r="L503" s="9">
        <f>IF(ISERROR(K503/C503),"NA",IF(OR(K503/C503&gt;2,K503/C503&lt;0.5),"NM",K503/C503*100-100))</f>
        <v>22.087167034740347</v>
      </c>
      <c r="M503" s="99">
        <f>+M494/M477*100</f>
        <v>11.547227146112947</v>
      </c>
      <c r="N503" s="9">
        <f>IF(ISERROR(M503/E503),"NA",IF(OR(M503/E503&gt;2,M503/E503&lt;0.5),"NM",M503/E503*100-100))</f>
        <v>8.8362700379202437</v>
      </c>
      <c r="O503" s="99">
        <f>+O494/O477*100</f>
        <v>11.997037768452239</v>
      </c>
      <c r="P503" s="43">
        <f t="shared" si="2331"/>
        <v>-8.3840175341399714</v>
      </c>
      <c r="Q503" s="99">
        <f>+Q494/Q477*100</f>
        <v>10.854048732463689</v>
      </c>
      <c r="R503" s="43">
        <f t="shared" si="2331"/>
        <v>-0.62168330804213667</v>
      </c>
      <c r="S503" s="99">
        <f>+S494/S477*100</f>
        <v>10.743801652892577</v>
      </c>
      <c r="T503" s="43">
        <f t="shared" si="2331"/>
        <v>1.1598537048636217</v>
      </c>
      <c r="U503" s="99">
        <f>+U494/U477*100</f>
        <v>12.003736571695478</v>
      </c>
      <c r="V503" s="43">
        <f t="shared" si="2331"/>
        <v>3.9534116702311763</v>
      </c>
      <c r="W503" s="99">
        <f>+W494/W477*100</f>
        <v>15.223463687150831</v>
      </c>
      <c r="X503" s="43">
        <f t="shared" si="2332"/>
        <v>26.893521392279808</v>
      </c>
      <c r="Y503" s="99">
        <f>+Y494/Y477*100</f>
        <v>12.932604735883427</v>
      </c>
      <c r="Z503" s="43">
        <f t="shared" si="2346"/>
        <v>19.150052249193664</v>
      </c>
      <c r="AA503" s="99">
        <f>+AA494/AA477*100</f>
        <v>8.5835001111852272</v>
      </c>
      <c r="AB503" s="43">
        <f t="shared" si="2347"/>
        <v>-20.107422042045314</v>
      </c>
      <c r="AC503" s="99">
        <f>+AC494/AC477*100</f>
        <v>14.325721671693259</v>
      </c>
      <c r="AD503" s="43">
        <f t="shared" si="2348"/>
        <v>19.343852525662413</v>
      </c>
      <c r="AE503" s="99">
        <f>+AE494/AE477*100</f>
        <v>15.746857021095268</v>
      </c>
      <c r="AF503" s="43">
        <f t="shared" si="2349"/>
        <v>3.438069973433187</v>
      </c>
      <c r="AG503" s="99">
        <f>+AG494/AG477*100</f>
        <v>15.007305364224582</v>
      </c>
      <c r="AH503" s="9">
        <f>IF(ISERROR(AG503/Y503),"NA",IF(OR(AG503/Y503&gt;2,AG503/Y503&lt;0.5),"NM",AG503/Y503*100-100))</f>
        <v>16.042403450130905</v>
      </c>
      <c r="AI503" s="99">
        <f>+AI494/AI477*100</f>
        <v>9.3314191960623472</v>
      </c>
      <c r="AJ503" s="9">
        <f t="shared" ref="AJ503" si="2479">IF(ISERROR(AI503/AA503),"NA",IF(OR(AI503/AA503&gt;2,AI503/AA503&lt;0.5),"NM",AI503/AA503*100-100))</f>
        <v>8.7134511002393964</v>
      </c>
      <c r="AK503" s="99">
        <f>+AK494/AK477*100</f>
        <v>12.74038461538461</v>
      </c>
      <c r="AL503" s="9">
        <f t="shared" ref="AL503" si="2480">IF(ISERROR(AK503/AC503),"NA",IF(OR(AK503/AC503&gt;2,AK503/AC503&lt;0.5),"NM",AK503/AC503*100-100))</f>
        <v>-11.066367842683817</v>
      </c>
      <c r="AM503" s="99">
        <f>+AM494/AM477*100</f>
        <v>16.313023165271559</v>
      </c>
      <c r="AN503" s="9">
        <f t="shared" ref="AN503" si="2481">IF(ISERROR(AM503/AE503),"NA",IF(OR(AM503/AE503&gt;2,AM503/AE503&lt;0.5),"NM",AM503/AE503*100-100))</f>
        <v>3.5954231591601342</v>
      </c>
      <c r="AO503" s="99">
        <f>+AO494/AO477*100</f>
        <v>12.024587014982695</v>
      </c>
      <c r="AP503" s="9">
        <f t="shared" ref="AP503" si="2482">IF(ISERROR(AO503/AG503),"NA",IF(OR(AO503/AG503&gt;2,AO503/AG503&lt;0.5),"NM",AO503/AG503*100-100))</f>
        <v>-19.875109334099989</v>
      </c>
      <c r="AQ503" s="99">
        <f t="shared" ref="AQ503:AW503" si="2483">+AQ494/AQ477*100</f>
        <v>10.821268253616042</v>
      </c>
      <c r="AR503" s="9">
        <f t="shared" ref="AR503:AR504" si="2484">IF(ISERROR(AQ503/AI503),"NA",IF(OR(AQ503/AI503&gt;2,AQ503/AI503&lt;0.5),"NM",AQ503/AI503*100-100))</f>
        <v>15.965942867322667</v>
      </c>
      <c r="AS503" s="99">
        <f t="shared" si="2483"/>
        <v>12.309394073552083</v>
      </c>
      <c r="AT503" s="9">
        <f t="shared" ref="AT503:AT504" si="2485">IF(ISERROR(AS503/AK503),"NA",IF(OR(AS503/AK503&gt;2,AS503/AK503&lt;0.5),"NM",AS503/AK503*100-100))</f>
        <v>-3.3828691585345467</v>
      </c>
      <c r="AU503" s="99">
        <f t="shared" si="2483"/>
        <v>13.690000479304713</v>
      </c>
      <c r="AV503" s="9">
        <f t="shared" ref="AV503:AV504" si="2486">IF(ISERROR(AU503/AM503),"NA",IF(OR(AU503/AM503&gt;2,AU503/AM503&lt;0.5),"NM",AU503/AM503*100-100))</f>
        <v>-16.079316870897003</v>
      </c>
      <c r="AW503" s="99">
        <f t="shared" si="2483"/>
        <v>14.37529557018139</v>
      </c>
      <c r="AX503" s="9">
        <f t="shared" ref="AX503:AX504" si="2487">IF(ISERROR(AW503/AO503),"NA",IF(OR(AW503/AO503&gt;2,AW503/AO503&lt;0.5),"NM",AW503/AO503*100-100))</f>
        <v>19.54918328812208</v>
      </c>
      <c r="AY503" s="287"/>
      <c r="AZ503" s="99"/>
      <c r="BA503" s="9" t="str">
        <f>IF(ISERROR(#REF!/#REF!),"NA",IF(OR(#REF!/#REF!&gt;2,#REF!/#REF!&lt;0.5),"NM",#REF!/#REF!*100-100))</f>
        <v>NA</v>
      </c>
      <c r="BB503" s="99">
        <f>+BB494/BB477*100</f>
        <v>10.839418503383111</v>
      </c>
      <c r="BC503" s="9" t="str">
        <f>IF(ISERROR(BB503/#REF!),"NA",IF(OR(BB503/#REF!&gt;2,BB503/#REF!&lt;0.5),"NM",BB503/#REF!*100-100))</f>
        <v>NA</v>
      </c>
      <c r="BD503" s="849">
        <f>+BD494/BD477*100</f>
        <v>11.260525323614418</v>
      </c>
      <c r="BE503" s="9">
        <f t="shared" ref="BE503:BS503" si="2488">IF(ISERROR(BD503/BB503),"NA",IF(OR(BD503/BB503&gt;2,BD503/BB503&lt;0.5),"NM",BD503/BB503*100-100))</f>
        <v>3.8849576672390214</v>
      </c>
      <c r="BF503" s="99">
        <f>+BF494/BF477*100</f>
        <v>12.720766478125379</v>
      </c>
      <c r="BG503" s="9">
        <f t="shared" si="2488"/>
        <v>12.967788913441652</v>
      </c>
      <c r="BH503" s="99">
        <f>+BH494/BH477*100</f>
        <v>13.472587660419915</v>
      </c>
      <c r="BI503" s="9">
        <f t="shared" si="2488"/>
        <v>5.9101877515585812</v>
      </c>
      <c r="BJ503" s="99">
        <f>+BJ494/BJ477*100</f>
        <v>12.641630795111549</v>
      </c>
      <c r="BK503" s="9">
        <f t="shared" si="2488"/>
        <v>-6.1677599452521719</v>
      </c>
      <c r="BL503" s="99">
        <f>+BL494/BL477*100</f>
        <v>12.833423404104529</v>
      </c>
      <c r="BM503" s="9">
        <f t="shared" si="2488"/>
        <v>1.5171508494548505</v>
      </c>
      <c r="BN503" s="99">
        <f>+BN494/BN477*100</f>
        <v>12.625623487328458</v>
      </c>
      <c r="BO503" s="9">
        <f t="shared" si="2488"/>
        <v>-1.6192087663032311</v>
      </c>
      <c r="BP503" s="99">
        <f>+BP494/BP477*100</f>
        <v>12.220195169271335</v>
      </c>
      <c r="BQ503" s="9">
        <f t="shared" si="2488"/>
        <v>-3.2111548270390387</v>
      </c>
      <c r="BR503" s="99">
        <f>+BR494/BR477*100</f>
        <v>11.816737473981643</v>
      </c>
      <c r="BS503" s="9">
        <f t="shared" si="2488"/>
        <v>-3.3015650707790485</v>
      </c>
      <c r="BT503" s="99">
        <f>+BT494/BT477*100</f>
        <v>11.415213567388955</v>
      </c>
      <c r="BU503" s="9">
        <f t="shared" ref="BU503" si="2489">IF(ISERROR(BT503/BR503),"NA",IF(OR(BT503/BR503&gt;2,BT503/BR503&lt;0.5),"NM",BT503/BR503*100-100))</f>
        <v>-3.3979252520145451</v>
      </c>
      <c r="BV503" s="43">
        <f>IF(ISERROR(((BT503/BJ503)^0.2-1)*100),"NA",IF((((BT503/BJ503)^0.2-1)*100)&gt;100,"NM",IF((((BT503/BJ503)^0.2-1)*100)&lt;-50,"NM",((BT503/BJ503)^0.2-1)*100)))</f>
        <v>-2.0202814165401928</v>
      </c>
      <c r="BW503" s="722"/>
      <c r="BX503" s="722"/>
      <c r="BY503"/>
      <c r="BZ503"/>
      <c r="CA503"/>
      <c r="CB503"/>
      <c r="CC503"/>
      <c r="CD503"/>
    </row>
    <row r="504" spans="1:83" s="2" customFormat="1" ht="12.75" customHeight="1" x14ac:dyDescent="0.2">
      <c r="A504" s="41"/>
      <c r="B504" s="42" t="s">
        <v>266</v>
      </c>
      <c r="C504" s="99">
        <f>+C500/C477*100</f>
        <v>8.6992091628033759</v>
      </c>
      <c r="D504" s="9" t="str">
        <f>IF(ISERROR(C504/#REF!),"NA",IF(OR(C504/#REF!&gt;2,C504/#REF!&lt;0.5),"NM",C504/#REF!*100-100))</f>
        <v>NA</v>
      </c>
      <c r="E504" s="99">
        <f>+E500/E477*100</f>
        <v>10.609723341391351</v>
      </c>
      <c r="F504" s="9" t="str">
        <f>IF(ISERROR(E504/#REF!),"NA",IF(OR(E504/#REF!&gt;2,E504/#REF!&lt;0.5),"NM",E504/#REF!*100-100))</f>
        <v>NA</v>
      </c>
      <c r="G504" s="99">
        <f>+G500/G477*100</f>
        <v>13.094917988706655</v>
      </c>
      <c r="H504" s="9" t="str">
        <f>IF(ISERROR(G504/#REF!),"NA",IF(OR(G504/#REF!&gt;2,G504/#REF!&lt;0.5),"NM",G504/#REF!*100-100))</f>
        <v>NA</v>
      </c>
      <c r="I504" s="99">
        <f>+I500/I477*100</f>
        <v>10.921948664222088</v>
      </c>
      <c r="J504" s="9" t="str">
        <f>IF(ISERROR(I504/#REF!),"NA",IF(OR(I504/#REF!&gt;2,I504/#REF!&lt;0.5),"NM",I504/#REF!*100-100))</f>
        <v>NA</v>
      </c>
      <c r="K504" s="99">
        <f>+K500/K477*100</f>
        <v>10.620618021293193</v>
      </c>
      <c r="L504" s="9">
        <f>IF(ISERROR(K504/C504),"NA",IF(OR(K504/C504&gt;2,K504/C504&lt;0.5),"NM",K504/C504*100-100))</f>
        <v>22.087167034740347</v>
      </c>
      <c r="M504" s="99">
        <f>+M500/M477*100</f>
        <v>11.547227146112947</v>
      </c>
      <c r="N504" s="9">
        <f>IF(ISERROR(M504/E504),"NA",IF(OR(M504/E504&gt;2,M504/E504&lt;0.5),"NM",M504/E504*100-100))</f>
        <v>8.8362700379202437</v>
      </c>
      <c r="O504" s="99">
        <f>+O500/O477*100</f>
        <v>11.997037768452239</v>
      </c>
      <c r="P504" s="43">
        <f>IF(ISERROR(O504/G504),"NA",IF(OR(O504/G504&gt;2,O504/G504&lt;0.5),"NM",O504/G504*100-100))</f>
        <v>-8.3840175341399714</v>
      </c>
      <c r="Q504" s="99">
        <f>+Q500/Q477*100</f>
        <v>10.854048732463689</v>
      </c>
      <c r="R504" s="43">
        <f>IF(ISERROR(Q504/I504),"NA",IF(OR(Q504/I504&gt;2,Q504/I504&lt;0.5),"NM",Q504/I504*100-100))</f>
        <v>-0.62168330804213667</v>
      </c>
      <c r="S504" s="99">
        <f>+S500/S477*100</f>
        <v>9.6842551388006086</v>
      </c>
      <c r="T504" s="43">
        <f>IF(ISERROR(S504/K504),"NA",IF(OR(S504/K504&gt;2,S504/K504&lt;0.5),"NM",S504/K504*100-100))</f>
        <v>-8.8164632285548663</v>
      </c>
      <c r="U504" s="99">
        <f>+U500/U477*100</f>
        <v>12.003736571695478</v>
      </c>
      <c r="V504" s="43">
        <f>IF(ISERROR(U504/M504),"NA",IF(OR(U504/M504&gt;2,U504/M504&lt;0.5),"NM",U504/M504*100-100))</f>
        <v>3.9534116702311763</v>
      </c>
      <c r="W504" s="99">
        <f>+W500/W477*100</f>
        <v>12.394356109439903</v>
      </c>
      <c r="X504" s="43">
        <f>IF(ISERROR(W504/O504),"NA",IF(OR(W504/O504&gt;2,W504/O504&lt;0.5),"NM",W504/O504*100-100))</f>
        <v>3.3118037023477882</v>
      </c>
      <c r="Y504" s="99">
        <f>+Y500/Y477*100</f>
        <v>12.932604735883427</v>
      </c>
      <c r="Z504" s="43">
        <f>IF(ISERROR(Y504/Q504),"NA",IF(OR(Y504/Q504&gt;2,Y504/Q504&lt;0.5),"NM",Y504/Q504*100-100))</f>
        <v>19.150052249193664</v>
      </c>
      <c r="AA504" s="99">
        <f>+AA500/AA477*100</f>
        <v>8.5835001111852272</v>
      </c>
      <c r="AB504" s="43">
        <f>IF(ISERROR(AA504/S504),"NA",IF(OR(AA504/S504&gt;2,AA504/S504&lt;0.5),"NM",AA504/S504*100-100))</f>
        <v>-11.366439770934306</v>
      </c>
      <c r="AC504" s="99">
        <f>+AC500/AC477*100</f>
        <v>14.325721671693259</v>
      </c>
      <c r="AD504" s="43">
        <f>IF(ISERROR(AC504/U504),"NA",IF(OR(AC504/U504&gt;2,AC504/U504&lt;0.5),"NM",AC504/U504*100-100))</f>
        <v>19.343852525662413</v>
      </c>
      <c r="AE504" s="99">
        <f>+AE500/AE477*100</f>
        <v>11.93266567227788</v>
      </c>
      <c r="AF504" s="43">
        <f>IF(ISERROR(AE504/W504),"NA",IF(OR(AE504/W504&gt;2,AE504/W504&lt;0.5),"NM",AE504/W504*100-100))</f>
        <v>-3.7250054225115008</v>
      </c>
      <c r="AG504" s="99">
        <f>+AG500/AG477*100</f>
        <v>13.963681903569187</v>
      </c>
      <c r="AH504" s="9">
        <f>IF(ISERROR(AG504/Y504),"NA",IF(OR(AG504/Y504&gt;2,AG504/Y504&lt;0.5),"NM",AG504/Y504*100-100))</f>
        <v>7.9726952825279085</v>
      </c>
      <c r="AI504" s="99">
        <f>+AI500/AI477*100</f>
        <v>9.3314191960623472</v>
      </c>
      <c r="AJ504" s="9">
        <f>IF(ISERROR(AI504/AA504),"NA",IF(OR(AI504/AA504&gt;2,AI504/AA504&lt;0.5),"NM",AI504/AA504*100-100))</f>
        <v>8.7134511002393964</v>
      </c>
      <c r="AK504" s="99">
        <f>+AK500/AK477*100</f>
        <v>12.74038461538461</v>
      </c>
      <c r="AL504" s="9">
        <f>IF(ISERROR(AK504/AC504),"NA",IF(OR(AK504/AC504&gt;2,AK504/AC504&lt;0.5),"NM",AK504/AC504*100-100))</f>
        <v>-11.066367842683817</v>
      </c>
      <c r="AM504" s="99">
        <f>+AM500/AM477*100</f>
        <v>13.587697099474402</v>
      </c>
      <c r="AN504" s="9">
        <f>IF(ISERROR(AM504/AE504),"NA",IF(OR(AM504/AE504&gt;2,AM504/AE504&lt;0.5),"NM",AM504/AE504*100-100))</f>
        <v>13.869754442559397</v>
      </c>
      <c r="AO504" s="99">
        <f>+AO500/AO477*100</f>
        <v>12.024587014982695</v>
      </c>
      <c r="AP504" s="9">
        <f>IF(ISERROR(AO504/AG504),"NA",IF(OR(AO504/AG504&gt;2,AO504/AG504&lt;0.5),"NM",AO504/AG504*100-100))</f>
        <v>-13.886701959966956</v>
      </c>
      <c r="AQ504" s="99">
        <f t="shared" ref="AQ504" si="2490">+AQ500/AQ477*100</f>
        <v>10.821268253616042</v>
      </c>
      <c r="AR504" s="9">
        <f t="shared" si="2484"/>
        <v>15.965942867322667</v>
      </c>
      <c r="AS504" s="99">
        <f t="shared" ref="AS504" si="2491">+AS500/AS477*100</f>
        <v>12.309394073552083</v>
      </c>
      <c r="AT504" s="9">
        <f t="shared" si="2485"/>
        <v>-3.3828691585345467</v>
      </c>
      <c r="AU504" s="99">
        <f t="shared" ref="AU504" si="2492">+AU500/AU477*100</f>
        <v>13.690000479304713</v>
      </c>
      <c r="AV504" s="9">
        <f t="shared" si="2486"/>
        <v>0.75291183694599795</v>
      </c>
      <c r="AW504" s="99">
        <f t="shared" ref="AW504" si="2493">+AW500/AW477*100</f>
        <v>14.37529557018139</v>
      </c>
      <c r="AX504" s="9">
        <f t="shared" si="2487"/>
        <v>19.54918328812208</v>
      </c>
      <c r="AY504" s="287"/>
      <c r="AZ504" s="99"/>
      <c r="BA504" s="9"/>
      <c r="BB504" s="99">
        <f>+BB500/BB477*100</f>
        <v>10.839418503383111</v>
      </c>
      <c r="BC504" s="9" t="str">
        <f>IF(ISERROR(BB504/#REF!),"NA",IF(OR(BB504/#REF!&gt;2,BB504/#REF!&lt;0.5),"NM",BB504/#REF!*100-100))</f>
        <v>NA</v>
      </c>
      <c r="BD504" s="849">
        <f>+BD500/BD477*100</f>
        <v>11.260525323614418</v>
      </c>
      <c r="BE504" s="9">
        <f>IF(ISERROR(BD504/BB504),"NA",IF(OR(BD504/BB504&gt;2,BD504/BB504&lt;0.5),"NM",BD504/BB504*100-100))</f>
        <v>3.8849576672390214</v>
      </c>
      <c r="BF504" s="99">
        <f>+BF500/BF477*100</f>
        <v>11.752901375434002</v>
      </c>
      <c r="BG504" s="9">
        <f>IF(ISERROR(BF504/BD504),"NA",IF(OR(BF504/BD504&gt;2,BF504/BD504&lt;0.5),"NM",BF504/BD504*100-100))</f>
        <v>4.3725850941165589</v>
      </c>
      <c r="BH504" s="99">
        <f>+BH500/BH477*100</f>
        <v>12.242925414809648</v>
      </c>
      <c r="BI504" s="9">
        <f>IF(ISERROR(BH504/BF504),"NA",IF(OR(BH504/BF504&gt;2,BH504/BF504&lt;0.5),"NM",BH504/BF504*100-100))</f>
        <v>4.1693878279273093</v>
      </c>
      <c r="BJ504" s="99">
        <f>+BJ500/BJ477*100</f>
        <v>11.948938696749273</v>
      </c>
      <c r="BK504" s="9">
        <f>IF(ISERROR(BJ504/BH504),"NA",IF(OR(BJ504/BH504&gt;2,BJ504/BH504&lt;0.5),"NM",BJ504/BH504*100-100))</f>
        <v>-2.4012783554554176</v>
      </c>
      <c r="BL504" s="99">
        <f>+BL500/BL477*100</f>
        <v>12.833423404104529</v>
      </c>
      <c r="BM504" s="9">
        <f>IF(ISERROR(BL504/BJ504),"NA",IF(OR(BL504/BJ504&gt;2,BL504/BJ504&lt;0.5),"NM",BL504/BJ504*100-100))</f>
        <v>7.4022030726116412</v>
      </c>
      <c r="BN504" s="99">
        <f>+BN500/BN477*100</f>
        <v>12.625623487328458</v>
      </c>
      <c r="BO504" s="9">
        <f>IF(ISERROR(BN504/BL504),"NA",IF(OR(BN504/BL504&gt;2,BN504/BL504&lt;0.5),"NM",BN504/BL504*100-100))</f>
        <v>-1.6192087663032311</v>
      </c>
      <c r="BP504" s="99">
        <f>+BP500/BP477*100</f>
        <v>12.220195169271335</v>
      </c>
      <c r="BQ504" s="9">
        <f>IF(ISERROR(BP504/BN504),"NA",IF(OR(BP504/BN504&gt;2,BP504/BN504&lt;0.5),"NM",BP504/BN504*100-100))</f>
        <v>-3.2111548270390387</v>
      </c>
      <c r="BR504" s="99">
        <f>+BR500/BR477*100</f>
        <v>11.816737473981643</v>
      </c>
      <c r="BS504" s="9">
        <f>IF(ISERROR(BR504/BP504),"NA",IF(OR(BR504/BP504&gt;2,BR504/BP504&lt;0.5),"NM",BR504/BP504*100-100))</f>
        <v>-3.3015650707790485</v>
      </c>
      <c r="BT504" s="99">
        <f>+BT500/BT477*100</f>
        <v>11.415213567388955</v>
      </c>
      <c r="BU504" s="9">
        <f>IF(ISERROR(BT504/BR504),"NA",IF(OR(BT504/BR504&gt;2,BT504/BR504&lt;0.5),"NM",BT504/BR504*100-100))</f>
        <v>-3.3979252520145451</v>
      </c>
      <c r="BV504" s="43">
        <f>IF(ISERROR(((BT504/BJ504)^0.2-1)*100),"NA",IF((((BT504/BJ504)^0.2-1)*100)&gt;100,"NM",IF((((BT504/BJ504)^0.2-1)*100)&lt;-50,"NM",((BT504/BJ504)^0.2-1)*100)))</f>
        <v>-0.90974600602172773</v>
      </c>
      <c r="BW504" s="722"/>
      <c r="BX504" s="722"/>
      <c r="BY504"/>
      <c r="BZ504"/>
      <c r="CA504"/>
      <c r="CB504"/>
      <c r="CC504"/>
      <c r="CD504"/>
    </row>
    <row r="505" spans="1:83" s="2" customFormat="1" ht="12.75" customHeight="1" x14ac:dyDescent="0.2">
      <c r="A505" s="41"/>
      <c r="B505" s="42" t="s">
        <v>660</v>
      </c>
      <c r="C505" s="99"/>
      <c r="D505" s="9"/>
      <c r="E505" s="99"/>
      <c r="F505" s="9"/>
      <c r="G505" s="99"/>
      <c r="H505" s="9"/>
      <c r="I505" s="99"/>
      <c r="J505" s="9"/>
      <c r="K505" s="99"/>
      <c r="L505" s="9"/>
      <c r="M505" s="99"/>
      <c r="N505" s="9"/>
      <c r="O505" s="99"/>
      <c r="P505" s="43"/>
      <c r="Q505" s="99"/>
      <c r="R505" s="43"/>
      <c r="S505" s="99"/>
      <c r="T505" s="43"/>
      <c r="U505" s="99"/>
      <c r="V505" s="43"/>
      <c r="W505" s="99">
        <f>+(W494+U494+S494+Q494)/(W477+U477+S477+Q477)*100</f>
        <v>12.219803494734368</v>
      </c>
      <c r="X505" s="43"/>
      <c r="Y505" s="99">
        <f>+(Y494+W494+U494+S494)/(Y477+W477+U477+S477)*100</f>
        <v>12.720766478125366</v>
      </c>
      <c r="Z505" s="43"/>
      <c r="AA505" s="99">
        <f>+(AA494+Y494+W494+U494)/(AA477+Y477+W477+U477)*100</f>
        <v>12.148623117879428</v>
      </c>
      <c r="AB505" s="43"/>
      <c r="AC505" s="99">
        <f>+(AC494+AA494+Y494+W494)/(AC477+AA477+Y477+W477)*100</f>
        <v>12.750322544455042</v>
      </c>
      <c r="AD505" s="43"/>
      <c r="AE505" s="99">
        <f>+(AE494+AC494+AA494+Y494)/(AE477+AC477+AA477+Y477)*100</f>
        <v>12.938981562774373</v>
      </c>
      <c r="AF505" s="43"/>
      <c r="AG505" s="99">
        <f>+(AG494+AE494+AC494+AA494)/(AG477+AE477+AC477+AA477)*100</f>
        <v>13.472587660419919</v>
      </c>
      <c r="AH505" s="9"/>
      <c r="AI505" s="99">
        <f>+(AI494+AG494+AE494+AC494)/(AI477+AG477+AE477+AC477)*100</f>
        <v>13.566992948110734</v>
      </c>
      <c r="AJ505" s="9"/>
      <c r="AK505" s="99">
        <f>+(AK494+AI494+AG494+AE494)/(AK477+AI477+AG477+AE477)*100</f>
        <v>13.171765192228193</v>
      </c>
      <c r="AL505" s="9"/>
      <c r="AM505" s="99">
        <f>+(AM494+AK494+AI494+AG494)/(AM477+AK477+AI477+AG477)*100</f>
        <v>13.376439684784803</v>
      </c>
      <c r="AN505" s="9"/>
      <c r="AO505" s="99">
        <f>+(AO494+AM494+AK494+AI494)/(AO477+AM477+AK477+AI477)*100</f>
        <v>12.641630795111567</v>
      </c>
      <c r="AP505" s="9"/>
      <c r="AQ505" s="99">
        <f t="shared" ref="AQ505" si="2494">+(AQ494+AO494+AM494+AK494)/(AQ477+AO477+AM477+AK477)*100</f>
        <v>12.964863299372331</v>
      </c>
      <c r="AR505" s="9"/>
      <c r="AS505" s="99">
        <f t="shared" ref="AS505" si="2495">+(AS494+AQ494+AO494+AM494)/(AS477+AQ477+AO477+AM477)*100</f>
        <v>12.850970883083049</v>
      </c>
      <c r="AT505" s="9"/>
      <c r="AU505" s="99">
        <f t="shared" ref="AU505" si="2496">+(AU494+AS494+AQ494+AO494)/(AU477+AS477+AQ477+AO477)*100</f>
        <v>12.231407173097262</v>
      </c>
      <c r="AV505" s="9"/>
      <c r="AW505" s="99">
        <f t="shared" ref="AW505" si="2497">+(AW494+AU494+AS494+AQ494)/(AW477+AU477+AS477+AQ477)*100</f>
        <v>12.833423404104519</v>
      </c>
      <c r="AX505" s="9"/>
      <c r="AY505" s="287"/>
      <c r="AZ505" s="99"/>
      <c r="BA505" s="9"/>
      <c r="BB505" s="99"/>
      <c r="BC505" s="9"/>
      <c r="BD505" s="849"/>
      <c r="BE505" s="9"/>
      <c r="BF505" s="99"/>
      <c r="BG505" s="9"/>
      <c r="BH505" s="99"/>
      <c r="BI505" s="9"/>
      <c r="BJ505" s="99"/>
      <c r="BK505" s="9"/>
      <c r="BL505" s="99"/>
      <c r="BM505" s="9"/>
      <c r="BN505" s="99"/>
      <c r="BO505" s="9"/>
      <c r="BP505" s="99"/>
      <c r="BQ505" s="9"/>
      <c r="BR505" s="99"/>
      <c r="BS505" s="9"/>
      <c r="BT505" s="99"/>
      <c r="BU505" s="9"/>
      <c r="BV505" s="43"/>
      <c r="BW505" s="722"/>
      <c r="BX505" s="722"/>
      <c r="BY505"/>
      <c r="BZ505"/>
      <c r="CA505"/>
      <c r="CB505"/>
      <c r="CC505"/>
      <c r="CD505"/>
    </row>
    <row r="506" spans="1:83" s="2" customFormat="1" ht="12.75" customHeight="1" x14ac:dyDescent="0.2">
      <c r="A506" s="41"/>
      <c r="B506" s="42" t="s">
        <v>661</v>
      </c>
      <c r="C506" s="99">
        <f>C500/(C479-C482)*100</f>
        <v>20.593931568754019</v>
      </c>
      <c r="D506" s="9"/>
      <c r="E506" s="99">
        <f>E500/(E479-E482)*100</f>
        <v>24.641297567061756</v>
      </c>
      <c r="F506" s="9"/>
      <c r="G506" s="99">
        <f>G500/(G479-G482)*100</f>
        <v>29.840686274509832</v>
      </c>
      <c r="H506" s="9"/>
      <c r="I506" s="99">
        <f>I500/(I479-I482)*100</f>
        <v>24.865831842575989</v>
      </c>
      <c r="J506" s="9"/>
      <c r="K506" s="99"/>
      <c r="L506" s="9"/>
      <c r="M506" s="99"/>
      <c r="N506" s="9"/>
      <c r="O506" s="99"/>
      <c r="P506" s="43"/>
      <c r="Q506" s="99"/>
      <c r="R506" s="43"/>
      <c r="S506" s="99"/>
      <c r="T506" s="43"/>
      <c r="U506" s="99"/>
      <c r="V506" s="43"/>
      <c r="W506" s="99">
        <f>+(W500+U500+S500+Q500)/(W477+U477+S477+Q477)*100</f>
        <v>11.233204049583414</v>
      </c>
      <c r="X506" s="43"/>
      <c r="Y506" s="99">
        <f>+(Y500+W500+U500+S500)/(Y477+W477+U477+S477)*100</f>
        <v>11.752901375433991</v>
      </c>
      <c r="Z506" s="43"/>
      <c r="AA506" s="99">
        <f>+(AA500+Y500+W500+U500)/(AA477+Y477+W477+U477)*100</f>
        <v>11.452805510170826</v>
      </c>
      <c r="AB506" s="43"/>
      <c r="AC506" s="99">
        <f>+(AC500+AA500+Y500+W500)/(AC477+AA477+Y477+W477)*100</f>
        <v>12.068556338483978</v>
      </c>
      <c r="AD506" s="43"/>
      <c r="AE506" s="99">
        <f>+(AE500+AC500+AA500+Y500)/(AE477+AC477+AA477+Y477)*100</f>
        <v>11.956760316066735</v>
      </c>
      <c r="AF506" s="43"/>
      <c r="AG506" s="99">
        <f>+(AG500+AE500+AC500+AA500)/(AG477+AE477+AC477+AA477)*100</f>
        <v>12.242925414809651</v>
      </c>
      <c r="AH506" s="9"/>
      <c r="AI506" s="99">
        <f>+(AI500+AG500+AE500+AC500)/(AI477+AG477+AE477+AC477)*100</f>
        <v>12.361856646668782</v>
      </c>
      <c r="AJ506" s="9"/>
      <c r="AK506" s="99">
        <f>+(AK500+AI500+AG500+AE500)/(AK477+AI477+AG477+AE477)*100</f>
        <v>11.988424968995453</v>
      </c>
      <c r="AL506" s="9"/>
      <c r="AM506" s="99">
        <f>+(AM500+AK500+AI500+AG500)/(AM477+AK477+AI477+AG477)*100</f>
        <v>12.416649828248129</v>
      </c>
      <c r="AN506" s="9"/>
      <c r="AO506" s="99">
        <f>+(AO500+AM500+AK500+AI500)/(AO477+AM477+AK477+AI477)*100</f>
        <v>11.948938696749288</v>
      </c>
      <c r="AP506" s="9"/>
      <c r="AQ506" s="99">
        <f t="shared" ref="AQ506" si="2498">+(AQ500+AO500+AM500+AK500)/(AQ477+AO477+AM477+AK477)*100</f>
        <v>12.283674995570133</v>
      </c>
      <c r="AR506" s="9"/>
      <c r="AS506" s="99">
        <f t="shared" ref="AS506" si="2499">+(AS500+AQ500+AO500+AM500)/(AS477+AQ477+AO477+AM477)*100</f>
        <v>12.181170827968073</v>
      </c>
      <c r="AT506" s="9"/>
      <c r="AU506" s="99">
        <f t="shared" ref="AU506" si="2500">+(AU500+AS500+AQ500+AO500)/(AU477+AS477+AQ477+AO477)*100</f>
        <v>12.231407173097262</v>
      </c>
      <c r="AV506" s="9"/>
      <c r="AW506" s="99">
        <f t="shared" ref="AW506" si="2501">+(AW500+AU500+AS500+AQ500)/(AW477+AU477+AS477+AQ477)*100</f>
        <v>12.833423404104519</v>
      </c>
      <c r="AX506" s="9"/>
      <c r="AY506" s="287"/>
      <c r="AZ506" s="99"/>
      <c r="BA506" s="9"/>
      <c r="BB506" s="99">
        <f>BB500/(BB479-BB482)*100</f>
        <v>25.042563070732044</v>
      </c>
      <c r="BC506" s="9"/>
      <c r="BD506" s="849">
        <f>BD500/(BD479-BD482)*100</f>
        <v>26.038942167974398</v>
      </c>
      <c r="BE506" s="9"/>
      <c r="BF506" s="99"/>
      <c r="BG506" s="9"/>
      <c r="BH506" s="99"/>
      <c r="BI506" s="9"/>
      <c r="BJ506" s="99"/>
      <c r="BK506" s="9"/>
      <c r="BL506" s="99"/>
      <c r="BM506" s="9"/>
      <c r="BN506" s="99"/>
      <c r="BO506" s="9"/>
      <c r="BP506" s="99"/>
      <c r="BQ506" s="9"/>
      <c r="BR506" s="99"/>
      <c r="BS506" s="9"/>
      <c r="BT506" s="99"/>
      <c r="BU506" s="9"/>
      <c r="BV506" s="43"/>
      <c r="BW506" s="722"/>
      <c r="BX506" s="722"/>
      <c r="BY506"/>
      <c r="BZ506"/>
      <c r="CA506"/>
      <c r="CB506"/>
      <c r="CC506"/>
      <c r="CD506"/>
    </row>
    <row r="507" spans="1:83" s="2" customFormat="1" ht="12.75" hidden="1" customHeight="1" outlineLevel="1" x14ac:dyDescent="0.2">
      <c r="A507" s="41"/>
      <c r="B507" s="42" t="s">
        <v>373</v>
      </c>
      <c r="C507" s="99"/>
      <c r="D507" s="9"/>
      <c r="E507" s="99"/>
      <c r="F507" s="9"/>
      <c r="G507" s="99"/>
      <c r="H507" s="9"/>
      <c r="I507" s="99"/>
      <c r="J507" s="9"/>
      <c r="K507" s="99"/>
      <c r="L507" s="9"/>
      <c r="M507" s="99"/>
      <c r="N507" s="9"/>
      <c r="O507" s="99"/>
      <c r="P507" s="43" t="str">
        <f t="shared" si="2331"/>
        <v>NA</v>
      </c>
      <c r="Q507" s="99"/>
      <c r="R507" s="43" t="str">
        <f t="shared" si="2331"/>
        <v>NA</v>
      </c>
      <c r="S507" s="99"/>
      <c r="T507" s="43" t="str">
        <f t="shared" si="2331"/>
        <v>NA</v>
      </c>
      <c r="U507" s="99"/>
      <c r="V507" s="43" t="str">
        <f t="shared" si="2331"/>
        <v>NA</v>
      </c>
      <c r="W507" s="99"/>
      <c r="X507" s="43" t="str">
        <f t="shared" si="2332"/>
        <v>NA</v>
      </c>
      <c r="Y507" s="99"/>
      <c r="Z507" s="43" t="str">
        <f t="shared" si="2346"/>
        <v>NA</v>
      </c>
      <c r="AA507" s="99"/>
      <c r="AB507" s="43" t="str">
        <f t="shared" si="2347"/>
        <v>NA</v>
      </c>
      <c r="AC507" s="99"/>
      <c r="AD507" s="43" t="str">
        <f t="shared" si="2348"/>
        <v>NA</v>
      </c>
      <c r="AE507" s="99"/>
      <c r="AF507" s="43" t="str">
        <f t="shared" si="2349"/>
        <v>NA</v>
      </c>
      <c r="AG507" s="99"/>
      <c r="AH507" s="9"/>
      <c r="AI507" s="99"/>
      <c r="AJ507" s="9"/>
      <c r="AK507" s="99"/>
      <c r="AL507" s="9"/>
      <c r="AM507" s="99"/>
      <c r="AN507" s="9"/>
      <c r="AO507" s="99"/>
      <c r="AP507" s="9"/>
      <c r="AQ507" s="99"/>
      <c r="AR507" s="9"/>
      <c r="AS507" s="99"/>
      <c r="AT507" s="9"/>
      <c r="AU507" s="99"/>
      <c r="AV507" s="9"/>
      <c r="AW507" s="99"/>
      <c r="AX507" s="9"/>
      <c r="AY507" s="287"/>
      <c r="AZ507" s="99"/>
      <c r="BA507" s="9"/>
      <c r="BB507" s="99"/>
      <c r="BC507" s="9" t="str">
        <f>IF(ISERROR(BB507/#REF!),"NA",IF(OR(BB507/#REF!&gt;2,BB507/#REF!&lt;0.5),"NM",BB507/#REF!*100-100))</f>
        <v>NA</v>
      </c>
      <c r="BD507" s="849"/>
      <c r="BE507" s="9" t="str">
        <f t="shared" ref="BE507" si="2502">IF(ISERROR(BD507/BB507),"NA",IF(OR(BD507/BB507&gt;2,BD507/BB507&lt;0.5),"NM",BD507/BB507*100-100))</f>
        <v>NA</v>
      </c>
      <c r="BF507" s="99"/>
      <c r="BG507" s="9"/>
      <c r="BH507" s="99"/>
      <c r="BI507" s="9"/>
      <c r="BJ507" s="99"/>
      <c r="BK507" s="9"/>
      <c r="BL507" s="99"/>
      <c r="BM507" s="9"/>
      <c r="BN507" s="99"/>
      <c r="BO507" s="9"/>
      <c r="BP507" s="99"/>
      <c r="BQ507" s="9"/>
      <c r="BR507" s="99"/>
      <c r="BS507" s="9"/>
      <c r="BT507" s="99"/>
      <c r="BU507" s="9"/>
      <c r="BV507" s="43"/>
      <c r="BW507" s="722"/>
      <c r="BX507" s="722"/>
      <c r="BY507"/>
      <c r="BZ507"/>
      <c r="CA507"/>
      <c r="CB507"/>
      <c r="CC507"/>
      <c r="CD507"/>
    </row>
    <row r="508" spans="1:83" s="2" customFormat="1" ht="12.75" customHeight="1" collapsed="1" x14ac:dyDescent="0.2">
      <c r="A508" s="41"/>
      <c r="B508" s="62"/>
      <c r="C508" s="99"/>
      <c r="D508" s="9"/>
      <c r="E508" s="99"/>
      <c r="F508" s="9"/>
      <c r="G508" s="99"/>
      <c r="H508" s="9"/>
      <c r="I508" s="99"/>
      <c r="J508" s="9"/>
      <c r="K508" s="99"/>
      <c r="L508" s="9"/>
      <c r="M508" s="99"/>
      <c r="N508" s="9"/>
      <c r="O508" s="99"/>
      <c r="P508" s="43"/>
      <c r="Q508" s="99"/>
      <c r="R508" s="43"/>
      <c r="S508" s="99"/>
      <c r="T508" s="43"/>
      <c r="U508" s="99"/>
      <c r="V508" s="43"/>
      <c r="W508" s="99"/>
      <c r="X508" s="43"/>
      <c r="Y508" s="99"/>
      <c r="Z508" s="43"/>
      <c r="AA508" s="99"/>
      <c r="AB508" s="43"/>
      <c r="AC508" s="99"/>
      <c r="AD508" s="43"/>
      <c r="AE508" s="99"/>
      <c r="AF508" s="43"/>
      <c r="AG508" s="99"/>
      <c r="AH508" s="9"/>
      <c r="AI508" s="99"/>
      <c r="AJ508" s="9"/>
      <c r="AK508" s="99"/>
      <c r="AL508" s="9"/>
      <c r="AM508" s="99"/>
      <c r="AN508" s="9"/>
      <c r="AO508" s="99"/>
      <c r="AP508" s="9"/>
      <c r="AQ508" s="99"/>
      <c r="AR508" s="9"/>
      <c r="AS508" s="99"/>
      <c r="AT508" s="9"/>
      <c r="AU508" s="99"/>
      <c r="AV508" s="9"/>
      <c r="AW508" s="99"/>
      <c r="AX508" s="9"/>
      <c r="AY508" s="287"/>
      <c r="AZ508" s="15"/>
      <c r="BA508" s="9"/>
      <c r="BB508" s="99"/>
      <c r="BC508" s="9"/>
      <c r="BD508" s="849"/>
      <c r="BE508" s="9"/>
      <c r="BF508" s="99"/>
      <c r="BG508" s="9"/>
      <c r="BH508" s="99"/>
      <c r="BI508" s="9"/>
      <c r="BJ508" s="99"/>
      <c r="BK508" s="9"/>
      <c r="BL508" s="99"/>
      <c r="BM508" s="9"/>
      <c r="BN508" s="99"/>
      <c r="BO508" s="9"/>
      <c r="BP508" s="99"/>
      <c r="BQ508" s="9"/>
      <c r="BR508" s="99"/>
      <c r="BS508" s="9"/>
      <c r="BT508" s="99"/>
      <c r="BU508" s="9"/>
      <c r="BV508" s="722"/>
      <c r="BW508" s="722"/>
      <c r="BX508" s="722"/>
      <c r="BY508"/>
      <c r="BZ508"/>
      <c r="CA508"/>
      <c r="CB508"/>
      <c r="CC508"/>
      <c r="CD508"/>
    </row>
    <row r="509" spans="1:83" s="2" customFormat="1" ht="12.75" customHeight="1" x14ac:dyDescent="0.2">
      <c r="A509" s="41"/>
      <c r="B509" s="80" t="s">
        <v>396</v>
      </c>
      <c r="C509" s="99"/>
      <c r="D509" s="9"/>
      <c r="E509" s="99"/>
      <c r="F509" s="9"/>
      <c r="G509" s="99"/>
      <c r="H509" s="9"/>
      <c r="I509" s="99"/>
      <c r="J509" s="9"/>
      <c r="K509" s="99"/>
      <c r="L509" s="9"/>
      <c r="M509" s="99"/>
      <c r="N509" s="9"/>
      <c r="O509" s="99"/>
      <c r="P509" s="43"/>
      <c r="Q509" s="99"/>
      <c r="R509" s="43"/>
      <c r="S509" s="99"/>
      <c r="T509" s="43"/>
      <c r="U509" s="99"/>
      <c r="V509" s="43"/>
      <c r="W509" s="99"/>
      <c r="X509" s="43"/>
      <c r="Y509" s="99"/>
      <c r="Z509" s="43"/>
      <c r="AA509" s="99"/>
      <c r="AB509" s="43"/>
      <c r="AC509" s="99"/>
      <c r="AD509" s="43"/>
      <c r="AE509" s="99"/>
      <c r="AF509" s="43"/>
      <c r="AG509" s="99"/>
      <c r="AH509" s="9"/>
      <c r="AI509" s="99"/>
      <c r="AJ509" s="9"/>
      <c r="AK509" s="99"/>
      <c r="AL509" s="9"/>
      <c r="AM509" s="99"/>
      <c r="AN509" s="9"/>
      <c r="AO509" s="99"/>
      <c r="AP509" s="9"/>
      <c r="AQ509" s="99"/>
      <c r="AR509" s="9"/>
      <c r="AS509" s="99"/>
      <c r="AT509" s="9"/>
      <c r="AU509" s="99"/>
      <c r="AV509" s="9"/>
      <c r="AW509" s="99"/>
      <c r="AX509" s="9"/>
      <c r="AY509" s="287"/>
      <c r="AZ509" s="15"/>
      <c r="BA509" s="9"/>
      <c r="BB509" s="99"/>
      <c r="BC509" s="9"/>
      <c r="BD509" s="849"/>
      <c r="BE509" s="9"/>
      <c r="BF509" s="99"/>
      <c r="BG509" s="9"/>
      <c r="BH509" s="99"/>
      <c r="BI509" s="9"/>
      <c r="BJ509" s="99"/>
      <c r="BK509" s="9"/>
      <c r="BL509" s="99"/>
      <c r="BM509" s="9"/>
      <c r="BN509" s="99"/>
      <c r="BO509" s="9"/>
      <c r="BP509" s="99"/>
      <c r="BQ509" s="9"/>
      <c r="BR509" s="99"/>
      <c r="BS509" s="9"/>
      <c r="BT509" s="99"/>
      <c r="BU509" s="9"/>
      <c r="BV509" s="722"/>
      <c r="BW509" s="722"/>
      <c r="BX509" s="722"/>
      <c r="BY509"/>
      <c r="BZ509"/>
      <c r="CA509"/>
      <c r="CB509"/>
      <c r="CC509"/>
      <c r="CD509"/>
    </row>
    <row r="510" spans="1:83" s="2" customFormat="1" ht="12.75" hidden="1" customHeight="1" outlineLevel="1" x14ac:dyDescent="0.2">
      <c r="A510" s="41"/>
      <c r="B510" s="62" t="s">
        <v>218</v>
      </c>
      <c r="C510" s="118"/>
      <c r="D510" s="9"/>
      <c r="E510" s="118"/>
      <c r="F510" s="9"/>
      <c r="G510" s="118"/>
      <c r="H510" s="9"/>
      <c r="I510" s="587">
        <v>60.8</v>
      </c>
      <c r="J510" s="9" t="str">
        <f>IF(ISERROR(I510/#REF!),"NA",IF(OR(I510/#REF!&gt;2,I510/#REF!&lt;0.5),"NM",I510/#REF!*100-100))</f>
        <v>NA</v>
      </c>
      <c r="K510" s="587">
        <v>68.900000000000006</v>
      </c>
      <c r="L510" s="9" t="str">
        <f>IF(ISERROR(K510/C510),"NA",IF(OR(K510/C510&gt;2,K510/C510&lt;0.5),"NM",K510/C510*100-100))</f>
        <v>NA</v>
      </c>
      <c r="M510" s="587">
        <v>67.400000000000006</v>
      </c>
      <c r="N510" s="9" t="str">
        <f>IF(ISERROR(M510/E510),"NA",IF(OR(M510/E510&gt;2,M510/E510&lt;0.5),"NM",M510/E510*100-100))</f>
        <v>NA</v>
      </c>
      <c r="O510" s="587">
        <v>62.1</v>
      </c>
      <c r="P510" s="43" t="str">
        <f t="shared" ref="P510:AD510" si="2503">IF(ISERROR(O510/G510),"NA",IF(OR(O510/G510&gt;2,O510/G510&lt;0.5),"NM",O510/G510*100-100))</f>
        <v>NA</v>
      </c>
      <c r="Q510" s="587">
        <v>60.4</v>
      </c>
      <c r="R510" s="43">
        <f t="shared" si="2503"/>
        <v>-0.65789473684209554</v>
      </c>
      <c r="S510" s="587">
        <v>67.2</v>
      </c>
      <c r="T510" s="43">
        <f t="shared" si="2503"/>
        <v>-2.4673439767779541</v>
      </c>
      <c r="U510" s="587">
        <v>67</v>
      </c>
      <c r="V510" s="43">
        <f t="shared" si="2503"/>
        <v>-0.59347181008902794</v>
      </c>
      <c r="W510" s="587">
        <v>64</v>
      </c>
      <c r="X510" s="43">
        <f t="shared" si="2503"/>
        <v>3.0595813204508744</v>
      </c>
      <c r="Y510" s="587">
        <v>64</v>
      </c>
      <c r="Z510" s="43">
        <f t="shared" si="2503"/>
        <v>5.9602649006622528</v>
      </c>
      <c r="AA510" s="587">
        <v>64</v>
      </c>
      <c r="AB510" s="43">
        <f t="shared" si="2503"/>
        <v>-4.7619047619047734</v>
      </c>
      <c r="AC510" s="587">
        <v>64</v>
      </c>
      <c r="AD510" s="43">
        <f t="shared" si="2503"/>
        <v>-4.4776119402985159</v>
      </c>
      <c r="AE510" s="587">
        <v>64</v>
      </c>
      <c r="AF510" s="43">
        <f t="shared" ref="P510:AF536" si="2504">IF(ISERROR(AE510/W510),"NA",IF(OR(AE510/W510&gt;2,AE510/W510&lt;0.5),"NM",AE510/W510*100-100))</f>
        <v>0</v>
      </c>
      <c r="AG510" s="587">
        <v>64</v>
      </c>
      <c r="AH510" s="9"/>
      <c r="AI510" s="587">
        <v>64</v>
      </c>
      <c r="AJ510" s="9"/>
      <c r="AK510" s="587">
        <v>64</v>
      </c>
      <c r="AL510" s="9"/>
      <c r="AM510" s="587">
        <v>64</v>
      </c>
      <c r="AN510" s="9"/>
      <c r="AO510" s="587"/>
      <c r="AP510" s="9"/>
      <c r="AQ510" s="118"/>
      <c r="AR510" s="9"/>
      <c r="AS510" s="118"/>
      <c r="AT510" s="9"/>
      <c r="AU510" s="118"/>
      <c r="AV510" s="9"/>
      <c r="AW510" s="118"/>
      <c r="AX510" s="9"/>
      <c r="AY510" s="287"/>
      <c r="AZ510" s="15"/>
      <c r="BA510" s="9"/>
      <c r="BB510" s="99"/>
      <c r="BC510" s="9"/>
      <c r="BD510" s="849"/>
      <c r="BE510" s="9"/>
      <c r="BF510" s="99"/>
      <c r="BG510" s="9"/>
      <c r="BH510" s="99"/>
      <c r="BI510" s="9"/>
      <c r="BJ510" s="99"/>
      <c r="BK510" s="9"/>
      <c r="BL510" s="99"/>
      <c r="BM510" s="9"/>
      <c r="BN510" s="118"/>
      <c r="BO510" s="9"/>
      <c r="BP510" s="118"/>
      <c r="BQ510" s="9"/>
      <c r="BR510" s="118"/>
      <c r="BS510" s="9"/>
      <c r="BT510" s="118"/>
      <c r="BU510" s="9"/>
      <c r="BV510" s="722"/>
      <c r="BW510" s="722"/>
      <c r="BX510" s="722"/>
      <c r="BY510"/>
      <c r="BZ510"/>
      <c r="CA510"/>
      <c r="CB510"/>
      <c r="CC510"/>
      <c r="CD510"/>
    </row>
    <row r="511" spans="1:83" s="2" customFormat="1" ht="12.75" customHeight="1" collapsed="1" x14ac:dyDescent="0.2">
      <c r="A511" s="41"/>
      <c r="B511" s="42" t="s">
        <v>158</v>
      </c>
      <c r="C511" s="118">
        <f>C424</f>
        <v>61.1</v>
      </c>
      <c r="D511" s="9" t="str">
        <f>IF(ISERROR(C511/#REF!),"NA",IF(OR(C511/#REF!&gt;2,C511/#REF!&lt;0.5),"NM",C511/#REF!*100-100))</f>
        <v>NA</v>
      </c>
      <c r="E511" s="118">
        <f>E424</f>
        <v>65</v>
      </c>
      <c r="F511" s="9" t="str">
        <f>IF(ISERROR(E511/#REF!),"NA",IF(OR(E511/#REF!&gt;2,E511/#REF!&lt;0.5),"NM",E511/#REF!*100-100))</f>
        <v>NA</v>
      </c>
      <c r="G511" s="118">
        <f>G424</f>
        <v>60</v>
      </c>
      <c r="H511" s="9" t="str">
        <f>IF(ISERROR(G511/#REF!),"NA",IF(OR(G511/#REF!&gt;2,G511/#REF!&lt;0.5),"NM",G511/#REF!*100-100))</f>
        <v>NA</v>
      </c>
      <c r="I511" s="118">
        <f>I424</f>
        <v>64.7</v>
      </c>
      <c r="J511" s="9" t="str">
        <f>IF(ISERROR(I511/#REF!),"NA",IF(OR(I511/#REF!&gt;2,I511/#REF!&lt;0.5),"NM",I511/#REF!*100-100))</f>
        <v>NA</v>
      </c>
      <c r="K511" s="118">
        <f>K424</f>
        <v>70.2</v>
      </c>
      <c r="L511" s="9">
        <f>IF(ISERROR(K511/C511),"NA",IF(OR(K511/C511&gt;2,K511/C511&lt;0.5),"NM",K511/C511*100-100))</f>
        <v>14.893617021276611</v>
      </c>
      <c r="M511" s="118">
        <f>M424</f>
        <v>66.2</v>
      </c>
      <c r="N511" s="9">
        <f>IF(ISERROR(M511/E511),"NA",IF(OR(M511/E511&gt;2,M511/E511&lt;0.5),"NM",M511/E511*100-100))</f>
        <v>1.8461538461538538</v>
      </c>
      <c r="O511" s="118">
        <f>O424</f>
        <v>61</v>
      </c>
      <c r="P511" s="43">
        <f t="shared" si="2504"/>
        <v>1.6666666666666572</v>
      </c>
      <c r="Q511" s="118">
        <f>Q424</f>
        <v>60.7</v>
      </c>
      <c r="R511" s="43">
        <f t="shared" si="2504"/>
        <v>-6.1823802163833079</v>
      </c>
      <c r="S511" s="118">
        <f>S424</f>
        <v>68.099999999999994</v>
      </c>
      <c r="T511" s="43">
        <f t="shared" si="2504"/>
        <v>-2.9914529914530021</v>
      </c>
      <c r="U511" s="118">
        <f>U424</f>
        <v>61.9</v>
      </c>
      <c r="V511" s="43">
        <f t="shared" si="2504"/>
        <v>-6.4954682779456334</v>
      </c>
      <c r="W511" s="118">
        <f>W424</f>
        <v>60.2</v>
      </c>
      <c r="X511" s="43">
        <f t="shared" si="2504"/>
        <v>-1.3114754098360635</v>
      </c>
      <c r="Y511" s="118">
        <f>Y424</f>
        <v>57.7</v>
      </c>
      <c r="Z511" s="43">
        <f t="shared" si="2504"/>
        <v>-4.9423393739703556</v>
      </c>
      <c r="AA511" s="118">
        <f>AA424</f>
        <v>67.400000000000006</v>
      </c>
      <c r="AB511" s="43">
        <f t="shared" si="2504"/>
        <v>-1.0279001468428675</v>
      </c>
      <c r="AC511" s="118">
        <f>AC424</f>
        <v>59.1</v>
      </c>
      <c r="AD511" s="43">
        <f t="shared" si="2504"/>
        <v>-4.5234248788368205</v>
      </c>
      <c r="AE511" s="118">
        <f>AE424</f>
        <v>67.400000000000006</v>
      </c>
      <c r="AF511" s="43">
        <f t="shared" si="2504"/>
        <v>11.960132890365458</v>
      </c>
      <c r="AG511" s="118">
        <f>AG424</f>
        <v>64.599999999999994</v>
      </c>
      <c r="AH511" s="9">
        <f>IF(ISERROR(AG511/Y511),"NA",IF(OR(AG511/Y511&gt;2,AG511/Y511&lt;0.5),"NM",AG511/Y511*100-100))</f>
        <v>11.958405545927192</v>
      </c>
      <c r="AI511" s="118">
        <f>AI424</f>
        <v>73.5</v>
      </c>
      <c r="AJ511" s="9">
        <f t="shared" ref="AJ511:AJ513" si="2505">IF(ISERROR(AI511/AA511),"NA",IF(OR(AI511/AA511&gt;2,AI511/AA511&lt;0.5),"NM",AI511/AA511*100-100))</f>
        <v>9.0504451038575553</v>
      </c>
      <c r="AK511" s="118">
        <f>AK424</f>
        <v>66.7</v>
      </c>
      <c r="AL511" s="9">
        <f t="shared" ref="AL511:AL513" si="2506">IF(ISERROR(AK511/AC511),"NA",IF(OR(AK511/AC511&gt;2,AK511/AC511&lt;0.5),"NM",AK511/AC511*100-100))</f>
        <v>12.859560067681898</v>
      </c>
      <c r="AM511" s="118">
        <f>AM424</f>
        <v>62.1</v>
      </c>
      <c r="AN511" s="9">
        <f t="shared" ref="AN511:AN513" si="2507">IF(ISERROR(AM511/AE511),"NA",IF(OR(AM511/AE511&gt;2,AM511/AE511&lt;0.5),"NM",AM511/AE511*100-100))</f>
        <v>-7.863501483679542</v>
      </c>
      <c r="AO511" s="118">
        <f>AO424</f>
        <v>64.2</v>
      </c>
      <c r="AP511" s="9">
        <f t="shared" ref="AP511:AP513" si="2508">IF(ISERROR(AO511/AG511),"NA",IF(OR(AO511/AG511&gt;2,AO511/AG511&lt;0.5),"NM",AO511/AG511*100-100))</f>
        <v>-0.61919504643961432</v>
      </c>
      <c r="AQ511" s="118"/>
      <c r="AR511" s="9" t="str">
        <f t="shared" ref="AR511:AR513" si="2509">IF(ISERROR(AQ511/AI511),"NA",IF(OR(AQ511/AI511&gt;2,AQ511/AI511&lt;0.5),"NM",AQ511/AI511*100-100))</f>
        <v>NM</v>
      </c>
      <c r="AS511" s="118"/>
      <c r="AT511" s="9" t="str">
        <f t="shared" ref="AT511:AT513" si="2510">IF(ISERROR(AS511/AK511),"NA",IF(OR(AS511/AK511&gt;2,AS511/AK511&lt;0.5),"NM",AS511/AK511*100-100))</f>
        <v>NM</v>
      </c>
      <c r="AU511" s="118"/>
      <c r="AV511" s="9" t="str">
        <f t="shared" ref="AV511:AV513" si="2511">IF(ISERROR(AU511/AM511),"NA",IF(OR(AU511/AM511&gt;2,AU511/AM511&lt;0.5),"NM",AU511/AM511*100-100))</f>
        <v>NM</v>
      </c>
      <c r="AW511" s="118"/>
      <c r="AX511" s="9" t="str">
        <f t="shared" ref="AX511:AX513" si="2512">IF(ISERROR(AW511/AO511),"NA",IF(OR(AW511/AO511&gt;2,AW511/AO511&lt;0.5),"NM",AW511/AO511*100-100))</f>
        <v>NM</v>
      </c>
      <c r="AY511" s="287"/>
      <c r="AZ511" s="15"/>
      <c r="BA511" s="9"/>
      <c r="BB511" s="99"/>
      <c r="BC511" s="9"/>
      <c r="BD511" s="849"/>
      <c r="BE511" s="9"/>
      <c r="BF511" s="99"/>
      <c r="BG511" s="9"/>
      <c r="BH511" s="99"/>
      <c r="BI511" s="9"/>
      <c r="BJ511" s="99"/>
      <c r="BK511" s="9"/>
      <c r="BL511" s="99"/>
      <c r="BM511" s="9"/>
      <c r="BN511" s="118"/>
      <c r="BO511" s="9"/>
      <c r="BP511" s="118"/>
      <c r="BQ511" s="9"/>
      <c r="BR511" s="118"/>
      <c r="BS511" s="9"/>
      <c r="BT511" s="118"/>
      <c r="BU511" s="9"/>
      <c r="BV511" s="722"/>
      <c r="BW511" s="722"/>
      <c r="BX511" s="722"/>
      <c r="BY511"/>
      <c r="BZ511"/>
      <c r="CA511"/>
      <c r="CB511"/>
      <c r="CC511"/>
      <c r="CD511"/>
    </row>
    <row r="512" spans="1:83" s="2" customFormat="1" ht="12.75" customHeight="1" x14ac:dyDescent="0.2">
      <c r="A512" s="41"/>
      <c r="B512" s="7" t="s">
        <v>322</v>
      </c>
      <c r="C512" s="101">
        <v>71</v>
      </c>
      <c r="D512" s="9" t="str">
        <f>IF(ISERROR(C512/#REF!),"NA",IF(OR(C512/#REF!&gt;2,C512/#REF!&lt;0.5),"NM",C512/#REF!*100-100))</f>
        <v>NA</v>
      </c>
      <c r="E512" s="101">
        <v>68.3</v>
      </c>
      <c r="F512" s="9" t="str">
        <f>IF(ISERROR(E512/#REF!),"NA",IF(OR(E512/#REF!&gt;2,E512/#REF!&lt;0.5),"NM",E512/#REF!*100-100))</f>
        <v>NA</v>
      </c>
      <c r="G512" s="101">
        <v>73.5</v>
      </c>
      <c r="H512" s="9" t="str">
        <f>IF(ISERROR(G512/#REF!),"NA",IF(OR(G512/#REF!&gt;2,G512/#REF!&lt;0.5),"NM",G512/#REF!*100-100))</f>
        <v>NA</v>
      </c>
      <c r="I512" s="101">
        <v>71.8</v>
      </c>
      <c r="J512" s="9" t="str">
        <f>IF(ISERROR(I512/#REF!),"NA",IF(OR(I512/#REF!&gt;2,I512/#REF!&lt;0.5),"NM",I512/#REF!*100-100))</f>
        <v>NA</v>
      </c>
      <c r="K512" s="101">
        <v>70.5</v>
      </c>
      <c r="L512" s="9">
        <f>IF(ISERROR(K512/C512),"NA",IF(OR(K512/C512&gt;2,K512/C512&lt;0.5),"NM",K512/C512*100-100))</f>
        <v>-0.70422535211267245</v>
      </c>
      <c r="M512" s="101">
        <v>66.8</v>
      </c>
      <c r="N512" s="9">
        <f>IF(ISERROR(M512/E512),"NA",IF(OR(M512/E512&gt;2,M512/E512&lt;0.5),"NM",M512/E512*100-100))</f>
        <v>-2.1961932650073237</v>
      </c>
      <c r="O512" s="101">
        <v>71.5</v>
      </c>
      <c r="P512" s="43">
        <f t="shared" si="2504"/>
        <v>-2.7210884353741562</v>
      </c>
      <c r="Q512" s="101">
        <v>80.5</v>
      </c>
      <c r="R512" s="43">
        <f t="shared" si="2504"/>
        <v>12.116991643454028</v>
      </c>
      <c r="S512" s="101">
        <v>69.400000000000006</v>
      </c>
      <c r="T512" s="43">
        <f t="shared" si="2504"/>
        <v>-1.5602836879432544</v>
      </c>
      <c r="U512" s="101">
        <v>69.8</v>
      </c>
      <c r="V512" s="43">
        <f t="shared" si="2504"/>
        <v>4.4910179640718582</v>
      </c>
      <c r="W512" s="101">
        <v>53.8</v>
      </c>
      <c r="X512" s="43">
        <f t="shared" si="2504"/>
        <v>-24.75524475524476</v>
      </c>
      <c r="Y512" s="101">
        <v>69.400000000000006</v>
      </c>
      <c r="Z512" s="43">
        <f t="shared" si="2504"/>
        <v>-13.788819875776397</v>
      </c>
      <c r="AA512" s="101">
        <v>65.5</v>
      </c>
      <c r="AB512" s="43">
        <f t="shared" si="2504"/>
        <v>-5.6195965417867484</v>
      </c>
      <c r="AC512" s="101">
        <v>60</v>
      </c>
      <c r="AD512" s="43">
        <f t="shared" si="2504"/>
        <v>-14.040114613180506</v>
      </c>
      <c r="AE512" s="101">
        <v>67.400000000000006</v>
      </c>
      <c r="AF512" s="43">
        <f t="shared" si="2504"/>
        <v>25.278810408921942</v>
      </c>
      <c r="AG512" s="101">
        <v>62.5</v>
      </c>
      <c r="AH512" s="9">
        <f>IF(ISERROR(AG512/Y512),"NA",IF(OR(AG512/Y512&gt;2,AG512/Y512&lt;0.5),"NM",AG512/Y512*100-100))</f>
        <v>-9.9423631123919449</v>
      </c>
      <c r="AI512" s="101">
        <v>66.099999999999994</v>
      </c>
      <c r="AJ512" s="9">
        <f t="shared" si="2505"/>
        <v>0.91603053435113679</v>
      </c>
      <c r="AK512" s="101">
        <v>65.3</v>
      </c>
      <c r="AL512" s="9">
        <f t="shared" si="2506"/>
        <v>8.8333333333333428</v>
      </c>
      <c r="AM512" s="101">
        <v>58.5</v>
      </c>
      <c r="AN512" s="9">
        <f t="shared" si="2507"/>
        <v>-13.204747774480722</v>
      </c>
      <c r="AO512" s="101">
        <v>66.400000000000006</v>
      </c>
      <c r="AP512" s="9">
        <f t="shared" si="2508"/>
        <v>6.2399999999999949</v>
      </c>
      <c r="AQ512" s="101"/>
      <c r="AR512" s="9" t="str">
        <f t="shared" si="2509"/>
        <v>NM</v>
      </c>
      <c r="AS512" s="101"/>
      <c r="AT512" s="9" t="str">
        <f t="shared" si="2510"/>
        <v>NM</v>
      </c>
      <c r="AU512" s="101"/>
      <c r="AV512" s="9" t="str">
        <f t="shared" si="2511"/>
        <v>NM</v>
      </c>
      <c r="AW512" s="101"/>
      <c r="AX512" s="9" t="str">
        <f t="shared" si="2512"/>
        <v>NM</v>
      </c>
      <c r="AY512" s="287"/>
      <c r="AZ512" s="15"/>
      <c r="BA512" s="9"/>
      <c r="BB512" s="99"/>
      <c r="BC512" s="9"/>
      <c r="BD512" s="849"/>
      <c r="BE512" s="9"/>
      <c r="BF512" s="99"/>
      <c r="BG512" s="9"/>
      <c r="BH512" s="99"/>
      <c r="BI512" s="9"/>
      <c r="BJ512" s="99"/>
      <c r="BK512" s="9"/>
      <c r="BL512" s="99"/>
      <c r="BM512" s="9"/>
      <c r="BN512" s="101"/>
      <c r="BO512" s="9"/>
      <c r="BP512" s="101"/>
      <c r="BQ512" s="9"/>
      <c r="BR512" s="101"/>
      <c r="BS512" s="9"/>
      <c r="BT512" s="101"/>
      <c r="BU512" s="9"/>
      <c r="BV512" s="722"/>
      <c r="BW512" s="722"/>
      <c r="BX512" s="722"/>
      <c r="BY512"/>
      <c r="BZ512"/>
      <c r="CA512"/>
      <c r="CB512"/>
      <c r="CC512"/>
      <c r="CD512"/>
    </row>
    <row r="513" spans="1:82" s="2" customFormat="1" ht="12.75" customHeight="1" x14ac:dyDescent="0.2">
      <c r="A513" s="41"/>
      <c r="B513" s="7" t="s">
        <v>448</v>
      </c>
      <c r="C513" s="101">
        <v>61.3</v>
      </c>
      <c r="D513" s="9" t="str">
        <f>IF(ISERROR(C513/#REF!),"NA",IF(OR(C513/#REF!&gt;2,C513/#REF!&lt;0.5),"NM",C513/#REF!*100-100))</f>
        <v>NA</v>
      </c>
      <c r="E513" s="101">
        <v>60.8</v>
      </c>
      <c r="F513" s="9" t="str">
        <f>IF(ISERROR(E513/#REF!),"NA",IF(OR(E513/#REF!&gt;2,E513/#REF!&lt;0.5),"NM",E513/#REF!*100-100))</f>
        <v>NA</v>
      </c>
      <c r="G513" s="101">
        <v>61.4</v>
      </c>
      <c r="H513" s="9" t="str">
        <f>IF(ISERROR(G513/#REF!),"NA",IF(OR(G513/#REF!&gt;2,G513/#REF!&lt;0.5),"NM",G513/#REF!*100-100))</f>
        <v>NA</v>
      </c>
      <c r="I513" s="101">
        <v>62.9</v>
      </c>
      <c r="J513" s="9" t="str">
        <f>IF(ISERROR(I513/#REF!),"NA",IF(OR(I513/#REF!&gt;2,I513/#REF!&lt;0.5),"NM",I513/#REF!*100-100))</f>
        <v>NA</v>
      </c>
      <c r="K513" s="101">
        <v>58.5</v>
      </c>
      <c r="L513" s="9">
        <f>IF(ISERROR(K513/C513),"NA",IF(OR(K513/C513&gt;2,K513/C513&lt;0.5),"NM",K513/C513*100-100))</f>
        <v>-4.5676998368678596</v>
      </c>
      <c r="M513" s="101">
        <v>60.3</v>
      </c>
      <c r="N513" s="9">
        <f>IF(ISERROR(M513/E513),"NA",IF(OR(M513/E513&gt;2,M513/E513&lt;0.5),"NM",M513/E513*100-100))</f>
        <v>-0.82236842105263008</v>
      </c>
      <c r="O513" s="101">
        <v>65.599999999999994</v>
      </c>
      <c r="P513" s="43">
        <f t="shared" si="2504"/>
        <v>6.8403908794788322</v>
      </c>
      <c r="Q513" s="101">
        <v>59.5</v>
      </c>
      <c r="R513" s="43">
        <f t="shared" si="2504"/>
        <v>-5.4054054054054035</v>
      </c>
      <c r="S513" s="101">
        <v>44.8</v>
      </c>
      <c r="T513" s="43">
        <f t="shared" si="2504"/>
        <v>-23.418803418803421</v>
      </c>
      <c r="U513" s="101">
        <v>59.4</v>
      </c>
      <c r="V513" s="43">
        <f t="shared" si="2504"/>
        <v>-1.4925373134328339</v>
      </c>
      <c r="W513" s="101">
        <v>60</v>
      </c>
      <c r="X513" s="43">
        <f t="shared" si="2504"/>
        <v>-8.5365853658536537</v>
      </c>
      <c r="Y513" s="101">
        <v>56.8</v>
      </c>
      <c r="Z513" s="43">
        <f t="shared" si="2504"/>
        <v>-4.5378151260504325</v>
      </c>
      <c r="AA513" s="101">
        <v>61.6</v>
      </c>
      <c r="AB513" s="43">
        <f t="shared" si="2504"/>
        <v>37.500000000000028</v>
      </c>
      <c r="AC513" s="101">
        <v>58.8</v>
      </c>
      <c r="AD513" s="43">
        <f t="shared" si="2504"/>
        <v>-1.0101010101010104</v>
      </c>
      <c r="AE513" s="101">
        <v>69.099999999999994</v>
      </c>
      <c r="AF513" s="43">
        <f t="shared" si="2504"/>
        <v>15.166666666666657</v>
      </c>
      <c r="AG513" s="101">
        <v>56.9</v>
      </c>
      <c r="AH513" s="9">
        <f>IF(ISERROR(AG513/Y513),"NA",IF(OR(AG513/Y513&gt;2,AG513/Y513&lt;0.5),"NM",AG513/Y513*100-100))</f>
        <v>0.17605633802817522</v>
      </c>
      <c r="AI513" s="101">
        <v>55.5</v>
      </c>
      <c r="AJ513" s="9">
        <f t="shared" si="2505"/>
        <v>-9.9025974025974079</v>
      </c>
      <c r="AK513" s="101">
        <v>57.8</v>
      </c>
      <c r="AL513" s="9">
        <f t="shared" si="2506"/>
        <v>-1.7006802721088405</v>
      </c>
      <c r="AM513" s="101">
        <v>62.1</v>
      </c>
      <c r="AN513" s="9">
        <f t="shared" si="2507"/>
        <v>-10.130246020260486</v>
      </c>
      <c r="AO513" s="101">
        <v>57.7</v>
      </c>
      <c r="AP513" s="9">
        <f t="shared" si="2508"/>
        <v>1.4059753954305876</v>
      </c>
      <c r="AQ513" s="101"/>
      <c r="AR513" s="9" t="str">
        <f t="shared" si="2509"/>
        <v>NM</v>
      </c>
      <c r="AS513" s="101"/>
      <c r="AT513" s="9" t="str">
        <f t="shared" si="2510"/>
        <v>NM</v>
      </c>
      <c r="AU513" s="101"/>
      <c r="AV513" s="9" t="str">
        <f t="shared" si="2511"/>
        <v>NM</v>
      </c>
      <c r="AW513" s="101"/>
      <c r="AX513" s="9" t="str">
        <f t="shared" si="2512"/>
        <v>NM</v>
      </c>
      <c r="AY513" s="287"/>
      <c r="AZ513" s="15"/>
      <c r="BA513" s="9"/>
      <c r="BB513" s="99"/>
      <c r="BC513" s="9"/>
      <c r="BD513" s="849"/>
      <c r="BE513" s="9"/>
      <c r="BF513" s="99"/>
      <c r="BG513" s="9"/>
      <c r="BH513" s="99"/>
      <c r="BI513" s="9"/>
      <c r="BJ513" s="99"/>
      <c r="BK513" s="9"/>
      <c r="BL513" s="99"/>
      <c r="BM513" s="9"/>
      <c r="BN513" s="101"/>
      <c r="BO513" s="9"/>
      <c r="BP513" s="101"/>
      <c r="BQ513" s="9"/>
      <c r="BR513" s="101"/>
      <c r="BS513" s="9"/>
      <c r="BT513" s="101"/>
      <c r="BU513" s="9"/>
      <c r="BV513" s="722"/>
      <c r="BW513" s="722"/>
      <c r="BX513" s="722"/>
      <c r="BY513"/>
      <c r="BZ513"/>
      <c r="CA513"/>
      <c r="CB513"/>
      <c r="CC513"/>
      <c r="CD513"/>
    </row>
    <row r="514" spans="1:82" s="2" customFormat="1" ht="12.75" customHeight="1" x14ac:dyDescent="0.2">
      <c r="A514" s="41"/>
      <c r="B514" s="42"/>
      <c r="C514" s="15"/>
      <c r="D514" s="40"/>
      <c r="E514" s="15"/>
      <c r="F514" s="40"/>
      <c r="G514" s="15"/>
      <c r="H514" s="40"/>
      <c r="I514" s="15"/>
      <c r="J514" s="40"/>
      <c r="K514" s="15"/>
      <c r="L514" s="40"/>
      <c r="M514" s="15"/>
      <c r="N514" s="40"/>
      <c r="O514" s="15"/>
      <c r="P514" s="43"/>
      <c r="Q514" s="15"/>
      <c r="R514" s="43"/>
      <c r="S514" s="15"/>
      <c r="T514" s="43"/>
      <c r="U514" s="15"/>
      <c r="V514" s="43"/>
      <c r="W514" s="15"/>
      <c r="X514" s="43"/>
      <c r="Y514" s="15"/>
      <c r="Z514" s="43"/>
      <c r="AA514" s="15"/>
      <c r="AB514" s="43"/>
      <c r="AC514" s="15"/>
      <c r="AD514" s="43"/>
      <c r="AE514" s="15"/>
      <c r="AF514" s="43"/>
      <c r="AG514" s="15"/>
      <c r="AH514" s="40"/>
      <c r="AI514" s="15"/>
      <c r="AJ514" s="40"/>
      <c r="AK514" s="15"/>
      <c r="AL514" s="40"/>
      <c r="AM514" s="15"/>
      <c r="AN514" s="40"/>
      <c r="AO514" s="15"/>
      <c r="AP514" s="40"/>
      <c r="AQ514" s="15"/>
      <c r="AR514" s="40"/>
      <c r="AS514" s="15"/>
      <c r="AT514" s="40"/>
      <c r="AU514" s="15"/>
      <c r="AV514" s="40"/>
      <c r="AW514" s="15"/>
      <c r="AX514" s="40"/>
      <c r="AY514" s="287"/>
      <c r="AZ514" s="15"/>
      <c r="BA514" s="40"/>
      <c r="BB514" s="15"/>
      <c r="BC514" s="40"/>
      <c r="BD514" s="924"/>
      <c r="BE514" s="40"/>
      <c r="BF514" s="15"/>
      <c r="BG514" s="40"/>
      <c r="BH514" s="15"/>
      <c r="BI514" s="40"/>
      <c r="BJ514" s="15"/>
      <c r="BK514" s="40"/>
      <c r="BL514" s="15"/>
      <c r="BM514" s="40"/>
      <c r="BN514" s="15"/>
      <c r="BO514" s="40"/>
      <c r="BP514" s="15"/>
      <c r="BQ514" s="40"/>
      <c r="BR514" s="15"/>
      <c r="BS514" s="40"/>
      <c r="BT514" s="15"/>
      <c r="BU514" s="40"/>
      <c r="BV514" s="722"/>
      <c r="BW514" s="722"/>
      <c r="BX514" s="722"/>
      <c r="BY514"/>
      <c r="BZ514"/>
      <c r="CA514"/>
      <c r="CB514"/>
      <c r="CC514"/>
      <c r="CD514"/>
    </row>
    <row r="515" spans="1:82" s="265" customFormat="1" ht="12.75" customHeight="1" x14ac:dyDescent="0.2">
      <c r="B515" s="266" t="s">
        <v>44</v>
      </c>
      <c r="C515" s="268"/>
      <c r="D515" s="269"/>
      <c r="E515" s="268"/>
      <c r="F515" s="269"/>
      <c r="G515" s="268"/>
      <c r="H515" s="269"/>
      <c r="I515" s="268"/>
      <c r="J515" s="269"/>
      <c r="K515" s="268"/>
      <c r="L515" s="269"/>
      <c r="M515" s="268"/>
      <c r="N515" s="269"/>
      <c r="O515" s="268"/>
      <c r="P515" s="268"/>
      <c r="Q515" s="268"/>
      <c r="R515" s="268"/>
      <c r="S515" s="268"/>
      <c r="T515" s="268"/>
      <c r="U515" s="268"/>
      <c r="V515" s="268"/>
      <c r="W515" s="268"/>
      <c r="X515" s="268"/>
      <c r="Y515" s="268"/>
      <c r="Z515" s="268"/>
      <c r="AA515" s="268"/>
      <c r="AB515" s="268"/>
      <c r="AC515" s="268"/>
      <c r="AD515" s="268"/>
      <c r="AE515" s="268"/>
      <c r="AF515" s="268"/>
      <c r="AG515" s="268"/>
      <c r="AH515" s="269"/>
      <c r="AI515" s="268"/>
      <c r="AJ515" s="269"/>
      <c r="AK515" s="268"/>
      <c r="AL515" s="269"/>
      <c r="AM515" s="268"/>
      <c r="AN515" s="269"/>
      <c r="AO515" s="268"/>
      <c r="AP515" s="269"/>
      <c r="AQ515" s="268"/>
      <c r="AR515" s="269"/>
      <c r="AS515" s="268"/>
      <c r="AT515" s="269"/>
      <c r="AU515" s="268"/>
      <c r="AV515" s="269"/>
      <c r="AW515" s="268"/>
      <c r="AX515" s="269"/>
      <c r="AY515" s="287"/>
      <c r="AZ515" s="267"/>
      <c r="BA515" s="269"/>
      <c r="BB515" s="268"/>
      <c r="BC515" s="269"/>
      <c r="BD515" s="907"/>
      <c r="BE515" s="269"/>
      <c r="BF515" s="268"/>
      <c r="BG515" s="269"/>
      <c r="BH515" s="268"/>
      <c r="BI515" s="269"/>
      <c r="BJ515" s="268"/>
      <c r="BK515" s="269"/>
      <c r="BL515" s="268"/>
      <c r="BM515" s="269"/>
      <c r="BN515" s="268"/>
      <c r="BO515" s="269"/>
      <c r="BP515" s="268"/>
      <c r="BQ515" s="269"/>
      <c r="BR515" s="268"/>
      <c r="BS515" s="269"/>
      <c r="BT515" s="268"/>
      <c r="BU515" s="269"/>
      <c r="BV515" s="270"/>
      <c r="BW515" s="270"/>
      <c r="BX515" s="270"/>
      <c r="BY515"/>
      <c r="BZ515"/>
      <c r="CA515"/>
      <c r="CB515"/>
      <c r="CC515"/>
      <c r="CD515"/>
    </row>
    <row r="516" spans="1:82" s="2" customFormat="1" ht="12.75" customHeight="1" x14ac:dyDescent="0.2">
      <c r="A516" s="41"/>
      <c r="B516" s="42"/>
      <c r="C516" s="15"/>
      <c r="D516" s="40"/>
      <c r="E516" s="15"/>
      <c r="F516" s="40"/>
      <c r="G516" s="15"/>
      <c r="H516" s="40"/>
      <c r="I516" s="15"/>
      <c r="J516" s="40"/>
      <c r="K516" s="15"/>
      <c r="L516" s="40"/>
      <c r="M516" s="15"/>
      <c r="N516" s="40"/>
      <c r="O516" s="15"/>
      <c r="P516" s="43"/>
      <c r="Q516" s="15"/>
      <c r="R516" s="43"/>
      <c r="S516" s="15"/>
      <c r="T516" s="43"/>
      <c r="U516" s="15"/>
      <c r="V516" s="43"/>
      <c r="W516" s="15"/>
      <c r="X516" s="43"/>
      <c r="Y516" s="15"/>
      <c r="Z516" s="43"/>
      <c r="AA516" s="15"/>
      <c r="AB516" s="43"/>
      <c r="AC516" s="15"/>
      <c r="AD516" s="43"/>
      <c r="AE516" s="15"/>
      <c r="AF516" s="43"/>
      <c r="AG516" s="15"/>
      <c r="AH516" s="40"/>
      <c r="AI516" s="15"/>
      <c r="AJ516" s="40"/>
      <c r="AK516" s="15"/>
      <c r="AL516" s="40"/>
      <c r="AM516" s="15"/>
      <c r="AN516" s="40"/>
      <c r="AO516" s="15"/>
      <c r="AP516" s="40"/>
      <c r="AQ516" s="15"/>
      <c r="AR516" s="40"/>
      <c r="AS516" s="15"/>
      <c r="AT516" s="40"/>
      <c r="AU516" s="15"/>
      <c r="AV516" s="40"/>
      <c r="AW516" s="15"/>
      <c r="AX516" s="40"/>
      <c r="AY516" s="287"/>
      <c r="AZ516" s="15"/>
      <c r="BA516" s="40"/>
      <c r="BB516" s="15"/>
      <c r="BC516" s="40"/>
      <c r="BD516" s="924"/>
      <c r="BE516" s="40"/>
      <c r="BF516" s="15"/>
      <c r="BG516" s="40"/>
      <c r="BH516" s="15"/>
      <c r="BI516" s="40"/>
      <c r="BJ516" s="15"/>
      <c r="BK516" s="40"/>
      <c r="BL516" s="15"/>
      <c r="BM516" s="40"/>
      <c r="BN516" s="15"/>
      <c r="BO516" s="40"/>
      <c r="BP516" s="15"/>
      <c r="BQ516" s="40"/>
      <c r="BR516" s="15"/>
      <c r="BS516" s="40"/>
      <c r="BT516" s="15"/>
      <c r="BU516" s="40"/>
      <c r="BV516" s="722"/>
      <c r="BW516" s="722"/>
      <c r="BX516" s="722"/>
      <c r="BY516"/>
      <c r="BZ516"/>
      <c r="CA516"/>
      <c r="CB516"/>
      <c r="CC516"/>
      <c r="CD516"/>
    </row>
    <row r="517" spans="1:82" s="2" customFormat="1" ht="12.75" customHeight="1" x14ac:dyDescent="0.2">
      <c r="A517" s="41"/>
      <c r="B517" s="80" t="s">
        <v>492</v>
      </c>
      <c r="C517" s="15"/>
      <c r="D517" s="40"/>
      <c r="E517" s="15"/>
      <c r="F517" s="40"/>
      <c r="G517" s="15"/>
      <c r="H517" s="40"/>
      <c r="I517" s="15"/>
      <c r="J517" s="40"/>
      <c r="K517" s="15"/>
      <c r="L517" s="40"/>
      <c r="M517" s="15"/>
      <c r="N517" s="40"/>
      <c r="O517" s="15"/>
      <c r="P517" s="43"/>
      <c r="Q517" s="15"/>
      <c r="R517" s="43"/>
      <c r="S517" s="15"/>
      <c r="T517" s="43"/>
      <c r="U517" s="15"/>
      <c r="V517" s="43"/>
      <c r="W517" s="15"/>
      <c r="X517" s="43"/>
      <c r="Y517" s="15"/>
      <c r="Z517" s="43"/>
      <c r="AA517" s="15"/>
      <c r="AB517" s="43"/>
      <c r="AC517" s="15"/>
      <c r="AD517" s="43"/>
      <c r="AE517" s="15"/>
      <c r="AF517" s="43"/>
      <c r="AG517" s="15"/>
      <c r="AH517" s="40"/>
      <c r="AI517" s="15"/>
      <c r="AJ517" s="40"/>
      <c r="AK517" s="15"/>
      <c r="AL517" s="40"/>
      <c r="AM517" s="15"/>
      <c r="AN517" s="40"/>
      <c r="AO517" s="15"/>
      <c r="AP517" s="40"/>
      <c r="AQ517" s="15"/>
      <c r="AR517" s="40"/>
      <c r="AS517" s="15"/>
      <c r="AT517" s="40"/>
      <c r="AU517" s="15"/>
      <c r="AV517" s="40"/>
      <c r="AW517" s="15"/>
      <c r="AX517" s="40"/>
      <c r="AY517" s="287"/>
      <c r="AZ517" s="15"/>
      <c r="BA517" s="40"/>
      <c r="BB517" s="15"/>
      <c r="BC517" s="40"/>
      <c r="BD517" s="924"/>
      <c r="BE517" s="40"/>
      <c r="BF517" s="15"/>
      <c r="BG517" s="40"/>
      <c r="BH517" s="15"/>
      <c r="BI517" s="40"/>
      <c r="BJ517" s="15"/>
      <c r="BK517" s="40"/>
      <c r="BL517" s="15"/>
      <c r="BM517" s="40"/>
      <c r="BN517" s="15"/>
      <c r="BO517" s="40"/>
      <c r="BP517" s="15"/>
      <c r="BQ517" s="40"/>
      <c r="BR517" s="15"/>
      <c r="BS517" s="40"/>
      <c r="BT517" s="15"/>
      <c r="BU517" s="40"/>
      <c r="BV517" s="722"/>
      <c r="BW517" s="722"/>
      <c r="BX517" s="722"/>
      <c r="BY517"/>
      <c r="BZ517"/>
      <c r="CA517"/>
      <c r="CB517"/>
      <c r="CC517"/>
      <c r="CD517"/>
    </row>
    <row r="518" spans="1:82" s="2" customFormat="1" ht="12.75" customHeight="1" x14ac:dyDescent="0.2">
      <c r="A518" s="41"/>
      <c r="B518" s="62" t="s">
        <v>374</v>
      </c>
      <c r="C518" s="691">
        <f>+C389+C477</f>
        <v>605.70000000000005</v>
      </c>
      <c r="D518" s="9" t="str">
        <f>IF(ISERROR(C518/#REF!),"NA",IF(OR(C518/#REF!&gt;2,C518/#REF!&lt;0.5),"NM",C518/#REF!*100-100))</f>
        <v>NA</v>
      </c>
      <c r="E518" s="691">
        <f>+E389+E477</f>
        <v>598.79999999999995</v>
      </c>
      <c r="F518" s="9" t="str">
        <f>IF(ISERROR(E518/#REF!),"NA",IF(OR(E518/#REF!&gt;2,E518/#REF!&lt;0.5),"NM",E518/#REF!*100-100))</f>
        <v>NA</v>
      </c>
      <c r="G518" s="691">
        <f>+G389+G477</f>
        <v>588</v>
      </c>
      <c r="H518" s="9" t="str">
        <f>IF(ISERROR(G518/#REF!),"NA",IF(OR(G518/#REF!&gt;2,G518/#REF!&lt;0.5),"NM",G518/#REF!*100-100))</f>
        <v>NA</v>
      </c>
      <c r="I518" s="691">
        <f>+I389+I477</f>
        <v>607.29999999999995</v>
      </c>
      <c r="J518" s="9" t="str">
        <f>IF(ISERROR(I518/#REF!),"NA",IF(OR(I518/#REF!&gt;2,I518/#REF!&lt;0.5),"NM",I518/#REF!*100-100))</f>
        <v>NA</v>
      </c>
      <c r="K518" s="691">
        <f>+K389+K477</f>
        <v>619.70000000000005</v>
      </c>
      <c r="L518" s="9">
        <f>IF(ISERROR(K518/C518),"NA",IF(OR(K518/C518&gt;2,K518/C518&lt;0.5),"NM",K518/C518*100-100))</f>
        <v>2.3113752682846211</v>
      </c>
      <c r="M518" s="691">
        <f>+M389+M477</f>
        <v>626.5</v>
      </c>
      <c r="N518" s="9">
        <f>IF(ISERROR(M518/E518),"NA",IF(OR(M518/E518&gt;2,M518/E518&lt;0.5),"NM",M518/E518*100-100))</f>
        <v>4.6259185036740149</v>
      </c>
      <c r="O518" s="691">
        <f>+O389+O477</f>
        <v>640.29999999999995</v>
      </c>
      <c r="P518" s="43">
        <f t="shared" si="2504"/>
        <v>8.8945578231292473</v>
      </c>
      <c r="Q518" s="693">
        <f>+Q389+Q477</f>
        <v>640.59999999999991</v>
      </c>
      <c r="R518" s="43">
        <f t="shared" si="2504"/>
        <v>5.4832866787419619</v>
      </c>
      <c r="S518" s="691">
        <f>+S389+S477</f>
        <v>683.40000000000009</v>
      </c>
      <c r="T518" s="43">
        <f t="shared" si="2504"/>
        <v>10.279167339035027</v>
      </c>
      <c r="U518" s="691">
        <f>+U389+U477</f>
        <v>668.2</v>
      </c>
      <c r="V518" s="43">
        <f t="shared" si="2504"/>
        <v>6.6560255387070981</v>
      </c>
      <c r="W518" s="691">
        <f>+W389+W477</f>
        <v>668.8</v>
      </c>
      <c r="X518" s="43">
        <f t="shared" si="2504"/>
        <v>4.4510385756676669</v>
      </c>
      <c r="Y518" s="691">
        <f>+Y389+Y477</f>
        <v>678.3</v>
      </c>
      <c r="Z518" s="43">
        <f t="shared" si="2504"/>
        <v>5.8851077115204617</v>
      </c>
      <c r="AA518" s="691">
        <f>+AA389+AA477</f>
        <v>704.9</v>
      </c>
      <c r="AB518" s="43">
        <f t="shared" si="2504"/>
        <v>3.1460345332162518</v>
      </c>
      <c r="AC518" s="691">
        <f>+AC389+AC477</f>
        <v>715.1</v>
      </c>
      <c r="AD518" s="43">
        <f t="shared" si="2504"/>
        <v>7.0188566297515678</v>
      </c>
      <c r="AE518" s="691">
        <f>+AE389+AE477</f>
        <v>710.3</v>
      </c>
      <c r="AF518" s="43">
        <f t="shared" si="2504"/>
        <v>6.2051435406698516</v>
      </c>
      <c r="AG518" s="691">
        <f>+AG389+AG477</f>
        <v>728.1</v>
      </c>
      <c r="AH518" s="9">
        <f>IF(ISERROR(AG518/Y518),"NA",IF(OR(AG518/Y518&gt;2,AG518/Y518&lt;0.5),"NM",AG518/Y518*100-100))</f>
        <v>7.3418841220698852</v>
      </c>
      <c r="AI518" s="691">
        <f>+AI389+AI477</f>
        <v>757.59999999999991</v>
      </c>
      <c r="AJ518" s="9">
        <f t="shared" ref="AJ518:AJ520" si="2513">IF(ISERROR(AI518/AA518),"NA",IF(OR(AI518/AA518&gt;2,AI518/AA518&lt;0.5),"NM",AI518/AA518*100-100))</f>
        <v>7.4762377642218638</v>
      </c>
      <c r="AK518" s="691">
        <f>+AK389+AK477</f>
        <v>769.40000000000009</v>
      </c>
      <c r="AL518" s="9">
        <f t="shared" ref="AL518:AL520" si="2514">IF(ISERROR(AK518/AC518),"NA",IF(OR(AK518/AC518&gt;2,AK518/AC518&lt;0.5),"NM",AK518/AC518*100-100))</f>
        <v>7.5933435883093381</v>
      </c>
      <c r="AM518" s="691">
        <f>+AM389+AM477</f>
        <v>787.5</v>
      </c>
      <c r="AN518" s="9">
        <f t="shared" ref="AN518:AN520" si="2515">IF(ISERROR(AM518/AE518),"NA",IF(OR(AM518/AE518&gt;2,AM518/AE518&lt;0.5),"NM",AM518/AE518*100-100))</f>
        <v>10.868647050542023</v>
      </c>
      <c r="AO518" s="691">
        <f>+AO389+AO477</f>
        <v>788.90000000000009</v>
      </c>
      <c r="AP518" s="9">
        <f t="shared" ref="AP518:AP520" si="2516">IF(ISERROR(AO518/AG518),"NA",IF(OR(AO518/AG518&gt;2,AO518/AG518&lt;0.5),"NM",AO518/AG518*100-100))</f>
        <v>8.3505013047658423</v>
      </c>
      <c r="AQ518" s="691">
        <f t="shared" ref="AQ518" si="2517">+AQ389+AQ477</f>
        <v>792.71499999999992</v>
      </c>
      <c r="AR518" s="9">
        <f t="shared" ref="AR518:AR520" si="2518">IF(ISERROR(AQ518/AI518),"NA",IF(OR(AQ518/AI518&gt;2,AQ518/AI518&lt;0.5),"NM",AQ518/AI518*100-100))</f>
        <v>4.635031678986266</v>
      </c>
      <c r="AS518" s="691">
        <f t="shared" ref="AS518" si="2519">+AS389+AS477</f>
        <v>807.83682999999996</v>
      </c>
      <c r="AT518" s="9">
        <f t="shared" ref="AT518:AT520" si="2520">IF(ISERROR(AS518/AK518),"NA",IF(OR(AS518/AK518&gt;2,AS518/AK518&lt;0.5),"NM",AS518/AK518*100-100))</f>
        <v>4.9956888484533124</v>
      </c>
      <c r="AU518" s="691">
        <f t="shared" ref="AU518" si="2521">+AU389+AU477</f>
        <v>826.08875830000011</v>
      </c>
      <c r="AV518" s="9">
        <f t="shared" ref="AV518:AV520" si="2522">IF(ISERROR(AU518/AM518),"NA",IF(OR(AU518/AM518&gt;2,AU518/AM518&lt;0.5),"NM",AU518/AM518*100-100))</f>
        <v>4.9001597841269842</v>
      </c>
      <c r="AW518" s="691">
        <f t="shared" ref="AW518" si="2523">+AW389+AW477</f>
        <v>836.23605588300006</v>
      </c>
      <c r="AX518" s="9">
        <f t="shared" ref="AX518:AX520" si="2524">IF(ISERROR(AW518/AO518),"NA",IF(OR(AW518/AO518&gt;2,AW518/AO518&lt;0.5),"NM",AW518/AO518*100-100))</f>
        <v>6.0002606012168798</v>
      </c>
      <c r="AY518" s="287"/>
      <c r="AZ518" s="64"/>
      <c r="BA518" s="9" t="str">
        <f>IF(ISERROR(#REF!/#REF!),"NA",IF(OR(#REF!/#REF!&gt;2,#REF!/#REF!&lt;0.5),"NM",#REF!/#REF!*100-100))</f>
        <v>NA</v>
      </c>
      <c r="BB518" s="55">
        <f>C518+E518+G518+I518</f>
        <v>2399.8000000000002</v>
      </c>
      <c r="BC518" s="9" t="str">
        <f>IF(ISERROR(BB518/#REF!),"NA",IF(OR(BB518/#REF!&gt;2,BB518/#REF!&lt;0.5),"NM",BB518/#REF!*100-100))</f>
        <v>NA</v>
      </c>
      <c r="BD518" s="908">
        <f>K518+M518+O518+Q518</f>
        <v>2527.1</v>
      </c>
      <c r="BE518" s="9">
        <f t="shared" ref="BE518:BS529" si="2525">IF(ISERROR(BD518/BB518),"NA",IF(OR(BD518/BB518&gt;2,BD518/BB518&lt;0.5),"NM",BD518/BB518*100-100))</f>
        <v>5.3046087173931085</v>
      </c>
      <c r="BF518" s="55">
        <f>S518+U518+W518+Y518</f>
        <v>2698.7</v>
      </c>
      <c r="BG518" s="9">
        <f t="shared" si="2525"/>
        <v>6.7903921491037096</v>
      </c>
      <c r="BH518" s="55">
        <f>AA518+AC518+AE518+AG518</f>
        <v>2858.4</v>
      </c>
      <c r="BI518" s="9">
        <f t="shared" si="2525"/>
        <v>5.9176640604735837</v>
      </c>
      <c r="BJ518" s="55">
        <f>AI518+AK518+AM518+AO518</f>
        <v>3103.4</v>
      </c>
      <c r="BK518" s="9">
        <f t="shared" si="2525"/>
        <v>8.5712286593898597</v>
      </c>
      <c r="BL518" s="55">
        <f>AQ518+AS518+AU518+AW518</f>
        <v>3262.8766441829998</v>
      </c>
      <c r="BM518" s="9">
        <f t="shared" si="2525"/>
        <v>5.1387718045691599</v>
      </c>
      <c r="BN518" s="693">
        <f>+BN389+BN477</f>
        <v>3458.2690199503204</v>
      </c>
      <c r="BO518" s="9">
        <f t="shared" si="2525"/>
        <v>5.9883470040359157</v>
      </c>
      <c r="BP518" s="693">
        <f>+BP389+BP477</f>
        <v>3666.0185024483335</v>
      </c>
      <c r="BQ518" s="9">
        <f t="shared" si="2525"/>
        <v>6.0073256678278284</v>
      </c>
      <c r="BR518" s="693">
        <f>+BR389+BR477</f>
        <v>3886.9372747652669</v>
      </c>
      <c r="BS518" s="9">
        <f t="shared" si="2525"/>
        <v>6.026122676942137</v>
      </c>
      <c r="BT518" s="693">
        <f>+BT389+BT477</f>
        <v>4121.8922602302082</v>
      </c>
      <c r="BU518" s="9">
        <f t="shared" ref="BU518:BU520" si="2526">IF(ISERROR(BT518/BR518),"NA",IF(OR(BT518/BR518&gt;2,BT518/BR518&lt;0.5),"NM",BT518/BR518*100-100))</f>
        <v>6.0447331370720576</v>
      </c>
      <c r="BV518" s="43">
        <f>IF(ISERROR(((BT518/BJ518)^0.2-1)*100),"NA",IF((((BT518/BJ518)^0.2-1)*100)&gt;100,"NM",IF((((BT518/BJ518)^0.2-1)*100)&lt;-50,"NM",((BT518/BJ518)^0.2-1)*100)))</f>
        <v>5.8404739658121319</v>
      </c>
      <c r="BW518" s="722"/>
      <c r="BX518" s="722"/>
      <c r="BY518"/>
      <c r="BZ518"/>
      <c r="CA518"/>
      <c r="CB518"/>
      <c r="CC518"/>
      <c r="CD518"/>
    </row>
    <row r="519" spans="1:82" s="2" customFormat="1" ht="12.75" customHeight="1" x14ac:dyDescent="0.2">
      <c r="A519" s="41"/>
      <c r="B519" s="62" t="s">
        <v>416</v>
      </c>
      <c r="C519" s="691">
        <f>+C478+C390</f>
        <v>172.3</v>
      </c>
      <c r="D519" s="9" t="str">
        <f>IF(ISERROR(C519/#REF!),"NA",IF(OR(C519/#REF!&gt;2,C519/#REF!&lt;0.5),"NM",C519/#REF!*100-100))</f>
        <v>NA</v>
      </c>
      <c r="E519" s="691">
        <f>+E478+E390</f>
        <v>174.3</v>
      </c>
      <c r="F519" s="9" t="str">
        <f>IF(ISERROR(E519/#REF!),"NA",IF(OR(E519/#REF!&gt;2,E519/#REF!&lt;0.5),"NM",E519/#REF!*100-100))</f>
        <v>NA</v>
      </c>
      <c r="G519" s="691">
        <f>+G478+G390</f>
        <v>179.7</v>
      </c>
      <c r="H519" s="9" t="str">
        <f>IF(ISERROR(G519/#REF!),"NA",IF(OR(G519/#REF!&gt;2,G519/#REF!&lt;0.5),"NM",G519/#REF!*100-100))</f>
        <v>NA</v>
      </c>
      <c r="I519" s="691">
        <f>+I478+I390</f>
        <v>180.5</v>
      </c>
      <c r="J519" s="9" t="str">
        <f>IF(ISERROR(I519/#REF!),"NA",IF(OR(I519/#REF!&gt;2,I519/#REF!&lt;0.5),"NM",I519/#REF!*100-100))</f>
        <v>NA</v>
      </c>
      <c r="K519" s="691">
        <f>+K478+K390</f>
        <v>184.7</v>
      </c>
      <c r="L519" s="9">
        <f>IF(ISERROR(K519/C519),"NA",IF(OR(K519/C519&gt;2,K519/C519&lt;0.5),"NM",K519/C519*100-100))</f>
        <v>7.1967498549042119</v>
      </c>
      <c r="M519" s="691">
        <f>+M478+M390</f>
        <v>185</v>
      </c>
      <c r="N519" s="9">
        <f>IF(ISERROR(M519/E519),"NA",IF(OR(M519/E519&gt;2,M519/E519&lt;0.5),"NM",M519/E519*100-100))</f>
        <v>6.1388410786000946</v>
      </c>
      <c r="O519" s="691">
        <f>+O478+O390</f>
        <v>180.7</v>
      </c>
      <c r="P519" s="43">
        <f t="shared" si="2504"/>
        <v>0.5564830272676744</v>
      </c>
      <c r="Q519" s="691">
        <f>+Q478+Q390</f>
        <v>185.3</v>
      </c>
      <c r="R519" s="43">
        <f t="shared" si="2504"/>
        <v>2.6592797783933548</v>
      </c>
      <c r="S519" s="691">
        <f>+S478+S390</f>
        <v>178.29999999999998</v>
      </c>
      <c r="T519" s="43">
        <f t="shared" si="2504"/>
        <v>-3.4650785056848861</v>
      </c>
      <c r="U519" s="691">
        <f>+U478+U390</f>
        <v>189.7</v>
      </c>
      <c r="V519" s="43">
        <f t="shared" si="2504"/>
        <v>2.5405405405405332</v>
      </c>
      <c r="W519" s="691">
        <f>+W478+W390</f>
        <v>184.4</v>
      </c>
      <c r="X519" s="43">
        <f t="shared" si="2504"/>
        <v>2.0475926950747265</v>
      </c>
      <c r="Y519" s="691">
        <f>+Y478+Y390</f>
        <v>189.7</v>
      </c>
      <c r="Z519" s="43">
        <f t="shared" si="2504"/>
        <v>2.3745277927684754</v>
      </c>
      <c r="AA519" s="691">
        <f>+AA478+AA390</f>
        <v>186</v>
      </c>
      <c r="AB519" s="43">
        <f t="shared" si="2504"/>
        <v>4.3185642176107848</v>
      </c>
      <c r="AC519" s="691">
        <f>+AC478+AC390</f>
        <v>193</v>
      </c>
      <c r="AD519" s="43">
        <f t="shared" si="2504"/>
        <v>1.7395888244596875</v>
      </c>
      <c r="AE519" s="691">
        <f>+AE478+AE390</f>
        <v>200.1</v>
      </c>
      <c r="AF519" s="43">
        <f t="shared" si="2504"/>
        <v>8.5140997830802689</v>
      </c>
      <c r="AG519" s="691">
        <f>+AG478+AG390</f>
        <v>200</v>
      </c>
      <c r="AH519" s="9">
        <f>IF(ISERROR(AG519/Y519),"NA",IF(OR(AG519/Y519&gt;2,AG519/Y519&lt;0.5),"NM",AG519/Y519*100-100))</f>
        <v>5.4296257248286821</v>
      </c>
      <c r="AI519" s="691">
        <f>+AI478+AI390</f>
        <v>198.8</v>
      </c>
      <c r="AJ519" s="9">
        <f t="shared" si="2513"/>
        <v>6.881720430107535</v>
      </c>
      <c r="AK519" s="691">
        <f>+AK478+AK390</f>
        <v>201.29999999999998</v>
      </c>
      <c r="AL519" s="9">
        <f t="shared" si="2514"/>
        <v>4.3005181347150199</v>
      </c>
      <c r="AM519" s="691">
        <f>+AM478+AM390</f>
        <v>198</v>
      </c>
      <c r="AN519" s="9">
        <f t="shared" si="2515"/>
        <v>-1.0494752623688157</v>
      </c>
      <c r="AO519" s="691">
        <f>+AO478+AO390</f>
        <v>201.3</v>
      </c>
      <c r="AP519" s="9">
        <f t="shared" si="2516"/>
        <v>0.64999999999999147</v>
      </c>
      <c r="AQ519" s="691">
        <f t="shared" ref="AQ519" si="2527">+AQ478+AQ390</f>
        <v>209.78700000000001</v>
      </c>
      <c r="AR519" s="9">
        <f t="shared" si="2518"/>
        <v>5.5266599597585468</v>
      </c>
      <c r="AS519" s="691">
        <f t="shared" ref="AS519" si="2528">+AS478+AS390</f>
        <v>208.5796</v>
      </c>
      <c r="AT519" s="9">
        <f t="shared" si="2520"/>
        <v>3.6162940884252492</v>
      </c>
      <c r="AU519" s="691">
        <f t="shared" ref="AU519" si="2529">+AU478+AU390</f>
        <v>208.52196599999999</v>
      </c>
      <c r="AV519" s="9">
        <f t="shared" si="2522"/>
        <v>5.3141242424242279</v>
      </c>
      <c r="AW519" s="691">
        <f t="shared" ref="AW519" si="2530">+AW478+AW390</f>
        <v>209.09926566000001</v>
      </c>
      <c r="AX519" s="9">
        <f t="shared" si="2524"/>
        <v>3.8744489120715428</v>
      </c>
      <c r="AY519" s="287"/>
      <c r="AZ519" s="64"/>
      <c r="BA519" s="9" t="str">
        <f>IF(ISERROR(#REF!/#REF!),"NA",IF(OR(#REF!/#REF!&gt;2,#REF!/#REF!&lt;0.5),"NM",#REF!/#REF!*100-100))</f>
        <v>NA</v>
      </c>
      <c r="BB519" s="55">
        <f>C519+E519+G519+I519</f>
        <v>706.8</v>
      </c>
      <c r="BC519" s="9" t="str">
        <f>IF(ISERROR(BB519/#REF!),"NA",IF(OR(BB519/#REF!&gt;2,BB519/#REF!&lt;0.5),"NM",BB519/#REF!*100-100))</f>
        <v>NA</v>
      </c>
      <c r="BD519" s="908">
        <f>K519+M519+O519+Q519</f>
        <v>735.7</v>
      </c>
      <c r="BE519" s="9">
        <f t="shared" si="2525"/>
        <v>4.0888511601584696</v>
      </c>
      <c r="BF519" s="55">
        <f>S519+U519+W519+Y519</f>
        <v>742.09999999999991</v>
      </c>
      <c r="BG519" s="9">
        <f t="shared" si="2525"/>
        <v>0.86991980426802229</v>
      </c>
      <c r="BH519" s="55">
        <f>AA519+AC519+AE519+AG519</f>
        <v>779.1</v>
      </c>
      <c r="BI519" s="9">
        <f t="shared" si="2525"/>
        <v>4.9858509634820365</v>
      </c>
      <c r="BJ519" s="55">
        <f>AI519+AK519+AM519+AO519</f>
        <v>799.40000000000009</v>
      </c>
      <c r="BK519" s="9">
        <f t="shared" si="2525"/>
        <v>2.605570530098845</v>
      </c>
      <c r="BL519" s="55">
        <f>AQ519+AS519+AU519+AW519</f>
        <v>835.98783165999998</v>
      </c>
      <c r="BM519" s="9">
        <f t="shared" si="2525"/>
        <v>4.5769116412309074</v>
      </c>
      <c r="BN519" s="693">
        <f>+BN478+BN390</f>
        <v>870.97955492639994</v>
      </c>
      <c r="BO519" s="9">
        <f t="shared" si="2525"/>
        <v>4.1856737551930365</v>
      </c>
      <c r="BP519" s="693">
        <f>+BP478+BP390</f>
        <v>907.44855762345594</v>
      </c>
      <c r="BQ519" s="9">
        <f t="shared" si="2525"/>
        <v>4.1871250009005934</v>
      </c>
      <c r="BR519" s="693">
        <f>+BR478+BR390</f>
        <v>945.45781145339424</v>
      </c>
      <c r="BS519" s="9">
        <f t="shared" si="2525"/>
        <v>4.1885849628194904</v>
      </c>
      <c r="BT519" s="693">
        <f>+BT478+BT390</f>
        <v>985.07300101278008</v>
      </c>
      <c r="BU519" s="9">
        <f t="shared" si="2526"/>
        <v>4.1900536522605734</v>
      </c>
      <c r="BV519" s="43">
        <f>IF(ISERROR(((BT519/BJ519)^0.2-1)*100),"NA",IF((((BT519/BJ519)^0.2-1)*100)&gt;100,"NM",IF((((BT519/BJ519)^0.2-1)*100)&lt;-50,"NM",((BT519/BJ519)^0.2-1)*100)))</f>
        <v>4.2655538298261186</v>
      </c>
      <c r="BW519" s="722"/>
      <c r="BX519" s="722"/>
      <c r="BY519"/>
      <c r="BZ519"/>
      <c r="CA519"/>
      <c r="CB519"/>
      <c r="CC519"/>
      <c r="CD519"/>
    </row>
    <row r="520" spans="1:82" s="2" customFormat="1" ht="12.75" customHeight="1" x14ac:dyDescent="0.2">
      <c r="A520" s="66"/>
      <c r="B520" s="67" t="s">
        <v>417</v>
      </c>
      <c r="C520" s="695">
        <f>C518+C519</f>
        <v>778</v>
      </c>
      <c r="D520" s="9" t="str">
        <f>IF(ISERROR(C520/#REF!),"NA",IF(OR(C520/#REF!&gt;2,C520/#REF!&lt;0.5),"NM",C520/#REF!*100-100))</f>
        <v>NA</v>
      </c>
      <c r="E520" s="695">
        <f>E518+E519</f>
        <v>773.09999999999991</v>
      </c>
      <c r="F520" s="9" t="str">
        <f>IF(ISERROR(E520/#REF!),"NA",IF(OR(E520/#REF!&gt;2,E520/#REF!&lt;0.5),"NM",E520/#REF!*100-100))</f>
        <v>NA</v>
      </c>
      <c r="G520" s="695">
        <f>G518+G519</f>
        <v>767.7</v>
      </c>
      <c r="H520" s="9" t="str">
        <f>IF(ISERROR(G520/#REF!),"NA",IF(OR(G520/#REF!&gt;2,G520/#REF!&lt;0.5),"NM",G520/#REF!*100-100))</f>
        <v>NA</v>
      </c>
      <c r="I520" s="695">
        <f>I518+I519</f>
        <v>787.8</v>
      </c>
      <c r="J520" s="9" t="str">
        <f>IF(ISERROR(I520/#REF!),"NA",IF(OR(I520/#REF!&gt;2,I520/#REF!&lt;0.5),"NM",I520/#REF!*100-100))</f>
        <v>NA</v>
      </c>
      <c r="K520" s="695">
        <f>K518+K519</f>
        <v>804.40000000000009</v>
      </c>
      <c r="L520" s="9">
        <f>IF(ISERROR(K520/C520),"NA",IF(OR(K520/C520&gt;2,K520/C520&lt;0.5),"NM",K520/C520*100-100))</f>
        <v>3.3933161953727478</v>
      </c>
      <c r="M520" s="695">
        <f>M518+M519</f>
        <v>811.5</v>
      </c>
      <c r="N520" s="9">
        <f>IF(ISERROR(M520/E520),"NA",IF(OR(M520/E520&gt;2,M520/E520&lt;0.5),"NM",M520/E520*100-100))</f>
        <v>4.9670159099728437</v>
      </c>
      <c r="O520" s="695">
        <f>O518+O519</f>
        <v>821</v>
      </c>
      <c r="P520" s="43">
        <f t="shared" si="2504"/>
        <v>6.9428162042464407</v>
      </c>
      <c r="Q520" s="695">
        <f>Q518+Q519</f>
        <v>825.89999999999986</v>
      </c>
      <c r="R520" s="43">
        <f t="shared" si="2504"/>
        <v>4.836252856054827</v>
      </c>
      <c r="S520" s="695">
        <f>S518+S519</f>
        <v>861.7</v>
      </c>
      <c r="T520" s="43">
        <f t="shared" si="2504"/>
        <v>7.1233217304823313</v>
      </c>
      <c r="U520" s="695">
        <f>U518+U519</f>
        <v>857.90000000000009</v>
      </c>
      <c r="V520" s="43">
        <f t="shared" si="2504"/>
        <v>5.7178065311152153</v>
      </c>
      <c r="W520" s="695">
        <f t="shared" ref="W520:Y520" si="2531">W518+W519</f>
        <v>853.19999999999993</v>
      </c>
      <c r="X520" s="43">
        <f t="shared" si="2504"/>
        <v>3.9220462850182685</v>
      </c>
      <c r="Y520" s="695">
        <f t="shared" si="2531"/>
        <v>868</v>
      </c>
      <c r="Z520" s="43">
        <f t="shared" si="2504"/>
        <v>5.0974694272914576</v>
      </c>
      <c r="AA520" s="695">
        <f t="shared" ref="AA520:AC520" si="2532">AA518+AA519</f>
        <v>890.9</v>
      </c>
      <c r="AB520" s="43">
        <f t="shared" si="2504"/>
        <v>3.3886503423465228</v>
      </c>
      <c r="AC520" s="695">
        <f t="shared" si="2532"/>
        <v>908.1</v>
      </c>
      <c r="AD520" s="43">
        <f t="shared" si="2504"/>
        <v>5.8514978435715079</v>
      </c>
      <c r="AE520" s="695">
        <f t="shared" ref="AE520:AG520" si="2533">AE518+AE519</f>
        <v>910.4</v>
      </c>
      <c r="AF520" s="43">
        <f t="shared" si="2504"/>
        <v>6.7041725269573362</v>
      </c>
      <c r="AG520" s="695">
        <f t="shared" si="2533"/>
        <v>928.1</v>
      </c>
      <c r="AH520" s="9">
        <f>IF(ISERROR(AG520/Y520),"NA",IF(OR(AG520/Y520&gt;2,AG520/Y520&lt;0.5),"NM",AG520/Y520*100-100))</f>
        <v>6.9239631336405694</v>
      </c>
      <c r="AI520" s="695">
        <f t="shared" ref="AI520:AK520" si="2534">AI518+AI519</f>
        <v>956.39999999999986</v>
      </c>
      <c r="AJ520" s="9">
        <f t="shared" si="2513"/>
        <v>7.3521158379166991</v>
      </c>
      <c r="AK520" s="695">
        <f t="shared" si="2534"/>
        <v>970.7</v>
      </c>
      <c r="AL520" s="9">
        <f t="shared" si="2514"/>
        <v>6.8935139301838859</v>
      </c>
      <c r="AM520" s="695">
        <f t="shared" ref="AM520:AO520" si="2535">AM518+AM519</f>
        <v>985.5</v>
      </c>
      <c r="AN520" s="9">
        <f t="shared" si="2515"/>
        <v>8.2491212653778661</v>
      </c>
      <c r="AO520" s="695">
        <f t="shared" si="2535"/>
        <v>990.2</v>
      </c>
      <c r="AP520" s="9">
        <f t="shared" si="2516"/>
        <v>6.6910893222713099</v>
      </c>
      <c r="AQ520" s="695">
        <f t="shared" ref="AQ520:AW520" si="2536">AQ518+AQ519</f>
        <v>1002.502</v>
      </c>
      <c r="AR520" s="9">
        <f t="shared" si="2518"/>
        <v>4.8203680468423329</v>
      </c>
      <c r="AS520" s="695">
        <f t="shared" si="2536"/>
        <v>1016.41643</v>
      </c>
      <c r="AT520" s="9">
        <f t="shared" si="2520"/>
        <v>4.709635314721325</v>
      </c>
      <c r="AU520" s="695">
        <f t="shared" si="2536"/>
        <v>1034.6107243000001</v>
      </c>
      <c r="AV520" s="9">
        <f t="shared" si="2522"/>
        <v>4.9833307255200623</v>
      </c>
      <c r="AW520" s="695">
        <f t="shared" si="2536"/>
        <v>1045.3353215430002</v>
      </c>
      <c r="AX520" s="9">
        <f t="shared" si="2524"/>
        <v>5.568099529690997</v>
      </c>
      <c r="AY520" s="287"/>
      <c r="AZ520" s="68"/>
      <c r="BA520" s="9" t="str">
        <f>IF(ISERROR(#REF!/#REF!),"NA",IF(OR(#REF!/#REF!&gt;2,#REF!/#REF!&lt;0.5),"NM",#REF!/#REF!*100-100))</f>
        <v>NA</v>
      </c>
      <c r="BB520" s="695">
        <f>BB518+BB519</f>
        <v>3106.6000000000004</v>
      </c>
      <c r="BC520" s="9" t="str">
        <f>IF(ISERROR(BB520/#REF!),"NA",IF(OR(BB520/#REF!&gt;2,BB520/#REF!&lt;0.5),"NM",BB520/#REF!*100-100))</f>
        <v>NA</v>
      </c>
      <c r="BD520" s="912">
        <f>BD518+BD519</f>
        <v>3262.8</v>
      </c>
      <c r="BE520" s="9">
        <f t="shared" si="2525"/>
        <v>5.0280048928088519</v>
      </c>
      <c r="BF520" s="695">
        <f>BF518+BF519</f>
        <v>3440.7999999999997</v>
      </c>
      <c r="BG520" s="9">
        <f t="shared" si="2525"/>
        <v>5.4554370479342822</v>
      </c>
      <c r="BH520" s="695">
        <f>BH518+BH519</f>
        <v>3637.5</v>
      </c>
      <c r="BI520" s="9">
        <f t="shared" si="2525"/>
        <v>5.7166937921413705</v>
      </c>
      <c r="BJ520" s="695">
        <f>BJ518+BJ519</f>
        <v>3902.8</v>
      </c>
      <c r="BK520" s="9">
        <f t="shared" si="2525"/>
        <v>7.2934707903780094</v>
      </c>
      <c r="BL520" s="695">
        <f>BL518+BL519</f>
        <v>4098.864475843</v>
      </c>
      <c r="BM520" s="9">
        <f t="shared" si="2525"/>
        <v>5.0236875023828844</v>
      </c>
      <c r="BN520" s="695">
        <f>BN518+BN519</f>
        <v>4329.2485748767203</v>
      </c>
      <c r="BO520" s="9">
        <f t="shared" si="2525"/>
        <v>5.6206810542653471</v>
      </c>
      <c r="BP520" s="695">
        <f>BP518+BP519</f>
        <v>4573.4670600717891</v>
      </c>
      <c r="BQ520" s="9">
        <f t="shared" si="2525"/>
        <v>5.6411287310297951</v>
      </c>
      <c r="BR520" s="695">
        <f>BR518+BR519</f>
        <v>4832.3950862186612</v>
      </c>
      <c r="BS520" s="9">
        <f t="shared" si="2525"/>
        <v>5.6615259877439144</v>
      </c>
      <c r="BT520" s="695">
        <f>BT518+BT519</f>
        <v>5106.9652612429882</v>
      </c>
      <c r="BU520" s="9">
        <f t="shared" si="2526"/>
        <v>5.6818652060830885</v>
      </c>
      <c r="BV520" s="43">
        <f>IF(ISERROR(((BT520/BJ520)^0.2-1)*100),"NA",IF((((BT520/BJ520)^0.2-1)*100)&gt;100,"NM",IF((((BT520/BJ520)^0.2-1)*100)&lt;-50,"NM",((BT520/BJ520)^0.2-1)*100)))</f>
        <v>5.5254764000976175</v>
      </c>
      <c r="BW520" s="722"/>
      <c r="BX520" s="722"/>
      <c r="BY520"/>
      <c r="BZ520"/>
      <c r="CA520"/>
      <c r="CB520"/>
      <c r="CC520"/>
      <c r="CD520"/>
    </row>
    <row r="521" spans="1:82" s="2" customFormat="1" ht="12.75" customHeight="1" x14ac:dyDescent="0.2">
      <c r="A521" s="41"/>
      <c r="B521" s="62"/>
      <c r="C521" s="58"/>
      <c r="D521" s="40"/>
      <c r="E521" s="58"/>
      <c r="F521" s="40"/>
      <c r="G521" s="58"/>
      <c r="H521" s="40"/>
      <c r="I521" s="58"/>
      <c r="J521" s="40"/>
      <c r="K521" s="58"/>
      <c r="L521" s="40"/>
      <c r="M521" s="58"/>
      <c r="N521" s="40"/>
      <c r="O521" s="58"/>
      <c r="P521" s="43"/>
      <c r="Q521" s="58"/>
      <c r="R521" s="43"/>
      <c r="S521" s="58"/>
      <c r="T521" s="43"/>
      <c r="U521" s="58"/>
      <c r="V521" s="43"/>
      <c r="W521" s="58"/>
      <c r="X521" s="43"/>
      <c r="Y521" s="58"/>
      <c r="Z521" s="43"/>
      <c r="AA521" s="58"/>
      <c r="AB521" s="43"/>
      <c r="AC521" s="58"/>
      <c r="AD521" s="43"/>
      <c r="AE521" s="58"/>
      <c r="AF521" s="43"/>
      <c r="AG521" s="58"/>
      <c r="AH521" s="40"/>
      <c r="AI521" s="58"/>
      <c r="AJ521" s="40"/>
      <c r="AK521" s="58"/>
      <c r="AL521" s="40"/>
      <c r="AM521" s="58"/>
      <c r="AN521" s="40"/>
      <c r="AO521" s="58"/>
      <c r="AP521" s="40"/>
      <c r="AQ521" s="58"/>
      <c r="AR521" s="40"/>
      <c r="AS521" s="58"/>
      <c r="AT521" s="40"/>
      <c r="AU521" s="58"/>
      <c r="AV521" s="40"/>
      <c r="AW521" s="58"/>
      <c r="AX521" s="40"/>
      <c r="AY521" s="287"/>
      <c r="AZ521" s="15"/>
      <c r="BA521" s="40"/>
      <c r="BB521" s="58"/>
      <c r="BC521" s="9"/>
      <c r="BD521" s="947"/>
      <c r="BE521" s="9"/>
      <c r="BF521" s="58"/>
      <c r="BG521" s="9"/>
      <c r="BH521" s="58"/>
      <c r="BI521" s="9"/>
      <c r="BJ521" s="58"/>
      <c r="BK521" s="9"/>
      <c r="BL521" s="58"/>
      <c r="BM521" s="9"/>
      <c r="BN521" s="58"/>
      <c r="BO521" s="9"/>
      <c r="BP521" s="58"/>
      <c r="BQ521" s="9"/>
      <c r="BR521" s="58"/>
      <c r="BS521" s="9"/>
      <c r="BT521" s="58"/>
      <c r="BU521" s="9"/>
      <c r="BV521" s="722"/>
      <c r="BW521" s="722"/>
      <c r="BX521" s="722"/>
      <c r="BY521"/>
      <c r="BZ521"/>
      <c r="CA521"/>
      <c r="CB521"/>
      <c r="CC521"/>
      <c r="CD521"/>
    </row>
    <row r="522" spans="1:82" s="2" customFormat="1" ht="12.75" customHeight="1" x14ac:dyDescent="0.2">
      <c r="A522" s="41"/>
      <c r="B522" s="67" t="s">
        <v>418</v>
      </c>
      <c r="C522" s="58"/>
      <c r="D522" s="40"/>
      <c r="E522" s="58"/>
      <c r="F522" s="40"/>
      <c r="G522" s="58"/>
      <c r="H522" s="40"/>
      <c r="I522" s="58"/>
      <c r="J522" s="40"/>
      <c r="K522" s="58"/>
      <c r="L522" s="40"/>
      <c r="M522" s="58"/>
      <c r="N522" s="40"/>
      <c r="O522" s="58"/>
      <c r="P522" s="43"/>
      <c r="Q522" s="58"/>
      <c r="R522" s="43"/>
      <c r="S522" s="58"/>
      <c r="T522" s="43"/>
      <c r="U522" s="58"/>
      <c r="V522" s="43"/>
      <c r="W522" s="58"/>
      <c r="X522" s="43"/>
      <c r="Y522" s="58"/>
      <c r="Z522" s="43"/>
      <c r="AA522" s="58"/>
      <c r="AB522" s="43"/>
      <c r="AC522" s="58"/>
      <c r="AD522" s="43"/>
      <c r="AE522" s="58"/>
      <c r="AF522" s="43"/>
      <c r="AG522" s="58"/>
      <c r="AH522" s="40"/>
      <c r="AI522" s="58"/>
      <c r="AJ522" s="40"/>
      <c r="AK522" s="58"/>
      <c r="AL522" s="40"/>
      <c r="AM522" s="58"/>
      <c r="AN522" s="40"/>
      <c r="AO522" s="58"/>
      <c r="AP522" s="40"/>
      <c r="AQ522" s="58"/>
      <c r="AR522" s="40"/>
      <c r="AS522" s="58"/>
      <c r="AT522" s="40"/>
      <c r="AU522" s="58"/>
      <c r="AV522" s="40"/>
      <c r="AW522" s="58"/>
      <c r="AX522" s="40"/>
      <c r="AY522" s="287"/>
      <c r="AZ522" s="15"/>
      <c r="BA522" s="40"/>
      <c r="BB522" s="58"/>
      <c r="BC522" s="9"/>
      <c r="BD522" s="947"/>
      <c r="BE522" s="9"/>
      <c r="BF522" s="58"/>
      <c r="BG522" s="9"/>
      <c r="BH522" s="58"/>
      <c r="BI522" s="9"/>
      <c r="BJ522" s="58"/>
      <c r="BK522" s="9"/>
      <c r="BL522" s="58"/>
      <c r="BM522" s="9"/>
      <c r="BN522" s="58"/>
      <c r="BO522" s="9"/>
      <c r="BP522" s="58"/>
      <c r="BQ522" s="9"/>
      <c r="BR522" s="58"/>
      <c r="BS522" s="9"/>
      <c r="BT522" s="58"/>
      <c r="BU522" s="9"/>
      <c r="BV522" s="722"/>
      <c r="BW522" s="722"/>
      <c r="BX522" s="722"/>
      <c r="BY522"/>
      <c r="BZ522"/>
      <c r="CA522"/>
      <c r="CB522"/>
      <c r="CC522"/>
      <c r="CD522"/>
    </row>
    <row r="523" spans="1:82" s="2" customFormat="1" ht="12.75" customHeight="1" x14ac:dyDescent="0.2">
      <c r="A523" s="41"/>
      <c r="B523" s="73" t="s">
        <v>434</v>
      </c>
      <c r="C523" s="691">
        <f>+C482+C394</f>
        <v>525.5</v>
      </c>
      <c r="D523" s="9" t="str">
        <f>IF(ISERROR(C523/#REF!),"NA",IF(OR(C523/#REF!&gt;2,C523/#REF!&lt;0.5),"NM",C523/#REF!*100-100))</f>
        <v>NA</v>
      </c>
      <c r="E523" s="691">
        <f>+E482+E394</f>
        <v>507.20000000000005</v>
      </c>
      <c r="F523" s="9" t="str">
        <f>IF(ISERROR(E523/#REF!),"NA",IF(OR(E523/#REF!&gt;2,E523/#REF!&lt;0.5),"NM",E523/#REF!*100-100))</f>
        <v>NA</v>
      </c>
      <c r="G523" s="691">
        <f>+G482+G394</f>
        <v>494.20000000000005</v>
      </c>
      <c r="H523" s="9" t="str">
        <f>IF(ISERROR(G523/#REF!),"NA",IF(OR(G523/#REF!&gt;2,G523/#REF!&lt;0.5),"NM",G523/#REF!*100-100))</f>
        <v>NA</v>
      </c>
      <c r="I523" s="691">
        <f>+I482+I394</f>
        <v>496.8</v>
      </c>
      <c r="J523" s="9" t="str">
        <f>IF(ISERROR(I523/#REF!),"NA",IF(OR(I523/#REF!&gt;2,I523/#REF!&lt;0.5),"NM",I523/#REF!*100-100))</f>
        <v>NA</v>
      </c>
      <c r="K523" s="691">
        <f>+K482+K394</f>
        <v>543.29999999999995</v>
      </c>
      <c r="L523" s="9">
        <f>IF(ISERROR(K523/C523),"NA",IF(OR(K523/C523&gt;2,K523/C523&lt;0.5),"NM",K523/C523*100-100))</f>
        <v>3.3872502378686704</v>
      </c>
      <c r="M523" s="691">
        <f>+M482+M394</f>
        <v>540.20000000000005</v>
      </c>
      <c r="N523" s="9">
        <f>IF(ISERROR(M523/E523),"NA",IF(OR(M523/E523&gt;2,M523/E523&lt;0.5),"NM",M523/E523*100-100))</f>
        <v>6.5063091482649753</v>
      </c>
      <c r="O523" s="691">
        <f>+O482+O394</f>
        <v>410.5</v>
      </c>
      <c r="P523" s="43">
        <f t="shared" si="2504"/>
        <v>-16.936462970457313</v>
      </c>
      <c r="Q523" s="691">
        <f>+Q482+Q394</f>
        <v>525.1</v>
      </c>
      <c r="R523" s="43">
        <f t="shared" si="2504"/>
        <v>5.6964573268921015</v>
      </c>
      <c r="S523" s="691">
        <f>+S482+S394</f>
        <v>550.20000000000005</v>
      </c>
      <c r="T523" s="43">
        <f t="shared" si="2504"/>
        <v>1.2700165654334796</v>
      </c>
      <c r="U523" s="691">
        <f>+U482+U394</f>
        <v>556.5</v>
      </c>
      <c r="V523" s="43">
        <f t="shared" si="2504"/>
        <v>3.0174009626064304</v>
      </c>
      <c r="W523" s="691">
        <f>+W482+W394</f>
        <v>472.6</v>
      </c>
      <c r="X523" s="43">
        <f t="shared" si="2504"/>
        <v>15.127892813641907</v>
      </c>
      <c r="Y523" s="691">
        <f>+Y482+Y394</f>
        <v>548</v>
      </c>
      <c r="Z523" s="43">
        <f t="shared" si="2504"/>
        <v>4.3610740811273985</v>
      </c>
      <c r="AA523" s="691">
        <f>+AA482+AA394</f>
        <v>574</v>
      </c>
      <c r="AB523" s="43">
        <f t="shared" si="2504"/>
        <v>4.3256997455470696</v>
      </c>
      <c r="AC523" s="691">
        <f>+AC482+AC394</f>
        <v>573.09999999999991</v>
      </c>
      <c r="AD523" s="43">
        <f t="shared" si="2504"/>
        <v>2.9829290206648551</v>
      </c>
      <c r="AE523" s="691">
        <f>+AE482+AE394</f>
        <v>650.20000000000005</v>
      </c>
      <c r="AF523" s="43">
        <f t="shared" si="2504"/>
        <v>37.579348286077021</v>
      </c>
      <c r="AG523" s="691">
        <f>+AG482+AG394</f>
        <v>579.4</v>
      </c>
      <c r="AH523" s="9">
        <f>IF(ISERROR(AG523/Y523),"NA",IF(OR(AG523/Y523&gt;2,AG523/Y523&lt;0.5),"NM",AG523/Y523*100-100))</f>
        <v>5.729927007299267</v>
      </c>
      <c r="AI523" s="691">
        <f>+AI482+AI394</f>
        <v>620.79999999999995</v>
      </c>
      <c r="AJ523" s="9">
        <f t="shared" ref="AJ523:AJ527" si="2537">IF(ISERROR(AI523/AA523),"NA",IF(OR(AI523/AA523&gt;2,AI523/AA523&lt;0.5),"NM",AI523/AA523*100-100))</f>
        <v>8.153310104529595</v>
      </c>
      <c r="AK523" s="691">
        <f>+AK482+AK394</f>
        <v>620.79999999999995</v>
      </c>
      <c r="AL523" s="9">
        <f t="shared" ref="AL523:AL527" si="2538">IF(ISERROR(AK523/AC523),"NA",IF(OR(AK523/AC523&gt;2,AK523/AC523&lt;0.5),"NM",AK523/AC523*100-100))</f>
        <v>8.3231547722910619</v>
      </c>
      <c r="AM523" s="691">
        <f>+AM482+AM394</f>
        <v>620.70000000000005</v>
      </c>
      <c r="AN523" s="9">
        <f t="shared" ref="AN523:AN527" si="2539">IF(ISERROR(AM523/AE523),"NA",IF(OR(AM523/AE523&gt;2,AM523/AE523&lt;0.5),"NM",AM523/AE523*100-100))</f>
        <v>-4.5370655183020574</v>
      </c>
      <c r="AO523" s="691">
        <f>+AO482+AO394</f>
        <v>608.40000000000009</v>
      </c>
      <c r="AP523" s="9">
        <f t="shared" ref="AP523:AP527" si="2540">IF(ISERROR(AO523/AG523),"NA",IF(OR(AO523/AG523&gt;2,AO523/AG523&lt;0.5),"NM",AO523/AG523*100-100))</f>
        <v>5.005177770107025</v>
      </c>
      <c r="AQ523" s="691">
        <f t="shared" ref="AQ523" si="2541">+AQ482+AQ394</f>
        <v>636.57214999999997</v>
      </c>
      <c r="AR523" s="9">
        <f t="shared" ref="AR523:AR527" si="2542">IF(ISERROR(AQ523/AI523),"NA",IF(OR(AQ523/AI523&gt;2,AQ523/AI523&lt;0.5),"NM",AQ523/AI523*100-100))</f>
        <v>2.5406169458762804</v>
      </c>
      <c r="AS523" s="691">
        <f t="shared" ref="AS523" si="2543">+AS482+AS394</f>
        <v>641.91615954999997</v>
      </c>
      <c r="AT523" s="9">
        <f t="shared" ref="AT523:AT527" si="2544">IF(ISERROR(AS523/AK523),"NA",IF(OR(AS523/AK523&gt;2,AS523/AK523&lt;0.5),"NM",AS523/AK523*100-100))</f>
        <v>3.4014432264819732</v>
      </c>
      <c r="AU523" s="691">
        <f t="shared" ref="AU523" si="2545">+AU482+AU394</f>
        <v>643.94254321325002</v>
      </c>
      <c r="AV523" s="9">
        <f t="shared" ref="AV523:AV527" si="2546">IF(ISERROR(AU523/AM523),"NA",IF(OR(AU523/AM523&gt;2,AU523/AM523&lt;0.5),"NM",AU523/AM523*100-100))</f>
        <v>3.7445695526421758</v>
      </c>
      <c r="AW523" s="691">
        <f t="shared" ref="AW523" si="2547">+AW482+AW394</f>
        <v>643.72145123766745</v>
      </c>
      <c r="AX523" s="9">
        <f t="shared" ref="AX523:AX527" si="2548">IF(ISERROR(AW523/AO523),"NA",IF(OR(AW523/AO523&gt;2,AW523/AO523&lt;0.5),"NM",AW523/AO523*100-100))</f>
        <v>5.8056297234824683</v>
      </c>
      <c r="AY523" s="287"/>
      <c r="AZ523" s="64"/>
      <c r="BA523" s="9" t="str">
        <f>IF(ISERROR(#REF!/#REF!),"NA",IF(OR(#REF!/#REF!&gt;2,#REF!/#REF!&lt;0.5),"NM",#REF!/#REF!*100-100))</f>
        <v>NA</v>
      </c>
      <c r="BB523" s="55">
        <f>C523+E523+G523+I523</f>
        <v>2023.7</v>
      </c>
      <c r="BC523" s="9" t="str">
        <f>IF(ISERROR(BB523/#REF!),"NA",IF(OR(BB523/#REF!&gt;2,BB523/#REF!&lt;0.5),"NM",BB523/#REF!*100-100))</f>
        <v>NA</v>
      </c>
      <c r="BD523" s="908">
        <f>K523+M523+O523+Q523</f>
        <v>2019.1</v>
      </c>
      <c r="BE523" s="9">
        <f t="shared" si="2525"/>
        <v>-0.2273064189356262</v>
      </c>
      <c r="BF523" s="55">
        <f>S523+U523+W523+Y523</f>
        <v>2127.3000000000002</v>
      </c>
      <c r="BG523" s="9">
        <f t="shared" si="2525"/>
        <v>5.3588232380763969</v>
      </c>
      <c r="BH523" s="55">
        <f>AA523+AC523+AE523+AG523</f>
        <v>2376.6999999999998</v>
      </c>
      <c r="BI523" s="9">
        <f t="shared" si="2525"/>
        <v>11.723781319042899</v>
      </c>
      <c r="BJ523" s="55">
        <f>AI523+AK523+AM523+AO523</f>
        <v>2470.6999999999998</v>
      </c>
      <c r="BK523" s="9">
        <f t="shared" si="2525"/>
        <v>3.9550637438465088</v>
      </c>
      <c r="BL523" s="55">
        <f>AQ523+AS523+AU523+AW523</f>
        <v>2566.1523040009174</v>
      </c>
      <c r="BM523" s="9">
        <f t="shared" si="2525"/>
        <v>3.8633708665931863</v>
      </c>
      <c r="BN523" s="691">
        <f>+BN482+BN394</f>
        <v>2717.7189396107083</v>
      </c>
      <c r="BO523" s="9">
        <f t="shared" si="2525"/>
        <v>5.9063772393197951</v>
      </c>
      <c r="BP523" s="691">
        <f>+BP482+BP394</f>
        <v>2880.7267790819524</v>
      </c>
      <c r="BQ523" s="9">
        <f t="shared" si="2525"/>
        <v>5.9979653192023648</v>
      </c>
      <c r="BR523" s="691">
        <f>+BR482+BR394</f>
        <v>3052.0275902332537</v>
      </c>
      <c r="BS523" s="9">
        <f t="shared" si="2525"/>
        <v>5.9464442235612722</v>
      </c>
      <c r="BT523" s="691">
        <f>+BT482+BT394</f>
        <v>3234.1442031651009</v>
      </c>
      <c r="BU523" s="9">
        <f t="shared" ref="BU523:BU527" si="2549">IF(ISERROR(BT523/BR523),"NA",IF(OR(BT523/BR523&gt;2,BT523/BR523&lt;0.5),"NM",BT523/BR523*100-100))</f>
        <v>5.9670696790106206</v>
      </c>
      <c r="BV523" s="43">
        <f>IF(ISERROR(((BT523/BJ523)^0.2-1)*100),"NA",IF((((BT523/BJ523)^0.2-1)*100)&gt;100,"NM",IF((((BT523/BJ523)^0.2-1)*100)&lt;-50,"NM",((BT523/BJ523)^0.2-1)*100)))</f>
        <v>5.5329001121087629</v>
      </c>
      <c r="BW523" s="722"/>
      <c r="BX523" s="722"/>
      <c r="BY523"/>
      <c r="BZ523"/>
      <c r="CA523"/>
      <c r="CB523"/>
      <c r="CC523"/>
      <c r="CD523"/>
    </row>
    <row r="524" spans="1:82" s="2" customFormat="1" ht="12.75" customHeight="1" x14ac:dyDescent="0.2">
      <c r="A524" s="41"/>
      <c r="B524" s="62" t="s">
        <v>421</v>
      </c>
      <c r="C524" s="691">
        <f>C483+C395</f>
        <v>70.199999999999989</v>
      </c>
      <c r="D524" s="9" t="str">
        <f>IF(ISERROR(C524/#REF!),"NA",IF(OR(C524/#REF!&gt;2,C524/#REF!&lt;0.5),"NM",C524/#REF!*100-100))</f>
        <v>NA</v>
      </c>
      <c r="E524" s="691">
        <f>E483+E395</f>
        <v>61.9</v>
      </c>
      <c r="F524" s="9" t="str">
        <f>IF(ISERROR(E524/#REF!),"NA",IF(OR(E524/#REF!&gt;2,E524/#REF!&lt;0.5),"NM",E524/#REF!*100-100))</f>
        <v>NA</v>
      </c>
      <c r="G524" s="691">
        <f>G483+G395</f>
        <v>52</v>
      </c>
      <c r="H524" s="9" t="str">
        <f>IF(ISERROR(G524/#REF!),"NA",IF(OR(G524/#REF!&gt;2,G524/#REF!&lt;0.5),"NM",G524/#REF!*100-100))</f>
        <v>NA</v>
      </c>
      <c r="I524" s="691">
        <f>I483+I395</f>
        <v>58.9</v>
      </c>
      <c r="J524" s="9" t="str">
        <f>IF(ISERROR(I524/#REF!),"NA",IF(OR(I524/#REF!&gt;2,I524/#REF!&lt;0.5),"NM",I524/#REF!*100-100))</f>
        <v>NA</v>
      </c>
      <c r="K524" s="691">
        <f>K483+K395</f>
        <v>59.8</v>
      </c>
      <c r="L524" s="9">
        <f>IF(ISERROR(K524/C524),"NA",IF(OR(K524/C524&gt;2,K524/C524&lt;0.5),"NM",K524/C524*100-100))</f>
        <v>-14.81481481481481</v>
      </c>
      <c r="M524" s="691">
        <f>M483+M395</f>
        <v>59.2</v>
      </c>
      <c r="N524" s="9">
        <f>IF(ISERROR(M524/E524),"NA",IF(OR(M524/E524&gt;2,M524/E524&lt;0.5),"NM",M524/E524*100-100))</f>
        <v>-4.3618739903069468</v>
      </c>
      <c r="O524" s="691">
        <f>O483+O395</f>
        <v>61.2</v>
      </c>
      <c r="P524" s="43">
        <f t="shared" si="2504"/>
        <v>17.692307692307693</v>
      </c>
      <c r="Q524" s="691">
        <f>Q483+Q395</f>
        <v>63.9</v>
      </c>
      <c r="R524" s="43">
        <f t="shared" si="2504"/>
        <v>8.4889643463497322</v>
      </c>
      <c r="S524" s="691">
        <f>S483+S395</f>
        <v>79.3</v>
      </c>
      <c r="T524" s="43">
        <f t="shared" si="2504"/>
        <v>32.608695652173935</v>
      </c>
      <c r="U524" s="691">
        <f>U483+U395</f>
        <v>63.4</v>
      </c>
      <c r="V524" s="43">
        <f t="shared" si="2504"/>
        <v>7.0945945945945823</v>
      </c>
      <c r="W524" s="691">
        <f>W483+W395</f>
        <v>65.8</v>
      </c>
      <c r="X524" s="43">
        <f t="shared" si="2504"/>
        <v>7.5163398692810404</v>
      </c>
      <c r="Y524" s="691">
        <f>Y483+Y395</f>
        <v>68.3</v>
      </c>
      <c r="Z524" s="43">
        <f t="shared" si="2504"/>
        <v>6.8857589984350369</v>
      </c>
      <c r="AA524" s="691">
        <f>AA483+AA395</f>
        <v>67.2</v>
      </c>
      <c r="AB524" s="43">
        <f t="shared" si="2504"/>
        <v>-15.258511979823453</v>
      </c>
      <c r="AC524" s="691">
        <f>AC483+AC395</f>
        <v>70.7</v>
      </c>
      <c r="AD524" s="43">
        <f t="shared" si="2504"/>
        <v>11.514195583596234</v>
      </c>
      <c r="AE524" s="691">
        <f>AE483+AE395</f>
        <v>67.8</v>
      </c>
      <c r="AF524" s="43">
        <f t="shared" si="2504"/>
        <v>3.0395136778115415</v>
      </c>
      <c r="AG524" s="691">
        <f>AG483+AG395</f>
        <v>74.599999999999994</v>
      </c>
      <c r="AH524" s="9">
        <f>IF(ISERROR(AG524/Y524),"NA",IF(OR(AG524/Y524&gt;2,AG524/Y524&lt;0.5),"NM",AG524/Y524*100-100))</f>
        <v>9.224011713030734</v>
      </c>
      <c r="AI524" s="691">
        <f>AI483+AI395</f>
        <v>76.300000000000011</v>
      </c>
      <c r="AJ524" s="9">
        <f t="shared" si="2537"/>
        <v>13.541666666666671</v>
      </c>
      <c r="AK524" s="691">
        <f>AK483+AK395</f>
        <v>77</v>
      </c>
      <c r="AL524" s="9">
        <f t="shared" si="2538"/>
        <v>8.910891089108901</v>
      </c>
      <c r="AM524" s="691">
        <f>AM483+AM395</f>
        <v>76.5</v>
      </c>
      <c r="AN524" s="9">
        <f t="shared" si="2539"/>
        <v>12.83185840707965</v>
      </c>
      <c r="AO524" s="691">
        <f>AO483+AO395</f>
        <v>80.900000000000006</v>
      </c>
      <c r="AP524" s="9">
        <f t="shared" si="2540"/>
        <v>8.4450402144772312</v>
      </c>
      <c r="AQ524" s="691">
        <f t="shared" ref="AQ524:AQ525" si="2550">AQ483+AQ395</f>
        <v>81.940408526713441</v>
      </c>
      <c r="AR524" s="9">
        <f t="shared" si="2542"/>
        <v>7.392409602507783</v>
      </c>
      <c r="AS524" s="691">
        <f t="shared" ref="AS524:AS525" si="2551">AS483+AS395</f>
        <v>83.134830377765795</v>
      </c>
      <c r="AT524" s="9">
        <f t="shared" si="2544"/>
        <v>7.9673121789166146</v>
      </c>
      <c r="AU524" s="691">
        <f t="shared" ref="AU524:AU525" si="2552">AU483+AU395</f>
        <v>84.740445578467359</v>
      </c>
      <c r="AV524" s="9">
        <f t="shared" si="2546"/>
        <v>10.771824285578262</v>
      </c>
      <c r="AW524" s="691">
        <f t="shared" ref="AW524:AW525" si="2553">AW483+AW395</f>
        <v>85.624344123116941</v>
      </c>
      <c r="AX524" s="9">
        <f t="shared" si="2548"/>
        <v>5.8397331558923895</v>
      </c>
      <c r="AY524" s="287"/>
      <c r="AZ524" s="64"/>
      <c r="BA524" s="9" t="str">
        <f>IF(ISERROR(#REF!/#REF!),"NA",IF(OR(#REF!/#REF!&gt;2,#REF!/#REF!&lt;0.5),"NM",#REF!/#REF!*100-100))</f>
        <v>NA</v>
      </c>
      <c r="BB524" s="55">
        <f>C524+E524+G524+I524</f>
        <v>243</v>
      </c>
      <c r="BC524" s="9" t="str">
        <f>IF(ISERROR(BB524/#REF!),"NA",IF(OR(BB524/#REF!&gt;2,BB524/#REF!&lt;0.5),"NM",BB524/#REF!*100-100))</f>
        <v>NA</v>
      </c>
      <c r="BD524" s="908">
        <f>K524+M524+O524+Q524</f>
        <v>244.1</v>
      </c>
      <c r="BE524" s="9">
        <f t="shared" si="2525"/>
        <v>0.45267489711933706</v>
      </c>
      <c r="BF524" s="55">
        <f>S524+U524+W524+Y524</f>
        <v>276.8</v>
      </c>
      <c r="BG524" s="9">
        <f t="shared" si="2525"/>
        <v>13.396149119213447</v>
      </c>
      <c r="BH524" s="55">
        <f>AA524+AC524+AE524+AG524</f>
        <v>280.29999999999995</v>
      </c>
      <c r="BI524" s="9">
        <f t="shared" si="2525"/>
        <v>1.2644508670520054</v>
      </c>
      <c r="BJ524" s="55">
        <f>AI524+AK524+AM524+AO524</f>
        <v>310.70000000000005</v>
      </c>
      <c r="BK524" s="9">
        <f t="shared" si="2525"/>
        <v>10.845522654298989</v>
      </c>
      <c r="BL524" s="55">
        <f>AQ524+AS524+AU524+AW524</f>
        <v>335.44002860606355</v>
      </c>
      <c r="BM524" s="9">
        <f t="shared" si="2525"/>
        <v>7.9626741570851323</v>
      </c>
      <c r="BN524" s="691">
        <f>BN483+BN395</f>
        <v>355.562107505298</v>
      </c>
      <c r="BO524" s="9">
        <f t="shared" si="2525"/>
        <v>5.998711299558579</v>
      </c>
      <c r="BP524" s="691">
        <f>BP483+BP395</f>
        <v>379.43431741065126</v>
      </c>
      <c r="BQ524" s="9">
        <f t="shared" si="2525"/>
        <v>6.7139353157865855</v>
      </c>
      <c r="BR524" s="691">
        <f>BR483+BR395</f>
        <v>405.01117453679751</v>
      </c>
      <c r="BS524" s="9">
        <f t="shared" si="2525"/>
        <v>6.740786468838337</v>
      </c>
      <c r="BT524" s="691">
        <f>BT483+BT395</f>
        <v>432.41854735254446</v>
      </c>
      <c r="BU524" s="9">
        <f t="shared" si="2549"/>
        <v>6.7670658339469725</v>
      </c>
      <c r="BV524" s="43">
        <f>IF(ISERROR(((BT524/BJ524)^0.2-1)*100),"NA",IF((((BT524/BJ524)^0.2-1)*100)&gt;100,"NM",IF((((BT524/BJ524)^0.2-1)*100)&lt;-50,"NM",((BT524/BJ524)^0.2-1)*100)))</f>
        <v>6.8347681978229158</v>
      </c>
      <c r="BW524" s="722"/>
      <c r="BX524" s="722"/>
      <c r="BY524"/>
      <c r="BZ524"/>
      <c r="CA524"/>
      <c r="CB524"/>
      <c r="CC524"/>
      <c r="CD524"/>
    </row>
    <row r="525" spans="1:82" s="2" customFormat="1" ht="12.75" customHeight="1" x14ac:dyDescent="0.2">
      <c r="A525" s="41"/>
      <c r="B525" s="62" t="s">
        <v>391</v>
      </c>
      <c r="C525" s="691">
        <f>C484+C396</f>
        <v>-61.5</v>
      </c>
      <c r="D525" s="9" t="str">
        <f>IF(ISERROR(C525/#REF!),"NA",IF(OR(C525/#REF!&gt;2,C525/#REF!&lt;0.5),"NM",C525/#REF!*100-100))</f>
        <v>NA</v>
      </c>
      <c r="E525" s="691">
        <f>E484+E396</f>
        <v>-42.400000000000006</v>
      </c>
      <c r="F525" s="9" t="str">
        <f>IF(ISERROR(E525/#REF!),"NA",IF(OR(E525/#REF!&gt;2,E525/#REF!&lt;0.5),"NM",E525/#REF!*100-100))</f>
        <v>NA</v>
      </c>
      <c r="G525" s="691">
        <f>G484+G396</f>
        <v>-27.799999999999997</v>
      </c>
      <c r="H525" s="9" t="str">
        <f>IF(ISERROR(G525/#REF!),"NA",IF(OR(G525/#REF!&gt;2,G525/#REF!&lt;0.5),"NM",G525/#REF!*100-100))</f>
        <v>NA</v>
      </c>
      <c r="I525" s="691">
        <f>I484+I396</f>
        <v>-41.2</v>
      </c>
      <c r="J525" s="9" t="str">
        <f>IF(ISERROR(I525/#REF!),"NA",IF(OR(I525/#REF!&gt;2,I525/#REF!&lt;0.5),"NM",I525/#REF!*100-100))</f>
        <v>NA</v>
      </c>
      <c r="K525" s="691">
        <f>K484+K396</f>
        <v>-30</v>
      </c>
      <c r="L525" s="9" t="str">
        <f>IF(ISERROR(K525/C525),"NA",IF(OR(K525/C525&gt;2,K525/C525&lt;0.5),"NM",K525/C525*100-100))</f>
        <v>NM</v>
      </c>
      <c r="M525" s="691">
        <f>M484+M396</f>
        <v>-33.199999999999996</v>
      </c>
      <c r="N525" s="9">
        <f>IF(ISERROR(M525/E525),"NA",IF(OR(M525/E525&gt;2,M525/E525&lt;0.5),"NM",M525/E525*100-100))</f>
        <v>-21.698113207547181</v>
      </c>
      <c r="O525" s="691">
        <f>O484+O396</f>
        <v>44.3</v>
      </c>
      <c r="P525" s="43" t="str">
        <f t="shared" si="2504"/>
        <v>NM</v>
      </c>
      <c r="Q525" s="691">
        <f>Q484+Q396</f>
        <v>-37.799999999999997</v>
      </c>
      <c r="R525" s="43">
        <f t="shared" si="2504"/>
        <v>-8.2524271844660433</v>
      </c>
      <c r="S525" s="691">
        <f>S484+S396</f>
        <v>-35.199999999999996</v>
      </c>
      <c r="T525" s="43">
        <f t="shared" si="2504"/>
        <v>17.333333333333314</v>
      </c>
      <c r="U525" s="691">
        <f>U484+U396</f>
        <v>-32.700000000000003</v>
      </c>
      <c r="V525" s="43">
        <f t="shared" si="2504"/>
        <v>-1.5060240963855165</v>
      </c>
      <c r="W525" s="691">
        <f>W484+W396</f>
        <v>-43.1</v>
      </c>
      <c r="X525" s="43" t="str">
        <f t="shared" si="2504"/>
        <v>NM</v>
      </c>
      <c r="Y525" s="691">
        <f>Y484+Y396</f>
        <v>-29.500000000000004</v>
      </c>
      <c r="Z525" s="43">
        <f t="shared" si="2504"/>
        <v>-21.957671957671948</v>
      </c>
      <c r="AA525" s="691">
        <f>AA484+AA396</f>
        <v>-23.299999999999997</v>
      </c>
      <c r="AB525" s="43">
        <f t="shared" si="2504"/>
        <v>-33.806818181818173</v>
      </c>
      <c r="AC525" s="691">
        <f>AC484+AC396</f>
        <v>-31.799999999999997</v>
      </c>
      <c r="AD525" s="43">
        <f t="shared" si="2504"/>
        <v>-2.7522935779816748</v>
      </c>
      <c r="AE525" s="691">
        <f>AE484+AE396</f>
        <v>-56.6</v>
      </c>
      <c r="AF525" s="43">
        <f t="shared" si="2504"/>
        <v>31.322505800464029</v>
      </c>
      <c r="AG525" s="691">
        <f>AG484+AG396</f>
        <v>-41.6</v>
      </c>
      <c r="AH525" s="9">
        <f>IF(ISERROR(AG525/Y525),"NA",IF(OR(AG525/Y525&gt;2,AG525/Y525&lt;0.5),"NM",AG525/Y525*100-100))</f>
        <v>41.016949152542367</v>
      </c>
      <c r="AI525" s="691">
        <f>AI484+AI396</f>
        <v>-35.099999999999994</v>
      </c>
      <c r="AJ525" s="9">
        <f t="shared" si="2537"/>
        <v>50.643776824034347</v>
      </c>
      <c r="AK525" s="691">
        <f>AK484+AK396</f>
        <v>-36.700000000000003</v>
      </c>
      <c r="AL525" s="9">
        <f t="shared" si="2538"/>
        <v>15.408805031446576</v>
      </c>
      <c r="AM525" s="691">
        <f>AM484+AM396</f>
        <v>2.4999999999999982</v>
      </c>
      <c r="AN525" s="9" t="str">
        <f t="shared" si="2539"/>
        <v>NM</v>
      </c>
      <c r="AO525" s="691">
        <f>AO484+AO396</f>
        <v>-39.799999999999997</v>
      </c>
      <c r="AP525" s="9">
        <f t="shared" si="2540"/>
        <v>-4.3269230769230802</v>
      </c>
      <c r="AQ525" s="691">
        <f t="shared" si="2550"/>
        <v>-40.229084727468972</v>
      </c>
      <c r="AR525" s="9">
        <f t="shared" si="2542"/>
        <v>14.612777001336113</v>
      </c>
      <c r="AS525" s="691">
        <f t="shared" si="2551"/>
        <v>-40.681751095520781</v>
      </c>
      <c r="AT525" s="9">
        <f t="shared" si="2544"/>
        <v>10.84945802594217</v>
      </c>
      <c r="AU525" s="691">
        <f t="shared" si="2552"/>
        <v>-41.192574607555315</v>
      </c>
      <c r="AV525" s="9" t="str">
        <f t="shared" si="2546"/>
        <v>NM</v>
      </c>
      <c r="AW525" s="691">
        <f t="shared" si="2553"/>
        <v>-41.60940254467242</v>
      </c>
      <c r="AX525" s="9">
        <f t="shared" si="2548"/>
        <v>4.5462375494281986</v>
      </c>
      <c r="AY525" s="287"/>
      <c r="AZ525" s="64"/>
      <c r="BA525" s="9" t="str">
        <f>IF(ISERROR(#REF!/#REF!),"NA",IF(OR(#REF!/#REF!&gt;2,#REF!/#REF!&lt;0.5),"NM",#REF!/#REF!*100-100))</f>
        <v>NA</v>
      </c>
      <c r="BB525" s="55">
        <f>C525+E525+G525+I525</f>
        <v>-172.89999999999998</v>
      </c>
      <c r="BC525" s="9" t="str">
        <f>IF(ISERROR(BB525/#REF!),"NA",IF(OR(BB525/#REF!&gt;2,BB525/#REF!&lt;0.5),"NM",BB525/#REF!*100-100))</f>
        <v>NA</v>
      </c>
      <c r="BD525" s="908">
        <f>K525+M525+O525+Q525</f>
        <v>-56.699999999999996</v>
      </c>
      <c r="BE525" s="9" t="str">
        <f t="shared" si="2525"/>
        <v>NM</v>
      </c>
      <c r="BF525" s="55">
        <f>S525+U525+W525+Y525</f>
        <v>-140.5</v>
      </c>
      <c r="BG525" s="9" t="str">
        <f t="shared" si="2525"/>
        <v>NM</v>
      </c>
      <c r="BH525" s="55">
        <f>AA525+AC525+AE525+AG525</f>
        <v>-153.29999999999998</v>
      </c>
      <c r="BI525" s="9">
        <f t="shared" si="2525"/>
        <v>9.1103202846974938</v>
      </c>
      <c r="BJ525" s="55">
        <f>AI525+AK525+AM525+AO525</f>
        <v>-109.1</v>
      </c>
      <c r="BK525" s="9">
        <f t="shared" si="2525"/>
        <v>-28.832354859752115</v>
      </c>
      <c r="BL525" s="55">
        <f>AQ525+AS525+AU525+AW525</f>
        <v>-163.7128129752175</v>
      </c>
      <c r="BM525" s="9">
        <f t="shared" si="2525"/>
        <v>50.057573762802491</v>
      </c>
      <c r="BN525" s="691">
        <f>BN484+BN396</f>
        <v>-182.6859258483918</v>
      </c>
      <c r="BO525" s="9">
        <f t="shared" si="2525"/>
        <v>11.589265695438527</v>
      </c>
      <c r="BP525" s="691">
        <f>BP484+BP396</f>
        <v>-190.97963100797043</v>
      </c>
      <c r="BQ525" s="9">
        <f t="shared" si="2525"/>
        <v>4.5398708855445307</v>
      </c>
      <c r="BR525" s="691">
        <f>BR484+BR396</f>
        <v>-199.67367065208913</v>
      </c>
      <c r="BS525" s="9">
        <f t="shared" si="2525"/>
        <v>4.552338696138662</v>
      </c>
      <c r="BT525" s="691">
        <f>BT484+BT396</f>
        <v>-208.78883657506861</v>
      </c>
      <c r="BU525" s="9">
        <f t="shared" si="2549"/>
        <v>4.565031480220398</v>
      </c>
      <c r="BV525" s="43">
        <f>IF(ISERROR(((BT525/BJ525)^0.2-1)*100),"NA",IF((((BT525/BJ525)^0.2-1)*100)&gt;100,"NM",IF((((BT525/BJ525)^0.2-1)*100)&lt;-50,"NM",((BT525/BJ525)^0.2-1)*100)))</f>
        <v>13.861396145924054</v>
      </c>
      <c r="BW525" s="722"/>
      <c r="BX525" s="722"/>
      <c r="BY525"/>
      <c r="BZ525"/>
      <c r="CA525"/>
      <c r="CB525"/>
      <c r="CC525"/>
      <c r="CD525"/>
    </row>
    <row r="526" spans="1:82" s="2" customFormat="1" ht="12.75" customHeight="1" x14ac:dyDescent="0.2">
      <c r="A526" s="41"/>
      <c r="B526" s="62" t="s">
        <v>481</v>
      </c>
      <c r="C526" s="691">
        <f>+C485+C397</f>
        <v>192</v>
      </c>
      <c r="D526" s="9" t="str">
        <f>IF(ISERROR(C526/#REF!),"NA",IF(OR(C526/#REF!&gt;2,C526/#REF!&lt;0.5),"NM",C526/#REF!*100-100))</f>
        <v>NA</v>
      </c>
      <c r="E526" s="691">
        <f>+E485+E397</f>
        <v>176.7</v>
      </c>
      <c r="F526" s="9" t="str">
        <f>IF(ISERROR(E526/#REF!),"NA",IF(OR(E526/#REF!&gt;2,E526/#REF!&lt;0.5),"NM",E526/#REF!*100-100))</f>
        <v>NA</v>
      </c>
      <c r="G526" s="691">
        <f>+G485+G397</f>
        <v>169.1</v>
      </c>
      <c r="H526" s="9" t="str">
        <f>IF(ISERROR(G526/#REF!),"NA",IF(OR(G526/#REF!&gt;2,G526/#REF!&lt;0.5),"NM",G526/#REF!*100-100))</f>
        <v>NA</v>
      </c>
      <c r="I526" s="691">
        <f>+I485+I397</f>
        <v>184.39999999999998</v>
      </c>
      <c r="J526" s="9" t="str">
        <f>IF(ISERROR(I526/#REF!),"NA",IF(OR(I526/#REF!&gt;2,I526/#REF!&lt;0.5),"NM",I526/#REF!*100-100))</f>
        <v>NA</v>
      </c>
      <c r="K526" s="691">
        <f>+K485+K397</f>
        <v>168.6</v>
      </c>
      <c r="L526" s="9">
        <f>IF(ISERROR(K526/C526),"NA",IF(OR(K526/C526&gt;2,K526/C526&lt;0.5),"NM",K526/C526*100-100))</f>
        <v>-12.1875</v>
      </c>
      <c r="M526" s="691">
        <f>+M485+M397</f>
        <v>172.1</v>
      </c>
      <c r="N526" s="9">
        <f>IF(ISERROR(M526/E526),"NA",IF(OR(M526/E526&gt;2,M526/E526&lt;0.5),"NM",M526/E526*100-100))</f>
        <v>-2.603282399547254</v>
      </c>
      <c r="O526" s="691">
        <f>+O485+O397</f>
        <v>179.9</v>
      </c>
      <c r="P526" s="43">
        <f t="shared" si="2504"/>
        <v>6.3867534003548201</v>
      </c>
      <c r="Q526" s="691">
        <f>+Q485+Q397</f>
        <v>191.59999999999997</v>
      </c>
      <c r="R526" s="43">
        <f t="shared" si="2504"/>
        <v>3.9045553145336243</v>
      </c>
      <c r="S526" s="691">
        <f>+S485+S397</f>
        <v>185.5</v>
      </c>
      <c r="T526" s="43">
        <f t="shared" si="2504"/>
        <v>10.023724792408075</v>
      </c>
      <c r="U526" s="691">
        <f>+U485+U397</f>
        <v>182.6</v>
      </c>
      <c r="V526" s="43">
        <f t="shared" si="2504"/>
        <v>6.1011040092969324</v>
      </c>
      <c r="W526" s="691">
        <f>+W485+W397</f>
        <v>185</v>
      </c>
      <c r="X526" s="43">
        <f t="shared" si="2504"/>
        <v>2.8349082823790894</v>
      </c>
      <c r="Y526" s="691">
        <f>+Y485+Y397</f>
        <v>194.59999999999997</v>
      </c>
      <c r="Z526" s="43">
        <f t="shared" si="2504"/>
        <v>1.5657620041753688</v>
      </c>
      <c r="AA526" s="691">
        <f>+AA485+AA397</f>
        <v>192.5</v>
      </c>
      <c r="AB526" s="43">
        <f t="shared" si="2504"/>
        <v>3.7735849056603712</v>
      </c>
      <c r="AC526" s="691">
        <f>+AC485+AC397</f>
        <v>192.5</v>
      </c>
      <c r="AD526" s="43">
        <f t="shared" si="2504"/>
        <v>5.4216867469879588</v>
      </c>
      <c r="AE526" s="691">
        <f>+AE485+AE397</f>
        <v>178.8</v>
      </c>
      <c r="AF526" s="43">
        <f t="shared" si="2504"/>
        <v>-3.3513513513513544</v>
      </c>
      <c r="AG526" s="691">
        <f>+AG485+AG397</f>
        <v>208.8</v>
      </c>
      <c r="AH526" s="9">
        <f>IF(ISERROR(AG526/Y526),"NA",IF(OR(AG526/Y526&gt;2,AG526/Y526&lt;0.5),"NM",AG526/Y526*100-100))</f>
        <v>7.2970195272353777</v>
      </c>
      <c r="AI526" s="691">
        <f>+AI485+AI397</f>
        <v>208.2</v>
      </c>
      <c r="AJ526" s="9">
        <f t="shared" si="2537"/>
        <v>8.1558441558441643</v>
      </c>
      <c r="AK526" s="691">
        <f>+AK485+AK397</f>
        <v>205.2</v>
      </c>
      <c r="AL526" s="9">
        <f t="shared" si="2538"/>
        <v>6.5974025974026063</v>
      </c>
      <c r="AM526" s="691">
        <f>+AM485+AM397</f>
        <v>202.60000000000002</v>
      </c>
      <c r="AN526" s="9">
        <f t="shared" si="2539"/>
        <v>13.31096196868009</v>
      </c>
      <c r="AO526" s="691">
        <f>+AO485+AO397</f>
        <v>229.8</v>
      </c>
      <c r="AP526" s="9">
        <f t="shared" si="2540"/>
        <v>10.05747126436782</v>
      </c>
      <c r="AQ526" s="691">
        <f t="shared" ref="AQ526:AQ527" si="2554">+AQ485+AQ397</f>
        <v>230.66017691579941</v>
      </c>
      <c r="AR526" s="9">
        <f t="shared" si="2542"/>
        <v>10.787789104610667</v>
      </c>
      <c r="AS526" s="691">
        <f t="shared" ref="AS526:AS527" si="2555">+AS485+AS397</f>
        <v>226.61082083752098</v>
      </c>
      <c r="AT526" s="9">
        <f t="shared" si="2544"/>
        <v>10.434123215166167</v>
      </c>
      <c r="AU526" s="691">
        <f t="shared" ref="AU526:AU527" si="2556">+AU485+AU397</f>
        <v>228.43269719454645</v>
      </c>
      <c r="AV526" s="9">
        <f t="shared" si="2546"/>
        <v>12.750590915373365</v>
      </c>
      <c r="AW526" s="691">
        <f t="shared" ref="AW526:AW527" si="2557">+AW485+AW397</f>
        <v>231.38913705050572</v>
      </c>
      <c r="AX526" s="9">
        <f t="shared" si="2548"/>
        <v>0.69153048324879762</v>
      </c>
      <c r="AY526" s="287"/>
      <c r="AZ526" s="64"/>
      <c r="BA526" s="9" t="str">
        <f>IF(ISERROR(#REF!/#REF!),"NA",IF(OR(#REF!/#REF!&gt;2,#REF!/#REF!&lt;0.5),"NM",#REF!/#REF!*100-100))</f>
        <v>NA</v>
      </c>
      <c r="BB526" s="55">
        <f>C526+E526+G526+I526</f>
        <v>722.19999999999993</v>
      </c>
      <c r="BC526" s="9" t="str">
        <f>IF(ISERROR(BB526/#REF!),"NA",IF(OR(BB526/#REF!&gt;2,BB526/#REF!&lt;0.5),"NM",BB526/#REF!*100-100))</f>
        <v>NA</v>
      </c>
      <c r="BD526" s="908">
        <f>K526+M526+O526+Q526</f>
        <v>712.2</v>
      </c>
      <c r="BE526" s="9">
        <f t="shared" si="2525"/>
        <v>-1.3846579894765796</v>
      </c>
      <c r="BF526" s="55">
        <f>S526+U526+W526+Y526</f>
        <v>747.7</v>
      </c>
      <c r="BG526" s="9">
        <f t="shared" si="2525"/>
        <v>4.9845549003088934</v>
      </c>
      <c r="BH526" s="55">
        <f>AA526+AC526+AE526+AG526</f>
        <v>772.59999999999991</v>
      </c>
      <c r="BI526" s="9">
        <f t="shared" si="2525"/>
        <v>3.3302126521331843</v>
      </c>
      <c r="BJ526" s="55">
        <f>AI526+AK526+AM526+AO526</f>
        <v>845.8</v>
      </c>
      <c r="BK526" s="9">
        <f t="shared" si="2525"/>
        <v>9.4745016826300912</v>
      </c>
      <c r="BL526" s="55">
        <f>AQ526+AS526+AU526+AW526</f>
        <v>917.0928319983725</v>
      </c>
      <c r="BM526" s="9">
        <f t="shared" si="2525"/>
        <v>8.4290413807487141</v>
      </c>
      <c r="BN526" s="691">
        <f>+BN485+BN397</f>
        <v>971.6357569380117</v>
      </c>
      <c r="BO526" s="9">
        <f t="shared" si="2525"/>
        <v>5.9473722873603379</v>
      </c>
      <c r="BP526" s="691">
        <f>+BP485+BP397</f>
        <v>1025.639987342189</v>
      </c>
      <c r="BQ526" s="9">
        <f t="shared" si="2525"/>
        <v>5.5580735907007721</v>
      </c>
      <c r="BR526" s="691">
        <f>+BR485+BR397</f>
        <v>1082.8571574307796</v>
      </c>
      <c r="BS526" s="9">
        <f t="shared" si="2525"/>
        <v>5.5786797311658347</v>
      </c>
      <c r="BT526" s="691">
        <f>+BT485+BT397</f>
        <v>1143.489131446906</v>
      </c>
      <c r="BU526" s="9">
        <f t="shared" si="2549"/>
        <v>5.5992587387964932</v>
      </c>
      <c r="BV526" s="43">
        <f>IF(ISERROR(((BT526/BJ526)^0.2-1)*100),"NA",IF((((BT526/BJ526)^0.2-1)*100)&gt;100,"NM",IF((((BT526/BJ526)^0.2-1)*100)&lt;-50,"NM",((BT526/BJ526)^0.2-1)*100)))</f>
        <v>6.2167165507234223</v>
      </c>
      <c r="BW526" s="722"/>
      <c r="BX526" s="722"/>
      <c r="BY526"/>
      <c r="BZ526"/>
      <c r="CA526"/>
      <c r="CB526"/>
      <c r="CC526"/>
      <c r="CD526"/>
    </row>
    <row r="527" spans="1:82" s="2" customFormat="1" ht="12.75" customHeight="1" x14ac:dyDescent="0.2">
      <c r="A527" s="66"/>
      <c r="B527" s="67" t="s">
        <v>484</v>
      </c>
      <c r="C527" s="695">
        <f>+C486+C398</f>
        <v>726.2</v>
      </c>
      <c r="D527" s="9" t="str">
        <f>IF(ISERROR(C527/#REF!),"NA",IF(OR(C527/#REF!&gt;2,C527/#REF!&lt;0.5),"NM",C527/#REF!*100-100))</f>
        <v>NA</v>
      </c>
      <c r="E527" s="695">
        <f>+E486+E398</f>
        <v>703.40000000000009</v>
      </c>
      <c r="F527" s="9" t="str">
        <f>IF(ISERROR(E527/#REF!),"NA",IF(OR(E527/#REF!&gt;2,E527/#REF!&lt;0.5),"NM",E527/#REF!*100-100))</f>
        <v>NA</v>
      </c>
      <c r="G527" s="695">
        <f>+G486+G398</f>
        <v>687.5</v>
      </c>
      <c r="H527" s="9" t="str">
        <f>IF(ISERROR(G527/#REF!),"NA",IF(OR(G527/#REF!&gt;2,G527/#REF!&lt;0.5),"NM",G527/#REF!*100-100))</f>
        <v>NA</v>
      </c>
      <c r="I527" s="695">
        <f>+I486+I398</f>
        <v>698.90000000000009</v>
      </c>
      <c r="J527" s="9" t="str">
        <f>IF(ISERROR(I527/#REF!),"NA",IF(OR(I527/#REF!&gt;2,I527/#REF!&lt;0.5),"NM",I527/#REF!*100-100))</f>
        <v>NA</v>
      </c>
      <c r="K527" s="695">
        <f>+K486+K398</f>
        <v>741.69999999999982</v>
      </c>
      <c r="L527" s="613">
        <f>IF(ISERROR(K527/C527),"NA",IF(OR(K527/C527&gt;2,K527/C527&lt;0.5),"NM",K527/C527*100-100))</f>
        <v>2.1343982374001342</v>
      </c>
      <c r="M527" s="695">
        <f>+M486+M398</f>
        <v>738.3</v>
      </c>
      <c r="N527" s="9">
        <f>IF(ISERROR(M527/E527),"NA",IF(OR(M527/E527&gt;2,M527/E527&lt;0.5),"NM",M527/E527*100-100))</f>
        <v>4.9616150127949794</v>
      </c>
      <c r="O527" s="695">
        <f>+O486+O398</f>
        <v>695.90000000000009</v>
      </c>
      <c r="P527" s="43">
        <f t="shared" si="2504"/>
        <v>1.2218181818181932</v>
      </c>
      <c r="Q527" s="695">
        <f>+Q486+Q398</f>
        <v>742.8</v>
      </c>
      <c r="R527" s="43">
        <f t="shared" si="2504"/>
        <v>6.2812991844326547</v>
      </c>
      <c r="S527" s="695">
        <f>+S486+S398</f>
        <v>779.8</v>
      </c>
      <c r="T527" s="43">
        <f t="shared" si="2504"/>
        <v>5.1368477821221745</v>
      </c>
      <c r="U527" s="695">
        <f>+U486+U398</f>
        <v>769.8</v>
      </c>
      <c r="V527" s="43">
        <f t="shared" si="2504"/>
        <v>4.2665583096302271</v>
      </c>
      <c r="W527" s="695">
        <f>+W486+W398</f>
        <v>680.30000000000007</v>
      </c>
      <c r="X527" s="43">
        <f t="shared" si="2504"/>
        <v>-2.2417013938784436</v>
      </c>
      <c r="Y527" s="695">
        <f>+Y486+Y398</f>
        <v>781.4</v>
      </c>
      <c r="Z527" s="43">
        <f t="shared" si="2504"/>
        <v>5.1965535810446966</v>
      </c>
      <c r="AA527" s="695">
        <f>+AA486+AA398</f>
        <v>810.40000000000009</v>
      </c>
      <c r="AB527" s="43">
        <f t="shared" si="2504"/>
        <v>3.9240830982303407</v>
      </c>
      <c r="AC527" s="695">
        <f>+AC486+AC398</f>
        <v>804.5</v>
      </c>
      <c r="AD527" s="43">
        <f t="shared" si="2504"/>
        <v>4.5076643283969986</v>
      </c>
      <c r="AE527" s="695">
        <f>+AE486+AE398</f>
        <v>840.19999999999982</v>
      </c>
      <c r="AF527" s="43">
        <f t="shared" si="2504"/>
        <v>23.504336322210733</v>
      </c>
      <c r="AG527" s="695">
        <f>+AG486+AG398</f>
        <v>821.2</v>
      </c>
      <c r="AH527" s="9">
        <f>IF(ISERROR(AG527/Y527),"NA",IF(OR(AG527/Y527&gt;2,AG527/Y527&lt;0.5),"NM",AG527/Y527*100-100))</f>
        <v>5.0934220629639242</v>
      </c>
      <c r="AI527" s="695">
        <f>+AI486+AI398</f>
        <v>870.2</v>
      </c>
      <c r="AJ527" s="9">
        <f t="shared" si="2537"/>
        <v>7.3790720631786684</v>
      </c>
      <c r="AK527" s="695">
        <f>+AK486+AK398</f>
        <v>866.3</v>
      </c>
      <c r="AL527" s="9">
        <f t="shared" si="2538"/>
        <v>7.6817899316345546</v>
      </c>
      <c r="AM527" s="695">
        <f>+AM486+AM398</f>
        <v>902.3</v>
      </c>
      <c r="AN527" s="9">
        <f t="shared" si="2539"/>
        <v>7.3910973577719687</v>
      </c>
      <c r="AO527" s="695">
        <f>+AO486+AO398</f>
        <v>879.30000000000007</v>
      </c>
      <c r="AP527" s="9">
        <f t="shared" si="2540"/>
        <v>7.0750121773015167</v>
      </c>
      <c r="AQ527" s="695">
        <f t="shared" si="2554"/>
        <v>908.94365071504399</v>
      </c>
      <c r="AR527" s="9">
        <f t="shared" si="2542"/>
        <v>4.4522696753670203</v>
      </c>
      <c r="AS527" s="695">
        <f t="shared" si="2555"/>
        <v>910.98005966976598</v>
      </c>
      <c r="AT527" s="9">
        <f t="shared" si="2544"/>
        <v>5.1575735507059903</v>
      </c>
      <c r="AU527" s="695">
        <f t="shared" si="2556"/>
        <v>915.92311137870854</v>
      </c>
      <c r="AV527" s="9">
        <f t="shared" si="2546"/>
        <v>1.5098206116267932</v>
      </c>
      <c r="AW527" s="695">
        <f t="shared" si="2557"/>
        <v>919.12552986661774</v>
      </c>
      <c r="AX527" s="9">
        <f t="shared" si="2548"/>
        <v>4.5292311914725047</v>
      </c>
      <c r="AY527" s="287"/>
      <c r="AZ527" s="68"/>
      <c r="BA527" s="9" t="str">
        <f>IF(ISERROR(#REF!/#REF!),"NA",IF(OR(#REF!/#REF!&gt;2,#REF!/#REF!&lt;0.5),"NM",#REF!/#REF!*100-100))</f>
        <v>NA</v>
      </c>
      <c r="BB527" s="695">
        <f>+BB486+BB398</f>
        <v>2816</v>
      </c>
      <c r="BC527" s="9" t="str">
        <f>IF(ISERROR(BB527/#REF!),"NA",IF(OR(BB527/#REF!&gt;2,BB527/#REF!&lt;0.5),"NM",BB527/#REF!*100-100))</f>
        <v>NA</v>
      </c>
      <c r="BD527" s="912">
        <f>+BD486+BD398</f>
        <v>2918.7</v>
      </c>
      <c r="BE527" s="9">
        <f t="shared" si="2525"/>
        <v>3.6470170454545325</v>
      </c>
      <c r="BF527" s="695">
        <f>+BF486+BF398</f>
        <v>3011.3</v>
      </c>
      <c r="BG527" s="9">
        <f t="shared" si="2525"/>
        <v>3.1726453558090952</v>
      </c>
      <c r="BH527" s="695">
        <f>+BH486+BH398</f>
        <v>3276.3</v>
      </c>
      <c r="BI527" s="9">
        <f t="shared" si="2525"/>
        <v>8.8001859661940074</v>
      </c>
      <c r="BJ527" s="695">
        <f>+BJ486+BJ398</f>
        <v>3518.1000000000004</v>
      </c>
      <c r="BK527" s="9">
        <f t="shared" si="2525"/>
        <v>7.3802765314531626</v>
      </c>
      <c r="BL527" s="695">
        <f>+BL486+BL398</f>
        <v>3654.972351630136</v>
      </c>
      <c r="BM527" s="9">
        <f t="shared" si="2525"/>
        <v>3.8905190764940016</v>
      </c>
      <c r="BN527" s="695">
        <f>+BN486+BN398</f>
        <v>3862.2308782056261</v>
      </c>
      <c r="BO527" s="9">
        <f t="shared" si="2525"/>
        <v>5.670590818096116</v>
      </c>
      <c r="BP527" s="695">
        <f>+BP486+BP398</f>
        <v>4094.8214528268218</v>
      </c>
      <c r="BQ527" s="9">
        <f t="shared" si="2525"/>
        <v>6.0221820485588466</v>
      </c>
      <c r="BR527" s="695">
        <f>+BR486+BR398</f>
        <v>4340.222251548742</v>
      </c>
      <c r="BS527" s="9">
        <f t="shared" si="2525"/>
        <v>5.9929547978828168</v>
      </c>
      <c r="BT527" s="695">
        <f>+BT486+BT398</f>
        <v>4601.2630453894826</v>
      </c>
      <c r="BU527" s="9">
        <f t="shared" si="2549"/>
        <v>6.0144568344994838</v>
      </c>
      <c r="BV527" s="43">
        <f>IF(ISERROR(((BT527/BJ527)^0.2-1)*100),"NA",IF((((BT527/BJ527)^0.2-1)*100)&gt;100,"NM",IF((((BT527/BJ527)^0.2-1)*100)&lt;-50,"NM",((BT527/BJ527)^0.2-1)*100)))</f>
        <v>5.5148962821183867</v>
      </c>
      <c r="BW527" s="722"/>
      <c r="BX527" s="722"/>
      <c r="BY527"/>
      <c r="BZ527"/>
      <c r="CA527"/>
      <c r="CB527"/>
      <c r="CC527"/>
      <c r="CD527"/>
    </row>
    <row r="528" spans="1:82" s="2" customFormat="1" ht="12.75" customHeight="1" x14ac:dyDescent="0.2">
      <c r="A528" s="41"/>
      <c r="B528" s="62"/>
      <c r="C528" s="58"/>
      <c r="D528" s="40"/>
      <c r="E528" s="58"/>
      <c r="F528" s="40"/>
      <c r="G528" s="58"/>
      <c r="H528" s="40"/>
      <c r="I528" s="58"/>
      <c r="J528" s="40"/>
      <c r="K528" s="58"/>
      <c r="L528" s="40"/>
      <c r="M528" s="58"/>
      <c r="N528" s="40"/>
      <c r="O528" s="58"/>
      <c r="P528" s="43"/>
      <c r="Q528" s="58"/>
      <c r="R528" s="43"/>
      <c r="S528" s="58"/>
      <c r="T528" s="43"/>
      <c r="U528" s="58"/>
      <c r="V528" s="43"/>
      <c r="W528" s="58"/>
      <c r="X528" s="43"/>
      <c r="Y528" s="58"/>
      <c r="Z528" s="43"/>
      <c r="AA528" s="58"/>
      <c r="AB528" s="43"/>
      <c r="AC528" s="58"/>
      <c r="AD528" s="43"/>
      <c r="AE528" s="58"/>
      <c r="AF528" s="43"/>
      <c r="AG528" s="58"/>
      <c r="AH528" s="40"/>
      <c r="AI528" s="58"/>
      <c r="AJ528" s="40"/>
      <c r="AK528" s="58"/>
      <c r="AL528" s="40"/>
      <c r="AM528" s="58"/>
      <c r="AN528" s="40"/>
      <c r="AO528" s="58"/>
      <c r="AP528" s="40"/>
      <c r="AQ528" s="58"/>
      <c r="AR528" s="40"/>
      <c r="AS528" s="58"/>
      <c r="AT528" s="40"/>
      <c r="AU528" s="58"/>
      <c r="AV528" s="40"/>
      <c r="AW528" s="58"/>
      <c r="AX528" s="40"/>
      <c r="AY528" s="287"/>
      <c r="AZ528" s="15"/>
      <c r="BA528" s="40"/>
      <c r="BB528" s="58"/>
      <c r="BC528" s="9"/>
      <c r="BD528" s="947"/>
      <c r="BE528" s="9"/>
      <c r="BF528" s="58"/>
      <c r="BG528" s="9"/>
      <c r="BH528" s="58"/>
      <c r="BI528" s="9"/>
      <c r="BJ528" s="58"/>
      <c r="BK528" s="9"/>
      <c r="BL528" s="58"/>
      <c r="BM528" s="9"/>
      <c r="BN528" s="58"/>
      <c r="BO528" s="9"/>
      <c r="BP528" s="58"/>
      <c r="BQ528" s="9"/>
      <c r="BR528" s="58"/>
      <c r="BS528" s="9"/>
      <c r="BT528" s="58"/>
      <c r="BU528" s="9"/>
      <c r="BV528" s="722"/>
      <c r="BW528" s="722"/>
      <c r="BX528" s="722"/>
      <c r="BY528"/>
      <c r="BZ528"/>
      <c r="CA528"/>
      <c r="CB528"/>
      <c r="CC528"/>
      <c r="CD528"/>
    </row>
    <row r="529" spans="1:83" s="2" customFormat="1" ht="12.75" customHeight="1" x14ac:dyDescent="0.2">
      <c r="A529" s="41"/>
      <c r="B529" s="67" t="s">
        <v>485</v>
      </c>
      <c r="C529" s="695">
        <f>+C494+C407</f>
        <v>51.800000000000011</v>
      </c>
      <c r="D529" s="9" t="str">
        <f>IF(ISERROR(C529/#REF!),"NA",IF(OR(C529/#REF!&gt;2,C529/#REF!&lt;0.5),"NM",C529/#REF!*100-100))</f>
        <v>NA</v>
      </c>
      <c r="E529" s="695">
        <f>+E494+E407</f>
        <v>69.699999999999989</v>
      </c>
      <c r="F529" s="9" t="str">
        <f>IF(ISERROR(E529/#REF!),"NA",IF(OR(E529/#REF!&gt;2,E529/#REF!&lt;0.5),"NM",E529/#REF!*100-100))</f>
        <v>NA</v>
      </c>
      <c r="G529" s="695">
        <f>+G494+G407</f>
        <v>80.200000000000102</v>
      </c>
      <c r="H529" s="9" t="str">
        <f>IF(ISERROR(G529/#REF!),"NA",IF(OR(G529/#REF!&gt;2,G529/#REF!&lt;0.5),"NM",G529/#REF!*100-100))</f>
        <v>NA</v>
      </c>
      <c r="I529" s="695">
        <f>+I494+I407</f>
        <v>88.89999999999992</v>
      </c>
      <c r="J529" s="9" t="str">
        <f>IF(ISERROR(I529/#REF!),"NA",IF(OR(I529/#REF!&gt;2,I529/#REF!&lt;0.5),"NM",I529/#REF!*100-100))</f>
        <v>NA</v>
      </c>
      <c r="K529" s="695">
        <f>+K494+K407</f>
        <v>62.700000000000102</v>
      </c>
      <c r="L529" s="613">
        <f>IF(ISERROR(K529/C529),"NA",IF(OR(K529/C529&gt;2,K529/C529&lt;0.5),"NM",K529/C529*100-100))</f>
        <v>21.042471042471206</v>
      </c>
      <c r="M529" s="695">
        <f>+M494+M407</f>
        <v>73.199999999999989</v>
      </c>
      <c r="N529" s="9">
        <f>IF(ISERROR(M529/E529),"NA",IF(OR(M529/E529&gt;2,M529/E529&lt;0.5),"NM",M529/E529*100-100))</f>
        <v>5.0215208034433374</v>
      </c>
      <c r="O529" s="695">
        <f>+O494+O407</f>
        <v>125.09999999999997</v>
      </c>
      <c r="P529" s="43">
        <f t="shared" si="2504"/>
        <v>55.985037406483542</v>
      </c>
      <c r="Q529" s="695">
        <f>+Q494+Q407</f>
        <v>83.100000000000023</v>
      </c>
      <c r="R529" s="43">
        <f t="shared" si="2504"/>
        <v>-6.5241844769402775</v>
      </c>
      <c r="S529" s="695">
        <f>+S494+S407</f>
        <v>81.900000000000091</v>
      </c>
      <c r="T529" s="43">
        <f t="shared" si="2504"/>
        <v>30.622009569377923</v>
      </c>
      <c r="U529" s="695">
        <f>+U494+U407</f>
        <v>88.100000000000023</v>
      </c>
      <c r="V529" s="43">
        <f t="shared" si="2504"/>
        <v>20.355191256830651</v>
      </c>
      <c r="W529" s="695">
        <f>+W494+W407</f>
        <v>172.89999999999998</v>
      </c>
      <c r="X529" s="43">
        <f t="shared" si="2504"/>
        <v>38.209432454036772</v>
      </c>
      <c r="Y529" s="695">
        <f>+Y494+Y407</f>
        <v>86.600000000000023</v>
      </c>
      <c r="Z529" s="43">
        <f t="shared" si="2504"/>
        <v>4.2117930204572929</v>
      </c>
      <c r="AA529" s="695">
        <f>+AA494+AA407</f>
        <v>80.499999999999943</v>
      </c>
      <c r="AB529" s="43">
        <f t="shared" si="2504"/>
        <v>-1.7094017094018881</v>
      </c>
      <c r="AC529" s="695">
        <f>+AC494+AC407</f>
        <v>103.60000000000008</v>
      </c>
      <c r="AD529" s="43">
        <f t="shared" si="2504"/>
        <v>17.593643586833196</v>
      </c>
      <c r="AE529" s="695">
        <f>+AE494+AE407</f>
        <v>70.200000000000159</v>
      </c>
      <c r="AF529" s="43" t="str">
        <f t="shared" si="2504"/>
        <v>NM</v>
      </c>
      <c r="AG529" s="695">
        <f>+AG494+AG407</f>
        <v>106.89999999999998</v>
      </c>
      <c r="AH529" s="9">
        <f>IF(ISERROR(AG529/Y529),"NA",IF(OR(AG529/Y529&gt;2,AG529/Y529&lt;0.5),"NM",AG529/Y529*100-100))</f>
        <v>23.441108545034581</v>
      </c>
      <c r="AI529" s="695">
        <f>+AI494+AI407</f>
        <v>86.199999999999989</v>
      </c>
      <c r="AJ529" s="9">
        <f t="shared" ref="AJ529:AJ532" si="2558">IF(ISERROR(AI529/AA529),"NA",IF(OR(AI529/AA529&gt;2,AI529/AA529&lt;0.5),"NM",AI529/AA529*100-100))</f>
        <v>7.0807453416149571</v>
      </c>
      <c r="AK529" s="695">
        <f>+AK494+AK407</f>
        <v>104.39999999999998</v>
      </c>
      <c r="AL529" s="9">
        <f t="shared" ref="AL529:AL532" si="2559">IF(ISERROR(AK529/AC529),"NA",IF(OR(AK529/AC529&gt;2,AK529/AC529&lt;0.5),"NM",AK529/AC529*100-100))</f>
        <v>0.77220077220067651</v>
      </c>
      <c r="AM529" s="695">
        <f>+AM494+AM407</f>
        <v>83.199999999999989</v>
      </c>
      <c r="AN529" s="9">
        <f t="shared" ref="AN529:AN532" si="2560">IF(ISERROR(AM529/AE529),"NA",IF(OR(AM529/AE529&gt;2,AM529/AE529&lt;0.5),"NM",AM529/AE529*100-100))</f>
        <v>18.518518518518221</v>
      </c>
      <c r="AO529" s="695">
        <f>+AO494+AO407</f>
        <v>110.89999999999992</v>
      </c>
      <c r="AP529" s="9">
        <f t="shared" ref="AP529:AP532" si="2561">IF(ISERROR(AO529/AG529),"NA",IF(OR(AO529/AG529&gt;2,AO529/AG529&lt;0.5),"NM",AO529/AG529*100-100))</f>
        <v>3.7418147801683261</v>
      </c>
      <c r="AQ529" s="695">
        <f t="shared" ref="AQ529" si="2562">+AQ494+AQ407</f>
        <v>93.558349284956023</v>
      </c>
      <c r="AR529" s="9">
        <f t="shared" ref="AR529:AR532" si="2563">IF(ISERROR(AQ529/AI529),"NA",IF(OR(AQ529/AI529&gt;2,AQ529/AI529&lt;0.5),"NM",AQ529/AI529*100-100))</f>
        <v>8.5363680799953983</v>
      </c>
      <c r="AS529" s="695">
        <f t="shared" ref="AS529" si="2564">+AS494+AS407</f>
        <v>105.43637033023407</v>
      </c>
      <c r="AT529" s="9">
        <f t="shared" ref="AT529:AT532" si="2565">IF(ISERROR(AS529/AK529),"NA",IF(OR(AS529/AK529&gt;2,AS529/AK529&lt;0.5),"NM",AS529/AK529*100-100))</f>
        <v>0.99269188719742374</v>
      </c>
      <c r="AU529" s="695">
        <f t="shared" ref="AU529" si="2566">+AU494+AU407</f>
        <v>118.68761292129153</v>
      </c>
      <c r="AV529" s="9">
        <f t="shared" ref="AV529:AV532" si="2567">IF(ISERROR(AU529/AM529),"NA",IF(OR(AU529/AM529&gt;2,AU529/AM529&lt;0.5),"NM",AU529/AM529*100-100))</f>
        <v>42.653380915013884</v>
      </c>
      <c r="AW529" s="695">
        <f t="shared" ref="AW529" si="2568">+AW494+AW407</f>
        <v>126.20979167638234</v>
      </c>
      <c r="AX529" s="9">
        <f t="shared" ref="AX529:AX532" si="2569">IF(ISERROR(AW529/AO529),"NA",IF(OR(AW529/AO529&gt;2,AW529/AO529&lt;0.5),"NM",AW529/AO529*100-100))</f>
        <v>13.805042088712739</v>
      </c>
      <c r="AY529" s="287"/>
      <c r="AZ529" s="64"/>
      <c r="BA529" s="9" t="str">
        <f>IF(ISERROR(#REF!/#REF!),"NA",IF(OR(#REF!/#REF!&gt;2,#REF!/#REF!&lt;0.5),"NM",#REF!/#REF!*100-100))</f>
        <v>NA</v>
      </c>
      <c r="BB529" s="695">
        <f>+BB494+BB407</f>
        <v>290.59999999999991</v>
      </c>
      <c r="BC529" s="9" t="str">
        <f>IF(ISERROR(BB529/#REF!),"NA",IF(OR(BB529/#REF!&gt;2,BB529/#REF!&lt;0.5),"NM",BB529/#REF!*100-100))</f>
        <v>NA</v>
      </c>
      <c r="BD529" s="912">
        <f>+BD494+BD407</f>
        <v>344.09999999999991</v>
      </c>
      <c r="BE529" s="9">
        <f t="shared" si="2525"/>
        <v>18.410185822436347</v>
      </c>
      <c r="BF529" s="695">
        <f>+BF494+BF407</f>
        <v>429.5</v>
      </c>
      <c r="BG529" s="9">
        <f t="shared" si="2525"/>
        <v>24.818366753850654</v>
      </c>
      <c r="BH529" s="695">
        <f>+BH494+BH407</f>
        <v>361.19999999999982</v>
      </c>
      <c r="BI529" s="9">
        <f t="shared" si="2525"/>
        <v>-15.902211874272453</v>
      </c>
      <c r="BJ529" s="695">
        <f>+BJ494+BJ407</f>
        <v>384.69999999999959</v>
      </c>
      <c r="BK529" s="9">
        <f t="shared" si="2525"/>
        <v>6.5060908084163316</v>
      </c>
      <c r="BL529" s="695">
        <f>+BL494+BL407</f>
        <v>443.89212421286425</v>
      </c>
      <c r="BM529" s="9">
        <f t="shared" si="2525"/>
        <v>15.386567250549703</v>
      </c>
      <c r="BN529" s="695">
        <f>+BN494+BN407</f>
        <v>467.01769667109488</v>
      </c>
      <c r="BO529" s="9">
        <f t="shared" si="2525"/>
        <v>5.2097280390451317</v>
      </c>
      <c r="BP529" s="695">
        <f>+BP494+BP407</f>
        <v>478.64560724496778</v>
      </c>
      <c r="BQ529" s="9">
        <f t="shared" si="2525"/>
        <v>2.4898222608600804</v>
      </c>
      <c r="BR529" s="695">
        <f>+BR494+BR407</f>
        <v>492.17283466991989</v>
      </c>
      <c r="BS529" s="9">
        <f t="shared" si="2525"/>
        <v>2.8261467817104489</v>
      </c>
      <c r="BT529" s="695">
        <f>+BT494+BT407</f>
        <v>505.70221585350532</v>
      </c>
      <c r="BU529" s="9">
        <f t="shared" ref="BU529" si="2570">IF(ISERROR(BT529/BR529),"NA",IF(OR(BT529/BR529&gt;2,BT529/BR529&lt;0.5),"NM",BT529/BR529*100-100))</f>
        <v>2.7489085602741596</v>
      </c>
      <c r="BV529" s="43">
        <f>IF(ISERROR(((BT529/BJ529)^0.2-1)*100),"NA",IF((((BT529/BJ529)^0.2-1)*100)&gt;100,"NM",IF((((BT529/BJ529)^0.2-1)*100)&lt;-50,"NM",((BT529/BJ529)^0.2-1)*100)))</f>
        <v>5.6220358159605688</v>
      </c>
      <c r="BW529" s="722"/>
      <c r="BX529" s="722"/>
      <c r="BY529"/>
      <c r="BZ529"/>
      <c r="CA529"/>
      <c r="CB529"/>
      <c r="CC529"/>
      <c r="CD529"/>
    </row>
    <row r="530" spans="1:83" s="2" customFormat="1" ht="12.75" hidden="1" customHeight="1" outlineLevel="1" x14ac:dyDescent="0.2">
      <c r="A530" s="41"/>
      <c r="B530" s="62" t="s">
        <v>486</v>
      </c>
      <c r="C530" s="691">
        <f>+C495+C408</f>
        <v>16.100000000000001</v>
      </c>
      <c r="D530" s="9" t="str">
        <f>IF(ISERROR(C530/#REF!),"NA",IF(OR(C530/#REF!&gt;2,C530/#REF!&lt;0.5),"NM",C530/#REF!*100-100))</f>
        <v>NA</v>
      </c>
      <c r="E530" s="691">
        <f>+E495+E408</f>
        <v>22.5</v>
      </c>
      <c r="F530" s="9" t="str">
        <f>IF(ISERROR(E530/#REF!),"NA",IF(OR(E530/#REF!&gt;2,E530/#REF!&lt;0.5),"NM",E530/#REF!*100-100))</f>
        <v>NA</v>
      </c>
      <c r="G530" s="691">
        <f>+G495+G408</f>
        <v>26.2</v>
      </c>
      <c r="H530" s="9" t="str">
        <f>IF(ISERROR(G530/#REF!),"NA",IF(OR(G530/#REF!&gt;2,G530/#REF!&lt;0.5),"NM",G530/#REF!*100-100))</f>
        <v>NA</v>
      </c>
      <c r="I530" s="691">
        <f>+I495+I408</f>
        <v>29.2</v>
      </c>
      <c r="J530" s="9" t="str">
        <f>IF(ISERROR(I530/#REF!),"NA",IF(OR(I530/#REF!&gt;2,I530/#REF!&lt;0.5),"NM",I530/#REF!*100-100))</f>
        <v>NA</v>
      </c>
      <c r="K530" s="691">
        <f>+K495+K408</f>
        <v>19.3</v>
      </c>
      <c r="L530" s="9">
        <f>IF(ISERROR(K530/C530),"NA",IF(OR(K530/C530&gt;2,K530/C530&lt;0.5),"NM",K530/C530*100-100))</f>
        <v>19.875776397515523</v>
      </c>
      <c r="M530" s="691">
        <f>+M495+M408</f>
        <v>24.200000000000003</v>
      </c>
      <c r="N530" s="9">
        <f>IF(ISERROR(M530/E530),"NA",IF(OR(M530/E530&gt;2,M530/E530&lt;0.5),"NM",M530/E530*100-100))</f>
        <v>7.5555555555555571</v>
      </c>
      <c r="O530" s="691">
        <f>+O495+O408</f>
        <v>41.8</v>
      </c>
      <c r="P530" s="43">
        <f t="shared" si="2504"/>
        <v>59.541984732824403</v>
      </c>
      <c r="Q530" s="691"/>
      <c r="R530" s="43" t="str">
        <f t="shared" si="2504"/>
        <v>NM</v>
      </c>
      <c r="S530" s="691"/>
      <c r="T530" s="43" t="str">
        <f t="shared" si="2504"/>
        <v>NM</v>
      </c>
      <c r="U530" s="691"/>
      <c r="V530" s="43" t="str">
        <f t="shared" si="2504"/>
        <v>NM</v>
      </c>
      <c r="W530" s="691"/>
      <c r="X530" s="43" t="str">
        <f t="shared" si="2504"/>
        <v>NM</v>
      </c>
      <c r="Y530" s="691"/>
      <c r="Z530" s="43" t="str">
        <f t="shared" si="2504"/>
        <v>NA</v>
      </c>
      <c r="AA530" s="691"/>
      <c r="AB530" s="43" t="str">
        <f t="shared" si="2504"/>
        <v>NA</v>
      </c>
      <c r="AC530" s="691"/>
      <c r="AD530" s="43" t="str">
        <f t="shared" si="2504"/>
        <v>NA</v>
      </c>
      <c r="AE530" s="691"/>
      <c r="AF530" s="43" t="str">
        <f t="shared" si="2504"/>
        <v>NA</v>
      </c>
      <c r="AG530" s="691"/>
      <c r="AH530" s="9" t="str">
        <f>IF(ISERROR(AG530/Y530),"NA",IF(OR(AG530/Y530&gt;2,AG530/Y530&lt;0.5),"NM",AG530/Y530*100-100))</f>
        <v>NA</v>
      </c>
      <c r="AI530" s="691"/>
      <c r="AJ530" s="9" t="str">
        <f t="shared" si="2558"/>
        <v>NA</v>
      </c>
      <c r="AK530" s="691"/>
      <c r="AL530" s="9" t="str">
        <f t="shared" si="2559"/>
        <v>NA</v>
      </c>
      <c r="AM530" s="691"/>
      <c r="AN530" s="9" t="str">
        <f t="shared" si="2560"/>
        <v>NA</v>
      </c>
      <c r="AO530" s="691"/>
      <c r="AP530" s="9" t="str">
        <f t="shared" si="2561"/>
        <v>NA</v>
      </c>
      <c r="AQ530" s="691"/>
      <c r="AR530" s="9" t="str">
        <f t="shared" si="2563"/>
        <v>NA</v>
      </c>
      <c r="AS530" s="691"/>
      <c r="AT530" s="9" t="str">
        <f t="shared" si="2565"/>
        <v>NA</v>
      </c>
      <c r="AU530" s="691"/>
      <c r="AV530" s="9" t="str">
        <f t="shared" si="2567"/>
        <v>NA</v>
      </c>
      <c r="AW530" s="691"/>
      <c r="AX530" s="9" t="str">
        <f t="shared" si="2569"/>
        <v>NA</v>
      </c>
      <c r="AY530" s="287"/>
      <c r="AZ530" s="64"/>
      <c r="BA530" s="9" t="str">
        <f>IF(ISERROR(#REF!/#REF!),"NA",IF(OR(#REF!/#REF!&gt;2,#REF!/#REF!&lt;0.5),"NM",#REF!/#REF!*100-100))</f>
        <v>NA</v>
      </c>
      <c r="BB530" s="691"/>
      <c r="BC530" s="9"/>
      <c r="BD530" s="930"/>
      <c r="BE530" s="40"/>
      <c r="BF530" s="691"/>
      <c r="BG530" s="40"/>
      <c r="BH530" s="691"/>
      <c r="BI530" s="40"/>
      <c r="BJ530" s="691"/>
      <c r="BK530" s="40"/>
      <c r="BL530" s="691"/>
      <c r="BM530" s="40"/>
      <c r="BN530" s="691"/>
      <c r="BO530" s="40"/>
      <c r="BP530" s="691"/>
      <c r="BQ530" s="40"/>
      <c r="BR530" s="691"/>
      <c r="BS530" s="40"/>
      <c r="BT530" s="691"/>
      <c r="BU530" s="40"/>
      <c r="BV530" s="43"/>
      <c r="BW530" s="722"/>
      <c r="BX530" s="722"/>
      <c r="BY530"/>
      <c r="BZ530"/>
      <c r="CA530"/>
      <c r="CB530"/>
      <c r="CC530"/>
      <c r="CD530"/>
    </row>
    <row r="531" spans="1:83" s="2" customFormat="1" ht="12.75" hidden="1" customHeight="1" outlineLevel="1" x14ac:dyDescent="0.2">
      <c r="A531" s="41"/>
      <c r="B531" s="62" t="s">
        <v>155</v>
      </c>
      <c r="C531" s="691">
        <f>IF(ISERROR(C530/C529),"NA",IF((C530/C529)&gt;1,"NM",IF((C530/C529)&lt;0,"NM",(C530/C529*100))))</f>
        <v>31.081081081081074</v>
      </c>
      <c r="D531" s="9" t="str">
        <f>IF(ISERROR(C531/#REF!),"NA",IF(OR(C531/#REF!&gt;2,C531/#REF!&lt;0.5),"NM",C531/#REF!*100-100))</f>
        <v>NA</v>
      </c>
      <c r="E531" s="691">
        <f>IF(ISERROR(E530/E529),"NA",IF((E530/E529)&gt;1,"NM",IF((E530/E529)&lt;0,"NM",(E530/E529*100))))</f>
        <v>32.281205164992834</v>
      </c>
      <c r="F531" s="9" t="str">
        <f>IF(ISERROR(E531/#REF!),"NA",IF(OR(E531/#REF!&gt;2,E531/#REF!&lt;0.5),"NM",E531/#REF!*100-100))</f>
        <v>NA</v>
      </c>
      <c r="G531" s="691">
        <f>IF(ISERROR(G530/G529),"NA",IF((G530/G529)&gt;1,"NM",IF((G530/G529)&lt;0,"NM",(G530/G529*100))))</f>
        <v>32.668329177057316</v>
      </c>
      <c r="H531" s="9" t="str">
        <f>IF(ISERROR(G531/#REF!),"NA",IF(OR(G531/#REF!&gt;2,G531/#REF!&lt;0.5),"NM",G531/#REF!*100-100))</f>
        <v>NA</v>
      </c>
      <c r="I531" s="691">
        <f>IF(ISERROR(I530/I529),"NA",IF((I530/I529)&gt;1,"NM",IF((I530/I529)&lt;0,"NM",(I530/I529*100))))</f>
        <v>32.845894263217126</v>
      </c>
      <c r="J531" s="9" t="str">
        <f>IF(ISERROR(I531/#REF!),"NA",IF(OR(I531/#REF!&gt;2,I531/#REF!&lt;0.5),"NM",I531/#REF!*100-100))</f>
        <v>NA</v>
      </c>
      <c r="K531" s="691">
        <f>IF(ISERROR(K530/K529),"NA",IF((K530/K529)&gt;1,"NM",IF((K530/K529)&lt;0,"NM",(K530/K529*100))))</f>
        <v>30.781499202551789</v>
      </c>
      <c r="L531" s="9">
        <f>IF(ISERROR(K531/C531),"NA",IF(OR(K531/C531&gt;2,K531/C531&lt;0.5),"NM",K531/C531*100-100))</f>
        <v>-0.96387213092030777</v>
      </c>
      <c r="M531" s="691">
        <f>IF(ISERROR(M530/M529),"NA",IF((M530/M529)&gt;1,"NM",IF((M530/M529)&lt;0,"NM",(M530/M529*100))))</f>
        <v>33.060109289617493</v>
      </c>
      <c r="N531" s="9">
        <f>IF(ISERROR(M531/E531),"NA",IF(OR(M531/E531&gt;2,M531/E531&lt;0.5),"NM",M531/E531*100-100))</f>
        <v>2.412871888281714</v>
      </c>
      <c r="O531" s="691">
        <f>IF(ISERROR(O530/O529),"NA",IF((O530/O529)&gt;1,"NM",IF((O530/O529)&lt;0,"NM",(O530/O529*100))))</f>
        <v>33.413269384492409</v>
      </c>
      <c r="P531" s="43">
        <f t="shared" si="2504"/>
        <v>2.2803131540570405</v>
      </c>
      <c r="Q531" s="691"/>
      <c r="R531" s="43" t="str">
        <f t="shared" si="2504"/>
        <v>NM</v>
      </c>
      <c r="S531" s="691"/>
      <c r="T531" s="43" t="str">
        <f t="shared" si="2504"/>
        <v>NM</v>
      </c>
      <c r="U531" s="691"/>
      <c r="V531" s="43" t="str">
        <f t="shared" si="2504"/>
        <v>NM</v>
      </c>
      <c r="W531" s="691"/>
      <c r="X531" s="43" t="str">
        <f t="shared" si="2504"/>
        <v>NM</v>
      </c>
      <c r="Y531" s="691"/>
      <c r="Z531" s="43" t="str">
        <f t="shared" si="2504"/>
        <v>NA</v>
      </c>
      <c r="AA531" s="691"/>
      <c r="AB531" s="43" t="str">
        <f t="shared" si="2504"/>
        <v>NA</v>
      </c>
      <c r="AC531" s="691"/>
      <c r="AD531" s="43" t="str">
        <f t="shared" si="2504"/>
        <v>NA</v>
      </c>
      <c r="AE531" s="691"/>
      <c r="AF531" s="43" t="str">
        <f t="shared" si="2504"/>
        <v>NA</v>
      </c>
      <c r="AG531" s="691"/>
      <c r="AH531" s="9" t="str">
        <f>IF(ISERROR(AG531/Y531),"NA",IF(OR(AG531/Y531&gt;2,AG531/Y531&lt;0.5),"NM",AG531/Y531*100-100))</f>
        <v>NA</v>
      </c>
      <c r="AI531" s="691"/>
      <c r="AJ531" s="9" t="str">
        <f t="shared" si="2558"/>
        <v>NA</v>
      </c>
      <c r="AK531" s="691"/>
      <c r="AL531" s="9" t="str">
        <f t="shared" si="2559"/>
        <v>NA</v>
      </c>
      <c r="AM531" s="691"/>
      <c r="AN531" s="9" t="str">
        <f t="shared" si="2560"/>
        <v>NA</v>
      </c>
      <c r="AO531" s="691"/>
      <c r="AP531" s="9" t="str">
        <f t="shared" si="2561"/>
        <v>NA</v>
      </c>
      <c r="AQ531" s="691"/>
      <c r="AR531" s="9" t="str">
        <f t="shared" si="2563"/>
        <v>NA</v>
      </c>
      <c r="AS531" s="691"/>
      <c r="AT531" s="9" t="str">
        <f t="shared" si="2565"/>
        <v>NA</v>
      </c>
      <c r="AU531" s="691"/>
      <c r="AV531" s="9" t="str">
        <f t="shared" si="2567"/>
        <v>NA</v>
      </c>
      <c r="AW531" s="691"/>
      <c r="AX531" s="9" t="str">
        <f t="shared" si="2569"/>
        <v>NA</v>
      </c>
      <c r="AY531" s="287"/>
      <c r="AZ531" s="64"/>
      <c r="BA531" s="9" t="str">
        <f>IF(ISERROR(#REF!/#REF!),"NA",IF(OR(#REF!/#REF!&gt;2,#REF!/#REF!&lt;0.5),"NM",#REF!/#REF!*100-100))</f>
        <v>NA</v>
      </c>
      <c r="BB531" s="691"/>
      <c r="BC531" s="9" t="str">
        <f>IF(ISERROR(BB531/#REF!),"NA",IF(OR(BB531/#REF!&gt;2,BB531/#REF!&lt;0.5),"NM",BB531/#REF!*100-100))</f>
        <v>NA</v>
      </c>
      <c r="BD531" s="930"/>
      <c r="BE531" s="9" t="str">
        <f t="shared" ref="BE531:BS548" si="2571">IF(ISERROR(BD531/BB531),"NA",IF(OR(BD531/BB531&gt;2,BD531/BB531&lt;0.5),"NM",BD531/BB531*100-100))</f>
        <v>NA</v>
      </c>
      <c r="BF531" s="691"/>
      <c r="BG531" s="9" t="str">
        <f t="shared" si="2571"/>
        <v>NA</v>
      </c>
      <c r="BH531" s="691"/>
      <c r="BI531" s="9" t="str">
        <f t="shared" si="2571"/>
        <v>NA</v>
      </c>
      <c r="BJ531" s="691"/>
      <c r="BK531" s="9" t="str">
        <f t="shared" si="2571"/>
        <v>NA</v>
      </c>
      <c r="BL531" s="691"/>
      <c r="BM531" s="9" t="str">
        <f t="shared" si="2571"/>
        <v>NA</v>
      </c>
      <c r="BN531" s="691"/>
      <c r="BO531" s="9" t="str">
        <f t="shared" si="2571"/>
        <v>NA</v>
      </c>
      <c r="BP531" s="691"/>
      <c r="BQ531" s="9" t="str">
        <f t="shared" si="2571"/>
        <v>NA</v>
      </c>
      <c r="BR531" s="691"/>
      <c r="BS531" s="9" t="str">
        <f t="shared" si="2571"/>
        <v>NA</v>
      </c>
      <c r="BT531" s="691"/>
      <c r="BU531" s="9" t="str">
        <f t="shared" ref="BU531:BU532" si="2572">IF(ISERROR(BT531/BR531),"NA",IF(OR(BT531/BR531&gt;2,BT531/BR531&lt;0.5),"NM",BT531/BR531*100-100))</f>
        <v>NA</v>
      </c>
      <c r="BV531" s="43"/>
      <c r="BW531" s="722"/>
      <c r="BX531" s="722"/>
      <c r="BY531"/>
      <c r="BZ531"/>
      <c r="CA531"/>
      <c r="CB531"/>
      <c r="CC531"/>
      <c r="CD531"/>
    </row>
    <row r="532" spans="1:83" s="2" customFormat="1" ht="12.75" hidden="1" customHeight="1" outlineLevel="1" x14ac:dyDescent="0.2">
      <c r="A532" s="66"/>
      <c r="B532" s="67" t="s">
        <v>411</v>
      </c>
      <c r="C532" s="695">
        <f>+C529-C530</f>
        <v>35.70000000000001</v>
      </c>
      <c r="D532" s="9" t="str">
        <f>IF(ISERROR(C532/#REF!),"NA",IF(OR(C532/#REF!&gt;2,C532/#REF!&lt;0.5),"NM",C532/#REF!*100-100))</f>
        <v>NA</v>
      </c>
      <c r="E532" s="695">
        <f>+E529-E530</f>
        <v>47.199999999999989</v>
      </c>
      <c r="F532" s="9" t="str">
        <f>IF(ISERROR(E532/#REF!),"NA",IF(OR(E532/#REF!&gt;2,E532/#REF!&lt;0.5),"NM",E532/#REF!*100-100))</f>
        <v>NA</v>
      </c>
      <c r="G532" s="695">
        <f>+G529-G530</f>
        <v>54.000000000000099</v>
      </c>
      <c r="H532" s="9" t="str">
        <f>IF(ISERROR(G532/#REF!),"NA",IF(OR(G532/#REF!&gt;2,G532/#REF!&lt;0.5),"NM",G532/#REF!*100-100))</f>
        <v>NA</v>
      </c>
      <c r="I532" s="695">
        <f>+I529-I530</f>
        <v>59.699999999999918</v>
      </c>
      <c r="J532" s="9" t="str">
        <f>IF(ISERROR(I532/#REF!),"NA",IF(OR(I532/#REF!&gt;2,I532/#REF!&lt;0.5),"NM",I532/#REF!*100-100))</f>
        <v>NA</v>
      </c>
      <c r="K532" s="695">
        <f>+K529-K530</f>
        <v>43.400000000000105</v>
      </c>
      <c r="L532" s="9">
        <f>IF(ISERROR(K532/C532),"NA",IF(OR(K532/C532&gt;2,K532/C532&lt;0.5),"NM",K532/C532*100-100))</f>
        <v>21.568627450980642</v>
      </c>
      <c r="M532" s="695">
        <f>+M529-M530</f>
        <v>48.999999999999986</v>
      </c>
      <c r="N532" s="9">
        <f>IF(ISERROR(M532/E532),"NA",IF(OR(M532/E532&gt;2,M532/E532&lt;0.5),"NM",M532/E532*100-100))</f>
        <v>3.8135593220338819</v>
      </c>
      <c r="O532" s="695">
        <f>+O529-O530</f>
        <v>83.299999999999969</v>
      </c>
      <c r="P532" s="43">
        <f t="shared" si="2504"/>
        <v>54.259259259258926</v>
      </c>
      <c r="Q532" s="695"/>
      <c r="R532" s="43" t="str">
        <f t="shared" si="2504"/>
        <v>NM</v>
      </c>
      <c r="S532" s="695"/>
      <c r="T532" s="43" t="str">
        <f t="shared" si="2504"/>
        <v>NM</v>
      </c>
      <c r="U532" s="695"/>
      <c r="V532" s="43" t="str">
        <f t="shared" si="2504"/>
        <v>NM</v>
      </c>
      <c r="W532" s="695"/>
      <c r="X532" s="43" t="str">
        <f t="shared" si="2504"/>
        <v>NM</v>
      </c>
      <c r="Y532" s="695"/>
      <c r="Z532" s="43" t="str">
        <f t="shared" si="2504"/>
        <v>NA</v>
      </c>
      <c r="AA532" s="695"/>
      <c r="AB532" s="43" t="str">
        <f t="shared" si="2504"/>
        <v>NA</v>
      </c>
      <c r="AC532" s="695"/>
      <c r="AD532" s="43" t="str">
        <f t="shared" si="2504"/>
        <v>NA</v>
      </c>
      <c r="AE532" s="695"/>
      <c r="AF532" s="43" t="str">
        <f t="shared" si="2504"/>
        <v>NA</v>
      </c>
      <c r="AG532" s="695"/>
      <c r="AH532" s="9" t="str">
        <f>IF(ISERROR(AG532/Y532),"NA",IF(OR(AG532/Y532&gt;2,AG532/Y532&lt;0.5),"NM",AG532/Y532*100-100))</f>
        <v>NA</v>
      </c>
      <c r="AI532" s="695"/>
      <c r="AJ532" s="9" t="str">
        <f t="shared" si="2558"/>
        <v>NA</v>
      </c>
      <c r="AK532" s="695"/>
      <c r="AL532" s="9" t="str">
        <f t="shared" si="2559"/>
        <v>NA</v>
      </c>
      <c r="AM532" s="695"/>
      <c r="AN532" s="9" t="str">
        <f t="shared" si="2560"/>
        <v>NA</v>
      </c>
      <c r="AO532" s="695"/>
      <c r="AP532" s="9" t="str">
        <f t="shared" si="2561"/>
        <v>NA</v>
      </c>
      <c r="AQ532" s="695"/>
      <c r="AR532" s="9" t="str">
        <f t="shared" si="2563"/>
        <v>NA</v>
      </c>
      <c r="AS532" s="695"/>
      <c r="AT532" s="9" t="str">
        <f t="shared" si="2565"/>
        <v>NA</v>
      </c>
      <c r="AU532" s="695"/>
      <c r="AV532" s="9" t="str">
        <f t="shared" si="2567"/>
        <v>NA</v>
      </c>
      <c r="AW532" s="695"/>
      <c r="AX532" s="9" t="str">
        <f t="shared" si="2569"/>
        <v>NA</v>
      </c>
      <c r="AY532" s="287"/>
      <c r="AZ532" s="68"/>
      <c r="BA532" s="9" t="str">
        <f>IF(ISERROR(#REF!/#REF!),"NA",IF(OR(#REF!/#REF!&gt;2,#REF!/#REF!&lt;0.5),"NM",#REF!/#REF!*100-100))</f>
        <v>NA</v>
      </c>
      <c r="BB532" s="695"/>
      <c r="BC532" s="9" t="str">
        <f>IF(ISERROR(BB532/#REF!),"NA",IF(OR(BB532/#REF!&gt;2,BB532/#REF!&lt;0.5),"NM",BB532/#REF!*100-100))</f>
        <v>NA</v>
      </c>
      <c r="BD532" s="912"/>
      <c r="BE532" s="9" t="str">
        <f t="shared" si="2571"/>
        <v>NA</v>
      </c>
      <c r="BF532" s="695"/>
      <c r="BG532" s="9" t="str">
        <f t="shared" si="2571"/>
        <v>NA</v>
      </c>
      <c r="BH532" s="695"/>
      <c r="BI532" s="9" t="str">
        <f t="shared" si="2571"/>
        <v>NA</v>
      </c>
      <c r="BJ532" s="695"/>
      <c r="BK532" s="9" t="str">
        <f t="shared" si="2571"/>
        <v>NA</v>
      </c>
      <c r="BL532" s="695"/>
      <c r="BM532" s="9" t="str">
        <f t="shared" si="2571"/>
        <v>NA</v>
      </c>
      <c r="BN532" s="695"/>
      <c r="BO532" s="9" t="str">
        <f t="shared" si="2571"/>
        <v>NA</v>
      </c>
      <c r="BP532" s="695"/>
      <c r="BQ532" s="9" t="str">
        <f t="shared" si="2571"/>
        <v>NA</v>
      </c>
      <c r="BR532" s="695"/>
      <c r="BS532" s="9" t="str">
        <f t="shared" si="2571"/>
        <v>NA</v>
      </c>
      <c r="BT532" s="695"/>
      <c r="BU532" s="9" t="str">
        <f t="shared" si="2572"/>
        <v>NA</v>
      </c>
      <c r="BV532" s="43"/>
      <c r="BW532" s="722"/>
      <c r="BX532" s="722"/>
      <c r="BY532"/>
      <c r="BZ532"/>
      <c r="CA532"/>
      <c r="CB532"/>
      <c r="CC532"/>
      <c r="CD532"/>
    </row>
    <row r="533" spans="1:83" s="2" customFormat="1" ht="12.75" customHeight="1" collapsed="1" x14ac:dyDescent="0.2">
      <c r="A533" s="66"/>
      <c r="B533" s="67"/>
      <c r="C533" s="695"/>
      <c r="D533" s="9"/>
      <c r="E533" s="695"/>
      <c r="F533" s="9"/>
      <c r="G533" s="695"/>
      <c r="H533" s="9"/>
      <c r="I533" s="695"/>
      <c r="J533" s="9"/>
      <c r="K533" s="695"/>
      <c r="L533" s="9"/>
      <c r="M533" s="695"/>
      <c r="N533" s="9"/>
      <c r="O533" s="695"/>
      <c r="P533" s="43"/>
      <c r="Q533" s="695"/>
      <c r="R533" s="43"/>
      <c r="S533" s="695"/>
      <c r="T533" s="43"/>
      <c r="U533" s="695"/>
      <c r="V533" s="43"/>
      <c r="W533" s="695"/>
      <c r="X533" s="43"/>
      <c r="Y533" s="695"/>
      <c r="Z533" s="43"/>
      <c r="AA533" s="695"/>
      <c r="AB533" s="43"/>
      <c r="AC533" s="695"/>
      <c r="AD533" s="43"/>
      <c r="AE533" s="695"/>
      <c r="AF533" s="43"/>
      <c r="AG533" s="695"/>
      <c r="AH533" s="9"/>
      <c r="AI533" s="695"/>
      <c r="AJ533" s="9"/>
      <c r="AK533" s="695"/>
      <c r="AL533" s="9"/>
      <c r="AM533" s="695"/>
      <c r="AN533" s="9"/>
      <c r="AO533" s="695"/>
      <c r="AP533" s="9"/>
      <c r="AQ533" s="695"/>
      <c r="AR533" s="9"/>
      <c r="AS533" s="695"/>
      <c r="AT533" s="9"/>
      <c r="AU533" s="695"/>
      <c r="AV533" s="9"/>
      <c r="AW533" s="695"/>
      <c r="AX533" s="9"/>
      <c r="AY533" s="287"/>
      <c r="AZ533" s="68"/>
      <c r="BA533" s="9"/>
      <c r="BB533" s="695"/>
      <c r="BC533" s="9"/>
      <c r="BD533" s="912"/>
      <c r="BE533" s="9"/>
      <c r="BF533" s="695"/>
      <c r="BG533" s="9"/>
      <c r="BH533" s="695"/>
      <c r="BI533" s="9"/>
      <c r="BJ533" s="695"/>
      <c r="BK533" s="9"/>
      <c r="BL533" s="695"/>
      <c r="BM533" s="9"/>
      <c r="BN533" s="695"/>
      <c r="BO533" s="9"/>
      <c r="BP533" s="695"/>
      <c r="BQ533" s="9"/>
      <c r="BR533" s="695"/>
      <c r="BS533" s="9"/>
      <c r="BT533" s="695"/>
      <c r="BU533" s="9"/>
      <c r="BV533" s="722"/>
      <c r="BW533" s="722"/>
      <c r="BX533" s="722"/>
      <c r="BY533"/>
      <c r="BZ533"/>
      <c r="CA533"/>
      <c r="CB533"/>
      <c r="CC533"/>
      <c r="CD533"/>
    </row>
    <row r="534" spans="1:83" s="7" customFormat="1" ht="12.75" customHeight="1" x14ac:dyDescent="0.2">
      <c r="A534" s="80"/>
      <c r="B534" s="62" t="s">
        <v>59</v>
      </c>
      <c r="C534" s="693">
        <f>C499+C412</f>
        <v>0</v>
      </c>
      <c r="D534" s="9" t="str">
        <f>IF(ISERROR(C534/#REF!),"NA",IF(OR(C534/#REF!&gt;2,C534/#REF!&lt;0.5),"NM",C534/#REF!*100-100))</f>
        <v>NA</v>
      </c>
      <c r="E534" s="693">
        <f>E499+E412</f>
        <v>0</v>
      </c>
      <c r="F534" s="9" t="str">
        <f>IF(ISERROR(E534/#REF!),"NA",IF(OR(E534/#REF!&gt;2,E534/#REF!&lt;0.5),"NM",E534/#REF!*100-100))</f>
        <v>NA</v>
      </c>
      <c r="G534" s="693">
        <f>G499+G412</f>
        <v>0</v>
      </c>
      <c r="H534" s="9" t="str">
        <f>IF(ISERROR(G534/#REF!),"NA",IF(OR(G534/#REF!&gt;2,G534/#REF!&lt;0.5),"NM",G534/#REF!*100-100))</f>
        <v>NA</v>
      </c>
      <c r="I534" s="693">
        <f>I499+I412</f>
        <v>4.615384615384615</v>
      </c>
      <c r="J534" s="9" t="str">
        <f>IF(ISERROR(I534/#REF!),"NA",IF(OR(I534/#REF!&gt;2,I534/#REF!&lt;0.5),"NM",I534/#REF!*100-100))</f>
        <v>NA</v>
      </c>
      <c r="K534" s="693">
        <f>K499+K412</f>
        <v>0</v>
      </c>
      <c r="L534" s="9" t="str">
        <f>IF(ISERROR(K534/C534),"NA",IF(OR(K534/C534&gt;2,K534/C534&lt;0.5),"NM",K534/C534*100-100))</f>
        <v>NA</v>
      </c>
      <c r="M534" s="693">
        <f>M499+M412</f>
        <v>0</v>
      </c>
      <c r="N534" s="9" t="str">
        <f>IF(ISERROR(M534/E534),"NA",IF(OR(M534/E534&gt;2,M534/E534&lt;0.5),"NM",M534/E534*100-100))</f>
        <v>NA</v>
      </c>
      <c r="O534" s="693">
        <f>O499+O412</f>
        <v>60</v>
      </c>
      <c r="P534" s="43" t="str">
        <f t="shared" si="2504"/>
        <v>NA</v>
      </c>
      <c r="Q534" s="693">
        <f>Q499+Q412</f>
        <v>0</v>
      </c>
      <c r="R534" s="43" t="str">
        <f t="shared" si="2504"/>
        <v>NM</v>
      </c>
      <c r="S534" s="693">
        <f>S499+S412</f>
        <v>4.615384615384615</v>
      </c>
      <c r="T534" s="43" t="str">
        <f t="shared" si="2504"/>
        <v>NA</v>
      </c>
      <c r="U534" s="693">
        <f>U499+U412</f>
        <v>0</v>
      </c>
      <c r="V534" s="43" t="str">
        <f t="shared" si="2504"/>
        <v>NA</v>
      </c>
      <c r="W534" s="693">
        <f>W499+W412</f>
        <v>77.384615384615387</v>
      </c>
      <c r="X534" s="43">
        <f t="shared" si="2504"/>
        <v>28.974358974358978</v>
      </c>
      <c r="Y534" s="693">
        <f>Y499+Y412</f>
        <v>0</v>
      </c>
      <c r="Z534" s="43" t="str">
        <f t="shared" si="2504"/>
        <v>NA</v>
      </c>
      <c r="AA534" s="693">
        <f>AA499+AA412</f>
        <v>0</v>
      </c>
      <c r="AB534" s="43" t="str">
        <f t="shared" si="2504"/>
        <v>NM</v>
      </c>
      <c r="AC534" s="693">
        <f>AC499+AC412</f>
        <v>0</v>
      </c>
      <c r="AD534" s="43" t="str">
        <f t="shared" si="2504"/>
        <v>NA</v>
      </c>
      <c r="AE534" s="693">
        <f>AE499+AE412</f>
        <v>-25.300000000000004</v>
      </c>
      <c r="AF534" s="43" t="str">
        <f t="shared" ref="AF534:AF536" si="2573">IF(ISERROR(AE534/W534),"NA",IF(OR(AE534/W534&gt;2,AE534/W534&lt;0.5),"NM",AE534/W534*100-100))</f>
        <v>NM</v>
      </c>
      <c r="AG534" s="693">
        <f>AG499+AG412</f>
        <v>5</v>
      </c>
      <c r="AH534" s="9" t="str">
        <f>IF(ISERROR(AG534/Y534),"NA",IF(OR(AG534/Y534&gt;2,AG534/Y534&lt;0.5),"NM",AG534/Y534*100-100))</f>
        <v>NA</v>
      </c>
      <c r="AI534" s="693">
        <f>AI499+AI412</f>
        <v>0</v>
      </c>
      <c r="AJ534" s="9" t="str">
        <f t="shared" ref="AJ534:AJ536" si="2574">IF(ISERROR(AI534/AA534),"NA",IF(OR(AI534/AA534&gt;2,AI534/AA534&lt;0.5),"NM",AI534/AA534*100-100))</f>
        <v>NA</v>
      </c>
      <c r="AK534" s="693">
        <f>AK499+AK412</f>
        <v>3</v>
      </c>
      <c r="AL534" s="9" t="str">
        <f t="shared" ref="AL534:AL536" si="2575">IF(ISERROR(AK534/AC534),"NA",IF(OR(AK534/AC534&gt;2,AK534/AC534&lt;0.5),"NM",AK534/AC534*100-100))</f>
        <v>NA</v>
      </c>
      <c r="AM534" s="693">
        <f>AM499+AM412</f>
        <v>-33</v>
      </c>
      <c r="AN534" s="9">
        <f t="shared" ref="AN534:AN536" si="2576">IF(ISERROR(AM534/AE534),"NA",IF(OR(AM534/AE534&gt;2,AM534/AE534&lt;0.5),"NM",AM534/AE534*100-100))</f>
        <v>30.434782608695627</v>
      </c>
      <c r="AO534" s="693">
        <f>AO499+AO412</f>
        <v>0</v>
      </c>
      <c r="AP534" s="9" t="str">
        <f t="shared" ref="AP534:AP536" si="2577">IF(ISERROR(AO534/AG534),"NA",IF(OR(AO534/AG534&gt;2,AO534/AG534&lt;0.5),"NM",AO534/AG534*100-100))</f>
        <v>NM</v>
      </c>
      <c r="AQ534" s="693">
        <f t="shared" ref="AQ534" si="2578">AQ499+AQ412</f>
        <v>0</v>
      </c>
      <c r="AR534" s="9" t="str">
        <f t="shared" ref="AR534:AR536" si="2579">IF(ISERROR(AQ534/AI534),"NA",IF(OR(AQ534/AI534&gt;2,AQ534/AI534&lt;0.5),"NM",AQ534/AI534*100-100))</f>
        <v>NA</v>
      </c>
      <c r="AS534" s="693">
        <f t="shared" ref="AS534" si="2580">AS499+AS412</f>
        <v>0</v>
      </c>
      <c r="AT534" s="9" t="str">
        <f t="shared" ref="AT534:AT536" si="2581">IF(ISERROR(AS534/AK534),"NA",IF(OR(AS534/AK534&gt;2,AS534/AK534&lt;0.5),"NM",AS534/AK534*100-100))</f>
        <v>NM</v>
      </c>
      <c r="AU534" s="693">
        <f t="shared" ref="AU534" si="2582">AU499+AU412</f>
        <v>0</v>
      </c>
      <c r="AV534" s="9" t="str">
        <f t="shared" ref="AV534:AV536" si="2583">IF(ISERROR(AU534/AM534),"NA",IF(OR(AU534/AM534&gt;2,AU534/AM534&lt;0.5),"NM",AU534/AM534*100-100))</f>
        <v>NM</v>
      </c>
      <c r="AW534" s="693">
        <f t="shared" ref="AW534" si="2584">AW499+AW412</f>
        <v>0</v>
      </c>
      <c r="AX534" s="9" t="str">
        <f t="shared" ref="AX534:AX536" si="2585">IF(ISERROR(AW534/AO534),"NA",IF(OR(AW534/AO534&gt;2,AW534/AO534&lt;0.5),"NM",AW534/AO534*100-100))</f>
        <v>NA</v>
      </c>
      <c r="AY534" s="287"/>
      <c r="AZ534" s="68"/>
      <c r="BA534" s="9" t="str">
        <f>IF(ISERROR(#REF!/#REF!),"NA",IF(OR(#REF!/#REF!&gt;2,#REF!/#REF!&lt;0.5),"NM",#REF!/#REF!*100-100))</f>
        <v>NA</v>
      </c>
      <c r="BB534" s="693">
        <f>BB499+BB412</f>
        <v>4.615384615384615</v>
      </c>
      <c r="BC534" s="9" t="str">
        <f>IF(ISERROR(BB534/#REF!),"NA",IF(OR(BB534/#REF!&gt;2,BB534/#REF!&lt;0.5),"NM",BB534/#REF!*100-100))</f>
        <v>NA</v>
      </c>
      <c r="BD534" s="948">
        <f>BD499+BD412</f>
        <v>60</v>
      </c>
      <c r="BE534" s="9" t="str">
        <f t="shared" si="2571"/>
        <v>NM</v>
      </c>
      <c r="BF534" s="693">
        <f>BF499+BF412</f>
        <v>82</v>
      </c>
      <c r="BG534" s="9">
        <f t="shared" si="2571"/>
        <v>36.666666666666657</v>
      </c>
      <c r="BH534" s="693">
        <f>BH499+BH412</f>
        <v>-20.300000000000004</v>
      </c>
      <c r="BI534" s="9" t="str">
        <f t="shared" si="2571"/>
        <v>NM</v>
      </c>
      <c r="BJ534" s="693">
        <f>BJ499+BJ412</f>
        <v>-30</v>
      </c>
      <c r="BK534" s="9">
        <f t="shared" si="2571"/>
        <v>47.783251231527061</v>
      </c>
      <c r="BL534" s="693">
        <f>BL499+BL412</f>
        <v>0</v>
      </c>
      <c r="BM534" s="9" t="str">
        <f t="shared" si="2571"/>
        <v>NM</v>
      </c>
      <c r="BN534" s="693">
        <f>BN499+BN412</f>
        <v>0</v>
      </c>
      <c r="BO534" s="9" t="str">
        <f t="shared" si="2571"/>
        <v>NA</v>
      </c>
      <c r="BP534" s="693">
        <f>BP499+BP412</f>
        <v>0</v>
      </c>
      <c r="BQ534" s="9" t="str">
        <f t="shared" si="2571"/>
        <v>NA</v>
      </c>
      <c r="BR534" s="693">
        <f>BR499+BR412</f>
        <v>0</v>
      </c>
      <c r="BS534" s="9" t="str">
        <f t="shared" si="2571"/>
        <v>NA</v>
      </c>
      <c r="BT534" s="693">
        <f>BT499+BT412</f>
        <v>0</v>
      </c>
      <c r="BU534" s="9" t="str">
        <f t="shared" ref="BU534:BU536" si="2586">IF(ISERROR(BT534/BR534),"NA",IF(OR(BT534/BR534&gt;2,BT534/BR534&lt;0.5),"NM",BT534/BR534*100-100))</f>
        <v>NA</v>
      </c>
      <c r="BV534" s="43" t="str">
        <f>IF(ISERROR(((BT534/BJ534)^0.2-1)*100),"NA",IF((((BT534/BJ534)^0.2-1)*100)&gt;100,"NM",IF((((BT534/BJ534)^0.2-1)*100)&lt;-50,"NM",((BT534/BJ534)^0.2-1)*100)))</f>
        <v>NM</v>
      </c>
      <c r="BW534" s="722"/>
      <c r="BX534" s="722"/>
      <c r="BY534"/>
      <c r="BZ534"/>
      <c r="CA534"/>
      <c r="CB534"/>
      <c r="CC534"/>
      <c r="CD534"/>
      <c r="CE534" s="2"/>
    </row>
    <row r="535" spans="1:83" s="7" customFormat="1" ht="12.75" hidden="1" customHeight="1" outlineLevel="1" x14ac:dyDescent="0.2">
      <c r="A535" s="42"/>
      <c r="B535" s="67" t="s">
        <v>60</v>
      </c>
      <c r="C535" s="695">
        <f>C532-C534</f>
        <v>35.70000000000001</v>
      </c>
      <c r="D535" s="9" t="str">
        <f>IF(ISERROR(C535/#REF!),"NA",IF(OR(C535/#REF!&gt;2,C535/#REF!&lt;0.5),"NM",C535/#REF!*100-100))</f>
        <v>NA</v>
      </c>
      <c r="E535" s="695">
        <f>E532-E534</f>
        <v>47.199999999999989</v>
      </c>
      <c r="F535" s="9" t="str">
        <f>IF(ISERROR(E535/#REF!),"NA",IF(OR(E535/#REF!&gt;2,E535/#REF!&lt;0.5),"NM",E535/#REF!*100-100))</f>
        <v>NA</v>
      </c>
      <c r="G535" s="695">
        <f>G532-G534</f>
        <v>54.000000000000099</v>
      </c>
      <c r="H535" s="9" t="str">
        <f>IF(ISERROR(G535/#REF!),"NA",IF(OR(G535/#REF!&gt;2,G535/#REF!&lt;0.5),"NM",G535/#REF!*100-100))</f>
        <v>NA</v>
      </c>
      <c r="I535" s="695">
        <f>I532-I534</f>
        <v>55.084615384615304</v>
      </c>
      <c r="J535" s="9" t="str">
        <f>IF(ISERROR(I535/#REF!),"NA",IF(OR(I535/#REF!&gt;2,I535/#REF!&lt;0.5),"NM",I535/#REF!*100-100))</f>
        <v>NA</v>
      </c>
      <c r="K535" s="695">
        <f>K532-K534</f>
        <v>43.400000000000105</v>
      </c>
      <c r="L535" s="9">
        <f>IF(ISERROR(K535/C535),"NA",IF(OR(K535/C535&gt;2,K535/C535&lt;0.5),"NM",K535/C535*100-100))</f>
        <v>21.568627450980642</v>
      </c>
      <c r="M535" s="695">
        <f>M532-M534</f>
        <v>48.999999999999986</v>
      </c>
      <c r="N535" s="9">
        <f>IF(ISERROR(M535/E535),"NA",IF(OR(M535/E535&gt;2,M535/E535&lt;0.5),"NM",M535/E535*100-100))</f>
        <v>3.8135593220338819</v>
      </c>
      <c r="O535" s="695">
        <f>O532-O534</f>
        <v>23.299999999999969</v>
      </c>
      <c r="P535" s="43" t="str">
        <f t="shared" si="2504"/>
        <v>NM</v>
      </c>
      <c r="Q535" s="695"/>
      <c r="R535" s="43" t="str">
        <f t="shared" si="2504"/>
        <v>NM</v>
      </c>
      <c r="S535" s="695"/>
      <c r="T535" s="43" t="str">
        <f t="shared" si="2504"/>
        <v>NM</v>
      </c>
      <c r="U535" s="695"/>
      <c r="V535" s="43" t="str">
        <f t="shared" si="2504"/>
        <v>NM</v>
      </c>
      <c r="W535" s="695"/>
      <c r="X535" s="43" t="str">
        <f t="shared" si="2504"/>
        <v>NM</v>
      </c>
      <c r="Y535" s="695"/>
      <c r="Z535" s="43" t="str">
        <f t="shared" si="2504"/>
        <v>NA</v>
      </c>
      <c r="AA535" s="695"/>
      <c r="AB535" s="43" t="str">
        <f t="shared" si="2504"/>
        <v>NA</v>
      </c>
      <c r="AC535" s="695"/>
      <c r="AD535" s="43" t="str">
        <f t="shared" si="2504"/>
        <v>NA</v>
      </c>
      <c r="AE535" s="695"/>
      <c r="AF535" s="43" t="str">
        <f t="shared" si="2573"/>
        <v>NA</v>
      </c>
      <c r="AG535" s="695"/>
      <c r="AH535" s="9" t="str">
        <f>IF(ISERROR(AG535/Y535),"NA",IF(OR(AG535/Y535&gt;2,AG535/Y535&lt;0.5),"NM",AG535/Y535*100-100))</f>
        <v>NA</v>
      </c>
      <c r="AI535" s="695"/>
      <c r="AJ535" s="9" t="str">
        <f t="shared" si="2574"/>
        <v>NA</v>
      </c>
      <c r="AK535" s="695"/>
      <c r="AL535" s="9" t="str">
        <f t="shared" si="2575"/>
        <v>NA</v>
      </c>
      <c r="AM535" s="695"/>
      <c r="AN535" s="9" t="str">
        <f t="shared" si="2576"/>
        <v>NA</v>
      </c>
      <c r="AO535" s="695"/>
      <c r="AP535" s="9" t="str">
        <f t="shared" si="2577"/>
        <v>NA</v>
      </c>
      <c r="AQ535" s="695"/>
      <c r="AR535" s="9" t="str">
        <f t="shared" si="2579"/>
        <v>NA</v>
      </c>
      <c r="AS535" s="695"/>
      <c r="AT535" s="9" t="str">
        <f t="shared" si="2581"/>
        <v>NA</v>
      </c>
      <c r="AU535" s="695"/>
      <c r="AV535" s="9" t="str">
        <f t="shared" si="2583"/>
        <v>NA</v>
      </c>
      <c r="AW535" s="695"/>
      <c r="AX535" s="9" t="str">
        <f t="shared" si="2585"/>
        <v>NA</v>
      </c>
      <c r="AY535" s="287"/>
      <c r="AZ535" s="68"/>
      <c r="BA535" s="9" t="str">
        <f>IF(ISERROR(#REF!/#REF!),"NA",IF(OR(#REF!/#REF!&gt;2,#REF!/#REF!&lt;0.5),"NM",#REF!/#REF!*100-100))</f>
        <v>NA</v>
      </c>
      <c r="BB535" s="695">
        <f>BB532-BB534</f>
        <v>-4.615384615384615</v>
      </c>
      <c r="BC535" s="9" t="str">
        <f>IF(ISERROR(BB535/#REF!),"NA",IF(OR(BB535/#REF!&gt;2,BB535/#REF!&lt;0.5),"NM",BB535/#REF!*100-100))</f>
        <v>NA</v>
      </c>
      <c r="BD535" s="912">
        <f>BD532-BD534</f>
        <v>-60</v>
      </c>
      <c r="BE535" s="9" t="str">
        <f t="shared" si="2571"/>
        <v>NM</v>
      </c>
      <c r="BF535" s="695">
        <f>BF532-BF534</f>
        <v>-82</v>
      </c>
      <c r="BG535" s="9">
        <f t="shared" si="2571"/>
        <v>36.666666666666657</v>
      </c>
      <c r="BH535" s="695">
        <f>BH532-BH534</f>
        <v>20.300000000000004</v>
      </c>
      <c r="BI535" s="9" t="str">
        <f t="shared" si="2571"/>
        <v>NM</v>
      </c>
      <c r="BJ535" s="695">
        <f>BJ532-BJ534</f>
        <v>30</v>
      </c>
      <c r="BK535" s="9">
        <f t="shared" si="2571"/>
        <v>47.783251231527061</v>
      </c>
      <c r="BL535" s="695">
        <f>BL532-BL534</f>
        <v>0</v>
      </c>
      <c r="BM535" s="9" t="str">
        <f t="shared" si="2571"/>
        <v>NM</v>
      </c>
      <c r="BN535" s="695">
        <f>BN532-BN534</f>
        <v>0</v>
      </c>
      <c r="BO535" s="9" t="str">
        <f t="shared" si="2571"/>
        <v>NA</v>
      </c>
      <c r="BP535" s="695">
        <f>BP532-BP534</f>
        <v>0</v>
      </c>
      <c r="BQ535" s="9" t="str">
        <f t="shared" si="2571"/>
        <v>NA</v>
      </c>
      <c r="BR535" s="695">
        <f>BR532-BR534</f>
        <v>0</v>
      </c>
      <c r="BS535" s="9" t="str">
        <f t="shared" si="2571"/>
        <v>NA</v>
      </c>
      <c r="BT535" s="695">
        <f>BT532-BT534</f>
        <v>0</v>
      </c>
      <c r="BU535" s="9" t="str">
        <f t="shared" si="2586"/>
        <v>NA</v>
      </c>
      <c r="BV535" s="43" t="str">
        <f>IF(ISERROR(((BT535/BJ535)^0.2-1)*100),"NA",IF((((BT535/BJ535)^0.2-1)*100)&gt;100,"NM",IF((((BT535/BJ535)^0.2-1)*100)&lt;-50,"NM",((BT535/BJ535)^0.2-1)*100)))</f>
        <v>NM</v>
      </c>
      <c r="BW535" s="722"/>
      <c r="BX535" s="722"/>
      <c r="BY535"/>
      <c r="BZ535"/>
      <c r="CA535"/>
      <c r="CB535"/>
      <c r="CC535"/>
      <c r="CD535"/>
      <c r="CE535" s="2"/>
    </row>
    <row r="536" spans="1:83" s="2" customFormat="1" ht="12.75" customHeight="1" collapsed="1" x14ac:dyDescent="0.2">
      <c r="A536" s="41"/>
      <c r="B536" s="67" t="s">
        <v>466</v>
      </c>
      <c r="C536" s="695">
        <f>C414+C500</f>
        <v>51.800000000000011</v>
      </c>
      <c r="D536" s="9" t="str">
        <f>IF(ISERROR(C536/#REF!),"NA",IF(OR(C536/#REF!&gt;2,C536/#REF!&lt;0.5),"NM",C536/#REF!*100-100))</f>
        <v>NA</v>
      </c>
      <c r="E536" s="695">
        <f>E414+E500</f>
        <v>69.699999999999989</v>
      </c>
      <c r="F536" s="9" t="str">
        <f>IF(ISERROR(E536/#REF!),"NA",IF(OR(E536/#REF!&gt;2,E536/#REF!&lt;0.5),"NM",E536/#REF!*100-100))</f>
        <v>NA</v>
      </c>
      <c r="G536" s="695">
        <f>G414+G500</f>
        <v>80.200000000000102</v>
      </c>
      <c r="H536" s="9" t="str">
        <f>IF(ISERROR(G536/#REF!),"NA",IF(OR(G536/#REF!&gt;2,G536/#REF!&lt;0.5),"NM",G536/#REF!*100-100))</f>
        <v>NA</v>
      </c>
      <c r="I536" s="695">
        <f>I414+I500</f>
        <v>84.284615384615307</v>
      </c>
      <c r="J536" s="9" t="str">
        <f>IF(ISERROR(I536/#REF!),"NA",IF(OR(I536/#REF!&gt;2,I536/#REF!&lt;0.5),"NM",I536/#REF!*100-100))</f>
        <v>NA</v>
      </c>
      <c r="K536" s="695">
        <f>K414+K500</f>
        <v>62.700000000000102</v>
      </c>
      <c r="L536" s="9">
        <f>IF(ISERROR(K536/C536),"NA",IF(OR(K536/C536&gt;2,K536/C536&lt;0.5),"NM",K536/C536*100-100))</f>
        <v>21.042471042471206</v>
      </c>
      <c r="M536" s="695">
        <f>M414+M500</f>
        <v>73.199999999999989</v>
      </c>
      <c r="N536" s="9">
        <f>IF(ISERROR(M536/E536),"NA",IF(OR(M536/E536&gt;2,M536/E536&lt;0.5),"NM",M536/E536*100-100))</f>
        <v>5.0215208034433374</v>
      </c>
      <c r="O536" s="695">
        <f>O529-O534</f>
        <v>65.099999999999966</v>
      </c>
      <c r="P536" s="43">
        <f t="shared" si="2504"/>
        <v>-18.827930174563733</v>
      </c>
      <c r="Q536" s="695">
        <f>Q529-Q534</f>
        <v>83.100000000000023</v>
      </c>
      <c r="R536" s="43">
        <f t="shared" si="2504"/>
        <v>-1.4054942046179235</v>
      </c>
      <c r="S536" s="695">
        <f t="shared" ref="S536:U536" si="2587">S529-S534</f>
        <v>77.284615384615478</v>
      </c>
      <c r="T536" s="43">
        <f t="shared" si="2504"/>
        <v>23.260949576738994</v>
      </c>
      <c r="U536" s="695">
        <f t="shared" si="2587"/>
        <v>88.100000000000023</v>
      </c>
      <c r="V536" s="43">
        <f t="shared" si="2504"/>
        <v>20.355191256830651</v>
      </c>
      <c r="W536" s="695">
        <f>W529-W534</f>
        <v>95.51538461538459</v>
      </c>
      <c r="X536" s="43">
        <f t="shared" si="2504"/>
        <v>46.721020914569323</v>
      </c>
      <c r="Y536" s="695">
        <f>Y529-Y534</f>
        <v>86.600000000000023</v>
      </c>
      <c r="Z536" s="43">
        <f t="shared" si="2504"/>
        <v>4.2117930204572929</v>
      </c>
      <c r="AA536" s="695">
        <f>AA529-AA534</f>
        <v>80.499999999999943</v>
      </c>
      <c r="AB536" s="43">
        <f t="shared" si="2504"/>
        <v>4.1604459042498263</v>
      </c>
      <c r="AC536" s="695">
        <f>AC529-AC534</f>
        <v>103.60000000000008</v>
      </c>
      <c r="AD536" s="43">
        <f t="shared" si="2504"/>
        <v>17.593643586833196</v>
      </c>
      <c r="AE536" s="695">
        <f>AE529-AE534</f>
        <v>95.500000000000171</v>
      </c>
      <c r="AF536" s="43">
        <f t="shared" si="2573"/>
        <v>-1.6106950148781607E-2</v>
      </c>
      <c r="AG536" s="695">
        <f>AG529-AG534</f>
        <v>101.89999999999998</v>
      </c>
      <c r="AH536" s="9">
        <f>IF(ISERROR(AG536/Y536),"NA",IF(OR(AG536/Y536&gt;2,AG536/Y536&lt;0.5),"NM",AG536/Y536*100-100))</f>
        <v>17.66743648960734</v>
      </c>
      <c r="AI536" s="695">
        <f>AI529-AI534</f>
        <v>86.199999999999989</v>
      </c>
      <c r="AJ536" s="9">
        <f t="shared" si="2574"/>
        <v>7.0807453416149571</v>
      </c>
      <c r="AK536" s="695">
        <f>AK529-AK534</f>
        <v>101.39999999999998</v>
      </c>
      <c r="AL536" s="9">
        <f t="shared" si="2575"/>
        <v>-2.1235521235522157</v>
      </c>
      <c r="AM536" s="695">
        <f>AM529-AM534</f>
        <v>116.19999999999999</v>
      </c>
      <c r="AN536" s="9">
        <f t="shared" si="2576"/>
        <v>21.675392670156839</v>
      </c>
      <c r="AO536" s="695">
        <f>AO529-AO534</f>
        <v>110.89999999999992</v>
      </c>
      <c r="AP536" s="9">
        <f t="shared" si="2577"/>
        <v>8.8321884200195768</v>
      </c>
      <c r="AQ536" s="695">
        <f t="shared" ref="AQ536:AW536" si="2588">AQ529-AQ534</f>
        <v>93.558349284956023</v>
      </c>
      <c r="AR536" s="9">
        <f t="shared" si="2579"/>
        <v>8.5363680799953983</v>
      </c>
      <c r="AS536" s="695">
        <f t="shared" si="2588"/>
        <v>105.43637033023407</v>
      </c>
      <c r="AT536" s="9">
        <f t="shared" si="2581"/>
        <v>3.9806413513156826</v>
      </c>
      <c r="AU536" s="695">
        <f t="shared" si="2588"/>
        <v>118.68761292129153</v>
      </c>
      <c r="AV536" s="9">
        <f t="shared" si="2583"/>
        <v>2.1408028582543324</v>
      </c>
      <c r="AW536" s="695">
        <f t="shared" si="2588"/>
        <v>126.20979167638234</v>
      </c>
      <c r="AX536" s="9">
        <f t="shared" si="2585"/>
        <v>13.805042088712739</v>
      </c>
      <c r="AY536" s="287"/>
      <c r="AZ536" s="15"/>
      <c r="BA536" s="9" t="str">
        <f>IF(ISERROR(#REF!/#REF!),"NA",IF(OR(#REF!/#REF!&gt;2,#REF!/#REF!&lt;0.5),"NM",#REF!/#REF!*100-100))</f>
        <v>NA</v>
      </c>
      <c r="BB536" s="695">
        <f t="shared" ref="BB536" si="2589">BB529-BB534</f>
        <v>285.98461538461527</v>
      </c>
      <c r="BC536" s="9" t="str">
        <f>IF(ISERROR(BB536/#REF!),"NA",IF(OR(BB536/#REF!&gt;2,BB536/#REF!&lt;0.5),"NM",BB536/#REF!*100-100))</f>
        <v>NA</v>
      </c>
      <c r="BD536" s="912">
        <f>BD529-BD534</f>
        <v>284.09999999999991</v>
      </c>
      <c r="BE536" s="9">
        <f t="shared" si="2571"/>
        <v>-0.65899187691644556</v>
      </c>
      <c r="BF536" s="695">
        <f t="shared" ref="BF536:BP536" si="2590">BF529-BF534</f>
        <v>347.5</v>
      </c>
      <c r="BG536" s="9">
        <f t="shared" si="2571"/>
        <v>22.316085885251709</v>
      </c>
      <c r="BH536" s="695">
        <f t="shared" si="2590"/>
        <v>381.49999999999983</v>
      </c>
      <c r="BI536" s="9">
        <f t="shared" si="2571"/>
        <v>9.784172661870457</v>
      </c>
      <c r="BJ536" s="695">
        <f t="shared" ref="BJ536" si="2591">BJ529-BJ534</f>
        <v>414.69999999999959</v>
      </c>
      <c r="BK536" s="9">
        <f t="shared" si="2571"/>
        <v>8.702490170380031</v>
      </c>
      <c r="BL536" s="695">
        <f t="shared" ref="BL536" si="2592">BL529-BL534</f>
        <v>443.89212421286425</v>
      </c>
      <c r="BM536" s="9">
        <f t="shared" si="2571"/>
        <v>7.0393354745272916</v>
      </c>
      <c r="BN536" s="695">
        <f t="shared" si="2590"/>
        <v>467.01769667109488</v>
      </c>
      <c r="BO536" s="9">
        <f t="shared" si="2571"/>
        <v>5.2097280390451317</v>
      </c>
      <c r="BP536" s="695">
        <f t="shared" si="2590"/>
        <v>478.64560724496778</v>
      </c>
      <c r="BQ536" s="9">
        <f t="shared" si="2571"/>
        <v>2.4898222608600804</v>
      </c>
      <c r="BR536" s="695">
        <f t="shared" ref="BR536:BT536" si="2593">BR529-BR534</f>
        <v>492.17283466991989</v>
      </c>
      <c r="BS536" s="9">
        <f t="shared" si="2571"/>
        <v>2.8261467817104489</v>
      </c>
      <c r="BT536" s="695">
        <f t="shared" si="2593"/>
        <v>505.70221585350532</v>
      </c>
      <c r="BU536" s="9">
        <f t="shared" si="2586"/>
        <v>2.7489085602741596</v>
      </c>
      <c r="BV536" s="43">
        <f>IF(ISERROR(((BT536/BJ536)^0.2-1)*100),"NA",IF((((BT536/BJ536)^0.2-1)*100)&gt;100,"NM",IF((((BT536/BJ536)^0.2-1)*100)&lt;-50,"NM",((BT536/BJ536)^0.2-1)*100)))</f>
        <v>4.0476232821101243</v>
      </c>
      <c r="BW536" s="722"/>
      <c r="BX536" s="722"/>
      <c r="BY536"/>
      <c r="BZ536"/>
      <c r="CA536"/>
      <c r="CB536"/>
      <c r="CC536"/>
      <c r="CD536"/>
    </row>
    <row r="537" spans="1:83" s="2" customFormat="1" ht="12.75" customHeight="1" x14ac:dyDescent="0.2">
      <c r="A537" s="41"/>
      <c r="B537" s="67"/>
      <c r="C537" s="696"/>
      <c r="D537" s="9"/>
      <c r="E537" s="696"/>
      <c r="F537" s="9"/>
      <c r="G537" s="696"/>
      <c r="H537" s="9"/>
      <c r="I537" s="696"/>
      <c r="J537" s="9"/>
      <c r="K537" s="696"/>
      <c r="L537" s="9"/>
      <c r="M537" s="696"/>
      <c r="N537" s="9"/>
      <c r="O537" s="696"/>
      <c r="P537" s="43"/>
      <c r="Q537" s="696"/>
      <c r="R537" s="43"/>
      <c r="S537" s="696"/>
      <c r="T537" s="43"/>
      <c r="U537" s="696"/>
      <c r="V537" s="43"/>
      <c r="W537" s="696"/>
      <c r="X537" s="43"/>
      <c r="Y537" s="696"/>
      <c r="Z537" s="43"/>
      <c r="AA537" s="696"/>
      <c r="AB537" s="43"/>
      <c r="AC537" s="696"/>
      <c r="AD537" s="43"/>
      <c r="AE537" s="696"/>
      <c r="AF537" s="43"/>
      <c r="AG537" s="696"/>
      <c r="AH537" s="9"/>
      <c r="AI537" s="696"/>
      <c r="AJ537" s="9"/>
      <c r="AK537" s="696"/>
      <c r="AL537" s="9"/>
      <c r="AM537" s="696"/>
      <c r="AN537" s="9"/>
      <c r="AO537" s="696"/>
      <c r="AP537" s="9"/>
      <c r="AQ537" s="696"/>
      <c r="AR537" s="9"/>
      <c r="AS537" s="696"/>
      <c r="AT537" s="9"/>
      <c r="AU537" s="696"/>
      <c r="AV537" s="9"/>
      <c r="AW537" s="696"/>
      <c r="AX537" s="9"/>
      <c r="AY537" s="287"/>
      <c r="AZ537" s="79"/>
      <c r="BA537" s="228"/>
      <c r="BB537" s="696"/>
      <c r="BC537" s="9"/>
      <c r="BD537" s="923"/>
      <c r="BE537" s="9"/>
      <c r="BF537" s="696"/>
      <c r="BG537" s="9"/>
      <c r="BH537" s="696"/>
      <c r="BI537" s="9"/>
      <c r="BJ537" s="696"/>
      <c r="BK537" s="9"/>
      <c r="BL537" s="696"/>
      <c r="BM537" s="9"/>
      <c r="BN537" s="696"/>
      <c r="BO537" s="9"/>
      <c r="BP537" s="696"/>
      <c r="BQ537" s="9"/>
      <c r="BR537" s="696"/>
      <c r="BS537" s="9"/>
      <c r="BT537" s="696"/>
      <c r="BU537" s="9"/>
      <c r="BV537" s="722"/>
      <c r="BW537" s="722"/>
      <c r="BX537" s="722"/>
      <c r="BY537"/>
      <c r="BZ537"/>
      <c r="CA537"/>
      <c r="CB537"/>
      <c r="CC537"/>
      <c r="CD537"/>
    </row>
    <row r="538" spans="1:83" s="2" customFormat="1" ht="12.75" customHeight="1" x14ac:dyDescent="0.2">
      <c r="A538" s="41"/>
      <c r="B538" s="42" t="s">
        <v>372</v>
      </c>
      <c r="C538" s="99">
        <f>+C529/C520*100</f>
        <v>6.6580976863753225</v>
      </c>
      <c r="D538" s="9" t="str">
        <f>IF(ISERROR(C538/#REF!),"NA",IF(OR(C538/#REF!&gt;2,C538/#REF!&lt;0.5),"NM",C538/#REF!*100-100))</f>
        <v>NA</v>
      </c>
      <c r="E538" s="99">
        <f>+E529/E520*100</f>
        <v>9.0156512740913204</v>
      </c>
      <c r="F538" s="9" t="str">
        <f>IF(ISERROR(E538/#REF!),"NA",IF(OR(E538/#REF!&gt;2,E538/#REF!&lt;0.5),"NM",E538/#REF!*100-100))</f>
        <v>NA</v>
      </c>
      <c r="G538" s="99">
        <f>+G529/G520*100</f>
        <v>10.446789110329568</v>
      </c>
      <c r="H538" s="9" t="str">
        <f>IF(ISERROR(G538/#REF!),"NA",IF(OR(G538/#REF!&gt;2,G538/#REF!&lt;0.5),"NM",G538/#REF!*100-100))</f>
        <v>NA</v>
      </c>
      <c r="I538" s="99">
        <f>+I529/I520*100</f>
        <v>11.284589997461275</v>
      </c>
      <c r="J538" s="9" t="str">
        <f>IF(ISERROR(I538/#REF!),"NA",IF(OR(I538/#REF!&gt;2,I538/#REF!&lt;0.5),"NM",I538/#REF!*100-100))</f>
        <v>NA</v>
      </c>
      <c r="K538" s="99">
        <f>+K529/K520*100</f>
        <v>7.7946295375435222</v>
      </c>
      <c r="L538" s="9">
        <f>IF(ISERROR(K538/C538),"NA",IF(OR(K538/C538&gt;2,K538/C538&lt;0.5),"NM",K538/C538*100-100))</f>
        <v>17.069918536850565</v>
      </c>
      <c r="M538" s="99">
        <f>+M529/M520*100</f>
        <v>9.0203327171903869</v>
      </c>
      <c r="N538" s="9">
        <f>IF(ISERROR(M538/E538),"NA",IF(OR(M538/E538&gt;2,M538/E538&lt;0.5),"NM",M538/E538*100-100))</f>
        <v>5.1925734001258661E-2</v>
      </c>
      <c r="O538" s="99">
        <f>+O529/O520*100</f>
        <v>15.237515225334953</v>
      </c>
      <c r="P538" s="43">
        <f>IF(ISERROR(O538/G538),"NA",IF(OR(O538/G538&gt;2,O538/G538&lt;0.5),"NM",O538/G538*100-100))</f>
        <v>45.858359582164951</v>
      </c>
      <c r="Q538" s="99">
        <f>+Q529/Q520*100</f>
        <v>10.061750817290232</v>
      </c>
      <c r="R538" s="43">
        <f>IF(ISERROR(Q538/I538),"NA",IF(OR(Q538/I538&gt;2,Q538/I538&lt;0.5),"NM",Q538/I538*100-100))</f>
        <v>-10.836363398636095</v>
      </c>
      <c r="S538" s="99">
        <f>+S529/S520*100</f>
        <v>9.5044679122664615</v>
      </c>
      <c r="T538" s="43">
        <f>IF(ISERROR(S538/K538),"NA",IF(OR(S538/K538&gt;2,S538/K538&lt;0.5),"NM",S538/K538*100-100))</f>
        <v>21.936108271565075</v>
      </c>
      <c r="U538" s="99">
        <f>+U529/U520*100</f>
        <v>10.269262151765941</v>
      </c>
      <c r="V538" s="43">
        <f>IF(ISERROR(U538/M538),"NA",IF(OR(U538/M538&gt;2,U538/M538&lt;0.5),"NM",U538/M538*100-100))</f>
        <v>13.845713608716721</v>
      </c>
      <c r="W538" s="99">
        <f>+W529/W520*100</f>
        <v>20.264885138302859</v>
      </c>
      <c r="X538" s="43">
        <f>IF(ISERROR(W538/O538),"NA",IF(OR(W538/O538&gt;2,W538/O538&lt;0.5),"NM",W538/O538*100-100))</f>
        <v>32.993370891659879</v>
      </c>
      <c r="Y538" s="99">
        <f>+Y529/Y520*100</f>
        <v>9.9769585253456246</v>
      </c>
      <c r="Z538" s="43">
        <f>IF(ISERROR(Y538/Q538),"NA",IF(OR(Y538/Q538&gt;2,Y538/Q538&lt;0.5),"NM",Y538/Q538*100-100))</f>
        <v>-0.84271906037366762</v>
      </c>
      <c r="AA538" s="99">
        <f>+AA529/AA520*100</f>
        <v>9.0358064878212971</v>
      </c>
      <c r="AB538" s="43">
        <f>IF(ISERROR(AA538/S538),"NA",IF(OR(AA538/S538&gt;2,AA538/S538&lt;0.5),"NM",AA538/S538*100-100))</f>
        <v>-4.9309590896751843</v>
      </c>
      <c r="AC538" s="99">
        <f>+AC529/AC520*100</f>
        <v>11.408435194361862</v>
      </c>
      <c r="AD538" s="43">
        <f>IF(ISERROR(AC538/U538),"NA",IF(OR(AC538/U538&gt;2,AC538/U538&lt;0.5),"NM",AC538/U538*100-100))</f>
        <v>11.093036926708749</v>
      </c>
      <c r="AE538" s="99">
        <f>+AE529/AE520*100</f>
        <v>7.710896309314605</v>
      </c>
      <c r="AF538" s="43" t="str">
        <f>IF(ISERROR(AE538/W538),"NA",IF(OR(AE538/W538&gt;2,AE538/W538&lt;0.5),"NM",AE538/W538*100-100))</f>
        <v>NM</v>
      </c>
      <c r="AG538" s="99">
        <f>+AG529/AG520*100</f>
        <v>11.518155371188447</v>
      </c>
      <c r="AH538" s="9">
        <f>IF(ISERROR(AG538/Y538),"NA",IF(OR(AG538/Y538&gt;2,AG538/Y538&lt;0.5),"NM",AG538/Y538*100-100))</f>
        <v>15.447561919071234</v>
      </c>
      <c r="AI538" s="99">
        <f>+AI529/AI520*100</f>
        <v>9.0129652864910081</v>
      </c>
      <c r="AJ538" s="9">
        <f t="shared" ref="AJ538:AJ539" si="2594">IF(ISERROR(AI538/AA538),"NA",IF(OR(AI538/AA538&gt;2,AI538/AA538&lt;0.5),"NM",AI538/AA538*100-100))</f>
        <v>-0.25278541944291533</v>
      </c>
      <c r="AK538" s="99">
        <f>+AK529/AK520*100</f>
        <v>10.755125167404962</v>
      </c>
      <c r="AL538" s="9">
        <f t="shared" ref="AL538:AL539" si="2595">IF(ISERROR(AK538/AC538),"NA",IF(OR(AK538/AC538&gt;2,AK538/AC538&lt;0.5),"NM",AK538/AC538*100-100))</f>
        <v>-5.7265524660189158</v>
      </c>
      <c r="AM538" s="99">
        <f>+AM529/AM520*100</f>
        <v>8.4424150177574813</v>
      </c>
      <c r="AN538" s="9">
        <f t="shared" ref="AN538:AN539" si="2596">IF(ISERROR(AM538/AE538),"NA",IF(OR(AM538/AE538&gt;2,AM538/AE538&lt;0.5),"NM",AM538/AE538*100-100))</f>
        <v>9.4868181220283816</v>
      </c>
      <c r="AO538" s="99">
        <f>+AO529/AO520*100</f>
        <v>11.19975762472227</v>
      </c>
      <c r="AP538" s="9">
        <f t="shared" ref="AP538:AP539" si="2597">IF(ISERROR(AO538/AG538),"NA",IF(OR(AO538/AG538&gt;2,AO538/AG538&lt;0.5),"NM",AO538/AG538*100-100))</f>
        <v>-2.7643119597311312</v>
      </c>
      <c r="AQ538" s="99">
        <f t="shared" ref="AQ538:AW538" si="2598">+AQ529/AQ520*100</f>
        <v>9.3324850508982546</v>
      </c>
      <c r="AR538" s="9">
        <f t="shared" ref="AR538:AR539" si="2599">IF(ISERROR(AQ538/AI538),"NA",IF(OR(AQ538/AI538&gt;2,AQ538/AI538&lt;0.5),"NM",AQ538/AI538*100-100))</f>
        <v>3.5451125600822593</v>
      </c>
      <c r="AS538" s="99">
        <f t="shared" si="2598"/>
        <v>10.373343761300086</v>
      </c>
      <c r="AT538" s="9">
        <f t="shared" ref="AT538:AT539" si="2600">IF(ISERROR(AS538/AK538),"NA",IF(OR(AS538/AK538&gt;2,AS538/AK538&lt;0.5),"NM",AS538/AK538*100-100))</f>
        <v>-3.5497625565709114</v>
      </c>
      <c r="AU538" s="99">
        <f t="shared" si="2598"/>
        <v>11.471716862551713</v>
      </c>
      <c r="AV538" s="9">
        <f t="shared" ref="AV538:AV539" si="2601">IF(ISERROR(AU538/AM538),"NA",IF(OR(AU538/AM538&gt;2,AU538/AM538&lt;0.5),"NM",AU538/AM538*100-100))</f>
        <v>35.881934712075889</v>
      </c>
      <c r="AW538" s="99">
        <f t="shared" si="2598"/>
        <v>12.073617821512659</v>
      </c>
      <c r="AX538" s="9">
        <f t="shared" ref="AX538:AX539" si="2602">IF(ISERROR(AW538/AO538),"NA",IF(OR(AW538/AO538&gt;2,AW538/AO538&lt;0.5),"NM",AW538/AO538*100-100))</f>
        <v>7.8024920366261767</v>
      </c>
      <c r="AY538" s="287"/>
      <c r="AZ538" s="99"/>
      <c r="BA538" s="9" t="str">
        <f>IF(ISERROR(#REF!/#REF!),"NA",IF(OR(#REF!/#REF!&gt;2,#REF!/#REF!&lt;0.5),"NM",#REF!/#REF!*100-100))</f>
        <v>NA</v>
      </c>
      <c r="BB538" s="99">
        <f>+BB529/BB520*100</f>
        <v>9.3542779887980387</v>
      </c>
      <c r="BC538" s="9" t="str">
        <f>IF(ISERROR(BB538/#REF!),"NA",IF(OR(BB538/#REF!&gt;2,BB538/#REF!&lt;0.5),"NM",BB538/#REF!*100-100))</f>
        <v>NA</v>
      </c>
      <c r="BD538" s="849">
        <f>+BD529/BD520*100</f>
        <v>10.54615667524825</v>
      </c>
      <c r="BE538" s="9">
        <f>IF(ISERROR(BD538/BB538),"NA",IF(OR(BD538/BB538&gt;2,BD538/BB538&lt;0.5),"NM",BD538/BB538*100-100))</f>
        <v>12.741535882058599</v>
      </c>
      <c r="BF538" s="99">
        <f>+BF529/BF520*100</f>
        <v>12.48256219483841</v>
      </c>
      <c r="BG538" s="9">
        <f>IF(ISERROR(BF538/BD538),"NA",IF(OR(BF538/BD538&gt;2,BF538/BD538&lt;0.5),"NM",BF538/BD538*100-100))</f>
        <v>18.361243619060659</v>
      </c>
      <c r="BH538" s="99">
        <f>+BH529/BH520*100</f>
        <v>9.9298969072164898</v>
      </c>
      <c r="BI538" s="9">
        <f>IF(ISERROR(BH538/BF538),"NA",IF(OR(BH538/BF538&gt;2,BH538/BF538&lt;0.5),"NM",BH538/BF538*100-100))</f>
        <v>-20.449850341442371</v>
      </c>
      <c r="BJ538" s="99">
        <f>+BJ529/BJ520*100</f>
        <v>9.8570257251204154</v>
      </c>
      <c r="BK538" s="9">
        <f>IF(ISERROR(BJ538/BH538),"NA",IF(OR(BJ538/BH538&gt;2,BJ538/BH538&lt;0.5),"NM",BJ538/BH538*100-100))</f>
        <v>-0.73385638115856011</v>
      </c>
      <c r="BL538" s="99">
        <f>+BL529/BL520*100</f>
        <v>10.829636520772508</v>
      </c>
      <c r="BM538" s="9">
        <f>IF(ISERROR(BL538/BJ538),"NA",IF(OR(BL538/BJ538&gt;2,BL538/BJ538&lt;0.5),"NM",BL538/BJ538*100-100))</f>
        <v>9.8671832941798527</v>
      </c>
      <c r="BN538" s="99">
        <f>+BN529/BN520*100</f>
        <v>10.787500153751131</v>
      </c>
      <c r="BO538" s="9">
        <f>IF(ISERROR(BN538/BL538),"NA",IF(OR(BN538/BL538&gt;2,BN538/BL538&lt;0.5),"NM",BN538/BL538*100-100))</f>
        <v>-0.38908385281958147</v>
      </c>
      <c r="BP538" s="99">
        <f>+BP529/BP520*100</f>
        <v>10.465705797331239</v>
      </c>
      <c r="BQ538" s="9">
        <f>IF(ISERROR(BP538/BN538),"NA",IF(OR(BP538/BN538&gt;2,BP538/BN538&lt;0.5),"NM",BP538/BN538*100-100))</f>
        <v>-2.9830299127086732</v>
      </c>
      <c r="BR538" s="99">
        <f>+BR529/BR520*100</f>
        <v>10.184863321162013</v>
      </c>
      <c r="BS538" s="9">
        <f>IF(ISERROR(BR538/BP538),"NA",IF(OR(BR538/BP538&gt;2,BR538/BP538&lt;0.5),"NM",BR538/BP538*100-100))</f>
        <v>-2.683454719707882</v>
      </c>
      <c r="BT538" s="99">
        <f>+BT529/BT520*100</f>
        <v>9.9022059086891474</v>
      </c>
      <c r="BU538" s="9">
        <f>IF(ISERROR(BT538/BR538),"NA",IF(OR(BT538/BR538&gt;2,BT538/BR538&lt;0.5),"NM",BT538/BR538*100-100))</f>
        <v>-2.7752695697502645</v>
      </c>
      <c r="BV538" s="43">
        <f>IF(ISERROR(((BT538/BJ538)^0.2-1)*100),"NA",IF((((BT538/BJ538)^0.2-1)*100)&gt;100,"NM",IF((((BT538/BJ538)^0.2-1)*100)&lt;-50,"NM",((BT538/BJ538)^0.2-1)*100)))</f>
        <v>9.1503416195748422E-2</v>
      </c>
      <c r="BW538" s="722"/>
      <c r="BX538" s="722"/>
      <c r="BY538"/>
      <c r="BZ538"/>
      <c r="CA538"/>
      <c r="CB538"/>
      <c r="CC538"/>
      <c r="CD538"/>
    </row>
    <row r="539" spans="1:83" s="2" customFormat="1" ht="12.75" customHeight="1" x14ac:dyDescent="0.2">
      <c r="A539" s="41"/>
      <c r="B539" s="42" t="s">
        <v>663</v>
      </c>
      <c r="C539" s="99" t="e">
        <f>+C530/C521*100</f>
        <v>#DIV/0!</v>
      </c>
      <c r="D539" s="9" t="str">
        <f>IF(ISERROR(C539/#REF!),"NA",IF(OR(C539/#REF!&gt;2,C539/#REF!&lt;0.5),"NM",C539/#REF!*100-100))</f>
        <v>NA</v>
      </c>
      <c r="E539" s="99" t="e">
        <f>+E530/E521*100</f>
        <v>#DIV/0!</v>
      </c>
      <c r="F539" s="9" t="str">
        <f>IF(ISERROR(E539/#REF!),"NA",IF(OR(E539/#REF!&gt;2,E539/#REF!&lt;0.5),"NM",E539/#REF!*100-100))</f>
        <v>NA</v>
      </c>
      <c r="G539" s="99" t="e">
        <f>+G530/G521*100</f>
        <v>#DIV/0!</v>
      </c>
      <c r="H539" s="9" t="str">
        <f>IF(ISERROR(G539/#REF!),"NA",IF(OR(G539/#REF!&gt;2,G539/#REF!&lt;0.5),"NM",G539/#REF!*100-100))</f>
        <v>NA</v>
      </c>
      <c r="I539" s="99" t="e">
        <f>+I530/I521*100</f>
        <v>#DIV/0!</v>
      </c>
      <c r="J539" s="9" t="str">
        <f>IF(ISERROR(I539/#REF!),"NA",IF(OR(I539/#REF!&gt;2,I539/#REF!&lt;0.5),"NM",I539/#REF!*100-100))</f>
        <v>NA</v>
      </c>
      <c r="K539" s="99"/>
      <c r="L539" s="9" t="str">
        <f>IF(ISERROR(K539/C539),"NA",IF(OR(K539/C539&gt;2,K539/C539&lt;0.5),"NM",K539/C539*100-100))</f>
        <v>NA</v>
      </c>
      <c r="M539" s="99"/>
      <c r="N539" s="9" t="str">
        <f>IF(ISERROR(M539/E539),"NA",IF(OR(M539/E539&gt;2,M539/E539&lt;0.5),"NM",M539/E539*100-100))</f>
        <v>NA</v>
      </c>
      <c r="O539" s="99"/>
      <c r="P539" s="43" t="str">
        <f>IF(ISERROR(O539/G539),"NA",IF(OR(O539/G539&gt;2,O539/G539&lt;0.5),"NM",O539/G539*100-100))</f>
        <v>NA</v>
      </c>
      <c r="Q539" s="99"/>
      <c r="R539" s="43" t="str">
        <f>IF(ISERROR(Q539/I539),"NA",IF(OR(Q539/I539&gt;2,Q539/I539&lt;0.5),"NM",Q539/I539*100-100))</f>
        <v>NA</v>
      </c>
      <c r="S539" s="99"/>
      <c r="T539" s="43" t="str">
        <f>IF(ISERROR(S539/K539),"NA",IF(OR(S539/K539&gt;2,S539/K539&lt;0.5),"NM",S539/K539*100-100))</f>
        <v>NA</v>
      </c>
      <c r="U539" s="99"/>
      <c r="V539" s="43" t="str">
        <f>IF(ISERROR(U539/M539),"NA",IF(OR(U539/M539&gt;2,U539/M539&lt;0.5),"NM",U539/M539*100-100))</f>
        <v>NA</v>
      </c>
      <c r="W539" s="99">
        <f>+(W529+U529+S529+Q529)/(W518+U518+S518+Q518)*100</f>
        <v>16.009019165727175</v>
      </c>
      <c r="X539" s="43" t="str">
        <f>IF(ISERROR(W539/O539),"NA",IF(OR(W539/O539&gt;2,W539/O539&lt;0.5),"NM",W539/O539*100-100))</f>
        <v>NA</v>
      </c>
      <c r="Y539" s="99">
        <f>+(Y529+W529+U529+S529)/(Y518+W518+U518+S518)*100</f>
        <v>15.915070218994337</v>
      </c>
      <c r="Z539" s="43" t="str">
        <f>IF(ISERROR(Y539/Q539),"NA",IF(OR(Y539/Q539&gt;2,Y539/Q539&lt;0.5),"NM",Y539/Q539*100-100))</f>
        <v>NA</v>
      </c>
      <c r="AA539" s="99">
        <f>+(AA529+Y529+W529+U529)/(AA518+Y518+W518+U518)*100</f>
        <v>15.737813396073818</v>
      </c>
      <c r="AB539" s="43" t="str">
        <f>IF(ISERROR(AA539/S539),"NA",IF(OR(AA539/S539&gt;2,AA539/S539&lt;0.5),"NM",AA539/S539*100-100))</f>
        <v>NA</v>
      </c>
      <c r="AC539" s="99">
        <f>+(AC529+AA529+Y529+W529)/(AC518+AA518+Y518+W518)*100</f>
        <v>16.031224025152685</v>
      </c>
      <c r="AD539" s="43" t="str">
        <f>IF(ISERROR(AC539/U539),"NA",IF(OR(AC539/U539&gt;2,AC539/U539&lt;0.5),"NM",AC539/U539*100-100))</f>
        <v>NA</v>
      </c>
      <c r="AE539" s="99">
        <f>+(AE529+AC529+AA529+Y529)/(AE518+AC518+AA518+Y518)*100</f>
        <v>12.137719860428689</v>
      </c>
      <c r="AF539" s="43">
        <f>IF(ISERROR(AE539/W539),"NA",IF(OR(AE539/W539&gt;2,AE539/W539&lt;0.5),"NM",AE539/W539*100-100))</f>
        <v>-24.181989322533497</v>
      </c>
      <c r="AG539" s="99">
        <f>+(AG529+AE529+AC529+AA529)/(AG518+AE518+AC518+AA518)*100</f>
        <v>12.636439966414784</v>
      </c>
      <c r="AH539" s="9">
        <f>IF(ISERROR(AG539/Y539),"NA",IF(OR(AG539/Y539&gt;2,AG539/Y539&lt;0.5),"NM",AG539/Y539*100-100))</f>
        <v>-20.600790367023137</v>
      </c>
      <c r="AI539" s="99">
        <f>+(AI529+AG529+AE529+AC529)/(AI518+AG518+AE518+AC518)*100</f>
        <v>12.603483219401609</v>
      </c>
      <c r="AJ539" s="9">
        <f t="shared" si="2594"/>
        <v>-19.915919052987022</v>
      </c>
      <c r="AK539" s="99">
        <f>+(AK529+AI529+AG529+AE529)/(AK518+AI518+AG518+AE518)*100</f>
        <v>12.399676266270996</v>
      </c>
      <c r="AL539" s="9">
        <f t="shared" si="2595"/>
        <v>-22.652966193871777</v>
      </c>
      <c r="AM539" s="99">
        <f>+(AM529+AK529+AI529+AG529)/(AM518+AK518+AI518+AG518)*100</f>
        <v>12.512324985210016</v>
      </c>
      <c r="AN539" s="9">
        <f t="shared" si="2596"/>
        <v>3.0862890978610551</v>
      </c>
      <c r="AO539" s="99">
        <f>+(AO529+AM529+AK529+AI529)/(AO518+AM518+AK518+AI518)*100</f>
        <v>12.396081716826702</v>
      </c>
      <c r="AP539" s="9">
        <f t="shared" si="2597"/>
        <v>-1.9021041545475441</v>
      </c>
      <c r="AQ539" s="99">
        <f t="shared" ref="AQ539" si="2603">+(AQ529+AO529+AM529+AK529)/(AQ518+AO518+AM518+AK518)*100</f>
        <v>12.491842456861155</v>
      </c>
      <c r="AR539" s="9">
        <f t="shared" si="2599"/>
        <v>-0.88579292404337195</v>
      </c>
      <c r="AS539" s="99">
        <f t="shared" ref="AS539" si="2604">+(AS529+AQ529+AO529+AM529)/(AS518+AQ518+AO518+AM518)*100</f>
        <v>12.373329551401792</v>
      </c>
      <c r="AT539" s="9">
        <f t="shared" si="2600"/>
        <v>-0.21247905431911818</v>
      </c>
      <c r="AU539" s="99">
        <f t="shared" ref="AU539" si="2605">+(AU529+AS529+AQ529+AO529)/(AU518+AS518+AQ518+AO518)*100</f>
        <v>13.328469063519597</v>
      </c>
      <c r="AV539" s="9">
        <f t="shared" si="2601"/>
        <v>6.5227212310605012</v>
      </c>
      <c r="AW539" s="99">
        <f t="shared" ref="AW539" si="2606">+(AW529+AU529+AS529+AQ529)/(AW518+AU518+AS518+AQ518)*100</f>
        <v>13.604318293927143</v>
      </c>
      <c r="AX539" s="9">
        <f t="shared" si="2602"/>
        <v>9.7469232996452178</v>
      </c>
      <c r="AY539" s="287"/>
      <c r="AZ539" s="99"/>
      <c r="BA539" s="9" t="str">
        <f>IF(ISERROR(#REF!/#REF!),"NA",IF(OR(#REF!/#REF!&gt;2,#REF!/#REF!&lt;0.5),"NM",#REF!/#REF!*100-100))</f>
        <v>NA</v>
      </c>
      <c r="BB539" s="99" t="e">
        <f>+BB530/BB521*100</f>
        <v>#DIV/0!</v>
      </c>
      <c r="BC539" s="9" t="str">
        <f>IF(ISERROR(BB539/#REF!),"NA",IF(OR(BB539/#REF!&gt;2,BB539/#REF!&lt;0.5),"NM",BB539/#REF!*100-100))</f>
        <v>NA</v>
      </c>
      <c r="BD539" s="849" t="e">
        <f>+BD530/BD521*100</f>
        <v>#DIV/0!</v>
      </c>
      <c r="BE539" s="9" t="str">
        <f>IF(ISERROR(BD539/BB539),"NA",IF(OR(BD539/BB539&gt;2,BD539/BB539&lt;0.5),"NM",BD539/BB539*100-100))</f>
        <v>NA</v>
      </c>
      <c r="BF539" s="99">
        <f>+(BF529)/(BF518)*100</f>
        <v>15.915070218994332</v>
      </c>
      <c r="BG539" s="9" t="str">
        <f>IF(ISERROR(BF539/BD539),"NA",IF(OR(BF539/BD539&gt;2,BF539/BD539&lt;0.5),"NM",BF539/BD539*100-100))</f>
        <v>NA</v>
      </c>
      <c r="BH539" s="99">
        <f>+(BH529)/(BH518)*100</f>
        <v>12.63643996641477</v>
      </c>
      <c r="BI539" s="9">
        <f>IF(ISERROR(BH539/BF539),"NA",IF(OR(BH539/BF539&gt;2,BH539/BF539&lt;0.5),"NM",BH539/BF539*100-100))</f>
        <v>-20.600790367023208</v>
      </c>
      <c r="BJ539" s="99">
        <f>+(BJ529)/(BJ518)*100</f>
        <v>12.396081716826693</v>
      </c>
      <c r="BK539" s="9">
        <f>IF(ISERROR(BJ539/BH539),"NA",IF(OR(BJ539/BH539&gt;2,BJ539/BH539&lt;0.5),"NM",BJ539/BH539*100-100))</f>
        <v>-1.9021041545475157</v>
      </c>
      <c r="BL539" s="99">
        <f>+(BL529)/(BL518)*100</f>
        <v>13.604318293927154</v>
      </c>
      <c r="BM539" s="9">
        <f>IF(ISERROR(BL539/BJ539),"NA",IF(OR(BL539/BJ539&gt;2,BL539/BJ539&lt;0.5),"NM",BL539/BJ539*100-100))</f>
        <v>9.7469232996453741</v>
      </c>
      <c r="BN539" s="99">
        <f>+(BN529)/(BN518)*100</f>
        <v>13.50437730485767</v>
      </c>
      <c r="BO539" s="9">
        <f>IF(ISERROR(BN539/BL539),"NA",IF(OR(BN539/BL539&gt;2,BN539/BL539&lt;0.5),"NM",BN539/BL539*100-100))</f>
        <v>-0.73462695381140009</v>
      </c>
      <c r="BP539" s="99">
        <f>+(BP529)/(BP518)*100</f>
        <v>13.056279092026035</v>
      </c>
      <c r="BQ539" s="9">
        <f>IF(ISERROR(BP539/BN539),"NA",IF(OR(BP539/BN539&gt;2,BP539/BN539&lt;0.5),"NM",BP539/BN539*100-100))</f>
        <v>-3.3181701215534645</v>
      </c>
      <c r="BR539" s="99">
        <f>+(BR529)/(BR518)*100</f>
        <v>12.662227349671918</v>
      </c>
      <c r="BS539" s="9">
        <f>IF(ISERROR(BR539/BP539),"NA",IF(OR(BR539/BP539&gt;2,BR539/BP539&lt;0.5),"NM",BR539/BP539*100-100))</f>
        <v>-3.0181014022194148</v>
      </c>
      <c r="BT539" s="99">
        <f>+(BT529)/(BT518)*100</f>
        <v>12.268690783908596</v>
      </c>
      <c r="BU539" s="9">
        <f>IF(ISERROR(BT539/BR539),"NA",IF(OR(BT539/BR539&gt;2,BT539/BR539&lt;0.5),"NM",BT539/BR539*100-100))</f>
        <v>-3.1079568775355995</v>
      </c>
      <c r="BV539" s="43">
        <f>IF(ISERROR(((BT539/BJ539)^0.2-1)*100),"NA",IF((((BT539/BJ539)^0.2-1)*100)&gt;100,"NM",IF((((BT539/BJ539)^0.2-1)*100)&lt;-50,"NM",((BT539/BJ539)^0.2-1)*100)))</f>
        <v>-0.20638432696563624</v>
      </c>
      <c r="BW539" s="722"/>
      <c r="BX539" s="722"/>
      <c r="BY539"/>
      <c r="BZ539"/>
      <c r="CA539"/>
      <c r="CB539"/>
      <c r="CC539"/>
      <c r="CD539"/>
    </row>
    <row r="540" spans="1:83" s="2" customFormat="1" ht="12.75" customHeight="1" x14ac:dyDescent="0.2">
      <c r="A540" s="41"/>
      <c r="B540" s="42" t="s">
        <v>661</v>
      </c>
      <c r="C540" s="99">
        <f>C536/(C520-C523)*100</f>
        <v>20.514851485148519</v>
      </c>
      <c r="D540" s="9"/>
      <c r="E540" s="99">
        <f>E536/(E520-E523)*100</f>
        <v>26.212861978187295</v>
      </c>
      <c r="F540" s="9"/>
      <c r="G540" s="99">
        <f>G536/(G520-G523)*100</f>
        <v>29.323583180987239</v>
      </c>
      <c r="H540" s="9"/>
      <c r="I540" s="99">
        <f>I536/(I520-I523)*100</f>
        <v>28.963785355537912</v>
      </c>
      <c r="J540" s="9"/>
      <c r="K540" s="99"/>
      <c r="L540" s="9"/>
      <c r="M540" s="99"/>
      <c r="N540" s="9"/>
      <c r="O540" s="99"/>
      <c r="P540" s="43"/>
      <c r="Q540" s="99"/>
      <c r="R540" s="43"/>
      <c r="S540" s="99"/>
      <c r="T540" s="43"/>
      <c r="U540" s="99"/>
      <c r="V540" s="43"/>
      <c r="W540" s="99">
        <f>+(W536+U536+S536+Q536)/(W518+U518+S518+Q518)*100</f>
        <v>12.927470875610677</v>
      </c>
      <c r="X540" s="43"/>
      <c r="Y540" s="99">
        <f>+(Y536+W536+U536+S536)/(Y518+W518+U518+S518)*100</f>
        <v>12.876570200466897</v>
      </c>
      <c r="Z540" s="43"/>
      <c r="AA540" s="99">
        <f>+(AA536+Y536+W536+U536)/(AA518+Y518+W518+U518)*100</f>
        <v>12.892999949098764</v>
      </c>
      <c r="AB540" s="43"/>
      <c r="AC540" s="99">
        <f>+(AC536+AA536+Y536+W536)/(AC518+AA518+Y518+W518)*100</f>
        <v>13.234627755245008</v>
      </c>
      <c r="AD540" s="43"/>
      <c r="AE540" s="99">
        <f>+(AE536+AC536+AA536+Y536)/(AE518+AC518+AA518+Y518)*100</f>
        <v>13.038524531795206</v>
      </c>
      <c r="AF540" s="43"/>
      <c r="AG540" s="99">
        <f>+(AG536+AE536+AC536+AA536)/(AG518+AE518+AC518+AA518)*100</f>
        <v>13.346627483907087</v>
      </c>
      <c r="AH540" s="9"/>
      <c r="AI540" s="99">
        <f>+(AI536+AG536+AE536+AC536)/(AI518+AG518+AE518+AC518)*100</f>
        <v>13.300814125244761</v>
      </c>
      <c r="AJ540" s="9"/>
      <c r="AK540" s="99">
        <f>+(AK536+AI536+AG536+AE536)/(AK518+AI518+AG518+AE518)*100</f>
        <v>12.983071423753966</v>
      </c>
      <c r="AL540" s="9"/>
      <c r="AM540" s="99">
        <f>+(AM536+AK536+AI536+AG536)/(AM518+AK518+AI518+AG518)*100</f>
        <v>13.333990665877865</v>
      </c>
      <c r="AN540" s="9"/>
      <c r="AO540" s="99">
        <f>+(AO536+AM536+AK536+AI536)/(AO518+AM518+AK518+AI518)*100</f>
        <v>13.362763420764317</v>
      </c>
      <c r="AP540" s="9"/>
      <c r="AQ540" s="99">
        <f t="shared" ref="AQ540" si="2607">+(AQ536+AO536+AM536+AK536)/(AQ518+AO518+AM518+AK518)*100</f>
        <v>13.447708527279808</v>
      </c>
      <c r="AR540" s="9"/>
      <c r="AS540" s="99">
        <f t="shared" ref="AS540" si="2608">+(AS536+AQ536+AO536+AM536)/(AS518+AQ518+AO518+AM518)*100</f>
        <v>13.412061070349626</v>
      </c>
      <c r="AT540" s="9"/>
      <c r="AU540" s="99">
        <f t="shared" ref="AU540" si="2609">+(AU536+AS536+AQ536+AO536)/(AU518+AS518+AQ518+AO518)*100</f>
        <v>13.328469063519597</v>
      </c>
      <c r="AV540" s="9"/>
      <c r="AW540" s="99">
        <f t="shared" ref="AW540" si="2610">+(AW536+AU536+AS536+AQ536)/(AW518+AU518+AS518+AQ518)*100</f>
        <v>13.604318293927143</v>
      </c>
      <c r="AX540" s="9"/>
      <c r="AY540" s="287"/>
      <c r="AZ540" s="99"/>
      <c r="BA540" s="9"/>
      <c r="BB540" s="99">
        <f>BB536/(BB520-BB523)*100</f>
        <v>26.409143539072417</v>
      </c>
      <c r="BC540" s="9"/>
      <c r="BD540" s="849">
        <f>BD536/(BD520-BD523)*100</f>
        <v>22.843129372035044</v>
      </c>
      <c r="BE540" s="9"/>
      <c r="BF540" s="99">
        <f>+(BF536)/(BF518)*100</f>
        <v>12.876570200466892</v>
      </c>
      <c r="BG540" s="9"/>
      <c r="BH540" s="99">
        <f>+(BH536)/(BH518)*100</f>
        <v>13.346627483907076</v>
      </c>
      <c r="BI540" s="9"/>
      <c r="BJ540" s="99">
        <f>+(BJ536)/(BJ518)*100</f>
        <v>13.36276342076431</v>
      </c>
      <c r="BK540" s="9"/>
      <c r="BL540" s="99">
        <f>+(BL536)/(BL518)*100</f>
        <v>13.604318293927154</v>
      </c>
      <c r="BM540" s="9"/>
      <c r="BN540" s="99">
        <f>+(BN536)/(BN518)*100</f>
        <v>13.50437730485767</v>
      </c>
      <c r="BO540" s="9"/>
      <c r="BP540" s="99">
        <f>+(BP536)/(BP518)*100</f>
        <v>13.056279092026035</v>
      </c>
      <c r="BQ540" s="9"/>
      <c r="BR540" s="99">
        <f>+(BR536)/(BR518)*100</f>
        <v>12.662227349671918</v>
      </c>
      <c r="BS540" s="9"/>
      <c r="BT540" s="99">
        <f>+(BT536)/(BT518)*100</f>
        <v>12.268690783908596</v>
      </c>
      <c r="BU540" s="9"/>
      <c r="BV540" s="43">
        <f>IF(ISERROR(((BT540/BJ540)^0.2-1)*100),"NA",IF((((BT540/BJ540)^0.2-1)*100)&gt;100,"NM",IF((((BT540/BJ540)^0.2-1)*100)&lt;-50,"NM",((BT540/BJ540)^0.2-1)*100)))</f>
        <v>-1.6939178525231524</v>
      </c>
      <c r="BW540" s="722"/>
      <c r="BX540" s="722"/>
      <c r="BY540"/>
      <c r="BZ540"/>
      <c r="CA540"/>
      <c r="CB540"/>
      <c r="CC540"/>
      <c r="CD540"/>
    </row>
    <row r="541" spans="1:83" s="2" customFormat="1" ht="12.75" hidden="1" customHeight="1" outlineLevel="1" x14ac:dyDescent="0.2">
      <c r="A541" s="41"/>
      <c r="B541" s="42" t="s">
        <v>373</v>
      </c>
      <c r="C541" s="99">
        <f>+C532/C520*100</f>
        <v>4.5886889460154254</v>
      </c>
      <c r="D541" s="9" t="str">
        <f>IF(ISERROR(C541/#REF!),"NA",IF(OR(C541/#REF!&gt;2,C541/#REF!&lt;0.5),"NM",C541/#REF!*100-100))</f>
        <v>NA</v>
      </c>
      <c r="E541" s="99">
        <f>+E532/E520*100</f>
        <v>6.1052903893416115</v>
      </c>
      <c r="F541" s="9" t="str">
        <f>IF(ISERROR(E541/#REF!),"NA",IF(OR(E541/#REF!&gt;2,E541/#REF!&lt;0.5),"NM",E541/#REF!*100-100))</f>
        <v>NA</v>
      </c>
      <c r="G541" s="99">
        <f>+G532/G520*100</f>
        <v>7.0339976553341277</v>
      </c>
      <c r="H541" s="9" t="str">
        <f>IF(ISERROR(G541/#REF!),"NA",IF(OR(G541/#REF!&gt;2,G541/#REF!&lt;0.5),"NM",G541/#REF!*100-100))</f>
        <v>NA</v>
      </c>
      <c r="I541" s="99">
        <f>+I532/I520*100</f>
        <v>7.5780654988575682</v>
      </c>
      <c r="J541" s="9" t="str">
        <f>IF(ISERROR(I541/#REF!),"NA",IF(OR(I541/#REF!&gt;2,I541/#REF!&lt;0.5),"NM",I541/#REF!*100-100))</f>
        <v>NA</v>
      </c>
      <c r="K541" s="99">
        <f>+K532/K520*100</f>
        <v>5.3953257086026971</v>
      </c>
      <c r="L541" s="9">
        <f>IF(ISERROR(K541/C541),"NA",IF(OR(K541/C541&gt;2,K541/C541&lt;0.5),"NM",K541/C541*100-100))</f>
        <v>17.57880675890469</v>
      </c>
      <c r="M541" s="99">
        <f>+M532/M520*100</f>
        <v>6.0382008626001218</v>
      </c>
      <c r="N541" s="9">
        <f>IF(ISERROR(M541/E541),"NA",IF(OR(M541/E541&gt;2,M541/E541&lt;0.5),"NM",M541/E541*100-100))</f>
        <v>-1.0988752780475721</v>
      </c>
      <c r="O541" s="99"/>
      <c r="P541" s="9"/>
      <c r="Q541" s="99"/>
      <c r="R541" s="9"/>
      <c r="S541" s="99"/>
      <c r="T541" s="9"/>
      <c r="U541" s="99"/>
      <c r="V541" s="9"/>
      <c r="W541" s="99"/>
      <c r="X541" s="9"/>
      <c r="Y541" s="99"/>
      <c r="Z541" s="9"/>
      <c r="AA541" s="99"/>
      <c r="AB541" s="9"/>
      <c r="AC541" s="99"/>
      <c r="AD541" s="9"/>
      <c r="AE541" s="99"/>
      <c r="AF541" s="9"/>
      <c r="AG541" s="99"/>
      <c r="AH541" s="9"/>
      <c r="AI541" s="99"/>
      <c r="AJ541" s="9"/>
      <c r="AK541" s="99"/>
      <c r="AL541" s="9"/>
      <c r="AM541" s="99"/>
      <c r="AN541" s="9"/>
      <c r="AO541" s="99"/>
      <c r="AP541" s="9"/>
      <c r="AQ541" s="99"/>
      <c r="AR541" s="9"/>
      <c r="AS541" s="99"/>
      <c r="AT541" s="9"/>
      <c r="AU541" s="99"/>
      <c r="AV541" s="9"/>
      <c r="AW541" s="99"/>
      <c r="AX541" s="9"/>
      <c r="AY541" s="287"/>
      <c r="AZ541" s="99"/>
      <c r="BA541" s="9"/>
      <c r="BB541" s="99"/>
      <c r="BC541" s="9"/>
      <c r="BD541" s="849"/>
      <c r="BE541" s="9"/>
      <c r="BF541" s="99"/>
      <c r="BG541" s="9"/>
      <c r="BH541" s="99"/>
      <c r="BI541" s="9"/>
      <c r="BJ541" s="99"/>
      <c r="BK541" s="9"/>
      <c r="BL541" s="99"/>
      <c r="BM541" s="9"/>
      <c r="BN541" s="99"/>
      <c r="BO541" s="9"/>
      <c r="BP541" s="99"/>
      <c r="BQ541" s="9"/>
      <c r="BR541" s="99"/>
      <c r="BS541" s="9"/>
      <c r="BT541" s="99"/>
      <c r="BU541" s="9"/>
      <c r="BV541" s="722"/>
      <c r="BW541" s="722"/>
      <c r="BX541" s="722"/>
      <c r="BY541"/>
      <c r="BZ541"/>
      <c r="CA541"/>
      <c r="CB541"/>
      <c r="CC541"/>
      <c r="CD541"/>
    </row>
    <row r="542" spans="1:83" s="2" customFormat="1" ht="12.75" customHeight="1" collapsed="1" x14ac:dyDescent="0.2">
      <c r="A542" s="41"/>
      <c r="B542" s="42"/>
      <c r="C542" s="105"/>
      <c r="D542" s="9"/>
      <c r="E542" s="105"/>
      <c r="F542" s="9"/>
      <c r="G542" s="105"/>
      <c r="H542" s="9"/>
      <c r="I542" s="105"/>
      <c r="J542" s="9"/>
      <c r="K542" s="105"/>
      <c r="L542" s="9"/>
      <c r="M542" s="105"/>
      <c r="N542" s="9"/>
      <c r="O542" s="105"/>
      <c r="P542" s="9"/>
      <c r="Q542" s="105"/>
      <c r="R542" s="9"/>
      <c r="S542" s="105"/>
      <c r="T542" s="9"/>
      <c r="U542" s="105"/>
      <c r="V542" s="9"/>
      <c r="W542" s="105"/>
      <c r="X542" s="9"/>
      <c r="Y542" s="105"/>
      <c r="Z542" s="9"/>
      <c r="AA542" s="105"/>
      <c r="AB542" s="9"/>
      <c r="AC542" s="105"/>
      <c r="AD542" s="9"/>
      <c r="AE542" s="105"/>
      <c r="AF542" s="9"/>
      <c r="AG542" s="105"/>
      <c r="AH542" s="9"/>
      <c r="AI542" s="105"/>
      <c r="AJ542" s="9"/>
      <c r="AK542" s="105"/>
      <c r="AL542" s="9"/>
      <c r="AM542" s="105"/>
      <c r="AN542" s="9"/>
      <c r="AO542" s="105"/>
      <c r="AP542" s="9"/>
      <c r="AQ542" s="105"/>
      <c r="AR542" s="9"/>
      <c r="AS542" s="105"/>
      <c r="AT542" s="9"/>
      <c r="AU542" s="105"/>
      <c r="AV542" s="9"/>
      <c r="AW542" s="105"/>
      <c r="AX542" s="9"/>
      <c r="AY542" s="287"/>
      <c r="AZ542" s="15"/>
      <c r="BA542" s="9"/>
      <c r="BB542" s="105"/>
      <c r="BC542" s="9"/>
      <c r="BD542" s="943"/>
      <c r="BE542" s="9"/>
      <c r="BF542" s="105"/>
      <c r="BG542" s="9"/>
      <c r="BH542" s="105"/>
      <c r="BI542" s="9"/>
      <c r="BJ542" s="105"/>
      <c r="BK542" s="9"/>
      <c r="BL542" s="105"/>
      <c r="BM542" s="9"/>
      <c r="BN542" s="105"/>
      <c r="BO542" s="9"/>
      <c r="BP542" s="105"/>
      <c r="BQ542" s="9"/>
      <c r="BR542" s="105"/>
      <c r="BS542" s="9"/>
      <c r="BT542" s="105"/>
      <c r="BU542" s="9"/>
      <c r="BV542" s="43"/>
      <c r="BW542" s="141"/>
      <c r="BX542" s="722"/>
      <c r="BY542"/>
      <c r="BZ542"/>
      <c r="CA542"/>
      <c r="CB542"/>
      <c r="CC542"/>
      <c r="CD542"/>
    </row>
    <row r="543" spans="1:83" s="265" customFormat="1" ht="12.75" customHeight="1" x14ac:dyDescent="0.2">
      <c r="B543" s="266" t="s">
        <v>46</v>
      </c>
      <c r="C543" s="268"/>
      <c r="D543" s="269"/>
      <c r="E543" s="268"/>
      <c r="F543" s="269"/>
      <c r="G543" s="268"/>
      <c r="H543" s="269"/>
      <c r="I543" s="268"/>
      <c r="J543" s="269"/>
      <c r="K543" s="268"/>
      <c r="L543" s="269"/>
      <c r="M543" s="268"/>
      <c r="N543" s="269"/>
      <c r="O543" s="268"/>
      <c r="P543" s="269"/>
      <c r="Q543" s="268"/>
      <c r="R543" s="269"/>
      <c r="S543" s="268"/>
      <c r="T543" s="269"/>
      <c r="U543" s="268"/>
      <c r="V543" s="269"/>
      <c r="W543" s="268"/>
      <c r="X543" s="269"/>
      <c r="Y543" s="268"/>
      <c r="Z543" s="269"/>
      <c r="AA543" s="268"/>
      <c r="AB543" s="269"/>
      <c r="AC543" s="268"/>
      <c r="AD543" s="269"/>
      <c r="AE543" s="268"/>
      <c r="AF543" s="269"/>
      <c r="AG543" s="268"/>
      <c r="AH543" s="269"/>
      <c r="AI543" s="268"/>
      <c r="AJ543" s="269"/>
      <c r="AK543" s="268"/>
      <c r="AL543" s="269"/>
      <c r="AM543" s="268"/>
      <c r="AN543" s="269"/>
      <c r="AO543" s="268"/>
      <c r="AP543" s="269"/>
      <c r="AQ543" s="268"/>
      <c r="AR543" s="269"/>
      <c r="AS543" s="268"/>
      <c r="AT543" s="269"/>
      <c r="AU543" s="268"/>
      <c r="AV543" s="269"/>
      <c r="AW543" s="268"/>
      <c r="AX543" s="269"/>
      <c r="AY543" s="287"/>
      <c r="AZ543" s="267"/>
      <c r="BA543" s="269"/>
      <c r="BB543" s="268"/>
      <c r="BC543" s="268"/>
      <c r="BD543" s="907"/>
      <c r="BE543" s="268"/>
      <c r="BF543" s="268"/>
      <c r="BG543" s="269"/>
      <c r="BH543" s="268"/>
      <c r="BI543" s="269"/>
      <c r="BJ543" s="268"/>
      <c r="BK543" s="269"/>
      <c r="BL543" s="268"/>
      <c r="BM543" s="269"/>
      <c r="BN543" s="268"/>
      <c r="BO543" s="269"/>
      <c r="BP543" s="268"/>
      <c r="BQ543" s="269"/>
      <c r="BR543" s="268"/>
      <c r="BS543" s="269"/>
      <c r="BT543" s="268"/>
      <c r="BU543" s="269"/>
      <c r="BV543" s="270"/>
      <c r="BW543" s="270"/>
      <c r="BX543" s="270"/>
      <c r="BY543"/>
      <c r="BZ543"/>
      <c r="CA543"/>
      <c r="CB543"/>
      <c r="CC543"/>
      <c r="CD543"/>
    </row>
    <row r="544" spans="1:83" s="2" customFormat="1" ht="12.75" customHeight="1" x14ac:dyDescent="0.2">
      <c r="A544" s="41"/>
      <c r="B544" s="42"/>
      <c r="C544" s="15"/>
      <c r="D544" s="40"/>
      <c r="E544" s="15"/>
      <c r="F544" s="40"/>
      <c r="G544" s="15"/>
      <c r="H544" s="40"/>
      <c r="I544" s="15"/>
      <c r="J544" s="40"/>
      <c r="K544" s="15"/>
      <c r="L544" s="40"/>
      <c r="M544" s="15"/>
      <c r="N544" s="40"/>
      <c r="O544" s="15"/>
      <c r="P544" s="40"/>
      <c r="Q544" s="15"/>
      <c r="R544" s="40"/>
      <c r="S544" s="15"/>
      <c r="T544" s="40"/>
      <c r="U544" s="15"/>
      <c r="V544" s="40"/>
      <c r="W544" s="15"/>
      <c r="X544" s="40"/>
      <c r="Y544" s="15"/>
      <c r="Z544" s="40"/>
      <c r="AA544" s="15"/>
      <c r="AB544" s="40"/>
      <c r="AC544" s="15"/>
      <c r="AD544" s="40"/>
      <c r="AE544" s="15"/>
      <c r="AF544" s="40"/>
      <c r="AG544" s="15"/>
      <c r="AH544" s="40"/>
      <c r="AI544" s="15"/>
      <c r="AJ544" s="40"/>
      <c r="AK544" s="15"/>
      <c r="AL544" s="40"/>
      <c r="AM544" s="15"/>
      <c r="AN544" s="40"/>
      <c r="AO544" s="15"/>
      <c r="AP544" s="40"/>
      <c r="AQ544" s="15"/>
      <c r="AR544" s="40"/>
      <c r="AS544" s="15"/>
      <c r="AT544" s="40"/>
      <c r="AU544" s="15"/>
      <c r="AV544" s="40"/>
      <c r="AW544" s="15"/>
      <c r="AX544" s="40"/>
      <c r="AY544" s="287"/>
      <c r="AZ544" s="15"/>
      <c r="BA544" s="40"/>
      <c r="BB544" s="15"/>
      <c r="BC544" s="9"/>
      <c r="BD544" s="924"/>
      <c r="BE544" s="9"/>
      <c r="BF544" s="15"/>
      <c r="BG544" s="40"/>
      <c r="BH544" s="15"/>
      <c r="BI544" s="40"/>
      <c r="BJ544" s="15"/>
      <c r="BK544" s="40"/>
      <c r="BL544" s="15"/>
      <c r="BM544" s="40"/>
      <c r="BN544" s="15"/>
      <c r="BO544" s="40"/>
      <c r="BP544" s="15"/>
      <c r="BQ544" s="40"/>
      <c r="BR544" s="15"/>
      <c r="BS544" s="40"/>
      <c r="BT544" s="15"/>
      <c r="BU544" s="40"/>
      <c r="BV544" s="141"/>
      <c r="BW544" s="141"/>
      <c r="BX544" s="722"/>
      <c r="BY544"/>
      <c r="BZ544"/>
      <c r="CA544"/>
      <c r="CB544"/>
      <c r="CC544"/>
      <c r="CD544"/>
    </row>
    <row r="545" spans="1:82" s="2" customFormat="1" ht="12.75" customHeight="1" x14ac:dyDescent="0.2">
      <c r="A545" s="41"/>
      <c r="B545" s="67" t="s">
        <v>492</v>
      </c>
      <c r="C545" s="92"/>
      <c r="D545" s="40"/>
      <c r="E545" s="92"/>
      <c r="F545" s="40"/>
      <c r="G545" s="92"/>
      <c r="H545" s="40"/>
      <c r="I545" s="92"/>
      <c r="J545" s="40"/>
      <c r="K545" s="92"/>
      <c r="L545" s="40"/>
      <c r="M545" s="92"/>
      <c r="N545" s="40"/>
      <c r="O545" s="92"/>
      <c r="P545" s="40"/>
      <c r="Q545" s="92"/>
      <c r="R545" s="40"/>
      <c r="S545" s="92"/>
      <c r="T545" s="40"/>
      <c r="U545" s="92"/>
      <c r="V545" s="40"/>
      <c r="W545" s="92"/>
      <c r="X545" s="40"/>
      <c r="Y545" s="92"/>
      <c r="Z545" s="40"/>
      <c r="AA545" s="92"/>
      <c r="AB545" s="40"/>
      <c r="AC545" s="92"/>
      <c r="AD545" s="40"/>
      <c r="AE545" s="92"/>
      <c r="AF545" s="40"/>
      <c r="AG545" s="92"/>
      <c r="AH545" s="40"/>
      <c r="AI545" s="92"/>
      <c r="AJ545" s="40"/>
      <c r="AK545" s="92"/>
      <c r="AL545" s="40"/>
      <c r="AM545" s="92"/>
      <c r="AN545" s="40"/>
      <c r="AO545" s="92"/>
      <c r="AP545" s="40"/>
      <c r="AQ545" s="92"/>
      <c r="AR545" s="40"/>
      <c r="AS545" s="92"/>
      <c r="AT545" s="40"/>
      <c r="AU545" s="92"/>
      <c r="AV545" s="40"/>
      <c r="AW545" s="92"/>
      <c r="AX545" s="40"/>
      <c r="AY545" s="287"/>
      <c r="AZ545" s="15"/>
      <c r="BA545" s="40"/>
      <c r="BB545" s="92"/>
      <c r="BC545" s="9"/>
      <c r="BD545" s="945"/>
      <c r="BE545" s="9"/>
      <c r="BF545" s="92"/>
      <c r="BG545" s="40"/>
      <c r="BH545" s="92"/>
      <c r="BI545" s="40"/>
      <c r="BJ545" s="92"/>
      <c r="BK545" s="40"/>
      <c r="BL545" s="92"/>
      <c r="BM545" s="40"/>
      <c r="BN545" s="92"/>
      <c r="BO545" s="40"/>
      <c r="BP545" s="92"/>
      <c r="BQ545" s="40"/>
      <c r="BR545" s="92"/>
      <c r="BS545" s="40"/>
      <c r="BT545" s="92"/>
      <c r="BU545" s="40"/>
      <c r="BV545" s="141"/>
      <c r="BW545" s="141"/>
      <c r="BX545" s="722"/>
      <c r="BY545"/>
      <c r="BZ545"/>
      <c r="CA545"/>
      <c r="CB545"/>
      <c r="CC545"/>
      <c r="CD545"/>
    </row>
    <row r="546" spans="1:82" s="2" customFormat="1" ht="12.75" customHeight="1" x14ac:dyDescent="0.2">
      <c r="A546" s="41"/>
      <c r="B546" s="73" t="s">
        <v>415</v>
      </c>
      <c r="C546" s="653">
        <v>-24.5</v>
      </c>
      <c r="D546" s="9" t="str">
        <f>IF(ISERROR(C546/#REF!),"NA",IF(OR(C546/#REF!&gt;2,C546/#REF!&lt;0.5),"NM",C546/#REF!*100-100))</f>
        <v>NA</v>
      </c>
      <c r="E546" s="653">
        <v>-23.9</v>
      </c>
      <c r="F546" s="9" t="str">
        <f>IF(ISERROR(E546/#REF!),"NA",IF(OR(E546/#REF!&gt;2,E546/#REF!&lt;0.5),"NM",E546/#REF!*100-100))</f>
        <v>NA</v>
      </c>
      <c r="G546" s="653">
        <v>-24.4</v>
      </c>
      <c r="H546" s="9" t="str">
        <f>IF(ISERROR(G546/#REF!),"NA",IF(OR(G546/#REF!&gt;2,G546/#REF!&lt;0.5),"NM",G546/#REF!*100-100))</f>
        <v>NA</v>
      </c>
      <c r="I546" s="653">
        <v>-35.5</v>
      </c>
      <c r="J546" s="9" t="str">
        <f>IF(ISERROR(I546/#REF!),"NA",IF(OR(I546/#REF!&gt;2,I546/#REF!&lt;0.5),"NM",I546/#REF!*100-100))</f>
        <v>NA</v>
      </c>
      <c r="K546" s="653">
        <v>-34.200000000000003</v>
      </c>
      <c r="L546" s="9">
        <f>IF(ISERROR(K546/C546),"NA",IF(OR(K546/C546&gt;2,K546/C546&lt;0.5),"NM",K546/C546*100-100))</f>
        <v>39.591836734693885</v>
      </c>
      <c r="M546" s="653">
        <v>-28.8</v>
      </c>
      <c r="N546" s="43">
        <f t="shared" ref="N546:N548" si="2611">IF(ISERROR(M546/E546),"NA",IF(OR(M546/E546&gt;2,M546/E546&lt;0.5),"NM",M546/E546*100-100))</f>
        <v>20.502092050209214</v>
      </c>
      <c r="O546" s="653">
        <v>-29</v>
      </c>
      <c r="P546" s="9">
        <f>IF(ISERROR(O546/G546),"NA",IF(OR(O546/G546&gt;2,O546/G546&lt;0.5),"NM",O546/G546*100-100))</f>
        <v>18.852459016393453</v>
      </c>
      <c r="Q546" s="653">
        <v>-35.299999999999997</v>
      </c>
      <c r="R546" s="9">
        <f>IF(ISERROR(Q546/I546),"NA",IF(OR(Q546/I546&gt;2,Q546/I546&lt;0.5),"NM",Q546/I546*100-100))</f>
        <v>-0.56338028169015786</v>
      </c>
      <c r="S546" s="653">
        <v>-38.6</v>
      </c>
      <c r="T546" s="9">
        <f>IF(ISERROR(S546/K546),"NA",IF(OR(S546/K546&gt;2,S546/K546&lt;0.5),"NM",S546/K546*100-100))</f>
        <v>12.865497076023374</v>
      </c>
      <c r="U546" s="653">
        <v>-31.5</v>
      </c>
      <c r="V546" s="9">
        <f>IF(ISERROR(U546/M546),"NA",IF(OR(U546/M546&gt;2,U546/M546&lt;0.5),"NM",U546/M546*100-100))</f>
        <v>9.375</v>
      </c>
      <c r="W546" s="653">
        <v>-31.5</v>
      </c>
      <c r="X546" s="9">
        <f>IF(ISERROR(W546/O546),"NA",IF(OR(W546/O546&gt;2,W546/O546&lt;0.5),"NM",W546/O546*100-100))</f>
        <v>8.6206896551724128</v>
      </c>
      <c r="Y546" s="653">
        <v>-32.9</v>
      </c>
      <c r="Z546" s="9">
        <f t="shared" ref="Z546:Z548" si="2612">IF(ISERROR(Y546/Q546),"NA",IF(OR(Y546/Q546&gt;2,Y546/Q546&lt;0.5),"NM",Y546/Q546*100-100))</f>
        <v>-6.7988668555240821</v>
      </c>
      <c r="AA546" s="653">
        <v>-37.799999999999997</v>
      </c>
      <c r="AB546" s="9">
        <f t="shared" ref="AB546:AB548" si="2613">IF(ISERROR(AA546/S546),"NA",IF(OR(AA546/S546&gt;2,AA546/S546&lt;0.5),"NM",AA546/S546*100-100))</f>
        <v>-2.0725388601036343</v>
      </c>
      <c r="AC546" s="653">
        <v>-33.799999999999997</v>
      </c>
      <c r="AD546" s="9">
        <f t="shared" ref="AD546:AD548" si="2614">IF(ISERROR(AC546/U546),"NA",IF(OR(AC546/U546&gt;2,AC546/U546&lt;0.5),"NM",AC546/U546*100-100))</f>
        <v>7.3015873015873041</v>
      </c>
      <c r="AE546" s="653">
        <v>-37</v>
      </c>
      <c r="AF546" s="9">
        <f>IF(ISERROR(AE546/W546),"NA",IF(OR(AE546/W546&gt;2,AE546/W546&lt;0.5),"NM",AE546/W546*100-100))</f>
        <v>17.460317460317469</v>
      </c>
      <c r="AG546" s="653">
        <v>-41.5</v>
      </c>
      <c r="AH546" s="9">
        <f>IF(ISERROR(AG546/Y546),"NA",IF(OR(AG546/Y546&gt;2,AG546/Y546&lt;0.5),"NM",AG546/Y546*100-100))</f>
        <v>26.139817629179333</v>
      </c>
      <c r="AI546" s="653">
        <v>-28.8</v>
      </c>
      <c r="AJ546" s="9">
        <f t="shared" ref="AJ546:AJ548" si="2615">IF(ISERROR(AI546/AA546),"NA",IF(OR(AI546/AA546&gt;2,AI546/AA546&lt;0.5),"NM",AI546/AA546*100-100))</f>
        <v>-23.809523809523796</v>
      </c>
      <c r="AK546" s="653">
        <v>-36.799999999999997</v>
      </c>
      <c r="AL546" s="9">
        <f t="shared" ref="AL546:AL548" si="2616">IF(ISERROR(AK546/AC546),"NA",IF(OR(AK546/AC546&gt;2,AK546/AC546&lt;0.5),"NM",AK546/AC546*100-100))</f>
        <v>8.8757396449704089</v>
      </c>
      <c r="AM546" s="653">
        <v>-43.4</v>
      </c>
      <c r="AN546" s="9">
        <f t="shared" ref="AN546:AN548" si="2617">IF(ISERROR(AM546/AE546),"NA",IF(OR(AM546/AE546&gt;2,AM546/AE546&lt;0.5),"NM",AM546/AE546*100-100))</f>
        <v>17.297297297297291</v>
      </c>
      <c r="AO546" s="653">
        <v>-35.4</v>
      </c>
      <c r="AP546" s="9">
        <f t="shared" ref="AP546:AP548" si="2618">IF(ISERROR(AO546/AG546),"NA",IF(OR(AO546/AG546&gt;2,AO546/AG546&lt;0.5),"NM",AO546/AG546*100-100))</f>
        <v>-14.698795180722897</v>
      </c>
      <c r="AQ546" s="615">
        <f>AO546*0.96</f>
        <v>-33.983999999999995</v>
      </c>
      <c r="AR546" s="9">
        <f t="shared" ref="AR546:AR548" si="2619">IF(ISERROR(AQ546/AI546),"NA",IF(OR(AQ546/AI546&gt;2,AQ546/AI546&lt;0.5),"NM",AQ546/AI546*100-100))</f>
        <v>17.999999999999972</v>
      </c>
      <c r="AS546" s="615">
        <f t="shared" ref="AS546:AS547" si="2620">AQ546</f>
        <v>-33.983999999999995</v>
      </c>
      <c r="AT546" s="9">
        <f t="shared" ref="AT546:AT548" si="2621">IF(ISERROR(AS546/AK546),"NA",IF(OR(AS546/AK546&gt;2,AS546/AK546&lt;0.5),"NM",AS546/AK546*100-100))</f>
        <v>-7.6521739130434838</v>
      </c>
      <c r="AU546" s="615">
        <f t="shared" ref="AU546:AU547" si="2622">AS546</f>
        <v>-33.983999999999995</v>
      </c>
      <c r="AV546" s="9">
        <f t="shared" ref="AV546:AV548" si="2623">IF(ISERROR(AU546/AM546),"NA",IF(OR(AU546/AM546&gt;2,AU546/AM546&lt;0.5),"NM",AU546/AM546*100-100))</f>
        <v>-21.695852534562221</v>
      </c>
      <c r="AW546" s="615">
        <f t="shared" ref="AW546:AW547" si="2624">AU546</f>
        <v>-33.983999999999995</v>
      </c>
      <c r="AX546" s="9">
        <f t="shared" ref="AX546:AX548" si="2625">IF(ISERROR(AW546/AO546),"NA",IF(OR(AW546/AO546&gt;2,AW546/AO546&lt;0.5),"NM",AW546/AO546*100-100))</f>
        <v>-4.0000000000000142</v>
      </c>
      <c r="AY546" s="287"/>
      <c r="AZ546" s="64"/>
      <c r="BA546" s="9" t="str">
        <f>IF(ISERROR(#REF!/#REF!),"NA",IF(OR(#REF!/#REF!&gt;2,#REF!/#REF!&lt;0.5),"NM",#REF!/#REF!*100-100))</f>
        <v>NA</v>
      </c>
      <c r="BB546" s="55">
        <f>C546+E546+G546+I546</f>
        <v>-108.3</v>
      </c>
      <c r="BC546" s="9" t="str">
        <f>IF(ISERROR(BB546/#REF!),"NA",IF(OR(BB546/#REF!&gt;2,BB546/#REF!&lt;0.5),"NM",BB546/#REF!*100-100))</f>
        <v>NA</v>
      </c>
      <c r="BD546" s="908">
        <f>K546+M546+O546+Q546</f>
        <v>-127.3</v>
      </c>
      <c r="BE546" s="9">
        <f t="shared" si="2571"/>
        <v>17.543859649122822</v>
      </c>
      <c r="BF546" s="55">
        <f>S546+U546+W546+Y546</f>
        <v>-134.5</v>
      </c>
      <c r="BG546" s="9">
        <f t="shared" si="2571"/>
        <v>5.6559308719560164</v>
      </c>
      <c r="BH546" s="55">
        <f>AA546+AC546+AE546+AG546</f>
        <v>-150.1</v>
      </c>
      <c r="BI546" s="9">
        <f t="shared" si="2571"/>
        <v>11.59851301115242</v>
      </c>
      <c r="BJ546" s="55">
        <f>AI546+AK546+AM546+AO546</f>
        <v>-144.4</v>
      </c>
      <c r="BK546" s="9">
        <f t="shared" si="2571"/>
        <v>-3.7974683544303787</v>
      </c>
      <c r="BL546" s="55">
        <f>AQ546+AS546+AU546+AW546</f>
        <v>-135.93599999999998</v>
      </c>
      <c r="BM546" s="9">
        <f t="shared" si="2571"/>
        <v>-5.861495844875364</v>
      </c>
      <c r="BN546" s="653">
        <f>BL546*1.05</f>
        <v>-142.7328</v>
      </c>
      <c r="BO546" s="9">
        <f t="shared" si="2571"/>
        <v>5</v>
      </c>
      <c r="BP546" s="653">
        <f>BN546*1.05</f>
        <v>-149.86944</v>
      </c>
      <c r="BQ546" s="9">
        <f t="shared" si="2571"/>
        <v>5</v>
      </c>
      <c r="BR546" s="653">
        <f>BP546*1.05</f>
        <v>-157.36291199999999</v>
      </c>
      <c r="BS546" s="9">
        <f t="shared" si="2571"/>
        <v>5</v>
      </c>
      <c r="BT546" s="653">
        <f>BR546*1.05</f>
        <v>-165.23105760000001</v>
      </c>
      <c r="BU546" s="9">
        <f t="shared" ref="BU546:BU548" si="2626">IF(ISERROR(BT546/BR546),"NA",IF(OR(BT546/BR546&gt;2,BT546/BR546&lt;0.5),"NM",BT546/BR546*100-100))</f>
        <v>5</v>
      </c>
      <c r="BV546" s="43">
        <f>IF(ISERROR(((BT546/BJ546)^0.2-1)*100),"NA",IF((((BT546/BJ546)^0.2-1)*100)&gt;100,"NM",IF((((BT546/BJ546)^0.2-1)*100)&lt;-50,"NM",((BT546/BJ546)^0.2-1)*100)))</f>
        <v>2.7318000664035447</v>
      </c>
      <c r="BW546" s="141"/>
      <c r="BX546" s="722"/>
      <c r="BY546"/>
      <c r="BZ546"/>
      <c r="CA546"/>
      <c r="CB546"/>
      <c r="CC546"/>
      <c r="CD546"/>
    </row>
    <row r="547" spans="1:82" s="2" customFormat="1" ht="12.75" customHeight="1" x14ac:dyDescent="0.2">
      <c r="A547" s="41"/>
      <c r="B547" s="62" t="s">
        <v>416</v>
      </c>
      <c r="C547" s="653">
        <v>20.3</v>
      </c>
      <c r="D547" s="9" t="str">
        <f>IF(ISERROR(C547/#REF!),"NA",IF(OR(C547/#REF!&gt;2,C547/#REF!&lt;0.5),"NM",C547/#REF!*100-100))</f>
        <v>NA</v>
      </c>
      <c r="E547" s="653">
        <v>12.4</v>
      </c>
      <c r="F547" s="9" t="str">
        <f>IF(ISERROR(E547/#REF!),"NA",IF(OR(E547/#REF!&gt;2,E547/#REF!&lt;0.5),"NM",E547/#REF!*100-100))</f>
        <v>NA</v>
      </c>
      <c r="G547" s="653">
        <v>12.6</v>
      </c>
      <c r="H547" s="9" t="str">
        <f>IF(ISERROR(G547/#REF!),"NA",IF(OR(G547/#REF!&gt;2,G547/#REF!&lt;0.5),"NM",G547/#REF!*100-100))</f>
        <v>NA</v>
      </c>
      <c r="I547" s="653">
        <v>11.8</v>
      </c>
      <c r="J547" s="9" t="str">
        <f>IF(ISERROR(I547/#REF!),"NA",IF(OR(I547/#REF!&gt;2,I547/#REF!&lt;0.5),"NM",I547/#REF!*100-100))</f>
        <v>NA</v>
      </c>
      <c r="K547" s="653">
        <v>42.7</v>
      </c>
      <c r="L547" s="9" t="str">
        <f>IF(ISERROR(K547/C547),"NA",IF(OR(K547/C547&gt;2,K547/C547&lt;0.5),"NM",K547/C547*100-100))</f>
        <v>NM</v>
      </c>
      <c r="M547" s="653">
        <v>12.1</v>
      </c>
      <c r="N547" s="43">
        <f t="shared" si="2611"/>
        <v>-2.4193548387096797</v>
      </c>
      <c r="O547" s="653">
        <v>15.7</v>
      </c>
      <c r="P547" s="9">
        <f>IF(ISERROR(O547/G547),"NA",IF(OR(O547/G547&gt;2,O547/G547&lt;0.5),"NM",O547/G547*100-100))</f>
        <v>24.603174603174608</v>
      </c>
      <c r="Q547" s="653">
        <v>16.5</v>
      </c>
      <c r="R547" s="9">
        <f>IF(ISERROR(Q547/I547),"NA",IF(OR(Q547/I547&gt;2,Q547/I547&lt;0.5),"NM",Q547/I547*100-100))</f>
        <v>39.830508474576249</v>
      </c>
      <c r="S547" s="653">
        <v>31.9</v>
      </c>
      <c r="T547" s="9">
        <f>IF(ISERROR(S547/K547),"NA",IF(OR(S547/K547&gt;2,S547/K547&lt;0.5),"NM",S547/K547*100-100))</f>
        <v>-25.292740046838418</v>
      </c>
      <c r="U547" s="653">
        <v>22.5</v>
      </c>
      <c r="V547" s="9">
        <f>IF(ISERROR(U547/M547),"NA",IF(OR(U547/M547&gt;2,U547/M547&lt;0.5),"NM",U547/M547*100-100))</f>
        <v>85.950413223140487</v>
      </c>
      <c r="W547" s="653">
        <v>15</v>
      </c>
      <c r="X547" s="9">
        <f>IF(ISERROR(W547/O547),"NA",IF(OR(W547/O547&gt;2,W547/O547&lt;0.5),"NM",W547/O547*100-100))</f>
        <v>-4.4585987261146443</v>
      </c>
      <c r="Y547" s="653">
        <v>14.6</v>
      </c>
      <c r="Z547" s="9">
        <f t="shared" si="2612"/>
        <v>-11.51515151515153</v>
      </c>
      <c r="AA547" s="653">
        <v>24.7</v>
      </c>
      <c r="AB547" s="9">
        <f t="shared" si="2613"/>
        <v>-22.570532915360502</v>
      </c>
      <c r="AC547" s="653">
        <v>16.3</v>
      </c>
      <c r="AD547" s="9">
        <f t="shared" si="2614"/>
        <v>-27.555555555555557</v>
      </c>
      <c r="AE547" s="653">
        <v>16</v>
      </c>
      <c r="AF547" s="653">
        <f>IF(ISERROR(AE547/W547),"NA",IF(OR(AE547/W547&gt;2,AE547/W547&lt;0.5),"NM",AE547/W547*100-100))</f>
        <v>6.6666666666666714</v>
      </c>
      <c r="AG547" s="653">
        <v>46.8</v>
      </c>
      <c r="AH547" s="9" t="str">
        <f>IF(ISERROR(AG547/Y547),"NA",IF(OR(AG547/Y547&gt;2,AG547/Y547&lt;0.5),"NM",AG547/Y547*100-100))</f>
        <v>NM</v>
      </c>
      <c r="AI547" s="653">
        <v>27.3</v>
      </c>
      <c r="AJ547" s="9">
        <f t="shared" si="2615"/>
        <v>10.526315789473699</v>
      </c>
      <c r="AK547" s="653">
        <v>17</v>
      </c>
      <c r="AL547" s="9">
        <f t="shared" si="2616"/>
        <v>4.2944785276073532</v>
      </c>
      <c r="AM547" s="653">
        <v>23.1</v>
      </c>
      <c r="AN547" s="9">
        <f t="shared" si="2617"/>
        <v>44.375</v>
      </c>
      <c r="AO547" s="653">
        <v>16.2</v>
      </c>
      <c r="AP547" s="9" t="str">
        <f t="shared" si="2618"/>
        <v>NM</v>
      </c>
      <c r="AQ547" s="653">
        <f t="shared" ref="AQ547" si="2627">AO547</f>
        <v>16.2</v>
      </c>
      <c r="AR547" s="9">
        <f t="shared" si="2619"/>
        <v>-40.659340659340657</v>
      </c>
      <c r="AS547" s="653">
        <f t="shared" si="2620"/>
        <v>16.2</v>
      </c>
      <c r="AT547" s="9">
        <f t="shared" si="2621"/>
        <v>-4.7058823529411882</v>
      </c>
      <c r="AU547" s="653">
        <f t="shared" si="2622"/>
        <v>16.2</v>
      </c>
      <c r="AV547" s="9">
        <f t="shared" si="2623"/>
        <v>-29.870129870129887</v>
      </c>
      <c r="AW547" s="653">
        <f t="shared" si="2624"/>
        <v>16.2</v>
      </c>
      <c r="AX547" s="9">
        <f t="shared" si="2625"/>
        <v>0</v>
      </c>
      <c r="AY547" s="287"/>
      <c r="AZ547" s="64"/>
      <c r="BA547" s="9" t="str">
        <f>IF(ISERROR(#REF!/#REF!),"NA",IF(OR(#REF!/#REF!&gt;2,#REF!/#REF!&lt;0.5),"NM",#REF!/#REF!*100-100))</f>
        <v>NA</v>
      </c>
      <c r="BB547" s="55">
        <f>C547+E547+G547+I547</f>
        <v>57.100000000000009</v>
      </c>
      <c r="BC547" s="9" t="str">
        <f>IF(ISERROR(BB547/#REF!),"NA",IF(OR(BB547/#REF!&gt;2,BB547/#REF!&lt;0.5),"NM",BB547/#REF!*100-100))</f>
        <v>NA</v>
      </c>
      <c r="BD547" s="908">
        <f>K547+M547+O547+Q547</f>
        <v>87</v>
      </c>
      <c r="BE547" s="9">
        <f t="shared" si="2571"/>
        <v>52.36427320490364</v>
      </c>
      <c r="BF547" s="55">
        <f>S547+U547+W547+Y547</f>
        <v>84</v>
      </c>
      <c r="BG547" s="9">
        <f t="shared" si="2571"/>
        <v>-3.448275862068968</v>
      </c>
      <c r="BH547" s="55">
        <f>AA547+AC547+AE547+AG547</f>
        <v>103.8</v>
      </c>
      <c r="BI547" s="9">
        <f t="shared" si="2571"/>
        <v>23.571428571428584</v>
      </c>
      <c r="BJ547" s="55">
        <f>AI547+AK547+AM547+AO547</f>
        <v>83.600000000000009</v>
      </c>
      <c r="BK547" s="9">
        <f t="shared" si="2571"/>
        <v>-19.460500963391127</v>
      </c>
      <c r="BL547" s="55">
        <f>AQ547+AS547+AU547+AW547</f>
        <v>64.8</v>
      </c>
      <c r="BM547" s="9">
        <f t="shared" si="2571"/>
        <v>-22.488038277511961</v>
      </c>
      <c r="BN547" s="653">
        <f>BL547*1.02</f>
        <v>66.096000000000004</v>
      </c>
      <c r="BO547" s="9">
        <f t="shared" si="2571"/>
        <v>2</v>
      </c>
      <c r="BP547" s="653">
        <f>BN547*1.02</f>
        <v>67.417920000000009</v>
      </c>
      <c r="BQ547" s="9">
        <f t="shared" si="2571"/>
        <v>2</v>
      </c>
      <c r="BR547" s="653">
        <f>BP547*1.02</f>
        <v>68.766278400000004</v>
      </c>
      <c r="BS547" s="9">
        <f t="shared" si="2571"/>
        <v>2</v>
      </c>
      <c r="BT547" s="653">
        <f>BR547*1.02</f>
        <v>70.141603968000013</v>
      </c>
      <c r="BU547" s="9">
        <f t="shared" si="2626"/>
        <v>2</v>
      </c>
      <c r="BV547" s="43">
        <f>IF(ISERROR(((BT547/BJ547)^0.2-1)*100),"NA",IF((((BT547/BJ547)^0.2-1)*100)&gt;100,"NM",IF((((BT547/BJ547)^0.2-1)*100)&lt;-50,"NM",((BT547/BJ547)^0.2-1)*100)))</f>
        <v>-3.4496431887719448</v>
      </c>
      <c r="BW547" s="141"/>
      <c r="BX547" s="722"/>
      <c r="BY547"/>
      <c r="BZ547"/>
      <c r="CA547"/>
      <c r="CB547"/>
      <c r="CC547"/>
      <c r="CD547"/>
    </row>
    <row r="548" spans="1:82" s="2" customFormat="1" ht="12.75" customHeight="1" x14ac:dyDescent="0.2">
      <c r="A548" s="66" t="s">
        <v>230</v>
      </c>
      <c r="B548" s="67" t="s">
        <v>417</v>
      </c>
      <c r="C548" s="695">
        <f>+C547+C546</f>
        <v>-4.1999999999999993</v>
      </c>
      <c r="D548" s="9" t="str">
        <f>IF(ISERROR(C548/#REF!),"NA",IF(OR(C548/#REF!&gt;2,C548/#REF!&lt;0.5),"NM",C548/#REF!*100-100))</f>
        <v>NA</v>
      </c>
      <c r="E548" s="695">
        <f>+E547+E546</f>
        <v>-11.499999999999998</v>
      </c>
      <c r="F548" s="9" t="str">
        <f>IF(ISERROR(E548/#REF!),"NA",IF(OR(E548/#REF!&gt;2,E548/#REF!&lt;0.5),"NM",E548/#REF!*100-100))</f>
        <v>NA</v>
      </c>
      <c r="G548" s="695">
        <f>+G547+G546</f>
        <v>-11.799999999999999</v>
      </c>
      <c r="H548" s="9" t="str">
        <f>IF(ISERROR(G548/#REF!),"NA",IF(OR(G548/#REF!&gt;2,G548/#REF!&lt;0.5),"NM",G548/#REF!*100-100))</f>
        <v>NA</v>
      </c>
      <c r="I548" s="695">
        <f>+I547+I546</f>
        <v>-23.7</v>
      </c>
      <c r="J548" s="9" t="str">
        <f>IF(ISERROR(I548/#REF!),"NA",IF(OR(I548/#REF!&gt;2,I548/#REF!&lt;0.5),"NM",I548/#REF!*100-100))</f>
        <v>NA</v>
      </c>
      <c r="K548" s="695">
        <f>+K547+K546</f>
        <v>8.5</v>
      </c>
      <c r="L548" s="9" t="str">
        <f>IF(ISERROR(K548/C548),"NA",IF(OR(K548/C548&gt;2,K548/C548&lt;0.5),"NM",K548/C548*100-100))</f>
        <v>NM</v>
      </c>
      <c r="M548" s="695">
        <f>+M547+M546</f>
        <v>-16.700000000000003</v>
      </c>
      <c r="N548" s="43">
        <f t="shared" si="2611"/>
        <v>45.217391304347871</v>
      </c>
      <c r="O548" s="695">
        <f>+O547+O546</f>
        <v>-13.3</v>
      </c>
      <c r="P548" s="9">
        <f>IF(ISERROR(O548/G548),"NA",IF(OR(O548/G548&gt;2,O548/G548&lt;0.5),"NM",O548/G548*100-100))</f>
        <v>12.711864406779668</v>
      </c>
      <c r="Q548" s="695">
        <f>+Q547+Q546</f>
        <v>-18.799999999999997</v>
      </c>
      <c r="R548" s="9">
        <f>IF(ISERROR(Q548/I548),"NA",IF(OR(Q548/I548&gt;2,Q548/I548&lt;0.5),"NM",Q548/I548*100-100))</f>
        <v>-20.675105485232081</v>
      </c>
      <c r="S548" s="695">
        <f>+S547+S546</f>
        <v>-6.7000000000000028</v>
      </c>
      <c r="T548" s="9" t="str">
        <f>IF(ISERROR(S548/K548),"NA",IF(OR(S548/K548&gt;2,S548/K548&lt;0.5),"NM",S548/K548*100-100))</f>
        <v>NM</v>
      </c>
      <c r="U548" s="695">
        <f>+U547+U546</f>
        <v>-9</v>
      </c>
      <c r="V548" s="9">
        <f>IF(ISERROR(U548/M548),"NA",IF(OR(U548/M548&gt;2,U548/M548&lt;0.5),"NM",U548/M548*100-100))</f>
        <v>-46.107784431137731</v>
      </c>
      <c r="W548" s="695">
        <f t="shared" ref="W548:Y548" si="2628">+W547+W546</f>
        <v>-16.5</v>
      </c>
      <c r="X548" s="9">
        <f>IF(ISERROR(W548/O548),"NA",IF(OR(W548/O548&gt;2,W548/O548&lt;0.5),"NM",W548/O548*100-100))</f>
        <v>24.060150375939855</v>
      </c>
      <c r="Y548" s="695">
        <f t="shared" si="2628"/>
        <v>-18.299999999999997</v>
      </c>
      <c r="Z548" s="9">
        <f t="shared" si="2612"/>
        <v>-2.659574468085097</v>
      </c>
      <c r="AA548" s="695">
        <f t="shared" ref="AA548:AC548" si="2629">+AA547+AA546</f>
        <v>-13.099999999999998</v>
      </c>
      <c r="AB548" s="9">
        <f t="shared" si="2613"/>
        <v>95.52238805970137</v>
      </c>
      <c r="AC548" s="695">
        <f t="shared" si="2629"/>
        <v>-17.499999999999996</v>
      </c>
      <c r="AD548" s="9">
        <f t="shared" si="2614"/>
        <v>94.4444444444444</v>
      </c>
      <c r="AE548" s="695">
        <f t="shared" ref="AE548:AG548" si="2630">+AE547+AE546</f>
        <v>-21</v>
      </c>
      <c r="AF548" s="9">
        <f>IF(ISERROR(AE548/W548),"NA",IF(OR(AE548/W548&gt;2,AE548/W548&lt;0.5),"NM",AE548/W548*100-100))</f>
        <v>27.272727272727266</v>
      </c>
      <c r="AG548" s="695">
        <f t="shared" si="2630"/>
        <v>5.2999999999999972</v>
      </c>
      <c r="AH548" s="9" t="str">
        <f>IF(ISERROR(AG548/Y548),"NA",IF(OR(AG548/Y548&gt;2,AG548/Y548&lt;0.5),"NM",AG548/Y548*100-100))</f>
        <v>NM</v>
      </c>
      <c r="AI548" s="695">
        <f t="shared" ref="AI548:AK548" si="2631">+AI547+AI546</f>
        <v>-1.5</v>
      </c>
      <c r="AJ548" s="9" t="str">
        <f t="shared" si="2615"/>
        <v>NM</v>
      </c>
      <c r="AK548" s="695">
        <f t="shared" si="2631"/>
        <v>-19.799999999999997</v>
      </c>
      <c r="AL548" s="9">
        <f t="shared" si="2616"/>
        <v>13.142857142857139</v>
      </c>
      <c r="AM548" s="695">
        <f t="shared" ref="AM548:AO548" si="2632">+AM547+AM546</f>
        <v>-20.299999999999997</v>
      </c>
      <c r="AN548" s="9">
        <f t="shared" si="2617"/>
        <v>-3.3333333333333428</v>
      </c>
      <c r="AO548" s="695">
        <f t="shared" si="2632"/>
        <v>-19.2</v>
      </c>
      <c r="AP548" s="9" t="str">
        <f t="shared" si="2618"/>
        <v>NM</v>
      </c>
      <c r="AQ548" s="695">
        <f t="shared" ref="AQ548:AW548" si="2633">+AQ547+AQ546</f>
        <v>-17.783999999999995</v>
      </c>
      <c r="AR548" s="9" t="str">
        <f t="shared" si="2619"/>
        <v>NM</v>
      </c>
      <c r="AS548" s="695">
        <f t="shared" si="2633"/>
        <v>-17.783999999999995</v>
      </c>
      <c r="AT548" s="9">
        <f t="shared" si="2621"/>
        <v>-10.181818181818187</v>
      </c>
      <c r="AU548" s="695">
        <f t="shared" si="2633"/>
        <v>-17.783999999999995</v>
      </c>
      <c r="AV548" s="9">
        <f t="shared" si="2623"/>
        <v>-12.394088669950747</v>
      </c>
      <c r="AW548" s="695">
        <f t="shared" si="2633"/>
        <v>-17.783999999999995</v>
      </c>
      <c r="AX548" s="9">
        <f t="shared" si="2625"/>
        <v>-7.3750000000000142</v>
      </c>
      <c r="AY548" s="287"/>
      <c r="AZ548" s="68"/>
      <c r="BA548" s="9" t="str">
        <f>IF(ISERROR(#REF!/#REF!),"NA",IF(OR(#REF!/#REF!&gt;2,#REF!/#REF!&lt;0.5),"NM",#REF!/#REF!*100-100))</f>
        <v>NA</v>
      </c>
      <c r="BB548" s="155">
        <f>BB546+BB547</f>
        <v>-51.199999999999989</v>
      </c>
      <c r="BC548" s="9" t="str">
        <f>IF(ISERROR(BB548/#REF!),"NA",IF(OR(BB548/#REF!&gt;2,BB548/#REF!&lt;0.5),"NM",BB548/#REF!*100-100))</f>
        <v>NA</v>
      </c>
      <c r="BD548" s="949">
        <f t="shared" ref="BD548:BP548" si="2634">BD546+BD547</f>
        <v>-40.299999999999997</v>
      </c>
      <c r="BE548" s="9">
        <f t="shared" si="2571"/>
        <v>-21.289062499999986</v>
      </c>
      <c r="BF548" s="155">
        <f t="shared" si="2634"/>
        <v>-50.5</v>
      </c>
      <c r="BG548" s="9">
        <f t="shared" si="2571"/>
        <v>25.310173697270486</v>
      </c>
      <c r="BH548" s="155">
        <f t="shared" si="2634"/>
        <v>-46.3</v>
      </c>
      <c r="BI548" s="9">
        <f t="shared" si="2571"/>
        <v>-8.3168316831683171</v>
      </c>
      <c r="BJ548" s="155">
        <f t="shared" ref="BJ548" si="2635">BJ546+BJ547</f>
        <v>-60.8</v>
      </c>
      <c r="BK548" s="9">
        <f t="shared" si="2571"/>
        <v>31.317494600431957</v>
      </c>
      <c r="BL548" s="155">
        <f t="shared" ref="BL548" si="2636">BL546+BL547</f>
        <v>-71.135999999999981</v>
      </c>
      <c r="BM548" s="9">
        <f t="shared" si="2571"/>
        <v>16.999999999999972</v>
      </c>
      <c r="BN548" s="155">
        <f t="shared" si="2634"/>
        <v>-76.636799999999994</v>
      </c>
      <c r="BO548" s="9">
        <f t="shared" si="2571"/>
        <v>7.7327935222672295</v>
      </c>
      <c r="BP548" s="155">
        <f t="shared" si="2634"/>
        <v>-82.451519999999988</v>
      </c>
      <c r="BQ548" s="9">
        <f t="shared" si="2571"/>
        <v>7.5873731679819514</v>
      </c>
      <c r="BR548" s="155">
        <f t="shared" ref="BR548:BT548" si="2637">BR546+BR547</f>
        <v>-88.59663359999999</v>
      </c>
      <c r="BS548" s="9">
        <f t="shared" si="2571"/>
        <v>7.4530022005658623</v>
      </c>
      <c r="BT548" s="155">
        <f t="shared" si="2637"/>
        <v>-95.089453632000001</v>
      </c>
      <c r="BU548" s="9">
        <f t="shared" si="2626"/>
        <v>7.3285177643589492</v>
      </c>
      <c r="BV548" s="43">
        <f>IF(ISERROR(((BT548/BJ548)^0.2-1)*100),"NA",IF((((BT548/BJ548)^0.2-1)*100)&gt;100,"NM",IF((((BT548/BJ548)^0.2-1)*100)&lt;-50,"NM",((BT548/BJ548)^0.2-1)*100)))</f>
        <v>9.3567902135653025</v>
      </c>
      <c r="BW548" s="141"/>
      <c r="BX548" s="722"/>
      <c r="BY548"/>
      <c r="BZ548"/>
      <c r="CA548"/>
      <c r="CB548"/>
      <c r="CC548"/>
      <c r="CD548"/>
    </row>
    <row r="549" spans="1:82" s="2" customFormat="1" ht="12.75" customHeight="1" x14ac:dyDescent="0.2">
      <c r="A549" s="41"/>
      <c r="B549" s="73"/>
      <c r="C549" s="691"/>
      <c r="D549" s="40"/>
      <c r="E549" s="691"/>
      <c r="F549" s="40"/>
      <c r="G549" s="691"/>
      <c r="H549" s="40"/>
      <c r="I549" s="691"/>
      <c r="J549" s="40"/>
      <c r="K549" s="691"/>
      <c r="L549" s="40"/>
      <c r="M549" s="691"/>
      <c r="N549" s="40"/>
      <c r="O549" s="691"/>
      <c r="P549" s="40"/>
      <c r="Q549" s="691"/>
      <c r="R549" s="40"/>
      <c r="S549" s="691"/>
      <c r="T549" s="40"/>
      <c r="U549" s="691"/>
      <c r="V549" s="40"/>
      <c r="W549" s="691"/>
      <c r="X549" s="40"/>
      <c r="Y549" s="691"/>
      <c r="Z549" s="40"/>
      <c r="AA549" s="691"/>
      <c r="AB549" s="40"/>
      <c r="AC549" s="691"/>
      <c r="AD549" s="40"/>
      <c r="AE549" s="691"/>
      <c r="AF549" s="40"/>
      <c r="AG549" s="691"/>
      <c r="AH549" s="40"/>
      <c r="AI549" s="691"/>
      <c r="AJ549" s="40"/>
      <c r="AK549" s="691"/>
      <c r="AL549" s="40"/>
      <c r="AM549" s="691"/>
      <c r="AN549" s="40"/>
      <c r="AO549" s="691"/>
      <c r="AP549" s="40"/>
      <c r="AQ549" s="691"/>
      <c r="AR549" s="40"/>
      <c r="AS549" s="691"/>
      <c r="AT549" s="40"/>
      <c r="AU549" s="691"/>
      <c r="AV549" s="40"/>
      <c r="AW549" s="691"/>
      <c r="AX549" s="40"/>
      <c r="AY549" s="287"/>
      <c r="AZ549" s="15"/>
      <c r="BA549" s="40"/>
      <c r="BB549" s="61"/>
      <c r="BC549" s="9"/>
      <c r="BD549" s="950"/>
      <c r="BE549" s="9"/>
      <c r="BF549" s="61"/>
      <c r="BG549" s="9"/>
      <c r="BH549" s="61"/>
      <c r="BI549" s="9"/>
      <c r="BJ549" s="61"/>
      <c r="BK549" s="9"/>
      <c r="BL549" s="61"/>
      <c r="BM549" s="9"/>
      <c r="BN549" s="691"/>
      <c r="BO549" s="9"/>
      <c r="BP549" s="691"/>
      <c r="BQ549" s="9"/>
      <c r="BR549" s="691"/>
      <c r="BS549" s="9"/>
      <c r="BT549" s="691"/>
      <c r="BU549" s="9"/>
      <c r="BV549" s="141"/>
      <c r="BW549" s="141"/>
      <c r="BX549" s="722"/>
      <c r="BY549"/>
      <c r="BZ549"/>
      <c r="CA549"/>
      <c r="CB549"/>
      <c r="CC549"/>
      <c r="CD549"/>
    </row>
    <row r="550" spans="1:82" s="2" customFormat="1" ht="12.75" customHeight="1" x14ac:dyDescent="0.2">
      <c r="A550" s="41"/>
      <c r="B550" s="74" t="s">
        <v>418</v>
      </c>
      <c r="C550" s="691"/>
      <c r="D550" s="40"/>
      <c r="E550" s="691"/>
      <c r="F550" s="40"/>
      <c r="G550" s="691"/>
      <c r="H550" s="40"/>
      <c r="I550" s="691"/>
      <c r="J550" s="40"/>
      <c r="K550" s="691"/>
      <c r="L550" s="40"/>
      <c r="M550" s="691"/>
      <c r="N550" s="40"/>
      <c r="O550" s="691"/>
      <c r="P550" s="40"/>
      <c r="Q550" s="691"/>
      <c r="R550" s="40"/>
      <c r="S550" s="691"/>
      <c r="T550" s="40"/>
      <c r="U550" s="691"/>
      <c r="V550" s="40"/>
      <c r="W550" s="691"/>
      <c r="X550" s="40"/>
      <c r="Y550" s="691"/>
      <c r="Z550" s="40"/>
      <c r="AA550" s="691"/>
      <c r="AB550" s="40"/>
      <c r="AC550" s="691"/>
      <c r="AD550" s="40"/>
      <c r="AE550" s="691"/>
      <c r="AF550" s="40"/>
      <c r="AG550" s="691"/>
      <c r="AH550" s="40"/>
      <c r="AI550" s="691"/>
      <c r="AJ550" s="40"/>
      <c r="AK550" s="691"/>
      <c r="AL550" s="40"/>
      <c r="AM550" s="691"/>
      <c r="AN550" s="40"/>
      <c r="AO550" s="691"/>
      <c r="AP550" s="40"/>
      <c r="AQ550" s="691"/>
      <c r="AR550" s="40"/>
      <c r="AS550" s="691"/>
      <c r="AT550" s="40"/>
      <c r="AU550" s="691"/>
      <c r="AV550" s="40"/>
      <c r="AW550" s="691"/>
      <c r="AX550" s="40"/>
      <c r="AY550" s="279"/>
      <c r="AZ550" s="15"/>
      <c r="BA550" s="40"/>
      <c r="BB550" s="61"/>
      <c r="BC550" s="9"/>
      <c r="BD550" s="950"/>
      <c r="BE550" s="9"/>
      <c r="BF550" s="61"/>
      <c r="BG550" s="9"/>
      <c r="BH550" s="61"/>
      <c r="BI550" s="9"/>
      <c r="BJ550" s="61"/>
      <c r="BK550" s="9"/>
      <c r="BL550" s="61"/>
      <c r="BM550" s="9"/>
      <c r="BN550" s="691"/>
      <c r="BO550" s="9"/>
      <c r="BP550" s="691"/>
      <c r="BQ550" s="9"/>
      <c r="BR550" s="691"/>
      <c r="BS550" s="9"/>
      <c r="BT550" s="691"/>
      <c r="BU550" s="9"/>
      <c r="BV550" s="141"/>
      <c r="BW550" s="141"/>
      <c r="BX550" s="722"/>
      <c r="BY550"/>
      <c r="BZ550"/>
      <c r="CA550"/>
      <c r="CB550"/>
      <c r="CC550"/>
      <c r="CD550"/>
    </row>
    <row r="551" spans="1:82" s="2" customFormat="1" ht="12.75" customHeight="1" x14ac:dyDescent="0.2">
      <c r="A551" s="41"/>
      <c r="B551" s="73" t="s">
        <v>419</v>
      </c>
      <c r="C551" s="653">
        <v>-0.1</v>
      </c>
      <c r="D551" s="9" t="str">
        <f>IF(ISERROR(C551/#REF!),"NA",IF(OR(C551/#REF!&gt;2,C551/#REF!&lt;0.5),"NM",C551/#REF!*100-100))</f>
        <v>NA</v>
      </c>
      <c r="E551" s="653">
        <v>-3.2</v>
      </c>
      <c r="F551" s="9" t="str">
        <f>IF(ISERROR(E551/#REF!),"NA",IF(OR(E551/#REF!&gt;2,E551/#REF!&lt;0.5),"NM",E551/#REF!*100-100))</f>
        <v>NA</v>
      </c>
      <c r="G551" s="653">
        <v>-2.9</v>
      </c>
      <c r="H551" s="9" t="str">
        <f>IF(ISERROR(G551/#REF!),"NA",IF(OR(G551/#REF!&gt;2,G551/#REF!&lt;0.5),"NM",G551/#REF!*100-100))</f>
        <v>NA</v>
      </c>
      <c r="I551" s="653">
        <v>-2.8</v>
      </c>
      <c r="J551" s="9" t="str">
        <f>IF(ISERROR(I551/#REF!),"NA",IF(OR(I551/#REF!&gt;2,I551/#REF!&lt;0.5),"NM",I551/#REF!*100-100))</f>
        <v>NA</v>
      </c>
      <c r="K551" s="653">
        <v>3</v>
      </c>
      <c r="L551" s="9" t="str">
        <f>IF(ISERROR(K551/C551),"NA",IF(OR(K551/C551&gt;2,K551/C551&lt;0.5),"NM",K551/C551*100-100))</f>
        <v>NM</v>
      </c>
      <c r="M551" s="653">
        <v>-2.7</v>
      </c>
      <c r="N551" s="9">
        <f>IF(ISERROR(M551/E551),"NA",IF(OR(M551/E551&gt;2,M551/E551&lt;0.5),"NM",M551/E551*100-100))</f>
        <v>-15.625</v>
      </c>
      <c r="O551" s="653">
        <v>-2.8</v>
      </c>
      <c r="P551" s="43">
        <f t="shared" ref="P551:X564" si="2638">IF(ISERROR(O551/G551),"NA",IF(OR(O551/G551&gt;2,O551/G551&lt;0.5),"NM",O551/G551*100-100))</f>
        <v>-3.448275862068968</v>
      </c>
      <c r="Q551" s="653">
        <v>-2.6</v>
      </c>
      <c r="R551" s="9">
        <f>IF(ISERROR(Q551/I551),"NA",IF(OR(Q551/I551&gt;2,Q551/I551&lt;0.5),"NM",Q551/I551*100-100))</f>
        <v>-7.1428571428571246</v>
      </c>
      <c r="S551" s="653">
        <v>6.2</v>
      </c>
      <c r="T551" s="9" t="str">
        <f>IF(ISERROR(S551/K551),"NA",IF(OR(S551/K551&gt;2,S551/K551&lt;0.5),"NM",S551/K551*100-100))</f>
        <v>NM</v>
      </c>
      <c r="U551" s="653">
        <v>-2.6</v>
      </c>
      <c r="V551" s="9">
        <f>IF(ISERROR(U551/M551),"NA",IF(OR(U551/M551&gt;2,U551/M551&lt;0.5),"NM",U551/M551*100-100))</f>
        <v>-3.7037037037037095</v>
      </c>
      <c r="W551" s="653">
        <v>-2.7</v>
      </c>
      <c r="X551" s="9">
        <f>IF(ISERROR(W551/O551),"NA",IF(OR(W551/O551&gt;2,W551/O551&lt;0.5),"NM",W551/O551*100-100))</f>
        <v>-3.5714285714285552</v>
      </c>
      <c r="Y551" s="653">
        <v>-2.7</v>
      </c>
      <c r="Z551" s="9">
        <f t="shared" ref="Z551:Z555" si="2639">IF(ISERROR(Y551/Q551),"NA",IF(OR(Y551/Q551&gt;2,Y551/Q551&lt;0.5),"NM",Y551/Q551*100-100))</f>
        <v>3.8461538461538538</v>
      </c>
      <c r="AA551" s="653">
        <v>5.8</v>
      </c>
      <c r="AB551" s="9">
        <f t="shared" ref="AB551:AB555" si="2640">IF(ISERROR(AA551/S551),"NA",IF(OR(AA551/S551&gt;2,AA551/S551&lt;0.5),"NM",AA551/S551*100-100))</f>
        <v>-6.4516129032258078</v>
      </c>
      <c r="AC551" s="653">
        <v>-2.4</v>
      </c>
      <c r="AD551" s="9">
        <f t="shared" ref="AD551:AD555" si="2641">IF(ISERROR(AC551/U551),"NA",IF(OR(AC551/U551&gt;2,AC551/U551&lt;0.5),"NM",AC551/U551*100-100))</f>
        <v>-7.6923076923076934</v>
      </c>
      <c r="AE551" s="653">
        <v>-2.2000000000000002</v>
      </c>
      <c r="AF551" s="9">
        <f>IF(ISERROR(AE551/W551),"NA",IF(OR(AE551/W551&gt;2,AE551/W551&lt;0.5),"NM",AE551/W551*100-100))</f>
        <v>-18.518518518518505</v>
      </c>
      <c r="AG551" s="653">
        <v>-2.2999999999999998</v>
      </c>
      <c r="AH551" s="9">
        <f>IF(ISERROR(AG551/Y551),"NA",IF(OR(AG551/Y551&gt;2,AG551/Y551&lt;0.5),"NM",AG551/Y551*100-100))</f>
        <v>-14.814814814814824</v>
      </c>
      <c r="AI551" s="653">
        <v>4.8</v>
      </c>
      <c r="AJ551" s="9">
        <f t="shared" ref="AJ551:AJ555" si="2642">IF(ISERROR(AI551/AA551),"NA",IF(OR(AI551/AA551&gt;2,AI551/AA551&lt;0.5),"NM",AI551/AA551*100-100))</f>
        <v>-17.241379310344826</v>
      </c>
      <c r="AK551" s="653">
        <v>-2.2999999999999998</v>
      </c>
      <c r="AL551" s="9">
        <f t="shared" ref="AL551:AL555" si="2643">IF(ISERROR(AK551/AC551),"NA",IF(OR(AK551/AC551&gt;2,AK551/AC551&lt;0.5),"NM",AK551/AC551*100-100))</f>
        <v>-4.1666666666666714</v>
      </c>
      <c r="AM551" s="653">
        <v>-2.8</v>
      </c>
      <c r="AN551" s="9">
        <f t="shared" ref="AN551:AN555" si="2644">IF(ISERROR(AM551/AE551),"NA",IF(OR(AM551/AE551&gt;2,AM551/AE551&lt;0.5),"NM",AM551/AE551*100-100))</f>
        <v>27.272727272727252</v>
      </c>
      <c r="AO551" s="653">
        <v>-2.1</v>
      </c>
      <c r="AP551" s="9">
        <f t="shared" ref="AP551:AP555" si="2645">IF(ISERROR(AO551/AG551),"NA",IF(OR(AO551/AG551&gt;2,AO551/AG551&lt;0.5),"NM",AO551/AG551*100-100))</f>
        <v>-8.6956521739130324</v>
      </c>
      <c r="AQ551" s="615">
        <f t="shared" ref="AQ551:AQ553" si="2646">AO551</f>
        <v>-2.1</v>
      </c>
      <c r="AR551" s="9" t="str">
        <f t="shared" ref="AR551:AR555" si="2647">IF(ISERROR(AQ551/AI551),"NA",IF(OR(AQ551/AI551&gt;2,AQ551/AI551&lt;0.5),"NM",AQ551/AI551*100-100))</f>
        <v>NM</v>
      </c>
      <c r="AS551" s="615">
        <f t="shared" ref="AS551:AS553" si="2648">AQ551</f>
        <v>-2.1</v>
      </c>
      <c r="AT551" s="9">
        <f t="shared" ref="AT551:AT555" si="2649">IF(ISERROR(AS551/AK551),"NA",IF(OR(AS551/AK551&gt;2,AS551/AK551&lt;0.5),"NM",AS551/AK551*100-100))</f>
        <v>-8.6956521739130324</v>
      </c>
      <c r="AU551" s="615">
        <f t="shared" ref="AU551:AU553" si="2650">AS551</f>
        <v>-2.1</v>
      </c>
      <c r="AV551" s="9">
        <f t="shared" ref="AV551:AV555" si="2651">IF(ISERROR(AU551/AM551),"NA",IF(OR(AU551/AM551&gt;2,AU551/AM551&lt;0.5),"NM",AU551/AM551*100-100))</f>
        <v>-24.999999999999986</v>
      </c>
      <c r="AW551" s="615">
        <f t="shared" ref="AW551:AW553" si="2652">AU551</f>
        <v>-2.1</v>
      </c>
      <c r="AX551" s="9">
        <f t="shared" ref="AX551:AX555" si="2653">IF(ISERROR(AW551/AO551),"NA",IF(OR(AW551/AO551&gt;2,AW551/AO551&lt;0.5),"NM",AW551/AO551*100-100))</f>
        <v>0</v>
      </c>
      <c r="AY551" s="283"/>
      <c r="AZ551" s="64"/>
      <c r="BA551" s="9" t="str">
        <f>IF(ISERROR(#REF!/#REF!),"NA",IF(OR(#REF!/#REF!&gt;2,#REF!/#REF!&lt;0.5),"NM",#REF!/#REF!*100-100))</f>
        <v>NA</v>
      </c>
      <c r="BB551" s="55">
        <f>C551+E551+G551+I551</f>
        <v>-9</v>
      </c>
      <c r="BC551" s="9" t="str">
        <f>IF(ISERROR(BB551/#REF!),"NA",IF(OR(BB551/#REF!&gt;2,BB551/#REF!&lt;0.5),"NM",BB551/#REF!*100-100))</f>
        <v>NA</v>
      </c>
      <c r="BD551" s="908">
        <f>K551+M551+O551+Q551</f>
        <v>-5.0999999999999996</v>
      </c>
      <c r="BE551" s="9">
        <f t="shared" ref="BE551:BS555" si="2654">IF(ISERROR(BD551/BB551),"NA",IF(OR(BD551/BB551&gt;2,BD551/BB551&lt;0.5),"NM",BD551/BB551*100-100))</f>
        <v>-43.333333333333336</v>
      </c>
      <c r="BF551" s="55">
        <f>S551+U551+W551+Y551</f>
        <v>-1.8000000000000003</v>
      </c>
      <c r="BG551" s="9" t="str">
        <f t="shared" si="2654"/>
        <v>NM</v>
      </c>
      <c r="BH551" s="55">
        <f>AA551+AC551+AE551+AG551</f>
        <v>-1.1000000000000001</v>
      </c>
      <c r="BI551" s="9">
        <f t="shared" si="2654"/>
        <v>-38.888888888888893</v>
      </c>
      <c r="BJ551" s="55">
        <f>AI551+AK551+AM551+AO551</f>
        <v>-2.4</v>
      </c>
      <c r="BK551" s="9" t="str">
        <f t="shared" si="2654"/>
        <v>NM</v>
      </c>
      <c r="BL551" s="55">
        <f>AQ551+AS551+AU551+AW551</f>
        <v>-8.4</v>
      </c>
      <c r="BM551" s="9" t="str">
        <f t="shared" si="2654"/>
        <v>NM</v>
      </c>
      <c r="BN551" s="653">
        <f>BL551*1.05</f>
        <v>-8.82</v>
      </c>
      <c r="BO551" s="9">
        <f t="shared" si="2654"/>
        <v>5</v>
      </c>
      <c r="BP551" s="653">
        <f>BN551*1.05</f>
        <v>-9.261000000000001</v>
      </c>
      <c r="BQ551" s="9">
        <f t="shared" si="2654"/>
        <v>5</v>
      </c>
      <c r="BR551" s="653">
        <f>BP551*1.05</f>
        <v>-9.7240500000000019</v>
      </c>
      <c r="BS551" s="9">
        <f t="shared" si="2654"/>
        <v>5</v>
      </c>
      <c r="BT551" s="653">
        <f>BR551*1.05</f>
        <v>-10.210252500000003</v>
      </c>
      <c r="BU551" s="9">
        <f t="shared" ref="BU551:BU555" si="2655">IF(ISERROR(BT551/BR551),"NA",IF(OR(BT551/BR551&gt;2,BT551/BR551&lt;0.5),"NM",BT551/BR551*100-100))</f>
        <v>5</v>
      </c>
      <c r="BV551" s="43">
        <f>IF(ISERROR(((BT551/BJ551)^0.2-1)*100),"NA",IF((((BT551/BJ551)^0.2-1)*100)&gt;100,"NM",IF((((BT551/BJ551)^0.2-1)*100)&lt;-50,"NM",((BT551/BJ551)^0.2-1)*100)))</f>
        <v>33.587261836636188</v>
      </c>
      <c r="BW551" s="141"/>
      <c r="BX551" s="722"/>
      <c r="BY551"/>
      <c r="BZ551"/>
      <c r="CA551"/>
      <c r="CB551"/>
      <c r="CC551"/>
      <c r="CD551"/>
    </row>
    <row r="552" spans="1:82" s="2" customFormat="1" ht="12.75" customHeight="1" x14ac:dyDescent="0.2">
      <c r="A552" s="41"/>
      <c r="B552" s="73" t="s">
        <v>421</v>
      </c>
      <c r="C552" s="653">
        <v>3.7</v>
      </c>
      <c r="D552" s="9" t="str">
        <f>IF(ISERROR(C552/#REF!),"NA",IF(OR(C552/#REF!&gt;2,C552/#REF!&lt;0.5),"NM",C552/#REF!*100-100))</f>
        <v>NA</v>
      </c>
      <c r="E552" s="653">
        <v>5.3</v>
      </c>
      <c r="F552" s="9" t="str">
        <f>IF(ISERROR(E552/#REF!),"NA",IF(OR(E552/#REF!&gt;2,E552/#REF!&lt;0.5),"NM",E552/#REF!*100-100))</f>
        <v>NA</v>
      </c>
      <c r="G552" s="653">
        <v>5.5</v>
      </c>
      <c r="H552" s="9" t="str">
        <f>IF(ISERROR(G552/#REF!),"NA",IF(OR(G552/#REF!&gt;2,G552/#REF!&lt;0.5),"NM",G552/#REF!*100-100))</f>
        <v>NA</v>
      </c>
      <c r="I552" s="653">
        <v>5.9</v>
      </c>
      <c r="J552" s="9" t="str">
        <f>IF(ISERROR(I552/#REF!),"NA",IF(OR(I552/#REF!&gt;2,I552/#REF!&lt;0.5),"NM",I552/#REF!*100-100))</f>
        <v>NA</v>
      </c>
      <c r="K552" s="653">
        <v>5.5</v>
      </c>
      <c r="L552" s="9">
        <f>IF(ISERROR(K552/C552),"NA",IF(OR(K552/C552&gt;2,K552/C552&lt;0.5),"NM",K552/C552*100-100))</f>
        <v>48.648648648648646</v>
      </c>
      <c r="M552" s="653">
        <v>6</v>
      </c>
      <c r="N552" s="9">
        <f>IF(ISERROR(M552/E552),"NA",IF(OR(M552/E552&gt;2,M552/E552&lt;0.5),"NM",M552/E552*100-100))</f>
        <v>13.20754716981132</v>
      </c>
      <c r="O552" s="653">
        <v>6.4</v>
      </c>
      <c r="P552" s="43">
        <f t="shared" si="2638"/>
        <v>16.363636363636374</v>
      </c>
      <c r="Q552" s="653">
        <v>7.5</v>
      </c>
      <c r="R552" s="9">
        <f>IF(ISERROR(Q552/I552),"NA",IF(OR(Q552/I552&gt;2,Q552/I552&lt;0.5),"NM",Q552/I552*100-100))</f>
        <v>27.118644067796609</v>
      </c>
      <c r="S552" s="653">
        <v>7.5</v>
      </c>
      <c r="T552" s="9">
        <f>IF(ISERROR(S552/K552),"NA",IF(OR(S552/K552&gt;2,S552/K552&lt;0.5),"NM",S552/K552*100-100))</f>
        <v>36.363636363636346</v>
      </c>
      <c r="U552" s="653">
        <v>7.4</v>
      </c>
      <c r="V552" s="9">
        <f>IF(ISERROR(U552/M552),"NA",IF(OR(U552/M552&gt;2,U552/M552&lt;0.5),"NM",U552/M552*100-100))</f>
        <v>23.333333333333343</v>
      </c>
      <c r="W552" s="653">
        <v>7.2</v>
      </c>
      <c r="X552" s="9">
        <f>IF(ISERROR(W552/O552),"NA",IF(OR(W552/O552&gt;2,W552/O552&lt;0.5),"NM",W552/O552*100-100))</f>
        <v>12.5</v>
      </c>
      <c r="Y552" s="653">
        <v>6.8</v>
      </c>
      <c r="Z552" s="9">
        <f t="shared" si="2639"/>
        <v>-9.3333333333333428</v>
      </c>
      <c r="AA552" s="653">
        <v>10.5</v>
      </c>
      <c r="AB552" s="9">
        <f t="shared" si="2640"/>
        <v>40</v>
      </c>
      <c r="AC552" s="653">
        <v>10.7</v>
      </c>
      <c r="AD552" s="9">
        <f t="shared" si="2641"/>
        <v>44.594594594594582</v>
      </c>
      <c r="AE552" s="653">
        <v>10.199999999999999</v>
      </c>
      <c r="AF552" s="9">
        <f>IF(ISERROR(AE552/W552),"NA",IF(OR(AE552/W552&gt;2,AE552/W552&lt;0.5),"NM",AE552/W552*100-100))</f>
        <v>41.666666666666657</v>
      </c>
      <c r="AG552" s="653">
        <v>12.1</v>
      </c>
      <c r="AH552" s="9">
        <f>IF(ISERROR(AG552/Y552),"NA",IF(OR(AG552/Y552&gt;2,AG552/Y552&lt;0.5),"NM",AG552/Y552*100-100))</f>
        <v>77.941176470588232</v>
      </c>
      <c r="AI552" s="653">
        <v>9.6</v>
      </c>
      <c r="AJ552" s="9">
        <f t="shared" si="2642"/>
        <v>-8.5714285714285694</v>
      </c>
      <c r="AK552" s="653">
        <v>8.1999999999999993</v>
      </c>
      <c r="AL552" s="9">
        <f t="shared" si="2643"/>
        <v>-23.36448598130842</v>
      </c>
      <c r="AM552" s="653">
        <v>9.3000000000000007</v>
      </c>
      <c r="AN552" s="9">
        <f t="shared" si="2644"/>
        <v>-8.8235294117646959</v>
      </c>
      <c r="AO552" s="653">
        <v>17.600000000000001</v>
      </c>
      <c r="AP552" s="9">
        <f t="shared" si="2645"/>
        <v>45.454545454545467</v>
      </c>
      <c r="AQ552" s="653">
        <v>9</v>
      </c>
      <c r="AR552" s="9">
        <f t="shared" si="2647"/>
        <v>-6.25</v>
      </c>
      <c r="AS552" s="653">
        <f t="shared" si="2648"/>
        <v>9</v>
      </c>
      <c r="AT552" s="9">
        <f t="shared" si="2649"/>
        <v>9.7560975609756184</v>
      </c>
      <c r="AU552" s="653">
        <f t="shared" si="2650"/>
        <v>9</v>
      </c>
      <c r="AV552" s="9">
        <f t="shared" si="2651"/>
        <v>-3.225806451612911</v>
      </c>
      <c r="AW552" s="653">
        <f t="shared" si="2652"/>
        <v>9</v>
      </c>
      <c r="AX552" s="9">
        <f t="shared" si="2653"/>
        <v>-48.863636363636367</v>
      </c>
      <c r="AY552" s="283"/>
      <c r="AZ552" s="64"/>
      <c r="BA552" s="9" t="str">
        <f>IF(ISERROR(#REF!/#REF!),"NA",IF(OR(#REF!/#REF!&gt;2,#REF!/#REF!&lt;0.5),"NM",#REF!/#REF!*100-100))</f>
        <v>NA</v>
      </c>
      <c r="BB552" s="55">
        <f>C552+E552+G552+I552</f>
        <v>20.399999999999999</v>
      </c>
      <c r="BC552" s="9" t="str">
        <f>IF(ISERROR(BB552/#REF!),"NA",IF(OR(BB552/#REF!&gt;2,BB552/#REF!&lt;0.5),"NM",BB552/#REF!*100-100))</f>
        <v>NA</v>
      </c>
      <c r="BD552" s="908">
        <f>K552+M552+O552+Q552</f>
        <v>25.4</v>
      </c>
      <c r="BE552" s="9">
        <f t="shared" si="2654"/>
        <v>24.509803921568633</v>
      </c>
      <c r="BF552" s="55">
        <f>S552+U552+W552+Y552</f>
        <v>28.900000000000002</v>
      </c>
      <c r="BG552" s="9">
        <f t="shared" si="2654"/>
        <v>13.77952755905514</v>
      </c>
      <c r="BH552" s="55">
        <f>AA552+AC552+AE552+AG552</f>
        <v>43.5</v>
      </c>
      <c r="BI552" s="9">
        <f t="shared" si="2654"/>
        <v>50.51903114186851</v>
      </c>
      <c r="BJ552" s="55">
        <f>AI552+AK552+AM552+AO552</f>
        <v>44.7</v>
      </c>
      <c r="BK552" s="9">
        <f t="shared" si="2654"/>
        <v>2.7586206896551744</v>
      </c>
      <c r="BL552" s="55">
        <f>AQ552+AS552+AU552+AW552</f>
        <v>36</v>
      </c>
      <c r="BM552" s="9">
        <f t="shared" si="2654"/>
        <v>-19.463087248322154</v>
      </c>
      <c r="BN552" s="653">
        <f>BL552</f>
        <v>36</v>
      </c>
      <c r="BO552" s="9">
        <f t="shared" si="2654"/>
        <v>0</v>
      </c>
      <c r="BP552" s="653">
        <f>BN552</f>
        <v>36</v>
      </c>
      <c r="BQ552" s="9">
        <f t="shared" si="2654"/>
        <v>0</v>
      </c>
      <c r="BR552" s="653">
        <f>BP552</f>
        <v>36</v>
      </c>
      <c r="BS552" s="9">
        <f t="shared" si="2654"/>
        <v>0</v>
      </c>
      <c r="BT552" s="653">
        <f>BR552</f>
        <v>36</v>
      </c>
      <c r="BU552" s="9">
        <f t="shared" si="2655"/>
        <v>0</v>
      </c>
      <c r="BV552" s="43">
        <f>IF(ISERROR(((BT552/BJ552)^0.2-1)*100),"NA",IF((((BT552/BJ552)^0.2-1)*100)&gt;100,"NM",IF((((BT552/BJ552)^0.2-1)*100)&lt;-50,"NM",((BT552/BJ552)^0.2-1)*100)))</f>
        <v>-4.2367237927163686</v>
      </c>
      <c r="BW552" s="141"/>
      <c r="BX552" s="722"/>
      <c r="BY552"/>
      <c r="BZ552"/>
      <c r="CA552"/>
      <c r="CB552"/>
      <c r="CC552"/>
      <c r="CD552"/>
    </row>
    <row r="553" spans="1:82" s="2" customFormat="1" ht="12.75" customHeight="1" x14ac:dyDescent="0.2">
      <c r="A553" s="41"/>
      <c r="B553" s="73" t="s">
        <v>545</v>
      </c>
      <c r="C553" s="653">
        <v>34.700000000000003</v>
      </c>
      <c r="D553" s="9" t="str">
        <f>IF(ISERROR(C553/#REF!),"NA",IF(OR(C553/#REF!&gt;2,C553/#REF!&lt;0.5),"NM",C553/#REF!*100-100))</f>
        <v>NA</v>
      </c>
      <c r="E553" s="653">
        <v>34.700000000000003</v>
      </c>
      <c r="F553" s="9" t="str">
        <f>IF(ISERROR(E553/#REF!),"NA",IF(OR(E553/#REF!&gt;2,E553/#REF!&lt;0.5),"NM",E553/#REF!*100-100))</f>
        <v>NA</v>
      </c>
      <c r="G553" s="653">
        <v>34.299999999999997</v>
      </c>
      <c r="H553" s="9" t="str">
        <f>IF(ISERROR(G553/#REF!),"NA",IF(OR(G553/#REF!&gt;2,G553/#REF!&lt;0.5),"NM",G553/#REF!*100-100))</f>
        <v>NA</v>
      </c>
      <c r="I553" s="653">
        <v>34.799999999999997</v>
      </c>
      <c r="J553" s="9" t="str">
        <f>IF(ISERROR(I553/#REF!),"NA",IF(OR(I553/#REF!&gt;2,I553/#REF!&lt;0.5),"NM",I553/#REF!*100-100))</f>
        <v>NA</v>
      </c>
      <c r="K553" s="653">
        <v>34.5</v>
      </c>
      <c r="L553" s="9">
        <f>IF(ISERROR(K553/C553),"NA",IF(OR(K553/C553&gt;2,K553/C553&lt;0.5),"NM",K553/C553*100-100))</f>
        <v>-0.57636887608070708</v>
      </c>
      <c r="M553" s="653">
        <v>32.700000000000003</v>
      </c>
      <c r="N553" s="9">
        <f>IF(ISERROR(M553/E553),"NA",IF(OR(M553/E553&gt;2,M553/E553&lt;0.5),"NM",M553/E553*100-100))</f>
        <v>-5.7636887608069145</v>
      </c>
      <c r="O553" s="653">
        <v>32.6</v>
      </c>
      <c r="P553" s="43">
        <f t="shared" si="2638"/>
        <v>-4.9562682215743337</v>
      </c>
      <c r="Q553" s="653">
        <v>32.6</v>
      </c>
      <c r="R553" s="9">
        <f>IF(ISERROR(Q553/I553),"NA",IF(OR(Q553/I553&gt;2,Q553/I553&lt;0.5),"NM",Q553/I553*100-100))</f>
        <v>-6.3218390804597533</v>
      </c>
      <c r="S553" s="653">
        <v>32.299999999999997</v>
      </c>
      <c r="T553" s="9">
        <f>IF(ISERROR(S553/K553),"NA",IF(OR(S553/K553&gt;2,S553/K553&lt;0.5),"NM",S553/K553*100-100))</f>
        <v>-6.3768115942029056</v>
      </c>
      <c r="U553" s="653">
        <v>37.1</v>
      </c>
      <c r="V553" s="9">
        <f>IF(ISERROR(U553/M553),"NA",IF(OR(U553/M553&gt;2,U553/M553&lt;0.5),"NM",U553/M553*100-100))</f>
        <v>13.455657492354732</v>
      </c>
      <c r="W553" s="653">
        <v>41.1</v>
      </c>
      <c r="X553" s="9">
        <f>IF(ISERROR(W553/O553),"NA",IF(OR(W553/O553&gt;2,W553/O553&lt;0.5),"NM",W553/O553*100-100))</f>
        <v>26.073619631901849</v>
      </c>
      <c r="Y553" s="653">
        <v>41.5</v>
      </c>
      <c r="Z553" s="9">
        <f t="shared" si="2639"/>
        <v>27.300613496932513</v>
      </c>
      <c r="AA553" s="653">
        <v>41.5</v>
      </c>
      <c r="AB553" s="9">
        <f t="shared" si="2640"/>
        <v>28.482972136222941</v>
      </c>
      <c r="AC553" s="653">
        <v>41.1</v>
      </c>
      <c r="AD553" s="9">
        <f t="shared" si="2641"/>
        <v>10.781671159029656</v>
      </c>
      <c r="AE553" s="653">
        <v>40.9</v>
      </c>
      <c r="AF553" s="9">
        <f>IF(ISERROR(AE553/W553),"NA",IF(OR(AE553/W553&gt;2,AE553/W553&lt;0.5),"NM",AE553/W553*100-100))</f>
        <v>-0.48661800486618745</v>
      </c>
      <c r="AG553" s="653">
        <v>39.5</v>
      </c>
      <c r="AH553" s="9">
        <f>IF(ISERROR(AG553/Y553),"NA",IF(OR(AG553/Y553&gt;2,AG553/Y553&lt;0.5),"NM",AG553/Y553*100-100))</f>
        <v>-4.819277108433738</v>
      </c>
      <c r="AI553" s="653">
        <v>36.4</v>
      </c>
      <c r="AJ553" s="9">
        <f t="shared" si="2642"/>
        <v>-12.289156626506028</v>
      </c>
      <c r="AK553" s="653">
        <v>36.5</v>
      </c>
      <c r="AL553" s="9">
        <f t="shared" si="2643"/>
        <v>-11.192214111922155</v>
      </c>
      <c r="AM553" s="653">
        <v>36.6</v>
      </c>
      <c r="AN553" s="9">
        <f t="shared" si="2644"/>
        <v>-10.513447432762831</v>
      </c>
      <c r="AO553" s="653">
        <v>36.5</v>
      </c>
      <c r="AP553" s="9">
        <f t="shared" si="2645"/>
        <v>-7.5949367088607573</v>
      </c>
      <c r="AQ553" s="653">
        <f t="shared" si="2646"/>
        <v>36.5</v>
      </c>
      <c r="AR553" s="9">
        <f t="shared" si="2647"/>
        <v>0.2747252747252702</v>
      </c>
      <c r="AS553" s="653">
        <f t="shared" si="2648"/>
        <v>36.5</v>
      </c>
      <c r="AT553" s="9">
        <f t="shared" si="2649"/>
        <v>0</v>
      </c>
      <c r="AU553" s="653">
        <f t="shared" si="2650"/>
        <v>36.5</v>
      </c>
      <c r="AV553" s="9">
        <f t="shared" si="2651"/>
        <v>-0.27322404371584241</v>
      </c>
      <c r="AW553" s="653">
        <f t="shared" si="2652"/>
        <v>36.5</v>
      </c>
      <c r="AX553" s="9">
        <f t="shared" si="2653"/>
        <v>0</v>
      </c>
      <c r="AY553" s="283"/>
      <c r="AZ553" s="64"/>
      <c r="BA553" s="9"/>
      <c r="BB553" s="55">
        <f>C553+E553+G553+I553</f>
        <v>138.5</v>
      </c>
      <c r="BC553" s="9" t="str">
        <f>IF(ISERROR(BB553/#REF!),"NA",IF(OR(BB553/#REF!&gt;2,BB553/#REF!&lt;0.5),"NM",BB553/#REF!*100-100))</f>
        <v>NA</v>
      </c>
      <c r="BD553" s="908">
        <f>K553+M553+O553+Q553</f>
        <v>132.4</v>
      </c>
      <c r="BE553" s="9">
        <f t="shared" si="2654"/>
        <v>-4.4043321299638905</v>
      </c>
      <c r="BF553" s="55">
        <f>S553+U553+W553+Y553</f>
        <v>152</v>
      </c>
      <c r="BG553" s="9">
        <f t="shared" si="2654"/>
        <v>14.803625377643499</v>
      </c>
      <c r="BH553" s="55">
        <f>AA553+AC553+AE553+AG553</f>
        <v>163</v>
      </c>
      <c r="BI553" s="9">
        <f t="shared" si="2654"/>
        <v>7.2368421052631646</v>
      </c>
      <c r="BJ553" s="55">
        <f>AI553+AK553+AM553+AO553</f>
        <v>146</v>
      </c>
      <c r="BK553" s="9">
        <f t="shared" si="2654"/>
        <v>-10.429447852760731</v>
      </c>
      <c r="BL553" s="55">
        <f>AQ553+AS553+AU553+AW553</f>
        <v>146</v>
      </c>
      <c r="BM553" s="9">
        <f t="shared" si="2654"/>
        <v>0</v>
      </c>
      <c r="BN553" s="653">
        <f>BL553*0.97</f>
        <v>141.62</v>
      </c>
      <c r="BO553" s="9">
        <f t="shared" si="2654"/>
        <v>-2.9999999999999858</v>
      </c>
      <c r="BP553" s="653">
        <f>BN553*1.02</f>
        <v>144.45240000000001</v>
      </c>
      <c r="BQ553" s="9">
        <f t="shared" si="2654"/>
        <v>2</v>
      </c>
      <c r="BR553" s="653">
        <f>BP553*1.02</f>
        <v>147.34144800000001</v>
      </c>
      <c r="BS553" s="9">
        <f t="shared" si="2654"/>
        <v>2</v>
      </c>
      <c r="BT553" s="653">
        <f>BR553*1.02</f>
        <v>150.28827696000002</v>
      </c>
      <c r="BU553" s="9">
        <f t="shared" si="2655"/>
        <v>2</v>
      </c>
      <c r="BV553" s="43">
        <f>IF(ISERROR(((BT553/BJ553)^0.2-1)*100),"NA",IF((((BT553/BJ553)^0.2-1)*100)&gt;100,"NM",IF((((BT553/BJ553)^0.2-1)*100)&lt;-50,"NM",((BT553/BJ553)^0.2-1)*100)))</f>
        <v>0.58065277889471911</v>
      </c>
      <c r="BW553" s="141"/>
      <c r="BX553" s="722"/>
      <c r="BY553"/>
      <c r="BZ553"/>
      <c r="CA553"/>
      <c r="CB553"/>
      <c r="CC553"/>
      <c r="CD553"/>
    </row>
    <row r="554" spans="1:82" s="2" customFormat="1" ht="12.75" customHeight="1" x14ac:dyDescent="0.2">
      <c r="A554" s="41"/>
      <c r="B554" s="62" t="s">
        <v>546</v>
      </c>
      <c r="C554" s="653">
        <v>1.4</v>
      </c>
      <c r="D554" s="9" t="str">
        <f>IF(ISERROR(C554/#REF!),"NA",IF(OR(C554/#REF!&gt;2,C554/#REF!&lt;0.5),"NM",C554/#REF!*100-100))</f>
        <v>NA</v>
      </c>
      <c r="E554" s="653">
        <f>1.4-0.8</f>
        <v>0.59999999999999987</v>
      </c>
      <c r="F554" s="9" t="str">
        <f>IF(ISERROR(E554/#REF!),"NA",IF(OR(E554/#REF!&gt;2,E554/#REF!&lt;0.5),"NM",E554/#REF!*100-100))</f>
        <v>NA</v>
      </c>
      <c r="G554" s="653">
        <f>1.4-8.9</f>
        <v>-7.5</v>
      </c>
      <c r="H554" s="9" t="str">
        <f>IF(ISERROR(G554/#REF!),"NA",IF(OR(G554/#REF!&gt;2,G554/#REF!&lt;0.5),"NM",G554/#REF!*100-100))</f>
        <v>NA</v>
      </c>
      <c r="I554" s="653">
        <f>1.5-5.1</f>
        <v>-3.5999999999999996</v>
      </c>
      <c r="J554" s="9" t="str">
        <f>IF(ISERROR(I554/#REF!),"NA",IF(OR(I554/#REF!&gt;2,I554/#REF!&lt;0.5),"NM",I554/#REF!*100-100))</f>
        <v>NA</v>
      </c>
      <c r="K554" s="653">
        <f>1.2-10.3</f>
        <v>-9.1000000000000014</v>
      </c>
      <c r="L554" s="9" t="str">
        <f>IF(ISERROR(K554/C554),"NA",IF(OR(K554/C554&gt;2,K554/C554&lt;0.5),"NM",K554/C554*100-100))</f>
        <v>NM</v>
      </c>
      <c r="M554" s="653">
        <f>1.2-14.2</f>
        <v>-13</v>
      </c>
      <c r="N554" s="9" t="str">
        <f>IF(ISERROR(M554/E554),"NA",IF(OR(M554/E554&gt;2,M554/E554&lt;0.5),"NM",M554/E554*100-100))</f>
        <v>NM</v>
      </c>
      <c r="O554" s="653">
        <f>1.4-8.2</f>
        <v>-6.7999999999999989</v>
      </c>
      <c r="P554" s="43">
        <f t="shared" si="2638"/>
        <v>-9.3333333333333428</v>
      </c>
      <c r="Q554" s="653">
        <f>1.4-8.2</f>
        <v>-6.7999999999999989</v>
      </c>
      <c r="R554" s="9">
        <f>IF(ISERROR(Q554/I554),"NA",IF(OR(Q554/I554&gt;2,Q554/I554&lt;0.5),"NM",Q554/I554*100-100))</f>
        <v>88.888888888888886</v>
      </c>
      <c r="S554" s="653">
        <f>1.6-17.2</f>
        <v>-15.6</v>
      </c>
      <c r="T554" s="9">
        <f>IF(ISERROR(S554/K554),"NA",IF(OR(S554/K554&gt;2,S554/K554&lt;0.5),"NM",S554/K554*100-100))</f>
        <v>71.428571428571388</v>
      </c>
      <c r="U554" s="653">
        <f>1.7-13.3</f>
        <v>-11.600000000000001</v>
      </c>
      <c r="V554" s="9">
        <f>IF(ISERROR(U554/M554),"NA",IF(OR(U554/M554&gt;2,U554/M554&lt;0.5),"NM",U554/M554*100-100))</f>
        <v>-10.769230769230759</v>
      </c>
      <c r="W554" s="653">
        <f>1.6-9.6</f>
        <v>-8</v>
      </c>
      <c r="X554" s="9">
        <f>IF(ISERROR(W554/O554),"NA",IF(OR(W554/O554&gt;2,W554/O554&lt;0.5),"NM",W554/O554*100-100))</f>
        <v>17.647058823529434</v>
      </c>
      <c r="Y554" s="653">
        <f>1.6-10.8</f>
        <v>-9.2000000000000011</v>
      </c>
      <c r="Z554" s="9">
        <f t="shared" si="2639"/>
        <v>35.29411764705884</v>
      </c>
      <c r="AA554" s="653">
        <f>2.1-19.8</f>
        <v>-17.7</v>
      </c>
      <c r="AB554" s="9">
        <f t="shared" si="2640"/>
        <v>13.461538461538453</v>
      </c>
      <c r="AC554" s="653">
        <f>1.7-14</f>
        <v>-12.3</v>
      </c>
      <c r="AD554" s="9">
        <f t="shared" si="2641"/>
        <v>6.0344827586206833</v>
      </c>
      <c r="AE554" s="653">
        <f>1.8-13.9</f>
        <v>-12.1</v>
      </c>
      <c r="AF554" s="9">
        <f>IF(ISERROR(AE554/W554),"NA",IF(OR(AE554/W554&gt;2,AE554/W554&lt;0.5),"NM",AE554/W554*100-100))</f>
        <v>51.25</v>
      </c>
      <c r="AG554" s="653">
        <f>1.8-15</f>
        <v>-13.2</v>
      </c>
      <c r="AH554" s="9">
        <f>IF(ISERROR(AG554/Y554),"NA",IF(OR(AG554/Y554&gt;2,AG554/Y554&lt;0.5),"NM",AG554/Y554*100-100))</f>
        <v>43.47826086956519</v>
      </c>
      <c r="AI554" s="653">
        <f>1.9+4.2</f>
        <v>6.1</v>
      </c>
      <c r="AJ554" s="9" t="str">
        <f t="shared" si="2642"/>
        <v>NM</v>
      </c>
      <c r="AK554" s="653">
        <f>1.8-17</f>
        <v>-15.2</v>
      </c>
      <c r="AL554" s="9">
        <f t="shared" si="2643"/>
        <v>23.57723577235771</v>
      </c>
      <c r="AM554" s="653">
        <f>2.2-23</f>
        <v>-20.8</v>
      </c>
      <c r="AN554" s="9">
        <f t="shared" si="2644"/>
        <v>71.900826446281002</v>
      </c>
      <c r="AO554" s="653">
        <f>2.3-11.9</f>
        <v>-9.6000000000000014</v>
      </c>
      <c r="AP554" s="9">
        <f t="shared" si="2645"/>
        <v>-27.272727272727266</v>
      </c>
      <c r="AQ554" s="653">
        <f>AO554</f>
        <v>-9.6000000000000014</v>
      </c>
      <c r="AR554" s="9" t="str">
        <f t="shared" si="2647"/>
        <v>NM</v>
      </c>
      <c r="AS554" s="653">
        <f>AQ554</f>
        <v>-9.6000000000000014</v>
      </c>
      <c r="AT554" s="9">
        <f t="shared" si="2649"/>
        <v>-36.84210526315789</v>
      </c>
      <c r="AU554" s="653">
        <f>AS554</f>
        <v>-9.6000000000000014</v>
      </c>
      <c r="AV554" s="9" t="str">
        <f t="shared" si="2651"/>
        <v>NM</v>
      </c>
      <c r="AW554" s="653">
        <f>AU554</f>
        <v>-9.6000000000000014</v>
      </c>
      <c r="AX554" s="9">
        <f t="shared" si="2653"/>
        <v>0</v>
      </c>
      <c r="AY554" s="283"/>
      <c r="AZ554" s="64"/>
      <c r="BA554" s="9" t="str">
        <f>IF(ISERROR(#REF!/#REF!),"NA",IF(OR(#REF!/#REF!&gt;2,#REF!/#REF!&lt;0.5),"NM",#REF!/#REF!*100-100))</f>
        <v>NA</v>
      </c>
      <c r="BB554" s="55">
        <f>C554+E554+G554+I554</f>
        <v>-9.1</v>
      </c>
      <c r="BC554" s="9" t="str">
        <f>IF(ISERROR(BB554/#REF!),"NA",IF(OR(BB554/#REF!&gt;2,BB554/#REF!&lt;0.5),"NM",BB554/#REF!*100-100))</f>
        <v>NA</v>
      </c>
      <c r="BD554" s="908">
        <f>K554+M554+O554+Q554</f>
        <v>-35.699999999999996</v>
      </c>
      <c r="BE554" s="9" t="str">
        <f t="shared" si="2654"/>
        <v>NM</v>
      </c>
      <c r="BF554" s="55">
        <f>S554+U554+W554+Y554</f>
        <v>-44.400000000000006</v>
      </c>
      <c r="BG554" s="9">
        <f t="shared" si="2654"/>
        <v>24.369747899159691</v>
      </c>
      <c r="BH554" s="55">
        <f>AA554+AC554+AE554+AG554</f>
        <v>-55.3</v>
      </c>
      <c r="BI554" s="9">
        <f t="shared" si="2654"/>
        <v>24.549549549549539</v>
      </c>
      <c r="BJ554" s="55">
        <f>AI554+AK554+AM554+AO554</f>
        <v>-39.5</v>
      </c>
      <c r="BK554" s="9">
        <f t="shared" si="2654"/>
        <v>-28.571428571428569</v>
      </c>
      <c r="BL554" s="55">
        <f>AQ554+AS554+AU554+AW554</f>
        <v>-38.400000000000006</v>
      </c>
      <c r="BM554" s="9">
        <f t="shared" si="2654"/>
        <v>-2.7848101265822578</v>
      </c>
      <c r="BN554" s="615">
        <f>BL554</f>
        <v>-38.400000000000006</v>
      </c>
      <c r="BO554" s="9">
        <f t="shared" si="2654"/>
        <v>0</v>
      </c>
      <c r="BP554" s="615">
        <f>BN554</f>
        <v>-38.400000000000006</v>
      </c>
      <c r="BQ554" s="9">
        <f t="shared" si="2654"/>
        <v>0</v>
      </c>
      <c r="BR554" s="615">
        <f>BP554</f>
        <v>-38.400000000000006</v>
      </c>
      <c r="BS554" s="9">
        <f t="shared" si="2654"/>
        <v>0</v>
      </c>
      <c r="BT554" s="615">
        <f>BR554</f>
        <v>-38.400000000000006</v>
      </c>
      <c r="BU554" s="9">
        <f t="shared" si="2655"/>
        <v>0</v>
      </c>
      <c r="BV554" s="43">
        <f>IF(ISERROR(((BT554/BJ554)^0.2-1)*100),"NA",IF((((BT554/BJ554)^0.2-1)*100)&gt;100,"NM",IF((((BT554/BJ554)^0.2-1)*100)&lt;-50,"NM",((BT554/BJ554)^0.2-1)*100)))</f>
        <v>-0.56327188781631898</v>
      </c>
      <c r="BW554" s="722"/>
      <c r="BX554" s="722"/>
      <c r="BY554"/>
      <c r="BZ554"/>
      <c r="CA554"/>
      <c r="CB554"/>
      <c r="CC554"/>
      <c r="CD554"/>
    </row>
    <row r="555" spans="1:82" s="2" customFormat="1" ht="12.75" customHeight="1" x14ac:dyDescent="0.2">
      <c r="A555" s="66"/>
      <c r="B555" s="74" t="s">
        <v>484</v>
      </c>
      <c r="C555" s="695">
        <f>SUM(C551,C552,C553,C554)</f>
        <v>39.700000000000003</v>
      </c>
      <c r="D555" s="9" t="str">
        <f>IF(ISERROR(C555/#REF!),"NA",IF(OR(C555/#REF!&gt;2,C555/#REF!&lt;0.5),"NM",C555/#REF!*100-100))</f>
        <v>NA</v>
      </c>
      <c r="E555" s="695">
        <f>SUM(E551,E552,E553,E554)</f>
        <v>37.400000000000006</v>
      </c>
      <c r="F555" s="9" t="str">
        <f>IF(ISERROR(E555/#REF!),"NA",IF(OR(E555/#REF!&gt;2,E555/#REF!&lt;0.5),"NM",E555/#REF!*100-100))</f>
        <v>NA</v>
      </c>
      <c r="G555" s="695">
        <f>SUM(G551,G552,G553,G554)</f>
        <v>29.4</v>
      </c>
      <c r="H555" s="9" t="str">
        <f>IF(ISERROR(G555/#REF!),"NA",IF(OR(G555/#REF!&gt;2,G555/#REF!&lt;0.5),"NM",G555/#REF!*100-100))</f>
        <v>NA</v>
      </c>
      <c r="I555" s="695">
        <f>SUM(I551,I552,I553,I554)</f>
        <v>34.299999999999997</v>
      </c>
      <c r="J555" s="9" t="str">
        <f>IF(ISERROR(I555/#REF!),"NA",IF(OR(I555/#REF!&gt;2,I555/#REF!&lt;0.5),"NM",I555/#REF!*100-100))</f>
        <v>NA</v>
      </c>
      <c r="K555" s="695">
        <f>SUM(K551,K552,K553,K554)</f>
        <v>33.9</v>
      </c>
      <c r="L555" s="9">
        <f>IF(ISERROR(K555/C555),"NA",IF(OR(K555/C555&gt;2,K555/C555&lt;0.5),"NM",K555/C555*100-100))</f>
        <v>-14.609571788413106</v>
      </c>
      <c r="M555" s="695">
        <f>SUM(M551,M552,M553,M554)</f>
        <v>23</v>
      </c>
      <c r="N555" s="9">
        <f>IF(ISERROR(M555/E555),"NA",IF(OR(M555/E555&gt;2,M555/E555&lt;0.5),"NM",M555/E555*100-100))</f>
        <v>-38.502673796791456</v>
      </c>
      <c r="O555" s="695">
        <f>SUM(O551,O552,O553,O554)</f>
        <v>29.400000000000006</v>
      </c>
      <c r="P555" s="43">
        <f t="shared" si="2638"/>
        <v>2.8421709430404007E-14</v>
      </c>
      <c r="Q555" s="695">
        <f>SUM(Q551,Q552,Q553,Q554)</f>
        <v>30.700000000000003</v>
      </c>
      <c r="R555" s="9">
        <f>IF(ISERROR(Q555/I555),"NA",IF(OR(Q555/I555&gt;2,Q555/I555&lt;0.5),"NM",Q555/I555*100-100))</f>
        <v>-10.495626822157419</v>
      </c>
      <c r="S555" s="695">
        <f>SUM(S551,S552,S553,S554)</f>
        <v>30.4</v>
      </c>
      <c r="T555" s="9">
        <f>IF(ISERROR(S555/K555),"NA",IF(OR(S555/K555&gt;2,S555/K555&lt;0.5),"NM",S555/K555*100-100))</f>
        <v>-10.324483775811217</v>
      </c>
      <c r="U555" s="695">
        <f>SUM(U551,U552,U553,U554)</f>
        <v>30.300000000000004</v>
      </c>
      <c r="V555" s="9">
        <f>IF(ISERROR(U555/M555),"NA",IF(OR(U555/M555&gt;2,U555/M555&lt;0.5),"NM",U555/M555*100-100))</f>
        <v>31.739130434782624</v>
      </c>
      <c r="W555" s="695">
        <f t="shared" ref="W555:Y555" si="2656">SUM(W551,W552,W553,W554)</f>
        <v>37.6</v>
      </c>
      <c r="X555" s="9">
        <f>IF(ISERROR(W555/O555),"NA",IF(OR(W555/O555&gt;2,W555/O555&lt;0.5),"NM",W555/O555*100-100))</f>
        <v>27.891156462585016</v>
      </c>
      <c r="Y555" s="695">
        <f t="shared" si="2656"/>
        <v>36.4</v>
      </c>
      <c r="Z555" s="9">
        <f t="shared" si="2639"/>
        <v>18.566775244299663</v>
      </c>
      <c r="AA555" s="695">
        <f t="shared" ref="AA555:AC555" si="2657">SUM(AA551,AA552,AA553,AA554)</f>
        <v>40.099999999999994</v>
      </c>
      <c r="AB555" s="9">
        <f t="shared" si="2640"/>
        <v>31.90789473684211</v>
      </c>
      <c r="AC555" s="695">
        <f t="shared" si="2657"/>
        <v>37.099999999999994</v>
      </c>
      <c r="AD555" s="9">
        <f t="shared" si="2641"/>
        <v>22.44224422442241</v>
      </c>
      <c r="AE555" s="695">
        <f t="shared" ref="AE555:AG555" si="2658">SUM(AE551,AE552,AE553,AE554)</f>
        <v>36.799999999999997</v>
      </c>
      <c r="AF555" s="9">
        <f>IF(ISERROR(AE555/W555),"NA",IF(OR(AE555/W555&gt;2,AE555/W555&lt;0.5),"NM",AE555/W555*100-100))</f>
        <v>-2.1276595744680975</v>
      </c>
      <c r="AG555" s="695">
        <f t="shared" si="2658"/>
        <v>36.099999999999994</v>
      </c>
      <c r="AH555" s="9">
        <f>IF(ISERROR(AG555/Y555),"NA",IF(OR(AG555/Y555&gt;2,AG555/Y555&lt;0.5),"NM",AG555/Y555*100-100))</f>
        <v>-0.82417582417583901</v>
      </c>
      <c r="AI555" s="695">
        <f t="shared" ref="AI555:AK555" si="2659">SUM(AI551,AI552,AI553,AI554)</f>
        <v>56.9</v>
      </c>
      <c r="AJ555" s="9">
        <f t="shared" si="2642"/>
        <v>41.895261845386557</v>
      </c>
      <c r="AK555" s="695">
        <f t="shared" si="2659"/>
        <v>27.2</v>
      </c>
      <c r="AL555" s="9">
        <f t="shared" si="2643"/>
        <v>-26.684636118598377</v>
      </c>
      <c r="AM555" s="695">
        <f t="shared" ref="AM555:AO555" si="2660">SUM(AM551,AM552,AM553,AM554)</f>
        <v>22.3</v>
      </c>
      <c r="AN555" s="9">
        <f t="shared" si="2644"/>
        <v>-39.40217391304347</v>
      </c>
      <c r="AO555" s="695">
        <f t="shared" si="2660"/>
        <v>42.4</v>
      </c>
      <c r="AP555" s="9">
        <f t="shared" si="2645"/>
        <v>17.45152354570638</v>
      </c>
      <c r="AQ555" s="695">
        <f t="shared" ref="AQ555:AW555" si="2661">SUM(AQ551,AQ552,AQ553,AQ554)</f>
        <v>33.799999999999997</v>
      </c>
      <c r="AR555" s="9">
        <f t="shared" si="2647"/>
        <v>-40.597539543058005</v>
      </c>
      <c r="AS555" s="695">
        <f t="shared" si="2661"/>
        <v>33.799999999999997</v>
      </c>
      <c r="AT555" s="9">
        <f t="shared" si="2649"/>
        <v>24.264705882352942</v>
      </c>
      <c r="AU555" s="695">
        <f t="shared" si="2661"/>
        <v>33.799999999999997</v>
      </c>
      <c r="AV555" s="9">
        <f t="shared" si="2651"/>
        <v>51.569506726457405</v>
      </c>
      <c r="AW555" s="695">
        <f t="shared" si="2661"/>
        <v>33.799999999999997</v>
      </c>
      <c r="AX555" s="9">
        <f t="shared" si="2653"/>
        <v>-20.283018867924525</v>
      </c>
      <c r="AY555" s="284"/>
      <c r="AZ555" s="68"/>
      <c r="BA555" s="9" t="str">
        <f>IF(ISERROR(#REF!/#REF!),"NA",IF(OR(#REF!/#REF!&gt;2,#REF!/#REF!&lt;0.5),"NM",#REF!/#REF!*100-100))</f>
        <v>NA</v>
      </c>
      <c r="BB555" s="695">
        <f>BB551+BB552+BB553+BB554</f>
        <v>140.80000000000001</v>
      </c>
      <c r="BC555" s="9" t="str">
        <f>IF(ISERROR(BB555/#REF!),"NA",IF(OR(BB555/#REF!&gt;2,BB555/#REF!&lt;0.5),"NM",BB555/#REF!*100-100))</f>
        <v>NA</v>
      </c>
      <c r="BD555" s="912">
        <f t="shared" ref="BD555:BP555" si="2662">BD551+BD552+BD553+BD554</f>
        <v>117</v>
      </c>
      <c r="BE555" s="9">
        <f t="shared" si="2654"/>
        <v>-16.903409090909093</v>
      </c>
      <c r="BF555" s="695">
        <f t="shared" si="2662"/>
        <v>134.69999999999999</v>
      </c>
      <c r="BG555" s="9">
        <f t="shared" si="2654"/>
        <v>15.128205128205124</v>
      </c>
      <c r="BH555" s="695">
        <f t="shared" si="2662"/>
        <v>150.10000000000002</v>
      </c>
      <c r="BI555" s="9">
        <f t="shared" si="2654"/>
        <v>11.432813659985186</v>
      </c>
      <c r="BJ555" s="695">
        <f t="shared" ref="BJ555" si="2663">BJ551+BJ552+BJ553+BJ554</f>
        <v>148.80000000000001</v>
      </c>
      <c r="BK555" s="9">
        <f t="shared" si="2654"/>
        <v>-0.86608927381746525</v>
      </c>
      <c r="BL555" s="695">
        <f t="shared" ref="BL555" si="2664">BL551+BL552+BL553+BL554</f>
        <v>135.19999999999999</v>
      </c>
      <c r="BM555" s="9">
        <f t="shared" si="2654"/>
        <v>-9.1397849462365741</v>
      </c>
      <c r="BN555" s="695">
        <f t="shared" si="2662"/>
        <v>130.4</v>
      </c>
      <c r="BO555" s="9">
        <f t="shared" si="2654"/>
        <v>-3.5502958579881465</v>
      </c>
      <c r="BP555" s="695">
        <f t="shared" si="2662"/>
        <v>132.79140000000001</v>
      </c>
      <c r="BQ555" s="9">
        <f t="shared" si="2654"/>
        <v>1.8338957055214848</v>
      </c>
      <c r="BR555" s="695">
        <f t="shared" ref="BR555:BT555" si="2665">BR551+BR552+BR553+BR554</f>
        <v>135.217398</v>
      </c>
      <c r="BS555" s="9">
        <f t="shared" si="2654"/>
        <v>1.8269240327310428</v>
      </c>
      <c r="BT555" s="695">
        <f t="shared" si="2665"/>
        <v>137.67802446000002</v>
      </c>
      <c r="BU555" s="9">
        <f t="shared" si="2655"/>
        <v>1.8197558127837965</v>
      </c>
      <c r="BV555" s="43">
        <f>IF(ISERROR(((BT555/BJ555)^0.2-1)*100),"NA",IF((((BT555/BJ555)^0.2-1)*100)&gt;100,"NM",IF((((BT555/BJ555)^0.2-1)*100)&lt;-50,"NM",((BT555/BJ555)^0.2-1)*100)))</f>
        <v>-1.5416986386970755</v>
      </c>
      <c r="BW555" s="141"/>
      <c r="BX555" s="722"/>
      <c r="BY555"/>
      <c r="BZ555"/>
      <c r="CA555"/>
      <c r="CB555"/>
      <c r="CC555"/>
      <c r="CD555"/>
    </row>
    <row r="556" spans="1:82" s="2" customFormat="1" ht="12.75" customHeight="1" x14ac:dyDescent="0.2">
      <c r="A556" s="41"/>
      <c r="B556" s="73"/>
      <c r="C556" s="691"/>
      <c r="D556" s="40"/>
      <c r="E556" s="691"/>
      <c r="F556" s="40"/>
      <c r="G556" s="691"/>
      <c r="H556" s="40"/>
      <c r="I556" s="691"/>
      <c r="J556" s="40"/>
      <c r="K556" s="691"/>
      <c r="L556" s="40"/>
      <c r="M556" s="691"/>
      <c r="N556" s="40"/>
      <c r="O556" s="691"/>
      <c r="P556" s="40"/>
      <c r="Q556" s="691"/>
      <c r="R556" s="40"/>
      <c r="S556" s="691"/>
      <c r="T556" s="40"/>
      <c r="U556" s="691"/>
      <c r="V556" s="40"/>
      <c r="W556" s="691"/>
      <c r="X556" s="40"/>
      <c r="Y556" s="691"/>
      <c r="Z556" s="40"/>
      <c r="AA556" s="691"/>
      <c r="AB556" s="40"/>
      <c r="AC556" s="691"/>
      <c r="AD556" s="40"/>
      <c r="AE556" s="691"/>
      <c r="AF556" s="40"/>
      <c r="AG556" s="691"/>
      <c r="AH556" s="40"/>
      <c r="AI556" s="691"/>
      <c r="AJ556" s="40"/>
      <c r="AK556" s="691"/>
      <c r="AL556" s="40"/>
      <c r="AM556" s="691"/>
      <c r="AN556" s="40"/>
      <c r="AO556" s="691"/>
      <c r="AP556" s="40"/>
      <c r="AQ556" s="691"/>
      <c r="AR556" s="40"/>
      <c r="AS556" s="691"/>
      <c r="AT556" s="40"/>
      <c r="AU556" s="691"/>
      <c r="AV556" s="40"/>
      <c r="AW556" s="691"/>
      <c r="AX556" s="40"/>
      <c r="AY556" s="279"/>
      <c r="AZ556" s="15"/>
      <c r="BA556" s="40"/>
      <c r="BB556" s="61"/>
      <c r="BC556" s="9"/>
      <c r="BD556" s="950"/>
      <c r="BE556" s="9"/>
      <c r="BF556" s="61"/>
      <c r="BG556" s="9"/>
      <c r="BH556" s="61"/>
      <c r="BI556" s="9"/>
      <c r="BJ556" s="61"/>
      <c r="BK556" s="9"/>
      <c r="BL556" s="61"/>
      <c r="BM556" s="9"/>
      <c r="BN556" s="691"/>
      <c r="BO556" s="9"/>
      <c r="BP556" s="691"/>
      <c r="BQ556" s="9"/>
      <c r="BR556" s="691"/>
      <c r="BS556" s="9"/>
      <c r="BT556" s="691"/>
      <c r="BU556" s="9"/>
      <c r="BV556" s="141"/>
      <c r="BW556" s="141"/>
      <c r="BX556" s="722"/>
      <c r="BY556"/>
      <c r="BZ556"/>
      <c r="CA556"/>
      <c r="CB556"/>
      <c r="CC556"/>
      <c r="CD556"/>
    </row>
    <row r="557" spans="1:82" s="2" customFormat="1" ht="12.75" customHeight="1" x14ac:dyDescent="0.2">
      <c r="A557" s="41"/>
      <c r="B557" s="67" t="s">
        <v>485</v>
      </c>
      <c r="C557" s="691">
        <f>+C548-C555</f>
        <v>-43.900000000000006</v>
      </c>
      <c r="D557" s="705" t="str">
        <f>IF(ISERROR(C557/#REF!),"NA",IF(OR(C557/#REF!&gt;2,C557/#REF!&lt;0.5),"NM",C557/#REF!*100-100))</f>
        <v>NA</v>
      </c>
      <c r="E557" s="691">
        <f>+E548-E555</f>
        <v>-48.900000000000006</v>
      </c>
      <c r="F557" s="232" t="str">
        <f>IF(ISERROR(E557/#REF!),"NA",IF(OR(E557/#REF!&gt;2,E557/#REF!&lt;0.5),"NM",E557/#REF!*100-100))</f>
        <v>NA</v>
      </c>
      <c r="G557" s="691">
        <f>+G548-G555</f>
        <v>-41.199999999999996</v>
      </c>
      <c r="H557" s="232" t="str">
        <f>IF(ISERROR(G557/#REF!),"NA",IF(OR(G557/#REF!&gt;2,G557/#REF!&lt;0.5),"NM",G557/#REF!*100-100))</f>
        <v>NA</v>
      </c>
      <c r="I557" s="691">
        <f>+I548-I555</f>
        <v>-58</v>
      </c>
      <c r="J557" s="9" t="str">
        <f>IF(ISERROR(I557/#REF!),"NA",IF(OR(I557/#REF!&gt;2,I557/#REF!&lt;0.5),"NM",I557/#REF!*100-100))</f>
        <v>NA</v>
      </c>
      <c r="K557" s="691">
        <f>+K548-K555</f>
        <v>-25.4</v>
      </c>
      <c r="L557" s="9">
        <f t="shared" ref="L557:L564" si="2666">IF(ISERROR(K557/C557),"NA",IF(OR(K557/C557&gt;2,K557/C557&lt;0.5),"NM",K557/C557*100-100))</f>
        <v>-42.141230068337144</v>
      </c>
      <c r="M557" s="691">
        <f>+M548-M555</f>
        <v>-39.700000000000003</v>
      </c>
      <c r="N557" s="9">
        <f>IF(ISERROR(M557/E557),"NA",IF(OR(M557/E557&gt;2,M557/E557&lt;0.5),"NM",M557/E557*100-100))</f>
        <v>-18.813905930470355</v>
      </c>
      <c r="O557" s="691">
        <f>+O548-O555</f>
        <v>-42.7</v>
      </c>
      <c r="P557" s="43">
        <f t="shared" si="2638"/>
        <v>3.6407766990291321</v>
      </c>
      <c r="Q557" s="691">
        <f>+Q548-Q555</f>
        <v>-49.5</v>
      </c>
      <c r="R557" s="9">
        <f>IF(ISERROR(Q557/I557),"NA",IF(OR(Q557/I557&gt;2,Q557/I557&lt;0.5),"NM",Q557/I557*100-100))</f>
        <v>-14.65517241379311</v>
      </c>
      <c r="S557" s="691">
        <f>+S548-S555</f>
        <v>-37.1</v>
      </c>
      <c r="T557" s="43">
        <f t="shared" si="2638"/>
        <v>46.062992125984266</v>
      </c>
      <c r="U557" s="691">
        <f>+U548-U555</f>
        <v>-39.300000000000004</v>
      </c>
      <c r="V557" s="9">
        <f>IF(ISERROR(U557/M557),"NA",IF(OR(U557/M557&gt;2,U557/M557&lt;0.5),"NM",U557/M557*100-100))</f>
        <v>-1.0075566750629719</v>
      </c>
      <c r="W557" s="691">
        <f>+W548-W555</f>
        <v>-54.1</v>
      </c>
      <c r="X557" s="9">
        <f>IF(ISERROR(W557/O557),"NA",IF(OR(W557/O557&gt;2,W557/O557&lt;0.5),"NM",W557/O557*100-100))</f>
        <v>26.697892271662752</v>
      </c>
      <c r="Y557" s="691">
        <f>+Y548-Y555</f>
        <v>-54.699999999999996</v>
      </c>
      <c r="Z557" s="9">
        <f t="shared" ref="Z557:Z559" si="2667">IF(ISERROR(Y557/Q557),"NA",IF(OR(Y557/Q557&gt;2,Y557/Q557&lt;0.5),"NM",Y557/Q557*100-100))</f>
        <v>10.505050505050505</v>
      </c>
      <c r="AA557" s="691">
        <f>+AA548-AA555</f>
        <v>-53.199999999999989</v>
      </c>
      <c r="AB557" s="9">
        <f t="shared" ref="AB557:AB559" si="2668">IF(ISERROR(AA557/S557),"NA",IF(OR(AA557/S557&gt;2,AA557/S557&lt;0.5),"NM",AA557/S557*100-100))</f>
        <v>43.396226415094304</v>
      </c>
      <c r="AC557" s="691">
        <f>+AC548-AC555</f>
        <v>-54.599999999999994</v>
      </c>
      <c r="AD557" s="9">
        <f t="shared" ref="AD557:AD559" si="2669">IF(ISERROR(AC557/U557),"NA",IF(OR(AC557/U557&gt;2,AC557/U557&lt;0.5),"NM",AC557/U557*100-100))</f>
        <v>38.931297709923626</v>
      </c>
      <c r="AE557" s="691">
        <f>+AE548-AE555</f>
        <v>-57.8</v>
      </c>
      <c r="AF557" s="9">
        <f>IF(ISERROR(AE557/W557),"NA",IF(OR(AE557/W557&gt;2,AE557/W557&lt;0.5),"NM",AE557/W557*100-100))</f>
        <v>6.8391866913123778</v>
      </c>
      <c r="AG557" s="691">
        <f>+AG548-AG555</f>
        <v>-30.799999999999997</v>
      </c>
      <c r="AH557" s="9">
        <f>IF(ISERROR(AG557/Y557),"NA",IF(OR(AG557/Y557&gt;2,AG557/Y557&lt;0.5),"NM",AG557/Y557*100-100))</f>
        <v>-43.692870201096888</v>
      </c>
      <c r="AI557" s="691">
        <f>+AI548-AI555</f>
        <v>-58.4</v>
      </c>
      <c r="AJ557" s="9">
        <f t="shared" ref="AJ557:AJ559" si="2670">IF(ISERROR(AI557/AA557),"NA",IF(OR(AI557/AA557&gt;2,AI557/AA557&lt;0.5),"NM",AI557/AA557*100-100))</f>
        <v>9.774436090225592</v>
      </c>
      <c r="AK557" s="691">
        <f>+AK548-AK555</f>
        <v>-47</v>
      </c>
      <c r="AL557" s="9">
        <f t="shared" ref="AL557:AL559" si="2671">IF(ISERROR(AK557/AC557),"NA",IF(OR(AK557/AC557&gt;2,AK557/AC557&lt;0.5),"NM",AK557/AC557*100-100))</f>
        <v>-13.919413919413913</v>
      </c>
      <c r="AM557" s="691">
        <f>+AM548-AM555</f>
        <v>-42.599999999999994</v>
      </c>
      <c r="AN557" s="9">
        <f t="shared" ref="AN557:AN559" si="2672">IF(ISERROR(AM557/AE557),"NA",IF(OR(AM557/AE557&gt;2,AM557/AE557&lt;0.5),"NM",AM557/AE557*100-100))</f>
        <v>-26.297577854671289</v>
      </c>
      <c r="AO557" s="691">
        <f>+AO548-AO555</f>
        <v>-61.599999999999994</v>
      </c>
      <c r="AP557" s="9">
        <f t="shared" ref="AP557:AP559" si="2673">IF(ISERROR(AO557/AG557),"NA",IF(OR(AO557/AG557&gt;2,AO557/AG557&lt;0.5),"NM",AO557/AG557*100-100))</f>
        <v>100</v>
      </c>
      <c r="AQ557" s="691">
        <f t="shared" ref="AQ557:AW557" si="2674">+AQ548-AQ555</f>
        <v>-51.583999999999989</v>
      </c>
      <c r="AR557" s="9">
        <f t="shared" ref="AR557:AR559" si="2675">IF(ISERROR(AQ557/AI557),"NA",IF(OR(AQ557/AI557&gt;2,AQ557/AI557&lt;0.5),"NM",AQ557/AI557*100-100))</f>
        <v>-11.671232876712338</v>
      </c>
      <c r="AS557" s="691">
        <f t="shared" si="2674"/>
        <v>-51.583999999999989</v>
      </c>
      <c r="AT557" s="9">
        <f t="shared" ref="AT557:AT559" si="2676">IF(ISERROR(AS557/AK557),"NA",IF(OR(AS557/AK557&gt;2,AS557/AK557&lt;0.5),"NM",AS557/AK557*100-100))</f>
        <v>9.7531914893616687</v>
      </c>
      <c r="AU557" s="691">
        <f t="shared" si="2674"/>
        <v>-51.583999999999989</v>
      </c>
      <c r="AV557" s="9">
        <f t="shared" ref="AV557:AV559" si="2677">IF(ISERROR(AU557/AM557),"NA",IF(OR(AU557/AM557&gt;2,AU557/AM557&lt;0.5),"NM",AU557/AM557*100-100))</f>
        <v>21.089201877934258</v>
      </c>
      <c r="AW557" s="691">
        <f t="shared" si="2674"/>
        <v>-51.583999999999989</v>
      </c>
      <c r="AX557" s="9">
        <f t="shared" ref="AX557:AX559" si="2678">IF(ISERROR(AW557/AO557),"NA",IF(OR(AW557/AO557&gt;2,AW557/AO557&lt;0.5),"NM",AW557/AO557*100-100))</f>
        <v>-16.259740259740269</v>
      </c>
      <c r="AY557" s="279"/>
      <c r="AZ557" s="15"/>
      <c r="BA557" s="9" t="str">
        <f>IF(ISERROR(#REF!/#REF!),"NA",IF(OR(#REF!/#REF!&gt;2,#REF!/#REF!&lt;0.5),"NM",#REF!/#REF!*100-100))</f>
        <v>NA</v>
      </c>
      <c r="BB557" s="55">
        <f>C557+E557+G557+I557</f>
        <v>-192</v>
      </c>
      <c r="BC557" s="9" t="str">
        <f>IF(ISERROR(BB557/#REF!),"NA",IF(OR(BB557/#REF!&gt;2,BB557/#REF!&lt;0.5),"NM",BB557/#REF!*100-100))</f>
        <v>NA</v>
      </c>
      <c r="BD557" s="908">
        <f>K557+M557+O557+Q557</f>
        <v>-157.30000000000001</v>
      </c>
      <c r="BE557" s="9">
        <f t="shared" ref="BE557:BS559" si="2679">IF(ISERROR(BD557/BB557),"NA",IF(OR(BD557/BB557&gt;2,BD557/BB557&lt;0.5),"NM",BD557/BB557*100-100))</f>
        <v>-18.072916666666657</v>
      </c>
      <c r="BF557" s="55">
        <f>S557+U557+W557+Y557</f>
        <v>-185.2</v>
      </c>
      <c r="BG557" s="9">
        <f t="shared" si="2679"/>
        <v>17.736808645899544</v>
      </c>
      <c r="BH557" s="55">
        <f>AA557+AC557+AE557+AG557</f>
        <v>-196.39999999999998</v>
      </c>
      <c r="BI557" s="9">
        <f t="shared" si="2679"/>
        <v>6.047516198704102</v>
      </c>
      <c r="BJ557" s="55">
        <f>AI557+AK557+AM557+AO557</f>
        <v>-209.6</v>
      </c>
      <c r="BK557" s="9">
        <f t="shared" si="2679"/>
        <v>6.7209775967413492</v>
      </c>
      <c r="BL557" s="55">
        <f>AQ557+AS557+AU557+AW557</f>
        <v>-206.33599999999996</v>
      </c>
      <c r="BM557" s="9">
        <f t="shared" si="2679"/>
        <v>-1.5572519083969638</v>
      </c>
      <c r="BN557" s="49">
        <f t="shared" ref="BN557:BP557" si="2680">BN548-BN555</f>
        <v>-207.0368</v>
      </c>
      <c r="BO557" s="9">
        <f t="shared" si="2679"/>
        <v>0.33964019851117655</v>
      </c>
      <c r="BP557" s="49">
        <f t="shared" si="2680"/>
        <v>-215.24292</v>
      </c>
      <c r="BQ557" s="9">
        <f t="shared" si="2679"/>
        <v>3.9636045379372291</v>
      </c>
      <c r="BR557" s="49">
        <f t="shared" ref="BR557:BT557" si="2681">BR548-BR555</f>
        <v>-223.81403159999999</v>
      </c>
      <c r="BS557" s="9">
        <f t="shared" si="2679"/>
        <v>3.9820643577962898</v>
      </c>
      <c r="BT557" s="49">
        <f t="shared" si="2681"/>
        <v>-232.76747809200003</v>
      </c>
      <c r="BU557" s="9">
        <f t="shared" ref="BU557:BU559" si="2682">IF(ISERROR(BT557/BR557),"NA",IF(OR(BT557/BR557&gt;2,BT557/BR557&lt;0.5),"NM",BT557/BR557*100-100))</f>
        <v>4.0003955194380438</v>
      </c>
      <c r="BV557" s="43">
        <f>IF(ISERROR(((BT557/BJ557)^0.2-1)*100),"NA",IF((((BT557/BJ557)^0.2-1)*100)&gt;100,"NM",IF((((BT557/BJ557)^0.2-1)*100)&lt;-50,"NM",((BT557/BJ557)^0.2-1)*100)))</f>
        <v>2.1189179995649621</v>
      </c>
      <c r="BW557" s="141"/>
      <c r="BX557" s="722"/>
      <c r="BY557"/>
      <c r="BZ557"/>
      <c r="CA557"/>
      <c r="CB557"/>
      <c r="CC557"/>
      <c r="CD557"/>
    </row>
    <row r="558" spans="1:82" s="2" customFormat="1" ht="12.75" customHeight="1" x14ac:dyDescent="0.2">
      <c r="A558" s="41"/>
      <c r="B558" s="73" t="s">
        <v>554</v>
      </c>
      <c r="C558" s="645">
        <v>0.2</v>
      </c>
      <c r="D558" s="771" t="str">
        <f>IF(ISERROR(C558/#REF!),"NA",IF(OR(C558/#REF!&gt;2,C558/#REF!&lt;0.5),"NM",C558/#REF!*100-100))</f>
        <v>NA</v>
      </c>
      <c r="E558" s="645">
        <v>0.1</v>
      </c>
      <c r="F558" s="705" t="str">
        <f>IF(ISERROR(E558/#REF!),"NA",IF(OR(E558/#REF!&gt;2,E558/#REF!&lt;0.5),"NM",E558/#REF!*100-100))</f>
        <v>NA</v>
      </c>
      <c r="G558" s="645">
        <v>0.3</v>
      </c>
      <c r="H558" s="705" t="str">
        <f>IF(ISERROR(G558/#REF!),"NA",IF(OR(G558/#REF!&gt;2,G558/#REF!&lt;0.5),"NM",G558/#REF!*100-100))</f>
        <v>NA</v>
      </c>
      <c r="I558" s="645">
        <v>0.5</v>
      </c>
      <c r="J558" s="9" t="str">
        <f>IF(ISERROR(I558/#REF!),"NA",IF(OR(I558/#REF!&gt;2,I558/#REF!&lt;0.5),"NM",I558/#REF!*100-100))</f>
        <v>NA</v>
      </c>
      <c r="K558" s="645">
        <v>17.3</v>
      </c>
      <c r="L558" s="9" t="str">
        <f t="shared" si="2666"/>
        <v>NM</v>
      </c>
      <c r="M558" s="645">
        <v>0.1</v>
      </c>
      <c r="N558" s="9">
        <f>IF(ISERROR(M558/E558),"NA",IF(OR(M558/E558&gt;2,M558/E558&lt;0.5),"NM",M558/E558*100-100))</f>
        <v>0</v>
      </c>
      <c r="O558" s="645">
        <v>0.5</v>
      </c>
      <c r="P558" s="43">
        <f t="shared" si="2638"/>
        <v>66.666666666666686</v>
      </c>
      <c r="Q558" s="645">
        <v>-0.4</v>
      </c>
      <c r="R558" s="9" t="str">
        <f>IF(ISERROR(Q558/I558),"NA",IF(OR(Q558/I558&gt;2,Q558/I558&lt;0.5),"NM",Q558/I558*100-100))</f>
        <v>NM</v>
      </c>
      <c r="S558" s="645">
        <v>0.2</v>
      </c>
      <c r="T558" s="43" t="str">
        <f t="shared" si="2638"/>
        <v>NM</v>
      </c>
      <c r="U558" s="645">
        <v>6.9</v>
      </c>
      <c r="V558" s="9" t="str">
        <f>IF(ISERROR(U558/M558),"NA",IF(OR(U558/M558&gt;2,U558/M558&lt;0.5),"NM",U558/M558*100-100))</f>
        <v>NM</v>
      </c>
      <c r="W558" s="645">
        <v>-0.1</v>
      </c>
      <c r="X558" s="9" t="str">
        <f>IF(ISERROR(W558/O558),"NA",IF(OR(W558/O558&gt;2,W558/O558&lt;0.5),"NM",W558/O558*100-100))</f>
        <v>NM</v>
      </c>
      <c r="Y558" s="645">
        <v>0.1</v>
      </c>
      <c r="Z558" s="9" t="str">
        <f t="shared" si="2667"/>
        <v>NM</v>
      </c>
      <c r="AA558" s="645">
        <v>0.1</v>
      </c>
      <c r="AB558" s="9">
        <f t="shared" si="2668"/>
        <v>-50</v>
      </c>
      <c r="AC558" s="645">
        <v>-0.1</v>
      </c>
      <c r="AD558" s="9" t="str">
        <f t="shared" si="2669"/>
        <v>NM</v>
      </c>
      <c r="AE558" s="645">
        <v>0</v>
      </c>
      <c r="AF558" s="9" t="str">
        <f t="shared" ref="AF558:AF559" si="2683">IF(ISERROR(AE558/W558),"NA",IF(OR(AE558/W558&gt;2,AE558/W558&lt;0.5),"NM",AE558/W558*100-100))</f>
        <v>NM</v>
      </c>
      <c r="AG558" s="645">
        <v>22.5</v>
      </c>
      <c r="AH558" s="9" t="str">
        <f>IF(ISERROR(AG558/Y558),"NA",IF(OR(AG558/Y558&gt;2,AG558/Y558&lt;0.5),"NM",AG558/Y558*100-100))</f>
        <v>NM</v>
      </c>
      <c r="AI558" s="645">
        <v>0.1</v>
      </c>
      <c r="AJ558" s="9">
        <f t="shared" si="2670"/>
        <v>0</v>
      </c>
      <c r="AK558" s="645">
        <v>0.5</v>
      </c>
      <c r="AL558" s="9" t="str">
        <f t="shared" si="2671"/>
        <v>NM</v>
      </c>
      <c r="AM558" s="645">
        <v>0.4</v>
      </c>
      <c r="AN558" s="9" t="str">
        <f t="shared" si="2672"/>
        <v>NA</v>
      </c>
      <c r="AO558" s="645">
        <v>-0.1</v>
      </c>
      <c r="AP558" s="9" t="str">
        <f t="shared" si="2673"/>
        <v>NM</v>
      </c>
      <c r="AQ558" s="644">
        <f t="shared" ref="AQ558" si="2684">AO558/AO557*AQ557</f>
        <v>-8.374025974025974E-2</v>
      </c>
      <c r="AR558" s="9" t="str">
        <f t="shared" si="2675"/>
        <v>NM</v>
      </c>
      <c r="AS558" s="644">
        <f t="shared" ref="AS558" si="2685">AQ558/AQ557*AS557</f>
        <v>-8.374025974025974E-2</v>
      </c>
      <c r="AT558" s="9" t="str">
        <f t="shared" si="2676"/>
        <v>NM</v>
      </c>
      <c r="AU558" s="644">
        <f t="shared" ref="AU558" si="2686">AS558/AS557*AU557</f>
        <v>-8.374025974025974E-2</v>
      </c>
      <c r="AV558" s="9" t="str">
        <f t="shared" si="2677"/>
        <v>NM</v>
      </c>
      <c r="AW558" s="644">
        <f t="shared" ref="AW558" si="2687">AU558/AU557*AW557</f>
        <v>-8.374025974025974E-2</v>
      </c>
      <c r="AX558" s="9">
        <f t="shared" si="2678"/>
        <v>-16.259740259740269</v>
      </c>
      <c r="AY558" s="279"/>
      <c r="AZ558" s="15"/>
      <c r="BA558" s="40"/>
      <c r="BB558" s="55">
        <f>C558+E558+G558+I558</f>
        <v>1.1000000000000001</v>
      </c>
      <c r="BC558" s="9" t="str">
        <f>IF(ISERROR(BB558/#REF!),"NA",IF(OR(BB558/#REF!&gt;2,BB558/#REF!&lt;0.5),"NM",BB558/#REF!*100-100))</f>
        <v>NA</v>
      </c>
      <c r="BD558" s="908">
        <f>K558+M558+O558+Q558</f>
        <v>17.500000000000004</v>
      </c>
      <c r="BE558" s="9" t="str">
        <f t="shared" si="2679"/>
        <v>NM</v>
      </c>
      <c r="BF558" s="55">
        <f>S558+U558+W558+Y558</f>
        <v>7.1000000000000005</v>
      </c>
      <c r="BG558" s="9" t="str">
        <f t="shared" si="2679"/>
        <v>NM</v>
      </c>
      <c r="BH558" s="55">
        <f>AA558+AC558+AE558+AG558</f>
        <v>22.5</v>
      </c>
      <c r="BI558" s="9" t="str">
        <f t="shared" si="2679"/>
        <v>NM</v>
      </c>
      <c r="BJ558" s="55">
        <f>AI558+AK558+AM558+AO558</f>
        <v>0.9</v>
      </c>
      <c r="BK558" s="9" t="str">
        <f t="shared" si="2679"/>
        <v>NM</v>
      </c>
      <c r="BL558" s="55">
        <f>AQ558+AS558+AU558+AW558</f>
        <v>-0.33496103896103896</v>
      </c>
      <c r="BM558" s="9" t="str">
        <f t="shared" si="2679"/>
        <v>NM</v>
      </c>
      <c r="BN558" s="49">
        <f>BL558</f>
        <v>-0.33496103896103896</v>
      </c>
      <c r="BO558" s="9">
        <f t="shared" si="2679"/>
        <v>0</v>
      </c>
      <c r="BP558" s="49">
        <f>BN558</f>
        <v>-0.33496103896103896</v>
      </c>
      <c r="BQ558" s="9">
        <f t="shared" si="2679"/>
        <v>0</v>
      </c>
      <c r="BR558" s="49">
        <f>BP558</f>
        <v>-0.33496103896103896</v>
      </c>
      <c r="BS558" s="9">
        <f t="shared" si="2679"/>
        <v>0</v>
      </c>
      <c r="BT558" s="49">
        <f>BR558</f>
        <v>-0.33496103896103896</v>
      </c>
      <c r="BU558" s="9">
        <f t="shared" si="2682"/>
        <v>0</v>
      </c>
      <c r="BV558" s="43" t="str">
        <f>IF(ISERROR(((BT558/BJ558)^0.2-1)*100),"NA",IF((((BT558/BJ558)^0.2-1)*100)&gt;100,"NM",IF((((BT558/BJ558)^0.2-1)*100)&lt;-50,"NM",((BT558/BJ558)^0.2-1)*100)))</f>
        <v>NM</v>
      </c>
      <c r="BW558" s="141"/>
      <c r="BX558" s="722"/>
      <c r="BY558"/>
      <c r="BZ558"/>
      <c r="CA558"/>
      <c r="CB558"/>
      <c r="CC558"/>
      <c r="CD558"/>
    </row>
    <row r="559" spans="1:82" ht="12.75" customHeight="1" x14ac:dyDescent="0.2">
      <c r="B559" s="80" t="s">
        <v>555</v>
      </c>
      <c r="C559" s="646">
        <f>C557-C558</f>
        <v>-44.100000000000009</v>
      </c>
      <c r="D559" s="753" t="str">
        <f>IF(ISERROR(C559/#REF!),"NA",IF(OR(C559/#REF!&gt;2,C559/#REF!&lt;0.5),"NM",C559/#REF!*100-100))</f>
        <v>NA</v>
      </c>
      <c r="E559" s="646">
        <f t="shared" ref="E559:M559" si="2688">E557-E558</f>
        <v>-49.000000000000007</v>
      </c>
      <c r="F559" s="705" t="str">
        <f>IF(ISERROR(E559/#REF!),"NA",IF(OR(E559/#REF!&gt;2,E559/#REF!&lt;0.5),"NM",E559/#REF!*100-100))</f>
        <v>NA</v>
      </c>
      <c r="G559" s="646">
        <f t="shared" si="2688"/>
        <v>-41.499999999999993</v>
      </c>
      <c r="H559" s="705" t="str">
        <f>IF(ISERROR(G559/#REF!),"NA",IF(OR(G559/#REF!&gt;2,G559/#REF!&lt;0.5),"NM",G559/#REF!*100-100))</f>
        <v>NA</v>
      </c>
      <c r="I559" s="646">
        <f t="shared" si="2688"/>
        <v>-58.5</v>
      </c>
      <c r="J559" s="9" t="str">
        <f>IF(ISERROR(I559/#REF!),"NA",IF(OR(I559/#REF!&gt;2,I559/#REF!&lt;0.5),"NM",I559/#REF!*100-100))</f>
        <v>NA</v>
      </c>
      <c r="K559" s="646">
        <f t="shared" si="2688"/>
        <v>-42.7</v>
      </c>
      <c r="L559" s="9">
        <f t="shared" si="2666"/>
        <v>-3.1746031746031917</v>
      </c>
      <c r="M559" s="646">
        <f t="shared" si="2688"/>
        <v>-39.800000000000004</v>
      </c>
      <c r="N559" s="9">
        <f>IF(ISERROR(M559/E559),"NA",IF(OR(M559/E559&gt;2,M559/E559&lt;0.5),"NM",M559/E559*100-100))</f>
        <v>-18.775510204081641</v>
      </c>
      <c r="O559" s="646">
        <f>O557-O558</f>
        <v>-43.2</v>
      </c>
      <c r="P559" s="43">
        <f t="shared" si="2638"/>
        <v>4.0963855421686901</v>
      </c>
      <c r="Q559" s="646">
        <f t="shared" ref="Q559" si="2689">Q557-Q558</f>
        <v>-49.1</v>
      </c>
      <c r="R559" s="43">
        <f t="shared" si="2638"/>
        <v>-16.068376068376068</v>
      </c>
      <c r="S559" s="646">
        <f t="shared" ref="S559:W559" si="2690">S557-S558</f>
        <v>-37.300000000000004</v>
      </c>
      <c r="T559" s="43">
        <f t="shared" si="2638"/>
        <v>-12.646370023419195</v>
      </c>
      <c r="U559" s="646">
        <f t="shared" si="2690"/>
        <v>-46.2</v>
      </c>
      <c r="V559" s="43">
        <f t="shared" si="2638"/>
        <v>16.08040201005025</v>
      </c>
      <c r="W559" s="646">
        <f t="shared" si="2690"/>
        <v>-54</v>
      </c>
      <c r="X559" s="43">
        <f t="shared" si="2638"/>
        <v>25</v>
      </c>
      <c r="Y559" s="646">
        <f t="shared" ref="Y559:AA559" si="2691">Y557-Y558</f>
        <v>-54.8</v>
      </c>
      <c r="Z559" s="9">
        <f t="shared" si="2667"/>
        <v>11.608961303462323</v>
      </c>
      <c r="AA559" s="646">
        <f t="shared" si="2691"/>
        <v>-53.29999999999999</v>
      </c>
      <c r="AB559" s="9">
        <f t="shared" si="2668"/>
        <v>42.895442359249301</v>
      </c>
      <c r="AC559" s="646">
        <f t="shared" ref="AC559:AE559" si="2692">AC557-AC558</f>
        <v>-54.499999999999993</v>
      </c>
      <c r="AD559" s="9">
        <f t="shared" si="2669"/>
        <v>17.965367965367946</v>
      </c>
      <c r="AE559" s="646">
        <f t="shared" si="2692"/>
        <v>-57.8</v>
      </c>
      <c r="AF559" s="9">
        <f t="shared" si="2683"/>
        <v>7.0370370370370381</v>
      </c>
      <c r="AG559" s="646">
        <f t="shared" ref="AG559:AI559" si="2693">AG557-AG558</f>
        <v>-53.3</v>
      </c>
      <c r="AH559" s="9">
        <f>IF(ISERROR(AG559/Y559),"NA",IF(OR(AG559/Y559&gt;2,AG559/Y559&lt;0.5),"NM",AG559/Y559*100-100))</f>
        <v>-2.7372262773722582</v>
      </c>
      <c r="AI559" s="646">
        <f t="shared" si="2693"/>
        <v>-58.5</v>
      </c>
      <c r="AJ559" s="9">
        <f t="shared" si="2670"/>
        <v>9.7560975609756468</v>
      </c>
      <c r="AK559" s="646">
        <f t="shared" ref="AK559:AM559" si="2694">AK557-AK558</f>
        <v>-47.5</v>
      </c>
      <c r="AL559" s="9">
        <f t="shared" si="2671"/>
        <v>-12.844036697247702</v>
      </c>
      <c r="AM559" s="646">
        <f t="shared" si="2694"/>
        <v>-42.999999999999993</v>
      </c>
      <c r="AN559" s="9">
        <f t="shared" si="2672"/>
        <v>-25.605536332179938</v>
      </c>
      <c r="AO559" s="646">
        <f t="shared" ref="AO559" si="2695">AO557-AO558</f>
        <v>-61.499999999999993</v>
      </c>
      <c r="AP559" s="9">
        <f t="shared" si="2673"/>
        <v>15.384615384615373</v>
      </c>
      <c r="AQ559" s="646">
        <f t="shared" ref="AQ559:AW559" si="2696">AQ557-AQ558</f>
        <v>-51.500259740259729</v>
      </c>
      <c r="AR559" s="9">
        <f t="shared" si="2675"/>
        <v>-11.965367965367989</v>
      </c>
      <c r="AS559" s="646">
        <f t="shared" si="2696"/>
        <v>-51.500259740259729</v>
      </c>
      <c r="AT559" s="9">
        <f t="shared" si="2676"/>
        <v>8.4215994531783736</v>
      </c>
      <c r="AU559" s="646">
        <f t="shared" si="2696"/>
        <v>-51.500259740259729</v>
      </c>
      <c r="AV559" s="9">
        <f t="shared" si="2677"/>
        <v>19.768045907580785</v>
      </c>
      <c r="AW559" s="646">
        <f t="shared" si="2696"/>
        <v>-51.500259740259729</v>
      </c>
      <c r="AX559" s="9">
        <f t="shared" si="2678"/>
        <v>-16.259740259740269</v>
      </c>
      <c r="BB559" s="646">
        <f>BB557-BB558</f>
        <v>-193.1</v>
      </c>
      <c r="BC559" s="9" t="str">
        <f>IF(ISERROR(BB559/#REF!),"NA",IF(OR(BB559/#REF!&gt;2,BB559/#REF!&lt;0.5),"NM",BB559/#REF!*100-100))</f>
        <v>NA</v>
      </c>
      <c r="BD559" s="951">
        <f>BD557-BD558</f>
        <v>-174.8</v>
      </c>
      <c r="BE559" s="9">
        <f t="shared" si="2679"/>
        <v>-9.4769549456240156</v>
      </c>
      <c r="BF559" s="646">
        <f t="shared" ref="BF559:BP559" si="2697">BF557-BF558</f>
        <v>-192.29999999999998</v>
      </c>
      <c r="BG559" s="9">
        <f t="shared" si="2679"/>
        <v>10.011441647597238</v>
      </c>
      <c r="BH559" s="646">
        <f>BH557-BH558</f>
        <v>-218.89999999999998</v>
      </c>
      <c r="BI559" s="9">
        <f t="shared" si="2679"/>
        <v>13.832553302132084</v>
      </c>
      <c r="BJ559" s="646">
        <f>BJ557-BJ558</f>
        <v>-210.5</v>
      </c>
      <c r="BK559" s="9">
        <f t="shared" si="2679"/>
        <v>-3.8373686614892648</v>
      </c>
      <c r="BL559" s="646">
        <f>BL557-BL558</f>
        <v>-206.00103896103892</v>
      </c>
      <c r="BM559" s="9">
        <f t="shared" si="2679"/>
        <v>-2.1372736527131053</v>
      </c>
      <c r="BN559" s="646">
        <f t="shared" si="2697"/>
        <v>-206.70183896103896</v>
      </c>
      <c r="BO559" s="9">
        <f t="shared" si="2679"/>
        <v>0.3401924589965688</v>
      </c>
      <c r="BP559" s="646">
        <f t="shared" si="2697"/>
        <v>-214.90795896103896</v>
      </c>
      <c r="BQ559" s="9">
        <f t="shared" si="2679"/>
        <v>3.9700275726848986</v>
      </c>
      <c r="BR559" s="646">
        <f t="shared" ref="BR559:BT559" si="2698">BR557-BR558</f>
        <v>-223.47907056103895</v>
      </c>
      <c r="BS559" s="9">
        <f t="shared" si="2679"/>
        <v>3.9882709051058782</v>
      </c>
      <c r="BT559" s="646">
        <f t="shared" si="2698"/>
        <v>-232.43251705303899</v>
      </c>
      <c r="BU559" s="9">
        <f t="shared" si="2682"/>
        <v>4.0063915021315495</v>
      </c>
      <c r="BV559" s="43">
        <f>IF(ISERROR(((BT559/BJ559)^0.2-1)*100),"NA",IF((((BT559/BJ559)^0.2-1)*100)&gt;100,"NM",IF((((BT559/BJ559)^0.2-1)*100)&lt;-50,"NM",((BT559/BJ559)^0.2-1)*100)))</f>
        <v>2.0020633596808057</v>
      </c>
    </row>
    <row r="560" spans="1:82" s="2" customFormat="1" ht="12.75" hidden="1" customHeight="1" outlineLevel="1" x14ac:dyDescent="0.2">
      <c r="A560" s="41"/>
      <c r="B560" s="62" t="s">
        <v>486</v>
      </c>
      <c r="C560" s="653">
        <v>-17.399999999999999</v>
      </c>
      <c r="D560" s="9" t="str">
        <f>IF(ISERROR(C560/#REF!),"NA",IF(OR(C560/#REF!&gt;2,C560/#REF!&lt;0.5),"NM",C560/#REF!*100-100))</f>
        <v>NA</v>
      </c>
      <c r="E560" s="653">
        <v>-23.9</v>
      </c>
      <c r="F560" s="705" t="str">
        <f>IF(ISERROR(E560/#REF!),"NA",IF(OR(E560/#REF!&gt;2,E560/#REF!&lt;0.5),"NM",E560/#REF!*100-100))</f>
        <v>NA</v>
      </c>
      <c r="G560" s="653">
        <v>-19.8</v>
      </c>
      <c r="H560" s="232" t="str">
        <f>IF(ISERROR(G560/#REF!),"NA",IF(OR(G560/#REF!&gt;2,G560/#REF!&lt;0.5),"NM",G560/#REF!*100-100))</f>
        <v>NA</v>
      </c>
      <c r="I560" s="653">
        <v>-22.1</v>
      </c>
      <c r="J560" s="9" t="str">
        <f>IF(ISERROR(I560/#REF!),"NA",IF(OR(I560/#REF!&gt;2,I560/#REF!&lt;0.5),"NM",I560/#REF!*100-100))</f>
        <v>NA</v>
      </c>
      <c r="K560" s="653">
        <v>-20.9</v>
      </c>
      <c r="L560" s="9">
        <f t="shared" si="2666"/>
        <v>20.114942528735625</v>
      </c>
      <c r="M560" s="653">
        <v>-17.100000000000001</v>
      </c>
      <c r="N560" s="9">
        <f t="shared" ref="N560:N564" si="2699">IF(ISERROR(M560/E560),"NA",IF(OR(M560/E560&gt;2,M560/E560&lt;0.5),"NM",M560/E560*100-100))</f>
        <v>-28.451882845188265</v>
      </c>
      <c r="O560" s="653">
        <v>-20.100000000000001</v>
      </c>
      <c r="P560" s="9">
        <f t="shared" si="2638"/>
        <v>1.5151515151515156</v>
      </c>
      <c r="Q560" s="653">
        <v>-31.5</v>
      </c>
      <c r="R560" s="9">
        <f t="shared" si="2638"/>
        <v>42.533936651583701</v>
      </c>
      <c r="S560" s="653">
        <v>-16.8</v>
      </c>
      <c r="T560" s="9">
        <f t="shared" si="2638"/>
        <v>-19.617224880382764</v>
      </c>
      <c r="U560" s="653">
        <v>-21.5</v>
      </c>
      <c r="V560" s="9">
        <f t="shared" si="2638"/>
        <v>25.730994152046776</v>
      </c>
      <c r="W560" s="653">
        <v>-18.3</v>
      </c>
      <c r="X560" s="9">
        <f t="shared" si="2638"/>
        <v>-8.9552238805970177</v>
      </c>
      <c r="Y560" s="653">
        <v>-18.3</v>
      </c>
      <c r="Z560" s="9"/>
      <c r="AA560" s="653">
        <v>-18.3</v>
      </c>
      <c r="AB560" s="9"/>
      <c r="AC560" s="653">
        <v>-18.3</v>
      </c>
      <c r="AD560" s="9"/>
      <c r="AE560" s="653">
        <v>-18.3</v>
      </c>
      <c r="AF560" s="9"/>
      <c r="AG560" s="653">
        <v>-18.3</v>
      </c>
      <c r="AH560" s="9"/>
      <c r="AI560" s="653">
        <v>-18.3</v>
      </c>
      <c r="AJ560" s="9"/>
      <c r="AK560" s="653">
        <v>-18.3</v>
      </c>
      <c r="AL560" s="9"/>
      <c r="AM560" s="653">
        <v>-18.3</v>
      </c>
      <c r="AN560" s="9"/>
      <c r="AO560" s="653"/>
      <c r="AP560" s="9"/>
      <c r="AQ560" s="691"/>
      <c r="AR560" s="9"/>
      <c r="AS560" s="691"/>
      <c r="AT560" s="9"/>
      <c r="AU560" s="691"/>
      <c r="AV560" s="9"/>
      <c r="AW560" s="691"/>
      <c r="AX560" s="9"/>
      <c r="AY560" s="279"/>
      <c r="AZ560" s="15"/>
      <c r="BA560" s="9"/>
      <c r="BB560" s="49"/>
      <c r="BC560" s="9"/>
      <c r="BD560" s="952"/>
      <c r="BE560" s="9"/>
      <c r="BF560" s="49"/>
      <c r="BG560" s="9"/>
      <c r="BH560" s="49"/>
      <c r="BI560" s="9"/>
      <c r="BJ560" s="49"/>
      <c r="BK560" s="9"/>
      <c r="BL560" s="49"/>
      <c r="BM560" s="9"/>
      <c r="BN560" s="691"/>
      <c r="BO560" s="9"/>
      <c r="BP560" s="691"/>
      <c r="BQ560" s="9"/>
      <c r="BR560" s="691"/>
      <c r="BS560" s="9"/>
      <c r="BT560" s="691"/>
      <c r="BU560" s="9"/>
      <c r="BV560" s="43"/>
      <c r="BW560" s="141"/>
      <c r="BX560" s="722"/>
      <c r="BY560"/>
      <c r="BZ560"/>
      <c r="CA560"/>
      <c r="CB560"/>
      <c r="CC560"/>
      <c r="CD560"/>
    </row>
    <row r="561" spans="1:83" s="2" customFormat="1" ht="12.75" hidden="1" customHeight="1" outlineLevel="1" x14ac:dyDescent="0.2">
      <c r="A561" s="41"/>
      <c r="B561" s="62" t="s">
        <v>207</v>
      </c>
      <c r="C561" s="650">
        <f>IF(ISERROR(C560/C557),"NA",IF((C560/C557)&gt;1,"NM",IF((C560/C557)&lt;0,"NM",(C560/C557*100))))</f>
        <v>39.635535307517081</v>
      </c>
      <c r="D561" s="9" t="str">
        <f>IF(ISERROR(C561/#REF!),"NA",IF(OR(C561/#REF!&gt;2,C561/#REF!&lt;0.5),"NM",C561/#REF!*100-100))</f>
        <v>NA</v>
      </c>
      <c r="E561" s="651">
        <f>IF(ISERROR(E560/E557),"NA",IF((E560/E557)&gt;1,"NM",IF((E560/E557)&lt;0,"NM",(E560/E557*100))))</f>
        <v>48.875255623721877</v>
      </c>
      <c r="F561" s="705" t="str">
        <f>IF(ISERROR(E561/#REF!),"NA",IF(OR(E561/#REF!&gt;2,E561/#REF!&lt;0.5),"NM",E561/#REF!*100-100))</f>
        <v>NA</v>
      </c>
      <c r="G561" s="651">
        <f>IF(ISERROR(G560/G557),"NA",IF((G560/G557)&gt;1,"NM",IF((G560/G557)&lt;0,"NM",(G560/G557*100))))</f>
        <v>48.05825242718447</v>
      </c>
      <c r="H561" s="94" t="str">
        <f>IF(ISERROR(G561/#REF!),"NA",IF(OR(G561/#REF!&gt;2,G561/#REF!&lt;0.5),"NM",G561/#REF!*100-100))</f>
        <v>NA</v>
      </c>
      <c r="I561" s="651">
        <f>IF(ISERROR(I560/I557),"NA",IF((I560/I557)&gt;1,"NM",IF((I560/I557)&lt;0,"NM",(I560/I557*100))))</f>
        <v>38.103448275862071</v>
      </c>
      <c r="J561" s="129" t="str">
        <f>IF(ISERROR(I561/#REF!),"NA",IF(OR(I561/#REF!&gt;2,I561/#REF!&lt;0.5),"NM",I561/#REF!*100-100))</f>
        <v>NA</v>
      </c>
      <c r="K561" s="651">
        <f>IF(ISERROR(K560/K557),"NA",IF((K560/K557)&gt;1,"NM",IF((K560/K557)&lt;0,"NM",(K560/K557*100))))</f>
        <v>82.283464566929126</v>
      </c>
      <c r="L561" s="9" t="str">
        <f t="shared" si="2666"/>
        <v>NM</v>
      </c>
      <c r="M561" s="651">
        <f>IF(ISERROR(M560/M557),"NA",IF((M560/M557)&gt;1,"NM",IF((M560/M557)&lt;0,"NM",(M560/M557*100))))</f>
        <v>43.073047858942068</v>
      </c>
      <c r="N561" s="129">
        <f t="shared" si="2699"/>
        <v>-11.871462748859102</v>
      </c>
      <c r="O561" s="651">
        <f>IF(ISERROR(O560/O557),"NA",IF((O560/O557)&gt;1,"NM",IF((O560/O557)&lt;0,"NM",(O560/O557*100))))</f>
        <v>47.072599531615928</v>
      </c>
      <c r="P561" s="129">
        <f t="shared" si="2638"/>
        <v>-2.0509545099709072</v>
      </c>
      <c r="Q561" s="651">
        <f>IF(ISERROR(Q560/Q557),"NA",IF((Q560/Q557)&gt;1,"NM",IF((Q560/Q557)&lt;0,"NM",(Q560/Q557*100))))</f>
        <v>63.636363636363633</v>
      </c>
      <c r="R561" s="94">
        <f t="shared" si="2638"/>
        <v>67.009461127108182</v>
      </c>
      <c r="S561" s="651">
        <f>IF(ISERROR(S560/S557),"NA",IF((S560/S557)&gt;1,"NM",IF((S560/S557)&lt;0,"NM",(S560/S557*100))))</f>
        <v>45.283018867924532</v>
      </c>
      <c r="T561" s="94">
        <f t="shared" si="2638"/>
        <v>-44.967048839938606</v>
      </c>
      <c r="U561" s="651">
        <f>IF(ISERROR(U560/U557),"NA",IF((U560/U557)&gt;1,"NM",IF((U560/U557)&lt;0,"NM",(U560/U557*100))))</f>
        <v>54.707379134860048</v>
      </c>
      <c r="V561" s="94">
        <f t="shared" si="2638"/>
        <v>27.010698927131216</v>
      </c>
      <c r="W561" s="651">
        <f>IF(ISERROR(W560/W557),"NA",IF((W560/W557)&gt;1,"NM",IF((W560/W557)&lt;0,"NM",(W560/W557*100))))</f>
        <v>33.826247689463955</v>
      </c>
      <c r="X561" s="94">
        <f t="shared" si="2638"/>
        <v>-28.140259883576576</v>
      </c>
      <c r="Y561" s="651">
        <f>IF(ISERROR(Y560/Y557),"NA",IF((Y560/Y557)&gt;1,"NM",IF((Y560/Y557)&lt;0,"NM",(Y560/Y557*100))))</f>
        <v>33.455210237659969</v>
      </c>
      <c r="Z561" s="94"/>
      <c r="AA561" s="651">
        <f>IF(ISERROR(AA560/AA557),"NA",IF((AA560/AA557)&gt;1,"NM",IF((AA560/AA557)&lt;0,"NM",(AA560/AA557*100))))</f>
        <v>34.39849624060151</v>
      </c>
      <c r="AB561" s="94"/>
      <c r="AC561" s="651">
        <f>IF(ISERROR(AC560/AC557),"NA",IF((AC560/AC557)&gt;1,"NM",IF((AC560/AC557)&lt;0,"NM",(AC560/AC557*100))))</f>
        <v>33.516483516483518</v>
      </c>
      <c r="AD561" s="94"/>
      <c r="AE561" s="651">
        <f>IF(ISERROR(AE560/AE557),"NA",IF((AE560/AE557)&gt;1,"NM",IF((AE560/AE557)&lt;0,"NM",(AE560/AE557*100))))</f>
        <v>31.660899653979239</v>
      </c>
      <c r="AF561" s="94"/>
      <c r="AG561" s="651">
        <f>IF(ISERROR(AG560/AG557),"NA",IF((AG560/AG557)&gt;1,"NM",IF((AG560/AG557)&lt;0,"NM",(AG560/AG557*100))))</f>
        <v>59.415584415584419</v>
      </c>
      <c r="AH561" s="9"/>
      <c r="AI561" s="651">
        <f>IF(ISERROR(AI560/AI557),"NA",IF((AI560/AI557)&gt;1,"NM",IF((AI560/AI557)&lt;0,"NM",(AI560/AI557*100))))</f>
        <v>31.335616438356169</v>
      </c>
      <c r="AJ561" s="9"/>
      <c r="AK561" s="651">
        <f>IF(ISERROR(AK560/AK557),"NA",IF((AK560/AK557)&gt;1,"NM",IF((AK560/AK557)&lt;0,"NM",(AK560/AK557*100))))</f>
        <v>38.936170212765958</v>
      </c>
      <c r="AL561" s="9"/>
      <c r="AM561" s="651">
        <f>IF(ISERROR(AM560/AM557),"NA",IF((AM560/AM557)&gt;1,"NM",IF((AM560/AM557)&lt;0,"NM",(AM560/AM557*100))))</f>
        <v>42.957746478873247</v>
      </c>
      <c r="AN561" s="9"/>
      <c r="AO561" s="651">
        <f>IF(ISERROR(AO560/AO557),"NA",IF((AO560/AO557)&gt;1,"NM",IF((AO560/AO557)&lt;0,"NM",(AO560/AO557*100))))</f>
        <v>0</v>
      </c>
      <c r="AP561" s="9"/>
      <c r="AQ561" s="78"/>
      <c r="AR561" s="9"/>
      <c r="AS561" s="78"/>
      <c r="AT561" s="9"/>
      <c r="AU561" s="78"/>
      <c r="AV561" s="9"/>
      <c r="AW561" s="78"/>
      <c r="AX561" s="9"/>
      <c r="AY561" s="279"/>
      <c r="AZ561" s="15"/>
      <c r="BA561" s="9"/>
      <c r="BB561" s="93"/>
      <c r="BC561" s="94"/>
      <c r="BD561" s="953"/>
      <c r="BE561" s="94"/>
      <c r="BF561" s="93"/>
      <c r="BG561" s="94"/>
      <c r="BH561" s="93"/>
      <c r="BI561" s="94"/>
      <c r="BJ561" s="93"/>
      <c r="BK561" s="94"/>
      <c r="BL561" s="93"/>
      <c r="BM561" s="94"/>
      <c r="BN561" s="614"/>
      <c r="BO561" s="94"/>
      <c r="BP561" s="614"/>
      <c r="BQ561" s="94"/>
      <c r="BR561" s="614"/>
      <c r="BS561" s="94"/>
      <c r="BT561" s="614"/>
      <c r="BU561" s="94"/>
      <c r="BV561" s="43"/>
      <c r="BW561" s="141"/>
      <c r="BX561" s="722"/>
      <c r="BY561"/>
      <c r="BZ561"/>
      <c r="CA561"/>
      <c r="CB561"/>
      <c r="CC561"/>
      <c r="CD561"/>
    </row>
    <row r="562" spans="1:83" s="2" customFormat="1" ht="12.75" hidden="1" customHeight="1" outlineLevel="1" x14ac:dyDescent="0.2">
      <c r="A562" s="41"/>
      <c r="B562" s="62" t="s">
        <v>232</v>
      </c>
      <c r="C562" s="650">
        <f>C557-C560</f>
        <v>-26.500000000000007</v>
      </c>
      <c r="D562" s="9" t="str">
        <f>IF(ISERROR(C562/#REF!),"NA",IF(OR(C562/#REF!&gt;2,C562/#REF!&lt;0.5),"NM",C562/#REF!*100-100))</f>
        <v>NA</v>
      </c>
      <c r="E562" s="650">
        <f>E557-E560</f>
        <v>-25.000000000000007</v>
      </c>
      <c r="F562" s="705" t="str">
        <f>IF(ISERROR(E562/#REF!),"NA",IF(OR(E562/#REF!&gt;2,E562/#REF!&lt;0.5),"NM",E562/#REF!*100-100))</f>
        <v>NA</v>
      </c>
      <c r="G562" s="650">
        <f>G557-G560</f>
        <v>-21.399999999999995</v>
      </c>
      <c r="H562" s="94" t="str">
        <f>IF(ISERROR(G562/#REF!),"NA",IF(OR(G562/#REF!&gt;2,G562/#REF!&lt;0.5),"NM",G562/#REF!*100-100))</f>
        <v>NA</v>
      </c>
      <c r="I562" s="650">
        <f>I557-I560</f>
        <v>-35.9</v>
      </c>
      <c r="J562" s="9" t="str">
        <f>IF(ISERROR(I562/#REF!),"NA",IF(OR(I562/#REF!&gt;2,I562/#REF!&lt;0.5),"NM",I562/#REF!*100-100))</f>
        <v>NA</v>
      </c>
      <c r="K562" s="650">
        <f>K557-K560</f>
        <v>-4.5</v>
      </c>
      <c r="L562" s="9" t="str">
        <f t="shared" si="2666"/>
        <v>NM</v>
      </c>
      <c r="M562" s="650">
        <f>M557-M560</f>
        <v>-22.6</v>
      </c>
      <c r="N562" s="9">
        <f t="shared" si="2699"/>
        <v>-9.6000000000000227</v>
      </c>
      <c r="O562" s="650">
        <f>O557-O560</f>
        <v>-22.6</v>
      </c>
      <c r="P562" s="9">
        <f t="shared" si="2638"/>
        <v>5.6074766355140468</v>
      </c>
      <c r="Q562" s="650">
        <f>Q557-Q560</f>
        <v>-18</v>
      </c>
      <c r="R562" s="9">
        <f t="shared" si="2638"/>
        <v>-49.860724233983291</v>
      </c>
      <c r="S562" s="650">
        <f>S557-S560</f>
        <v>-20.3</v>
      </c>
      <c r="T562" s="9" t="str">
        <f t="shared" si="2638"/>
        <v>NM</v>
      </c>
      <c r="U562" s="650">
        <f>U557-U560</f>
        <v>-17.800000000000004</v>
      </c>
      <c r="V562" s="9">
        <f t="shared" si="2638"/>
        <v>-21.238938053097328</v>
      </c>
      <c r="W562" s="650">
        <f>W557-W560</f>
        <v>-35.799999999999997</v>
      </c>
      <c r="X562" s="9">
        <f t="shared" si="2638"/>
        <v>58.407079646017678</v>
      </c>
      <c r="Y562" s="650">
        <f>Y557-Y560</f>
        <v>-36.399999999999991</v>
      </c>
      <c r="Z562" s="9"/>
      <c r="AA562" s="650">
        <f>AA557-AA560</f>
        <v>-34.899999999999991</v>
      </c>
      <c r="AB562" s="9"/>
      <c r="AC562" s="650">
        <f>AC557-AC560</f>
        <v>-36.299999999999997</v>
      </c>
      <c r="AD562" s="9"/>
      <c r="AE562" s="650">
        <f>AE557-AE560</f>
        <v>-39.5</v>
      </c>
      <c r="AF562" s="9"/>
      <c r="AG562" s="650">
        <f>AG557-AG560</f>
        <v>-12.499999999999996</v>
      </c>
      <c r="AH562" s="9"/>
      <c r="AI562" s="650">
        <f>AI557-AI560</f>
        <v>-40.099999999999994</v>
      </c>
      <c r="AJ562" s="9"/>
      <c r="AK562" s="650">
        <f>AK557-AK560</f>
        <v>-28.7</v>
      </c>
      <c r="AL562" s="9"/>
      <c r="AM562" s="650">
        <f>AM557-AM560</f>
        <v>-24.299999999999994</v>
      </c>
      <c r="AN562" s="9"/>
      <c r="AO562" s="650">
        <f>AO557-AO560</f>
        <v>-61.599999999999994</v>
      </c>
      <c r="AP562" s="9"/>
      <c r="AQ562" s="650"/>
      <c r="AR562" s="9"/>
      <c r="AS562" s="650"/>
      <c r="AT562" s="9"/>
      <c r="AU562" s="650"/>
      <c r="AV562" s="9"/>
      <c r="AW562" s="650"/>
      <c r="AX562" s="9"/>
      <c r="AY562" s="279"/>
      <c r="AZ562" s="15"/>
      <c r="BA562" s="9"/>
      <c r="BB562" s="49"/>
      <c r="BC562" s="9"/>
      <c r="BD562" s="952"/>
      <c r="BE562" s="9"/>
      <c r="BF562" s="49"/>
      <c r="BG562" s="9"/>
      <c r="BH562" s="49"/>
      <c r="BI562" s="9"/>
      <c r="BJ562" s="49"/>
      <c r="BK562" s="9"/>
      <c r="BL562" s="49"/>
      <c r="BM562" s="9"/>
      <c r="BN562" s="49"/>
      <c r="BO562" s="9"/>
      <c r="BP562" s="49"/>
      <c r="BQ562" s="9"/>
      <c r="BR562" s="49"/>
      <c r="BS562" s="9"/>
      <c r="BT562" s="49"/>
      <c r="BU562" s="9"/>
      <c r="BV562" s="43"/>
      <c r="BW562" s="141"/>
      <c r="BX562" s="722"/>
      <c r="BY562"/>
      <c r="BZ562"/>
      <c r="CA562"/>
      <c r="CB562"/>
      <c r="CC562"/>
      <c r="CD562"/>
    </row>
    <row r="563" spans="1:83" s="2" customFormat="1" ht="12.75" hidden="1" customHeight="1" outlineLevel="1" x14ac:dyDescent="0.2">
      <c r="A563" s="41"/>
      <c r="B563" s="62" t="s">
        <v>233</v>
      </c>
      <c r="C563" s="653">
        <f>0.2+8.2</f>
        <v>8.3999999999999986</v>
      </c>
      <c r="D563" s="9" t="str">
        <f>IF(ISERROR(C563/#REF!),"NA",IF(OR(C563/#REF!&gt;2,C563/#REF!&lt;0.5),"NM",C563/#REF!*100-100))</f>
        <v>NA</v>
      </c>
      <c r="E563" s="653">
        <f>0.1+8.3</f>
        <v>8.4</v>
      </c>
      <c r="F563" s="705" t="str">
        <f>IF(ISERROR(E563/#REF!),"NA",IF(OR(E563/#REF!&gt;2,E563/#REF!&lt;0.5),"NM",E563/#REF!*100-100))</f>
        <v>NA</v>
      </c>
      <c r="G563" s="653">
        <f>0.3+8.2</f>
        <v>8.5</v>
      </c>
      <c r="H563" s="9" t="str">
        <f>IF(ISERROR(G563/#REF!),"NA",IF(OR(G563/#REF!&gt;2,G563/#REF!&lt;0.5),"NM",G563/#REF!*100-100))</f>
        <v>NA</v>
      </c>
      <c r="I563" s="653">
        <f>0.5+8.3</f>
        <v>8.8000000000000007</v>
      </c>
      <c r="J563" s="9" t="str">
        <f>IF(ISERROR(I563/#REF!),"NA",IF(OR(I563/#REF!&gt;2,I563/#REF!&lt;0.5),"NM",I563/#REF!*100-100))</f>
        <v>NA</v>
      </c>
      <c r="K563" s="653">
        <f>17.3+8.2</f>
        <v>25.5</v>
      </c>
      <c r="L563" s="9" t="str">
        <f t="shared" si="2666"/>
        <v>NM</v>
      </c>
      <c r="M563" s="653">
        <f>0.1+8.3</f>
        <v>8.4</v>
      </c>
      <c r="N563" s="9">
        <f t="shared" si="2699"/>
        <v>0</v>
      </c>
      <c r="O563" s="653">
        <f>0.5+8.2</f>
        <v>8.6999999999999993</v>
      </c>
      <c r="P563" s="9">
        <f t="shared" si="2638"/>
        <v>2.3529411764705799</v>
      </c>
      <c r="Q563" s="653">
        <f>-0.4+8.3</f>
        <v>7.9</v>
      </c>
      <c r="R563" s="9">
        <f t="shared" si="2638"/>
        <v>-10.227272727272734</v>
      </c>
      <c r="S563" s="653">
        <f>0.2+8.2</f>
        <v>8.3999999999999986</v>
      </c>
      <c r="T563" s="9" t="str">
        <f t="shared" si="2638"/>
        <v>NM</v>
      </c>
      <c r="U563" s="653">
        <f>6.9+8.3+8.2</f>
        <v>23.4</v>
      </c>
      <c r="V563" s="9" t="str">
        <f t="shared" si="2638"/>
        <v>NM</v>
      </c>
      <c r="W563" s="653">
        <v>-0.1</v>
      </c>
      <c r="X563" s="9" t="str">
        <f t="shared" si="2638"/>
        <v>NM</v>
      </c>
      <c r="Y563" s="653">
        <v>-0.1</v>
      </c>
      <c r="Z563" s="9"/>
      <c r="AA563" s="653">
        <v>-0.1</v>
      </c>
      <c r="AB563" s="9"/>
      <c r="AC563" s="653">
        <v>-0.1</v>
      </c>
      <c r="AD563" s="9"/>
      <c r="AE563" s="653">
        <v>-0.1</v>
      </c>
      <c r="AF563" s="9"/>
      <c r="AG563" s="653">
        <v>-0.1</v>
      </c>
      <c r="AH563" s="9"/>
      <c r="AI563" s="653">
        <v>-0.1</v>
      </c>
      <c r="AJ563" s="9"/>
      <c r="AK563" s="653">
        <v>-0.1</v>
      </c>
      <c r="AL563" s="9"/>
      <c r="AM563" s="653">
        <v>-0.1</v>
      </c>
      <c r="AN563" s="9"/>
      <c r="AO563" s="653"/>
      <c r="AP563" s="9"/>
      <c r="AQ563" s="653"/>
      <c r="AR563" s="9"/>
      <c r="AS563" s="653"/>
      <c r="AT563" s="9"/>
      <c r="AU563" s="653"/>
      <c r="AV563" s="9"/>
      <c r="AW563" s="653"/>
      <c r="AX563" s="9"/>
      <c r="AY563" s="279"/>
      <c r="AZ563" s="15"/>
      <c r="BA563" s="9"/>
      <c r="BB563" s="49"/>
      <c r="BC563" s="9"/>
      <c r="BD563" s="952"/>
      <c r="BE563" s="9"/>
      <c r="BF563" s="49"/>
      <c r="BG563" s="9"/>
      <c r="BH563" s="49"/>
      <c r="BI563" s="9"/>
      <c r="BJ563" s="49"/>
      <c r="BK563" s="9"/>
      <c r="BL563" s="49"/>
      <c r="BM563" s="9"/>
      <c r="BN563" s="653"/>
      <c r="BO563" s="9"/>
      <c r="BP563" s="653"/>
      <c r="BQ563" s="9"/>
      <c r="BR563" s="653"/>
      <c r="BS563" s="9"/>
      <c r="BT563" s="653"/>
      <c r="BU563" s="9"/>
      <c r="BV563" s="43"/>
      <c r="BW563" s="141"/>
      <c r="BX563" s="722"/>
      <c r="BY563"/>
      <c r="BZ563"/>
      <c r="CA563"/>
      <c r="CB563"/>
      <c r="CC563"/>
      <c r="CD563"/>
    </row>
    <row r="564" spans="1:83" s="2" customFormat="1" ht="12.75" hidden="1" customHeight="1" outlineLevel="1" x14ac:dyDescent="0.2">
      <c r="A564" s="66" t="s">
        <v>231</v>
      </c>
      <c r="B564" s="67" t="s">
        <v>411</v>
      </c>
      <c r="C564" s="695">
        <f>+C557-C560-C563</f>
        <v>-34.900000000000006</v>
      </c>
      <c r="D564" s="9" t="str">
        <f>IF(ISERROR(C564/#REF!),"NA",IF(OR(C564/#REF!&gt;2,C564/#REF!&lt;0.5),"NM",C564/#REF!*100-100))</f>
        <v>NA</v>
      </c>
      <c r="E564" s="695">
        <f>+E557-E560-E563</f>
        <v>-33.400000000000006</v>
      </c>
      <c r="F564" s="705" t="str">
        <f>IF(ISERROR(E564/#REF!),"NA",IF(OR(E564/#REF!&gt;2,E564/#REF!&lt;0.5),"NM",E564/#REF!*100-100))</f>
        <v>NA</v>
      </c>
      <c r="G564" s="695">
        <f>+G557-G560-G563</f>
        <v>-29.899999999999995</v>
      </c>
      <c r="H564" s="9" t="str">
        <f>IF(ISERROR(G564/#REF!),"NA",IF(OR(G564/#REF!&gt;2,G564/#REF!&lt;0.5),"NM",G564/#REF!*100-100))</f>
        <v>NA</v>
      </c>
      <c r="I564" s="695">
        <f>+I557-I560-I563</f>
        <v>-44.7</v>
      </c>
      <c r="J564" s="9" t="str">
        <f>IF(ISERROR(I564/#REF!),"NA",IF(OR(I564/#REF!&gt;2,I564/#REF!&lt;0.5),"NM",I564/#REF!*100-100))</f>
        <v>NA</v>
      </c>
      <c r="K564" s="695">
        <f>+K557-K560-K563</f>
        <v>-30</v>
      </c>
      <c r="L564" s="9">
        <f t="shared" si="2666"/>
        <v>-14.040114613180535</v>
      </c>
      <c r="M564" s="695">
        <f>+M557-M560-M563</f>
        <v>-31</v>
      </c>
      <c r="N564" s="9">
        <f t="shared" si="2699"/>
        <v>-7.1856287425149787</v>
      </c>
      <c r="O564" s="695">
        <f>+O557-O560-O563</f>
        <v>-31.3</v>
      </c>
      <c r="P564" s="9">
        <f t="shared" si="2638"/>
        <v>4.6822742474916623</v>
      </c>
      <c r="Q564" s="695">
        <f>+Q557-Q560-Q563</f>
        <v>-25.9</v>
      </c>
      <c r="R564" s="9">
        <f t="shared" si="2638"/>
        <v>-42.058165548098437</v>
      </c>
      <c r="S564" s="695">
        <f>+S557-S560-S563</f>
        <v>-28.7</v>
      </c>
      <c r="T564" s="9">
        <f t="shared" si="2638"/>
        <v>-4.3333333333333286</v>
      </c>
      <c r="U564" s="695">
        <f>+U557-U560-U563</f>
        <v>-41.2</v>
      </c>
      <c r="V564" s="9">
        <f t="shared" si="2638"/>
        <v>32.903225806451616</v>
      </c>
      <c r="W564" s="695">
        <f>+W557-W560-W563</f>
        <v>-35.699999999999996</v>
      </c>
      <c r="X564" s="9">
        <f t="shared" si="2638"/>
        <v>14.057507987220433</v>
      </c>
      <c r="Y564" s="695">
        <f>+Y557-Y560-Y563</f>
        <v>-36.29999999999999</v>
      </c>
      <c r="Z564" s="9"/>
      <c r="AA564" s="695">
        <f>+AA557-AA560-AA563</f>
        <v>-34.79999999999999</v>
      </c>
      <c r="AB564" s="9"/>
      <c r="AC564" s="695">
        <f>+AC557-AC560-AC563</f>
        <v>-36.199999999999996</v>
      </c>
      <c r="AD564" s="9"/>
      <c r="AE564" s="695">
        <f>+AE557-AE560-AE563</f>
        <v>-39.4</v>
      </c>
      <c r="AF564" s="9"/>
      <c r="AG564" s="695">
        <f>+AG557-AG560-AG563</f>
        <v>-12.399999999999997</v>
      </c>
      <c r="AH564" s="9"/>
      <c r="AI564" s="695">
        <f>+AI557-AI560-AI563</f>
        <v>-39.999999999999993</v>
      </c>
      <c r="AJ564" s="9"/>
      <c r="AK564" s="695">
        <f>+AK557-AK560-AK563</f>
        <v>-28.599999999999998</v>
      </c>
      <c r="AL564" s="9"/>
      <c r="AM564" s="695">
        <f>+AM557-AM560-AM563</f>
        <v>-24.199999999999992</v>
      </c>
      <c r="AN564" s="9"/>
      <c r="AO564" s="695">
        <f>+AO557-AO560-AO563</f>
        <v>-61.599999999999994</v>
      </c>
      <c r="AP564" s="9"/>
      <c r="AQ564" s="695"/>
      <c r="AR564" s="9"/>
      <c r="AS564" s="695"/>
      <c r="AT564" s="9"/>
      <c r="AU564" s="695"/>
      <c r="AV564" s="9"/>
      <c r="AW564" s="695"/>
      <c r="AX564" s="9"/>
      <c r="AY564" s="285"/>
      <c r="AZ564" s="79"/>
      <c r="BA564" s="9"/>
      <c r="BB564" s="82"/>
      <c r="BC564" s="9"/>
      <c r="BD564" s="954"/>
      <c r="BE564" s="9"/>
      <c r="BF564" s="82"/>
      <c r="BG564" s="9"/>
      <c r="BH564" s="82"/>
      <c r="BI564" s="9"/>
      <c r="BJ564" s="82"/>
      <c r="BK564" s="9"/>
      <c r="BL564" s="82"/>
      <c r="BM564" s="9"/>
      <c r="BN564" s="82"/>
      <c r="BO564" s="9"/>
      <c r="BP564" s="82"/>
      <c r="BQ564" s="9"/>
      <c r="BR564" s="82"/>
      <c r="BS564" s="9"/>
      <c r="BT564" s="82"/>
      <c r="BU564" s="9"/>
      <c r="BV564" s="43"/>
      <c r="BW564" s="141"/>
      <c r="BX564" s="722"/>
      <c r="BY564"/>
      <c r="BZ564"/>
      <c r="CA564"/>
      <c r="CB564"/>
      <c r="CC564"/>
      <c r="CD564"/>
    </row>
    <row r="565" spans="1:83" s="2" customFormat="1" ht="12.75" customHeight="1" collapsed="1" x14ac:dyDescent="0.2">
      <c r="A565" s="66"/>
      <c r="B565" s="67"/>
      <c r="C565" s="695"/>
      <c r="D565" s="9"/>
      <c r="E565" s="695"/>
      <c r="F565" s="9"/>
      <c r="G565" s="695"/>
      <c r="H565" s="9"/>
      <c r="I565" s="695"/>
      <c r="J565" s="9"/>
      <c r="K565" s="695"/>
      <c r="L565" s="9"/>
      <c r="M565" s="695"/>
      <c r="N565" s="9"/>
      <c r="O565" s="695"/>
      <c r="P565" s="9"/>
      <c r="Q565" s="695"/>
      <c r="R565" s="9"/>
      <c r="S565" s="695"/>
      <c r="T565" s="9"/>
      <c r="U565" s="695"/>
      <c r="V565" s="9"/>
      <c r="W565" s="695"/>
      <c r="X565" s="9"/>
      <c r="Y565" s="695"/>
      <c r="Z565" s="9"/>
      <c r="AA565" s="695"/>
      <c r="AB565" s="9"/>
      <c r="AC565" s="695"/>
      <c r="AD565" s="9"/>
      <c r="AE565" s="695"/>
      <c r="AF565" s="9"/>
      <c r="AG565" s="695"/>
      <c r="AH565" s="9"/>
      <c r="AI565" s="695"/>
      <c r="AJ565" s="9"/>
      <c r="AK565" s="695"/>
      <c r="AL565" s="9"/>
      <c r="AM565" s="695"/>
      <c r="AN565" s="9"/>
      <c r="AO565" s="695"/>
      <c r="AP565" s="9"/>
      <c r="AQ565" s="695"/>
      <c r="AR565" s="9"/>
      <c r="AS565" s="695"/>
      <c r="AT565" s="9"/>
      <c r="AU565" s="695"/>
      <c r="AV565" s="9"/>
      <c r="AW565" s="695"/>
      <c r="AX565" s="9"/>
      <c r="AY565" s="285"/>
      <c r="AZ565" s="79"/>
      <c r="BA565" s="9"/>
      <c r="BB565" s="696"/>
      <c r="BC565" s="9"/>
      <c r="BD565" s="923"/>
      <c r="BE565" s="9"/>
      <c r="BF565" s="696"/>
      <c r="BG565" s="9"/>
      <c r="BH565" s="696"/>
      <c r="BI565" s="9"/>
      <c r="BJ565" s="696"/>
      <c r="BK565" s="9"/>
      <c r="BL565" s="696"/>
      <c r="BM565" s="9"/>
      <c r="BN565" s="695"/>
      <c r="BO565" s="9"/>
      <c r="BP565" s="695"/>
      <c r="BQ565" s="9"/>
      <c r="BR565" s="695"/>
      <c r="BS565" s="9"/>
      <c r="BT565" s="695"/>
      <c r="BU565" s="9"/>
      <c r="BV565" s="141"/>
      <c r="BW565" s="141"/>
      <c r="BX565" s="722"/>
      <c r="BY565"/>
      <c r="BZ565"/>
      <c r="CA565"/>
      <c r="CB565"/>
      <c r="CC565"/>
      <c r="CD565"/>
    </row>
    <row r="566" spans="1:83" s="7" customFormat="1" ht="12.75" customHeight="1" x14ac:dyDescent="0.2">
      <c r="A566" s="80"/>
      <c r="B566" s="62" t="s">
        <v>59</v>
      </c>
      <c r="C566" s="50">
        <v>0</v>
      </c>
      <c r="D566" s="72" t="str">
        <f>IF(ISERROR(C566/#REF!),"NA",IF(OR(C566/#REF!&gt;2,C566/#REF!&lt;0.5),"NM",C566/#REF!*100-100))</f>
        <v>NA</v>
      </c>
      <c r="E566" s="50">
        <v>0</v>
      </c>
      <c r="F566" s="72" t="str">
        <f>IF(ISERROR(E566/#REF!),"NA",IF(OR(E566/#REF!&gt;2,E566/#REF!&lt;0.5),"NM",E566/#REF!*100-100))</f>
        <v>NA</v>
      </c>
      <c r="G566" s="50">
        <v>0</v>
      </c>
      <c r="H566" s="72" t="str">
        <f>IF(ISERROR(G566/#REF!),"NA",IF(OR(G566/#REF!&gt;2,G566/#REF!&lt;0.5),"NM",G566/#REF!*100-100))</f>
        <v>NA</v>
      </c>
      <c r="I566" s="50">
        <f>-6/0.65</f>
        <v>-9.2307692307692299</v>
      </c>
      <c r="J566" s="72" t="str">
        <f>IF(ISERROR(I566/#REF!),"NA",IF(OR(I566/#REF!&gt;2,I566/#REF!&lt;0.5),"NM",I566/#REF!*100-100))</f>
        <v>NA</v>
      </c>
      <c r="K566" s="50">
        <v>0</v>
      </c>
      <c r="L566" s="72" t="str">
        <f>IF(ISERROR(K566/C566),"NA",IF(OR(K566/C566&gt;2,K566/C566&lt;0.5),"NM",K566/C566*100-100))</f>
        <v>NA</v>
      </c>
      <c r="M566" s="50">
        <v>0</v>
      </c>
      <c r="N566" s="72" t="str">
        <f>IF(ISERROR(M566/E566),"NA",IF(OR(M566/E566&gt;2,M566/E566&lt;0.5),"NM",M566/E566*100-100))</f>
        <v>NA</v>
      </c>
      <c r="O566" s="50">
        <v>0</v>
      </c>
      <c r="P566" s="43" t="str">
        <f t="shared" ref="P566" si="2700">IF(ISERROR(O566/G566),"NA",IF(OR(O566/G566&gt;2,O566/G566&lt;0.5),"NM",O566/G566*100-100))</f>
        <v>NA</v>
      </c>
      <c r="Q566" s="50">
        <f>6/0.65</f>
        <v>9.2307692307692299</v>
      </c>
      <c r="R566" s="72" t="str">
        <f>IF(ISERROR(Q566/I566),"NA",IF(OR(Q566/I566&gt;2,Q566/I566&lt;0.5),"NM",Q566/I566*100-100))</f>
        <v>NM</v>
      </c>
      <c r="S566" s="50">
        <v>0</v>
      </c>
      <c r="T566" s="43" t="str">
        <f t="shared" ref="T566" si="2701">IF(ISERROR(S566/K566),"NA",IF(OR(S566/K566&gt;2,S566/K566&lt;0.5),"NM",S566/K566*100-100))</f>
        <v>NA</v>
      </c>
      <c r="U566" s="50">
        <f>-6/0.65</f>
        <v>-9.2307692307692299</v>
      </c>
      <c r="V566" s="72" t="str">
        <f>IF(ISERROR(U566/M566),"NA",IF(OR(U566/M566&gt;2,U566/M566&lt;0.5),"NM",U566/M566*100-100))</f>
        <v>NA</v>
      </c>
      <c r="W566" s="50">
        <v>0</v>
      </c>
      <c r="X566" s="43" t="str">
        <f t="shared" ref="X566" si="2702">IF(ISERROR(W566/O566),"NA",IF(OR(W566/O566&gt;2,W566/O566&lt;0.5),"NM",W566/O566*100-100))</f>
        <v>NA</v>
      </c>
      <c r="Y566" s="50">
        <v>0</v>
      </c>
      <c r="Z566" s="9" t="str">
        <f t="shared" ref="Z566:Z568" si="2703">IF(ISERROR(Y566/Q566),"NA",IF(OR(Y566/Q566&gt;2,Y566/Q566&lt;0.5),"NM",Y566/Q566*100-100))</f>
        <v>NM</v>
      </c>
      <c r="AA566" s="50">
        <v>0</v>
      </c>
      <c r="AB566" s="9" t="str">
        <f t="shared" ref="AB566:AB568" si="2704">IF(ISERROR(AA566/S566),"NA",IF(OR(AA566/S566&gt;2,AA566/S566&lt;0.5),"NM",AA566/S566*100-100))</f>
        <v>NA</v>
      </c>
      <c r="AC566" s="50">
        <v>0</v>
      </c>
      <c r="AD566" s="9" t="str">
        <f t="shared" ref="AD566:AD568" si="2705">IF(ISERROR(AC566/U566),"NA",IF(OR(AC566/U566&gt;2,AC566/U566&lt;0.5),"NM",AC566/U566*100-100))</f>
        <v>NM</v>
      </c>
      <c r="AE566" s="50">
        <v>0</v>
      </c>
      <c r="AF566" s="9" t="str">
        <f t="shared" ref="AF566:AF568" si="2706">IF(ISERROR(AE566/W566),"NA",IF(OR(AE566/W566&gt;2,AE566/W566&lt;0.5),"NM",AE566/W566*100-100))</f>
        <v>NA</v>
      </c>
      <c r="AG566" s="50">
        <v>0</v>
      </c>
      <c r="AH566" s="9" t="str">
        <f>IF(ISERROR(AG566/Y566),"NA",IF(OR(AG566/Y566&gt;2,AG566/Y566&lt;0.5),"NM",AG566/Y566*100-100))</f>
        <v>NA</v>
      </c>
      <c r="AI566" s="50">
        <v>0</v>
      </c>
      <c r="AJ566" s="9" t="str">
        <f t="shared" ref="AJ566:AJ568" si="2707">IF(ISERROR(AI566/AA566),"NA",IF(OR(AI566/AA566&gt;2,AI566/AA566&lt;0.5),"NM",AI566/AA566*100-100))</f>
        <v>NA</v>
      </c>
      <c r="AK566" s="50">
        <v>0</v>
      </c>
      <c r="AL566" s="9" t="str">
        <f t="shared" ref="AL566:AL568" si="2708">IF(ISERROR(AK566/AC566),"NA",IF(OR(AK566/AC566&gt;2,AK566/AC566&lt;0.5),"NM",AK566/AC566*100-100))</f>
        <v>NA</v>
      </c>
      <c r="AM566" s="50">
        <v>0</v>
      </c>
      <c r="AN566" s="9" t="str">
        <f t="shared" ref="AN566:AN568" si="2709">IF(ISERROR(AM566/AE566),"NA",IF(OR(AM566/AE566&gt;2,AM566/AE566&lt;0.5),"NM",AM566/AE566*100-100))</f>
        <v>NA</v>
      </c>
      <c r="AO566" s="50">
        <v>0</v>
      </c>
      <c r="AP566" s="9" t="str">
        <f t="shared" ref="AP566:AP568" si="2710">IF(ISERROR(AO566/AG566),"NA",IF(OR(AO566/AG566&gt;2,AO566/AG566&lt;0.5),"NM",AO566/AG566*100-100))</f>
        <v>NA</v>
      </c>
      <c r="AQ566" s="50">
        <v>0</v>
      </c>
      <c r="AR566" s="9" t="str">
        <f t="shared" ref="AR566:AR568" si="2711">IF(ISERROR(AQ566/AI566),"NA",IF(OR(AQ566/AI566&gt;2,AQ566/AI566&lt;0.5),"NM",AQ566/AI566*100-100))</f>
        <v>NA</v>
      </c>
      <c r="AS566" s="50">
        <v>0</v>
      </c>
      <c r="AT566" s="9" t="str">
        <f t="shared" ref="AT566:AT568" si="2712">IF(ISERROR(AS566/AK566),"NA",IF(OR(AS566/AK566&gt;2,AS566/AK566&lt;0.5),"NM",AS566/AK566*100-100))</f>
        <v>NA</v>
      </c>
      <c r="AU566" s="50">
        <v>0</v>
      </c>
      <c r="AV566" s="9" t="str">
        <f t="shared" ref="AV566:AV568" si="2713">IF(ISERROR(AU566/AM566),"NA",IF(OR(AU566/AM566&gt;2,AU566/AM566&lt;0.5),"NM",AU566/AM566*100-100))</f>
        <v>NA</v>
      </c>
      <c r="AW566" s="50">
        <v>0</v>
      </c>
      <c r="AX566" s="9" t="str">
        <f t="shared" ref="AX566:AX568" si="2714">IF(ISERROR(AW566/AO566),"NA",IF(OR(AW566/AO566&gt;2,AW566/AO566&lt;0.5),"NM",AW566/AO566*100-100))</f>
        <v>NA</v>
      </c>
      <c r="AY566" s="291"/>
      <c r="AZ566" s="156"/>
      <c r="BA566" s="9" t="str">
        <f>IF(ISERROR(#REF!/#REF!),"NA",IF(OR(#REF!/#REF!&gt;2,#REF!/#REF!&lt;0.5),"NM",#REF!/#REF!*100-100))</f>
        <v>NA</v>
      </c>
      <c r="BB566" s="55">
        <f>C566+E566+G566+I566</f>
        <v>-9.2307692307692299</v>
      </c>
      <c r="BC566" s="9" t="str">
        <f>IF(ISERROR(BB566/#REF!),"NA",IF(OR(BB566/#REF!&gt;2,BB566/#REF!&lt;0.5),"NM",BB566/#REF!*100-100))</f>
        <v>NA</v>
      </c>
      <c r="BD566" s="908">
        <f>K566+M566+O566+Q566</f>
        <v>9.2307692307692299</v>
      </c>
      <c r="BE566" s="9" t="str">
        <f t="shared" ref="BE566:BS568" si="2715">IF(ISERROR(BD566/BB566),"NA",IF(OR(BD566/BB566&gt;2,BD566/BB566&lt;0.5),"NM",BD566/BB566*100-100))</f>
        <v>NM</v>
      </c>
      <c r="BF566" s="55">
        <f>S566+U566+W566+Y566</f>
        <v>-9.2307692307692299</v>
      </c>
      <c r="BG566" s="9" t="str">
        <f t="shared" si="2715"/>
        <v>NM</v>
      </c>
      <c r="BH566" s="55">
        <f>AA566+AC566+AE566+AG566</f>
        <v>0</v>
      </c>
      <c r="BI566" s="9" t="str">
        <f t="shared" si="2715"/>
        <v>NM</v>
      </c>
      <c r="BJ566" s="55">
        <f>AI566+AK566+AM566+AO566</f>
        <v>0</v>
      </c>
      <c r="BK566" s="9" t="str">
        <f t="shared" si="2715"/>
        <v>NA</v>
      </c>
      <c r="BL566" s="55">
        <f>AQ566+AS566+AU566+AW566</f>
        <v>0</v>
      </c>
      <c r="BM566" s="9" t="str">
        <f t="shared" si="2715"/>
        <v>NA</v>
      </c>
      <c r="BN566" s="56">
        <v>0</v>
      </c>
      <c r="BO566" s="9" t="str">
        <f t="shared" si="2715"/>
        <v>NA</v>
      </c>
      <c r="BP566" s="56">
        <v>0</v>
      </c>
      <c r="BQ566" s="9" t="str">
        <f t="shared" si="2715"/>
        <v>NA</v>
      </c>
      <c r="BR566" s="56">
        <v>0</v>
      </c>
      <c r="BS566" s="9" t="str">
        <f t="shared" si="2715"/>
        <v>NA</v>
      </c>
      <c r="BT566" s="56">
        <v>0</v>
      </c>
      <c r="BU566" s="9" t="str">
        <f t="shared" ref="BU566:BU568" si="2716">IF(ISERROR(BT566/BR566),"NA",IF(OR(BT566/BR566&gt;2,BT566/BR566&lt;0.5),"NM",BT566/BR566*100-100))</f>
        <v>NA</v>
      </c>
      <c r="BV566" s="43" t="str">
        <f>IF(ISERROR(((BT566/BJ566)^0.2-1)*100),"NA",IF((((BT566/BJ566)^0.2-1)*100)&gt;100,"NM",IF((((BT566/BJ566)^0.2-1)*100)&lt;-50,"NM",((BT566/BJ566)^0.2-1)*100)))</f>
        <v>NA</v>
      </c>
      <c r="BW566" s="722"/>
      <c r="BX566" s="722"/>
      <c r="BY566"/>
      <c r="BZ566"/>
      <c r="CA566"/>
      <c r="CB566"/>
      <c r="CC566"/>
      <c r="CD566"/>
      <c r="CE566" s="2"/>
    </row>
    <row r="567" spans="1:83" s="7" customFormat="1" ht="12.75" hidden="1" customHeight="1" outlineLevel="1" x14ac:dyDescent="0.2">
      <c r="A567" s="80" t="s">
        <v>449</v>
      </c>
      <c r="B567" s="67" t="s">
        <v>60</v>
      </c>
      <c r="C567" s="695">
        <f>C564-C566</f>
        <v>-34.900000000000006</v>
      </c>
      <c r="D567" s="9" t="str">
        <f>IF(ISERROR(C567/#REF!),"NA",IF(OR(C567/#REF!&gt;2,C567/#REF!&lt;0.5),"NM",C567/#REF!*100-100))</f>
        <v>NA</v>
      </c>
      <c r="E567" s="695">
        <f>E564-E566</f>
        <v>-33.400000000000006</v>
      </c>
      <c r="F567" s="9" t="str">
        <f>IF(ISERROR(E567/#REF!),"NA",IF(OR(E567/#REF!&gt;2,E567/#REF!&lt;0.5),"NM",E567/#REF!*100-100))</f>
        <v>NA</v>
      </c>
      <c r="G567" s="695">
        <f>G564-G566</f>
        <v>-29.899999999999995</v>
      </c>
      <c r="H567" s="9" t="str">
        <f>IF(ISERROR(G567/#REF!),"NA",IF(OR(G567/#REF!&gt;2,G567/#REF!&lt;0.5),"NM",G567/#REF!*100-100))</f>
        <v>NA</v>
      </c>
      <c r="I567" s="695">
        <f>I564-I566</f>
        <v>-35.469230769230776</v>
      </c>
      <c r="J567" s="9" t="str">
        <f>IF(ISERROR(I567/#REF!),"NA",IF(OR(I567/#REF!&gt;2,I567/#REF!&lt;0.5),"NM",I567/#REF!*100-100))</f>
        <v>NA</v>
      </c>
      <c r="K567" s="695">
        <f>K564-K566</f>
        <v>-30</v>
      </c>
      <c r="L567" s="9">
        <f>IF(ISERROR(K567/C567),"NA",IF(OR(K567/C567&gt;2,K567/C567&lt;0.5),"NM",K567/C567*100-100))</f>
        <v>-14.040114613180535</v>
      </c>
      <c r="M567" s="695">
        <f>M564-M566</f>
        <v>-31</v>
      </c>
      <c r="N567" s="9">
        <f>IF(ISERROR(M567/E567),"NA",IF(OR(M567/E567&gt;2,M567/E567&lt;0.5),"NM",M567/E567*100-100))</f>
        <v>-7.1856287425149787</v>
      </c>
      <c r="O567" s="695">
        <f>O564-O566</f>
        <v>-31.3</v>
      </c>
      <c r="P567" s="9">
        <f>IF(ISERROR(O567/G567),"NA",IF(OR(O567/G567&gt;2,O567/G567&lt;0.5),"NM",O567/G567*100-100))</f>
        <v>4.6822742474916623</v>
      </c>
      <c r="Q567" s="695">
        <f>Q564-Q566</f>
        <v>-35.130769230769232</v>
      </c>
      <c r="R567" s="9">
        <f>IF(ISERROR(Q567/I567),"NA",IF(OR(Q567/I567&gt;2,Q567/I567&lt;0.5),"NM",Q567/I567*100-100))</f>
        <v>-0.95423986120148641</v>
      </c>
      <c r="S567" s="695">
        <f>S564-S566</f>
        <v>-28.7</v>
      </c>
      <c r="T567" s="9">
        <f>IF(ISERROR(S567/K567),"NA",IF(OR(S567/K567&gt;2,S567/K567&lt;0.5),"NM",S567/K567*100-100))</f>
        <v>-4.3333333333333286</v>
      </c>
      <c r="U567" s="695">
        <f>U564-U566</f>
        <v>-31.969230769230773</v>
      </c>
      <c r="V567" s="9">
        <f>IF(ISERROR(U567/M567),"NA",IF(OR(U567/M567&gt;2,U567/M567&lt;0.5),"NM",U567/M567*100-100))</f>
        <v>3.1265508684863619</v>
      </c>
      <c r="W567" s="695">
        <f>W564-W566</f>
        <v>-35.699999999999996</v>
      </c>
      <c r="X567" s="9">
        <f>IF(ISERROR(W567/O567),"NA",IF(OR(W567/O567&gt;2,W567/O567&lt;0.5),"NM",W567/O567*100-100))</f>
        <v>14.057507987220433</v>
      </c>
      <c r="Y567" s="695">
        <f>Y564-Y566</f>
        <v>-36.29999999999999</v>
      </c>
      <c r="Z567" s="9">
        <f t="shared" si="2703"/>
        <v>3.3282242172103906</v>
      </c>
      <c r="AA567" s="695">
        <f>AA564-AA566</f>
        <v>-34.79999999999999</v>
      </c>
      <c r="AB567" s="9">
        <f t="shared" si="2704"/>
        <v>21.254355400696824</v>
      </c>
      <c r="AC567" s="695">
        <f>AC564-AC566</f>
        <v>-36.199999999999996</v>
      </c>
      <c r="AD567" s="9">
        <f t="shared" si="2705"/>
        <v>13.233878729547627</v>
      </c>
      <c r="AE567" s="695">
        <f>AE564-AE566</f>
        <v>-39.4</v>
      </c>
      <c r="AF567" s="9">
        <f t="shared" si="2706"/>
        <v>10.364145658263311</v>
      </c>
      <c r="AG567" s="695">
        <f>AG564-AG566</f>
        <v>-12.399999999999997</v>
      </c>
      <c r="AH567" s="9" t="str">
        <f>IF(ISERROR(AG567/Y567),"NA",IF(OR(AG567/Y567&gt;2,AG567/Y567&lt;0.5),"NM",AG567/Y567*100-100))</f>
        <v>NM</v>
      </c>
      <c r="AI567" s="695">
        <f>AI564-AI566</f>
        <v>-39.999999999999993</v>
      </c>
      <c r="AJ567" s="9">
        <f t="shared" si="2707"/>
        <v>14.942528735632195</v>
      </c>
      <c r="AK567" s="695">
        <f>AK564-AK566</f>
        <v>-28.599999999999998</v>
      </c>
      <c r="AL567" s="9">
        <f t="shared" si="2708"/>
        <v>-20.994475138121544</v>
      </c>
      <c r="AM567" s="695">
        <f>AM564-AM566</f>
        <v>-24.199999999999992</v>
      </c>
      <c r="AN567" s="9">
        <f t="shared" si="2709"/>
        <v>-38.5786802030457</v>
      </c>
      <c r="AO567" s="695">
        <f>AO564-AO566</f>
        <v>-61.599999999999994</v>
      </c>
      <c r="AP567" s="9" t="str">
        <f t="shared" si="2710"/>
        <v>NM</v>
      </c>
      <c r="AQ567" s="695">
        <f t="shared" ref="AQ567:AW567" si="2717">AQ564-AQ566</f>
        <v>0</v>
      </c>
      <c r="AR567" s="9" t="str">
        <f t="shared" si="2711"/>
        <v>NM</v>
      </c>
      <c r="AS567" s="695">
        <f t="shared" si="2717"/>
        <v>0</v>
      </c>
      <c r="AT567" s="9" t="str">
        <f t="shared" si="2712"/>
        <v>NM</v>
      </c>
      <c r="AU567" s="695">
        <f t="shared" si="2717"/>
        <v>0</v>
      </c>
      <c r="AV567" s="9" t="str">
        <f t="shared" si="2713"/>
        <v>NM</v>
      </c>
      <c r="AW567" s="695">
        <f t="shared" si="2717"/>
        <v>0</v>
      </c>
      <c r="AX567" s="9" t="str">
        <f t="shared" si="2714"/>
        <v>NM</v>
      </c>
      <c r="AY567" s="285"/>
      <c r="AZ567" s="79"/>
      <c r="BA567" s="9" t="str">
        <f>IF(ISERROR(#REF!/#REF!),"NA",IF(OR(#REF!/#REF!&gt;2,#REF!/#REF!&lt;0.5),"NM",#REF!/#REF!*100-100))</f>
        <v>NA</v>
      </c>
      <c r="BB567" s="82">
        <f>BB564-BB566</f>
        <v>9.2307692307692299</v>
      </c>
      <c r="BC567" s="9" t="str">
        <f>IF(ISERROR(BB567/#REF!),"NA",IF(OR(BB567/#REF!&gt;2,BB567/#REF!&lt;0.5),"NM",BB567/#REF!*100-100))</f>
        <v>NA</v>
      </c>
      <c r="BD567" s="954">
        <f>BD564-BD566</f>
        <v>-9.2307692307692299</v>
      </c>
      <c r="BE567" s="9" t="str">
        <f t="shared" si="2715"/>
        <v>NM</v>
      </c>
      <c r="BF567" s="82">
        <f>BF564-BF566</f>
        <v>9.2307692307692299</v>
      </c>
      <c r="BG567" s="9" t="str">
        <f t="shared" si="2715"/>
        <v>NM</v>
      </c>
      <c r="BH567" s="82">
        <f>BH564-BH566</f>
        <v>0</v>
      </c>
      <c r="BI567" s="9" t="str">
        <f t="shared" si="2715"/>
        <v>NM</v>
      </c>
      <c r="BJ567" s="82">
        <f>BJ564-BJ566</f>
        <v>0</v>
      </c>
      <c r="BK567" s="9" t="str">
        <f t="shared" si="2715"/>
        <v>NA</v>
      </c>
      <c r="BL567" s="82">
        <f>BL564-BL566</f>
        <v>0</v>
      </c>
      <c r="BM567" s="9" t="str">
        <f t="shared" si="2715"/>
        <v>NA</v>
      </c>
      <c r="BN567" s="82">
        <f>BN564-BN566</f>
        <v>0</v>
      </c>
      <c r="BO567" s="9" t="str">
        <f t="shared" si="2715"/>
        <v>NA</v>
      </c>
      <c r="BP567" s="82">
        <f>BP564-BP566</f>
        <v>0</v>
      </c>
      <c r="BQ567" s="9" t="str">
        <f t="shared" si="2715"/>
        <v>NA</v>
      </c>
      <c r="BR567" s="82">
        <f>BR564-BR566</f>
        <v>0</v>
      </c>
      <c r="BS567" s="9" t="str">
        <f t="shared" si="2715"/>
        <v>NA</v>
      </c>
      <c r="BT567" s="82">
        <f>BT564-BT566</f>
        <v>0</v>
      </c>
      <c r="BU567" s="9" t="str">
        <f t="shared" si="2716"/>
        <v>NA</v>
      </c>
      <c r="BV567" s="43" t="str">
        <f>IF(ISERROR(((BT567/BJ567)^0.2-1)*100),"NA",IF((((BT567/BJ567)^0.2-1)*100)&gt;100,"NM",IF((((BT567/BJ567)^0.2-1)*100)&lt;-50,"NM",((BT567/BJ567)^0.2-1)*100)))</f>
        <v>NA</v>
      </c>
      <c r="BW567" s="722"/>
      <c r="BX567" s="722"/>
      <c r="BY567"/>
      <c r="BZ567"/>
      <c r="CA567"/>
      <c r="CB567"/>
      <c r="CC567"/>
      <c r="CD567"/>
      <c r="CE567" s="2"/>
    </row>
    <row r="568" spans="1:83" s="7" customFormat="1" ht="12.75" customHeight="1" collapsed="1" x14ac:dyDescent="0.2">
      <c r="A568" s="42"/>
      <c r="B568" s="67" t="s">
        <v>466</v>
      </c>
      <c r="C568" s="695">
        <f>C559-C566</f>
        <v>-44.100000000000009</v>
      </c>
      <c r="D568" s="232" t="str">
        <f>IF(ISERROR(C568/#REF!),"NA",IF(OR(C568/#REF!&gt;2,C568/#REF!&lt;0.5),"NM",C568/#REF!*100-100))</f>
        <v>NA</v>
      </c>
      <c r="E568" s="695">
        <f t="shared" ref="E568:W568" si="2718">E559-E566</f>
        <v>-49.000000000000007</v>
      </c>
      <c r="F568" s="232" t="str">
        <f>IF(ISERROR(E568/#REF!),"NA",IF(OR(E568/#REF!&gt;2,E568/#REF!&lt;0.5),"NM",E568/#REF!*100-100))</f>
        <v>NA</v>
      </c>
      <c r="G568" s="695">
        <f t="shared" si="2718"/>
        <v>-41.499999999999993</v>
      </c>
      <c r="H568" s="9" t="str">
        <f>IF(ISERROR(G568/#REF!),"NA",IF(OR(G568/#REF!&gt;2,G568/#REF!&lt;0.5),"NM",G568/#REF!*100-100))</f>
        <v>NA</v>
      </c>
      <c r="I568" s="695">
        <f t="shared" si="2718"/>
        <v>-49.269230769230774</v>
      </c>
      <c r="J568" s="9" t="str">
        <f>IF(ISERROR(I568/#REF!),"NA",IF(OR(I568/#REF!&gt;2,I568/#REF!&lt;0.5),"NM",I568/#REF!*100-100))</f>
        <v>NA</v>
      </c>
      <c r="K568" s="695">
        <f t="shared" si="2718"/>
        <v>-42.7</v>
      </c>
      <c r="L568" s="9">
        <f>IF(ISERROR(K568/C568),"NA",IF(OR(K568/C568&gt;2,K568/C568&lt;0.5),"NM",K568/C568*100-100))</f>
        <v>-3.1746031746031917</v>
      </c>
      <c r="M568" s="695">
        <f t="shared" si="2718"/>
        <v>-39.800000000000004</v>
      </c>
      <c r="N568" s="43">
        <f t="shared" ref="N568" si="2719">IF(ISERROR(M568/E568),"NA",IF(OR(M568/E568&gt;2,M568/E568&lt;0.5),"NM",M568/E568*100-100))</f>
        <v>-18.775510204081641</v>
      </c>
      <c r="O568" s="695">
        <f t="shared" si="2718"/>
        <v>-43.2</v>
      </c>
      <c r="P568" s="43">
        <f t="shared" ref="P568" si="2720">IF(ISERROR(O568/G568),"NA",IF(OR(O568/G568&gt;2,O568/G568&lt;0.5),"NM",O568/G568*100-100))</f>
        <v>4.0963855421686901</v>
      </c>
      <c r="Q568" s="695">
        <f t="shared" si="2718"/>
        <v>-58.330769230769235</v>
      </c>
      <c r="R568" s="43">
        <f t="shared" ref="R568" si="2721">IF(ISERROR(Q568/I568),"NA",IF(OR(Q568/I568&gt;2,Q568/I568&lt;0.5),"NM",Q568/I568*100-100))</f>
        <v>18.391881342701026</v>
      </c>
      <c r="S568" s="695">
        <f t="shared" si="2718"/>
        <v>-37.300000000000004</v>
      </c>
      <c r="T568" s="43">
        <f t="shared" ref="T568" si="2722">IF(ISERROR(S568/K568),"NA",IF(OR(S568/K568&gt;2,S568/K568&lt;0.5),"NM",S568/K568*100-100))</f>
        <v>-12.646370023419195</v>
      </c>
      <c r="U568" s="695">
        <f t="shared" si="2718"/>
        <v>-36.969230769230776</v>
      </c>
      <c r="V568" s="43">
        <f t="shared" ref="V568" si="2723">IF(ISERROR(U568/M568),"NA",IF(OR(U568/M568&gt;2,U568/M568&lt;0.5),"NM",U568/M568*100-100))</f>
        <v>-7.1124855044453028</v>
      </c>
      <c r="W568" s="695">
        <f t="shared" si="2718"/>
        <v>-54</v>
      </c>
      <c r="X568" s="43">
        <f t="shared" ref="X568" si="2724">IF(ISERROR(W568/O568),"NA",IF(OR(W568/O568&gt;2,W568/O568&lt;0.5),"NM",W568/O568*100-100))</f>
        <v>25</v>
      </c>
      <c r="Y568" s="695">
        <f t="shared" ref="Y568:AA568" si="2725">Y559-Y566</f>
        <v>-54.8</v>
      </c>
      <c r="Z568" s="9">
        <f t="shared" si="2703"/>
        <v>-6.0530133192667961</v>
      </c>
      <c r="AA568" s="695">
        <f t="shared" si="2725"/>
        <v>-53.29999999999999</v>
      </c>
      <c r="AB568" s="9">
        <f t="shared" si="2704"/>
        <v>42.895442359249301</v>
      </c>
      <c r="AC568" s="695">
        <f t="shared" ref="AC568:AE568" si="2726">AC559-AC566</f>
        <v>-54.499999999999993</v>
      </c>
      <c r="AD568" s="9">
        <f t="shared" si="2705"/>
        <v>47.419891801914218</v>
      </c>
      <c r="AE568" s="695">
        <f t="shared" si="2726"/>
        <v>-57.8</v>
      </c>
      <c r="AF568" s="9">
        <f t="shared" si="2706"/>
        <v>7.0370370370370381</v>
      </c>
      <c r="AG568" s="695">
        <f t="shared" ref="AG568:AI568" si="2727">AG559-AG566</f>
        <v>-53.3</v>
      </c>
      <c r="AH568" s="9">
        <f>IF(ISERROR(AG568/Y568),"NA",IF(OR(AG568/Y568&gt;2,AG568/Y568&lt;0.5),"NM",AG568/Y568*100-100))</f>
        <v>-2.7372262773722582</v>
      </c>
      <c r="AI568" s="695">
        <f t="shared" si="2727"/>
        <v>-58.5</v>
      </c>
      <c r="AJ568" s="9">
        <f t="shared" si="2707"/>
        <v>9.7560975609756468</v>
      </c>
      <c r="AK568" s="695">
        <f t="shared" ref="AK568:AM568" si="2728">AK559-AK566</f>
        <v>-47.5</v>
      </c>
      <c r="AL568" s="9">
        <f t="shared" si="2708"/>
        <v>-12.844036697247702</v>
      </c>
      <c r="AM568" s="695">
        <f t="shared" si="2728"/>
        <v>-42.999999999999993</v>
      </c>
      <c r="AN568" s="9">
        <f t="shared" si="2709"/>
        <v>-25.605536332179938</v>
      </c>
      <c r="AO568" s="695">
        <f t="shared" ref="AO568" si="2729">AO559-AO566</f>
        <v>-61.499999999999993</v>
      </c>
      <c r="AP568" s="9">
        <f t="shared" si="2710"/>
        <v>15.384615384615373</v>
      </c>
      <c r="AQ568" s="695">
        <f t="shared" ref="AQ568:AW568" si="2730">AQ559-AQ566</f>
        <v>-51.500259740259729</v>
      </c>
      <c r="AR568" s="9">
        <f t="shared" si="2711"/>
        <v>-11.965367965367989</v>
      </c>
      <c r="AS568" s="695">
        <f t="shared" si="2730"/>
        <v>-51.500259740259729</v>
      </c>
      <c r="AT568" s="9">
        <f t="shared" si="2712"/>
        <v>8.4215994531783736</v>
      </c>
      <c r="AU568" s="695">
        <f t="shared" si="2730"/>
        <v>-51.500259740259729</v>
      </c>
      <c r="AV568" s="9">
        <f t="shared" si="2713"/>
        <v>19.768045907580785</v>
      </c>
      <c r="AW568" s="695">
        <f t="shared" si="2730"/>
        <v>-51.500259740259729</v>
      </c>
      <c r="AX568" s="9">
        <f t="shared" si="2714"/>
        <v>-16.259740259740269</v>
      </c>
      <c r="AY568" s="284"/>
      <c r="AZ568" s="68"/>
      <c r="BA568" s="613" t="str">
        <f>IF(ISERROR(#REF!/#REF!),"NA",IF(OR(#REF!/#REF!&gt;2,#REF!/#REF!&lt;0.5),"NM",#REF!/#REF!*100-100))</f>
        <v>NA</v>
      </c>
      <c r="BB568" s="704">
        <f>BB559-BB566</f>
        <v>-183.86923076923077</v>
      </c>
      <c r="BC568" s="9" t="str">
        <f>IF(ISERROR(BB568/#REF!),"NA",IF(OR(BB568/#REF!&gt;2,BB568/#REF!&lt;0.5),"NM",BB568/#REF!*100-100))</f>
        <v>NA</v>
      </c>
      <c r="BD568" s="955">
        <f t="shared" ref="BD568:BP568" si="2731">BD559-BD566</f>
        <v>-184.03076923076924</v>
      </c>
      <c r="BE568" s="9">
        <f t="shared" si="2715"/>
        <v>8.7855080952195408E-2</v>
      </c>
      <c r="BF568" s="704">
        <f t="shared" si="2731"/>
        <v>-183.06923076923076</v>
      </c>
      <c r="BG568" s="9">
        <f t="shared" si="2715"/>
        <v>-0.52248787828122545</v>
      </c>
      <c r="BH568" s="704">
        <f t="shared" si="2731"/>
        <v>-218.89999999999998</v>
      </c>
      <c r="BI568" s="9">
        <f t="shared" si="2715"/>
        <v>19.572250934913242</v>
      </c>
      <c r="BJ568" s="704">
        <f t="shared" si="2731"/>
        <v>-210.5</v>
      </c>
      <c r="BK568" s="9">
        <f t="shared" si="2715"/>
        <v>-3.8373686614892648</v>
      </c>
      <c r="BL568" s="704">
        <f t="shared" ref="BL568" si="2732">BL559-BL566</f>
        <v>-206.00103896103892</v>
      </c>
      <c r="BM568" s="9">
        <f t="shared" si="2715"/>
        <v>-2.1372736527131053</v>
      </c>
      <c r="BN568" s="704">
        <f t="shared" si="2731"/>
        <v>-206.70183896103896</v>
      </c>
      <c r="BO568" s="9">
        <f t="shared" si="2715"/>
        <v>0.3401924589965688</v>
      </c>
      <c r="BP568" s="704">
        <f t="shared" si="2731"/>
        <v>-214.90795896103896</v>
      </c>
      <c r="BQ568" s="9">
        <f t="shared" si="2715"/>
        <v>3.9700275726848986</v>
      </c>
      <c r="BR568" s="704">
        <f t="shared" ref="BR568:BT568" si="2733">BR559-BR566</f>
        <v>-223.47907056103895</v>
      </c>
      <c r="BS568" s="9">
        <f t="shared" si="2715"/>
        <v>3.9882709051058782</v>
      </c>
      <c r="BT568" s="704">
        <f t="shared" si="2733"/>
        <v>-232.43251705303899</v>
      </c>
      <c r="BU568" s="9">
        <f t="shared" si="2716"/>
        <v>4.0063915021315495</v>
      </c>
      <c r="BV568" s="43">
        <f>IF(ISERROR(((BT568/BJ568)^0.2-1)*100),"NA",IF((((BT568/BJ568)^0.2-1)*100)&gt;100,"NM",IF((((BT568/BJ568)^0.2-1)*100)&lt;-50,"NM",((BT568/BJ568)^0.2-1)*100)))</f>
        <v>2.0020633596808057</v>
      </c>
      <c r="BW568" s="43"/>
      <c r="BX568" s="43"/>
      <c r="BY568"/>
      <c r="BZ568"/>
      <c r="CA568"/>
      <c r="CB568"/>
      <c r="CC568"/>
      <c r="CD568"/>
      <c r="CE568" s="2"/>
    </row>
    <row r="569" spans="1:83" s="2" customFormat="1" ht="12.75" customHeight="1" x14ac:dyDescent="0.2">
      <c r="A569" s="41"/>
      <c r="B569" s="62"/>
      <c r="C569" s="691"/>
      <c r="D569" s="9"/>
      <c r="E569" s="691"/>
      <c r="F569" s="9"/>
      <c r="G569" s="691"/>
      <c r="H569" s="9"/>
      <c r="I569" s="691"/>
      <c r="J569" s="9"/>
      <c r="K569" s="691"/>
      <c r="L569" s="9"/>
      <c r="M569" s="691"/>
      <c r="N569" s="9"/>
      <c r="O569" s="691"/>
      <c r="P569" s="9"/>
      <c r="Q569" s="691"/>
      <c r="R569" s="9"/>
      <c r="S569" s="691"/>
      <c r="T569" s="9"/>
      <c r="U569" s="691"/>
      <c r="V569" s="9"/>
      <c r="W569" s="691"/>
      <c r="X569" s="9"/>
      <c r="Y569" s="691"/>
      <c r="Z569" s="9"/>
      <c r="AA569" s="691"/>
      <c r="AB569" s="9"/>
      <c r="AC569" s="691"/>
      <c r="AD569" s="9"/>
      <c r="AE569" s="691"/>
      <c r="AF569" s="9"/>
      <c r="AG569" s="691"/>
      <c r="AH569" s="9"/>
      <c r="AI569" s="691"/>
      <c r="AJ569" s="9"/>
      <c r="AK569" s="691"/>
      <c r="AL569" s="9"/>
      <c r="AM569" s="691"/>
      <c r="AN569" s="9"/>
      <c r="AO569" s="691"/>
      <c r="AP569" s="9"/>
      <c r="AQ569" s="691"/>
      <c r="AR569" s="9"/>
      <c r="AS569" s="691"/>
      <c r="AT569" s="9"/>
      <c r="AU569" s="691"/>
      <c r="AV569" s="9"/>
      <c r="AW569" s="691"/>
      <c r="AX569" s="9"/>
      <c r="AY569" s="279"/>
      <c r="AZ569" s="15"/>
      <c r="BA569" s="9"/>
      <c r="BB569" s="694"/>
      <c r="BC569" s="9"/>
      <c r="BD569" s="916"/>
      <c r="BE569" s="9"/>
      <c r="BF569" s="694"/>
      <c r="BG569" s="9"/>
      <c r="BH569" s="694"/>
      <c r="BI569" s="9"/>
      <c r="BJ569" s="694"/>
      <c r="BK569" s="9"/>
      <c r="BL569" s="694"/>
      <c r="BM569" s="9"/>
      <c r="BN569" s="691"/>
      <c r="BO569" s="9"/>
      <c r="BP569" s="691"/>
      <c r="BQ569" s="9"/>
      <c r="BR569" s="691"/>
      <c r="BS569" s="9"/>
      <c r="BT569" s="691"/>
      <c r="BU569" s="9"/>
      <c r="BV569" s="722"/>
      <c r="BW569" s="722"/>
      <c r="BX569" s="722"/>
      <c r="BY569"/>
      <c r="BZ569"/>
      <c r="CA569"/>
      <c r="CB569"/>
      <c r="CC569"/>
      <c r="CD569"/>
    </row>
    <row r="570" spans="1:83" s="265" customFormat="1" ht="12.75" customHeight="1" x14ac:dyDescent="0.2">
      <c r="B570" s="266" t="s">
        <v>47</v>
      </c>
      <c r="C570" s="268"/>
      <c r="D570" s="269"/>
      <c r="E570" s="268"/>
      <c r="F570" s="269"/>
      <c r="G570" s="268"/>
      <c r="H570" s="269"/>
      <c r="I570" s="268"/>
      <c r="J570" s="269"/>
      <c r="K570" s="268"/>
      <c r="L570" s="269"/>
      <c r="M570" s="268"/>
      <c r="N570" s="269"/>
      <c r="O570" s="268"/>
      <c r="P570" s="269"/>
      <c r="Q570" s="268"/>
      <c r="R570" s="269"/>
      <c r="S570" s="268"/>
      <c r="T570" s="269"/>
      <c r="U570" s="268"/>
      <c r="V570" s="269"/>
      <c r="W570" s="268"/>
      <c r="X570" s="269"/>
      <c r="Y570" s="268"/>
      <c r="Z570" s="269"/>
      <c r="AA570" s="268"/>
      <c r="AB570" s="269"/>
      <c r="AC570" s="268"/>
      <c r="AD570" s="269"/>
      <c r="AE570" s="268"/>
      <c r="AF570" s="269"/>
      <c r="AG570" s="268"/>
      <c r="AH570" s="269"/>
      <c r="AI570" s="268"/>
      <c r="AJ570" s="269"/>
      <c r="AK570" s="268"/>
      <c r="AL570" s="269"/>
      <c r="AM570" s="268"/>
      <c r="AN570" s="269"/>
      <c r="AO570" s="268"/>
      <c r="AP570" s="269"/>
      <c r="AQ570" s="268"/>
      <c r="AR570" s="269"/>
      <c r="AS570" s="268"/>
      <c r="AT570" s="269"/>
      <c r="AU570" s="268"/>
      <c r="AV570" s="269"/>
      <c r="AW570" s="268"/>
      <c r="AX570" s="269"/>
      <c r="AY570" s="281"/>
      <c r="AZ570" s="267"/>
      <c r="BA570" s="269"/>
      <c r="BB570" s="268"/>
      <c r="BC570" s="269"/>
      <c r="BD570" s="907"/>
      <c r="BE570" s="269"/>
      <c r="BF570" s="268"/>
      <c r="BG570" s="269"/>
      <c r="BH570" s="268"/>
      <c r="BI570" s="269"/>
      <c r="BJ570" s="268"/>
      <c r="BK570" s="269"/>
      <c r="BL570" s="268"/>
      <c r="BM570" s="269"/>
      <c r="BN570" s="268"/>
      <c r="BO570" s="269"/>
      <c r="BP570" s="268"/>
      <c r="BQ570" s="269"/>
      <c r="BR570" s="268"/>
      <c r="BS570" s="269"/>
      <c r="BT570" s="268"/>
      <c r="BU570" s="269"/>
      <c r="BV570" s="270"/>
      <c r="BW570" s="270"/>
      <c r="BX570" s="270"/>
      <c r="BY570"/>
      <c r="BZ570"/>
      <c r="CA570"/>
      <c r="CB570"/>
      <c r="CC570"/>
      <c r="CD570"/>
    </row>
    <row r="571" spans="1:83" s="2" customFormat="1" ht="12.75" customHeight="1" x14ac:dyDescent="0.2">
      <c r="A571" s="41"/>
      <c r="B571" s="157"/>
      <c r="C571" s="694"/>
      <c r="D571" s="9"/>
      <c r="E571" s="694"/>
      <c r="F571" s="9"/>
      <c r="G571" s="694"/>
      <c r="H571" s="9"/>
      <c r="I571" s="694"/>
      <c r="J571" s="9"/>
      <c r="K571" s="694"/>
      <c r="L571" s="9"/>
      <c r="M571" s="694"/>
      <c r="N571" s="9"/>
      <c r="O571" s="694"/>
      <c r="P571" s="9"/>
      <c r="Q571" s="694"/>
      <c r="R571" s="9"/>
      <c r="S571" s="694"/>
      <c r="T571" s="9"/>
      <c r="U571" s="694"/>
      <c r="V571" s="9"/>
      <c r="W571" s="694"/>
      <c r="X571" s="9"/>
      <c r="Y571" s="694"/>
      <c r="Z571" s="9"/>
      <c r="AA571" s="694"/>
      <c r="AB571" s="9"/>
      <c r="AC571" s="694"/>
      <c r="AD571" s="9"/>
      <c r="AE571" s="694"/>
      <c r="AF571" s="9"/>
      <c r="AG571" s="694"/>
      <c r="AH571" s="9"/>
      <c r="AI571" s="694"/>
      <c r="AJ571" s="9"/>
      <c r="AK571" s="694"/>
      <c r="AL571" s="9"/>
      <c r="AM571" s="694"/>
      <c r="AN571" s="9"/>
      <c r="AO571" s="694"/>
      <c r="AP571" s="9"/>
      <c r="AQ571" s="694"/>
      <c r="AR571" s="9"/>
      <c r="AS571" s="694"/>
      <c r="AT571" s="9"/>
      <c r="AU571" s="694"/>
      <c r="AV571" s="9"/>
      <c r="AW571" s="694"/>
      <c r="AX571" s="9"/>
      <c r="AY571" s="279"/>
      <c r="AZ571" s="15"/>
      <c r="BA571" s="9"/>
      <c r="BB571" s="694"/>
      <c r="BC571" s="9"/>
      <c r="BD571" s="916"/>
      <c r="BE571" s="9"/>
      <c r="BF571" s="694"/>
      <c r="BG571" s="9"/>
      <c r="BH571" s="694"/>
      <c r="BI571" s="9"/>
      <c r="BJ571" s="694"/>
      <c r="BK571" s="9"/>
      <c r="BL571" s="694"/>
      <c r="BM571" s="9"/>
      <c r="BN571" s="694"/>
      <c r="BO571" s="9"/>
      <c r="BP571" s="694"/>
      <c r="BQ571" s="9"/>
      <c r="BR571" s="694"/>
      <c r="BS571" s="9"/>
      <c r="BT571" s="694"/>
      <c r="BU571" s="9"/>
      <c r="BV571" s="722"/>
      <c r="BW571" s="722"/>
      <c r="BX571" s="722"/>
      <c r="BY571"/>
      <c r="BZ571"/>
      <c r="CA571"/>
      <c r="CB571"/>
      <c r="CC571"/>
      <c r="CD571"/>
    </row>
    <row r="572" spans="1:83" s="2" customFormat="1" ht="12.75" customHeight="1" x14ac:dyDescent="0.2">
      <c r="A572" s="41"/>
      <c r="B572" s="158" t="s">
        <v>492</v>
      </c>
      <c r="C572" s="694"/>
      <c r="D572" s="9"/>
      <c r="E572" s="694"/>
      <c r="F572" s="9"/>
      <c r="G572" s="694"/>
      <c r="H572" s="9"/>
      <c r="I572" s="694"/>
      <c r="J572" s="9"/>
      <c r="K572" s="694"/>
      <c r="L572" s="9"/>
      <c r="M572" s="694"/>
      <c r="N572" s="9"/>
      <c r="O572" s="694"/>
      <c r="P572" s="9"/>
      <c r="Q572" s="694"/>
      <c r="R572" s="9"/>
      <c r="S572" s="694"/>
      <c r="T572" s="9"/>
      <c r="U572" s="694"/>
      <c r="V572" s="9"/>
      <c r="W572" s="694"/>
      <c r="X572" s="9"/>
      <c r="Y572" s="694"/>
      <c r="Z572" s="9"/>
      <c r="AA572" s="694"/>
      <c r="AB572" s="9"/>
      <c r="AC572" s="694"/>
      <c r="AD572" s="9"/>
      <c r="AE572" s="694"/>
      <c r="AF572" s="9"/>
      <c r="AG572" s="694"/>
      <c r="AH572" s="9"/>
      <c r="AI572" s="694"/>
      <c r="AJ572" s="9"/>
      <c r="AK572" s="694"/>
      <c r="AL572" s="9"/>
      <c r="AM572" s="694"/>
      <c r="AN572" s="9"/>
      <c r="AO572" s="694"/>
      <c r="AP572" s="9"/>
      <c r="AQ572" s="694"/>
      <c r="AR572" s="9"/>
      <c r="AS572" s="694"/>
      <c r="AT572" s="9"/>
      <c r="AU572" s="694"/>
      <c r="AV572" s="9"/>
      <c r="AW572" s="694"/>
      <c r="AX572" s="9"/>
      <c r="AY572" s="279"/>
      <c r="AZ572" s="15"/>
      <c r="BA572" s="9"/>
      <c r="BB572" s="694"/>
      <c r="BC572" s="9"/>
      <c r="BD572" s="916"/>
      <c r="BE572" s="9"/>
      <c r="BF572" s="694"/>
      <c r="BG572" s="9"/>
      <c r="BH572" s="694"/>
      <c r="BI572" s="9"/>
      <c r="BJ572" s="694"/>
      <c r="BK572" s="9"/>
      <c r="BL572" s="694"/>
      <c r="BM572" s="9"/>
      <c r="BN572" s="694"/>
      <c r="BO572" s="9"/>
      <c r="BP572" s="694"/>
      <c r="BQ572" s="9"/>
      <c r="BR572" s="694"/>
      <c r="BS572" s="9"/>
      <c r="BT572" s="694"/>
      <c r="BU572" s="9"/>
      <c r="BV572" s="722"/>
      <c r="BW572" s="722"/>
      <c r="BX572" s="722"/>
      <c r="BY572"/>
      <c r="BZ572"/>
      <c r="CA572"/>
      <c r="CB572"/>
      <c r="CC572"/>
      <c r="CD572"/>
    </row>
    <row r="573" spans="1:83" s="7" customFormat="1" ht="12.75" customHeight="1" x14ac:dyDescent="0.2">
      <c r="A573" s="42"/>
      <c r="B573" s="159" t="s">
        <v>450</v>
      </c>
      <c r="C573" s="691">
        <f>C546+C518+C319+C176+C133</f>
        <v>1425.3</v>
      </c>
      <c r="D573" s="705" t="str">
        <f>IF(ISERROR(C573/#REF!),"NA",IF(OR(C573/#REF!&gt;2,C573/#REF!&lt;0.5),"NM",C573/#REF!*100-100))</f>
        <v>NA</v>
      </c>
      <c r="E573" s="691">
        <f>E546+E518+E319+E176+E133</f>
        <v>1541.4</v>
      </c>
      <c r="F573" s="705" t="str">
        <f>IF(ISERROR(E573/#REF!),"NA",IF(OR(E573/#REF!&gt;2,E573/#REF!&lt;0.5),"NM",E573/#REF!*100-100))</f>
        <v>NA</v>
      </c>
      <c r="G573" s="691">
        <f>G546+G518+G319+G176+G133</f>
        <v>1506.1000000000001</v>
      </c>
      <c r="H573" s="9" t="str">
        <f>IF(ISERROR(G573/#REF!),"NA",IF(OR(G573/#REF!&gt;2,G573/#REF!&lt;0.5),"NM",G573/#REF!*100-100))</f>
        <v>NA</v>
      </c>
      <c r="I573" s="691">
        <f>I546+I518+I319+I176+I133</f>
        <v>1903.8</v>
      </c>
      <c r="J573" s="9" t="str">
        <f>IF(ISERROR(I573/#REF!),"NA",IF(OR(I573/#REF!&gt;2,I573/#REF!&lt;0.5),"NM",I573/#REF!*100-100))</f>
        <v>NA</v>
      </c>
      <c r="K573" s="691">
        <f>K546+K518+K319+K176+K133</f>
        <v>1633.1</v>
      </c>
      <c r="L573" s="9">
        <f t="shared" ref="L573:L575" si="2734">IF(ISERROR(K573/C573),"NA",IF(OR(K573/C573&gt;2,K573/C573&lt;0.5),"NM",K573/C573*100-100))</f>
        <v>14.579386795762289</v>
      </c>
      <c r="M573" s="691">
        <f>M546+M518+M319+M176+M133</f>
        <v>1691.3000000000002</v>
      </c>
      <c r="N573" s="9">
        <f t="shared" ref="N573:AB575" si="2735">IF(ISERROR(M573/E573),"NA",IF(OR(M573/E573&gt;2,M573/E573&lt;0.5),"NM",M573/E573*100-100))</f>
        <v>9.7249253925003387</v>
      </c>
      <c r="O573" s="691">
        <f>O546+O518+O319+O176+O133</f>
        <v>1760.7</v>
      </c>
      <c r="P573" s="9">
        <f t="shared" si="2735"/>
        <v>16.90458800876435</v>
      </c>
      <c r="Q573" s="691">
        <f>Q546+Q518+Q319+Q176+Q133</f>
        <v>2120.4</v>
      </c>
      <c r="R573" s="9">
        <f t="shared" si="2735"/>
        <v>11.377245508982043</v>
      </c>
      <c r="S573" s="691">
        <f>S546+S518+S319+S176+S133</f>
        <v>1801.2</v>
      </c>
      <c r="T573" s="9">
        <f t="shared" si="2735"/>
        <v>10.293307207152054</v>
      </c>
      <c r="U573" s="691">
        <f>U546+U518+U319+U176+U133</f>
        <v>2591</v>
      </c>
      <c r="V573" s="9">
        <f t="shared" si="2735"/>
        <v>53.195766570094008</v>
      </c>
      <c r="W573" s="691">
        <f>W546+W518+W319+W176+W133</f>
        <v>2448.8000000000002</v>
      </c>
      <c r="X573" s="9">
        <f t="shared" si="2735"/>
        <v>39.081047310728707</v>
      </c>
      <c r="Y573" s="691">
        <f>Y546+Y518+Y319+Y176+Y133</f>
        <v>2063.5</v>
      </c>
      <c r="Z573" s="9">
        <f t="shared" si="2735"/>
        <v>-2.6834559517072307</v>
      </c>
      <c r="AA573" s="691">
        <f>AA546+AA518+AA319+AA176+AA133</f>
        <v>2138.6999999999998</v>
      </c>
      <c r="AB573" s="9">
        <f t="shared" si="2735"/>
        <v>18.73750832778147</v>
      </c>
      <c r="AC573" s="691">
        <f>AC546+AC518+AC319+AC176+AC133</f>
        <v>2194.5</v>
      </c>
      <c r="AD573" s="9">
        <f t="shared" ref="AD573:AF575" si="2736">IF(ISERROR(AC573/U573),"NA",IF(OR(AC573/U573&gt;2,AC573/U573&lt;0.5),"NM",AC573/U573*100-100))</f>
        <v>-15.302971825549989</v>
      </c>
      <c r="AE573" s="691">
        <f>AE546+AE518+AE319+AE176+AE133</f>
        <v>1917.6</v>
      </c>
      <c r="AF573" s="9">
        <f t="shared" si="2736"/>
        <v>-21.692257432211704</v>
      </c>
      <c r="AG573" s="691">
        <f>AG546+AG518+AG319+AG176+AG133</f>
        <v>2678.2</v>
      </c>
      <c r="AH573" s="9">
        <f>IF(ISERROR(AG573/Y573),"NA",IF(OR(AG573/Y573&gt;2,AG573/Y573&lt;0.5),"NM",AG573/Y573*100-100))</f>
        <v>29.789193118487987</v>
      </c>
      <c r="AI573" s="691">
        <f>AI546+AI518+AI319+AI176+AI133</f>
        <v>2188.8000000000002</v>
      </c>
      <c r="AJ573" s="9">
        <f t="shared" ref="AJ573:AJ575" si="2737">IF(ISERROR(AI573/AA573),"NA",IF(OR(AI573/AA573&gt;2,AI573/AA573&lt;0.5),"NM",AI573/AA573*100-100))</f>
        <v>2.3425445364006379</v>
      </c>
      <c r="AK573" s="691">
        <f>AK546+AK518+AK319+AK176+AK133</f>
        <v>2407.9000000000005</v>
      </c>
      <c r="AL573" s="9">
        <f t="shared" ref="AL573:AL575" si="2738">IF(ISERROR(AK573/AC573),"NA",IF(OR(AK573/AC573&gt;2,AK573/AC573&lt;0.5),"NM",AK573/AC573*100-100))</f>
        <v>9.7243107769423744</v>
      </c>
      <c r="AM573" s="691">
        <f>AM546+AM518+AM319+AM176+AM133</f>
        <v>3113.2</v>
      </c>
      <c r="AN573" s="9">
        <f t="shared" ref="AN573:AN575" si="2739">IF(ISERROR(AM573/AE573),"NA",IF(OR(AM573/AE573&gt;2,AM573/AE573&lt;0.5),"NM",AM573/AE573*100-100))</f>
        <v>62.348769294952007</v>
      </c>
      <c r="AO573" s="691">
        <f>AO546+AO518+AO319+AO176+AO133</f>
        <v>2400.3000000000002</v>
      </c>
      <c r="AP573" s="9">
        <f t="shared" ref="AP573:AP575" si="2740">IF(ISERROR(AO573/AG573),"NA",IF(OR(AO573/AG573&gt;2,AO573/AG573&lt;0.5),"NM",AO573/AG573*100-100))</f>
        <v>-10.376372190277038</v>
      </c>
      <c r="AQ573" s="691">
        <f>AQ546+AQ518+AQ319+AQ176+AQ133</f>
        <v>2421.3898103762649</v>
      </c>
      <c r="AR573" s="9">
        <f t="shared" ref="AR573:AR575" si="2741">IF(ISERROR(AQ573/AI573),"NA",IF(OR(AQ573/AI573&gt;2,AQ573/AI573&lt;0.5),"NM",AQ573/AI573*100-100))</f>
        <v>10.626361950669988</v>
      </c>
      <c r="AS573" s="691">
        <f>AS546+AS518+AS319+AS176+AS133</f>
        <v>2448.9366146407783</v>
      </c>
      <c r="AT573" s="9">
        <f t="shared" ref="AT573:AT575" si="2742">IF(ISERROR(AS573/AK573),"NA",IF(OR(AS573/AK573&gt;2,AS573/AK573&lt;0.5),"NM",AS573/AK573*100-100))</f>
        <v>1.7042491233347619</v>
      </c>
      <c r="AU573" s="691">
        <f>AU546+AU518+AU319+AU176+AU133</f>
        <v>2487.4048255699163</v>
      </c>
      <c r="AV573" s="9">
        <f t="shared" ref="AV573:AV575" si="2743">IF(ISERROR(AU573/AM573),"NA",IF(OR(AU573/AM573&gt;2,AU573/AM573&lt;0.5),"NM",AU573/AM573*100-100))</f>
        <v>-20.101348272840923</v>
      </c>
      <c r="AW573" s="691">
        <f>AW546+AW518+AW319+AW176+AW133</f>
        <v>2514.6022679666462</v>
      </c>
      <c r="AX573" s="9">
        <f t="shared" ref="AX573:AX575" si="2744">IF(ISERROR(AW573/AO573),"NA",IF(OR(AW573/AO573&gt;2,AW573/AO573&lt;0.5),"NM",AW573/AO573*100-100))</f>
        <v>4.7619992487041571</v>
      </c>
      <c r="AY573" s="289"/>
      <c r="AZ573" s="15"/>
      <c r="BA573" s="9" t="str">
        <f>IF(ISERROR(#REF!/#REF!),"NA",IF(OR(#REF!/#REF!&gt;2,#REF!/#REF!&lt;0.5),"NM",#REF!/#REF!*100-100))</f>
        <v>NA</v>
      </c>
      <c r="BB573" s="691">
        <f>BB546+BB518+BB319+BB176+BB133</f>
        <v>6376.6</v>
      </c>
      <c r="BC573" s="9" t="str">
        <f>IF(ISERROR(BB573/#REF!),"NA",IF(OR(BB573/#REF!&gt;2,BB573/#REF!&lt;0.5),"NM",BB573/#REF!*100-100))</f>
        <v>NA</v>
      </c>
      <c r="BD573" s="930">
        <f>BD546+BD518+BD319+BD176+BD133</f>
        <v>7205.4999999999991</v>
      </c>
      <c r="BE573" s="9">
        <f t="shared" ref="BE573:BS575" si="2745">IF(ISERROR(BD573/BB573),"NA",IF(OR(BD573/BB573&gt;2,BD573/BB573&lt;0.5),"NM",BD573/BB573*100-100))</f>
        <v>12.99909042436407</v>
      </c>
      <c r="BF573" s="693">
        <f>BF133+BF176+BF319+BF518+BF546</f>
        <v>8904.5</v>
      </c>
      <c r="BG573" s="9">
        <f t="shared" si="2745"/>
        <v>23.579210325445857</v>
      </c>
      <c r="BH573" s="693">
        <f>BH133+BH176+BH319+BH518+BH546</f>
        <v>8929</v>
      </c>
      <c r="BI573" s="9">
        <f t="shared" si="2745"/>
        <v>0.2751417822449298</v>
      </c>
      <c r="BJ573" s="693">
        <f>BJ133+BJ176+BJ319+BJ518+BJ546</f>
        <v>10110.200000000001</v>
      </c>
      <c r="BK573" s="9">
        <f t="shared" si="2745"/>
        <v>13.228805017359164</v>
      </c>
      <c r="BL573" s="693">
        <f>BL133+BL176+BL319+BL518+BL546</f>
        <v>9872.3335185536071</v>
      </c>
      <c r="BM573" s="9">
        <f t="shared" si="2745"/>
        <v>-2.3527376456093236</v>
      </c>
      <c r="BN573" s="693">
        <f>BN133+BN176+BN319+BN518+BN546</f>
        <v>10394.631843760499</v>
      </c>
      <c r="BO573" s="9">
        <f t="shared" si="2745"/>
        <v>5.2905255300107967</v>
      </c>
      <c r="BP573" s="693">
        <f>BP133+BP176+BP319+BP518+BP546</f>
        <v>10940.615005900452</v>
      </c>
      <c r="BQ573" s="9">
        <f t="shared" si="2745"/>
        <v>5.2525492999320136</v>
      </c>
      <c r="BR573" s="693">
        <f>BR133+BR176+BR319+BR518+BR546</f>
        <v>11533.84621907082</v>
      </c>
      <c r="BS573" s="9">
        <f t="shared" si="2745"/>
        <v>5.4222839653020287</v>
      </c>
      <c r="BT573" s="693">
        <f>BT133+BT176+BT319+BT518+BT546</f>
        <v>12153.850588971409</v>
      </c>
      <c r="BU573" s="9">
        <f t="shared" ref="BU573:BU575" si="2746">IF(ISERROR(BT573/BR573),"NA",IF(OR(BT573/BR573&gt;2,BT573/BR573&lt;0.5),"NM",BT573/BR573*100-100))</f>
        <v>5.3755213839719289</v>
      </c>
      <c r="BV573" s="43">
        <f>IF(ISERROR(((BT573/BJ573)^0.2-1)*100),"NA",IF((((BT573/BJ573)^0.2-1)*100)&gt;100,"NM",IF((((BT573/BJ573)^0.2-1)*100)&lt;-50,"NM",((BT573/BJ573)^0.2-1)*100)))</f>
        <v>3.7506507145036005</v>
      </c>
      <c r="BW573" s="141"/>
      <c r="BX573" s="722"/>
      <c r="BY573"/>
      <c r="BZ573"/>
      <c r="CA573"/>
      <c r="CB573"/>
      <c r="CC573"/>
      <c r="CD573"/>
      <c r="CE573" s="2"/>
    </row>
    <row r="574" spans="1:83" s="7" customFormat="1" ht="12.75" customHeight="1" x14ac:dyDescent="0.2">
      <c r="A574" s="42" t="s">
        <v>390</v>
      </c>
      <c r="B574" s="206" t="s">
        <v>405</v>
      </c>
      <c r="C574" s="691">
        <f>C547+C519+C320+C177+C134</f>
        <v>827.10000000000014</v>
      </c>
      <c r="D574" s="705" t="str">
        <f>IF(ISERROR(C574/#REF!),"NA",IF(OR(C574/#REF!&gt;2,C574/#REF!&lt;0.5),"NM",C574/#REF!*100-100))</f>
        <v>NA</v>
      </c>
      <c r="E574" s="691">
        <f>E547+E519+E320+E177+E134</f>
        <v>783.3</v>
      </c>
      <c r="F574" s="705" t="str">
        <f>IF(ISERROR(E574/#REF!),"NA",IF(OR(E574/#REF!&gt;2,E574/#REF!&lt;0.5),"NM",E574/#REF!*100-100))</f>
        <v>NA</v>
      </c>
      <c r="G574" s="691">
        <f>G547+G519+G320+G177+G134</f>
        <v>822</v>
      </c>
      <c r="H574" s="9" t="str">
        <f>IF(ISERROR(G574/#REF!),"NA",IF(OR(G574/#REF!&gt;2,G574/#REF!&lt;0.5),"NM",G574/#REF!*100-100))</f>
        <v>NA</v>
      </c>
      <c r="I574" s="691">
        <f>I547+I519+I320+I177+I134</f>
        <v>849.8</v>
      </c>
      <c r="J574" s="9" t="str">
        <f>IF(ISERROR(I574/#REF!),"NA",IF(OR(I574/#REF!&gt;2,I574/#REF!&lt;0.5),"NM",I574/#REF!*100-100))</f>
        <v>NA</v>
      </c>
      <c r="K574" s="691">
        <f>K547+K519+K320+K177+K134</f>
        <v>878.39999999999986</v>
      </c>
      <c r="L574" s="9">
        <f t="shared" si="2734"/>
        <v>6.2023939064199851</v>
      </c>
      <c r="M574" s="691">
        <f>M547+M519+M320+M177+M134</f>
        <v>865.5</v>
      </c>
      <c r="N574" s="9">
        <f t="shared" si="2735"/>
        <v>10.494063577173506</v>
      </c>
      <c r="O574" s="691">
        <f>O547+O519+O320+O177+O134</f>
        <v>806.5</v>
      </c>
      <c r="P574" s="9">
        <f t="shared" si="2735"/>
        <v>-1.8856447688564373</v>
      </c>
      <c r="Q574" s="691">
        <f>Q547+Q519+Q320+Q177+Q134</f>
        <v>853.5</v>
      </c>
      <c r="R574" s="9">
        <f t="shared" si="2735"/>
        <v>0.43539656389739889</v>
      </c>
      <c r="S574" s="691">
        <f>S547+S519+S320+S177+S134</f>
        <v>757.99999999999989</v>
      </c>
      <c r="T574" s="9">
        <f t="shared" si="2735"/>
        <v>-13.706739526411667</v>
      </c>
      <c r="U574" s="691">
        <f>U547+U519+U320+U177+U134</f>
        <v>829.2</v>
      </c>
      <c r="V574" s="9">
        <f t="shared" si="2735"/>
        <v>-4.1941074523396793</v>
      </c>
      <c r="W574" s="691">
        <f>W547+W519+W320+W177+W134</f>
        <v>801.2</v>
      </c>
      <c r="X574" s="9">
        <f t="shared" si="2735"/>
        <v>-0.65716057036577524</v>
      </c>
      <c r="Y574" s="691">
        <f>Y547+Y519+Y320+Y177+Y134</f>
        <v>828.4</v>
      </c>
      <c r="Z574" s="9">
        <f t="shared" si="2735"/>
        <v>-2.9408318687756321</v>
      </c>
      <c r="AA574" s="691">
        <f>AA547+AA519+AA320+AA177+AA134</f>
        <v>799.19999999999993</v>
      </c>
      <c r="AB574" s="9">
        <f t="shared" si="2735"/>
        <v>5.435356200527707</v>
      </c>
      <c r="AC574" s="691">
        <f>AC547+AC519+AC320+AC177+AC134</f>
        <v>840.7</v>
      </c>
      <c r="AD574" s="9">
        <f t="shared" si="2736"/>
        <v>1.3868789194404201</v>
      </c>
      <c r="AE574" s="691">
        <f>AE547+AE519+AE320+AE177+AE134</f>
        <v>896.8</v>
      </c>
      <c r="AF574" s="9">
        <f t="shared" si="2736"/>
        <v>11.932101847229148</v>
      </c>
      <c r="AG574" s="691">
        <f>AG547+AG519+AG320+AG177+AG134</f>
        <v>915.3</v>
      </c>
      <c r="AH574" s="9">
        <f>IF(ISERROR(AG574/Y574),"NA",IF(OR(AG574/Y574&gt;2,AG574/Y574&lt;0.5),"NM",AG574/Y574*100-100))</f>
        <v>10.490101400289717</v>
      </c>
      <c r="AI574" s="691">
        <f>AI547+AI519+AI320+AI177+AI134</f>
        <v>915.9</v>
      </c>
      <c r="AJ574" s="9">
        <f t="shared" si="2737"/>
        <v>14.602102102102108</v>
      </c>
      <c r="AK574" s="691">
        <f>AK547+AK519+AK320+AK177+AK134</f>
        <v>901.7</v>
      </c>
      <c r="AL574" s="9">
        <f t="shared" si="2738"/>
        <v>7.2558582133936085</v>
      </c>
      <c r="AM574" s="691">
        <f>AM547+AM519+AM320+AM177+AM134</f>
        <v>865</v>
      </c>
      <c r="AN574" s="9">
        <f t="shared" si="2739"/>
        <v>-3.5459411239964282</v>
      </c>
      <c r="AO574" s="691">
        <f>AO547+AO519+AO320+AO177+AO134</f>
        <v>910.69999999999993</v>
      </c>
      <c r="AP574" s="9">
        <f t="shared" si="2740"/>
        <v>-0.50256746421938203</v>
      </c>
      <c r="AQ574" s="691">
        <f>AQ547+AQ519+AQ320+AQ134+AQ177</f>
        <v>917.12901610103677</v>
      </c>
      <c r="AR574" s="9">
        <f t="shared" si="2741"/>
        <v>0.13418671263640647</v>
      </c>
      <c r="AS574" s="691">
        <f>AS547+AS519+AS320+AS134+AS177</f>
        <v>922.17837005549188</v>
      </c>
      <c r="AT574" s="9">
        <f t="shared" si="2742"/>
        <v>2.2710846240980231</v>
      </c>
      <c r="AU574" s="691">
        <f>AU547+AU519+AU320+AU134+AU177</f>
        <v>929.80541879202963</v>
      </c>
      <c r="AV574" s="9">
        <f t="shared" si="2743"/>
        <v>7.4919559297144076</v>
      </c>
      <c r="AW574" s="691">
        <f>AW547+AW519+AW320+AW134+AW177</f>
        <v>937.78967114318971</v>
      </c>
      <c r="AX574" s="9">
        <f t="shared" si="2744"/>
        <v>2.9745987858998291</v>
      </c>
      <c r="AY574" s="289"/>
      <c r="AZ574" s="15"/>
      <c r="BA574" s="9" t="str">
        <f>IF(ISERROR(#REF!/#REF!),"NA",IF(OR(#REF!/#REF!&gt;2,#REF!/#REF!&lt;0.5),"NM",#REF!/#REF!*100-100))</f>
        <v>NA</v>
      </c>
      <c r="BB574" s="693">
        <f>BB134+BB177+BB320+BB519+BB547</f>
        <v>3282.2000000000003</v>
      </c>
      <c r="BC574" s="9" t="str">
        <f>IF(ISERROR(BB574/#REF!),"NA",IF(OR(BB574/#REF!&gt;2,BB574/#REF!&lt;0.5),"NM",BB574/#REF!*100-100))</f>
        <v>NA</v>
      </c>
      <c r="BD574" s="948">
        <f>BD134+BD177+BD320+BD519+BD547</f>
        <v>3403.8999999999996</v>
      </c>
      <c r="BE574" s="9">
        <f t="shared" si="2745"/>
        <v>3.7078788617390614</v>
      </c>
      <c r="BF574" s="693">
        <f>BF134+BF177+BF320+BF519+BF547</f>
        <v>3216.7999999999997</v>
      </c>
      <c r="BG574" s="9">
        <f t="shared" si="2745"/>
        <v>-5.4966362114045637</v>
      </c>
      <c r="BH574" s="693">
        <f>BH134+BH177+BH320+BH519+BH547</f>
        <v>3452.0000000000005</v>
      </c>
      <c r="BI574" s="9">
        <f t="shared" si="2745"/>
        <v>7.3116140263616245</v>
      </c>
      <c r="BJ574" s="693">
        <f>BJ134+BJ177+BJ320+BJ519+BJ547</f>
        <v>3593.2999999999997</v>
      </c>
      <c r="BK574" s="9">
        <f t="shared" si="2745"/>
        <v>4.0932792584009121</v>
      </c>
      <c r="BL574" s="693">
        <f>BL134+BL177+BL320+BL519+BL547</f>
        <v>3706.9024760917473</v>
      </c>
      <c r="BM574" s="9">
        <f t="shared" si="2745"/>
        <v>3.1615082540212995</v>
      </c>
      <c r="BN574" s="693">
        <f>BN134+BN177+BN320+BN519+BN547</f>
        <v>3849.1321546674862</v>
      </c>
      <c r="BO574" s="9">
        <f t="shared" si="2745"/>
        <v>3.8368875224819448</v>
      </c>
      <c r="BP574" s="693">
        <f>BP134+BP177+BP320+BP519+BP547</f>
        <v>4027.5734894970642</v>
      </c>
      <c r="BQ574" s="9">
        <f t="shared" si="2745"/>
        <v>4.6358848607782619</v>
      </c>
      <c r="BR574" s="693">
        <f>BR134+BR177+BR320+BR519+BR547</f>
        <v>4195.0560331003526</v>
      </c>
      <c r="BS574" s="9">
        <f t="shared" si="2745"/>
        <v>4.1583982027898969</v>
      </c>
      <c r="BT574" s="693">
        <f>BT134+BT177+BT320+BT519+BT547</f>
        <v>4380.5981045733552</v>
      </c>
      <c r="BU574" s="9">
        <f t="shared" si="2746"/>
        <v>4.4228746888960586</v>
      </c>
      <c r="BV574" s="43">
        <f>IF(ISERROR(((BT574/BJ574)^0.2-1)*100),"NA",IF((((BT574/BJ574)^0.2-1)*100)&gt;100,"NM",IF((((BT574/BJ574)^0.2-1)*100)&lt;-50,"NM",((BT574/BJ574)^0.2-1)*100)))</f>
        <v>4.0418310228901078</v>
      </c>
      <c r="BW574" s="141"/>
      <c r="BX574" s="722"/>
      <c r="BY574"/>
      <c r="BZ574"/>
      <c r="CA574"/>
      <c r="CB574"/>
      <c r="CC574"/>
      <c r="CD574"/>
      <c r="CE574" s="2"/>
    </row>
    <row r="575" spans="1:83" s="7" customFormat="1" ht="12.75" customHeight="1" x14ac:dyDescent="0.2">
      <c r="A575" s="42" t="s">
        <v>404</v>
      </c>
      <c r="B575" s="158" t="s">
        <v>325</v>
      </c>
      <c r="C575" s="704">
        <f>SUM(C573:C574)</f>
        <v>2252.4</v>
      </c>
      <c r="D575" s="743" t="str">
        <f>IF(ISERROR(C575/#REF!),"NA",IF(OR(C575/#REF!&gt;2,C575/#REF!&lt;0.5),"NM",C575/#REF!*100-100))</f>
        <v>NA</v>
      </c>
      <c r="E575" s="704">
        <f t="shared" ref="E575:W575" si="2747">SUM(E573:E574)</f>
        <v>2324.6999999999998</v>
      </c>
      <c r="F575" s="705" t="str">
        <f>IF(ISERROR(E575/#REF!),"NA",IF(OR(E575/#REF!&gt;2,E575/#REF!&lt;0.5),"NM",E575/#REF!*100-100))</f>
        <v>NA</v>
      </c>
      <c r="G575" s="704">
        <f t="shared" si="2747"/>
        <v>2328.1000000000004</v>
      </c>
      <c r="H575" s="9" t="str">
        <f>IF(ISERROR(G575/#REF!),"NA",IF(OR(G575/#REF!&gt;2,G575/#REF!&lt;0.5),"NM",G575/#REF!*100-100))</f>
        <v>NA</v>
      </c>
      <c r="I575" s="704">
        <f t="shared" si="2747"/>
        <v>2753.6</v>
      </c>
      <c r="J575" s="9" t="str">
        <f>IF(ISERROR(I575/#REF!),"NA",IF(OR(I575/#REF!&gt;2,I575/#REF!&lt;0.5),"NM",I575/#REF!*100-100))</f>
        <v>NA</v>
      </c>
      <c r="K575" s="704">
        <f>SUM(K573:K574)</f>
        <v>2511.5</v>
      </c>
      <c r="L575" s="9">
        <f t="shared" si="2734"/>
        <v>11.503285384478772</v>
      </c>
      <c r="M575" s="704">
        <f t="shared" si="2747"/>
        <v>2556.8000000000002</v>
      </c>
      <c r="N575" s="9">
        <f t="shared" si="2735"/>
        <v>9.9840839678238211</v>
      </c>
      <c r="O575" s="704">
        <f t="shared" si="2747"/>
        <v>2567.1999999999998</v>
      </c>
      <c r="P575" s="9">
        <f t="shared" si="2735"/>
        <v>10.270177397878072</v>
      </c>
      <c r="Q575" s="704">
        <f t="shared" si="2747"/>
        <v>2973.9</v>
      </c>
      <c r="R575" s="9">
        <f t="shared" si="2735"/>
        <v>8.0004357931435379</v>
      </c>
      <c r="S575" s="704">
        <f t="shared" si="2747"/>
        <v>2559.1999999999998</v>
      </c>
      <c r="T575" s="9">
        <f t="shared" si="2735"/>
        <v>1.8992633884132886</v>
      </c>
      <c r="U575" s="704">
        <f t="shared" si="2747"/>
        <v>3420.2</v>
      </c>
      <c r="V575" s="9">
        <f t="shared" si="2735"/>
        <v>33.768773466833522</v>
      </c>
      <c r="W575" s="704">
        <f t="shared" si="2747"/>
        <v>3250</v>
      </c>
      <c r="X575" s="9">
        <f t="shared" si="2735"/>
        <v>26.597070738547842</v>
      </c>
      <c r="Y575" s="704">
        <f t="shared" ref="Y575:AA575" si="2748">SUM(Y573:Y574)</f>
        <v>2891.9</v>
      </c>
      <c r="Z575" s="9">
        <f t="shared" si="2735"/>
        <v>-2.7573220350381717</v>
      </c>
      <c r="AA575" s="704">
        <f t="shared" si="2748"/>
        <v>2937.8999999999996</v>
      </c>
      <c r="AB575" s="9">
        <f t="shared" si="2735"/>
        <v>14.797592997811805</v>
      </c>
      <c r="AC575" s="704">
        <f t="shared" ref="AC575:AE575" si="2749">SUM(AC573:AC574)</f>
        <v>3035.2</v>
      </c>
      <c r="AD575" s="9">
        <f t="shared" si="2736"/>
        <v>-11.256651657797789</v>
      </c>
      <c r="AE575" s="704">
        <f t="shared" si="2749"/>
        <v>2814.3999999999996</v>
      </c>
      <c r="AF575" s="9">
        <f t="shared" si="2736"/>
        <v>-13.403076923076938</v>
      </c>
      <c r="AG575" s="704">
        <f t="shared" ref="AG575:AI575" si="2750">SUM(AG573:AG574)</f>
        <v>3593.5</v>
      </c>
      <c r="AH575" s="9">
        <f>IF(ISERROR(AG575/Y575),"NA",IF(OR(AG575/Y575&gt;2,AG575/Y575&lt;0.5),"NM",AG575/Y575*100-100))</f>
        <v>24.260866558318057</v>
      </c>
      <c r="AI575" s="704">
        <f t="shared" si="2750"/>
        <v>3104.7000000000003</v>
      </c>
      <c r="AJ575" s="9">
        <f t="shared" si="2737"/>
        <v>5.6775247625855343</v>
      </c>
      <c r="AK575" s="704">
        <f t="shared" ref="AK575:AM575" si="2751">SUM(AK573:AK574)</f>
        <v>3309.6000000000004</v>
      </c>
      <c r="AL575" s="9">
        <f t="shared" si="2738"/>
        <v>9.0405904059040836</v>
      </c>
      <c r="AM575" s="704">
        <f t="shared" si="2751"/>
        <v>3978.2</v>
      </c>
      <c r="AN575" s="9">
        <f t="shared" si="2739"/>
        <v>41.351620238772028</v>
      </c>
      <c r="AO575" s="704">
        <f t="shared" ref="AO575" si="2752">SUM(AO573:AO574)</f>
        <v>3311</v>
      </c>
      <c r="AP575" s="9">
        <f t="shared" si="2740"/>
        <v>-7.8614164463614884</v>
      </c>
      <c r="AQ575" s="704">
        <f t="shared" ref="AQ575:AW575" si="2753">SUM(AQ573:AQ574)</f>
        <v>3338.5188264773014</v>
      </c>
      <c r="AR575" s="9">
        <f t="shared" si="2741"/>
        <v>7.5311246328888757</v>
      </c>
      <c r="AS575" s="704">
        <f t="shared" si="2753"/>
        <v>3371.1149846962703</v>
      </c>
      <c r="AT575" s="9">
        <f t="shared" si="2742"/>
        <v>1.8586833664572708</v>
      </c>
      <c r="AU575" s="704">
        <f t="shared" si="2753"/>
        <v>3417.210244361946</v>
      </c>
      <c r="AV575" s="9">
        <f t="shared" si="2743"/>
        <v>-14.10159759785968</v>
      </c>
      <c r="AW575" s="704">
        <f t="shared" si="2753"/>
        <v>3452.3919391098361</v>
      </c>
      <c r="AX575" s="9">
        <f t="shared" si="2744"/>
        <v>4.2703696499497568</v>
      </c>
      <c r="AY575" s="289"/>
      <c r="AZ575" s="15"/>
      <c r="BA575" s="9" t="str">
        <f>IF(ISERROR(#REF!/#REF!),"NA",IF(OR(#REF!/#REF!&gt;2,#REF!/#REF!&lt;0.5),"NM",#REF!/#REF!*100-100))</f>
        <v>NA</v>
      </c>
      <c r="BB575" s="704">
        <f>SUM(BB573:BB574)</f>
        <v>9658.8000000000011</v>
      </c>
      <c r="BC575" s="9" t="str">
        <f>IF(ISERROR(BB575/#REF!),"NA",IF(OR(BB575/#REF!&gt;2,BB575/#REF!&lt;0.5),"NM",BB575/#REF!*100-100))</f>
        <v>NA</v>
      </c>
      <c r="BD575" s="955">
        <f>SUM(BD573:BD574)</f>
        <v>10609.399999999998</v>
      </c>
      <c r="BE575" s="9">
        <f t="shared" si="2745"/>
        <v>9.841802294280825</v>
      </c>
      <c r="BF575" s="704">
        <f>SUM(BF573:BF574)</f>
        <v>12121.3</v>
      </c>
      <c r="BG575" s="9">
        <f t="shared" si="2745"/>
        <v>14.250570249024477</v>
      </c>
      <c r="BH575" s="704">
        <f t="shared" ref="BH575:BP575" si="2754">SUM(BH573:BH574)</f>
        <v>12381</v>
      </c>
      <c r="BI575" s="9">
        <f t="shared" si="2745"/>
        <v>2.1425094668063593</v>
      </c>
      <c r="BJ575" s="704">
        <f t="shared" ref="BJ575" si="2755">SUM(BJ573:BJ574)</f>
        <v>13703.5</v>
      </c>
      <c r="BK575" s="9">
        <f t="shared" si="2745"/>
        <v>10.681689685808891</v>
      </c>
      <c r="BL575" s="704">
        <f t="shared" ref="BL575" si="2756">SUM(BL573:BL574)</f>
        <v>13579.235994645354</v>
      </c>
      <c r="BM575" s="9">
        <f t="shared" si="2745"/>
        <v>-0.90680486995763943</v>
      </c>
      <c r="BN575" s="704">
        <f t="shared" si="2754"/>
        <v>14243.763998427985</v>
      </c>
      <c r="BO575" s="9">
        <f t="shared" si="2745"/>
        <v>4.8937068627769094</v>
      </c>
      <c r="BP575" s="704">
        <f t="shared" si="2754"/>
        <v>14968.188495397517</v>
      </c>
      <c r="BQ575" s="9">
        <f t="shared" si="2745"/>
        <v>5.0859063450467374</v>
      </c>
      <c r="BR575" s="704">
        <f t="shared" ref="BR575:BT575" si="2757">SUM(BR573:BR574)</f>
        <v>15728.902252171172</v>
      </c>
      <c r="BS575" s="9">
        <f t="shared" si="2745"/>
        <v>5.0822032138863307</v>
      </c>
      <c r="BT575" s="704">
        <f t="shared" si="2757"/>
        <v>16534.448693544764</v>
      </c>
      <c r="BU575" s="9">
        <f t="shared" si="2746"/>
        <v>5.1214409528318896</v>
      </c>
      <c r="BV575" s="43">
        <f>IF(ISERROR(((BT575/BJ575)^0.2-1)*100),"NA",IF((((BT575/BJ575)^0.2-1)*100)&gt;100,"NM",IF((((BT575/BJ575)^0.2-1)*100)&lt;-50,"NM",((BT575/BJ575)^0.2-1)*100)))</f>
        <v>3.8273197211969201</v>
      </c>
      <c r="BW575" s="141"/>
      <c r="BX575" s="722"/>
      <c r="BY575"/>
      <c r="BZ575"/>
      <c r="CA575"/>
      <c r="CB575"/>
      <c r="CC575"/>
      <c r="CD575"/>
      <c r="CE575" s="2"/>
    </row>
    <row r="576" spans="1:83" s="7" customFormat="1" ht="12.75" customHeight="1" x14ac:dyDescent="0.2">
      <c r="A576" s="42"/>
      <c r="B576" s="159"/>
      <c r="C576" s="691"/>
      <c r="D576" s="9"/>
      <c r="E576" s="691"/>
      <c r="F576" s="9"/>
      <c r="G576" s="691"/>
      <c r="H576" s="9"/>
      <c r="I576" s="691"/>
      <c r="J576" s="9"/>
      <c r="K576" s="691"/>
      <c r="L576" s="9"/>
      <c r="M576" s="691"/>
      <c r="N576" s="9"/>
      <c r="O576" s="691"/>
      <c r="P576" s="9"/>
      <c r="Q576" s="691"/>
      <c r="R576" s="9"/>
      <c r="S576" s="691"/>
      <c r="T576" s="9"/>
      <c r="U576" s="691"/>
      <c r="V576" s="9"/>
      <c r="W576" s="691"/>
      <c r="X576" s="9"/>
      <c r="Y576" s="691"/>
      <c r="Z576" s="9"/>
      <c r="AA576" s="691"/>
      <c r="AB576" s="9"/>
      <c r="AC576" s="691"/>
      <c r="AD576" s="9"/>
      <c r="AE576" s="691"/>
      <c r="AF576" s="9"/>
      <c r="AG576" s="691"/>
      <c r="AH576" s="9"/>
      <c r="AI576" s="691"/>
      <c r="AJ576" s="9"/>
      <c r="AK576" s="691"/>
      <c r="AL576" s="9"/>
      <c r="AM576" s="691"/>
      <c r="AN576" s="9"/>
      <c r="AO576" s="691"/>
      <c r="AP576" s="9"/>
      <c r="AQ576" s="691"/>
      <c r="AR576" s="9"/>
      <c r="AS576" s="691"/>
      <c r="AT576" s="9"/>
      <c r="AU576" s="691"/>
      <c r="AV576" s="9"/>
      <c r="AW576" s="691"/>
      <c r="AX576" s="9"/>
      <c r="AY576" s="289"/>
      <c r="AZ576" s="15"/>
      <c r="BA576" s="9"/>
      <c r="BB576" s="691"/>
      <c r="BC576" s="9"/>
      <c r="BD576" s="930"/>
      <c r="BE576" s="9"/>
      <c r="BF576" s="691"/>
      <c r="BG576" s="9"/>
      <c r="BH576" s="691"/>
      <c r="BI576" s="9"/>
      <c r="BJ576" s="691"/>
      <c r="BK576" s="9"/>
      <c r="BL576" s="691"/>
      <c r="BM576" s="9"/>
      <c r="BN576" s="691"/>
      <c r="BO576" s="9"/>
      <c r="BP576" s="691"/>
      <c r="BQ576" s="9"/>
      <c r="BR576" s="691"/>
      <c r="BS576" s="9"/>
      <c r="BT576" s="691"/>
      <c r="BU576" s="9"/>
      <c r="BV576" s="722"/>
      <c r="BW576" s="722"/>
      <c r="BX576" s="722"/>
      <c r="BY576"/>
      <c r="BZ576"/>
      <c r="CA576"/>
      <c r="CB576"/>
      <c r="CC576"/>
      <c r="CD576"/>
      <c r="CE576" s="2"/>
    </row>
    <row r="577" spans="1:83" s="7" customFormat="1" ht="12.75" customHeight="1" x14ac:dyDescent="0.2">
      <c r="A577" s="42"/>
      <c r="B577" s="158" t="s">
        <v>418</v>
      </c>
      <c r="C577" s="691"/>
      <c r="D577" s="9"/>
      <c r="E577" s="691"/>
      <c r="F577" s="9"/>
      <c r="G577" s="691"/>
      <c r="H577" s="9"/>
      <c r="I577" s="691"/>
      <c r="J577" s="9"/>
      <c r="K577" s="691"/>
      <c r="L577" s="9"/>
      <c r="M577" s="691"/>
      <c r="N577" s="9"/>
      <c r="O577" s="691"/>
      <c r="P577" s="9"/>
      <c r="Q577" s="691"/>
      <c r="R577" s="9"/>
      <c r="S577" s="691"/>
      <c r="T577" s="9"/>
      <c r="U577" s="691"/>
      <c r="V577" s="9"/>
      <c r="W577" s="691"/>
      <c r="X577" s="9"/>
      <c r="Y577" s="691"/>
      <c r="Z577" s="9"/>
      <c r="AA577" s="691"/>
      <c r="AB577" s="9"/>
      <c r="AC577" s="691"/>
      <c r="AD577" s="9"/>
      <c r="AE577" s="691"/>
      <c r="AF577" s="9"/>
      <c r="AG577" s="691"/>
      <c r="AH577" s="9"/>
      <c r="AI577" s="691"/>
      <c r="AJ577" s="9"/>
      <c r="AK577" s="691"/>
      <c r="AL577" s="9"/>
      <c r="AM577" s="691"/>
      <c r="AN577" s="9"/>
      <c r="AO577" s="691"/>
      <c r="AP577" s="9"/>
      <c r="AQ577" s="691"/>
      <c r="AR577" s="9"/>
      <c r="AS577" s="691"/>
      <c r="AT577" s="9"/>
      <c r="AU577" s="691"/>
      <c r="AV577" s="9"/>
      <c r="AW577" s="691"/>
      <c r="AX577" s="9"/>
      <c r="AY577" s="289"/>
      <c r="AZ577" s="15"/>
      <c r="BA577" s="9"/>
      <c r="BB577" s="691"/>
      <c r="BC577" s="9"/>
      <c r="BD577" s="930"/>
      <c r="BE577" s="9"/>
      <c r="BF577" s="691"/>
      <c r="BG577" s="9"/>
      <c r="BH577" s="691"/>
      <c r="BI577" s="9"/>
      <c r="BJ577" s="691"/>
      <c r="BK577" s="9"/>
      <c r="BL577" s="691"/>
      <c r="BM577" s="9"/>
      <c r="BN577" s="691"/>
      <c r="BO577" s="9"/>
      <c r="BP577" s="691"/>
      <c r="BQ577" s="9"/>
      <c r="BR577" s="691"/>
      <c r="BS577" s="9"/>
      <c r="BT577" s="691"/>
      <c r="BU577" s="9"/>
      <c r="BV577" s="722"/>
      <c r="BW577" s="722"/>
      <c r="BX577" s="722"/>
      <c r="BY577"/>
      <c r="BZ577"/>
      <c r="CA577"/>
      <c r="CB577"/>
      <c r="CC577"/>
      <c r="CD577"/>
      <c r="CE577" s="2"/>
    </row>
    <row r="578" spans="1:83" s="7" customFormat="1" ht="12.75" customHeight="1" x14ac:dyDescent="0.2">
      <c r="A578" s="42"/>
      <c r="B578" s="160" t="s">
        <v>434</v>
      </c>
      <c r="C578" s="692">
        <f>C551+C523+C323+C137</f>
        <v>1147.7</v>
      </c>
      <c r="D578" s="9" t="str">
        <f>IF(ISERROR(C578/#REF!),"NA",IF(OR(C578/#REF!&gt;2,C578/#REF!&lt;0.5),"NM",C578/#REF!*100-100))</f>
        <v>NA</v>
      </c>
      <c r="E578" s="692">
        <f>E551+E523+E323+E137</f>
        <v>1148.6999999999998</v>
      </c>
      <c r="F578" s="9" t="str">
        <f>IF(ISERROR(E578/#REF!),"NA",IF(OR(E578/#REF!&gt;2,E578/#REF!&lt;0.5),"NM",E578/#REF!*100-100))</f>
        <v>NA</v>
      </c>
      <c r="G578" s="692">
        <f>G551+G523+G323+G137</f>
        <v>1168.7</v>
      </c>
      <c r="H578" s="9" t="str">
        <f>IF(ISERROR(G578/#REF!),"NA",IF(OR(G578/#REF!&gt;2,G578/#REF!&lt;0.5),"NM",G578/#REF!*100-100))</f>
        <v>NA</v>
      </c>
      <c r="I578" s="692">
        <f>I551+I523+I323+I137</f>
        <v>1444.3</v>
      </c>
      <c r="J578" s="9" t="str">
        <f>IF(ISERROR(I578/#REF!),"NA",IF(OR(I578/#REF!&gt;2,I578/#REF!&lt;0.5),"NM",I578/#REF!*100-100))</f>
        <v>NA</v>
      </c>
      <c r="K578" s="692">
        <f>K551+K523+K323+K137</f>
        <v>1269.1999999999998</v>
      </c>
      <c r="L578" s="9">
        <f>IF(ISERROR(K578/C578),"NA",IF(OR(K578/C578&gt;2,K578/C578&lt;0.5),"NM",K578/C578*100-100))</f>
        <v>10.586390171647622</v>
      </c>
      <c r="M578" s="692">
        <f>M551+M523+M323+M137</f>
        <v>1306</v>
      </c>
      <c r="N578" s="9">
        <f t="shared" ref="N578:AB581" si="2758">IF(ISERROR(M578/E578),"NA",IF(OR(M578/E578&gt;2,M578/E578&lt;0.5),"NM",M578/E578*100-100))</f>
        <v>13.693740750413525</v>
      </c>
      <c r="O578" s="692">
        <f>O551+O523+O323+O137</f>
        <v>1160.9000000000001</v>
      </c>
      <c r="P578" s="9">
        <f t="shared" si="2758"/>
        <v>-0.66740823136818506</v>
      </c>
      <c r="Q578" s="692">
        <f>Q551+Q523+Q323+Q137</f>
        <v>1656.5</v>
      </c>
      <c r="R578" s="9">
        <f t="shared" si="2758"/>
        <v>14.692238454614696</v>
      </c>
      <c r="S578" s="692">
        <f>S551+S523+S323+S137</f>
        <v>1269</v>
      </c>
      <c r="T578" s="9">
        <f t="shared" si="2758"/>
        <v>-1.5757957768656183E-2</v>
      </c>
      <c r="U578" s="692">
        <f>U551+U523+U323+U137</f>
        <v>2098.3000000000002</v>
      </c>
      <c r="V578" s="9">
        <f t="shared" si="2758"/>
        <v>60.666156202143981</v>
      </c>
      <c r="W578" s="692">
        <f>W551+W523+W323+W137</f>
        <v>1904.4</v>
      </c>
      <c r="X578" s="9">
        <f t="shared" si="2758"/>
        <v>64.04513739340166</v>
      </c>
      <c r="Y578" s="692">
        <f>Y551+Y523+Y323+Y137</f>
        <v>1574.6</v>
      </c>
      <c r="Z578" s="9">
        <f t="shared" si="2758"/>
        <v>-4.9441593721702475</v>
      </c>
      <c r="AA578" s="692">
        <f>AA551+AA523+AA323+AA137</f>
        <v>1693.3</v>
      </c>
      <c r="AB578" s="9">
        <f t="shared" si="2758"/>
        <v>33.435776201733631</v>
      </c>
      <c r="AC578" s="692">
        <f>AC551+AC523+AC323+AC137</f>
        <v>1695.1</v>
      </c>
      <c r="AD578" s="9">
        <f t="shared" ref="AD578:AF581" si="2759">IF(ISERROR(AC578/U578),"NA",IF(OR(AC578/U578&gt;2,AC578/U578&lt;0.5),"NM",AC578/U578*100-100))</f>
        <v>-19.215555449649727</v>
      </c>
      <c r="AE578" s="692">
        <f>AE551+AE523+AE323+AE137</f>
        <v>1554</v>
      </c>
      <c r="AF578" s="9">
        <f t="shared" si="2759"/>
        <v>-18.399495904221808</v>
      </c>
      <c r="AG578" s="692">
        <f>AG551+AG523+AG323+AG137</f>
        <v>2155.3000000000002</v>
      </c>
      <c r="AH578" s="9">
        <f>IF(ISERROR(AG578/Y578),"NA",IF(OR(AG578/Y578&gt;2,AG578/Y578&lt;0.5),"NM",AG578/Y578*100-100))</f>
        <v>36.87920741775693</v>
      </c>
      <c r="AI578" s="692">
        <f>AI551+AI523+AI323+AI137</f>
        <v>1685.1</v>
      </c>
      <c r="AJ578" s="9">
        <f t="shared" ref="AJ578:AJ582" si="2760">IF(ISERROR(AI578/AA578),"NA",IF(OR(AI578/AA578&gt;2,AI578/AA578&lt;0.5),"NM",AI578/AA578*100-100))</f>
        <v>-0.48426150121065348</v>
      </c>
      <c r="AK578" s="692">
        <f>AK551+AK523+AK323+AK137</f>
        <v>1882.9</v>
      </c>
      <c r="AL578" s="9">
        <f t="shared" ref="AL578:AL582" si="2761">IF(ISERROR(AK578/AC578),"NA",IF(OR(AK578/AC578&gt;2,AK578/AC578&lt;0.5),"NM",AK578/AC578*100-100))</f>
        <v>11.078992389829523</v>
      </c>
      <c r="AM578" s="692">
        <f>AM551+AM523+AM323+AM137</f>
        <v>2578.5</v>
      </c>
      <c r="AN578" s="9">
        <f t="shared" ref="AN578:AN582" si="2762">IF(ISERROR(AM578/AE578),"NA",IF(OR(AM578/AE578&gt;2,AM578/AE578&lt;0.5),"NM",AM578/AE578*100-100))</f>
        <v>65.926640926640943</v>
      </c>
      <c r="AO578" s="692">
        <f>AO551+AO523+AO323+AO137</f>
        <v>1840.3000000000002</v>
      </c>
      <c r="AP578" s="9">
        <f t="shared" ref="AP578:AP582" si="2763">IF(ISERROR(AO578/AG578),"NA",IF(OR(AO578/AG578&gt;2,AO578/AG578&lt;0.5),"NM",AO578/AG578*100-100))</f>
        <v>-14.615134784020796</v>
      </c>
      <c r="AQ578" s="692">
        <f>AQ551+AQ523+AQ323+AQ137</f>
        <v>1842.4781249626628</v>
      </c>
      <c r="AR578" s="9">
        <f t="shared" ref="AR578:AR582" si="2764">IF(ISERROR(AQ578/AI578),"NA",IF(OR(AQ578/AI578&gt;2,AQ578/AI578&lt;0.5),"NM",AQ578/AI578*100-100))</f>
        <v>9.3393938023062617</v>
      </c>
      <c r="AS578" s="692">
        <f>AS551+AS523+AS323+AS137</f>
        <v>1866.5046330754571</v>
      </c>
      <c r="AT578" s="9">
        <f t="shared" ref="AT578:AT582" si="2765">IF(ISERROR(AS578/AK578),"NA",IF(OR(AS578/AK578&gt;2,AS578/AK578&lt;0.5),"NM",AS578/AK578*100-100))</f>
        <v>-0.87075080591337439</v>
      </c>
      <c r="AU578" s="692">
        <f>AU551+AU523+AU323+AU137</f>
        <v>1882.6592522031401</v>
      </c>
      <c r="AV578" s="9">
        <f t="shared" ref="AV578:AV582" si="2766">IF(ISERROR(AU578/AM578),"NA",IF(OR(AU578/AM578&gt;2,AU578/AM578&lt;0.5),"NM",AU578/AM578*100-100))</f>
        <v>-26.986261306839637</v>
      </c>
      <c r="AW578" s="692">
        <f>AW551+AW523+AW323+AW137</f>
        <v>1889.9163998426684</v>
      </c>
      <c r="AX578" s="9">
        <f t="shared" ref="AX578:AX582" si="2767">IF(ISERROR(AW578/AO578),"NA",IF(OR(AW578/AO578&gt;2,AW578/AO578&lt;0.5),"NM",AW578/AO578*100-100))</f>
        <v>2.6961038875546564</v>
      </c>
      <c r="AY578" s="289"/>
      <c r="AZ578" s="15"/>
      <c r="BA578" s="9" t="str">
        <f>IF(ISERROR(#REF!/#REF!),"NA",IF(OR(#REF!/#REF!&gt;2,#REF!/#REF!&lt;0.5),"NM",#REF!/#REF!*100-100))</f>
        <v>NA</v>
      </c>
      <c r="BB578" s="692">
        <f>BB551+BB523+BB323+BB137</f>
        <v>4909.4000000000005</v>
      </c>
      <c r="BC578" s="9" t="str">
        <f>IF(ISERROR(BB578/#REF!),"NA",IF(OR(BB578/#REF!&gt;2,BB578/#REF!&lt;0.5),"NM",BB578/#REF!*100-100))</f>
        <v>NA</v>
      </c>
      <c r="BD578" s="956">
        <f>BD551+BD523+BD323+BD137</f>
        <v>5392.6</v>
      </c>
      <c r="BE578" s="9">
        <f t="shared" ref="BE578:BS582" si="2768">IF(ISERROR(BD578/BB578),"NA",IF(OR(BD578/BB578&gt;2,BD578/BB578&lt;0.5),"NM",BD578/BB578*100-100))</f>
        <v>9.8423432598688123</v>
      </c>
      <c r="BF578" s="692">
        <f>BF551+BF523+BF323+BF137</f>
        <v>6846.2999999999993</v>
      </c>
      <c r="BG578" s="9">
        <f t="shared" si="2768"/>
        <v>26.957311871824331</v>
      </c>
      <c r="BH578" s="692">
        <f>BH551+BH523+BH323+BH137</f>
        <v>7097.7000000000007</v>
      </c>
      <c r="BI578" s="9">
        <f t="shared" si="2768"/>
        <v>3.6720564392445709</v>
      </c>
      <c r="BJ578" s="692">
        <f>BJ551+BJ523+BJ323+BJ137</f>
        <v>7986.7999999999993</v>
      </c>
      <c r="BK578" s="9">
        <f t="shared" si="2768"/>
        <v>12.526593121715464</v>
      </c>
      <c r="BL578" s="692">
        <f>BL551+BL523+BL323+BL137</f>
        <v>7481.5584100839278</v>
      </c>
      <c r="BM578" s="9">
        <f t="shared" si="2768"/>
        <v>-6.3259577041627608</v>
      </c>
      <c r="BN578" s="692">
        <f>BN551+BN523+BN323+BN137</f>
        <v>7847.0507399317576</v>
      </c>
      <c r="BO578" s="9">
        <f t="shared" si="2768"/>
        <v>4.8852432850782179</v>
      </c>
      <c r="BP578" s="692">
        <f>BP551+BP523+BP323+BP137</f>
        <v>8231.2666742154179</v>
      </c>
      <c r="BQ578" s="9">
        <f t="shared" si="2768"/>
        <v>4.896310053514469</v>
      </c>
      <c r="BR578" s="692">
        <f>BR551+BR523+BR323+BR137</f>
        <v>8645.2760160572489</v>
      </c>
      <c r="BS578" s="9">
        <f t="shared" si="2768"/>
        <v>5.0297160598468054</v>
      </c>
      <c r="BT578" s="692">
        <f>BT551+BT523+BT323+BT137</f>
        <v>9072.4224578619142</v>
      </c>
      <c r="BU578" s="9">
        <f t="shared" ref="BU578:BU582" si="2769">IF(ISERROR(BT578/BR578),"NA",IF(OR(BT578/BR578&gt;2,BT578/BR578&lt;0.5),"NM",BT578/BR578*100-100))</f>
        <v>4.9408074538199571</v>
      </c>
      <c r="BV578" s="43">
        <f>IF(ISERROR(((BT578/BJ578)^0.2-1)*100),"NA",IF((((BT578/BJ578)^0.2-1)*100)&gt;100,"NM",IF((((BT578/BJ578)^0.2-1)*100)&lt;-50,"NM",((BT578/BJ578)^0.2-1)*100)))</f>
        <v>2.581747041112159</v>
      </c>
      <c r="BW578" s="141"/>
      <c r="BX578" s="722"/>
      <c r="BY578"/>
      <c r="BZ578"/>
      <c r="CA578"/>
      <c r="CB578"/>
      <c r="CC578"/>
      <c r="CD578"/>
      <c r="CE578" s="2"/>
    </row>
    <row r="579" spans="1:83" s="7" customFormat="1" ht="12.75" customHeight="1" x14ac:dyDescent="0.2">
      <c r="A579" s="42"/>
      <c r="B579" s="160" t="s">
        <v>421</v>
      </c>
      <c r="C579" s="692">
        <f>C552+C524+C324+C138+C180</f>
        <v>179.6</v>
      </c>
      <c r="D579" s="769" t="str">
        <f>IF(ISERROR(C579/#REF!),"NA",IF(OR(C579/#REF!&gt;2,C579/#REF!&lt;0.5),"NM",C579/#REF!*100-100))</f>
        <v>NA</v>
      </c>
      <c r="E579" s="692">
        <f>E552+E524+E324+E138+E180</f>
        <v>186</v>
      </c>
      <c r="F579" s="9" t="str">
        <f>IF(ISERROR(E579/#REF!),"NA",IF(OR(E579/#REF!&gt;2,E579/#REF!&lt;0.5),"NM",E579/#REF!*100-100))</f>
        <v>NA</v>
      </c>
      <c r="G579" s="692">
        <f>G552+G524+G324+G138+G180</f>
        <v>180.9</v>
      </c>
      <c r="H579" s="9" t="str">
        <f>IF(ISERROR(G579/#REF!),"NA",IF(OR(G579/#REF!&gt;2,G579/#REF!&lt;0.5),"NM",G579/#REF!*100-100))</f>
        <v>NA</v>
      </c>
      <c r="I579" s="692">
        <f>I552+I524+I324+I138+I180</f>
        <v>196.79999999999998</v>
      </c>
      <c r="J579" s="9" t="str">
        <f>IF(ISERROR(I579/#REF!),"NA",IF(OR(I579/#REF!&gt;2,I579/#REF!&lt;0.5),"NM",I579/#REF!*100-100))</f>
        <v>NA</v>
      </c>
      <c r="K579" s="692">
        <f>K552+K524+K324+K138+K180</f>
        <v>190.7</v>
      </c>
      <c r="L579" s="9">
        <f>IF(ISERROR(K579/C579),"NA",IF(OR(K579/C579&gt;2,K579/C579&lt;0.5),"NM",K579/C579*100-100))</f>
        <v>6.1804008908685972</v>
      </c>
      <c r="M579" s="692">
        <f>M552+M524+M324+M138+M180</f>
        <v>190.1</v>
      </c>
      <c r="N579" s="9">
        <f t="shared" si="2758"/>
        <v>2.2043010752688161</v>
      </c>
      <c r="O579" s="692">
        <f>O552+O524+O324+O138+O180</f>
        <v>192.60000000000002</v>
      </c>
      <c r="P579" s="9">
        <f t="shared" si="2758"/>
        <v>6.4676616915422898</v>
      </c>
      <c r="Q579" s="692">
        <f>Q552+Q524+Q324+Q138+Q180</f>
        <v>203.5</v>
      </c>
      <c r="R579" s="9">
        <f t="shared" si="2758"/>
        <v>3.404471544715463</v>
      </c>
      <c r="S579" s="692">
        <f>S552+S524+S324+S138+S180</f>
        <v>216.60000000000002</v>
      </c>
      <c r="T579" s="9">
        <f t="shared" si="2758"/>
        <v>13.581541688516012</v>
      </c>
      <c r="U579" s="692">
        <f>U552+U524+U324+U138+U180</f>
        <v>206.6</v>
      </c>
      <c r="V579" s="9">
        <f t="shared" si="2758"/>
        <v>8.6796422935297386</v>
      </c>
      <c r="W579" s="692">
        <f>W552+W524+W324+W138+W180</f>
        <v>206.5</v>
      </c>
      <c r="X579" s="9">
        <f t="shared" si="2758"/>
        <v>7.2170301142263611</v>
      </c>
      <c r="Y579" s="692">
        <f>Y552+Y524+Y324+Y138+Y180</f>
        <v>205.69999999999996</v>
      </c>
      <c r="Z579" s="9">
        <f t="shared" si="2758"/>
        <v>1.0810810810810665</v>
      </c>
      <c r="AA579" s="692">
        <f>AA552+AA524+AA324+AA138+AA180</f>
        <v>208.3</v>
      </c>
      <c r="AB579" s="9">
        <f t="shared" si="2758"/>
        <v>-3.8319482917820977</v>
      </c>
      <c r="AC579" s="692">
        <f>AC552+AC524+AC324+AC138+AC180</f>
        <v>207.70000000000002</v>
      </c>
      <c r="AD579" s="9">
        <f t="shared" si="2759"/>
        <v>0.53242981606970829</v>
      </c>
      <c r="AE579" s="692">
        <f>AE552+AE524+AE324+AE138+AE180</f>
        <v>197.6</v>
      </c>
      <c r="AF579" s="9">
        <f t="shared" si="2759"/>
        <v>-4.3099273607748216</v>
      </c>
      <c r="AG579" s="692">
        <f>AG552+AG524+AG324+AG138+AG180</f>
        <v>213.6</v>
      </c>
      <c r="AH579" s="9">
        <f>IF(ISERROR(AG579/Y579),"NA",IF(OR(AG579/Y579&gt;2,AG579/Y579&lt;0.5),"NM",AG579/Y579*100-100))</f>
        <v>3.8405444822557229</v>
      </c>
      <c r="AI579" s="692">
        <f>AI552+AI524+AI324+AI138+AI180</f>
        <v>219.7</v>
      </c>
      <c r="AJ579" s="9">
        <f t="shared" si="2760"/>
        <v>5.4728756601056148</v>
      </c>
      <c r="AK579" s="692">
        <f>AK552+AK524+AK324+AK138+AK180</f>
        <v>214.8</v>
      </c>
      <c r="AL579" s="9">
        <f t="shared" si="2761"/>
        <v>3.4183919114106942</v>
      </c>
      <c r="AM579" s="692">
        <f>AM552+AM524+AM324+AM138+AM180</f>
        <v>209.6</v>
      </c>
      <c r="AN579" s="9">
        <f t="shared" si="2762"/>
        <v>6.0728744939271309</v>
      </c>
      <c r="AO579" s="692">
        <f>AO552+AO524+AO324+AO138+AO180</f>
        <v>224</v>
      </c>
      <c r="AP579" s="9">
        <f t="shared" si="2763"/>
        <v>4.8689138576779101</v>
      </c>
      <c r="AQ579" s="692">
        <f>AQ552+AQ524+AQ324+AQ138+AQ180</f>
        <v>217.73486900537182</v>
      </c>
      <c r="AR579" s="9">
        <f t="shared" si="2764"/>
        <v>-0.89446108085033416</v>
      </c>
      <c r="AS579" s="692">
        <f>AS552+AS524+AS324+AS138+AS180</f>
        <v>219.46344177661285</v>
      </c>
      <c r="AT579" s="9">
        <f t="shared" si="2765"/>
        <v>2.1710622796149153</v>
      </c>
      <c r="AU579" s="692">
        <f>AU552+AU524+AU324+AU138+AU180</f>
        <v>222.59487664688353</v>
      </c>
      <c r="AV579" s="9">
        <f t="shared" si="2766"/>
        <v>6.1998457284749691</v>
      </c>
      <c r="AW579" s="692">
        <f>AW552+AW524+AW324+AW138+AW180</f>
        <v>224.881498433123</v>
      </c>
      <c r="AX579" s="9">
        <f t="shared" si="2767"/>
        <v>0.39352608621562979</v>
      </c>
      <c r="AY579" s="289"/>
      <c r="AZ579" s="15"/>
      <c r="BA579" s="9" t="str">
        <f>IF(ISERROR(#REF!/#REF!),"NA",IF(OR(#REF!/#REF!&gt;2,#REF!/#REF!&lt;0.5),"NM",#REF!/#REF!*100-100))</f>
        <v>NA</v>
      </c>
      <c r="BB579" s="692">
        <f>BB552+BB524+BB324+BB138+BB180</f>
        <v>743.3</v>
      </c>
      <c r="BC579" s="9" t="str">
        <f>IF(ISERROR(BB579/#REF!),"NA",IF(OR(BB579/#REF!&gt;2,BB579/#REF!&lt;0.5),"NM",BB579/#REF!*100-100))</f>
        <v>NA</v>
      </c>
      <c r="BD579" s="692">
        <f>BD552+BD524+BD324+BD138+BD180</f>
        <v>776.9</v>
      </c>
      <c r="BE579" s="9">
        <f t="shared" si="2768"/>
        <v>4.520382079913901</v>
      </c>
      <c r="BF579" s="692">
        <f>BF552+BF524+BF324+BF138+BF180</f>
        <v>835.4</v>
      </c>
      <c r="BG579" s="9">
        <f t="shared" si="2768"/>
        <v>7.529926631484102</v>
      </c>
      <c r="BH579" s="692">
        <f>BH552+BH524+BH324+BH138+BH180</f>
        <v>827.19999999999993</v>
      </c>
      <c r="BI579" s="9">
        <f t="shared" si="2768"/>
        <v>-0.98156571702179463</v>
      </c>
      <c r="BJ579" s="692">
        <f>BJ552+BJ524+BJ324+BJ138+BJ180</f>
        <v>868.1</v>
      </c>
      <c r="BK579" s="9">
        <f t="shared" si="2768"/>
        <v>4.9443907156673248</v>
      </c>
      <c r="BL579" s="692">
        <f>BL552+BL524+BL324+BL138+BL180</f>
        <v>884.67468586199129</v>
      </c>
      <c r="BM579" s="9">
        <f t="shared" si="2768"/>
        <v>1.90930605483139</v>
      </c>
      <c r="BN579" s="692">
        <f>BN552+BN524+BN324+BN138+BN180</f>
        <v>929.40576637105426</v>
      </c>
      <c r="BO579" s="9">
        <f t="shared" si="2768"/>
        <v>5.0562179775132563</v>
      </c>
      <c r="BP579" s="692">
        <f>BP552+BP524+BP324+BP138+BP180</f>
        <v>982.18643583735059</v>
      </c>
      <c r="BQ579" s="9">
        <f t="shared" si="2768"/>
        <v>5.6789694422042487</v>
      </c>
      <c r="BR579" s="692">
        <f>BR552+BR524+BR324+BR138+BR180</f>
        <v>1037.7966128499086</v>
      </c>
      <c r="BS579" s="9">
        <f t="shared" si="2768"/>
        <v>5.6618758907160327</v>
      </c>
      <c r="BT579" s="692">
        <f>BT552+BT524+BT324+BT138+BT180</f>
        <v>1096.5165745470165</v>
      </c>
      <c r="BU579" s="9">
        <f t="shared" si="2769"/>
        <v>5.6581377285339443</v>
      </c>
      <c r="BV579" s="43">
        <f>IF(ISERROR(((BT579/BJ579)^0.2-1)*100),"NA",IF((((BT579/BJ579)^0.2-1)*100)&gt;100,"NM",IF((((BT579/BJ579)^0.2-1)*100)&lt;-50,"NM",((BT579/BJ579)^0.2-1)*100)))</f>
        <v>4.7825803074191819</v>
      </c>
      <c r="BW579" s="141"/>
      <c r="BX579" s="722"/>
      <c r="BY579"/>
      <c r="BZ579"/>
      <c r="CA579"/>
      <c r="CB579"/>
      <c r="CC579"/>
      <c r="CD579"/>
      <c r="CE579" s="2"/>
    </row>
    <row r="580" spans="1:83" s="7" customFormat="1" ht="12.75" customHeight="1" x14ac:dyDescent="0.2">
      <c r="A580" s="42"/>
      <c r="B580" s="160" t="s">
        <v>391</v>
      </c>
      <c r="C580" s="692">
        <f>+C525+C325+C139</f>
        <v>-67</v>
      </c>
      <c r="D580" s="769" t="str">
        <f>IF(ISERROR(C580/#REF!),"NA",IF(OR(C580/#REF!&gt;2,C580/#REF!&lt;0.5),"NM",C580/#REF!*100-100))</f>
        <v>NA</v>
      </c>
      <c r="E580" s="692">
        <f>+E525+E325+E139</f>
        <v>-56.900000000000006</v>
      </c>
      <c r="F580" s="9" t="str">
        <f>IF(ISERROR(E580/#REF!),"NA",IF(OR(E580/#REF!&gt;2,E580/#REF!&lt;0.5),"NM",E580/#REF!*100-100))</f>
        <v>NA</v>
      </c>
      <c r="G580" s="692">
        <f>+G525+G325+G139</f>
        <v>-47.2</v>
      </c>
      <c r="H580" s="9" t="str">
        <f>IF(ISERROR(G580/#REF!),"NA",IF(OR(G580/#REF!&gt;2,G580/#REF!&lt;0.5),"NM",G580/#REF!*100-100))</f>
        <v>NA</v>
      </c>
      <c r="I580" s="692">
        <f>+I525+I325+I139</f>
        <v>-56.5</v>
      </c>
      <c r="J580" s="9" t="str">
        <f>IF(ISERROR(I580/#REF!),"NA",IF(OR(I580/#REF!&gt;2,I580/#REF!&lt;0.5),"NM",I580/#REF!*100-100))</f>
        <v>NA</v>
      </c>
      <c r="K580" s="692">
        <f>+K525+K325+K139</f>
        <v>-28.8</v>
      </c>
      <c r="L580" s="9" t="str">
        <f>IF(ISERROR(K580/C580),"NA",IF(OR(K580/C580&gt;2,K580/C580&lt;0.5),"NM",K580/C580*100-100))</f>
        <v>NM</v>
      </c>
      <c r="M580" s="692">
        <f>+M525+M325+M139</f>
        <v>-39.79999999999999</v>
      </c>
      <c r="N580" s="9">
        <f t="shared" si="2758"/>
        <v>-30.052724077328676</v>
      </c>
      <c r="O580" s="692">
        <f>+O525+O325+O139</f>
        <v>39.200000000000003</v>
      </c>
      <c r="P580" s="9" t="str">
        <f t="shared" si="2758"/>
        <v>NM</v>
      </c>
      <c r="Q580" s="692">
        <f>+Q525+Q325+Q139</f>
        <v>-45.2</v>
      </c>
      <c r="R580" s="9">
        <f t="shared" si="2758"/>
        <v>-20</v>
      </c>
      <c r="S580" s="692">
        <f>+S525+S325+S139</f>
        <v>-50.999999999999993</v>
      </c>
      <c r="T580" s="9">
        <f t="shared" si="2758"/>
        <v>77.083333333333314</v>
      </c>
      <c r="U580" s="692">
        <f>+U525+U325+U139</f>
        <v>-39.600000000000009</v>
      </c>
      <c r="V580" s="9">
        <f t="shared" si="2758"/>
        <v>-0.502512562814033</v>
      </c>
      <c r="W580" s="692">
        <f>+W525+W325+W139</f>
        <v>0.19999999999999574</v>
      </c>
      <c r="X580" s="9" t="str">
        <f t="shared" si="2758"/>
        <v>NM</v>
      </c>
      <c r="Y580" s="692">
        <f>+Y525+Y325+Y139</f>
        <v>-41.3</v>
      </c>
      <c r="Z580" s="9">
        <f t="shared" si="2758"/>
        <v>-8.6283185840707972</v>
      </c>
      <c r="AA580" s="692">
        <f>+AA525+AA325+AA139</f>
        <v>-42.899999999999991</v>
      </c>
      <c r="AB580" s="9">
        <f t="shared" si="2758"/>
        <v>-15.882352941176478</v>
      </c>
      <c r="AC580" s="692">
        <f>+AC525+AC325+AC139</f>
        <v>-32</v>
      </c>
      <c r="AD580" s="9">
        <f t="shared" si="2759"/>
        <v>-19.191919191919197</v>
      </c>
      <c r="AE580" s="692">
        <f>+AE525+AE325+AE139</f>
        <v>-69.3</v>
      </c>
      <c r="AF580" s="9" t="str">
        <f t="shared" si="2759"/>
        <v>NM</v>
      </c>
      <c r="AG580" s="692">
        <f>+AG525+AG325+AG139</f>
        <v>-39.200000000000003</v>
      </c>
      <c r="AH580" s="9">
        <f>IF(ISERROR(AG580/Y580),"NA",IF(OR(AG580/Y580&gt;2,AG580/Y580&lt;0.5),"NM",AG580/Y580*100-100))</f>
        <v>-5.0847457627118473</v>
      </c>
      <c r="AI580" s="692">
        <f>+AI525+AI325+AI139</f>
        <v>-45.099999999999994</v>
      </c>
      <c r="AJ580" s="9">
        <f t="shared" si="2760"/>
        <v>5.1282051282051384</v>
      </c>
      <c r="AK580" s="692">
        <f>+AK525+AK325+AK139</f>
        <v>-42.400000000000006</v>
      </c>
      <c r="AL580" s="9">
        <f t="shared" si="2761"/>
        <v>32.500000000000028</v>
      </c>
      <c r="AM580" s="692">
        <f>+AM525+AM325+AM139</f>
        <v>-10.300000000000002</v>
      </c>
      <c r="AN580" s="9" t="str">
        <f t="shared" si="2762"/>
        <v>NM</v>
      </c>
      <c r="AO580" s="692">
        <f>+AO525+AO325+AO139</f>
        <v>-41.999999999999993</v>
      </c>
      <c r="AP580" s="9">
        <f t="shared" si="2763"/>
        <v>7.1428571428571104</v>
      </c>
      <c r="AQ580" s="692">
        <f>+AQ525+AQ325+AQ139</f>
        <v>-37.811147417201056</v>
      </c>
      <c r="AR580" s="9">
        <f t="shared" si="2764"/>
        <v>-16.161535660308061</v>
      </c>
      <c r="AS580" s="692">
        <f>+AS525+AS325+AS139</f>
        <v>-38.243623789716409</v>
      </c>
      <c r="AT580" s="9">
        <f t="shared" si="2765"/>
        <v>-9.8027740808575317</v>
      </c>
      <c r="AU580" s="692">
        <f>+AU525+AU325+AU139</f>
        <v>-38.722724205954769</v>
      </c>
      <c r="AV580" s="9" t="str">
        <f t="shared" si="2766"/>
        <v>NM</v>
      </c>
      <c r="AW580" s="692">
        <f>+AW525+AW325+AW139</f>
        <v>-39.112925226900316</v>
      </c>
      <c r="AX580" s="9">
        <f t="shared" si="2767"/>
        <v>-6.873987554999232</v>
      </c>
      <c r="AY580" s="289"/>
      <c r="AZ580" s="15"/>
      <c r="BA580" s="9" t="str">
        <f>IF(ISERROR(#REF!/#REF!),"NA",IF(OR(#REF!/#REF!&gt;2,#REF!/#REF!&lt;0.5),"NM",#REF!/#REF!*100-100))</f>
        <v>NA</v>
      </c>
      <c r="BB580" s="692">
        <f>+BB525+BB325+BB139</f>
        <v>-227.59999999999997</v>
      </c>
      <c r="BC580" s="9" t="str">
        <f>IF(ISERROR(BB580/#REF!),"NA",IF(OR(BB580/#REF!&gt;2,BB580/#REF!&lt;0.5),"NM",BB580/#REF!*100-100))</f>
        <v>NA</v>
      </c>
      <c r="BD580" s="956">
        <f>+BD525+BD325+BD139</f>
        <v>-74.600000000000009</v>
      </c>
      <c r="BE580" s="9" t="str">
        <f t="shared" si="2768"/>
        <v>NM</v>
      </c>
      <c r="BF580" s="692">
        <f>+BF525+BF325+BF139</f>
        <v>-131.69999999999999</v>
      </c>
      <c r="BG580" s="9">
        <f t="shared" si="2768"/>
        <v>76.541554959785486</v>
      </c>
      <c r="BH580" s="692">
        <f>+BH525+BH325+BH139</f>
        <v>-183.39999999999998</v>
      </c>
      <c r="BI580" s="9">
        <f t="shared" si="2768"/>
        <v>39.255884586180713</v>
      </c>
      <c r="BJ580" s="692">
        <f>+BJ525+BJ325+BJ139</f>
        <v>-139.79999999999998</v>
      </c>
      <c r="BK580" s="9">
        <f t="shared" si="2768"/>
        <v>-23.773173391494012</v>
      </c>
      <c r="BL580" s="692">
        <f>+BL525+BL325+BL139</f>
        <v>-153.89042063977257</v>
      </c>
      <c r="BM580" s="9">
        <f t="shared" si="2768"/>
        <v>10.078984720867368</v>
      </c>
      <c r="BN580" s="692">
        <f>+BN525+BN325+BN139</f>
        <v>-172.69000593902655</v>
      </c>
      <c r="BO580" s="9">
        <f t="shared" si="2768"/>
        <v>12.216215422050297</v>
      </c>
      <c r="BP580" s="692">
        <f>+BP525+BP325+BP139</f>
        <v>-181.06742163959282</v>
      </c>
      <c r="BQ580" s="9">
        <f t="shared" si="2768"/>
        <v>4.8511294298780427</v>
      </c>
      <c r="BR580" s="692">
        <f>+BR525+BR325+BR139</f>
        <v>-189.86900203470964</v>
      </c>
      <c r="BS580" s="9">
        <f t="shared" si="2768"/>
        <v>4.8609409221256783</v>
      </c>
      <c r="BT580" s="692">
        <f>+BT525+BT325+BT139</f>
        <v>-199.12593474079193</v>
      </c>
      <c r="BU580" s="9">
        <f t="shared" si="2769"/>
        <v>4.8754312746585526</v>
      </c>
      <c r="BV580" s="43">
        <f>IF(ISERROR(((BT580/BJ580)^0.2-1)*100),"NA",IF((((BT580/BJ580)^0.2-1)*100)&gt;100,"NM",IF((((BT580/BJ580)^0.2-1)*100)&lt;-50,"NM",((BT580/BJ580)^0.2-1)*100)))</f>
        <v>7.3307418704012584</v>
      </c>
      <c r="BW580" s="141"/>
      <c r="BX580" s="722"/>
      <c r="BY580"/>
      <c r="BZ580"/>
      <c r="CA580"/>
      <c r="CB580"/>
      <c r="CC580"/>
      <c r="CD580"/>
      <c r="CE580" s="2"/>
    </row>
    <row r="581" spans="1:83" s="7" customFormat="1" ht="12.75" customHeight="1" x14ac:dyDescent="0.2">
      <c r="A581" s="42"/>
      <c r="B581" s="159" t="s">
        <v>452</v>
      </c>
      <c r="C581" s="692">
        <f>C554+C553+C526+C326+C181+C140</f>
        <v>673.6</v>
      </c>
      <c r="D581" s="769" t="str">
        <f>IF(ISERROR(C581/#REF!),"NA",IF(OR(C581/#REF!&gt;2,C581/#REF!&lt;0.5),"NM",C581/#REF!*100-100))</f>
        <v>NA</v>
      </c>
      <c r="E581" s="692">
        <f>E554+E553+E526+E326+E181+E140</f>
        <v>674.6</v>
      </c>
      <c r="F581" s="9" t="str">
        <f>IF(ISERROR(E581/#REF!),"NA",IF(OR(E581/#REF!&gt;2,E581/#REF!&lt;0.5),"NM",E581/#REF!*100-100))</f>
        <v>NA</v>
      </c>
      <c r="G581" s="692">
        <f>G554+G553+G526+G326+G181+G140</f>
        <v>660.59999999999991</v>
      </c>
      <c r="H581" s="9" t="str">
        <f>IF(ISERROR(G581/#REF!),"NA",IF(OR(G581/#REF!&gt;2,G581/#REF!&lt;0.5),"NM",G581/#REF!*100-100))</f>
        <v>NA</v>
      </c>
      <c r="I581" s="692">
        <f>I554+I553+I526+I326+I181+I140</f>
        <v>767.7</v>
      </c>
      <c r="J581" s="9" t="str">
        <f>IF(ISERROR(I581/#REF!),"NA",IF(OR(I581/#REF!&gt;2,I581/#REF!&lt;0.5),"NM",I581/#REF!*100-100))</f>
        <v>NA</v>
      </c>
      <c r="K581" s="692">
        <f>K554+K553+K526+K326+K181+K140</f>
        <v>657.5</v>
      </c>
      <c r="L581" s="9">
        <f>IF(ISERROR(K581/C581),"NA",IF(OR(K581/C581&gt;2,K581/C581&lt;0.5),"NM",K581/C581*100-100))</f>
        <v>-2.3901425178147235</v>
      </c>
      <c r="M581" s="692">
        <f>M554+M553+M526+M326+M181+M140</f>
        <v>661</v>
      </c>
      <c r="N581" s="9">
        <f t="shared" si="2758"/>
        <v>-2.0160094871034744</v>
      </c>
      <c r="O581" s="692">
        <f>O554+O553+O526+O326+O181+O140</f>
        <v>692</v>
      </c>
      <c r="P581" s="9">
        <f t="shared" si="2758"/>
        <v>4.7532546170148606</v>
      </c>
      <c r="Q581" s="692">
        <f>Q554+Q553+Q526+Q326+Q181+Q140</f>
        <v>748.3</v>
      </c>
      <c r="R581" s="9">
        <f t="shared" si="2758"/>
        <v>-2.5270287872867101</v>
      </c>
      <c r="S581" s="692">
        <f>S554+S553+S526+S326+S181+S140</f>
        <v>702</v>
      </c>
      <c r="T581" s="9">
        <f t="shared" si="2758"/>
        <v>6.7680608365019026</v>
      </c>
      <c r="U581" s="692">
        <f>U554+U553+U526+U326+U181+U140</f>
        <v>717.3</v>
      </c>
      <c r="V581" s="9">
        <f t="shared" si="2758"/>
        <v>8.5173978819969705</v>
      </c>
      <c r="W581" s="692">
        <f>W554+W553+W526+W326+W181+W140</f>
        <v>743.3</v>
      </c>
      <c r="X581" s="9">
        <f t="shared" si="2758"/>
        <v>7.4132947976878683</v>
      </c>
      <c r="Y581" s="692">
        <f>Y554+Y553+Y526+Y326+Y181+Y140</f>
        <v>763.40000000000009</v>
      </c>
      <c r="Z581" s="9">
        <f t="shared" si="2758"/>
        <v>2.0179072564479696</v>
      </c>
      <c r="AA581" s="692">
        <f>AA554+AA553+AA526+AA326+AA181+AA140</f>
        <v>721.3</v>
      </c>
      <c r="AB581" s="9">
        <f t="shared" si="2758"/>
        <v>2.7492877492877312</v>
      </c>
      <c r="AC581" s="692">
        <f>AC554+AC553+AC526+AC326+AC181+AC140</f>
        <v>731.6</v>
      </c>
      <c r="AD581" s="9">
        <f t="shared" si="2759"/>
        <v>1.9935870625958501</v>
      </c>
      <c r="AE581" s="692">
        <f>AE554+AE553+AE526+AE326+AE181+AE140</f>
        <v>713.2</v>
      </c>
      <c r="AF581" s="9">
        <f t="shared" si="2759"/>
        <v>-4.0495089465895262</v>
      </c>
      <c r="AG581" s="692">
        <f>AG554+AG553+AG526+AG326+AG181+AG140</f>
        <v>774</v>
      </c>
      <c r="AH581" s="9">
        <f>IF(ISERROR(AG581/Y581),"NA",IF(OR(AG581/Y581&gt;2,AG581/Y581&lt;0.5),"NM",AG581/Y581*100-100))</f>
        <v>1.3885250196489238</v>
      </c>
      <c r="AI581" s="692">
        <f>AI554+AI553+AI526+AI326+AI181+AI140</f>
        <v>769.49999999999989</v>
      </c>
      <c r="AJ581" s="9">
        <f t="shared" si="2760"/>
        <v>6.682379037848321</v>
      </c>
      <c r="AK581" s="692">
        <f>AK554+AK553+AK526+AK326+AK181+AK140</f>
        <v>756.8</v>
      </c>
      <c r="AL581" s="9">
        <f t="shared" si="2761"/>
        <v>3.4445051940951146</v>
      </c>
      <c r="AM581" s="692">
        <f>AM554+AM553+AM526+AM326+AM181+AM140</f>
        <v>744.2</v>
      </c>
      <c r="AN581" s="9">
        <f t="shared" si="2762"/>
        <v>4.3466068424004476</v>
      </c>
      <c r="AO581" s="692">
        <f>AO554+AO553+AO526+AO326+AO181+AO140</f>
        <v>833.7</v>
      </c>
      <c r="AP581" s="9">
        <f t="shared" si="2763"/>
        <v>7.7131782945736518</v>
      </c>
      <c r="AQ581" s="692">
        <f>AQ554+AQ553+AQ526+AQ326+AQ181+AQ140</f>
        <v>822.48131289383366</v>
      </c>
      <c r="AR581" s="9">
        <f t="shared" si="2764"/>
        <v>6.8851608698939231</v>
      </c>
      <c r="AS581" s="692">
        <f>AS554+AS553+AS526+AS326+AS181+AS140</f>
        <v>820.67691728123737</v>
      </c>
      <c r="AT581" s="9">
        <f t="shared" si="2765"/>
        <v>8.4403960466751187</v>
      </c>
      <c r="AU581" s="692">
        <f>AU554+AU553+AU526+AU326+AU181+AU140</f>
        <v>829.37231458072847</v>
      </c>
      <c r="AV581" s="9">
        <f t="shared" si="2766"/>
        <v>11.444815181500729</v>
      </c>
      <c r="AW581" s="692">
        <f>AW554+AW553+AW526+AW326+AW181+AW140</f>
        <v>837.56988381387964</v>
      </c>
      <c r="AX581" s="9">
        <f t="shared" si="2767"/>
        <v>0.46418181766578925</v>
      </c>
      <c r="AY581" s="289"/>
      <c r="AZ581" s="15"/>
      <c r="BA581" s="9" t="str">
        <f>IF(ISERROR(#REF!/#REF!),"NA",IF(OR(#REF!/#REF!&gt;2,#REF!/#REF!&lt;0.5),"NM",#REF!/#REF!*100-100))</f>
        <v>NA</v>
      </c>
      <c r="BB581" s="692">
        <f>BB554+BB553+BB526+BB326+BB181+BB140</f>
        <v>2776.5</v>
      </c>
      <c r="BC581" s="9" t="str">
        <f>IF(ISERROR(BB581/#REF!),"NA",IF(OR(BB581/#REF!&gt;2,BB581/#REF!&lt;0.5),"NM",BB581/#REF!*100-100))</f>
        <v>NA</v>
      </c>
      <c r="BD581" s="956">
        <f>BD554+BD553+BD526+BD326+BD181+BD140</f>
        <v>2758.8</v>
      </c>
      <c r="BE581" s="9">
        <f t="shared" si="2768"/>
        <v>-0.63749324689355547</v>
      </c>
      <c r="BF581" s="692">
        <f>BF554+BF553+BF526+BF326+BF181+BF140</f>
        <v>2926</v>
      </c>
      <c r="BG581" s="9">
        <f t="shared" si="2768"/>
        <v>6.0606060606060623</v>
      </c>
      <c r="BH581" s="692">
        <f>BH554+BH553+BH526+BH326+BH181+BH140</f>
        <v>2940.1000000000004</v>
      </c>
      <c r="BI581" s="9">
        <f t="shared" si="2768"/>
        <v>0.48188653451812513</v>
      </c>
      <c r="BJ581" s="692">
        <f>BJ554+BJ553+BJ526+BJ326+BJ181+BJ140</f>
        <v>3104.2000000000003</v>
      </c>
      <c r="BK581" s="9">
        <f t="shared" si="2768"/>
        <v>5.5814428080677345</v>
      </c>
      <c r="BL581" s="692">
        <f>BL554+BL553+BL526+BL326+BL181+BL140</f>
        <v>3310.100428569679</v>
      </c>
      <c r="BM581" s="9">
        <f t="shared" si="2768"/>
        <v>6.6329627140544716</v>
      </c>
      <c r="BN581" s="692">
        <f>BN554+BN553+BN526+BN326+BN181+BN140</f>
        <v>3480.4313287243372</v>
      </c>
      <c r="BO581" s="9">
        <f t="shared" si="2768"/>
        <v>5.1457925168832332</v>
      </c>
      <c r="BP581" s="692">
        <f>BP554+BP553+BP526+BP326+BP181+BP140</f>
        <v>3666.1637175191318</v>
      </c>
      <c r="BQ581" s="9">
        <f t="shared" si="2768"/>
        <v>5.3364761793151132</v>
      </c>
      <c r="BR581" s="692">
        <f>BR554+BR553+BR526+BR326+BR181+BR140</f>
        <v>3862.8868587230836</v>
      </c>
      <c r="BS581" s="9">
        <f t="shared" si="2768"/>
        <v>5.365912609518503</v>
      </c>
      <c r="BT581" s="692">
        <f>BT554+BT553+BT526+BT326+BT181+BT140</f>
        <v>4085.8471196496894</v>
      </c>
      <c r="BU581" s="9">
        <f t="shared" si="2769"/>
        <v>5.7718558446287886</v>
      </c>
      <c r="BV581" s="43">
        <f>IF(ISERROR(((BT581/BJ581)^0.2-1)*100),"NA",IF((((BT581/BJ581)^0.2-1)*100)&gt;100,"NM",IF((((BT581/BJ581)^0.2-1)*100)&lt;-50,"NM",((BT581/BJ581)^0.2-1)*100)))</f>
        <v>5.6492658711182919</v>
      </c>
      <c r="BW581" s="141"/>
      <c r="BX581" s="722"/>
      <c r="BY581"/>
      <c r="BZ581"/>
      <c r="CA581"/>
      <c r="CB581"/>
      <c r="CC581"/>
      <c r="CD581"/>
      <c r="CE581" s="2"/>
    </row>
    <row r="582" spans="1:83" s="4" customFormat="1" ht="12.75" customHeight="1" x14ac:dyDescent="0.2">
      <c r="A582" s="66"/>
      <c r="B582" s="158" t="s">
        <v>484</v>
      </c>
      <c r="C582" s="704">
        <f t="shared" ref="C582:AG582" si="2770">C555+C527+C327+C181+C141+C180</f>
        <v>1933.9</v>
      </c>
      <c r="D582" s="704" t="e">
        <f t="shared" si="2770"/>
        <v>#VALUE!</v>
      </c>
      <c r="E582" s="704">
        <f t="shared" si="2770"/>
        <v>1952.3999999999999</v>
      </c>
      <c r="F582" s="704" t="e">
        <f t="shared" si="2770"/>
        <v>#VALUE!</v>
      </c>
      <c r="G582" s="704">
        <f t="shared" si="2770"/>
        <v>1963.0000000000002</v>
      </c>
      <c r="H582" s="704" t="e">
        <f t="shared" si="2770"/>
        <v>#VALUE!</v>
      </c>
      <c r="I582" s="704">
        <f t="shared" si="2770"/>
        <v>2352.3000000000002</v>
      </c>
      <c r="J582" s="704" t="e">
        <f t="shared" si="2770"/>
        <v>#VALUE!</v>
      </c>
      <c r="K582" s="704">
        <f t="shared" si="2770"/>
        <v>2088.6</v>
      </c>
      <c r="L582" s="704">
        <f t="shared" si="2770"/>
        <v>21.035495946596527</v>
      </c>
      <c r="M582" s="704">
        <f t="shared" si="2770"/>
        <v>2117.3000000000002</v>
      </c>
      <c r="N582" s="704">
        <f t="shared" si="2770"/>
        <v>11.76420541409756</v>
      </c>
      <c r="O582" s="704">
        <f t="shared" si="2770"/>
        <v>2084.7000000000003</v>
      </c>
      <c r="P582" s="704">
        <f t="shared" si="2770"/>
        <v>10.422123752724772</v>
      </c>
      <c r="Q582" s="704">
        <f t="shared" si="2770"/>
        <v>2563.0999999999995</v>
      </c>
      <c r="R582" s="704">
        <f t="shared" si="2770"/>
        <v>6.1484250409697978</v>
      </c>
      <c r="S582" s="704">
        <f t="shared" si="2770"/>
        <v>2136.6000000000004</v>
      </c>
      <c r="T582" s="704">
        <f t="shared" si="2770"/>
        <v>-13.212859572103952</v>
      </c>
      <c r="U582" s="704">
        <f t="shared" si="2770"/>
        <v>2982.6</v>
      </c>
      <c r="V582" s="704">
        <f t="shared" si="2770"/>
        <v>134.57528699411768</v>
      </c>
      <c r="W582" s="704">
        <f t="shared" si="2770"/>
        <v>2854.4000000000005</v>
      </c>
      <c r="X582" s="704">
        <f t="shared" si="2770"/>
        <v>140.89376129587848</v>
      </c>
      <c r="Y582" s="704">
        <f t="shared" si="2770"/>
        <v>2502.4</v>
      </c>
      <c r="Z582" s="704">
        <f t="shared" si="2770"/>
        <v>10.830620743547726</v>
      </c>
      <c r="AA582" s="704">
        <f t="shared" si="2770"/>
        <v>2580</v>
      </c>
      <c r="AB582" s="704">
        <f t="shared" si="2770"/>
        <v>103.13835518300627</v>
      </c>
      <c r="AC582" s="704">
        <f t="shared" si="2770"/>
        <v>2602.4</v>
      </c>
      <c r="AD582" s="704">
        <f t="shared" si="2770"/>
        <v>-6.6607744946580283E-2</v>
      </c>
      <c r="AE582" s="704">
        <f t="shared" si="2770"/>
        <v>2395.4999999999995</v>
      </c>
      <c r="AF582" s="704">
        <f t="shared" si="2770"/>
        <v>-23.995766767163218</v>
      </c>
      <c r="AG582" s="704">
        <f t="shared" si="2770"/>
        <v>3103.7</v>
      </c>
      <c r="AH582" s="9">
        <f>IF(ISERROR(AG582/Y582),"NA",IF(OR(AG582/Y582&gt;2,AG582/Y582&lt;0.5),"NM",AG582/Y582*100-100))</f>
        <v>24.028932225063926</v>
      </c>
      <c r="AI582" s="704">
        <f>AI555+AI527+AI327+AI181+AI141+AI180</f>
        <v>2629.2</v>
      </c>
      <c r="AJ582" s="9">
        <f t="shared" si="2760"/>
        <v>1.906976744186025</v>
      </c>
      <c r="AK582" s="704">
        <f>AK555+AK527+AK327+AK181+AK141+AK180</f>
        <v>2812.1000000000004</v>
      </c>
      <c r="AL582" s="9">
        <f t="shared" si="2761"/>
        <v>8.0579465109130126</v>
      </c>
      <c r="AM582" s="704">
        <f>AM555+AM527+AM327+AM181+AM141+AM180</f>
        <v>3522</v>
      </c>
      <c r="AN582" s="9">
        <f t="shared" si="2762"/>
        <v>47.025673137132145</v>
      </c>
      <c r="AO582" s="704">
        <f>AO555+AO527+AO327+AO181+AO141+AO180</f>
        <v>2856</v>
      </c>
      <c r="AP582" s="9">
        <f t="shared" si="2763"/>
        <v>-7.980797113123046</v>
      </c>
      <c r="AQ582" s="704">
        <f>AQ555+AQ527+AQ327+AQ181+AQ141+AQ180</f>
        <v>2844.8831594446679</v>
      </c>
      <c r="AR582" s="9">
        <f t="shared" si="2764"/>
        <v>8.2033759107206663</v>
      </c>
      <c r="AS582" s="704">
        <f>AS555+AS527+AS327+AS181+AS141+AS180</f>
        <v>2868.401368343591</v>
      </c>
      <c r="AT582" s="9">
        <f t="shared" si="2765"/>
        <v>2.0021111746947327</v>
      </c>
      <c r="AU582" s="704">
        <f>AU555+AU527+AU327+AU181+AU141+AU180</f>
        <v>2895.9037192247974</v>
      </c>
      <c r="AV582" s="9">
        <f t="shared" si="2766"/>
        <v>-17.776725746030735</v>
      </c>
      <c r="AW582" s="704">
        <f>AW555+AW527+AW327+AW181+AW141+AW180</f>
        <v>2913.2548568627708</v>
      </c>
      <c r="AX582" s="9">
        <f t="shared" si="2767"/>
        <v>2.0047218789485584</v>
      </c>
      <c r="AY582" s="285"/>
      <c r="AZ582" s="79"/>
      <c r="BA582" s="9" t="str">
        <f>IF(ISERROR(#REF!/#REF!),"NA",IF(OR(#REF!/#REF!&gt;2,#REF!/#REF!&lt;0.5),"NM",#REF!/#REF!*100-100))</f>
        <v>NA</v>
      </c>
      <c r="BB582" s="704">
        <f>BB578+BB579+BB580+BB581</f>
        <v>8201.6</v>
      </c>
      <c r="BC582" s="9" t="str">
        <f>IF(ISERROR(BB582/#REF!),"NA",IF(OR(BB582/#REF!&gt;2,BB582/#REF!&lt;0.5),"NM",BB582/#REF!*100-100))</f>
        <v>NA</v>
      </c>
      <c r="BD582" s="955">
        <f t="shared" ref="BD582:BP582" si="2771">BD578+BD579+BD580+BD581</f>
        <v>8853.7000000000007</v>
      </c>
      <c r="BE582" s="9">
        <f t="shared" si="2768"/>
        <v>7.9508876316816384</v>
      </c>
      <c r="BF582" s="704">
        <f t="shared" si="2771"/>
        <v>10476</v>
      </c>
      <c r="BG582" s="9">
        <f t="shared" si="2768"/>
        <v>18.32341281046341</v>
      </c>
      <c r="BH582" s="704">
        <f t="shared" si="2771"/>
        <v>10681.600000000002</v>
      </c>
      <c r="BI582" s="9">
        <f t="shared" si="2768"/>
        <v>1.962581137838896</v>
      </c>
      <c r="BJ582" s="704">
        <f t="shared" ref="BJ582" si="2772">BJ578+BJ579+BJ580+BJ581</f>
        <v>11819.300000000001</v>
      </c>
      <c r="BK582" s="9">
        <f t="shared" si="2768"/>
        <v>10.651026063511068</v>
      </c>
      <c r="BL582" s="704">
        <f t="shared" ref="BL582" si="2773">BL578+BL579+BL580+BL581</f>
        <v>11522.443103875827</v>
      </c>
      <c r="BM582" s="9">
        <f t="shared" si="2768"/>
        <v>-2.5116284054400353</v>
      </c>
      <c r="BN582" s="704">
        <f t="shared" si="2771"/>
        <v>12084.197829088122</v>
      </c>
      <c r="BO582" s="9">
        <f t="shared" si="2768"/>
        <v>4.8753091696615627</v>
      </c>
      <c r="BP582" s="704">
        <f t="shared" si="2771"/>
        <v>12698.549405932308</v>
      </c>
      <c r="BQ582" s="9">
        <f t="shared" si="2768"/>
        <v>5.0839251850492531</v>
      </c>
      <c r="BR582" s="704">
        <f t="shared" ref="BR582:BT582" si="2774">BR578+BR579+BR580+BR581</f>
        <v>13356.09048559553</v>
      </c>
      <c r="BS582" s="9">
        <f t="shared" si="2768"/>
        <v>5.178080256600353</v>
      </c>
      <c r="BT582" s="704">
        <f t="shared" si="2774"/>
        <v>14055.660217317829</v>
      </c>
      <c r="BU582" s="9">
        <f t="shared" si="2769"/>
        <v>5.2378331254702175</v>
      </c>
      <c r="BV582" s="43">
        <f>IF(ISERROR(((BT582/BJ582)^0.2-1)*100),"NA",IF((((BT582/BJ582)^0.2-1)*100)&gt;100,"NM",IF((((BT582/BJ582)^0.2-1)*100)&lt;-50,"NM",((BT582/BJ582)^0.2-1)*100)))</f>
        <v>3.5265874916708517</v>
      </c>
      <c r="BW582" s="141"/>
      <c r="BX582" s="722"/>
      <c r="BY582"/>
      <c r="BZ582"/>
      <c r="CA582"/>
      <c r="CB582"/>
      <c r="CC582"/>
      <c r="CD582"/>
      <c r="CE582" s="2"/>
    </row>
    <row r="583" spans="1:83" s="2" customFormat="1" ht="12.75" customHeight="1" x14ac:dyDescent="0.2">
      <c r="A583" s="41"/>
      <c r="B583" s="158"/>
      <c r="C583" s="691"/>
      <c r="D583" s="9"/>
      <c r="E583" s="691"/>
      <c r="F583" s="9"/>
      <c r="G583" s="691"/>
      <c r="H583" s="9"/>
      <c r="I583" s="691"/>
      <c r="J583" s="9"/>
      <c r="K583" s="691"/>
      <c r="L583" s="9"/>
      <c r="M583" s="691"/>
      <c r="N583" s="9"/>
      <c r="O583" s="691"/>
      <c r="P583" s="9"/>
      <c r="Q583" s="691"/>
      <c r="R583" s="9"/>
      <c r="S583" s="691"/>
      <c r="T583" s="9"/>
      <c r="U583" s="691"/>
      <c r="V583" s="9"/>
      <c r="W583" s="691"/>
      <c r="X583" s="9"/>
      <c r="Y583" s="691"/>
      <c r="Z583" s="9"/>
      <c r="AA583" s="691"/>
      <c r="AB583" s="9"/>
      <c r="AC583" s="691"/>
      <c r="AD583" s="9"/>
      <c r="AE583" s="691"/>
      <c r="AF583" s="9"/>
      <c r="AG583" s="691"/>
      <c r="AH583" s="9"/>
      <c r="AI583" s="691"/>
      <c r="AJ583" s="9"/>
      <c r="AK583" s="691"/>
      <c r="AL583" s="9"/>
      <c r="AM583" s="691"/>
      <c r="AN583" s="9"/>
      <c r="AO583" s="691"/>
      <c r="AP583" s="9"/>
      <c r="AQ583" s="691"/>
      <c r="AR583" s="9"/>
      <c r="AS583" s="691"/>
      <c r="AT583" s="9"/>
      <c r="AU583" s="691"/>
      <c r="AV583" s="9"/>
      <c r="AW583" s="691"/>
      <c r="AX583" s="9"/>
      <c r="AY583" s="279"/>
      <c r="AZ583" s="15"/>
      <c r="BA583" s="9"/>
      <c r="BB583" s="691"/>
      <c r="BC583" s="9"/>
      <c r="BD583" s="930"/>
      <c r="BE583" s="9"/>
      <c r="BF583" s="691"/>
      <c r="BG583" s="9"/>
      <c r="BH583" s="691"/>
      <c r="BI583" s="9"/>
      <c r="BJ583" s="691"/>
      <c r="BK583" s="9"/>
      <c r="BL583" s="691"/>
      <c r="BM583" s="9"/>
      <c r="BO583" s="9"/>
      <c r="BQ583" s="9"/>
      <c r="BS583" s="9"/>
      <c r="BU583" s="9"/>
      <c r="BV583" s="43"/>
      <c r="BW583" s="722"/>
      <c r="BX583" s="722"/>
      <c r="BY583"/>
      <c r="BZ583"/>
      <c r="CA583"/>
      <c r="CB583"/>
      <c r="CC583"/>
      <c r="CD583"/>
    </row>
    <row r="584" spans="1:83" s="2" customFormat="1" ht="12.75" customHeight="1" x14ac:dyDescent="0.2">
      <c r="A584" s="41"/>
      <c r="B584" s="159" t="s">
        <v>406</v>
      </c>
      <c r="C584" s="691">
        <f>+C575-C582</f>
        <v>318.5</v>
      </c>
      <c r="D584" s="705" t="str">
        <f>IF(ISERROR(C584/#REF!),"NA",IF(OR(C584/#REF!&gt;2,C584/#REF!&lt;0.5),"NM",C584/#REF!*100-100))</f>
        <v>NA</v>
      </c>
      <c r="E584" s="691">
        <f t="shared" ref="E584:W584" si="2775">+E575-E582</f>
        <v>372.29999999999995</v>
      </c>
      <c r="F584" s="9" t="str">
        <f>IF(ISERROR(E584/#REF!),"NA",IF(OR(E584/#REF!&gt;2,E584/#REF!&lt;0.5),"NM",E584/#REF!*100-100))</f>
        <v>NA</v>
      </c>
      <c r="G584" s="691">
        <f t="shared" si="2775"/>
        <v>365.10000000000014</v>
      </c>
      <c r="H584" s="9" t="str">
        <f>IF(ISERROR(G584/#REF!),"NA",IF(OR(G584/#REF!&gt;2,G584/#REF!&lt;0.5),"NM",G584/#REF!*100-100))</f>
        <v>NA</v>
      </c>
      <c r="I584" s="691">
        <f>+I575-I582</f>
        <v>401.29999999999973</v>
      </c>
      <c r="J584" s="9" t="str">
        <f>IF(ISERROR(I584/#REF!),"NA",IF(OR(I584/#REF!&gt;2,I584/#REF!&lt;0.5),"NM",I584/#REF!*100-100))</f>
        <v>NA</v>
      </c>
      <c r="K584" s="691">
        <f t="shared" si="2775"/>
        <v>422.90000000000009</v>
      </c>
      <c r="L584" s="9">
        <f t="shared" ref="L584:L589" si="2776">IF(ISERROR(K584/C584),"NA",IF(OR(K584/C584&gt;2,K584/C584&lt;0.5),"NM",K584/C584*100-100))</f>
        <v>32.77864992150711</v>
      </c>
      <c r="M584" s="691">
        <f t="shared" si="2775"/>
        <v>439.5</v>
      </c>
      <c r="N584" s="9">
        <f t="shared" ref="N584:AB589" si="2777">IF(ISERROR(M584/E584),"NA",IF(OR(M584/E584&gt;2,M584/E584&lt;0.5),"NM",M584/E584*100-100))</f>
        <v>18.049959709911363</v>
      </c>
      <c r="O584" s="691">
        <f t="shared" si="2775"/>
        <v>482.49999999999955</v>
      </c>
      <c r="P584" s="9">
        <f t="shared" si="2777"/>
        <v>32.15557381539287</v>
      </c>
      <c r="Q584" s="691">
        <f>+Q575-Q582</f>
        <v>410.80000000000064</v>
      </c>
      <c r="R584" s="9">
        <f t="shared" si="2777"/>
        <v>2.3673062546725419</v>
      </c>
      <c r="S584" s="691">
        <f t="shared" si="2775"/>
        <v>422.59999999999945</v>
      </c>
      <c r="T584" s="9">
        <f t="shared" si="2777"/>
        <v>-7.0938756207297615E-2</v>
      </c>
      <c r="U584" s="691">
        <f t="shared" si="2775"/>
        <v>437.59999999999991</v>
      </c>
      <c r="V584" s="9">
        <f t="shared" si="2777"/>
        <v>-0.43230944254837311</v>
      </c>
      <c r="W584" s="691">
        <f t="shared" si="2775"/>
        <v>395.59999999999945</v>
      </c>
      <c r="X584" s="9">
        <f t="shared" si="2777"/>
        <v>-18.010362694300554</v>
      </c>
      <c r="Y584" s="691">
        <f t="shared" ref="Y584:AA584" si="2778">+Y575-Y582</f>
        <v>389.5</v>
      </c>
      <c r="Z584" s="9">
        <f t="shared" si="2777"/>
        <v>-5.1850048685493135</v>
      </c>
      <c r="AA584" s="691">
        <f t="shared" si="2778"/>
        <v>357.89999999999964</v>
      </c>
      <c r="AB584" s="9">
        <f t="shared" si="2777"/>
        <v>-15.309985802176968</v>
      </c>
      <c r="AC584" s="691">
        <f t="shared" ref="AC584:AE584" si="2779">+AC575-AC582</f>
        <v>432.79999999999973</v>
      </c>
      <c r="AD584" s="9">
        <f t="shared" ref="AD584:AF589" si="2780">IF(ISERROR(AC584/U584),"NA",IF(OR(AC584/U584&gt;2,AC584/U584&lt;0.5),"NM",AC584/U584*100-100))</f>
        <v>-1.0968921389397082</v>
      </c>
      <c r="AE584" s="691">
        <f t="shared" si="2779"/>
        <v>418.90000000000009</v>
      </c>
      <c r="AF584" s="9">
        <f t="shared" si="2780"/>
        <v>5.8897876643075477</v>
      </c>
      <c r="AG584" s="691">
        <f t="shared" ref="AG584:AI584" si="2781">+AG575-AG582</f>
        <v>489.80000000000018</v>
      </c>
      <c r="AH584" s="9">
        <f t="shared" ref="AH584:AH589" si="2782">IF(ISERROR(AG584/Y584),"NA",IF(OR(AG584/Y584&gt;2,AG584/Y584&lt;0.5),"NM",AG584/Y584*100-100))</f>
        <v>25.750962772785684</v>
      </c>
      <c r="AI584" s="691">
        <f t="shared" si="2781"/>
        <v>475.50000000000045</v>
      </c>
      <c r="AJ584" s="9">
        <f t="shared" ref="AJ584:AJ589" si="2783">IF(ISERROR(AI584/AA584),"NA",IF(OR(AI584/AA584&gt;2,AI584/AA584&lt;0.5),"NM",AI584/AA584*100-100))</f>
        <v>32.858340318524995</v>
      </c>
      <c r="AK584" s="691">
        <f t="shared" ref="AK584:AM584" si="2784">+AK575-AK582</f>
        <v>497.5</v>
      </c>
      <c r="AL584" s="9">
        <f t="shared" ref="AL584:AL589" si="2785">IF(ISERROR(AK584/AC584),"NA",IF(OR(AK584/AC584&gt;2,AK584/AC584&lt;0.5),"NM",AK584/AC584*100-100))</f>
        <v>14.949168207024101</v>
      </c>
      <c r="AM584" s="691">
        <f t="shared" si="2784"/>
        <v>456.19999999999982</v>
      </c>
      <c r="AN584" s="9">
        <f t="shared" ref="AN584:AN589" si="2786">IF(ISERROR(AM584/AE584),"NA",IF(OR(AM584/AE584&gt;2,AM584/AE584&lt;0.5),"NM",AM584/AE584*100-100))</f>
        <v>8.9042730962042782</v>
      </c>
      <c r="AO584" s="691">
        <f t="shared" ref="AO584" si="2787">+AO575-AO582</f>
        <v>455</v>
      </c>
      <c r="AP584" s="9">
        <f t="shared" ref="AP584:AP589" si="2788">IF(ISERROR(AO584/AG584),"NA",IF(OR(AO584/AG584&gt;2,AO584/AG584&lt;0.5),"NM",AO584/AG584*100-100))</f>
        <v>-7.1049407921600931</v>
      </c>
      <c r="AQ584" s="691">
        <f t="shared" ref="AQ584:AW584" si="2789">+AQ575-AQ582</f>
        <v>493.63566703263359</v>
      </c>
      <c r="AR584" s="9">
        <f t="shared" ref="AR584:AR589" si="2790">IF(ISERROR(AQ584/AI584),"NA",IF(OR(AQ584/AI584&gt;2,AQ584/AI584&lt;0.5),"NM",AQ584/AI584*100-100))</f>
        <v>3.814020406442296</v>
      </c>
      <c r="AS584" s="691">
        <f t="shared" si="2789"/>
        <v>502.71361635267931</v>
      </c>
      <c r="AT584" s="9">
        <f t="shared" ref="AT584:AT589" si="2791">IF(ISERROR(AS584/AK584),"NA",IF(OR(AS584/AK584&gt;2,AS584/AK584&lt;0.5),"NM",AS584/AK584*100-100))</f>
        <v>1.0479630859656908</v>
      </c>
      <c r="AU584" s="691">
        <f t="shared" si="2789"/>
        <v>521.30652513714858</v>
      </c>
      <c r="AV584" s="9">
        <f t="shared" ref="AV584:AV589" si="2792">IF(ISERROR(AU584/AM584),"NA",IF(OR(AU584/AM584&gt;2,AU584/AM584&lt;0.5),"NM",AU584/AM584*100-100))</f>
        <v>14.271487316341251</v>
      </c>
      <c r="AW584" s="691">
        <f t="shared" si="2789"/>
        <v>539.13708224706534</v>
      </c>
      <c r="AX584" s="9">
        <f t="shared" ref="AX584:AX589" si="2793">IF(ISERROR(AW584/AO584),"NA",IF(OR(AW584/AO584&gt;2,AW584/AO584&lt;0.5),"NM",AW584/AO584*100-100))</f>
        <v>18.491666427926461</v>
      </c>
      <c r="AY584" s="279"/>
      <c r="AZ584" s="15"/>
      <c r="BA584" s="9" t="str">
        <f>IF(ISERROR(#REF!/#REF!),"NA",IF(OR(#REF!/#REF!&gt;2,#REF!/#REF!&lt;0.5),"NM",#REF!/#REF!*100-100))</f>
        <v>NA</v>
      </c>
      <c r="BB584" s="691">
        <f>+BB575-BB582</f>
        <v>1457.2000000000007</v>
      </c>
      <c r="BC584" s="9" t="str">
        <f>IF(ISERROR(BB584/#REF!),"NA",IF(OR(BB584/#REF!&gt;2,BB584/#REF!&lt;0.5),"NM",BB584/#REF!*100-100))</f>
        <v>NA</v>
      </c>
      <c r="BD584" s="948">
        <f>+BD575-BD582</f>
        <v>1755.6999999999971</v>
      </c>
      <c r="BE584" s="9">
        <f t="shared" ref="BE584:BS589" si="2794">IF(ISERROR(BD584/BB584),"NA",IF(OR(BD584/BB584&gt;2,BD584/BB584&lt;0.5),"NM",BD584/BB584*100-100))</f>
        <v>20.484490804281918</v>
      </c>
      <c r="BF584" s="693">
        <f>+BF575-BF582</f>
        <v>1645.2999999999993</v>
      </c>
      <c r="BG584" s="9">
        <f t="shared" si="2794"/>
        <v>-6.2880902204247917</v>
      </c>
      <c r="BH584" s="693">
        <f>+BH575-BH582</f>
        <v>1699.3999999999978</v>
      </c>
      <c r="BI584" s="9">
        <f t="shared" si="2794"/>
        <v>3.2881541360237492</v>
      </c>
      <c r="BJ584" s="693">
        <f>+BJ575-BJ582</f>
        <v>1884.1999999999989</v>
      </c>
      <c r="BK584" s="9">
        <f t="shared" si="2794"/>
        <v>10.874426268094695</v>
      </c>
      <c r="BL584" s="693">
        <f>+BL575-BL582</f>
        <v>2056.7928907695277</v>
      </c>
      <c r="BM584" s="9">
        <f t="shared" si="2794"/>
        <v>9.1600090632379221</v>
      </c>
      <c r="BN584" s="693">
        <f>+BN575-BN582</f>
        <v>2159.5661693398633</v>
      </c>
      <c r="BO584" s="9">
        <f t="shared" si="2794"/>
        <v>4.9967733276190103</v>
      </c>
      <c r="BP584" s="693">
        <f>+BP575-BP582</f>
        <v>2269.6390894652086</v>
      </c>
      <c r="BQ584" s="9">
        <f t="shared" si="2794"/>
        <v>5.0969922426128846</v>
      </c>
      <c r="BR584" s="693">
        <f>+BR575-BR582</f>
        <v>2372.8117665756417</v>
      </c>
      <c r="BS584" s="9">
        <f t="shared" si="2794"/>
        <v>4.5457745942657084</v>
      </c>
      <c r="BT584" s="693">
        <f>+BT575-BT582</f>
        <v>2478.788476226935</v>
      </c>
      <c r="BU584" s="9">
        <f t="shared" ref="BU584:BU589" si="2795">IF(ISERROR(BT584/BR584),"NA",IF(OR(BT584/BR584&gt;2,BT584/BR584&lt;0.5),"NM",BT584/BR584*100-100))</f>
        <v>4.4662923180052871</v>
      </c>
      <c r="BV584" s="43">
        <f t="shared" ref="BV584:BV589" si="2796">IF(ISERROR(((BT584/BJ584)^0.2-1)*100),"NA",IF((((BT584/BJ584)^0.2-1)*100)&gt;100,"NM",IF((((BT584/BJ584)^0.2-1)*100)&lt;-50,"NM",((BT584/BJ584)^0.2-1)*100)))</f>
        <v>5.6385651719003116</v>
      </c>
      <c r="BW584" s="141"/>
      <c r="BX584" s="722"/>
      <c r="BY584"/>
      <c r="BZ584"/>
      <c r="CA584"/>
      <c r="CB584"/>
      <c r="CC584"/>
      <c r="CD584"/>
    </row>
    <row r="585" spans="1:83" s="2" customFormat="1" ht="12.75" customHeight="1" x14ac:dyDescent="0.2">
      <c r="A585" s="41"/>
      <c r="B585" s="159" t="s">
        <v>410</v>
      </c>
      <c r="C585" s="57">
        <f>C183+C329+C558</f>
        <v>3.5</v>
      </c>
      <c r="D585" s="754" t="str">
        <f>IF(ISERROR(C585/#REF!),"NA",IF(OR(C585/#REF!&gt;2,C585/#REF!&lt;0.5),"NM",C585/#REF!*100-100))</f>
        <v>NA</v>
      </c>
      <c r="E585" s="57">
        <f>E183+E329+E558</f>
        <v>6</v>
      </c>
      <c r="F585" s="9" t="str">
        <f>IF(ISERROR(E585/#REF!),"NA",IF(OR(E585/#REF!&gt;2,E585/#REF!&lt;0.5),"NM",E585/#REF!*100-100))</f>
        <v>NA</v>
      </c>
      <c r="G585" s="57">
        <f>G183+G329+G558</f>
        <v>4.9999999999999991</v>
      </c>
      <c r="H585" s="9" t="str">
        <f>IF(ISERROR(G585/#REF!),"NA",IF(OR(G585/#REF!&gt;2,G585/#REF!&lt;0.5),"NM",G585/#REF!*100-100))</f>
        <v>NA</v>
      </c>
      <c r="I585" s="57">
        <f>I183+I329+I558</f>
        <v>8.6999999999999993</v>
      </c>
      <c r="J585" s="9" t="str">
        <f>IF(ISERROR(I585/#REF!),"NA",IF(OR(I585/#REF!&gt;2,I585/#REF!&lt;0.5),"NM",I585/#REF!*100-100))</f>
        <v>NA</v>
      </c>
      <c r="K585" s="57">
        <f>K183+K329+K558</f>
        <v>22.200000000000003</v>
      </c>
      <c r="L585" s="9" t="str">
        <f t="shared" si="2776"/>
        <v>NM</v>
      </c>
      <c r="M585" s="57">
        <f>M183+M329+M558</f>
        <v>4.4999999999999991</v>
      </c>
      <c r="N585" s="9">
        <f t="shared" si="2777"/>
        <v>-25.000000000000014</v>
      </c>
      <c r="O585" s="57">
        <f>O183+O329+O558</f>
        <v>4.9000000000000004</v>
      </c>
      <c r="P585" s="9">
        <f t="shared" si="2777"/>
        <v>-1.9999999999999858</v>
      </c>
      <c r="Q585" s="57">
        <f>Q183+Q329+Q558</f>
        <v>0.79999999999999993</v>
      </c>
      <c r="R585" s="9" t="str">
        <f t="shared" si="2777"/>
        <v>NM</v>
      </c>
      <c r="S585" s="57">
        <f>S183+S329+S558</f>
        <v>1.7</v>
      </c>
      <c r="T585" s="9" t="str">
        <f t="shared" si="2777"/>
        <v>NM</v>
      </c>
      <c r="U585" s="57">
        <f>U183+U329+U558</f>
        <v>8.1</v>
      </c>
      <c r="V585" s="9">
        <f t="shared" si="2777"/>
        <v>80.000000000000028</v>
      </c>
      <c r="W585" s="57">
        <f>W183+W329+W558</f>
        <v>-3.2000000000000006</v>
      </c>
      <c r="X585" s="9" t="str">
        <f t="shared" si="2777"/>
        <v>NM</v>
      </c>
      <c r="Y585" s="57">
        <f>Y183+Y329+Y558</f>
        <v>1.6</v>
      </c>
      <c r="Z585" s="9">
        <f t="shared" si="2777"/>
        <v>100.00000000000006</v>
      </c>
      <c r="AA585" s="57">
        <f>AA183+AA329+AA558</f>
        <v>1.6</v>
      </c>
      <c r="AB585" s="9">
        <f t="shared" si="2777"/>
        <v>-5.8823529411764639</v>
      </c>
      <c r="AC585" s="57">
        <f>AC183+AC329+AC558</f>
        <v>1.6</v>
      </c>
      <c r="AD585" s="9" t="str">
        <f t="shared" si="2780"/>
        <v>NM</v>
      </c>
      <c r="AE585" s="57">
        <f>AE183+AE329+AE558</f>
        <v>2.5</v>
      </c>
      <c r="AF585" s="9" t="str">
        <f t="shared" si="2780"/>
        <v>NM</v>
      </c>
      <c r="AG585" s="57">
        <f>AG183+AG329+AG558</f>
        <v>25</v>
      </c>
      <c r="AH585" s="9" t="str">
        <f t="shared" si="2782"/>
        <v>NM</v>
      </c>
      <c r="AI585" s="57">
        <f>AI183+AI329+AI558</f>
        <v>2.7</v>
      </c>
      <c r="AJ585" s="9">
        <f t="shared" si="2783"/>
        <v>68.75</v>
      </c>
      <c r="AK585" s="57">
        <f>AK183+AK329+AK558</f>
        <v>3</v>
      </c>
      <c r="AL585" s="9">
        <f t="shared" si="2785"/>
        <v>87.5</v>
      </c>
      <c r="AM585" s="57">
        <f>AM183+AM329+AM558</f>
        <v>3.3000000000000003</v>
      </c>
      <c r="AN585" s="9">
        <f t="shared" si="2786"/>
        <v>32</v>
      </c>
      <c r="AO585" s="57">
        <f>AO183+AO329+AO558</f>
        <v>1.5</v>
      </c>
      <c r="AP585" s="9" t="str">
        <f t="shared" si="2788"/>
        <v>NM</v>
      </c>
      <c r="AQ585" s="57">
        <f t="shared" ref="AQ585" si="2797">AQ183+AQ329+AQ558</f>
        <v>1.6404227112011665</v>
      </c>
      <c r="AR585" s="9">
        <f t="shared" si="2790"/>
        <v>-39.243603288845698</v>
      </c>
      <c r="AS585" s="57">
        <f t="shared" ref="AS585" si="2798">AS183+AS329+AS558</f>
        <v>1.6497113976008277</v>
      </c>
      <c r="AT585" s="9">
        <f t="shared" si="2791"/>
        <v>-45.009620079972414</v>
      </c>
      <c r="AU585" s="57">
        <f t="shared" ref="AU585" si="2799">AU183+AU329+AU558</f>
        <v>1.672492918457428</v>
      </c>
      <c r="AV585" s="9">
        <f t="shared" si="2792"/>
        <v>-49.31839641038097</v>
      </c>
      <c r="AW585" s="57">
        <f t="shared" ref="AW585" si="2800">AW183+AW329+AW558</f>
        <v>1.6869570079136094</v>
      </c>
      <c r="AX585" s="9">
        <f t="shared" si="2793"/>
        <v>12.463800527573966</v>
      </c>
      <c r="AY585" s="279"/>
      <c r="AZ585" s="15"/>
      <c r="BA585" s="9"/>
      <c r="BB585" s="57">
        <f>BB183+BB329+BB558</f>
        <v>23.200000000000003</v>
      </c>
      <c r="BC585" s="9" t="str">
        <f>IF(ISERROR(BB585/#REF!),"NA",IF(OR(BB585/#REF!&gt;2,BB585/#REF!&lt;0.5),"NM",BB585/#REF!*100-100))</f>
        <v>NA</v>
      </c>
      <c r="BD585" s="911">
        <f>BD183+BD329+BD558</f>
        <v>32.400000000000006</v>
      </c>
      <c r="BE585" s="9">
        <f t="shared" si="2794"/>
        <v>39.65517241379311</v>
      </c>
      <c r="BF585" s="57">
        <f>BF183+BF329+BF558</f>
        <v>8.2000000000000011</v>
      </c>
      <c r="BG585" s="9" t="str">
        <f t="shared" si="2794"/>
        <v>NM</v>
      </c>
      <c r="BH585" s="57">
        <f>BH183+BH329+BH558</f>
        <v>30.7</v>
      </c>
      <c r="BI585" s="9" t="str">
        <f t="shared" si="2794"/>
        <v>NM</v>
      </c>
      <c r="BJ585" s="57">
        <f>BJ183+BJ329+BJ558</f>
        <v>10.5</v>
      </c>
      <c r="BK585" s="9" t="str">
        <f t="shared" si="2794"/>
        <v>NM</v>
      </c>
      <c r="BL585" s="57">
        <f>BL183+BL329+BL558</f>
        <v>6.6495840351730315</v>
      </c>
      <c r="BM585" s="9">
        <f t="shared" si="2794"/>
        <v>-36.670628236447321</v>
      </c>
      <c r="BN585" s="57">
        <f>BN183+BN329+BN558</f>
        <v>7.0231840131013836</v>
      </c>
      <c r="BO585" s="9">
        <f t="shared" si="2794"/>
        <v>5.6183962177512399</v>
      </c>
      <c r="BP585" s="57">
        <f>BP183+BP329+BP558</f>
        <v>7.5179353542774416</v>
      </c>
      <c r="BQ585" s="9">
        <f t="shared" si="2794"/>
        <v>7.0445447570948545</v>
      </c>
      <c r="BR585" s="57">
        <f>BR183+BR329+BR558</f>
        <v>7.9347976774937923</v>
      </c>
      <c r="BS585" s="9">
        <f t="shared" si="2794"/>
        <v>5.5449043330649346</v>
      </c>
      <c r="BT585" s="57">
        <f>BT183+BT329+BT558</f>
        <v>8.3654416426187748</v>
      </c>
      <c r="BU585" s="9">
        <f t="shared" si="2795"/>
        <v>5.4272835002013835</v>
      </c>
      <c r="BV585" s="43">
        <f t="shared" si="2796"/>
        <v>-4.4435702456103066</v>
      </c>
      <c r="BW585" s="141"/>
      <c r="BX585" s="722"/>
      <c r="BY585"/>
      <c r="BZ585"/>
      <c r="CA585"/>
      <c r="CB585"/>
      <c r="CC585"/>
      <c r="CD585"/>
    </row>
    <row r="586" spans="1:83" s="2" customFormat="1" ht="12.75" customHeight="1" x14ac:dyDescent="0.2">
      <c r="A586" s="41"/>
      <c r="B586" s="158" t="s">
        <v>570</v>
      </c>
      <c r="C586" s="695">
        <f>C584-C585</f>
        <v>315</v>
      </c>
      <c r="D586" s="705" t="str">
        <f>IF(ISERROR(C586/#REF!),"NA",IF(OR(C586/#REF!&gt;2,C586/#REF!&lt;0.5),"NM",C586/#REF!*100-100))</f>
        <v>NA</v>
      </c>
      <c r="E586" s="695">
        <f t="shared" ref="E586:W586" si="2801">E584-E585</f>
        <v>366.29999999999995</v>
      </c>
      <c r="F586" s="9" t="str">
        <f>IF(ISERROR(E586/#REF!),"NA",IF(OR(E586/#REF!&gt;2,E586/#REF!&lt;0.5),"NM",E586/#REF!*100-100))</f>
        <v>NA</v>
      </c>
      <c r="G586" s="695">
        <f t="shared" si="2801"/>
        <v>360.10000000000014</v>
      </c>
      <c r="H586" s="9" t="str">
        <f>IF(ISERROR(G586/#REF!),"NA",IF(OR(G586/#REF!&gt;2,G586/#REF!&lt;0.5),"NM",G586/#REF!*100-100))</f>
        <v>NA</v>
      </c>
      <c r="I586" s="695">
        <f>I584-I585</f>
        <v>392.59999999999974</v>
      </c>
      <c r="J586" s="9" t="str">
        <f>IF(ISERROR(I586/#REF!),"NA",IF(OR(I586/#REF!&gt;2,I586/#REF!&lt;0.5),"NM",I586/#REF!*100-100))</f>
        <v>NA</v>
      </c>
      <c r="K586" s="695">
        <f t="shared" si="2801"/>
        <v>400.7000000000001</v>
      </c>
      <c r="L586" s="9">
        <f t="shared" si="2776"/>
        <v>27.20634920634923</v>
      </c>
      <c r="M586" s="695">
        <f t="shared" si="2801"/>
        <v>435</v>
      </c>
      <c r="N586" s="9">
        <f t="shared" si="2777"/>
        <v>18.755118755118772</v>
      </c>
      <c r="O586" s="695">
        <f t="shared" si="2801"/>
        <v>477.59999999999957</v>
      </c>
      <c r="P586" s="9">
        <f t="shared" si="2777"/>
        <v>32.629825048597439</v>
      </c>
      <c r="Q586" s="695">
        <f t="shared" si="2801"/>
        <v>410.00000000000063</v>
      </c>
      <c r="R586" s="9">
        <f t="shared" si="2777"/>
        <v>4.4319918492106183</v>
      </c>
      <c r="S586" s="695">
        <f t="shared" si="2801"/>
        <v>420.89999999999947</v>
      </c>
      <c r="T586" s="9">
        <f t="shared" si="2777"/>
        <v>5.0411779386072766</v>
      </c>
      <c r="U586" s="695">
        <f t="shared" si="2801"/>
        <v>429.49999999999989</v>
      </c>
      <c r="V586" s="9">
        <f t="shared" si="2777"/>
        <v>-1.2643678160919762</v>
      </c>
      <c r="W586" s="695">
        <f t="shared" si="2801"/>
        <v>398.79999999999944</v>
      </c>
      <c r="X586" s="9">
        <f t="shared" si="2777"/>
        <v>-16.499162479062008</v>
      </c>
      <c r="Y586" s="695">
        <f t="shared" ref="Y586:AA586" si="2802">Y584-Y585</f>
        <v>387.9</v>
      </c>
      <c r="Z586" s="9">
        <f t="shared" si="2777"/>
        <v>-5.3902439024391668</v>
      </c>
      <c r="AA586" s="695">
        <f t="shared" si="2802"/>
        <v>356.29999999999961</v>
      </c>
      <c r="AB586" s="9">
        <f t="shared" si="2777"/>
        <v>-15.348063673081484</v>
      </c>
      <c r="AC586" s="695">
        <f t="shared" ref="AC586:AE586" si="2803">AC584-AC585</f>
        <v>431.1999999999997</v>
      </c>
      <c r="AD586" s="9">
        <f t="shared" si="2780"/>
        <v>0.39580908032593243</v>
      </c>
      <c r="AE586" s="695">
        <f t="shared" si="2803"/>
        <v>416.40000000000009</v>
      </c>
      <c r="AF586" s="9">
        <f t="shared" si="2780"/>
        <v>4.4132397191576302</v>
      </c>
      <c r="AG586" s="695">
        <f t="shared" ref="AG586:AI586" si="2804">AG584-AG585</f>
        <v>464.80000000000018</v>
      </c>
      <c r="AH586" s="9">
        <f t="shared" si="2782"/>
        <v>19.824697086878103</v>
      </c>
      <c r="AI586" s="695">
        <f t="shared" si="2804"/>
        <v>472.80000000000047</v>
      </c>
      <c r="AJ586" s="9">
        <f t="shared" si="2783"/>
        <v>32.697165310132192</v>
      </c>
      <c r="AK586" s="695">
        <f t="shared" ref="AK586:AM586" si="2805">AK584-AK585</f>
        <v>494.5</v>
      </c>
      <c r="AL586" s="9">
        <f t="shared" si="2785"/>
        <v>14.679962894248689</v>
      </c>
      <c r="AM586" s="695">
        <f t="shared" si="2805"/>
        <v>452.89999999999981</v>
      </c>
      <c r="AN586" s="9">
        <f t="shared" si="2786"/>
        <v>8.7656099903937701</v>
      </c>
      <c r="AO586" s="695">
        <f t="shared" ref="AO586" si="2806">AO584-AO585</f>
        <v>453.5</v>
      </c>
      <c r="AP586" s="9">
        <f t="shared" si="2788"/>
        <v>-2.431153184165268</v>
      </c>
      <c r="AQ586" s="728">
        <f t="shared" ref="AQ586:AW586" si="2807">AQ584-AQ585</f>
        <v>491.99524432143244</v>
      </c>
      <c r="AR586" s="9">
        <f t="shared" si="2790"/>
        <v>4.0599078514026843</v>
      </c>
      <c r="AS586" s="728">
        <f t="shared" si="2807"/>
        <v>501.0639049550785</v>
      </c>
      <c r="AT586" s="9">
        <f t="shared" si="2791"/>
        <v>1.3273821951624853</v>
      </c>
      <c r="AU586" s="728">
        <f t="shared" si="2807"/>
        <v>519.63403221869112</v>
      </c>
      <c r="AV586" s="9">
        <f t="shared" si="2792"/>
        <v>14.734827162440126</v>
      </c>
      <c r="AW586" s="728">
        <f t="shared" si="2807"/>
        <v>537.4501252391517</v>
      </c>
      <c r="AX586" s="9">
        <f t="shared" si="2793"/>
        <v>18.511604242370836</v>
      </c>
      <c r="AY586" s="279"/>
      <c r="AZ586" s="15"/>
      <c r="BA586" s="9"/>
      <c r="BB586" s="695">
        <f>BB584-BB585</f>
        <v>1434.0000000000007</v>
      </c>
      <c r="BC586" s="9" t="str">
        <f>IF(ISERROR(BB586/#REF!),"NA",IF(OR(BB586/#REF!&gt;2,BB586/#REF!&lt;0.5),"NM",BB586/#REF!*100-100))</f>
        <v>NA</v>
      </c>
      <c r="BD586" s="912">
        <f t="shared" ref="BD586" si="2808">BD584-BD585</f>
        <v>1723.299999999997</v>
      </c>
      <c r="BE586" s="9">
        <f t="shared" si="2794"/>
        <v>20.1743375174335</v>
      </c>
      <c r="BF586" s="695">
        <f t="shared" ref="BF586" si="2809">BF584-BF585</f>
        <v>1637.0999999999992</v>
      </c>
      <c r="BG586" s="9">
        <f t="shared" si="2794"/>
        <v>-5.002030987059598</v>
      </c>
      <c r="BH586" s="695">
        <f>BH584-BH585</f>
        <v>1668.6999999999978</v>
      </c>
      <c r="BI586" s="9">
        <f t="shared" si="2794"/>
        <v>1.9302425019851199</v>
      </c>
      <c r="BJ586" s="695">
        <f>BJ584-BJ585</f>
        <v>1873.6999999999989</v>
      </c>
      <c r="BK586" s="9">
        <f t="shared" si="2794"/>
        <v>12.285012285012371</v>
      </c>
      <c r="BL586" s="695">
        <f>BL584-BL585</f>
        <v>2050.1433067343546</v>
      </c>
      <c r="BM586" s="9">
        <f t="shared" si="2794"/>
        <v>9.4168387006647691</v>
      </c>
      <c r="BN586" s="695">
        <f t="shared" ref="BN586" si="2810">BN584-BN585</f>
        <v>2152.5429853267619</v>
      </c>
      <c r="BO586" s="9">
        <f t="shared" si="2794"/>
        <v>4.9947571106879565</v>
      </c>
      <c r="BP586" s="695">
        <f t="shared" ref="BP586:BR586" si="2811">BP584-BP585</f>
        <v>2262.121154110931</v>
      </c>
      <c r="BQ586" s="9">
        <f t="shared" si="2794"/>
        <v>5.0906378888194297</v>
      </c>
      <c r="BR586" s="695">
        <f t="shared" si="2811"/>
        <v>2364.8769688981479</v>
      </c>
      <c r="BS586" s="9">
        <f t="shared" si="2794"/>
        <v>4.5424540856478899</v>
      </c>
      <c r="BT586" s="695">
        <f t="shared" ref="BT586" si="2812">BT584-BT585</f>
        <v>2470.4230345843162</v>
      </c>
      <c r="BU586" s="9">
        <f t="shared" si="2795"/>
        <v>4.4630679343689081</v>
      </c>
      <c r="BV586" s="43">
        <f t="shared" si="2796"/>
        <v>5.6852196278541989</v>
      </c>
      <c r="BW586" s="141"/>
      <c r="BX586" s="722"/>
      <c r="BY586"/>
      <c r="BZ586"/>
      <c r="CA586"/>
      <c r="CB586"/>
      <c r="CC586"/>
      <c r="CD586"/>
    </row>
    <row r="587" spans="1:83" s="2" customFormat="1" ht="12.75" customHeight="1" x14ac:dyDescent="0.2">
      <c r="A587" s="41"/>
      <c r="B587" s="159" t="s">
        <v>53</v>
      </c>
      <c r="C587" s="691">
        <f t="shared" ref="C587" si="2813">C704</f>
        <v>81.699999999999989</v>
      </c>
      <c r="D587" s="705" t="str">
        <f>IF(ISERROR(C587/#REF!),"NA",IF(OR(C587/#REF!&gt;2,C587/#REF!&lt;0.5),"NM",C587/#REF!*100-100))</f>
        <v>NA</v>
      </c>
      <c r="E587" s="691">
        <f>E704</f>
        <v>94.900000000000034</v>
      </c>
      <c r="F587" s="9" t="str">
        <f>IF(ISERROR(E587/#REF!),"NA",IF(OR(E587/#REF!&gt;2,E587/#REF!&lt;0.5),"NM",E587/#REF!*100-100))</f>
        <v>NA</v>
      </c>
      <c r="G587" s="691">
        <f t="shared" ref="G587:W587" si="2814">G704</f>
        <v>90.900000000000205</v>
      </c>
      <c r="H587" s="9" t="str">
        <f>IF(ISERROR(G587/#REF!),"NA",IF(OR(G587/#REF!&gt;2,G587/#REF!&lt;0.5),"NM",G587/#REF!*100-100))</f>
        <v>NA</v>
      </c>
      <c r="I587" s="691">
        <f t="shared" si="2814"/>
        <v>106.59999999999997</v>
      </c>
      <c r="J587" s="9" t="str">
        <f>IF(ISERROR(I587/#REF!),"NA",IF(OR(I587/#REF!&gt;2,I587/#REF!&lt;0.5),"NM",I587/#REF!*100-100))</f>
        <v>NA</v>
      </c>
      <c r="K587" s="691">
        <f t="shared" si="2814"/>
        <v>83.700000000000102</v>
      </c>
      <c r="L587" s="9">
        <f t="shared" si="2776"/>
        <v>2.4479804161568097</v>
      </c>
      <c r="M587" s="691">
        <f t="shared" si="2814"/>
        <v>111.99999999999994</v>
      </c>
      <c r="N587" s="9">
        <f t="shared" si="2777"/>
        <v>18.018967334035722</v>
      </c>
      <c r="O587" s="691">
        <f t="shared" si="2814"/>
        <v>88.023076923077042</v>
      </c>
      <c r="P587" s="9">
        <f t="shared" si="2777"/>
        <v>-3.1649318778032551</v>
      </c>
      <c r="Q587" s="691">
        <f t="shared" si="2814"/>
        <v>74.469230769230904</v>
      </c>
      <c r="R587" s="9">
        <f t="shared" si="2777"/>
        <v>-30.141434550440025</v>
      </c>
      <c r="S587" s="691">
        <f t="shared" si="2814"/>
        <v>79.838461538461473</v>
      </c>
      <c r="T587" s="9">
        <f t="shared" si="2777"/>
        <v>-4.613546549030616</v>
      </c>
      <c r="U587" s="691">
        <f t="shared" si="2814"/>
        <v>90.715384615384608</v>
      </c>
      <c r="V587" s="9">
        <f t="shared" si="2777"/>
        <v>-19.004120879120848</v>
      </c>
      <c r="W587" s="691">
        <f t="shared" si="2814"/>
        <v>79</v>
      </c>
      <c r="X587" s="9">
        <f t="shared" si="2777"/>
        <v>-10.25080835445263</v>
      </c>
      <c r="Y587" s="691">
        <f t="shared" ref="Y587:AA587" si="2815">Y704</f>
        <v>84.700000000000045</v>
      </c>
      <c r="Z587" s="9">
        <f t="shared" si="2777"/>
        <v>13.738250180766315</v>
      </c>
      <c r="AA587" s="691">
        <f t="shared" si="2815"/>
        <v>69.999999999999972</v>
      </c>
      <c r="AB587" s="9">
        <f t="shared" si="2777"/>
        <v>-12.322959822718914</v>
      </c>
      <c r="AC587" s="691">
        <f t="shared" ref="AC587:AE587" si="2816">AC704</f>
        <v>94.099999999999937</v>
      </c>
      <c r="AD587" s="9">
        <f t="shared" si="2780"/>
        <v>3.7310268803527009</v>
      </c>
      <c r="AE587" s="691">
        <f t="shared" si="2816"/>
        <v>80.700000000000131</v>
      </c>
      <c r="AF587" s="9">
        <f t="shared" si="2780"/>
        <v>2.1518987341773794</v>
      </c>
      <c r="AG587" s="691">
        <f t="shared" ref="AG587:AI587" si="2817">AG704</f>
        <v>92.799999999999841</v>
      </c>
      <c r="AH587" s="9">
        <f t="shared" si="2782"/>
        <v>9.5631641086184231</v>
      </c>
      <c r="AI587" s="691">
        <f t="shared" si="2817"/>
        <v>102.30000000000003</v>
      </c>
      <c r="AJ587" s="9">
        <f t="shared" si="2783"/>
        <v>46.142857142857252</v>
      </c>
      <c r="AK587" s="691">
        <f t="shared" ref="AK587:AM587" si="2818">AK704</f>
        <v>110.90000000000009</v>
      </c>
      <c r="AL587" s="9">
        <f t="shared" si="2785"/>
        <v>17.853347502656931</v>
      </c>
      <c r="AM587" s="691">
        <f t="shared" si="2818"/>
        <v>79.200000000000159</v>
      </c>
      <c r="AN587" s="9">
        <f t="shared" si="2786"/>
        <v>-1.8587360594795115</v>
      </c>
      <c r="AO587" s="691">
        <f t="shared" ref="AO587" si="2819">AO704</f>
        <v>102.69999999999973</v>
      </c>
      <c r="AP587" s="9">
        <f t="shared" si="2788"/>
        <v>10.668103448275758</v>
      </c>
      <c r="AQ587" s="691">
        <f t="shared" ref="AQ587:AW587" si="2820">AQ704</f>
        <v>93.47909642107237</v>
      </c>
      <c r="AR587" s="9">
        <f t="shared" si="2790"/>
        <v>-8.6225841436242945</v>
      </c>
      <c r="AS587" s="691">
        <f t="shared" si="2820"/>
        <v>95.20214194146493</v>
      </c>
      <c r="AT587" s="9">
        <f t="shared" si="2791"/>
        <v>-14.154966689391486</v>
      </c>
      <c r="AU587" s="691">
        <f t="shared" si="2820"/>
        <v>98.730466121551359</v>
      </c>
      <c r="AV587" s="9">
        <f t="shared" si="2792"/>
        <v>24.659679446402976</v>
      </c>
      <c r="AW587" s="691">
        <f t="shared" si="2820"/>
        <v>102.1155237954388</v>
      </c>
      <c r="AX587" s="9">
        <f t="shared" si="2793"/>
        <v>-0.56911022839429393</v>
      </c>
      <c r="AY587" s="279"/>
      <c r="AZ587" s="15"/>
      <c r="BA587" s="691">
        <f>+BA704</f>
        <v>0</v>
      </c>
      <c r="BB587" s="691">
        <f>+BB704</f>
        <v>374.10000000000019</v>
      </c>
      <c r="BC587" s="9" t="str">
        <f>IF(ISERROR(BB587/#REF!),"NA",IF(OR(BB587/#REF!&gt;2,BB587/#REF!&lt;0.5),"NM",BB587/#REF!*100-100))</f>
        <v>NA</v>
      </c>
      <c r="BD587" s="930">
        <f>+BD704</f>
        <v>358.19230769230796</v>
      </c>
      <c r="BE587" s="9">
        <f t="shared" si="2794"/>
        <v>-4.2522566981267715</v>
      </c>
      <c r="BF587" s="691">
        <f>+BF704</f>
        <v>334.2538461538461</v>
      </c>
      <c r="BG587" s="9">
        <f t="shared" si="2794"/>
        <v>-6.6831311070547343</v>
      </c>
      <c r="BH587" s="691">
        <f t="shared" ref="BH587:BP587" si="2821">+BH704</f>
        <v>337.59999999999991</v>
      </c>
      <c r="BI587" s="9">
        <f t="shared" si="2794"/>
        <v>1.001081628426121</v>
      </c>
      <c r="BJ587" s="691">
        <f t="shared" ref="BJ587" si="2822">+BJ704</f>
        <v>395.1</v>
      </c>
      <c r="BK587" s="9">
        <f t="shared" si="2794"/>
        <v>17.031990521327046</v>
      </c>
      <c r="BL587" s="691">
        <f t="shared" ref="BL587" si="2823">+BL704</f>
        <v>389.52722827952744</v>
      </c>
      <c r="BM587" s="9">
        <f t="shared" si="2794"/>
        <v>-1.4104712023468977</v>
      </c>
      <c r="BN587" s="691">
        <f t="shared" si="2821"/>
        <v>408.9831672120846</v>
      </c>
      <c r="BO587" s="9">
        <f t="shared" si="2794"/>
        <v>4.9947571106878854</v>
      </c>
      <c r="BP587" s="691">
        <f t="shared" si="2821"/>
        <v>429.80301928107713</v>
      </c>
      <c r="BQ587" s="9">
        <f t="shared" si="2794"/>
        <v>5.0906378888195434</v>
      </c>
      <c r="BR587" s="691">
        <f t="shared" ref="BR587:BT587" si="2824">+BR704</f>
        <v>449.32662409064835</v>
      </c>
      <c r="BS587" s="9">
        <f t="shared" si="2794"/>
        <v>4.5424540856478899</v>
      </c>
      <c r="BT587" s="691">
        <f t="shared" si="2824"/>
        <v>469.38037657102035</v>
      </c>
      <c r="BU587" s="9">
        <f t="shared" si="2795"/>
        <v>4.4630679343689081</v>
      </c>
      <c r="BV587" s="43">
        <f t="shared" si="2796"/>
        <v>3.5055362842796756</v>
      </c>
      <c r="BW587" s="141"/>
      <c r="BX587" s="722"/>
      <c r="BY587"/>
      <c r="BZ587"/>
      <c r="CA587"/>
      <c r="CB587"/>
      <c r="CC587"/>
      <c r="CD587"/>
    </row>
    <row r="588" spans="1:83" s="2" customFormat="1" ht="12.75" customHeight="1" x14ac:dyDescent="0.2">
      <c r="A588" s="41"/>
      <c r="B588" s="159" t="s">
        <v>407</v>
      </c>
      <c r="C588" s="694">
        <f>+C587/C584*100</f>
        <v>25.651491365777073</v>
      </c>
      <c r="D588" s="709" t="str">
        <f>IF(ISERROR(C588/#REF!),"NA",IF(OR(C588/#REF!&gt;2,C588/#REF!&lt;0.5),"NM",C588/#REF!*100-100))</f>
        <v>NA</v>
      </c>
      <c r="E588" s="694">
        <f t="shared" ref="E588:W588" si="2825">+E587/E584*100</f>
        <v>25.490196078431389</v>
      </c>
      <c r="F588" s="9" t="str">
        <f>IF(ISERROR(E588/#REF!),"NA",IF(OR(E588/#REF!&gt;2,E588/#REF!&lt;0.5),"NM",E588/#REF!*100-100))</f>
        <v>NA</v>
      </c>
      <c r="G588" s="694">
        <f t="shared" si="2825"/>
        <v>24.897288414133161</v>
      </c>
      <c r="H588" s="9" t="str">
        <f>IF(ISERROR(G588/#REF!),"NA",IF(OR(G588/#REF!&gt;2,G588/#REF!&lt;0.5),"NM",G588/#REF!*100-100))</f>
        <v>NA</v>
      </c>
      <c r="I588" s="694">
        <f t="shared" si="2825"/>
        <v>26.56366807874409</v>
      </c>
      <c r="J588" s="9" t="str">
        <f>IF(ISERROR(I588/#REF!),"NA",IF(OR(I588/#REF!&gt;2,I588/#REF!&lt;0.5),"NM",I588/#REF!*100-100))</f>
        <v>NA</v>
      </c>
      <c r="K588" s="694">
        <f t="shared" si="2825"/>
        <v>19.791912981792407</v>
      </c>
      <c r="L588" s="9">
        <f t="shared" si="2776"/>
        <v>-22.843032011005093</v>
      </c>
      <c r="M588" s="694">
        <f t="shared" si="2825"/>
        <v>25.483503981797483</v>
      </c>
      <c r="N588" s="129">
        <f t="shared" si="2777"/>
        <v>-2.6253609871474737E-2</v>
      </c>
      <c r="O588" s="694">
        <f t="shared" si="2825"/>
        <v>18.243124750896815</v>
      </c>
      <c r="P588" s="129">
        <f t="shared" si="2777"/>
        <v>-26.726459333856823</v>
      </c>
      <c r="Q588" s="694">
        <f t="shared" si="2825"/>
        <v>18.127855591341476</v>
      </c>
      <c r="R588" s="129">
        <f t="shared" si="2777"/>
        <v>-31.756956390193878</v>
      </c>
      <c r="S588" s="694">
        <f t="shared" si="2825"/>
        <v>18.892205759219493</v>
      </c>
      <c r="T588" s="129">
        <f t="shared" si="2777"/>
        <v>-4.5458325498934897</v>
      </c>
      <c r="U588" s="694">
        <f t="shared" si="2825"/>
        <v>20.730206721980032</v>
      </c>
      <c r="V588" s="129">
        <f t="shared" si="2777"/>
        <v>-18.652447729372952</v>
      </c>
      <c r="W588" s="694">
        <f t="shared" si="2825"/>
        <v>19.969666329625912</v>
      </c>
      <c r="X588" s="129">
        <f t="shared" si="2777"/>
        <v>9.4640671612149276</v>
      </c>
      <c r="Y588" s="694">
        <f t="shared" ref="Y588:AA588" si="2826">+Y587/Y584*100</f>
        <v>21.745827984595646</v>
      </c>
      <c r="Z588" s="129">
        <f t="shared" si="2777"/>
        <v>19.958082604002243</v>
      </c>
      <c r="AA588" s="694">
        <f t="shared" si="2826"/>
        <v>19.558535903883779</v>
      </c>
      <c r="AB588" s="129">
        <f t="shared" si="2777"/>
        <v>3.5270108379965848</v>
      </c>
      <c r="AC588" s="694">
        <f t="shared" ref="AC588:AE588" si="2827">+AC587/AC584*100</f>
        <v>21.74214417744917</v>
      </c>
      <c r="AD588" s="129">
        <f t="shared" si="2780"/>
        <v>4.8814634076764349</v>
      </c>
      <c r="AE588" s="694">
        <f t="shared" si="2827"/>
        <v>19.264740988302727</v>
      </c>
      <c r="AF588" s="129">
        <f t="shared" si="2780"/>
        <v>-3.5299805699677478</v>
      </c>
      <c r="AG588" s="694">
        <f t="shared" ref="AG588:AI588" si="2828">+AG587/AG584*100</f>
        <v>18.946508779093467</v>
      </c>
      <c r="AH588" s="129">
        <f t="shared" si="2782"/>
        <v>-12.872902367687118</v>
      </c>
      <c r="AI588" s="694">
        <f t="shared" si="2828"/>
        <v>21.514195583596198</v>
      </c>
      <c r="AJ588" s="129">
        <f t="shared" si="2783"/>
        <v>9.9990085624153409</v>
      </c>
      <c r="AK588" s="694">
        <f t="shared" ref="AK588:AM588" si="2829">+AK587/AK584*100</f>
        <v>22.291457286432177</v>
      </c>
      <c r="AL588" s="129">
        <f t="shared" si="2785"/>
        <v>2.5264900485424562</v>
      </c>
      <c r="AM588" s="694">
        <f t="shared" si="2829"/>
        <v>17.360806663744015</v>
      </c>
      <c r="AN588" s="129">
        <f t="shared" si="2786"/>
        <v>-9.8829998582111926</v>
      </c>
      <c r="AO588" s="694">
        <f t="shared" ref="AO588" si="2830">+AO587/AO584*100</f>
        <v>22.571428571428513</v>
      </c>
      <c r="AP588" s="129">
        <f t="shared" si="2788"/>
        <v>19.132389162561523</v>
      </c>
      <c r="AQ588" s="694">
        <f t="shared" ref="AQ588:AW588" si="2831">+AQ587/AQ584*100</f>
        <v>18.936860252217674</v>
      </c>
      <c r="AR588" s="129">
        <f t="shared" si="2790"/>
        <v>-11.979696481627471</v>
      </c>
      <c r="AS588" s="694">
        <f t="shared" si="2831"/>
        <v>18.937649358332827</v>
      </c>
      <c r="AT588" s="129">
        <f t="shared" si="2791"/>
        <v>-15.045260993953335</v>
      </c>
      <c r="AU588" s="694">
        <f t="shared" si="2831"/>
        <v>18.939042839637722</v>
      </c>
      <c r="AV588" s="129">
        <f t="shared" si="2792"/>
        <v>9.0907997909432652</v>
      </c>
      <c r="AW588" s="694">
        <f t="shared" si="2831"/>
        <v>18.940549102991078</v>
      </c>
      <c r="AX588" s="129">
        <f t="shared" si="2793"/>
        <v>-16.086174860165897</v>
      </c>
      <c r="AY588" s="279"/>
      <c r="AZ588" s="15"/>
      <c r="BA588" s="694" t="e">
        <f>+BA587/BA584*100</f>
        <v>#VALUE!</v>
      </c>
      <c r="BB588" s="694">
        <f>+BB587/BB584*100</f>
        <v>25.672522646170737</v>
      </c>
      <c r="BC588" s="9" t="str">
        <f>IF(ISERROR(BB588/#REF!),"NA",IF(OR(BB588/#REF!&gt;2,BB588/#REF!&lt;0.5),"NM",BB588/#REF!*100-100))</f>
        <v>NA</v>
      </c>
      <c r="BD588" s="916">
        <f>+BD587/BD584*100</f>
        <v>20.401680679632541</v>
      </c>
      <c r="BE588" s="9">
        <f t="shared" si="2794"/>
        <v>-20.531063655812503</v>
      </c>
      <c r="BF588" s="694">
        <f>+BF587/BF584*100</f>
        <v>20.315677758089482</v>
      </c>
      <c r="BG588" s="9">
        <f t="shared" si="2794"/>
        <v>-0.42154821896079397</v>
      </c>
      <c r="BH588" s="694">
        <f t="shared" ref="BH588:BP588" si="2832">+BH587/BH584*100</f>
        <v>19.865835000588465</v>
      </c>
      <c r="BI588" s="9">
        <f t="shared" si="2794"/>
        <v>-2.214264091297153</v>
      </c>
      <c r="BJ588" s="694">
        <f t="shared" ref="BJ588" si="2833">+BJ587/BJ584*100</f>
        <v>20.969111559282467</v>
      </c>
      <c r="BK588" s="9">
        <f t="shared" si="2794"/>
        <v>5.5536379853216431</v>
      </c>
      <c r="BL588" s="694">
        <f t="shared" ref="BL588" si="2834">+BL587/BL584*100</f>
        <v>18.938573252934081</v>
      </c>
      <c r="BM588" s="9">
        <f t="shared" si="2794"/>
        <v>-9.6834732392347007</v>
      </c>
      <c r="BN588" s="694">
        <f t="shared" si="2832"/>
        <v>18.938209582024644</v>
      </c>
      <c r="BO588" s="9">
        <f t="shared" si="2794"/>
        <v>-1.9202656112469185E-3</v>
      </c>
      <c r="BP588" s="694">
        <f t="shared" si="2832"/>
        <v>18.937064543700245</v>
      </c>
      <c r="BQ588" s="9">
        <f t="shared" si="2794"/>
        <v>-6.0461804450966383E-3</v>
      </c>
      <c r="BR588" s="694">
        <f t="shared" ref="BR588:BT588" si="2835">+BR587/BR584*100</f>
        <v>18.936463078110098</v>
      </c>
      <c r="BS588" s="9">
        <f t="shared" si="2794"/>
        <v>-3.176128954734736E-3</v>
      </c>
      <c r="BT588" s="694">
        <f t="shared" si="2835"/>
        <v>18.935878598462882</v>
      </c>
      <c r="BU588" s="9">
        <f t="shared" si="2795"/>
        <v>-3.086530176233282E-3</v>
      </c>
      <c r="BV588" s="43">
        <f t="shared" si="2796"/>
        <v>-2.0191763151550357</v>
      </c>
      <c r="BW588" s="141"/>
      <c r="BX588" s="722"/>
      <c r="BY588"/>
      <c r="BZ588"/>
      <c r="CA588"/>
      <c r="CB588"/>
      <c r="CC588"/>
      <c r="CD588"/>
    </row>
    <row r="589" spans="1:83" s="4" customFormat="1" ht="12.75" customHeight="1" x14ac:dyDescent="0.2">
      <c r="A589" s="66"/>
      <c r="B589" s="161" t="s">
        <v>408</v>
      </c>
      <c r="C589" s="695">
        <f>+C586-C587</f>
        <v>233.3</v>
      </c>
      <c r="D589" s="705" t="str">
        <f>IF(ISERROR(C589/#REF!),"NA",IF(OR(C589/#REF!&gt;2,C589/#REF!&lt;0.5),"NM",C589/#REF!*100-100))</f>
        <v>NA</v>
      </c>
      <c r="E589" s="695">
        <f t="shared" ref="E589:W589" si="2836">+E586-E587</f>
        <v>271.39999999999992</v>
      </c>
      <c r="F589" s="9" t="str">
        <f>IF(ISERROR(E589/#REF!),"NA",IF(OR(E589/#REF!&gt;2,E589/#REF!&lt;0.5),"NM",E589/#REF!*100-100))</f>
        <v>NA</v>
      </c>
      <c r="G589" s="695">
        <f t="shared" si="2836"/>
        <v>269.19999999999993</v>
      </c>
      <c r="H589" s="9" t="str">
        <f>IF(ISERROR(G589/#REF!),"NA",IF(OR(G589/#REF!&gt;2,G589/#REF!&lt;0.5),"NM",G589/#REF!*100-100))</f>
        <v>NA</v>
      </c>
      <c r="I589" s="695">
        <f t="shared" si="2836"/>
        <v>285.99999999999977</v>
      </c>
      <c r="J589" s="9" t="str">
        <f>IF(ISERROR(I589/#REF!),"NA",IF(OR(I589/#REF!&gt;2,I589/#REF!&lt;0.5),"NM",I589/#REF!*100-100))</f>
        <v>NA</v>
      </c>
      <c r="K589" s="695">
        <f t="shared" si="2836"/>
        <v>317</v>
      </c>
      <c r="L589" s="9">
        <f t="shared" si="2776"/>
        <v>35.87655379339904</v>
      </c>
      <c r="M589" s="695">
        <f t="shared" si="2836"/>
        <v>323.00000000000006</v>
      </c>
      <c r="N589" s="9">
        <f t="shared" si="2777"/>
        <v>19.012527634487881</v>
      </c>
      <c r="O589" s="695">
        <f t="shared" si="2836"/>
        <v>389.57692307692253</v>
      </c>
      <c r="P589" s="9">
        <f t="shared" si="2777"/>
        <v>44.716539033032177</v>
      </c>
      <c r="Q589" s="695">
        <f>+Q586-Q587</f>
        <v>335.53076923076969</v>
      </c>
      <c r="R589" s="9">
        <f t="shared" si="2777"/>
        <v>17.318450779989504</v>
      </c>
      <c r="S589" s="695">
        <f t="shared" si="2836"/>
        <v>341.06153846153802</v>
      </c>
      <c r="T589" s="9">
        <f t="shared" si="2777"/>
        <v>7.5903906818731883</v>
      </c>
      <c r="U589" s="695">
        <f t="shared" si="2836"/>
        <v>338.78461538461528</v>
      </c>
      <c r="V589" s="9">
        <f t="shared" si="2777"/>
        <v>4.8868778280542386</v>
      </c>
      <c r="W589" s="695">
        <f t="shared" si="2836"/>
        <v>319.79999999999944</v>
      </c>
      <c r="X589" s="9">
        <f t="shared" si="2777"/>
        <v>-17.910948760983345</v>
      </c>
      <c r="Y589" s="695">
        <f t="shared" ref="Y589:AA589" si="2837">+Y586-Y587</f>
        <v>303.19999999999993</v>
      </c>
      <c r="Z589" s="9">
        <f t="shared" si="2777"/>
        <v>-9.6357092092896721</v>
      </c>
      <c r="AA589" s="695">
        <f t="shared" si="2837"/>
        <v>286.29999999999961</v>
      </c>
      <c r="AB589" s="9">
        <f t="shared" si="2777"/>
        <v>-16.056204610041064</v>
      </c>
      <c r="AC589" s="695">
        <f t="shared" ref="AC589:AE589" si="2838">+AC586-AC587</f>
        <v>337.0999999999998</v>
      </c>
      <c r="AD589" s="9">
        <f t="shared" si="2780"/>
        <v>-0.49725262249673108</v>
      </c>
      <c r="AE589" s="695">
        <f t="shared" si="2838"/>
        <v>335.69999999999993</v>
      </c>
      <c r="AF589" s="9">
        <f t="shared" si="2780"/>
        <v>4.9718574108819524</v>
      </c>
      <c r="AG589" s="695">
        <f t="shared" ref="AG589:AI589" si="2839">+AG586-AG587</f>
        <v>372.00000000000034</v>
      </c>
      <c r="AH589" s="9">
        <f t="shared" si="2782"/>
        <v>22.691292875989589</v>
      </c>
      <c r="AI589" s="695">
        <f t="shared" si="2839"/>
        <v>370.50000000000045</v>
      </c>
      <c r="AJ589" s="9">
        <f t="shared" si="2783"/>
        <v>29.409710094307002</v>
      </c>
      <c r="AK589" s="695">
        <f t="shared" ref="AK589:AM589" si="2840">+AK586-AK587</f>
        <v>383.59999999999991</v>
      </c>
      <c r="AL589" s="9">
        <f t="shared" si="2785"/>
        <v>13.794126371996484</v>
      </c>
      <c r="AM589" s="695">
        <f t="shared" si="2840"/>
        <v>373.69999999999965</v>
      </c>
      <c r="AN589" s="9">
        <f t="shared" si="2786"/>
        <v>11.319630622579609</v>
      </c>
      <c r="AO589" s="695">
        <f t="shared" ref="AO589" si="2841">+AO586-AO587</f>
        <v>350.8000000000003</v>
      </c>
      <c r="AP589" s="9">
        <f t="shared" si="2788"/>
        <v>-5.6989247311827995</v>
      </c>
      <c r="AQ589" s="695">
        <f t="shared" ref="AQ589:AW589" si="2842">+AQ586-AQ587</f>
        <v>398.51614790036007</v>
      </c>
      <c r="AR589" s="9">
        <f t="shared" si="2790"/>
        <v>7.5617133334303901</v>
      </c>
      <c r="AS589" s="695">
        <f t="shared" si="2842"/>
        <v>405.86176301361354</v>
      </c>
      <c r="AT589" s="9">
        <f t="shared" si="2791"/>
        <v>5.8033793049044817</v>
      </c>
      <c r="AU589" s="695">
        <f t="shared" si="2842"/>
        <v>420.90356609713979</v>
      </c>
      <c r="AV589" s="9">
        <f t="shared" si="2792"/>
        <v>12.63140650177688</v>
      </c>
      <c r="AW589" s="695">
        <f t="shared" si="2842"/>
        <v>435.33460144371293</v>
      </c>
      <c r="AX589" s="9">
        <f t="shared" si="2793"/>
        <v>24.097662897295493</v>
      </c>
      <c r="AY589" s="285"/>
      <c r="AZ589" s="79"/>
      <c r="BA589" s="695" t="e">
        <f>+BA584-BA587</f>
        <v>#VALUE!</v>
      </c>
      <c r="BB589" s="695">
        <f>+BB584-BB587</f>
        <v>1083.1000000000006</v>
      </c>
      <c r="BC589" s="9" t="str">
        <f>IF(ISERROR(BB589/#REF!),"NA",IF(OR(BB589/#REF!&gt;2,BB589/#REF!&lt;0.5),"NM",BB589/#REF!*100-100))</f>
        <v>NA</v>
      </c>
      <c r="BD589" s="912">
        <f>+BD584-BD587</f>
        <v>1397.507692307689</v>
      </c>
      <c r="BE589" s="9">
        <f t="shared" si="2794"/>
        <v>29.028500813192522</v>
      </c>
      <c r="BF589" s="704">
        <f>+BF584-BF587</f>
        <v>1311.0461538461532</v>
      </c>
      <c r="BG589" s="9">
        <f t="shared" si="2794"/>
        <v>-6.1868381073998222</v>
      </c>
      <c r="BH589" s="695">
        <f>+BH584-BH587</f>
        <v>1361.7999999999979</v>
      </c>
      <c r="BI589" s="9">
        <f t="shared" si="2794"/>
        <v>3.8712478584335628</v>
      </c>
      <c r="BJ589" s="695">
        <f>+BJ584-BJ587</f>
        <v>1489.099999999999</v>
      </c>
      <c r="BK589" s="9">
        <f t="shared" si="2794"/>
        <v>9.3479218681158187</v>
      </c>
      <c r="BL589" s="695">
        <f>+BL584-BL587</f>
        <v>1667.2656624900003</v>
      </c>
      <c r="BM589" s="9">
        <f t="shared" si="2794"/>
        <v>11.964653984957451</v>
      </c>
      <c r="BN589" s="695">
        <f>+BN584-BN587</f>
        <v>1750.5830021277789</v>
      </c>
      <c r="BO589" s="9">
        <f t="shared" si="2794"/>
        <v>4.99724438115922</v>
      </c>
      <c r="BP589" s="695">
        <f>+BP584-BP587</f>
        <v>1839.8360701841316</v>
      </c>
      <c r="BQ589" s="9">
        <f t="shared" si="2794"/>
        <v>5.098476790181806</v>
      </c>
      <c r="BR589" s="695">
        <f>+BR584-BR587</f>
        <v>1923.4851424849935</v>
      </c>
      <c r="BS589" s="9">
        <f t="shared" si="2794"/>
        <v>4.5465502963256057</v>
      </c>
      <c r="BT589" s="695">
        <f>+BT584-BT587</f>
        <v>2009.4080996559146</v>
      </c>
      <c r="BU589" s="9">
        <f t="shared" si="2795"/>
        <v>4.4670455348521756</v>
      </c>
      <c r="BV589" s="43">
        <f t="shared" si="2796"/>
        <v>6.176610458698395</v>
      </c>
      <c r="BW589" s="141"/>
      <c r="BX589" s="176"/>
      <c r="BY589"/>
      <c r="BZ589"/>
      <c r="CA589"/>
      <c r="CB589"/>
      <c r="CC589"/>
      <c r="CD589"/>
      <c r="CE589" s="2"/>
    </row>
    <row r="590" spans="1:83" s="4" customFormat="1" ht="12.75" customHeight="1" x14ac:dyDescent="0.2">
      <c r="A590" s="66"/>
      <c r="B590" s="161"/>
      <c r="C590" s="695"/>
      <c r="D590" s="705"/>
      <c r="E590" s="695"/>
      <c r="F590" s="9"/>
      <c r="G590" s="695"/>
      <c r="H590" s="9"/>
      <c r="I590" s="695"/>
      <c r="J590" s="9"/>
      <c r="K590" s="695"/>
      <c r="L590" s="9"/>
      <c r="M590" s="695"/>
      <c r="N590" s="9"/>
      <c r="O590" s="695"/>
      <c r="P590" s="9"/>
      <c r="Q590" s="695"/>
      <c r="R590" s="9"/>
      <c r="S590" s="695"/>
      <c r="T590" s="9"/>
      <c r="U590" s="695"/>
      <c r="V590" s="9"/>
      <c r="W590" s="695"/>
      <c r="X590" s="9"/>
      <c r="Y590" s="695"/>
      <c r="Z590" s="9"/>
      <c r="AA590" s="695"/>
      <c r="AB590" s="9"/>
      <c r="AC590" s="695"/>
      <c r="AD590" s="9"/>
      <c r="AE590" s="695"/>
      <c r="AF590" s="9"/>
      <c r="AG590" s="695"/>
      <c r="AH590" s="9"/>
      <c r="AI590" s="695"/>
      <c r="AJ590" s="9"/>
      <c r="AK590" s="695"/>
      <c r="AL590" s="9"/>
      <c r="AM590" s="695"/>
      <c r="AN590" s="9"/>
      <c r="AO590" s="695"/>
      <c r="AP590" s="9"/>
      <c r="AQ590" s="695"/>
      <c r="AR590" s="9"/>
      <c r="AS590" s="695"/>
      <c r="AT590" s="9"/>
      <c r="AU590" s="695"/>
      <c r="AV590" s="9"/>
      <c r="AW590" s="695"/>
      <c r="AX590" s="9"/>
      <c r="AY590" s="285"/>
      <c r="AZ590" s="79"/>
      <c r="BA590" s="9"/>
      <c r="BB590" s="695"/>
      <c r="BC590" s="9"/>
      <c r="BD590" s="912"/>
      <c r="BE590" s="9"/>
      <c r="BF590" s="704"/>
      <c r="BG590" s="9"/>
      <c r="BH590" s="695"/>
      <c r="BI590" s="9"/>
      <c r="BJ590" s="695"/>
      <c r="BK590" s="9"/>
      <c r="BL590" s="695"/>
      <c r="BM590" s="9"/>
      <c r="BN590" s="695"/>
      <c r="BO590" s="9"/>
      <c r="BP590" s="695"/>
      <c r="BQ590" s="9"/>
      <c r="BR590" s="695"/>
      <c r="BS590" s="9"/>
      <c r="BT590" s="695"/>
      <c r="BU590" s="9"/>
      <c r="BV590" s="43"/>
      <c r="BW590" s="141"/>
      <c r="BX590" s="176"/>
      <c r="BY590"/>
      <c r="BZ590"/>
      <c r="CA590"/>
      <c r="CB590"/>
      <c r="CC590"/>
      <c r="CD590"/>
      <c r="CE590" s="2"/>
    </row>
    <row r="591" spans="1:83" s="4" customFormat="1" ht="12.75" customHeight="1" x14ac:dyDescent="0.2">
      <c r="A591" s="66"/>
      <c r="B591" s="157" t="s">
        <v>638</v>
      </c>
      <c r="C591" s="701">
        <f>C586/(C575-C578)*100</f>
        <v>28.514528831356927</v>
      </c>
      <c r="D591" s="705"/>
      <c r="E591" s="701">
        <f>E586/(E575-E578)*100</f>
        <v>31.147959183673468</v>
      </c>
      <c r="F591" s="9"/>
      <c r="G591" s="701">
        <f>G586/(G575-G578)*100</f>
        <v>31.059168535449373</v>
      </c>
      <c r="H591" s="9"/>
      <c r="I591" s="701">
        <f>I586/(I575-I578)*100</f>
        <v>29.985488428931472</v>
      </c>
      <c r="J591" s="9"/>
      <c r="K591" s="701">
        <f>K586/(K575-K578)*100</f>
        <v>32.254688883522505</v>
      </c>
      <c r="L591" s="9"/>
      <c r="M591" s="701">
        <f>M586/(M575-M578)*100</f>
        <v>34.777742244963214</v>
      </c>
      <c r="N591" s="9"/>
      <c r="O591" s="701">
        <f>O586/(O575-O578)*100</f>
        <v>33.961459148119154</v>
      </c>
      <c r="P591" s="9"/>
      <c r="Q591" s="701">
        <f>Q586/(Q575-Q578)*100</f>
        <v>31.121906786093867</v>
      </c>
      <c r="R591" s="9"/>
      <c r="S591" s="701">
        <f>S586/(S575-S578)*100</f>
        <v>32.622849170671174</v>
      </c>
      <c r="T591" s="9"/>
      <c r="U591" s="701">
        <f>U586/(U575-U578)*100</f>
        <v>32.491111279219304</v>
      </c>
      <c r="V591" s="9"/>
      <c r="W591" s="701">
        <f>W586/(W575-W578)*100</f>
        <v>29.63733650416167</v>
      </c>
      <c r="X591" s="9"/>
      <c r="Y591" s="701">
        <f>Y586/(Y575-Y578)*100</f>
        <v>29.446595308585739</v>
      </c>
      <c r="Z591" s="9"/>
      <c r="AA591" s="701">
        <f>AA586/(AA575-AA578)*100</f>
        <v>28.627671541057342</v>
      </c>
      <c r="AB591" s="9"/>
      <c r="AC591" s="701">
        <f>AC586/(AC575-AC578)*100</f>
        <v>32.176703231102138</v>
      </c>
      <c r="AD591" s="9"/>
      <c r="AE591" s="701">
        <f>AE586/(AE575-AE578)*100</f>
        <v>33.037131069501761</v>
      </c>
      <c r="AF591" s="9"/>
      <c r="AG591" s="701">
        <f>AG586/(AG575-AG578)*100</f>
        <v>32.318175497149234</v>
      </c>
      <c r="AH591" s="9"/>
      <c r="AI591" s="701">
        <f>AI586/(AI575-AI578)*100</f>
        <v>33.305156382079481</v>
      </c>
      <c r="AJ591" s="9"/>
      <c r="AK591" s="701">
        <f>AK586/(AK575-AK578)*100</f>
        <v>34.660405130721237</v>
      </c>
      <c r="AL591" s="9"/>
      <c r="AM591" s="701">
        <f>AM586/(AM575-AM578)*100</f>
        <v>32.3569336286347</v>
      </c>
      <c r="AN591" s="9"/>
      <c r="AO591" s="701">
        <f>AO586/(AO575-AO578)*100</f>
        <v>30.835656490106757</v>
      </c>
      <c r="AP591" s="9"/>
      <c r="AQ591" s="701">
        <f t="shared" ref="AQ591:AW591" si="2843">AQ586/(AQ575-AQ578)*100</f>
        <v>32.886487902589884</v>
      </c>
      <c r="AR591" s="9"/>
      <c r="AS591" s="701">
        <f t="shared" si="2843"/>
        <v>33.30190467022355</v>
      </c>
      <c r="AT591" s="9"/>
      <c r="AU591" s="701">
        <f t="shared" si="2843"/>
        <v>33.86228511622609</v>
      </c>
      <c r="AV591" s="9"/>
      <c r="AW591" s="701">
        <f t="shared" si="2843"/>
        <v>34.39734650125957</v>
      </c>
      <c r="AX591" s="9"/>
      <c r="AY591" s="285"/>
      <c r="AZ591" s="79"/>
      <c r="BA591" s="9"/>
      <c r="BB591" s="701">
        <f>BB586/(BB575-BB578)*100</f>
        <v>30.193287573167147</v>
      </c>
      <c r="BC591" s="9"/>
      <c r="BD591" s="701">
        <f>BD586/(BD575-BD578)*100</f>
        <v>33.033660481521196</v>
      </c>
      <c r="BE591" s="9"/>
      <c r="BF591" s="701">
        <f>BF586/(BF575-BF578)*100</f>
        <v>31.035071090047378</v>
      </c>
      <c r="BG591" s="9"/>
      <c r="BH591" s="701">
        <f>BH586/(BH575-BH578)*100</f>
        <v>31.584426400166528</v>
      </c>
      <c r="BI591" s="9"/>
      <c r="BJ591" s="701">
        <f>BJ586/(BJ575-BJ578)*100</f>
        <v>32.775902181328362</v>
      </c>
      <c r="BK591" s="9"/>
      <c r="BL591" s="701">
        <f>BL586/(BL575-BL578)*100</f>
        <v>33.621707253349484</v>
      </c>
      <c r="BM591" s="9"/>
      <c r="BN591" s="701">
        <f>BN586/(BN575-BN578)*100</f>
        <v>33.650765609474774</v>
      </c>
      <c r="BO591" s="9"/>
      <c r="BP591" s="701">
        <f>BP586/(BP575-BP578)*100</f>
        <v>33.577963558941917</v>
      </c>
      <c r="BQ591" s="9"/>
      <c r="BR591" s="701">
        <f>BR586/(BR575-BR578)*100</f>
        <v>33.385117877076461</v>
      </c>
      <c r="BS591" s="9"/>
      <c r="BT591" s="701">
        <f>BT586/(BT575-BT578)*100</f>
        <v>33.106598081509532</v>
      </c>
      <c r="BU591" s="9"/>
      <c r="BV591" s="43">
        <f>IF(ISERROR(((BT591/BJ591)^0.2-1)*100),"NA",IF((((BT591/BJ591)^0.2-1)*100)&gt;100,"NM",IF((((BT591/BJ591)^0.2-1)*100)&lt;-50,"NM",((BT591/BJ591)^0.2-1)*100)))</f>
        <v>0.20098259076064551</v>
      </c>
      <c r="BW591" s="141"/>
      <c r="BX591" s="176"/>
      <c r="BY591"/>
      <c r="BZ591"/>
      <c r="CA591"/>
      <c r="CB591"/>
      <c r="CC591"/>
      <c r="CD591"/>
      <c r="CE591" s="2"/>
    </row>
    <row r="592" spans="1:83" s="2" customFormat="1" ht="12.75" customHeight="1" x14ac:dyDescent="0.2">
      <c r="A592" s="41"/>
      <c r="B592" s="161"/>
      <c r="C592" s="694"/>
      <c r="D592" s="9"/>
      <c r="E592" s="694"/>
      <c r="F592" s="9"/>
      <c r="G592" s="694"/>
      <c r="H592" s="9"/>
      <c r="I592" s="694"/>
      <c r="J592" s="9"/>
      <c r="K592" s="694"/>
      <c r="L592" s="9"/>
      <c r="M592" s="694"/>
      <c r="N592" s="9"/>
      <c r="O592" s="694"/>
      <c r="P592" s="9"/>
      <c r="Q592" s="694"/>
      <c r="R592" s="9"/>
      <c r="S592" s="694"/>
      <c r="T592" s="9"/>
      <c r="U592" s="694"/>
      <c r="V592" s="9"/>
      <c r="W592" s="694"/>
      <c r="X592" s="9"/>
      <c r="Y592" s="694"/>
      <c r="Z592" s="9"/>
      <c r="AA592" s="694"/>
      <c r="AB592" s="9"/>
      <c r="AC592" s="694"/>
      <c r="AD592" s="9"/>
      <c r="AE592" s="694"/>
      <c r="AF592" s="9"/>
      <c r="AG592" s="694"/>
      <c r="AH592" s="9"/>
      <c r="AI592" s="694"/>
      <c r="AJ592" s="9"/>
      <c r="AK592" s="694"/>
      <c r="AL592" s="9"/>
      <c r="AM592" s="694"/>
      <c r="AN592" s="9"/>
      <c r="AO592" s="694"/>
      <c r="AP592" s="9"/>
      <c r="AQ592" s="694"/>
      <c r="AR592" s="9"/>
      <c r="AS592" s="694"/>
      <c r="AT592" s="9"/>
      <c r="AU592" s="694"/>
      <c r="AV592" s="9"/>
      <c r="AW592" s="694"/>
      <c r="AX592" s="9"/>
      <c r="AY592" s="279"/>
      <c r="AZ592" s="15"/>
      <c r="BA592" s="9"/>
      <c r="BB592" s="694"/>
      <c r="BC592" s="9"/>
      <c r="BD592" s="916"/>
      <c r="BE592" s="9"/>
      <c r="BF592" s="694"/>
      <c r="BG592" s="9"/>
      <c r="BH592" s="694"/>
      <c r="BI592" s="9"/>
      <c r="BJ592" s="694"/>
      <c r="BK592" s="9"/>
      <c r="BL592" s="694"/>
      <c r="BM592" s="9"/>
      <c r="BN592" s="694"/>
      <c r="BO592" s="9"/>
      <c r="BP592" s="694"/>
      <c r="BQ592" s="9"/>
      <c r="BR592" s="694"/>
      <c r="BS592" s="9"/>
      <c r="BT592" s="694"/>
      <c r="BU592" s="9"/>
      <c r="BV592" s="722"/>
      <c r="BW592" s="722"/>
      <c r="BX592" s="722"/>
      <c r="BY592"/>
      <c r="BZ592"/>
      <c r="CA592"/>
      <c r="CB592"/>
      <c r="CC592"/>
      <c r="CD592"/>
    </row>
    <row r="593" spans="1:82" s="265" customFormat="1" ht="12.75" customHeight="1" x14ac:dyDescent="0.2">
      <c r="B593" s="266" t="s">
        <v>571</v>
      </c>
      <c r="C593" s="268"/>
      <c r="D593" s="269"/>
      <c r="E593" s="268"/>
      <c r="F593" s="269"/>
      <c r="G593" s="268"/>
      <c r="H593" s="269"/>
      <c r="I593" s="268"/>
      <c r="J593" s="269"/>
      <c r="K593" s="268"/>
      <c r="L593" s="269"/>
      <c r="M593" s="268"/>
      <c r="N593" s="269"/>
      <c r="O593" s="268"/>
      <c r="P593" s="269"/>
      <c r="Q593" s="268"/>
      <c r="R593" s="269"/>
      <c r="S593" s="268"/>
      <c r="T593" s="269"/>
      <c r="U593" s="268"/>
      <c r="V593" s="269"/>
      <c r="W593" s="268"/>
      <c r="X593" s="269"/>
      <c r="Y593" s="268"/>
      <c r="Z593" s="269"/>
      <c r="AA593" s="268"/>
      <c r="AB593" s="269"/>
      <c r="AC593" s="268"/>
      <c r="AD593" s="269"/>
      <c r="AE593" s="268"/>
      <c r="AF593" s="269"/>
      <c r="AG593" s="268"/>
      <c r="AH593" s="269"/>
      <c r="AI593" s="268"/>
      <c r="AJ593" s="269"/>
      <c r="AK593" s="268"/>
      <c r="AL593" s="269"/>
      <c r="AM593" s="268"/>
      <c r="AN593" s="269"/>
      <c r="AO593" s="268"/>
      <c r="AP593" s="269"/>
      <c r="AQ593" s="268"/>
      <c r="AR593" s="269"/>
      <c r="AS593" s="268"/>
      <c r="AT593" s="269"/>
      <c r="AU593" s="268"/>
      <c r="AV593" s="269"/>
      <c r="AW593" s="268"/>
      <c r="AX593" s="269"/>
      <c r="AY593" s="281"/>
      <c r="AZ593" s="267"/>
      <c r="BA593" s="269"/>
      <c r="BB593" s="268"/>
      <c r="BC593" s="269"/>
      <c r="BD593" s="907"/>
      <c r="BE593" s="269"/>
      <c r="BF593" s="268"/>
      <c r="BG593" s="269"/>
      <c r="BH593" s="268"/>
      <c r="BI593" s="269"/>
      <c r="BJ593" s="268"/>
      <c r="BK593" s="269"/>
      <c r="BL593" s="268"/>
      <c r="BM593" s="269"/>
      <c r="BN593" s="268"/>
      <c r="BO593" s="269"/>
      <c r="BP593" s="268"/>
      <c r="BQ593" s="269"/>
      <c r="BR593" s="268"/>
      <c r="BS593" s="269"/>
      <c r="BT593" s="268"/>
      <c r="BU593" s="269"/>
      <c r="BV593" s="270"/>
      <c r="BW593" s="270"/>
      <c r="BX593" s="270"/>
      <c r="BY593"/>
      <c r="BZ593"/>
      <c r="CA593"/>
      <c r="CB593"/>
      <c r="CC593"/>
      <c r="CD593"/>
    </row>
    <row r="594" spans="1:82" s="2" customFormat="1" ht="12.75" customHeight="1" x14ac:dyDescent="0.2">
      <c r="A594" s="41"/>
      <c r="B594" s="42"/>
      <c r="C594" s="15"/>
      <c r="D594" s="40"/>
      <c r="E594" s="15"/>
      <c r="F594" s="40"/>
      <c r="G594" s="15"/>
      <c r="H594" s="40"/>
      <c r="I594" s="15"/>
      <c r="J594" s="40"/>
      <c r="K594" s="15"/>
      <c r="L594" s="40"/>
      <c r="M594" s="15"/>
      <c r="N594" s="40"/>
      <c r="O594" s="15"/>
      <c r="P594" s="40"/>
      <c r="Q594" s="15"/>
      <c r="R594" s="40"/>
      <c r="S594" s="15"/>
      <c r="T594" s="40"/>
      <c r="U594" s="15"/>
      <c r="V594" s="40"/>
      <c r="W594" s="15"/>
      <c r="X594" s="40"/>
      <c r="Y594" s="15"/>
      <c r="Z594" s="40"/>
      <c r="AA594" s="15"/>
      <c r="AB594" s="40"/>
      <c r="AC594" s="15"/>
      <c r="AD594" s="40"/>
      <c r="AE594" s="15"/>
      <c r="AF594" s="40"/>
      <c r="AG594" s="15"/>
      <c r="AH594" s="40"/>
      <c r="AI594" s="15"/>
      <c r="AJ594" s="40"/>
      <c r="AK594" s="15"/>
      <c r="AL594" s="40"/>
      <c r="AM594" s="15"/>
      <c r="AN594" s="40"/>
      <c r="AO594" s="15"/>
      <c r="AP594" s="40"/>
      <c r="AQ594" s="15"/>
      <c r="AR594" s="40"/>
      <c r="AS594" s="15"/>
      <c r="AT594" s="40"/>
      <c r="AU594" s="15"/>
      <c r="AV594" s="40"/>
      <c r="AW594" s="15"/>
      <c r="AX594" s="40"/>
      <c r="AY594" s="279"/>
      <c r="AZ594" s="15"/>
      <c r="BA594" s="40"/>
      <c r="BB594" s="15"/>
      <c r="BC594" s="40"/>
      <c r="BD594" s="924"/>
      <c r="BE594" s="40"/>
      <c r="BF594" s="15"/>
      <c r="BG594" s="40"/>
      <c r="BH594" s="15"/>
      <c r="BI594" s="40"/>
      <c r="BJ594" s="15"/>
      <c r="BK594" s="40"/>
      <c r="BL594" s="15"/>
      <c r="BM594" s="40"/>
      <c r="BN594" s="15"/>
      <c r="BO594" s="40"/>
      <c r="BP594" s="15"/>
      <c r="BQ594" s="40"/>
      <c r="BR594" s="15"/>
      <c r="BS594" s="40"/>
      <c r="BT594" s="15"/>
      <c r="BU594" s="40"/>
      <c r="BV594" s="722"/>
      <c r="BW594" s="722"/>
      <c r="BX594" s="722"/>
      <c r="BY594"/>
      <c r="BZ594"/>
      <c r="CA594"/>
      <c r="CB594"/>
      <c r="CC594"/>
      <c r="CD594"/>
    </row>
    <row r="595" spans="1:82" s="2" customFormat="1" ht="12.75" customHeight="1" x14ac:dyDescent="0.2">
      <c r="A595" s="41"/>
      <c r="B595" s="80" t="s">
        <v>572</v>
      </c>
      <c r="C595" s="15"/>
      <c r="D595" s="40"/>
      <c r="E595" s="15"/>
      <c r="F595" s="40"/>
      <c r="G595" s="15"/>
      <c r="H595" s="40"/>
      <c r="I595" s="15"/>
      <c r="J595" s="40"/>
      <c r="K595" s="15"/>
      <c r="L595" s="40"/>
      <c r="M595" s="15"/>
      <c r="N595" s="40"/>
      <c r="O595" s="15"/>
      <c r="P595" s="40"/>
      <c r="Q595" s="15"/>
      <c r="R595" s="40"/>
      <c r="S595" s="15"/>
      <c r="T595" s="40"/>
      <c r="U595" s="15"/>
      <c r="V595" s="40"/>
      <c r="W595" s="15"/>
      <c r="X595" s="40"/>
      <c r="Y595" s="15"/>
      <c r="Z595" s="40"/>
      <c r="AA595" s="15"/>
      <c r="AB595" s="40"/>
      <c r="AC595" s="15"/>
      <c r="AD595" s="40"/>
      <c r="AE595" s="15"/>
      <c r="AF595" s="40"/>
      <c r="AG595" s="15"/>
      <c r="AH595" s="40"/>
      <c r="AI595" s="15"/>
      <c r="AJ595" s="40"/>
      <c r="AK595" s="15"/>
      <c r="AL595" s="40"/>
      <c r="AM595" s="15"/>
      <c r="AN595" s="40"/>
      <c r="AO595" s="15"/>
      <c r="AP595" s="40"/>
      <c r="AQ595" s="15"/>
      <c r="AR595" s="40"/>
      <c r="AS595" s="15"/>
      <c r="AT595" s="40"/>
      <c r="AU595" s="15"/>
      <c r="AV595" s="40"/>
      <c r="AW595" s="15"/>
      <c r="AX595" s="40"/>
      <c r="AY595" s="279"/>
      <c r="AZ595" s="15"/>
      <c r="BA595" s="40"/>
      <c r="BB595" s="15"/>
      <c r="BC595" s="40"/>
      <c r="BD595" s="924"/>
      <c r="BE595" s="40"/>
      <c r="BF595" s="15"/>
      <c r="BG595" s="40"/>
      <c r="BH595" s="15"/>
      <c r="BI595" s="40"/>
      <c r="BJ595" s="15"/>
      <c r="BK595" s="40"/>
      <c r="BL595" s="15"/>
      <c r="BM595" s="40"/>
      <c r="BN595" s="15"/>
      <c r="BO595" s="40"/>
      <c r="BP595" s="15"/>
      <c r="BQ595" s="40"/>
      <c r="BR595" s="15"/>
      <c r="BS595" s="40"/>
      <c r="BT595" s="15"/>
      <c r="BU595" s="40"/>
      <c r="BV595" s="722"/>
      <c r="BW595" s="722"/>
      <c r="BX595" s="722"/>
      <c r="BY595"/>
      <c r="BZ595"/>
      <c r="CA595"/>
      <c r="CB595"/>
      <c r="CC595"/>
      <c r="CD595"/>
    </row>
    <row r="596" spans="1:82" s="2" customFormat="1" ht="12.75" customHeight="1" x14ac:dyDescent="0.2">
      <c r="A596" s="41"/>
      <c r="B596" s="17" t="s">
        <v>547</v>
      </c>
      <c r="C596" s="15">
        <f>+C135</f>
        <v>952.2</v>
      </c>
      <c r="D596" s="39" t="str">
        <f>IF(ISERROR(C596/#REF!),"NA",IF(OR(C596/#REF!&gt;2,C596/#REF!&lt;0.5),"NM",C596/#REF!*100-100))</f>
        <v>NA</v>
      </c>
      <c r="E596" s="15">
        <f>+E135</f>
        <v>990.9</v>
      </c>
      <c r="F596" s="9" t="str">
        <f>IF(ISERROR(E596/#REF!),"NA",IF(OR(E596/#REF!&gt;2,E596/#REF!&lt;0.5),"NM",E596/#REF!*100-100))</f>
        <v>NA</v>
      </c>
      <c r="G596" s="15">
        <f>+G135</f>
        <v>975.8</v>
      </c>
      <c r="H596" s="9" t="str">
        <f>IF(ISERROR(G596/#REF!),"NA",IF(OR(G596/#REF!&gt;2,G596/#REF!&lt;0.5),"NM",G596/#REF!*100-100))</f>
        <v>NA</v>
      </c>
      <c r="I596" s="15">
        <f>+I135</f>
        <v>1293.5999999999999</v>
      </c>
      <c r="J596" s="9" t="str">
        <f>IF(ISERROR(I596/#REF!),"NA",IF(OR(I596/#REF!&gt;2,I596/#REF!&lt;0.5),"NM",I596/#REF!*100-100))</f>
        <v>NA</v>
      </c>
      <c r="K596" s="15">
        <f>+K135</f>
        <v>1090.8</v>
      </c>
      <c r="L596" s="9">
        <f t="shared" ref="L596:L613" si="2844">IF(ISERROR(K596/C596),"NA",IF(OR(K596/C596&gt;2,K596/C596&lt;0.5),"NM",K596/C596*100-100))</f>
        <v>14.555765595463129</v>
      </c>
      <c r="M596" s="15">
        <f>+M135</f>
        <v>1086.5</v>
      </c>
      <c r="N596" s="9">
        <f t="shared" ref="N596:AB598" si="2845">IF(ISERROR(M596/E596),"NA",IF(OR(M596/E596&gt;2,M596/E596&lt;0.5),"NM",M596/E596*100-100))</f>
        <v>9.6477949338984672</v>
      </c>
      <c r="O596" s="15">
        <f>+O135</f>
        <v>1139.5</v>
      </c>
      <c r="P596" s="9">
        <f t="shared" si="2845"/>
        <v>16.775978684156584</v>
      </c>
      <c r="Q596" s="15">
        <f>+Q135</f>
        <v>1482.9</v>
      </c>
      <c r="R596" s="9">
        <f t="shared" si="2845"/>
        <v>14.63358070500928</v>
      </c>
      <c r="S596" s="15">
        <f>+S135</f>
        <v>1124.5</v>
      </c>
      <c r="T596" s="9">
        <f t="shared" si="2845"/>
        <v>3.0894756142280926</v>
      </c>
      <c r="U596" s="15">
        <f>+U135</f>
        <v>1905.2</v>
      </c>
      <c r="V596" s="9">
        <f t="shared" si="2845"/>
        <v>75.352047860101266</v>
      </c>
      <c r="W596" s="15">
        <f>+W135</f>
        <v>1758.3</v>
      </c>
      <c r="X596" s="9">
        <f t="shared" si="2845"/>
        <v>54.304519526107924</v>
      </c>
      <c r="Y596" s="15">
        <f>+Y135</f>
        <v>1378.9</v>
      </c>
      <c r="Z596" s="9">
        <f t="shared" si="2845"/>
        <v>-7.0132847798233087</v>
      </c>
      <c r="AA596" s="15">
        <f>+AA135</f>
        <v>1464</v>
      </c>
      <c r="AB596" s="9">
        <f t="shared" si="2845"/>
        <v>30.191196087149848</v>
      </c>
      <c r="AC596" s="15">
        <f>+AC135</f>
        <v>1474.6000000000001</v>
      </c>
      <c r="AD596" s="9">
        <f t="shared" ref="AD596:AF598" si="2846">IF(ISERROR(AC596/U596),"NA",IF(OR(AC596/U596&gt;2,AC596/U596&lt;0.5),"NM",AC596/U596*100-100))</f>
        <v>-22.601301700608857</v>
      </c>
      <c r="AE596" s="15">
        <f>+AE135</f>
        <v>1244.4000000000001</v>
      </c>
      <c r="AF596" s="9">
        <f t="shared" si="2846"/>
        <v>-29.227094352499577</v>
      </c>
      <c r="AG596" s="15">
        <f>+AG135</f>
        <v>1967.7</v>
      </c>
      <c r="AH596" s="9">
        <f t="shared" ref="AH596:AH598" si="2847">IF(ISERROR(AG596/Y596),"NA",IF(OR(AG596/Y596&gt;2,AG596/Y596&lt;0.5),"NM",AG596/Y596*100-100))</f>
        <v>42.700703459279111</v>
      </c>
      <c r="AI596" s="15">
        <f>+AI135</f>
        <v>1482.6</v>
      </c>
      <c r="AJ596" s="9">
        <f t="shared" ref="AJ596:AJ598" si="2848">IF(ISERROR(AI596/AA596),"NA",IF(OR(AI596/AA596&gt;2,AI596/AA596&lt;0.5),"NM",AI596/AA596*100-100))</f>
        <v>1.2704918032786736</v>
      </c>
      <c r="AK596" s="15">
        <f>+AK135</f>
        <v>1683.8000000000002</v>
      </c>
      <c r="AL596" s="9">
        <f t="shared" ref="AL596:AL598" si="2849">IF(ISERROR(AK596/AC596),"NA",IF(OR(AK596/AC596&gt;2,AK596/AC596&lt;0.5),"NM",AK596/AC596*100-100))</f>
        <v>14.18689814186898</v>
      </c>
      <c r="AM596" s="15">
        <f>+AM135</f>
        <v>2370.8000000000002</v>
      </c>
      <c r="AN596" s="9">
        <f t="shared" ref="AN596:AN598" si="2850">IF(ISERROR(AM596/AE596),"NA",IF(OR(AM596/AE596&gt;2,AM596/AE596&lt;0.5),"NM",AM596/AE596*100-100))</f>
        <v>90.517518482802956</v>
      </c>
      <c r="AO596" s="15">
        <f>+AO135</f>
        <v>1628.4</v>
      </c>
      <c r="AP596" s="9">
        <f t="shared" ref="AP596:AP598" si="2851">IF(ISERROR(AO596/AG596),"NA",IF(OR(AO596/AG596&gt;2,AO596/AG596&lt;0.5),"NM",AO596/AG596*100-100))</f>
        <v>-17.243482238146058</v>
      </c>
      <c r="AQ596" s="15">
        <f>+AQ135</f>
        <v>1647.3534727826409</v>
      </c>
      <c r="AR596" s="9">
        <f t="shared" ref="AR596:AR598" si="2852">IF(ISERROR(AQ596/AI596),"NA",IF(OR(AQ596/AI596&gt;2,AQ596/AI596&lt;0.5),"NM",AQ596/AI596*100-100))</f>
        <v>11.112469498357001</v>
      </c>
      <c r="AS596" s="15">
        <f>+AS135</f>
        <v>1662.1771968019582</v>
      </c>
      <c r="AT596" s="9">
        <f t="shared" ref="AT596:AT598" si="2853">IF(ISERROR(AS596/AK596),"NA",IF(OR(AS596/AK596&gt;2,AS596/AK596&lt;0.5),"NM",AS596/AK596*100-100))</f>
        <v>-1.2841669555791668</v>
      </c>
      <c r="AU596" s="15">
        <f>+AU135</f>
        <v>1681.053536231238</v>
      </c>
      <c r="AV596" s="9">
        <f t="shared" ref="AV596:AV598" si="2854">IF(ISERROR(AU596/AM596),"NA",IF(OR(AU596/AM596&gt;2,AU596/AM596&lt;0.5),"NM",AU596/AM596*100-100))</f>
        <v>-29.09340576045058</v>
      </c>
      <c r="AW596" s="15">
        <f>+AW135</f>
        <v>1696.6631787171859</v>
      </c>
      <c r="AX596" s="9">
        <f t="shared" ref="AX596:AX598" si="2855">IF(ISERROR(AW596/AO596),"NA",IF(OR(AW596/AO596&gt;2,AW596/AO596&lt;0.5),"NM",AW596/AO596*100-100))</f>
        <v>4.1920399605247951</v>
      </c>
      <c r="AY596" s="279"/>
      <c r="AZ596" s="15"/>
      <c r="BA596" s="9" t="str">
        <f>IF(ISERROR(#REF!/#REF!),"NA",IF(OR(#REF!/#REF!&gt;2,#REF!/#REF!&lt;0.5),"NM",#REF!/#REF!*100-100))</f>
        <v>NA</v>
      </c>
      <c r="BB596" s="15">
        <f>+BB135</f>
        <v>4212.5</v>
      </c>
      <c r="BC596" s="9" t="str">
        <f>IF(ISERROR(BB596/#REF!),"NA",IF(OR(BB596/#REF!&gt;2,BB596/#REF!&lt;0.5),"NM",BB596/#REF!*100-100))</f>
        <v>NA</v>
      </c>
      <c r="BD596" s="924">
        <f>+BD135</f>
        <v>4799.7</v>
      </c>
      <c r="BE596" s="9">
        <f t="shared" ref="BE596:BS613" si="2856">IF(ISERROR(BD596/BB596),"NA",IF(OR(BD596/BB596&gt;2,BD596/BB596&lt;0.5),"NM",BD596/BB596*100-100))</f>
        <v>13.939465875370914</v>
      </c>
      <c r="BF596" s="15">
        <f>+BF135</f>
        <v>6166.9</v>
      </c>
      <c r="BG596" s="9">
        <f t="shared" si="2856"/>
        <v>28.485113652936633</v>
      </c>
      <c r="BH596" s="15">
        <f>+BH135</f>
        <v>6150.7000000000007</v>
      </c>
      <c r="BI596" s="9">
        <f t="shared" si="2856"/>
        <v>-0.26269276297651345</v>
      </c>
      <c r="BJ596" s="15">
        <f>+BJ135</f>
        <v>7165.6</v>
      </c>
      <c r="BK596" s="9">
        <f t="shared" si="2856"/>
        <v>16.500560911766129</v>
      </c>
      <c r="BL596" s="15">
        <f>+BL135</f>
        <v>6687.2473845330223</v>
      </c>
      <c r="BM596" s="9">
        <f t="shared" si="2856"/>
        <v>-6.6756812474458229</v>
      </c>
      <c r="BN596" s="15">
        <f>+BN135</f>
        <v>6954.3383325254417</v>
      </c>
      <c r="BO596" s="9">
        <f t="shared" si="2856"/>
        <v>3.9940342062142946</v>
      </c>
      <c r="BP596" s="15">
        <f>+BP135</f>
        <v>7225.8364708973759</v>
      </c>
      <c r="BQ596" s="9">
        <f t="shared" si="2856"/>
        <v>3.9040110703578677</v>
      </c>
      <c r="BR596" s="15">
        <f>+BR135</f>
        <v>7496.2030738822014</v>
      </c>
      <c r="BS596" s="9">
        <f t="shared" si="2856"/>
        <v>3.7416651217301791</v>
      </c>
      <c r="BT596" s="15">
        <f>+BT135</f>
        <v>7766.144061291654</v>
      </c>
      <c r="BU596" s="9">
        <f t="shared" ref="BU596:BU598" si="2857">IF(ISERROR(BT596/BR596),"NA",IF(OR(BT596/BR596&gt;2,BT596/BR596&lt;0.5),"NM",BT596/BR596*100-100))</f>
        <v>3.6010362145865997</v>
      </c>
      <c r="BV596" s="43">
        <f>IF(ISERROR(((BT596/BJ596)^0.2-1)*100),"NA",IF((((BT596/BJ596)^0.2-1)*100)&gt;100,"NM",IF((((BT596/BJ596)^0.2-1)*100)&lt;-50,"NM",((BT596/BJ596)^0.2-1)*100)))</f>
        <v>1.6226641521474905</v>
      </c>
      <c r="BW596" s="722"/>
      <c r="BX596" s="722"/>
      <c r="BY596"/>
      <c r="BZ596"/>
      <c r="CA596"/>
      <c r="CB596"/>
      <c r="CC596"/>
      <c r="CD596"/>
    </row>
    <row r="597" spans="1:82" s="2" customFormat="1" ht="12.75" customHeight="1" x14ac:dyDescent="0.2">
      <c r="A597" s="41"/>
      <c r="B597" s="5" t="s">
        <v>556</v>
      </c>
      <c r="C597" s="15">
        <f>C54</f>
        <v>390</v>
      </c>
      <c r="D597" s="39" t="str">
        <f>IF(ISERROR(C597/#REF!),"NA",IF(OR(C597/#REF!&gt;2,C597/#REF!&lt;0.5),"NM",C597/#REF!*100-100))</f>
        <v>NA</v>
      </c>
      <c r="E597" s="15">
        <f>E54</f>
        <v>407.7</v>
      </c>
      <c r="F597" s="9" t="str">
        <f>IF(ISERROR(E597/#REF!),"NA",IF(OR(E597/#REF!&gt;2,E597/#REF!&lt;0.5),"NM",E597/#REF!*100-100))</f>
        <v>NA</v>
      </c>
      <c r="G597" s="15">
        <f>G54</f>
        <v>416.1</v>
      </c>
      <c r="H597" s="9" t="str">
        <f>IF(ISERROR(G597/#REF!),"NA",IF(OR(G597/#REF!&gt;2,G597/#REF!&lt;0.5),"NM",G597/#REF!*100-100))</f>
        <v>NA</v>
      </c>
      <c r="I597" s="15">
        <f>I54</f>
        <v>432</v>
      </c>
      <c r="J597" s="9" t="str">
        <f>IF(ISERROR(I597/#REF!),"NA",IF(OR(I597/#REF!&gt;2,I597/#REF!&lt;0.5),"NM",I597/#REF!*100-100))</f>
        <v>NA</v>
      </c>
      <c r="K597" s="15">
        <f>K54</f>
        <v>436.29999999999995</v>
      </c>
      <c r="L597" s="9">
        <f t="shared" si="2844"/>
        <v>11.871794871794862</v>
      </c>
      <c r="M597" s="15">
        <f>M54</f>
        <v>445.5</v>
      </c>
      <c r="N597" s="9">
        <f t="shared" si="2845"/>
        <v>9.2715231788079535</v>
      </c>
      <c r="O597" s="15">
        <f>O54</f>
        <v>448.1</v>
      </c>
      <c r="P597" s="9">
        <f t="shared" si="2845"/>
        <v>7.6904590242730109</v>
      </c>
      <c r="Q597" s="15">
        <f>Q54</f>
        <v>449</v>
      </c>
      <c r="R597" s="9">
        <f t="shared" si="2845"/>
        <v>3.9351851851851904</v>
      </c>
      <c r="S597" s="15">
        <f>S54</f>
        <v>437.70000000000005</v>
      </c>
      <c r="T597" s="9">
        <f t="shared" si="2845"/>
        <v>0.3208801283520728</v>
      </c>
      <c r="U597" s="15">
        <f>U54</f>
        <v>454.3</v>
      </c>
      <c r="V597" s="9">
        <f t="shared" si="2845"/>
        <v>1.9753086419753032</v>
      </c>
      <c r="W597" s="15">
        <f>W54</f>
        <v>441.9</v>
      </c>
      <c r="X597" s="9">
        <f t="shared" si="2845"/>
        <v>-1.3836197277393438</v>
      </c>
      <c r="Y597" s="15">
        <f>Y54</f>
        <v>440.1</v>
      </c>
      <c r="Z597" s="9">
        <f t="shared" si="2845"/>
        <v>-1.9821826280623611</v>
      </c>
      <c r="AA597" s="15">
        <f>AA54</f>
        <v>413.29999999999995</v>
      </c>
      <c r="AB597" s="9">
        <f t="shared" si="2845"/>
        <v>-5.5745944710989477</v>
      </c>
      <c r="AC597" s="15">
        <f>AC54</f>
        <v>428.8</v>
      </c>
      <c r="AD597" s="9">
        <f t="shared" si="2846"/>
        <v>-5.6130310367598497</v>
      </c>
      <c r="AE597" s="15">
        <f>AE54</f>
        <v>452.5</v>
      </c>
      <c r="AF597" s="9">
        <f t="shared" si="2846"/>
        <v>2.3987327449649314</v>
      </c>
      <c r="AG597" s="15">
        <f>AG54</f>
        <v>448.6</v>
      </c>
      <c r="AH597" s="9">
        <f t="shared" si="2847"/>
        <v>1.9313792319927359</v>
      </c>
      <c r="AI597" s="15">
        <f>AI54</f>
        <v>450.4</v>
      </c>
      <c r="AJ597" s="9">
        <f t="shared" si="2848"/>
        <v>8.9765303653520476</v>
      </c>
      <c r="AK597" s="15">
        <f>AK54</f>
        <v>451.5</v>
      </c>
      <c r="AL597" s="9">
        <f t="shared" si="2849"/>
        <v>5.2938432835820919</v>
      </c>
      <c r="AM597" s="15">
        <f>AM54</f>
        <v>455.29999999999995</v>
      </c>
      <c r="AN597" s="9">
        <f t="shared" si="2850"/>
        <v>0.61878453038673342</v>
      </c>
      <c r="AO597" s="15">
        <f>AO54</f>
        <v>463.8</v>
      </c>
      <c r="AP597" s="9">
        <f t="shared" si="2851"/>
        <v>3.388319215336594</v>
      </c>
      <c r="AQ597" s="15">
        <f>AQ54</f>
        <v>473.04128719981878</v>
      </c>
      <c r="AR597" s="9">
        <f t="shared" si="2852"/>
        <v>5.0269287743825117</v>
      </c>
      <c r="AS597" s="15">
        <f>AS54</f>
        <v>473.49317210870663</v>
      </c>
      <c r="AT597" s="9">
        <f t="shared" si="2853"/>
        <v>4.8711344648298223</v>
      </c>
      <c r="AU597" s="15">
        <f>AU54</f>
        <v>478.28510920976589</v>
      </c>
      <c r="AV597" s="9">
        <f t="shared" si="2854"/>
        <v>5.0483437754812002</v>
      </c>
      <c r="AW597" s="15">
        <f>AW54</f>
        <v>482.22901781205729</v>
      </c>
      <c r="AX597" s="9">
        <f t="shared" si="2855"/>
        <v>3.9734837887143897</v>
      </c>
      <c r="AY597" s="279"/>
      <c r="AZ597" s="15"/>
      <c r="BA597" s="9"/>
      <c r="BB597" s="15">
        <f>BB54</f>
        <v>1645.8</v>
      </c>
      <c r="BC597" s="9" t="str">
        <f>IF(ISERROR(BB597/#REF!),"NA",IF(OR(BB597/#REF!&gt;2,BB597/#REF!&lt;0.5),"NM",BB597/#REF!*100-100))</f>
        <v>NA</v>
      </c>
      <c r="BD597" s="924">
        <f>BD54</f>
        <v>1778.9</v>
      </c>
      <c r="BE597" s="9">
        <f t="shared" si="2856"/>
        <v>8.0872524000486123</v>
      </c>
      <c r="BF597" s="15">
        <f>BF54</f>
        <v>1774</v>
      </c>
      <c r="BG597" s="9">
        <f t="shared" si="2856"/>
        <v>-0.27545112147957695</v>
      </c>
      <c r="BH597" s="15">
        <f>BH54</f>
        <v>1743.2</v>
      </c>
      <c r="BI597" s="9">
        <f t="shared" si="2856"/>
        <v>-1.7361894024802638</v>
      </c>
      <c r="BJ597" s="15">
        <f>BJ54</f>
        <v>1821</v>
      </c>
      <c r="BK597" s="9">
        <f t="shared" si="2856"/>
        <v>4.4630564479118675</v>
      </c>
      <c r="BL597" s="15">
        <f>BL54</f>
        <v>1907.0485863303484</v>
      </c>
      <c r="BM597" s="9">
        <f t="shared" si="2856"/>
        <v>4.7253479588329697</v>
      </c>
      <c r="BN597" s="15">
        <f>BN54</f>
        <v>1952.1630161983671</v>
      </c>
      <c r="BO597" s="9">
        <f t="shared" si="2856"/>
        <v>2.3656675656507815</v>
      </c>
      <c r="BP597" s="15">
        <f>BP54</f>
        <v>2006.4999559247751</v>
      </c>
      <c r="BQ597" s="9">
        <f t="shared" si="2856"/>
        <v>2.7834222488357199</v>
      </c>
      <c r="BR597" s="15">
        <f>BR54</f>
        <v>2059.3371109563545</v>
      </c>
      <c r="BS597" s="9">
        <f t="shared" si="2856"/>
        <v>2.6332995859562374</v>
      </c>
      <c r="BT597" s="15">
        <f>BT54</f>
        <v>2110.8764803116328</v>
      </c>
      <c r="BU597" s="9">
        <f t="shared" si="2857"/>
        <v>2.5027164848859371</v>
      </c>
      <c r="BV597" s="43">
        <f>IF(ISERROR(((BT597/BJ597)^0.2-1)*100),"NA",IF((((BT597/BJ597)^0.2-1)*100)&gt;100,"NM",IF((((BT597/BJ597)^0.2-1)*100)&lt;-50,"NM",((BT597/BJ597)^0.2-1)*100)))</f>
        <v>2.9984229336589285</v>
      </c>
      <c r="BW597" s="722"/>
      <c r="BX597" s="722"/>
      <c r="BY597"/>
      <c r="BZ597"/>
      <c r="CA597"/>
      <c r="CB597"/>
      <c r="CC597"/>
      <c r="CD597"/>
    </row>
    <row r="598" spans="1:82" s="2" customFormat="1" ht="12.75" customHeight="1" x14ac:dyDescent="0.2">
      <c r="A598" s="41"/>
      <c r="B598" s="5" t="s">
        <v>557</v>
      </c>
      <c r="C598" s="15">
        <f>C103</f>
        <v>562.20000000000005</v>
      </c>
      <c r="D598" s="39" t="str">
        <f>IF(ISERROR(C598/#REF!),"NA",IF(OR(C598/#REF!&gt;2,C598/#REF!&lt;0.5),"NM",C598/#REF!*100-100))</f>
        <v>NA</v>
      </c>
      <c r="E598" s="15">
        <f>E103</f>
        <v>583.20000000000005</v>
      </c>
      <c r="F598" s="9" t="str">
        <f>IF(ISERROR(E598/#REF!),"NA",IF(OR(E598/#REF!&gt;2,E598/#REF!&lt;0.5),"NM",E598/#REF!*100-100))</f>
        <v>NA</v>
      </c>
      <c r="G598" s="15">
        <f>G103</f>
        <v>559.70000000000005</v>
      </c>
      <c r="H598" s="9" t="str">
        <f>IF(ISERROR(G598/#REF!),"NA",IF(OR(G598/#REF!&gt;2,G598/#REF!&lt;0.5),"NM",G598/#REF!*100-100))</f>
        <v>NA</v>
      </c>
      <c r="I598" s="15">
        <f>I103</f>
        <v>861.59999999999991</v>
      </c>
      <c r="J598" s="9" t="str">
        <f>IF(ISERROR(I598/#REF!),"NA",IF(OR(I598/#REF!&gt;2,I598/#REF!&lt;0.5),"NM",I598/#REF!*100-100))</f>
        <v>NA</v>
      </c>
      <c r="K598" s="15">
        <f>K103</f>
        <v>654.5</v>
      </c>
      <c r="L598" s="9">
        <f t="shared" si="2844"/>
        <v>16.417644966204193</v>
      </c>
      <c r="M598" s="15">
        <f>M103</f>
        <v>641</v>
      </c>
      <c r="N598" s="9">
        <f t="shared" si="2845"/>
        <v>9.9108367626886036</v>
      </c>
      <c r="O598" s="15">
        <f>O103</f>
        <v>691.40000000000009</v>
      </c>
      <c r="P598" s="9">
        <f t="shared" si="2845"/>
        <v>23.530462747900671</v>
      </c>
      <c r="Q598" s="15">
        <f>Q103</f>
        <v>1033.9000000000001</v>
      </c>
      <c r="R598" s="9">
        <f t="shared" si="2845"/>
        <v>19.997678737233088</v>
      </c>
      <c r="S598" s="15">
        <f>S103</f>
        <v>686.8</v>
      </c>
      <c r="T598" s="9">
        <f t="shared" si="2845"/>
        <v>4.9350649350649292</v>
      </c>
      <c r="U598" s="15">
        <f>U103</f>
        <v>1450.9</v>
      </c>
      <c r="V598" s="9" t="str">
        <f t="shared" si="2845"/>
        <v>NM</v>
      </c>
      <c r="W598" s="15">
        <f>W103</f>
        <v>1316.4</v>
      </c>
      <c r="X598" s="9">
        <f t="shared" si="2845"/>
        <v>90.396297367659827</v>
      </c>
      <c r="Y598" s="15">
        <f>Y103</f>
        <v>938.8</v>
      </c>
      <c r="Z598" s="9">
        <f t="shared" si="2845"/>
        <v>-9.1981816423251814</v>
      </c>
      <c r="AA598" s="15">
        <f>AA103</f>
        <v>1050.7</v>
      </c>
      <c r="AB598" s="9">
        <f t="shared" si="2845"/>
        <v>52.984857309260349</v>
      </c>
      <c r="AC598" s="15">
        <f>AC103</f>
        <v>1045.8</v>
      </c>
      <c r="AD598" s="9">
        <f t="shared" si="2846"/>
        <v>-27.920601006271966</v>
      </c>
      <c r="AE598" s="15">
        <f>AE103</f>
        <v>791.9</v>
      </c>
      <c r="AF598" s="9">
        <f t="shared" si="2846"/>
        <v>-39.843512610148899</v>
      </c>
      <c r="AG598" s="15">
        <f>AG103</f>
        <v>1519.1</v>
      </c>
      <c r="AH598" s="9">
        <f t="shared" si="2847"/>
        <v>61.81295270558158</v>
      </c>
      <c r="AI598" s="15">
        <f>AI103</f>
        <v>1032.2</v>
      </c>
      <c r="AJ598" s="9">
        <f t="shared" si="2848"/>
        <v>-1.7607309412772452</v>
      </c>
      <c r="AK598" s="15">
        <f>AK103</f>
        <v>1232.3000000000002</v>
      </c>
      <c r="AL598" s="9">
        <f t="shared" si="2849"/>
        <v>17.833237712755803</v>
      </c>
      <c r="AM598" s="15">
        <f>AM103</f>
        <v>1915.5</v>
      </c>
      <c r="AN598" s="9" t="str">
        <f t="shared" si="2850"/>
        <v>NM</v>
      </c>
      <c r="AO598" s="15">
        <f>AO103</f>
        <v>1164.5999999999999</v>
      </c>
      <c r="AP598" s="9">
        <f t="shared" si="2851"/>
        <v>-23.336185899545782</v>
      </c>
      <c r="AQ598" s="15">
        <f>AQ103</f>
        <v>1174.3121855828222</v>
      </c>
      <c r="AR598" s="9">
        <f t="shared" si="2852"/>
        <v>13.767892422284646</v>
      </c>
      <c r="AS598" s="15">
        <f>AS103</f>
        <v>1188.6840246932513</v>
      </c>
      <c r="AT598" s="9">
        <f t="shared" si="2853"/>
        <v>-3.5393958700599626</v>
      </c>
      <c r="AU598" s="15">
        <f>AU103</f>
        <v>1202.7684270214722</v>
      </c>
      <c r="AV598" s="9">
        <f t="shared" si="2854"/>
        <v>-37.208643851658984</v>
      </c>
      <c r="AW598" s="15">
        <f>AW103</f>
        <v>1214.4341609051287</v>
      </c>
      <c r="AX598" s="9">
        <f t="shared" si="2855"/>
        <v>4.2790795899990428</v>
      </c>
      <c r="AY598" s="279"/>
      <c r="AZ598" s="15"/>
      <c r="BA598" s="9"/>
      <c r="BB598" s="15">
        <f>BB103</f>
        <v>2566.6999999999998</v>
      </c>
      <c r="BC598" s="9" t="str">
        <f>IF(ISERROR(BB598/#REF!),"NA",IF(OR(BB598/#REF!&gt;2,BB598/#REF!&lt;0.5),"NM",BB598/#REF!*100-100))</f>
        <v>NA</v>
      </c>
      <c r="BD598" s="924">
        <f>BD103</f>
        <v>3020.8</v>
      </c>
      <c r="BE598" s="9">
        <f t="shared" si="2856"/>
        <v>17.69197802625942</v>
      </c>
      <c r="BF598" s="15">
        <f>BF103</f>
        <v>4392.8999999999996</v>
      </c>
      <c r="BG598" s="9">
        <f t="shared" si="2856"/>
        <v>45.421742584745743</v>
      </c>
      <c r="BH598" s="15">
        <f>BH103</f>
        <v>4407.5</v>
      </c>
      <c r="BI598" s="9">
        <f t="shared" si="2856"/>
        <v>0.33235448109449806</v>
      </c>
      <c r="BJ598" s="15">
        <f>BJ103</f>
        <v>5344.6</v>
      </c>
      <c r="BK598" s="9">
        <f t="shared" si="2856"/>
        <v>21.261486103233125</v>
      </c>
      <c r="BL598" s="15">
        <f>BL103</f>
        <v>4780.198798202674</v>
      </c>
      <c r="BM598" s="9">
        <f t="shared" si="2856"/>
        <v>-10.560214081452798</v>
      </c>
      <c r="BN598" s="15">
        <f>BN103</f>
        <v>5002.1753163270732</v>
      </c>
      <c r="BO598" s="9">
        <f t="shared" si="2856"/>
        <v>4.6436670836338578</v>
      </c>
      <c r="BP598" s="15">
        <f>BP103</f>
        <v>5219.3365149726005</v>
      </c>
      <c r="BQ598" s="9">
        <f t="shared" si="2856"/>
        <v>4.3413352174345903</v>
      </c>
      <c r="BR598" s="15">
        <f>BR103</f>
        <v>5436.8659629258473</v>
      </c>
      <c r="BS598" s="9">
        <f t="shared" si="2856"/>
        <v>4.1677605444528183</v>
      </c>
      <c r="BT598" s="15">
        <f>BT103</f>
        <v>5655.2675809800212</v>
      </c>
      <c r="BU598" s="9">
        <f t="shared" si="2857"/>
        <v>4.0170498876275644</v>
      </c>
      <c r="BV598" s="43">
        <f>IF(ISERROR(((BT598/BJ598)^0.2-1)*100),"NA",IF((((BT598/BJ598)^0.2-1)*100)&gt;100,"NM",IF((((BT598/BJ598)^0.2-1)*100)&lt;-50,"NM",((BT598/BJ598)^0.2-1)*100)))</f>
        <v>1.1364231933498115</v>
      </c>
      <c r="BW598" s="722"/>
      <c r="BX598" s="722"/>
      <c r="BY598"/>
      <c r="BZ598"/>
      <c r="CA598"/>
      <c r="CB598"/>
      <c r="CC598"/>
      <c r="CD598"/>
    </row>
    <row r="599" spans="1:82" s="2" customFormat="1" ht="12.75" hidden="1" customHeight="1" outlineLevel="1" x14ac:dyDescent="0.2">
      <c r="A599" s="41"/>
      <c r="B599" s="5" t="s">
        <v>453</v>
      </c>
      <c r="C599" s="15"/>
      <c r="D599" s="39"/>
      <c r="E599" s="15"/>
      <c r="F599" s="9"/>
      <c r="G599" s="15"/>
      <c r="H599" s="15"/>
      <c r="I599" s="15"/>
      <c r="J599" s="15"/>
      <c r="K599" s="15"/>
      <c r="L599" s="9" t="str">
        <f t="shared" si="2844"/>
        <v>NA</v>
      </c>
      <c r="M599" s="15"/>
      <c r="N599" s="9"/>
      <c r="O599" s="15"/>
      <c r="P599" s="9"/>
      <c r="Q599" s="15"/>
      <c r="R599" s="9"/>
      <c r="S599" s="15"/>
      <c r="T599" s="9"/>
      <c r="U599" s="15"/>
      <c r="V599" s="9"/>
      <c r="W599" s="15"/>
      <c r="X599" s="9"/>
      <c r="Y599" s="15"/>
      <c r="Z599" s="9"/>
      <c r="AA599" s="15"/>
      <c r="AB599" s="9"/>
      <c r="AC599" s="15"/>
      <c r="AD599" s="9"/>
      <c r="AE599" s="15"/>
      <c r="AF599" s="9"/>
      <c r="AG599" s="15"/>
      <c r="AH599" s="9"/>
      <c r="AI599" s="15"/>
      <c r="AJ599" s="9"/>
      <c r="AK599" s="15"/>
      <c r="AL599" s="9"/>
      <c r="AM599" s="15"/>
      <c r="AN599" s="9"/>
      <c r="AO599" s="15"/>
      <c r="AP599" s="9"/>
      <c r="AQ599" s="15"/>
      <c r="AR599" s="9"/>
      <c r="AS599" s="15"/>
      <c r="AT599" s="9"/>
      <c r="AU599" s="15"/>
      <c r="AV599" s="9"/>
      <c r="AW599" s="15"/>
      <c r="AX599" s="9"/>
      <c r="AY599" s="279"/>
      <c r="AZ599" s="15"/>
      <c r="BA599" s="9"/>
      <c r="BB599" s="15"/>
      <c r="BC599" s="9"/>
      <c r="BD599" s="924"/>
      <c r="BE599" s="9"/>
      <c r="BF599" s="15"/>
      <c r="BG599" s="9"/>
      <c r="BH599" s="15"/>
      <c r="BI599" s="9"/>
      <c r="BJ599" s="15"/>
      <c r="BK599" s="9"/>
      <c r="BL599" s="15"/>
      <c r="BM599" s="9"/>
      <c r="BN599" s="15"/>
      <c r="BO599" s="9"/>
      <c r="BP599" s="15"/>
      <c r="BQ599" s="9"/>
      <c r="BR599" s="15"/>
      <c r="BS599" s="9"/>
      <c r="BT599" s="15"/>
      <c r="BU599" s="9"/>
      <c r="BV599" s="43"/>
      <c r="BW599" s="722"/>
      <c r="BX599" s="722"/>
      <c r="BY599"/>
      <c r="BZ599"/>
      <c r="CA599"/>
      <c r="CB599"/>
      <c r="CC599"/>
      <c r="CD599"/>
    </row>
    <row r="600" spans="1:82" s="2" customFormat="1" ht="12.75" hidden="1" customHeight="1" outlineLevel="1" x14ac:dyDescent="0.2">
      <c r="A600" s="41"/>
      <c r="B600" s="5" t="s">
        <v>456</v>
      </c>
      <c r="C600" s="15"/>
      <c r="D600" s="39"/>
      <c r="E600" s="15"/>
      <c r="F600" s="9"/>
      <c r="G600" s="15"/>
      <c r="H600" s="15"/>
      <c r="I600" s="15"/>
      <c r="J600" s="15"/>
      <c r="K600" s="15"/>
      <c r="L600" s="9" t="str">
        <f t="shared" si="2844"/>
        <v>NA</v>
      </c>
      <c r="M600" s="15"/>
      <c r="N600" s="9"/>
      <c r="O600" s="15"/>
      <c r="P600" s="9"/>
      <c r="Q600" s="15"/>
      <c r="R600" s="9"/>
      <c r="S600" s="15"/>
      <c r="T600" s="9"/>
      <c r="U600" s="15"/>
      <c r="V600" s="9"/>
      <c r="W600" s="15"/>
      <c r="X600" s="9"/>
      <c r="Y600" s="15"/>
      <c r="Z600" s="9"/>
      <c r="AA600" s="15"/>
      <c r="AB600" s="9"/>
      <c r="AC600" s="15"/>
      <c r="AD600" s="9"/>
      <c r="AE600" s="15"/>
      <c r="AF600" s="9"/>
      <c r="AG600" s="15"/>
      <c r="AH600" s="9"/>
      <c r="AI600" s="15"/>
      <c r="AJ600" s="9"/>
      <c r="AK600" s="15"/>
      <c r="AL600" s="9"/>
      <c r="AM600" s="15"/>
      <c r="AN600" s="9"/>
      <c r="AO600" s="15"/>
      <c r="AP600" s="9"/>
      <c r="AQ600" s="15"/>
      <c r="AR600" s="9"/>
      <c r="AS600" s="15"/>
      <c r="AT600" s="9"/>
      <c r="AU600" s="15"/>
      <c r="AV600" s="9"/>
      <c r="AW600" s="15"/>
      <c r="AX600" s="9"/>
      <c r="AY600" s="279"/>
      <c r="AZ600" s="15"/>
      <c r="BA600" s="9"/>
      <c r="BB600" s="15"/>
      <c r="BC600" s="9"/>
      <c r="BD600" s="924"/>
      <c r="BE600" s="9"/>
      <c r="BF600" s="15"/>
      <c r="BG600" s="9"/>
      <c r="BH600" s="15"/>
      <c r="BI600" s="9"/>
      <c r="BJ600" s="15"/>
      <c r="BK600" s="9"/>
      <c r="BL600" s="15"/>
      <c r="BM600" s="9"/>
      <c r="BN600" s="15"/>
      <c r="BO600" s="9"/>
      <c r="BP600" s="15"/>
      <c r="BQ600" s="9"/>
      <c r="BR600" s="15"/>
      <c r="BS600" s="9"/>
      <c r="BT600" s="15"/>
      <c r="BU600" s="9"/>
      <c r="BV600" s="43"/>
      <c r="BW600" s="722"/>
      <c r="BX600" s="722"/>
      <c r="BY600"/>
      <c r="BZ600"/>
      <c r="CA600"/>
      <c r="CB600"/>
      <c r="CC600"/>
      <c r="CD600"/>
    </row>
    <row r="601" spans="1:82" s="2" customFormat="1" ht="12.75" hidden="1" customHeight="1" outlineLevel="1" x14ac:dyDescent="0.2">
      <c r="A601" s="41"/>
      <c r="B601" s="5" t="s">
        <v>457</v>
      </c>
      <c r="C601" s="15"/>
      <c r="D601" s="39"/>
      <c r="E601" s="15"/>
      <c r="F601" s="9"/>
      <c r="G601" s="15"/>
      <c r="H601" s="15"/>
      <c r="I601" s="15"/>
      <c r="J601" s="15"/>
      <c r="K601" s="15"/>
      <c r="L601" s="9" t="str">
        <f t="shared" si="2844"/>
        <v>NA</v>
      </c>
      <c r="M601" s="15"/>
      <c r="N601" s="9"/>
      <c r="O601" s="15"/>
      <c r="P601" s="9"/>
      <c r="Q601" s="15"/>
      <c r="R601" s="9"/>
      <c r="S601" s="15"/>
      <c r="T601" s="9"/>
      <c r="U601" s="15"/>
      <c r="V601" s="9"/>
      <c r="W601" s="15"/>
      <c r="X601" s="9"/>
      <c r="Y601" s="15"/>
      <c r="Z601" s="9"/>
      <c r="AA601" s="15"/>
      <c r="AB601" s="9"/>
      <c r="AC601" s="15"/>
      <c r="AD601" s="9"/>
      <c r="AE601" s="15"/>
      <c r="AF601" s="9"/>
      <c r="AG601" s="15"/>
      <c r="AH601" s="9"/>
      <c r="AI601" s="15"/>
      <c r="AJ601" s="9"/>
      <c r="AK601" s="15"/>
      <c r="AL601" s="9"/>
      <c r="AM601" s="15"/>
      <c r="AN601" s="9"/>
      <c r="AO601" s="15"/>
      <c r="AP601" s="9"/>
      <c r="AQ601" s="15"/>
      <c r="AR601" s="9"/>
      <c r="AS601" s="15"/>
      <c r="AT601" s="9"/>
      <c r="AU601" s="15"/>
      <c r="AV601" s="9"/>
      <c r="AW601" s="15"/>
      <c r="AX601" s="9"/>
      <c r="AY601" s="279"/>
      <c r="AZ601" s="15"/>
      <c r="BA601" s="9"/>
      <c r="BB601" s="15"/>
      <c r="BC601" s="9"/>
      <c r="BD601" s="924"/>
      <c r="BE601" s="9"/>
      <c r="BF601" s="15"/>
      <c r="BG601" s="9"/>
      <c r="BH601" s="15"/>
      <c r="BI601" s="9"/>
      <c r="BJ601" s="15"/>
      <c r="BK601" s="9"/>
      <c r="BL601" s="15"/>
      <c r="BM601" s="9"/>
      <c r="BN601" s="15"/>
      <c r="BO601" s="9"/>
      <c r="BP601" s="15"/>
      <c r="BQ601" s="9"/>
      <c r="BR601" s="15"/>
      <c r="BS601" s="9"/>
      <c r="BT601" s="15"/>
      <c r="BU601" s="9"/>
      <c r="BV601" s="43"/>
      <c r="BW601" s="722"/>
      <c r="BX601" s="722"/>
      <c r="BY601"/>
      <c r="BZ601"/>
      <c r="CA601"/>
      <c r="CB601"/>
      <c r="CC601"/>
      <c r="CD601"/>
    </row>
    <row r="602" spans="1:82" s="2" customFormat="1" ht="12.75" hidden="1" customHeight="1" outlineLevel="1" x14ac:dyDescent="0.2">
      <c r="A602" s="41"/>
      <c r="B602" s="5" t="s">
        <v>312</v>
      </c>
      <c r="C602" s="15"/>
      <c r="D602" s="39"/>
      <c r="E602" s="15"/>
      <c r="F602" s="9"/>
      <c r="G602" s="15"/>
      <c r="H602" s="15"/>
      <c r="I602" s="15"/>
      <c r="J602" s="15"/>
      <c r="K602" s="15"/>
      <c r="L602" s="9" t="str">
        <f t="shared" si="2844"/>
        <v>NA</v>
      </c>
      <c r="M602" s="15"/>
      <c r="N602" s="9"/>
      <c r="O602" s="15"/>
      <c r="P602" s="9"/>
      <c r="Q602" s="15"/>
      <c r="R602" s="9"/>
      <c r="S602" s="15"/>
      <c r="T602" s="9"/>
      <c r="U602" s="15"/>
      <c r="V602" s="9"/>
      <c r="W602" s="15"/>
      <c r="X602" s="9"/>
      <c r="Y602" s="15"/>
      <c r="Z602" s="9"/>
      <c r="AA602" s="15"/>
      <c r="AB602" s="9"/>
      <c r="AC602" s="15"/>
      <c r="AD602" s="9"/>
      <c r="AE602" s="15"/>
      <c r="AF602" s="9"/>
      <c r="AG602" s="15"/>
      <c r="AH602" s="9"/>
      <c r="AI602" s="15"/>
      <c r="AJ602" s="9"/>
      <c r="AK602" s="15"/>
      <c r="AL602" s="9"/>
      <c r="AM602" s="15"/>
      <c r="AN602" s="9"/>
      <c r="AO602" s="15"/>
      <c r="AP602" s="9"/>
      <c r="AQ602" s="15"/>
      <c r="AR602" s="9"/>
      <c r="AS602" s="15"/>
      <c r="AT602" s="9"/>
      <c r="AU602" s="15"/>
      <c r="AV602" s="9"/>
      <c r="AW602" s="15"/>
      <c r="AX602" s="9"/>
      <c r="AY602" s="279"/>
      <c r="AZ602" s="15"/>
      <c r="BA602" s="9"/>
      <c r="BB602" s="15"/>
      <c r="BC602" s="9"/>
      <c r="BD602" s="924"/>
      <c r="BE602" s="9"/>
      <c r="BF602" s="15"/>
      <c r="BG602" s="9"/>
      <c r="BH602" s="15"/>
      <c r="BI602" s="9"/>
      <c r="BJ602" s="15"/>
      <c r="BK602" s="9"/>
      <c r="BL602" s="15"/>
      <c r="BM602" s="9"/>
      <c r="BN602" s="15"/>
      <c r="BO602" s="9"/>
      <c r="BP602" s="15"/>
      <c r="BQ602" s="9"/>
      <c r="BR602" s="15"/>
      <c r="BS602" s="9"/>
      <c r="BT602" s="15"/>
      <c r="BU602" s="9"/>
      <c r="BV602" s="43"/>
      <c r="BW602" s="722"/>
      <c r="BX602" s="722"/>
      <c r="BY602"/>
      <c r="BZ602"/>
      <c r="CA602"/>
      <c r="CB602"/>
      <c r="CC602"/>
      <c r="CD602"/>
    </row>
    <row r="603" spans="1:82" s="2" customFormat="1" ht="12.75" hidden="1" customHeight="1" outlineLevel="1" x14ac:dyDescent="0.2">
      <c r="A603" s="41"/>
      <c r="B603" s="5" t="s">
        <v>455</v>
      </c>
      <c r="C603" s="15"/>
      <c r="D603" s="39"/>
      <c r="E603" s="15"/>
      <c r="F603" s="9"/>
      <c r="G603" s="15"/>
      <c r="H603" s="15"/>
      <c r="I603" s="15"/>
      <c r="J603" s="15"/>
      <c r="K603" s="15"/>
      <c r="L603" s="9" t="str">
        <f t="shared" si="2844"/>
        <v>NA</v>
      </c>
      <c r="M603" s="15"/>
      <c r="N603" s="9"/>
      <c r="O603" s="15"/>
      <c r="P603" s="9"/>
      <c r="Q603" s="15"/>
      <c r="R603" s="9"/>
      <c r="S603" s="15"/>
      <c r="T603" s="9"/>
      <c r="U603" s="15"/>
      <c r="V603" s="9"/>
      <c r="W603" s="15"/>
      <c r="X603" s="9"/>
      <c r="Y603" s="15"/>
      <c r="Z603" s="9"/>
      <c r="AA603" s="15"/>
      <c r="AB603" s="9"/>
      <c r="AC603" s="15"/>
      <c r="AD603" s="9"/>
      <c r="AE603" s="15"/>
      <c r="AF603" s="9"/>
      <c r="AG603" s="15"/>
      <c r="AH603" s="9"/>
      <c r="AI603" s="15"/>
      <c r="AJ603" s="9"/>
      <c r="AK603" s="15"/>
      <c r="AL603" s="9"/>
      <c r="AM603" s="15"/>
      <c r="AN603" s="9"/>
      <c r="AO603" s="15"/>
      <c r="AP603" s="9"/>
      <c r="AQ603" s="15"/>
      <c r="AR603" s="9"/>
      <c r="AS603" s="15"/>
      <c r="AT603" s="9"/>
      <c r="AU603" s="15"/>
      <c r="AV603" s="9"/>
      <c r="AW603" s="15"/>
      <c r="AX603" s="9"/>
      <c r="AY603" s="279"/>
      <c r="AZ603" s="15"/>
      <c r="BA603" s="9"/>
      <c r="BB603" s="15"/>
      <c r="BC603" s="9"/>
      <c r="BD603" s="924"/>
      <c r="BE603" s="9"/>
      <c r="BF603" s="15"/>
      <c r="BG603" s="9"/>
      <c r="BH603" s="15"/>
      <c r="BI603" s="9"/>
      <c r="BJ603" s="15"/>
      <c r="BK603" s="9"/>
      <c r="BL603" s="15"/>
      <c r="BM603" s="9"/>
      <c r="BN603" s="15"/>
      <c r="BO603" s="9"/>
      <c r="BP603" s="15"/>
      <c r="BQ603" s="9"/>
      <c r="BR603" s="15"/>
      <c r="BS603" s="9"/>
      <c r="BT603" s="15"/>
      <c r="BU603" s="9"/>
      <c r="BV603" s="43"/>
      <c r="BW603" s="722"/>
      <c r="BX603" s="722"/>
      <c r="BY603"/>
      <c r="BZ603"/>
      <c r="CA603"/>
      <c r="CB603"/>
      <c r="CC603"/>
      <c r="CD603"/>
    </row>
    <row r="604" spans="1:82" s="2" customFormat="1" ht="12.75" hidden="1" customHeight="1" outlineLevel="1" x14ac:dyDescent="0.2">
      <c r="A604" s="41"/>
      <c r="B604" s="5" t="s">
        <v>454</v>
      </c>
      <c r="C604" s="15"/>
      <c r="D604" s="39"/>
      <c r="E604" s="15"/>
      <c r="F604" s="9"/>
      <c r="G604" s="15"/>
      <c r="H604" s="15"/>
      <c r="I604" s="15"/>
      <c r="J604" s="15"/>
      <c r="K604" s="15"/>
      <c r="L604" s="9" t="str">
        <f t="shared" si="2844"/>
        <v>NA</v>
      </c>
      <c r="M604" s="15"/>
      <c r="N604" s="9"/>
      <c r="O604" s="15"/>
      <c r="P604" s="9"/>
      <c r="Q604" s="15"/>
      <c r="R604" s="9"/>
      <c r="S604" s="15"/>
      <c r="T604" s="9"/>
      <c r="U604" s="15"/>
      <c r="V604" s="9"/>
      <c r="W604" s="15"/>
      <c r="X604" s="9"/>
      <c r="Y604" s="15"/>
      <c r="Z604" s="9"/>
      <c r="AA604" s="15"/>
      <c r="AB604" s="9"/>
      <c r="AC604" s="15"/>
      <c r="AD604" s="9"/>
      <c r="AE604" s="15"/>
      <c r="AF604" s="9"/>
      <c r="AG604" s="15"/>
      <c r="AH604" s="9"/>
      <c r="AI604" s="15"/>
      <c r="AJ604" s="9"/>
      <c r="AK604" s="15"/>
      <c r="AL604" s="9"/>
      <c r="AM604" s="15"/>
      <c r="AN604" s="9"/>
      <c r="AO604" s="15"/>
      <c r="AP604" s="9"/>
      <c r="AQ604" s="15"/>
      <c r="AR604" s="9"/>
      <c r="AS604" s="15"/>
      <c r="AT604" s="9"/>
      <c r="AU604" s="15"/>
      <c r="AV604" s="9"/>
      <c r="AW604" s="15"/>
      <c r="AX604" s="9"/>
      <c r="AY604" s="279"/>
      <c r="AZ604" s="15"/>
      <c r="BA604" s="9"/>
      <c r="BB604" s="15"/>
      <c r="BC604" s="9"/>
      <c r="BD604" s="924"/>
      <c r="BE604" s="9"/>
      <c r="BF604" s="15"/>
      <c r="BG604" s="9"/>
      <c r="BH604" s="15"/>
      <c r="BI604" s="9"/>
      <c r="BJ604" s="15"/>
      <c r="BK604" s="9"/>
      <c r="BL604" s="15"/>
      <c r="BM604" s="9"/>
      <c r="BN604" s="15"/>
      <c r="BO604" s="9"/>
      <c r="BP604" s="15"/>
      <c r="BQ604" s="9"/>
      <c r="BR604" s="15"/>
      <c r="BS604" s="9"/>
      <c r="BT604" s="15"/>
      <c r="BU604" s="9"/>
      <c r="BV604" s="43"/>
      <c r="BW604" s="722"/>
      <c r="BX604" s="722"/>
      <c r="BY604"/>
      <c r="BZ604"/>
      <c r="CA604"/>
      <c r="CB604"/>
      <c r="CC604"/>
      <c r="CD604"/>
    </row>
    <row r="605" spans="1:82" s="2" customFormat="1" ht="12.75" hidden="1" customHeight="1" outlineLevel="1" x14ac:dyDescent="0.2">
      <c r="A605" s="41" t="s">
        <v>458</v>
      </c>
      <c r="B605" s="5" t="s">
        <v>459</v>
      </c>
      <c r="C605" s="163"/>
      <c r="D605" s="773"/>
      <c r="E605" s="163"/>
      <c r="F605" s="9"/>
      <c r="G605" s="163"/>
      <c r="H605" s="163"/>
      <c r="I605" s="163"/>
      <c r="J605" s="163"/>
      <c r="K605" s="163"/>
      <c r="L605" s="9" t="str">
        <f t="shared" si="2844"/>
        <v>NA</v>
      </c>
      <c r="M605" s="163"/>
      <c r="N605" s="9"/>
      <c r="O605" s="163"/>
      <c r="P605" s="9"/>
      <c r="Q605" s="163"/>
      <c r="R605" s="9"/>
      <c r="S605" s="163"/>
      <c r="T605" s="9"/>
      <c r="U605" s="163"/>
      <c r="V605" s="9"/>
      <c r="W605" s="163"/>
      <c r="X605" s="9"/>
      <c r="Y605" s="163"/>
      <c r="Z605" s="9"/>
      <c r="AA605" s="163"/>
      <c r="AB605" s="9"/>
      <c r="AC605" s="163"/>
      <c r="AD605" s="9"/>
      <c r="AE605" s="163"/>
      <c r="AF605" s="9"/>
      <c r="AG605" s="163"/>
      <c r="AH605" s="9"/>
      <c r="AI605" s="163"/>
      <c r="AJ605" s="9"/>
      <c r="AK605" s="163"/>
      <c r="AL605" s="9"/>
      <c r="AM605" s="163"/>
      <c r="AN605" s="9"/>
      <c r="AO605" s="163"/>
      <c r="AP605" s="9"/>
      <c r="AQ605" s="163"/>
      <c r="AR605" s="9"/>
      <c r="AS605" s="163"/>
      <c r="AT605" s="9"/>
      <c r="AU605" s="163"/>
      <c r="AV605" s="9"/>
      <c r="AW605" s="163"/>
      <c r="AX605" s="9"/>
      <c r="AY605" s="288"/>
      <c r="AZ605" s="113"/>
      <c r="BA605" s="9"/>
      <c r="BB605" s="163"/>
      <c r="BC605" s="9"/>
      <c r="BD605" s="957"/>
      <c r="BE605" s="9"/>
      <c r="BF605" s="163"/>
      <c r="BG605" s="9"/>
      <c r="BH605" s="163"/>
      <c r="BI605" s="9"/>
      <c r="BJ605" s="163"/>
      <c r="BK605" s="9"/>
      <c r="BL605" s="163"/>
      <c r="BM605" s="9"/>
      <c r="BN605" s="163"/>
      <c r="BO605" s="9"/>
      <c r="BP605" s="163"/>
      <c r="BQ605" s="9"/>
      <c r="BR605" s="163"/>
      <c r="BS605" s="9"/>
      <c r="BT605" s="163"/>
      <c r="BU605" s="9"/>
      <c r="BV605" s="43"/>
      <c r="BW605" s="722"/>
      <c r="BX605" s="722"/>
      <c r="BY605"/>
      <c r="BZ605"/>
      <c r="CA605"/>
      <c r="CB605"/>
      <c r="CC605"/>
      <c r="CD605"/>
    </row>
    <row r="606" spans="1:82" s="2" customFormat="1" ht="12.75" customHeight="1" collapsed="1" x14ac:dyDescent="0.2">
      <c r="A606" s="41"/>
      <c r="B606" s="62" t="s">
        <v>190</v>
      </c>
      <c r="C606" s="15">
        <f>C178</f>
        <v>264.8</v>
      </c>
      <c r="D606" s="39" t="str">
        <f>IF(ISERROR(C606/#REF!),"NA",IF(OR(C606/#REF!&gt;2,C606/#REF!&lt;0.5),"NM",C606/#REF!*100-100))</f>
        <v>NA</v>
      </c>
      <c r="E606" s="15">
        <f>E178</f>
        <v>284.2</v>
      </c>
      <c r="F606" s="9" t="str">
        <f>IF(ISERROR(E606/#REF!),"NA",IF(OR(E606/#REF!&gt;2,E606/#REF!&lt;0.5),"NM",E606/#REF!*100-100))</f>
        <v>NA</v>
      </c>
      <c r="G606" s="15">
        <f>G178</f>
        <v>280.89999999999998</v>
      </c>
      <c r="H606" s="9" t="str">
        <f>IF(ISERROR(G606/#REF!),"NA",IF(OR(G606/#REF!&gt;2,G606/#REF!&lt;0.5),"NM",G606/#REF!*100-100))</f>
        <v>NA</v>
      </c>
      <c r="I606" s="15">
        <f>I178</f>
        <v>359.8</v>
      </c>
      <c r="J606" s="9" t="str">
        <f>IF(ISERROR(I606/#REF!),"NA",IF(OR(I606/#REF!&gt;2,I606/#REF!&lt;0.5),"NM",I606/#REF!*100-100))</f>
        <v>NA</v>
      </c>
      <c r="K606" s="15">
        <f>K178</f>
        <v>295.2</v>
      </c>
      <c r="L606" s="9">
        <f t="shared" si="2844"/>
        <v>11.48036253776435</v>
      </c>
      <c r="M606" s="15">
        <f>M178</f>
        <v>304.09999999999997</v>
      </c>
      <c r="N606" s="9">
        <f t="shared" ref="N606:AB609" si="2858">IF(ISERROR(M606/E606),"NA",IF(OR(M606/E606&gt;2,M606/E606&lt;0.5),"NM",M606/E606*100-100))</f>
        <v>7.0021111893032923</v>
      </c>
      <c r="O606" s="15">
        <f>O178</f>
        <v>311</v>
      </c>
      <c r="P606" s="9">
        <f t="shared" si="2858"/>
        <v>10.715557137771455</v>
      </c>
      <c r="Q606" s="15">
        <f>Q178</f>
        <v>347.1</v>
      </c>
      <c r="R606" s="9">
        <f t="shared" si="2858"/>
        <v>-3.5297387437465204</v>
      </c>
      <c r="S606" s="15">
        <f>S178</f>
        <v>328.9</v>
      </c>
      <c r="T606" s="9">
        <f t="shared" si="2858"/>
        <v>11.415989159891595</v>
      </c>
      <c r="U606" s="15">
        <f>U178</f>
        <v>337.8</v>
      </c>
      <c r="V606" s="9">
        <f t="shared" si="2858"/>
        <v>11.081880960210484</v>
      </c>
      <c r="W606" s="15">
        <f>W178</f>
        <v>329.5</v>
      </c>
      <c r="X606" s="9">
        <f t="shared" si="2858"/>
        <v>5.9485530546623693</v>
      </c>
      <c r="Y606" s="15">
        <f>Y178</f>
        <v>347.3</v>
      </c>
      <c r="Z606" s="9">
        <f t="shared" si="2858"/>
        <v>5.7620282339371443E-2</v>
      </c>
      <c r="AA606" s="15">
        <f>AA178</f>
        <v>309.5</v>
      </c>
      <c r="AB606" s="9">
        <f t="shared" si="2858"/>
        <v>-5.8984493767102322</v>
      </c>
      <c r="AC606" s="15">
        <f>AC178</f>
        <v>351.29999999999995</v>
      </c>
      <c r="AD606" s="9">
        <f t="shared" ref="AD606:AF609" si="2859">IF(ISERROR(AC606/U606),"NA",IF(OR(AC606/U606&gt;2,AC606/U606&lt;0.5),"NM",AC606/U606*100-100))</f>
        <v>3.9964476021314255</v>
      </c>
      <c r="AE606" s="15">
        <f>AE178</f>
        <v>346.2</v>
      </c>
      <c r="AF606" s="9">
        <f t="shared" si="2859"/>
        <v>5.0682852807283751</v>
      </c>
      <c r="AG606" s="15">
        <f>AG178</f>
        <v>380.1</v>
      </c>
      <c r="AH606" s="9">
        <f>IF(ISERROR(AG606/AE606),"NA",IF(OR(AG606/AE606&gt;2,AG606/AE606&lt;0.5),"NM",AG606/AE606*100-100))</f>
        <v>9.7920277296360609</v>
      </c>
      <c r="AI606" s="15">
        <f>AI178</f>
        <v>345.9</v>
      </c>
      <c r="AJ606" s="9">
        <f t="shared" ref="AJ606" si="2860">IF(ISERROR(AI606/AG606),"NA",IF(OR(AI606/AG606&gt;2,AI606/AG606&lt;0.5),"NM",AI606/AG606*100-100))</f>
        <v>-8.9976322020521025</v>
      </c>
      <c r="AK606" s="15">
        <f>AK178</f>
        <v>355.5</v>
      </c>
      <c r="AL606" s="9">
        <f t="shared" ref="AL606" si="2861">IF(ISERROR(AK606/AI606),"NA",IF(OR(AK606/AI606&gt;2,AK606/AI606&lt;0.5),"NM",AK606/AI606*100-100))</f>
        <v>2.7753686036426757</v>
      </c>
      <c r="AM606" s="15">
        <f>AM178</f>
        <v>367.5</v>
      </c>
      <c r="AN606" s="9">
        <f t="shared" ref="AN606" si="2862">IF(ISERROR(AM606/AK606),"NA",IF(OR(AM606/AK606&gt;2,AM606/AK606&lt;0.5),"NM",AM606/AK606*100-100))</f>
        <v>3.3755274261603461</v>
      </c>
      <c r="AO606" s="15">
        <f>AO178</f>
        <v>375.5</v>
      </c>
      <c r="AP606" s="9">
        <f t="shared" ref="AP606" si="2863">IF(ISERROR(AO606/AM606),"NA",IF(OR(AO606/AM606&gt;2,AO606/AM606&lt;0.5),"NM",AO606/AM606*100-100))</f>
        <v>2.1768707482993079</v>
      </c>
      <c r="AQ606" s="15">
        <f t="shared" ref="AQ606" si="2864">AQ178</f>
        <v>378.10802919999998</v>
      </c>
      <c r="AR606" s="9">
        <f t="shared" ref="AR606" si="2865">IF(ISERROR(AQ606/AO606),"NA",IF(OR(AQ606/AO606&gt;2,AQ606/AO606&lt;0.5),"NM",AQ606/AO606*100-100))</f>
        <v>0.69454838881490844</v>
      </c>
      <c r="AS606" s="15">
        <f t="shared" ref="AS606" si="2866">AS178</f>
        <v>379.98047655171996</v>
      </c>
      <c r="AT606" s="9">
        <f t="shared" ref="AT606" si="2867">IF(ISERROR(AS606/AQ606),"NA",IF(OR(AS606/AQ606&gt;2,AS606/AQ606&lt;0.5),"NM",AS606/AQ606*100-100))</f>
        <v>0.49521491402381912</v>
      </c>
      <c r="AU606" s="15">
        <f t="shared" ref="AU606" si="2868">AU178</f>
        <v>385.95437744351329</v>
      </c>
      <c r="AV606" s="9">
        <f t="shared" ref="AV606" si="2869">IF(ISERROR(AU606/AS606),"NA",IF(OR(AU606/AS606&gt;2,AU606/AS606&lt;0.5),"NM",AU606/AS606*100-100))</f>
        <v>1.5721599556918875</v>
      </c>
      <c r="AW606" s="15">
        <f t="shared" ref="AW606" si="2870">AW178</f>
        <v>391.6940152932911</v>
      </c>
      <c r="AX606" s="9">
        <f t="shared" ref="AX606" si="2871">IF(ISERROR(AW606/AU606),"NA",IF(OR(AW606/AU606&gt;2,AW606/AU606&lt;0.5),"NM",AW606/AU606*100-100))</f>
        <v>1.4871285792367672</v>
      </c>
      <c r="AY606" s="279"/>
      <c r="AZ606" s="15"/>
      <c r="BA606" s="9" t="str">
        <f>IF(ISERROR(#REF!/#REF!),"NA",IF(OR(#REF!/#REF!&gt;2,#REF!/#REF!&lt;0.5),"NM",#REF!/#REF!*100-100))</f>
        <v>NA</v>
      </c>
      <c r="BB606" s="15">
        <f>BB178</f>
        <v>1189.7</v>
      </c>
      <c r="BC606" s="9" t="str">
        <f>IF(ISERROR(BB606/#REF!),"NA",IF(OR(BB606/#REF!&gt;2,BB606/#REF!&lt;0.5),"NM",BB606/#REF!*100-100))</f>
        <v>NA</v>
      </c>
      <c r="BD606" s="924">
        <f>BD178</f>
        <v>1257.4000000000001</v>
      </c>
      <c r="BE606" s="9">
        <f t="shared" si="2856"/>
        <v>5.6905102126586513</v>
      </c>
      <c r="BF606" s="15">
        <f>BF178</f>
        <v>1343.5</v>
      </c>
      <c r="BG606" s="9">
        <f t="shared" si="2856"/>
        <v>6.8474630189279395</v>
      </c>
      <c r="BH606" s="15">
        <f>BH178</f>
        <v>1387.1</v>
      </c>
      <c r="BI606" s="9">
        <f t="shared" si="2856"/>
        <v>3.2452549311499723</v>
      </c>
      <c r="BJ606" s="15">
        <f>BJ178</f>
        <v>1444.3999999999999</v>
      </c>
      <c r="BK606" s="9">
        <f t="shared" si="2856"/>
        <v>4.130920625765981</v>
      </c>
      <c r="BL606" s="15">
        <f>BL178</f>
        <v>1535.7368984885245</v>
      </c>
      <c r="BM606" s="9">
        <f t="shared" si="2856"/>
        <v>6.3235183113074385</v>
      </c>
      <c r="BN606" s="15">
        <f>BN178</f>
        <v>1623.9450118482698</v>
      </c>
      <c r="BO606" s="9">
        <f t="shared" si="2856"/>
        <v>5.7436995520886427</v>
      </c>
      <c r="BP606" s="15">
        <f>BP178</f>
        <v>1696.1145351219122</v>
      </c>
      <c r="BQ606" s="9">
        <f t="shared" si="2856"/>
        <v>4.4440866376074979</v>
      </c>
      <c r="BR606" s="15">
        <f>BR178</f>
        <v>1799.4826965969992</v>
      </c>
      <c r="BS606" s="9">
        <f t="shared" si="2856"/>
        <v>6.094409270990468</v>
      </c>
      <c r="BT606" s="15">
        <f>BT178</f>
        <v>1911.3059608982778</v>
      </c>
      <c r="BU606" s="9">
        <f t="shared" ref="BU606:BU609" si="2872">IF(ISERROR(BT606/BR606),"NA",IF(OR(BT606/BR606&gt;2,BT606/BR606&lt;0.5),"NM",BT606/BR606*100-100))</f>
        <v>6.2141894730495295</v>
      </c>
      <c r="BV606" s="226">
        <f t="shared" ref="BV606:BV613" si="2873">IF(ISERROR(((BT606/BJ606)^0.2-1)*100),"NA",IF((((BT606/BJ606)^0.2-1)*100)&gt;100,"NM",IF((((BT606/BJ606)^0.2-1)*100)&lt;-50,"NM",((BT606/BJ606)^0.2-1)*100)))</f>
        <v>5.761730175251456</v>
      </c>
      <c r="BW606" s="722"/>
      <c r="BX606" s="722"/>
      <c r="BY606"/>
      <c r="BZ606"/>
      <c r="CA606"/>
      <c r="CB606"/>
      <c r="CC606"/>
      <c r="CD606"/>
    </row>
    <row r="607" spans="1:82" s="2" customFormat="1" ht="12.75" customHeight="1" x14ac:dyDescent="0.2">
      <c r="A607" s="41"/>
      <c r="B607" s="42" t="s">
        <v>191</v>
      </c>
      <c r="C607" s="15">
        <f>+C321</f>
        <v>261.60000000000002</v>
      </c>
      <c r="D607" s="39" t="str">
        <f>IF(ISERROR(C607/#REF!),"NA",IF(OR(C607/#REF!&gt;2,C607/#REF!&lt;0.5),"NM",C607/#REF!*100-100))</f>
        <v>NA</v>
      </c>
      <c r="E607" s="15">
        <f>+E321</f>
        <v>288</v>
      </c>
      <c r="F607" s="9" t="str">
        <f>IF(ISERROR(E607/#REF!),"NA",IF(OR(E607/#REF!&gt;2,E607/#REF!&lt;0.5),"NM",E607/#REF!*100-100))</f>
        <v>NA</v>
      </c>
      <c r="G607" s="15">
        <f>+G321</f>
        <v>315.5</v>
      </c>
      <c r="H607" s="9" t="str">
        <f>IF(ISERROR(G607/#REF!),"NA",IF(OR(G607/#REF!&gt;2,G607/#REF!&lt;0.5),"NM",G607/#REF!*100-100))</f>
        <v>NA</v>
      </c>
      <c r="I607" s="15">
        <f>+I321</f>
        <v>336.1</v>
      </c>
      <c r="J607" s="9" t="str">
        <f>IF(ISERROR(I607/#REF!),"NA",IF(OR(I607/#REF!&gt;2,I607/#REF!&lt;0.5),"NM",I607/#REF!*100-100))</f>
        <v>NA</v>
      </c>
      <c r="K607" s="15">
        <f>+K321</f>
        <v>312.59999999999997</v>
      </c>
      <c r="L607" s="9">
        <f t="shared" si="2844"/>
        <v>19.495412844036665</v>
      </c>
      <c r="M607" s="15">
        <f>+M321</f>
        <v>371.40000000000003</v>
      </c>
      <c r="N607" s="9">
        <f t="shared" si="2858"/>
        <v>28.958333333333343</v>
      </c>
      <c r="O607" s="15">
        <f>+O321</f>
        <v>309</v>
      </c>
      <c r="P607" s="9">
        <f t="shared" si="2858"/>
        <v>-2.0602218700475419</v>
      </c>
      <c r="Q607" s="15">
        <f>+Q321</f>
        <v>336.79999999999995</v>
      </c>
      <c r="R607" s="9">
        <f t="shared" si="2858"/>
        <v>0.20827134781313816</v>
      </c>
      <c r="S607" s="15">
        <f>+S321</f>
        <v>250.79999999999998</v>
      </c>
      <c r="T607" s="9">
        <f t="shared" si="2858"/>
        <v>-19.769673704414586</v>
      </c>
      <c r="U607" s="15">
        <f>+U321</f>
        <v>328.29999999999995</v>
      </c>
      <c r="V607" s="9">
        <f t="shared" si="2858"/>
        <v>-11.604738826063567</v>
      </c>
      <c r="W607" s="15">
        <f>+W321</f>
        <v>325.5</v>
      </c>
      <c r="X607" s="9">
        <f t="shared" si="2858"/>
        <v>5.3398058252427205</v>
      </c>
      <c r="Y607" s="15">
        <f>+Y321</f>
        <v>316</v>
      </c>
      <c r="Z607" s="9">
        <f t="shared" si="2858"/>
        <v>-6.175771971496431</v>
      </c>
      <c r="AA607" s="15">
        <f>+AA321</f>
        <v>286.60000000000002</v>
      </c>
      <c r="AB607" s="9">
        <f t="shared" si="2858"/>
        <v>14.274322169059019</v>
      </c>
      <c r="AC607" s="15">
        <f>+AC321</f>
        <v>318.7</v>
      </c>
      <c r="AD607" s="9">
        <f t="shared" si="2859"/>
        <v>-2.9241547365214728</v>
      </c>
      <c r="AE607" s="15">
        <f>+AE321</f>
        <v>334.40000000000003</v>
      </c>
      <c r="AF607" s="9">
        <f t="shared" si="2859"/>
        <v>2.7342549923195207</v>
      </c>
      <c r="AG607" s="15">
        <f>+AG321</f>
        <v>312.3</v>
      </c>
      <c r="AH607" s="9">
        <f>IF(ISERROR(AG607/Y607),"NA",IF(OR(AG607/Y607&gt;2,AG607/Y607&lt;0.5),"NM",AG607/Y607*100-100))</f>
        <v>-1.1708860759493689</v>
      </c>
      <c r="AI607" s="15">
        <f>+AI321</f>
        <v>321.29999999999995</v>
      </c>
      <c r="AJ607" s="9">
        <f t="shared" ref="AJ607:AJ609" si="2874">IF(ISERROR(AI607/AA607),"NA",IF(OR(AI607/AA607&gt;2,AI607/AA607&lt;0.5),"NM",AI607/AA607*100-100))</f>
        <v>12.107466852756431</v>
      </c>
      <c r="AK607" s="15">
        <f>+AK321</f>
        <v>319.39999999999998</v>
      </c>
      <c r="AL607" s="9">
        <f t="shared" ref="AL607:AL609" si="2875">IF(ISERROR(AK607/AC607),"NA",IF(OR(AK607/AC607&gt;2,AK607/AC607&lt;0.5),"NM",AK607/AC607*100-100))</f>
        <v>0.21964229683086955</v>
      </c>
      <c r="AM607" s="15">
        <f>+AM321</f>
        <v>274.7</v>
      </c>
      <c r="AN607" s="9">
        <f t="shared" ref="AN607:AN609" si="2876">IF(ISERROR(AM607/AE607),"NA",IF(OR(AM607/AE607&gt;2,AM607/AE607&lt;0.5),"NM",AM607/AE607*100-100))</f>
        <v>-17.852870813397132</v>
      </c>
      <c r="AO607" s="15">
        <f>+AO321</f>
        <v>336.1</v>
      </c>
      <c r="AP607" s="9">
        <f t="shared" ref="AP607:AP609" si="2877">IF(ISERROR(AO607/AG607),"NA",IF(OR(AO607/AG607&gt;2,AO607/AG607&lt;0.5),"NM",AO607/AG607*100-100))</f>
        <v>7.6208773615113756</v>
      </c>
      <c r="AQ607" s="15">
        <f t="shared" ref="AQ607" si="2878">+AQ321</f>
        <v>328.33932449466096</v>
      </c>
      <c r="AR607" s="9">
        <f t="shared" ref="AR607:AR609" si="2879">IF(ISERROR(AQ607/AI607),"NA",IF(OR(AQ607/AI607&gt;2,AQ607/AI607&lt;0.5),"NM",AQ607/AI607*100-100))</f>
        <v>2.1908884203738097</v>
      </c>
      <c r="AS607" s="15">
        <f t="shared" ref="AS607" si="2880">+AS321</f>
        <v>330.32488134259251</v>
      </c>
      <c r="AT607" s="9">
        <f t="shared" ref="AT607:AT609" si="2881">IF(ISERROR(AS607/AK607),"NA",IF(OR(AS607/AK607&gt;2,AS607/AK607&lt;0.5),"NM",AS607/AK607*100-100))</f>
        <v>3.4204387422017959</v>
      </c>
      <c r="AU607" s="15">
        <f t="shared" ref="AU607" si="2882">+AU321</f>
        <v>333.37560638719469</v>
      </c>
      <c r="AV607" s="9">
        <f t="shared" ref="AV607:AV609" si="2883">IF(ISERROR(AU607/AM607),"NA",IF(OR(AU607/AM607&gt;2,AU607/AM607&lt;0.5),"NM",AU607/AM607*100-100))</f>
        <v>21.359885834435644</v>
      </c>
      <c r="AW607" s="15">
        <f t="shared" ref="AW607" si="2884">+AW321</f>
        <v>336.48342355635873</v>
      </c>
      <c r="AX607" s="9">
        <f t="shared" ref="AX607:AX609" si="2885">IF(ISERROR(AW607/AO607),"NA",IF(OR(AW607/AO607&gt;2,AW607/AO607&lt;0.5),"NM",AW607/AO607*100-100))</f>
        <v>0.11408020123732854</v>
      </c>
      <c r="AY607" s="279"/>
      <c r="AZ607" s="15"/>
      <c r="BA607" s="9" t="str">
        <f>IF(ISERROR(#REF!/#REF!),"NA",IF(OR(#REF!/#REF!&gt;2,#REF!/#REF!&lt;0.5),"NM",#REF!/#REF!*100-100))</f>
        <v>NA</v>
      </c>
      <c r="BB607" s="15">
        <f>+BB321</f>
        <v>1201.2</v>
      </c>
      <c r="BC607" s="9" t="str">
        <f>IF(ISERROR(BB607/#REF!),"NA",IF(OR(BB607/#REF!&gt;2,BB607/#REF!&lt;0.5),"NM",BB607/#REF!*100-100))</f>
        <v>NA</v>
      </c>
      <c r="BD607" s="924">
        <f>+BD321</f>
        <v>1329.8</v>
      </c>
      <c r="BE607" s="9">
        <f t="shared" si="2856"/>
        <v>10.705960705960706</v>
      </c>
      <c r="BF607" s="15">
        <f>+BF321</f>
        <v>1220.5999999999999</v>
      </c>
      <c r="BG607" s="9">
        <f t="shared" si="2856"/>
        <v>-8.2117611670928028</v>
      </c>
      <c r="BH607" s="15">
        <f>+BH321</f>
        <v>1252</v>
      </c>
      <c r="BI607" s="9">
        <f t="shared" si="2856"/>
        <v>2.5725053252498924</v>
      </c>
      <c r="BJ607" s="15">
        <f>+BJ321</f>
        <v>1251.5</v>
      </c>
      <c r="BK607" s="9">
        <f t="shared" si="2856"/>
        <v>-3.9936102236424631E-2</v>
      </c>
      <c r="BL607" s="15">
        <f>+BL321</f>
        <v>1328.523235780807</v>
      </c>
      <c r="BM607" s="9">
        <f t="shared" si="2856"/>
        <v>6.1544734942714285</v>
      </c>
      <c r="BN607" s="15">
        <f>+BN321</f>
        <v>1412.868879177553</v>
      </c>
      <c r="BO607" s="9">
        <f t="shared" si="2856"/>
        <v>6.3488271130744494</v>
      </c>
      <c r="BP607" s="15">
        <f>+BP321</f>
        <v>1555.2219493064383</v>
      </c>
      <c r="BQ607" s="9">
        <f t="shared" si="2856"/>
        <v>10.075462219236542</v>
      </c>
      <c r="BR607" s="15">
        <f>+BR321</f>
        <v>1689.4180290733116</v>
      </c>
      <c r="BS607" s="9">
        <f t="shared" si="2856"/>
        <v>8.6287413720413895</v>
      </c>
      <c r="BT607" s="15">
        <f>+BT321</f>
        <v>1845.1228637438439</v>
      </c>
      <c r="BU607" s="9">
        <f t="shared" si="2872"/>
        <v>9.2164776266736368</v>
      </c>
      <c r="BV607" s="43">
        <f t="shared" si="2873"/>
        <v>8.073418082627736</v>
      </c>
      <c r="BW607" s="722"/>
      <c r="BX607" s="722"/>
      <c r="BY607"/>
      <c r="BZ607"/>
      <c r="CA607"/>
      <c r="CB607"/>
      <c r="CC607"/>
      <c r="CD607"/>
    </row>
    <row r="608" spans="1:82" s="2" customFormat="1" ht="12.75" customHeight="1" x14ac:dyDescent="0.2">
      <c r="A608" s="41"/>
      <c r="B608" s="42" t="s">
        <v>48</v>
      </c>
      <c r="C608" s="15">
        <f>+C520</f>
        <v>778</v>
      </c>
      <c r="D608" s="39" t="str">
        <f>IF(ISERROR(C608/#REF!),"NA",IF(OR(C608/#REF!&gt;2,C608/#REF!&lt;0.5),"NM",C608/#REF!*100-100))</f>
        <v>NA</v>
      </c>
      <c r="E608" s="15">
        <f t="shared" ref="E608:M608" si="2886">+E520</f>
        <v>773.09999999999991</v>
      </c>
      <c r="F608" s="9" t="str">
        <f>IF(ISERROR(E608/#REF!),"NA",IF(OR(E608/#REF!&gt;2,E608/#REF!&lt;0.5),"NM",E608/#REF!*100-100))</f>
        <v>NA</v>
      </c>
      <c r="G608" s="15">
        <f t="shared" si="2886"/>
        <v>767.7</v>
      </c>
      <c r="H608" s="9" t="str">
        <f>IF(ISERROR(G608/#REF!),"NA",IF(OR(G608/#REF!&gt;2,G608/#REF!&lt;0.5),"NM",G608/#REF!*100-100))</f>
        <v>NA</v>
      </c>
      <c r="I608" s="15">
        <f t="shared" si="2886"/>
        <v>787.8</v>
      </c>
      <c r="J608" s="9" t="str">
        <f>IF(ISERROR(I608/#REF!),"NA",IF(OR(I608/#REF!&gt;2,I608/#REF!&lt;0.5),"NM",I608/#REF!*100-100))</f>
        <v>NA</v>
      </c>
      <c r="K608" s="15">
        <f t="shared" si="2886"/>
        <v>804.40000000000009</v>
      </c>
      <c r="L608" s="9">
        <f t="shared" si="2844"/>
        <v>3.3933161953727478</v>
      </c>
      <c r="M608" s="15">
        <f t="shared" si="2886"/>
        <v>811.5</v>
      </c>
      <c r="N608" s="9">
        <f t="shared" si="2858"/>
        <v>4.9670159099728437</v>
      </c>
      <c r="O608" s="15">
        <f>+O520</f>
        <v>821</v>
      </c>
      <c r="P608" s="9">
        <f t="shared" si="2858"/>
        <v>6.9428162042464407</v>
      </c>
      <c r="Q608" s="15">
        <f>+Q520</f>
        <v>825.89999999999986</v>
      </c>
      <c r="R608" s="9">
        <f t="shared" si="2858"/>
        <v>4.836252856054827</v>
      </c>
      <c r="S608" s="15">
        <f>+S520</f>
        <v>861.7</v>
      </c>
      <c r="T608" s="9">
        <f t="shared" si="2858"/>
        <v>7.1233217304823313</v>
      </c>
      <c r="U608" s="15">
        <f>+U520</f>
        <v>857.90000000000009</v>
      </c>
      <c r="V608" s="9">
        <f t="shared" si="2858"/>
        <v>5.7178065311152153</v>
      </c>
      <c r="W608" s="15">
        <f>+W520</f>
        <v>853.19999999999993</v>
      </c>
      <c r="X608" s="9">
        <f t="shared" si="2858"/>
        <v>3.9220462850182685</v>
      </c>
      <c r="Y608" s="15">
        <f>+Y520</f>
        <v>868</v>
      </c>
      <c r="Z608" s="9">
        <f t="shared" si="2858"/>
        <v>5.0974694272914576</v>
      </c>
      <c r="AA608" s="15">
        <f>+AA520</f>
        <v>890.9</v>
      </c>
      <c r="AB608" s="9">
        <f t="shared" si="2858"/>
        <v>3.3886503423465228</v>
      </c>
      <c r="AC608" s="15">
        <f>+AC520</f>
        <v>908.1</v>
      </c>
      <c r="AD608" s="9">
        <f t="shared" si="2859"/>
        <v>5.8514978435715079</v>
      </c>
      <c r="AE608" s="15">
        <f>+AE520</f>
        <v>910.4</v>
      </c>
      <c r="AF608" s="9">
        <f t="shared" si="2859"/>
        <v>6.7041725269573362</v>
      </c>
      <c r="AG608" s="15">
        <f>+AG520</f>
        <v>928.1</v>
      </c>
      <c r="AH608" s="9">
        <f>IF(ISERROR(AG608/Y608),"NA",IF(OR(AG608/Y608&gt;2,AG608/Y608&lt;0.5),"NM",AG608/Y608*100-100))</f>
        <v>6.9239631336405694</v>
      </c>
      <c r="AI608" s="15">
        <f>+AI520</f>
        <v>956.39999999999986</v>
      </c>
      <c r="AJ608" s="9">
        <f t="shared" si="2874"/>
        <v>7.3521158379166991</v>
      </c>
      <c r="AK608" s="15">
        <f>+AK520</f>
        <v>970.7</v>
      </c>
      <c r="AL608" s="9">
        <f t="shared" si="2875"/>
        <v>6.8935139301838859</v>
      </c>
      <c r="AM608" s="15">
        <f>+AM520</f>
        <v>985.5</v>
      </c>
      <c r="AN608" s="9">
        <f t="shared" si="2876"/>
        <v>8.2491212653778661</v>
      </c>
      <c r="AO608" s="15">
        <f>+AO520</f>
        <v>990.2</v>
      </c>
      <c r="AP608" s="9">
        <f t="shared" si="2877"/>
        <v>6.6910893222713099</v>
      </c>
      <c r="AQ608" s="15">
        <f t="shared" ref="AQ608:AW608" si="2887">+AQ520</f>
        <v>1002.502</v>
      </c>
      <c r="AR608" s="9">
        <f t="shared" si="2879"/>
        <v>4.8203680468423329</v>
      </c>
      <c r="AS608" s="15">
        <f t="shared" si="2887"/>
        <v>1016.41643</v>
      </c>
      <c r="AT608" s="9">
        <f t="shared" si="2881"/>
        <v>4.709635314721325</v>
      </c>
      <c r="AU608" s="15">
        <f t="shared" si="2887"/>
        <v>1034.6107243000001</v>
      </c>
      <c r="AV608" s="9">
        <f t="shared" si="2883"/>
        <v>4.9833307255200623</v>
      </c>
      <c r="AW608" s="15">
        <f t="shared" si="2887"/>
        <v>1045.3353215430002</v>
      </c>
      <c r="AX608" s="9">
        <f t="shared" si="2885"/>
        <v>5.568099529690997</v>
      </c>
      <c r="AY608" s="279"/>
      <c r="AZ608" s="15"/>
      <c r="BA608" s="9" t="str">
        <f>IF(ISERROR(#REF!/#REF!),"NA",IF(OR(#REF!/#REF!&gt;2,#REF!/#REF!&lt;0.5),"NM",#REF!/#REF!*100-100))</f>
        <v>NA</v>
      </c>
      <c r="BB608" s="15">
        <f>+BB520</f>
        <v>3106.6000000000004</v>
      </c>
      <c r="BC608" s="9" t="str">
        <f>IF(ISERROR(BB608/#REF!),"NA",IF(OR(BB608/#REF!&gt;2,BB608/#REF!&lt;0.5),"NM",BB608/#REF!*100-100))</f>
        <v>NA</v>
      </c>
      <c r="BD608" s="924">
        <f>+BD520</f>
        <v>3262.8</v>
      </c>
      <c r="BE608" s="9">
        <f t="shared" si="2856"/>
        <v>5.0280048928088519</v>
      </c>
      <c r="BF608" s="15">
        <f>+BF520</f>
        <v>3440.7999999999997</v>
      </c>
      <c r="BG608" s="9">
        <f t="shared" si="2856"/>
        <v>5.4554370479342822</v>
      </c>
      <c r="BH608" s="15">
        <f>+BH520</f>
        <v>3637.5</v>
      </c>
      <c r="BI608" s="9">
        <f t="shared" si="2856"/>
        <v>5.7166937921413705</v>
      </c>
      <c r="BJ608" s="15">
        <f>+BJ520</f>
        <v>3902.8</v>
      </c>
      <c r="BK608" s="9">
        <f t="shared" si="2856"/>
        <v>7.2934707903780094</v>
      </c>
      <c r="BL608" s="15">
        <f>+BL520</f>
        <v>4098.864475843</v>
      </c>
      <c r="BM608" s="9">
        <f t="shared" si="2856"/>
        <v>5.0236875023828844</v>
      </c>
      <c r="BN608" s="15">
        <f>+BN520</f>
        <v>4329.2485748767203</v>
      </c>
      <c r="BO608" s="9">
        <f t="shared" si="2856"/>
        <v>5.6206810542653471</v>
      </c>
      <c r="BP608" s="15">
        <f>+BP520</f>
        <v>4573.4670600717891</v>
      </c>
      <c r="BQ608" s="9">
        <f t="shared" si="2856"/>
        <v>5.6411287310297951</v>
      </c>
      <c r="BR608" s="15">
        <f>+BR520</f>
        <v>4832.3950862186612</v>
      </c>
      <c r="BS608" s="9">
        <f t="shared" si="2856"/>
        <v>5.6615259877439144</v>
      </c>
      <c r="BT608" s="15">
        <f>+BT520</f>
        <v>5106.9652612429882</v>
      </c>
      <c r="BU608" s="9">
        <f t="shared" si="2872"/>
        <v>5.6818652060830885</v>
      </c>
      <c r="BV608" s="43">
        <f t="shared" si="2873"/>
        <v>5.5254764000976175</v>
      </c>
      <c r="BW608" s="722"/>
      <c r="BX608" s="722"/>
      <c r="BY608"/>
      <c r="BZ608"/>
      <c r="CA608"/>
      <c r="CB608"/>
      <c r="CC608"/>
      <c r="CD608"/>
    </row>
    <row r="609" spans="1:82" s="2" customFormat="1" ht="12.75" customHeight="1" x14ac:dyDescent="0.2">
      <c r="A609" s="41"/>
      <c r="B609" s="5" t="s">
        <v>643</v>
      </c>
      <c r="C609" s="15">
        <f>+C391</f>
        <v>379.5</v>
      </c>
      <c r="D609" s="39" t="str">
        <f>IF(ISERROR(C609/#REF!),"NA",IF(OR(C609/#REF!&gt;2,C609/#REF!&lt;0.5),"NM",C609/#REF!*100-100))</f>
        <v>NA</v>
      </c>
      <c r="E609" s="15">
        <f>+E391</f>
        <v>368</v>
      </c>
      <c r="F609" s="9" t="str">
        <f>IF(ISERROR(E609/#REF!),"NA",IF(OR(E609/#REF!&gt;2,E609/#REF!&lt;0.5),"NM",E609/#REF!*100-100))</f>
        <v>NA</v>
      </c>
      <c r="G609" s="15">
        <f>+G391</f>
        <v>362.70000000000005</v>
      </c>
      <c r="H609" s="9" t="str">
        <f>IF(ISERROR(G609/#REF!),"NA",IF(OR(G609/#REF!&gt;2,G609/#REF!&lt;0.5),"NM",G609/#REF!*100-100))</f>
        <v>NA</v>
      </c>
      <c r="I609" s="15">
        <f>+I391</f>
        <v>372.8</v>
      </c>
      <c r="J609" s="9" t="str">
        <f>IF(ISERROR(I609/#REF!),"NA",IF(OR(I609/#REF!&gt;2,I609/#REF!&lt;0.5),"NM",I609/#REF!*100-100))</f>
        <v>NA</v>
      </c>
      <c r="K609" s="15">
        <f>+K391</f>
        <v>383.79999999999995</v>
      </c>
      <c r="L609" s="9">
        <f t="shared" si="2844"/>
        <v>1.133069828721986</v>
      </c>
      <c r="M609" s="15">
        <f>+M391</f>
        <v>382</v>
      </c>
      <c r="N609" s="9">
        <f t="shared" si="2858"/>
        <v>3.8043478260869676</v>
      </c>
      <c r="O609" s="15">
        <f>+O391</f>
        <v>382.7</v>
      </c>
      <c r="P609" s="9">
        <f t="shared" si="2858"/>
        <v>5.5141990625861439</v>
      </c>
      <c r="Q609" s="15">
        <f>+Q391</f>
        <v>387.20000000000005</v>
      </c>
      <c r="R609" s="9">
        <f t="shared" si="2858"/>
        <v>3.8626609442060271</v>
      </c>
      <c r="S609" s="15">
        <f>+S391</f>
        <v>395.4</v>
      </c>
      <c r="T609" s="9">
        <f t="shared" si="2858"/>
        <v>3.0224075039082976</v>
      </c>
      <c r="U609" s="15">
        <f>+U391</f>
        <v>393.2</v>
      </c>
      <c r="V609" s="9">
        <f t="shared" si="2858"/>
        <v>2.931937172774866</v>
      </c>
      <c r="W609" s="15">
        <f>+W391</f>
        <v>389.6</v>
      </c>
      <c r="X609" s="9">
        <f t="shared" si="2858"/>
        <v>1.8029788345963027</v>
      </c>
      <c r="Y609" s="15">
        <f>+Y391</f>
        <v>394.5</v>
      </c>
      <c r="Z609" s="9">
        <f t="shared" si="2858"/>
        <v>1.885330578512395</v>
      </c>
      <c r="AA609" s="15">
        <f>+AA391</f>
        <v>408</v>
      </c>
      <c r="AB609" s="9">
        <f t="shared" si="2858"/>
        <v>3.1866464339908873</v>
      </c>
      <c r="AC609" s="15">
        <f>+AC391</f>
        <v>409.9</v>
      </c>
      <c r="AD609" s="9">
        <f t="shared" si="2859"/>
        <v>4.2472024415055785</v>
      </c>
      <c r="AE609" s="15">
        <f>+AE391</f>
        <v>399.5</v>
      </c>
      <c r="AF609" s="9">
        <f t="shared" si="2859"/>
        <v>2.5410677618069855</v>
      </c>
      <c r="AG609" s="15">
        <f>+AG391</f>
        <v>408.7</v>
      </c>
      <c r="AH609" s="9">
        <f>IF(ISERROR(AG609/Y609),"NA",IF(OR(AG609/Y609&gt;2,AG609/Y609&lt;0.5),"NM",AG609/Y609*100-100))</f>
        <v>3.5994930291508069</v>
      </c>
      <c r="AI609" s="15">
        <f>+AI391</f>
        <v>427.9</v>
      </c>
      <c r="AJ609" s="9">
        <f t="shared" si="2874"/>
        <v>4.8774509803921546</v>
      </c>
      <c r="AK609" s="15">
        <f>+AK391</f>
        <v>433.40000000000003</v>
      </c>
      <c r="AL609" s="9">
        <f t="shared" si="2875"/>
        <v>5.7331056355208716</v>
      </c>
      <c r="AM609" s="15">
        <f>+AM391</f>
        <v>435.4</v>
      </c>
      <c r="AN609" s="9">
        <f t="shared" si="2876"/>
        <v>8.986232790988737</v>
      </c>
      <c r="AO609" s="15">
        <f>+AO391</f>
        <v>434.3</v>
      </c>
      <c r="AP609" s="9">
        <f t="shared" si="2877"/>
        <v>6.2637631514558478</v>
      </c>
      <c r="AQ609" s="15">
        <f t="shared" ref="AQ609" si="2888">+AQ391</f>
        <v>438.64300000000003</v>
      </c>
      <c r="AR609" s="9">
        <f t="shared" si="2879"/>
        <v>2.5106333255433526</v>
      </c>
      <c r="AS609" s="15">
        <f t="shared" ref="AS609" si="2889">+AS391</f>
        <v>443.02943000000005</v>
      </c>
      <c r="AT609" s="9">
        <f t="shared" si="2881"/>
        <v>2.2218343331795012</v>
      </c>
      <c r="AU609" s="15">
        <f t="shared" ref="AU609" si="2890">+AU391</f>
        <v>447.4597243</v>
      </c>
      <c r="AV609" s="9">
        <f t="shared" si="2883"/>
        <v>2.7698034680753381</v>
      </c>
      <c r="AW609" s="15">
        <f t="shared" ref="AW609" si="2891">+AW391</f>
        <v>451.93432154300001</v>
      </c>
      <c r="AX609" s="9">
        <f t="shared" si="2885"/>
        <v>4.0604009999999988</v>
      </c>
      <c r="AY609" s="279"/>
      <c r="AZ609" s="15"/>
      <c r="BA609" s="9" t="str">
        <f>IF(ISERROR(#REF!/#REF!),"NA",IF(OR(#REF!/#REF!&gt;2,#REF!/#REF!&lt;0.5),"NM",#REF!/#REF!*100-100))</f>
        <v>NA</v>
      </c>
      <c r="BB609" s="15">
        <f>+BB391</f>
        <v>1483</v>
      </c>
      <c r="BC609" s="9" t="str">
        <f>IF(ISERROR(BB609/#REF!),"NA",IF(OR(BB609/#REF!&gt;2,BB609/#REF!&lt;0.5),"NM",BB609/#REF!*100-100))</f>
        <v>NA</v>
      </c>
      <c r="BD609" s="924">
        <f>+BD391</f>
        <v>1535.7</v>
      </c>
      <c r="BE609" s="9">
        <f t="shared" si="2856"/>
        <v>3.5536075522589243</v>
      </c>
      <c r="BF609" s="15">
        <f>+BF391</f>
        <v>1572.6999999999998</v>
      </c>
      <c r="BG609" s="9">
        <f t="shared" si="2856"/>
        <v>2.4093247379045124</v>
      </c>
      <c r="BH609" s="15">
        <f>+BH391</f>
        <v>1626.1</v>
      </c>
      <c r="BI609" s="9">
        <f t="shared" si="2856"/>
        <v>3.3954346029122036</v>
      </c>
      <c r="BJ609" s="15">
        <f>+BJ391</f>
        <v>1731</v>
      </c>
      <c r="BK609" s="9">
        <f t="shared" si="2856"/>
        <v>6.45101777258472</v>
      </c>
      <c r="BL609" s="15">
        <f>+BL391</f>
        <v>1781.066475843</v>
      </c>
      <c r="BM609" s="9">
        <f t="shared" si="2856"/>
        <v>2.8923440694974119</v>
      </c>
      <c r="BN609" s="15">
        <f>+BN391</f>
        <v>1852.3091348767202</v>
      </c>
      <c r="BO609" s="9">
        <f t="shared" si="2856"/>
        <v>4</v>
      </c>
      <c r="BP609" s="15">
        <f>+BP391</f>
        <v>1926.401500271789</v>
      </c>
      <c r="BQ609" s="9">
        <f t="shared" si="2856"/>
        <v>4</v>
      </c>
      <c r="BR609" s="15">
        <f>+BR391</f>
        <v>2003.4575602826608</v>
      </c>
      <c r="BS609" s="9">
        <f t="shared" si="2856"/>
        <v>4</v>
      </c>
      <c r="BT609" s="15">
        <f>+BT391</f>
        <v>2083.5958626939673</v>
      </c>
      <c r="BU609" s="9">
        <f t="shared" si="2872"/>
        <v>4</v>
      </c>
      <c r="BV609" s="43">
        <f t="shared" si="2873"/>
        <v>3.7775189670629761</v>
      </c>
      <c r="BW609" s="722"/>
      <c r="BX609" s="722"/>
      <c r="BY609"/>
      <c r="BZ609"/>
      <c r="CA609"/>
      <c r="CB609"/>
      <c r="CC609"/>
      <c r="CD609"/>
    </row>
    <row r="610" spans="1:82" s="2" customFormat="1" ht="12.75" hidden="1" customHeight="1" outlineLevel="1" x14ac:dyDescent="0.2">
      <c r="A610" s="41"/>
      <c r="B610" s="5" t="s">
        <v>29</v>
      </c>
      <c r="C610" s="15"/>
      <c r="D610" s="39"/>
      <c r="E610" s="15"/>
      <c r="F610" s="9"/>
      <c r="G610" s="15"/>
      <c r="H610" s="15"/>
      <c r="I610" s="15"/>
      <c r="J610" s="15"/>
      <c r="K610" s="15"/>
      <c r="L610" s="9" t="str">
        <f t="shared" si="2844"/>
        <v>NA</v>
      </c>
      <c r="M610" s="15"/>
      <c r="N610" s="9"/>
      <c r="O610" s="15"/>
      <c r="P610" s="9"/>
      <c r="Q610" s="15"/>
      <c r="R610" s="9"/>
      <c r="S610" s="15"/>
      <c r="T610" s="9"/>
      <c r="U610" s="15"/>
      <c r="V610" s="9"/>
      <c r="W610" s="15"/>
      <c r="X610" s="9"/>
      <c r="Y610" s="15"/>
      <c r="Z610" s="9"/>
      <c r="AA610" s="15"/>
      <c r="AB610" s="9"/>
      <c r="AC610" s="15"/>
      <c r="AD610" s="9"/>
      <c r="AE610" s="15"/>
      <c r="AF610" s="9"/>
      <c r="AG610" s="15"/>
      <c r="AH610" s="9"/>
      <c r="AI610" s="15"/>
      <c r="AJ610" s="9"/>
      <c r="AK610" s="15"/>
      <c r="AL610" s="9"/>
      <c r="AM610" s="15"/>
      <c r="AN610" s="9"/>
      <c r="AO610" s="15"/>
      <c r="AP610" s="9"/>
      <c r="AQ610" s="15"/>
      <c r="AR610" s="9"/>
      <c r="AS610" s="15"/>
      <c r="AT610" s="9"/>
      <c r="AU610" s="15"/>
      <c r="AV610" s="9"/>
      <c r="AW610" s="15"/>
      <c r="AX610" s="9"/>
      <c r="AY610" s="279"/>
      <c r="AZ610" s="15"/>
      <c r="BA610" s="9"/>
      <c r="BB610" s="15"/>
      <c r="BC610" s="9"/>
      <c r="BD610" s="924"/>
      <c r="BE610" s="9"/>
      <c r="BF610" s="15"/>
      <c r="BG610" s="9"/>
      <c r="BH610" s="15"/>
      <c r="BI610" s="9"/>
      <c r="BJ610" s="15"/>
      <c r="BK610" s="9"/>
      <c r="BL610" s="15"/>
      <c r="BM610" s="9"/>
      <c r="BN610" s="15"/>
      <c r="BO610" s="9"/>
      <c r="BP610" s="15"/>
      <c r="BQ610" s="9"/>
      <c r="BR610" s="15"/>
      <c r="BS610" s="9"/>
      <c r="BT610" s="15"/>
      <c r="BU610" s="9"/>
      <c r="BV610" s="43" t="str">
        <f t="shared" si="2873"/>
        <v>NA</v>
      </c>
      <c r="BW610" s="722"/>
      <c r="BX610" s="722"/>
      <c r="BY610"/>
      <c r="BZ610"/>
      <c r="CA610"/>
      <c r="CB610"/>
      <c r="CC610"/>
      <c r="CD610"/>
    </row>
    <row r="611" spans="1:82" s="2" customFormat="1" ht="12.75" customHeight="1" collapsed="1" x14ac:dyDescent="0.2">
      <c r="A611" s="41"/>
      <c r="B611" s="5" t="s">
        <v>442</v>
      </c>
      <c r="C611" s="15">
        <f>+C479</f>
        <v>398.5</v>
      </c>
      <c r="D611" s="39" t="str">
        <f>IF(ISERROR(C611/#REF!),"NA",IF(OR(C611/#REF!&gt;2,C611/#REF!&lt;0.5),"NM",C611/#REF!*100-100))</f>
        <v>NA</v>
      </c>
      <c r="E611" s="15">
        <f>+E479</f>
        <v>405.1</v>
      </c>
      <c r="F611" s="9" t="str">
        <f>IF(ISERROR(E611/#REF!),"NA",IF(OR(E611/#REF!&gt;2,E611/#REF!&lt;0.5),"NM",E611/#REF!*100-100))</f>
        <v>NA</v>
      </c>
      <c r="G611" s="15">
        <f>+G479</f>
        <v>405</v>
      </c>
      <c r="H611" s="9" t="str">
        <f>IF(ISERROR(G611/#REF!),"NA",IF(OR(G611/#REF!&gt;2,G611/#REF!&lt;0.5),"NM",G611/#REF!*100-100))</f>
        <v>NA</v>
      </c>
      <c r="I611" s="15">
        <f>+I479</f>
        <v>415</v>
      </c>
      <c r="J611" s="9" t="str">
        <f>IF(ISERROR(I611/#REF!),"NA",IF(OR(I611/#REF!&gt;2,I611/#REF!&lt;0.5),"NM",I611/#REF!*100-100))</f>
        <v>NA</v>
      </c>
      <c r="K611" s="15">
        <f>+K479</f>
        <v>420.6</v>
      </c>
      <c r="L611" s="9">
        <f t="shared" si="2844"/>
        <v>5.5457967377666222</v>
      </c>
      <c r="M611" s="15">
        <f>+M479</f>
        <v>429.5</v>
      </c>
      <c r="N611" s="9">
        <f t="shared" ref="N611:AB613" si="2892">IF(ISERROR(M611/E611),"NA",IF(OR(M611/E611&gt;2,M611/E611&lt;0.5),"NM",M611/E611*100-100))</f>
        <v>6.0232041471241615</v>
      </c>
      <c r="O611" s="15">
        <f>+O479</f>
        <v>438.3</v>
      </c>
      <c r="P611" s="9">
        <f t="shared" si="2892"/>
        <v>8.2222222222222143</v>
      </c>
      <c r="Q611" s="15">
        <f>+Q479</f>
        <v>438.69999999999993</v>
      </c>
      <c r="R611" s="9">
        <f t="shared" si="2892"/>
        <v>5.7108433734939723</v>
      </c>
      <c r="S611" s="15">
        <f>+S479</f>
        <v>466.3</v>
      </c>
      <c r="T611" s="9">
        <f t="shared" si="2892"/>
        <v>10.865430337612935</v>
      </c>
      <c r="U611" s="15">
        <f>+U479</f>
        <v>464.7</v>
      </c>
      <c r="V611" s="9">
        <f t="shared" si="2892"/>
        <v>8.1955762514551793</v>
      </c>
      <c r="W611" s="15">
        <f>+W479</f>
        <v>463.6</v>
      </c>
      <c r="X611" s="9">
        <f t="shared" si="2892"/>
        <v>5.7723020762035162</v>
      </c>
      <c r="Y611" s="15">
        <f>+Y479</f>
        <v>473.5</v>
      </c>
      <c r="Z611" s="9">
        <f t="shared" si="2892"/>
        <v>7.9325279234100776</v>
      </c>
      <c r="AA611" s="15">
        <f>+AA479</f>
        <v>482.9</v>
      </c>
      <c r="AB611" s="9">
        <f t="shared" si="2892"/>
        <v>3.5599399528200735</v>
      </c>
      <c r="AC611" s="15">
        <f>+AC479</f>
        <v>498.20000000000005</v>
      </c>
      <c r="AD611" s="9">
        <f t="shared" ref="AD611:AF613" si="2893">IF(ISERROR(AC611/U611),"NA",IF(OR(AC611/U611&gt;2,AC611/U611&lt;0.5),"NM",AC611/U611*100-100))</f>
        <v>7.2089520120508013</v>
      </c>
      <c r="AE611" s="15">
        <f>+AE479</f>
        <v>510.90000000000003</v>
      </c>
      <c r="AF611" s="9">
        <f t="shared" si="2893"/>
        <v>10.202761000862807</v>
      </c>
      <c r="AG611" s="15">
        <f>+AG479</f>
        <v>519.4</v>
      </c>
      <c r="AH611" s="9">
        <f>IF(ISERROR(AG611/Y611),"NA",IF(OR(AG611/Y611&gt;2,AG611/Y611&lt;0.5),"NM",AG611/Y611*100-100))</f>
        <v>9.6937697993664216</v>
      </c>
      <c r="AI611" s="15">
        <f>+AI479</f>
        <v>528.5</v>
      </c>
      <c r="AJ611" s="9">
        <f t="shared" ref="AJ611:AJ613" si="2894">IF(ISERROR(AI611/AA611),"NA",IF(OR(AI611/AA611&gt;2,AI611/AA611&lt;0.5),"NM",AI611/AA611*100-100))</f>
        <v>9.4429488506937247</v>
      </c>
      <c r="AK611" s="15">
        <f>+AK479</f>
        <v>537.29999999999995</v>
      </c>
      <c r="AL611" s="9">
        <f t="shared" ref="AL611:AL613" si="2895">IF(ISERROR(AK611/AC611),"NA",IF(OR(AK611/AC611&gt;2,AK611/AC611&lt;0.5),"NM",AK611/AC611*100-100))</f>
        <v>7.8482537133681092</v>
      </c>
      <c r="AM611" s="15">
        <f>+AM479</f>
        <v>550.1</v>
      </c>
      <c r="AN611" s="9">
        <f t="shared" ref="AN611:AN613" si="2896">IF(ISERROR(AM611/AE611),"NA",IF(OR(AM611/AE611&gt;2,AM611/AE611&lt;0.5),"NM",AM611/AE611*100-100))</f>
        <v>7.6727343902916374</v>
      </c>
      <c r="AO611" s="15">
        <f>+AO479</f>
        <v>555.9</v>
      </c>
      <c r="AP611" s="9">
        <f t="shared" ref="AP611:AP613" si="2897">IF(ISERROR(AO611/AG611),"NA",IF(OR(AO611/AG611&gt;2,AO611/AG611&lt;0.5),"NM",AO611/AG611*100-100))</f>
        <v>7.0273392375818275</v>
      </c>
      <c r="AQ611" s="15">
        <f t="shared" ref="AQ611" si="2898">+AQ479</f>
        <v>563.85899999999992</v>
      </c>
      <c r="AR611" s="9">
        <f t="shared" ref="AR611:AR613" si="2899">IF(ISERROR(AQ611/AI611),"NA",IF(OR(AQ611/AI611&gt;2,AQ611/AI611&lt;0.5),"NM",AQ611/AI611*100-100))</f>
        <v>6.6904446546830485</v>
      </c>
      <c r="AS611" s="15">
        <f t="shared" ref="AS611" si="2900">+AS479</f>
        <v>573.38700000000006</v>
      </c>
      <c r="AT611" s="9">
        <f t="shared" ref="AT611:AT613" si="2901">IF(ISERROR(AS611/AK611),"NA",IF(OR(AS611/AK611&gt;2,AS611/AK611&lt;0.5),"NM",AS611/AK611*100-100))</f>
        <v>6.7163595756560852</v>
      </c>
      <c r="AU611" s="15">
        <f t="shared" ref="AU611" si="2902">+AU479</f>
        <v>587.15100000000007</v>
      </c>
      <c r="AV611" s="9">
        <f t="shared" ref="AV611:AV613" si="2903">IF(ISERROR(AU611/AM611),"NA",IF(OR(AU611/AM611&gt;2,AU611/AM611&lt;0.5),"NM",AU611/AM611*100-100))</f>
        <v>6.7353208507544053</v>
      </c>
      <c r="AW611" s="15">
        <f t="shared" ref="AW611" si="2904">+AW479</f>
        <v>593.40100000000007</v>
      </c>
      <c r="AX611" s="9">
        <f t="shared" ref="AX611:AX613" si="2905">IF(ISERROR(AW611/AO611),"NA",IF(OR(AW611/AO611&gt;2,AW611/AO611&lt;0.5),"NM",AW611/AO611*100-100))</f>
        <v>6.7459974815614316</v>
      </c>
      <c r="AY611" s="279"/>
      <c r="AZ611" s="15"/>
      <c r="BA611" s="9" t="str">
        <f>IF(ISERROR(#REF!/#REF!),"NA",IF(OR(#REF!/#REF!&gt;2,#REF!/#REF!&lt;0.5),"NM",#REF!/#REF!*100-100))</f>
        <v>NA</v>
      </c>
      <c r="BB611" s="15">
        <f>+BB479</f>
        <v>1623.6</v>
      </c>
      <c r="BC611" s="9" t="str">
        <f>IF(ISERROR(BB611/#REF!),"NA",IF(OR(BB611/#REF!&gt;2,BB611/#REF!&lt;0.5),"NM",BB611/#REF!*100-100))</f>
        <v>NA</v>
      </c>
      <c r="BD611" s="924">
        <f>+BD479</f>
        <v>1727.1</v>
      </c>
      <c r="BE611" s="9">
        <f t="shared" si="2856"/>
        <v>6.3747228381374725</v>
      </c>
      <c r="BF611" s="15">
        <f>+BF479</f>
        <v>1868.1000000000001</v>
      </c>
      <c r="BG611" s="9">
        <f t="shared" si="2856"/>
        <v>8.1639742921660599</v>
      </c>
      <c r="BH611" s="15">
        <f>+BH479</f>
        <v>2011.4</v>
      </c>
      <c r="BI611" s="9">
        <f t="shared" si="2856"/>
        <v>7.6708955623360708</v>
      </c>
      <c r="BJ611" s="15">
        <f>+BJ479</f>
        <v>2171.7999999999997</v>
      </c>
      <c r="BK611" s="9">
        <f t="shared" si="2856"/>
        <v>7.9745450929700468</v>
      </c>
      <c r="BL611" s="15">
        <f>+BL479</f>
        <v>2317.7980000000002</v>
      </c>
      <c r="BM611" s="9">
        <f t="shared" si="2856"/>
        <v>6.7224422138318687</v>
      </c>
      <c r="BN611" s="15">
        <f>+BN479</f>
        <v>2476.9394400000006</v>
      </c>
      <c r="BO611" s="9">
        <f t="shared" si="2856"/>
        <v>6.8660616671513424</v>
      </c>
      <c r="BP611" s="15">
        <f>+BP479</f>
        <v>2647.0655598000008</v>
      </c>
      <c r="BQ611" s="9">
        <f t="shared" si="2856"/>
        <v>6.8684004563309031</v>
      </c>
      <c r="BR611" s="15">
        <f>+BR479</f>
        <v>2828.9375259360008</v>
      </c>
      <c r="BS611" s="9">
        <f t="shared" si="2856"/>
        <v>6.8707012360412136</v>
      </c>
      <c r="BT611" s="15">
        <f>+BT479</f>
        <v>3023.3693985490208</v>
      </c>
      <c r="BU611" s="9">
        <f t="shared" ref="BU611:BU613" si="2906">IF(ISERROR(BT611/BR611),"NA",IF(OR(BT611/BR611&gt;2,BT611/BR611&lt;0.5),"NM",BT611/BR611*100-100))</f>
        <v>6.8729645257432423</v>
      </c>
      <c r="BV611" s="43">
        <f t="shared" si="2873"/>
        <v>6.8400977859222722</v>
      </c>
      <c r="BW611" s="722"/>
      <c r="BX611" s="722"/>
      <c r="BY611"/>
      <c r="BZ611"/>
      <c r="CA611"/>
      <c r="CB611"/>
      <c r="CC611"/>
      <c r="CD611"/>
    </row>
    <row r="612" spans="1:82" s="2" customFormat="1" ht="12.75" customHeight="1" x14ac:dyDescent="0.2">
      <c r="A612" s="41"/>
      <c r="B612" s="42" t="s">
        <v>324</v>
      </c>
      <c r="C612" s="89">
        <f>+C548</f>
        <v>-4.1999999999999993</v>
      </c>
      <c r="D612" s="769" t="str">
        <f>IF(ISERROR(C612/#REF!),"NA",IF(OR(C612/#REF!&gt;2,C612/#REF!&lt;0.5),"NM",C612/#REF!*100-100))</f>
        <v>NA</v>
      </c>
      <c r="E612" s="89">
        <f t="shared" ref="E612:M612" si="2907">+E548</f>
        <v>-11.499999999999998</v>
      </c>
      <c r="F612" s="9" t="str">
        <f>IF(ISERROR(E612/#REF!),"NA",IF(OR(E612/#REF!&gt;2,E612/#REF!&lt;0.5),"NM",E612/#REF!*100-100))</f>
        <v>NA</v>
      </c>
      <c r="G612" s="89">
        <f t="shared" si="2907"/>
        <v>-11.799999999999999</v>
      </c>
      <c r="H612" s="9" t="str">
        <f>IF(ISERROR(G612/#REF!),"NA",IF(OR(G612/#REF!&gt;2,G612/#REF!&lt;0.5),"NM",G612/#REF!*100-100))</f>
        <v>NA</v>
      </c>
      <c r="I612" s="89">
        <f t="shared" si="2907"/>
        <v>-23.7</v>
      </c>
      <c r="J612" s="9" t="str">
        <f>IF(ISERROR(I612/#REF!),"NA",IF(OR(I612/#REF!&gt;2,I612/#REF!&lt;0.5),"NM",I612/#REF!*100-100))</f>
        <v>NA</v>
      </c>
      <c r="K612" s="89">
        <f t="shared" si="2907"/>
        <v>8.5</v>
      </c>
      <c r="L612" s="9" t="str">
        <f t="shared" si="2844"/>
        <v>NM</v>
      </c>
      <c r="M612" s="89">
        <f t="shared" si="2907"/>
        <v>-16.700000000000003</v>
      </c>
      <c r="N612" s="9">
        <f t="shared" si="2892"/>
        <v>45.217391304347871</v>
      </c>
      <c r="O612" s="89">
        <f>+O548</f>
        <v>-13.3</v>
      </c>
      <c r="P612" s="9">
        <f t="shared" si="2892"/>
        <v>12.711864406779668</v>
      </c>
      <c r="Q612" s="89">
        <f>+Q548</f>
        <v>-18.799999999999997</v>
      </c>
      <c r="R612" s="9">
        <f t="shared" si="2892"/>
        <v>-20.675105485232081</v>
      </c>
      <c r="S612" s="89">
        <f>+S548</f>
        <v>-6.7000000000000028</v>
      </c>
      <c r="T612" s="9" t="str">
        <f t="shared" si="2892"/>
        <v>NM</v>
      </c>
      <c r="U612" s="89">
        <f>+U548</f>
        <v>-9</v>
      </c>
      <c r="V612" s="9">
        <f t="shared" si="2892"/>
        <v>-46.107784431137731</v>
      </c>
      <c r="W612" s="89">
        <f>+W548</f>
        <v>-16.5</v>
      </c>
      <c r="X612" s="9">
        <f t="shared" si="2892"/>
        <v>24.060150375939855</v>
      </c>
      <c r="Y612" s="89">
        <f>+Y548</f>
        <v>-18.299999999999997</v>
      </c>
      <c r="Z612" s="9">
        <f t="shared" si="2892"/>
        <v>-2.659574468085097</v>
      </c>
      <c r="AA612" s="89">
        <f>+AA548</f>
        <v>-13.099999999999998</v>
      </c>
      <c r="AB612" s="9">
        <f t="shared" si="2892"/>
        <v>95.52238805970137</v>
      </c>
      <c r="AC612" s="89">
        <f>+AC548</f>
        <v>-17.499999999999996</v>
      </c>
      <c r="AD612" s="9">
        <f t="shared" si="2893"/>
        <v>94.4444444444444</v>
      </c>
      <c r="AE612" s="89">
        <f>+AE548</f>
        <v>-21</v>
      </c>
      <c r="AF612" s="9">
        <f t="shared" si="2893"/>
        <v>27.272727272727266</v>
      </c>
      <c r="AG612" s="89">
        <f>+AG548</f>
        <v>5.2999999999999972</v>
      </c>
      <c r="AH612" s="9" t="str">
        <f>IF(ISERROR(AG612/Y612),"NA",IF(OR(AG612/Y612&gt;2,AG612/Y612&lt;0.5),"NM",AG612/Y612*100-100))</f>
        <v>NM</v>
      </c>
      <c r="AI612" s="89">
        <f>+AI548</f>
        <v>-1.5</v>
      </c>
      <c r="AJ612" s="9" t="str">
        <f t="shared" si="2894"/>
        <v>NM</v>
      </c>
      <c r="AK612" s="89">
        <f>+AK548</f>
        <v>-19.799999999999997</v>
      </c>
      <c r="AL612" s="9">
        <f t="shared" si="2895"/>
        <v>13.142857142857139</v>
      </c>
      <c r="AM612" s="89">
        <f>+AM548</f>
        <v>-20.299999999999997</v>
      </c>
      <c r="AN612" s="9">
        <f t="shared" si="2896"/>
        <v>-3.3333333333333428</v>
      </c>
      <c r="AO612" s="89">
        <f>+AO548</f>
        <v>-19.2</v>
      </c>
      <c r="AP612" s="9" t="str">
        <f t="shared" si="2897"/>
        <v>NM</v>
      </c>
      <c r="AQ612" s="89">
        <f t="shared" ref="AQ612:AW612" si="2908">+AQ548</f>
        <v>-17.783999999999995</v>
      </c>
      <c r="AR612" s="9" t="str">
        <f t="shared" si="2899"/>
        <v>NM</v>
      </c>
      <c r="AS612" s="89">
        <f t="shared" si="2908"/>
        <v>-17.783999999999995</v>
      </c>
      <c r="AT612" s="9">
        <f t="shared" si="2901"/>
        <v>-10.181818181818187</v>
      </c>
      <c r="AU612" s="89">
        <f t="shared" si="2908"/>
        <v>-17.783999999999995</v>
      </c>
      <c r="AV612" s="9">
        <f t="shared" si="2903"/>
        <v>-12.394088669950747</v>
      </c>
      <c r="AW612" s="89">
        <f t="shared" si="2908"/>
        <v>-17.783999999999995</v>
      </c>
      <c r="AX612" s="9">
        <f t="shared" si="2905"/>
        <v>-7.3750000000000142</v>
      </c>
      <c r="AY612" s="279"/>
      <c r="AZ612" s="15"/>
      <c r="BA612" s="9" t="str">
        <f>IF(ISERROR(#REF!/#REF!),"NA",IF(OR(#REF!/#REF!&gt;2,#REF!/#REF!&lt;0.5),"NM",#REF!/#REF!*100-100))</f>
        <v>NA</v>
      </c>
      <c r="BB612" s="89">
        <f>+BB548</f>
        <v>-51.199999999999989</v>
      </c>
      <c r="BC612" s="9" t="str">
        <f>IF(ISERROR(BB612/#REF!),"NA",IF(OR(BB612/#REF!&gt;2,BB612/#REF!&lt;0.5),"NM",BB612/#REF!*100-100))</f>
        <v>NA</v>
      </c>
      <c r="BD612" s="958">
        <f>+BD548</f>
        <v>-40.299999999999997</v>
      </c>
      <c r="BE612" s="9">
        <f t="shared" si="2856"/>
        <v>-21.289062499999986</v>
      </c>
      <c r="BF612" s="89">
        <f>+BF548</f>
        <v>-50.5</v>
      </c>
      <c r="BG612" s="9">
        <f t="shared" si="2856"/>
        <v>25.310173697270486</v>
      </c>
      <c r="BH612" s="89">
        <f>+BH548</f>
        <v>-46.3</v>
      </c>
      <c r="BI612" s="9">
        <f t="shared" si="2856"/>
        <v>-8.3168316831683171</v>
      </c>
      <c r="BJ612" s="89">
        <f>+BJ548</f>
        <v>-60.8</v>
      </c>
      <c r="BK612" s="9">
        <f t="shared" si="2856"/>
        <v>31.317494600431957</v>
      </c>
      <c r="BL612" s="89">
        <f>+BL548</f>
        <v>-71.135999999999981</v>
      </c>
      <c r="BM612" s="9">
        <f t="shared" si="2856"/>
        <v>16.999999999999972</v>
      </c>
      <c r="BN612" s="89">
        <f>+BN548</f>
        <v>-76.636799999999994</v>
      </c>
      <c r="BO612" s="9">
        <f t="shared" si="2856"/>
        <v>7.7327935222672295</v>
      </c>
      <c r="BP612" s="89">
        <f>+BP548</f>
        <v>-82.451519999999988</v>
      </c>
      <c r="BQ612" s="9">
        <f t="shared" si="2856"/>
        <v>7.5873731679819514</v>
      </c>
      <c r="BR612" s="89">
        <f>+BR548</f>
        <v>-88.59663359999999</v>
      </c>
      <c r="BS612" s="9">
        <f t="shared" si="2856"/>
        <v>7.4530022005658623</v>
      </c>
      <c r="BT612" s="89">
        <f>+BT548</f>
        <v>-95.089453632000001</v>
      </c>
      <c r="BU612" s="9">
        <f t="shared" si="2906"/>
        <v>7.3285177643589492</v>
      </c>
      <c r="BV612" s="43">
        <f t="shared" si="2873"/>
        <v>9.3567902135653025</v>
      </c>
      <c r="BW612" s="722"/>
      <c r="BX612" s="722"/>
      <c r="BY612"/>
      <c r="BZ612"/>
      <c r="CA612"/>
      <c r="CB612"/>
      <c r="CC612"/>
      <c r="CD612"/>
    </row>
    <row r="613" spans="1:82" s="2" customFormat="1" ht="12.75" customHeight="1" x14ac:dyDescent="0.2">
      <c r="A613" s="66"/>
      <c r="B613" s="80" t="s">
        <v>325</v>
      </c>
      <c r="C613" s="79">
        <f>C596+C606+C607+C608+C612</f>
        <v>2252.4</v>
      </c>
      <c r="D613" s="9" t="str">
        <f>IF(ISERROR(C613/#REF!),"NA",IF(OR(C613/#REF!&gt;2,C613/#REF!&lt;0.5),"NM",C613/#REF!*100-100))</f>
        <v>NA</v>
      </c>
      <c r="E613" s="79">
        <f>E596+E606+E607+E608+E612</f>
        <v>2324.6999999999998</v>
      </c>
      <c r="F613" s="9" t="str">
        <f>IF(ISERROR(E613/#REF!),"NA",IF(OR(E613/#REF!&gt;2,E613/#REF!&lt;0.5),"NM",E613/#REF!*100-100))</f>
        <v>NA</v>
      </c>
      <c r="G613" s="79">
        <f>G596+G606+G607+G608+G612</f>
        <v>2328.0999999999995</v>
      </c>
      <c r="H613" s="9" t="str">
        <f>IF(ISERROR(G613/#REF!),"NA",IF(OR(G613/#REF!&gt;2,G613/#REF!&lt;0.5),"NM",G613/#REF!*100-100))</f>
        <v>NA</v>
      </c>
      <c r="I613" s="79">
        <f>I596+I606+I607+I608+I612</f>
        <v>2753.6000000000004</v>
      </c>
      <c r="J613" s="9" t="str">
        <f>IF(ISERROR(I613/#REF!),"NA",IF(OR(I613/#REF!&gt;2,I613/#REF!&lt;0.5),"NM",I613/#REF!*100-100))</f>
        <v>NA</v>
      </c>
      <c r="K613" s="79">
        <f>K596+K606+K607+K608+K612</f>
        <v>2511.5</v>
      </c>
      <c r="L613" s="9">
        <f t="shared" si="2844"/>
        <v>11.503285384478772</v>
      </c>
      <c r="M613" s="79">
        <f>M596+M606+M607+M608+M612</f>
        <v>2556.8000000000002</v>
      </c>
      <c r="N613" s="9">
        <f t="shared" si="2892"/>
        <v>9.9840839678238211</v>
      </c>
      <c r="O613" s="81">
        <f>O596+O606+O607+O608+O612</f>
        <v>2567.1999999999998</v>
      </c>
      <c r="P613" s="9">
        <f t="shared" si="2892"/>
        <v>10.270177397878115</v>
      </c>
      <c r="Q613" s="81">
        <f>Q596+Q606+Q607+Q608+Q612</f>
        <v>2973.8999999999996</v>
      </c>
      <c r="R613" s="9">
        <f t="shared" si="2892"/>
        <v>8.0004357931434953</v>
      </c>
      <c r="S613" s="81">
        <f>S596+S606+S607+S608+S612</f>
        <v>2559.2000000000003</v>
      </c>
      <c r="T613" s="9">
        <f t="shared" si="2892"/>
        <v>1.8992633884133028</v>
      </c>
      <c r="U613" s="81">
        <f>U596+U606+U607+U608+U612</f>
        <v>3420.2000000000003</v>
      </c>
      <c r="V613" s="9">
        <f t="shared" si="2892"/>
        <v>33.768773466833522</v>
      </c>
      <c r="W613" s="81">
        <f t="shared" ref="W613:Y613" si="2909">W596+W606+W607+W608+W612</f>
        <v>3250</v>
      </c>
      <c r="X613" s="9">
        <f t="shared" si="2892"/>
        <v>26.597070738547842</v>
      </c>
      <c r="Y613" s="81">
        <f t="shared" si="2909"/>
        <v>2891.8999999999996</v>
      </c>
      <c r="Z613" s="9">
        <f t="shared" si="2892"/>
        <v>-2.7573220350381717</v>
      </c>
      <c r="AA613" s="81">
        <f t="shared" ref="AA613:AC613" si="2910">AA596+AA606+AA607+AA608+AA612</f>
        <v>2937.9</v>
      </c>
      <c r="AB613" s="9">
        <f t="shared" si="2892"/>
        <v>14.797592997811805</v>
      </c>
      <c r="AC613" s="81">
        <f t="shared" si="2910"/>
        <v>3035.2</v>
      </c>
      <c r="AD613" s="9">
        <f t="shared" si="2893"/>
        <v>-11.256651657797804</v>
      </c>
      <c r="AE613" s="81">
        <f t="shared" ref="AE613:AG613" si="2911">AE596+AE606+AE607+AE608+AE612</f>
        <v>2814.4</v>
      </c>
      <c r="AF613" s="9">
        <f t="shared" si="2893"/>
        <v>-13.403076923076924</v>
      </c>
      <c r="AG613" s="81">
        <f t="shared" si="2911"/>
        <v>3593.5000000000005</v>
      </c>
      <c r="AH613" s="9">
        <f>IF(ISERROR(AG613/Y613),"NA",IF(OR(AG613/Y613&gt;2,AG613/Y613&lt;0.5),"NM",AG613/Y613*100-100))</f>
        <v>24.260866558318099</v>
      </c>
      <c r="AI613" s="81">
        <f t="shared" ref="AI613:AK613" si="2912">AI596+AI606+AI607+AI608+AI612</f>
        <v>3104.7</v>
      </c>
      <c r="AJ613" s="9">
        <f t="shared" si="2894"/>
        <v>5.6775247625855201</v>
      </c>
      <c r="AK613" s="81">
        <f t="shared" si="2912"/>
        <v>3309.6000000000004</v>
      </c>
      <c r="AL613" s="9">
        <f t="shared" si="2895"/>
        <v>9.0405904059040836</v>
      </c>
      <c r="AM613" s="81">
        <f t="shared" ref="AM613:AO613" si="2913">AM596+AM606+AM607+AM608+AM612</f>
        <v>3978.2</v>
      </c>
      <c r="AN613" s="9">
        <f t="shared" si="2896"/>
        <v>41.351620238772</v>
      </c>
      <c r="AO613" s="81">
        <f t="shared" si="2913"/>
        <v>3311</v>
      </c>
      <c r="AP613" s="9">
        <f t="shared" si="2897"/>
        <v>-7.8614164463615026</v>
      </c>
      <c r="AQ613" s="79">
        <f t="shared" ref="AQ613:AW613" si="2914">AQ596+AQ606+AQ607+AQ608+AQ612</f>
        <v>3338.5188264773014</v>
      </c>
      <c r="AR613" s="9">
        <f t="shared" si="2899"/>
        <v>7.5311246328888899</v>
      </c>
      <c r="AS613" s="79">
        <f t="shared" si="2914"/>
        <v>3371.1149846962703</v>
      </c>
      <c r="AT613" s="9">
        <f t="shared" si="2901"/>
        <v>1.8586833664572708</v>
      </c>
      <c r="AU613" s="79">
        <f t="shared" si="2914"/>
        <v>3417.210244361946</v>
      </c>
      <c r="AV613" s="9">
        <f t="shared" si="2903"/>
        <v>-14.10159759785968</v>
      </c>
      <c r="AW613" s="79">
        <f t="shared" si="2914"/>
        <v>3452.3919391098361</v>
      </c>
      <c r="AX613" s="9">
        <f t="shared" si="2905"/>
        <v>4.2703696499497568</v>
      </c>
      <c r="AY613" s="285"/>
      <c r="AZ613" s="79"/>
      <c r="BA613" s="9" t="str">
        <f>IF(ISERROR(#REF!/#REF!),"NA",IF(OR(#REF!/#REF!&gt;2,#REF!/#REF!&lt;0.5),"NM",#REF!/#REF!*100-100))</f>
        <v>NA</v>
      </c>
      <c r="BB613" s="79">
        <f t="shared" ref="BB613:BD613" si="2915">BB596+BB606+BB607+BB608+BB612</f>
        <v>9658.7999999999993</v>
      </c>
      <c r="BC613" s="9" t="str">
        <f>IF(ISERROR(BB613/#REF!),"NA",IF(OR(BB613/#REF!&gt;2,BB613/#REF!&lt;0.5),"NM",BB613/#REF!*100-100))</f>
        <v>NA</v>
      </c>
      <c r="BD613" s="959">
        <f t="shared" si="2915"/>
        <v>10609.400000000001</v>
      </c>
      <c r="BE613" s="9">
        <f t="shared" si="2856"/>
        <v>9.8418022942808818</v>
      </c>
      <c r="BF613" s="79">
        <f>BF596+BF606+BF607+BF608+BF612</f>
        <v>12121.3</v>
      </c>
      <c r="BG613" s="9">
        <f t="shared" si="2856"/>
        <v>14.250570249024435</v>
      </c>
      <c r="BH613" s="79">
        <f>BH596+BH606+BH607+BH608+BH612</f>
        <v>12381.000000000002</v>
      </c>
      <c r="BI613" s="9">
        <f t="shared" si="2856"/>
        <v>2.1425094668063878</v>
      </c>
      <c r="BJ613" s="79">
        <f>BJ596+BJ606+BJ607+BJ608+BJ612</f>
        <v>13703.5</v>
      </c>
      <c r="BK613" s="9">
        <f t="shared" si="2856"/>
        <v>10.681689685808891</v>
      </c>
      <c r="BL613" s="79">
        <f>BL596+BL606+BL607+BL608+BL612</f>
        <v>13579.235994645354</v>
      </c>
      <c r="BM613" s="9">
        <f t="shared" si="2856"/>
        <v>-0.90680486995763943</v>
      </c>
      <c r="BN613" s="79">
        <f>BN596+BN606+BN607+BN608+BN612</f>
        <v>14243.763998427985</v>
      </c>
      <c r="BO613" s="9">
        <f t="shared" si="2856"/>
        <v>4.8937068627769094</v>
      </c>
      <c r="BP613" s="79">
        <f>BP596+BP606+BP607+BP608+BP612</f>
        <v>14968.188495397515</v>
      </c>
      <c r="BQ613" s="9">
        <f t="shared" si="2856"/>
        <v>5.0859063450467374</v>
      </c>
      <c r="BR613" s="79">
        <f>BR596+BR606+BR607+BR608+BR612</f>
        <v>15728.902252171172</v>
      </c>
      <c r="BS613" s="9">
        <f t="shared" si="2856"/>
        <v>5.0822032138863307</v>
      </c>
      <c r="BT613" s="79">
        <f>BT596+BT606+BT607+BT608+BT612</f>
        <v>16534.448693544764</v>
      </c>
      <c r="BU613" s="9">
        <f t="shared" si="2906"/>
        <v>5.1214409528318896</v>
      </c>
      <c r="BV613" s="43">
        <f t="shared" si="2873"/>
        <v>3.8273197211969201</v>
      </c>
      <c r="BW613" s="722"/>
      <c r="BX613" s="722"/>
      <c r="BY613"/>
      <c r="BZ613"/>
      <c r="CA613"/>
      <c r="CB613"/>
      <c r="CC613"/>
      <c r="CD613"/>
    </row>
    <row r="614" spans="1:82" s="227" customFormat="1" ht="12.75" customHeight="1" x14ac:dyDescent="0.2">
      <c r="A614" s="251"/>
      <c r="B614" s="90" t="s">
        <v>167</v>
      </c>
      <c r="C614" s="39" t="b">
        <f>C613=C575</f>
        <v>1</v>
      </c>
      <c r="D614" s="40"/>
      <c r="E614" s="39" t="b">
        <f>E613=E575</f>
        <v>1</v>
      </c>
      <c r="F614" s="40"/>
      <c r="G614" s="39" t="b">
        <f>G613=G575</f>
        <v>1</v>
      </c>
      <c r="H614" s="9" t="str">
        <f>IF(ISERROR(G614/#REF!),"NA",IF(OR(G614/#REF!&gt;2,G614/#REF!&lt;0.5),"NM",G614/#REF!*100-100))</f>
        <v>NA</v>
      </c>
      <c r="I614" s="39" t="b">
        <f>I613=I575</f>
        <v>1</v>
      </c>
      <c r="J614" s="40"/>
      <c r="K614" s="39" t="b">
        <f>K613=K575</f>
        <v>1</v>
      </c>
      <c r="L614" s="40"/>
      <c r="M614" s="39" t="b">
        <f>M613=M575</f>
        <v>1</v>
      </c>
      <c r="N614" s="9"/>
      <c r="O614" s="39" t="b">
        <f>O613=O575</f>
        <v>1</v>
      </c>
      <c r="P614" s="9"/>
      <c r="Q614" s="39" t="b">
        <f>Q613=Q575</f>
        <v>1</v>
      </c>
      <c r="R614" s="9"/>
      <c r="S614" s="39" t="b">
        <f>S613=S575</f>
        <v>1</v>
      </c>
      <c r="T614" s="9"/>
      <c r="U614" s="39" t="b">
        <f>U613=U575</f>
        <v>1</v>
      </c>
      <c r="V614" s="9"/>
      <c r="W614" s="39" t="b">
        <f>W613=W575</f>
        <v>1</v>
      </c>
      <c r="X614" s="9"/>
      <c r="Y614" s="39" t="b">
        <f>Y613=Y575</f>
        <v>1</v>
      </c>
      <c r="Z614" s="9"/>
      <c r="AA614" s="39" t="b">
        <f>AA613=AA575</f>
        <v>1</v>
      </c>
      <c r="AB614" s="9"/>
      <c r="AC614" s="39" t="b">
        <f>AC613=AC575</f>
        <v>1</v>
      </c>
      <c r="AD614" s="9"/>
      <c r="AE614" s="39" t="b">
        <f>AE613=AE575</f>
        <v>1</v>
      </c>
      <c r="AF614" s="9"/>
      <c r="AG614" s="39" t="b">
        <f>AG613=AG575</f>
        <v>1</v>
      </c>
      <c r="AH614" s="9"/>
      <c r="AI614" s="39" t="b">
        <f>AI613=AI575</f>
        <v>1</v>
      </c>
      <c r="AJ614" s="9"/>
      <c r="AK614" s="39" t="b">
        <f>AK613=AK575</f>
        <v>1</v>
      </c>
      <c r="AL614" s="9"/>
      <c r="AM614" s="39" t="b">
        <f>AM613=AM575</f>
        <v>1</v>
      </c>
      <c r="AN614" s="9"/>
      <c r="AO614" s="39" t="b">
        <f>AO613=AO575</f>
        <v>1</v>
      </c>
      <c r="AP614" s="9"/>
      <c r="AQ614" s="39" t="b">
        <f t="shared" ref="AQ614:AW614" si="2916">AQ613=AQ575</f>
        <v>1</v>
      </c>
      <c r="AR614" s="9"/>
      <c r="AS614" s="39" t="b">
        <f t="shared" si="2916"/>
        <v>1</v>
      </c>
      <c r="AT614" s="9"/>
      <c r="AU614" s="39" t="b">
        <f t="shared" si="2916"/>
        <v>1</v>
      </c>
      <c r="AV614" s="9"/>
      <c r="AW614" s="39" t="b">
        <f t="shared" si="2916"/>
        <v>1</v>
      </c>
      <c r="AX614" s="9"/>
      <c r="AY614" s="292"/>
      <c r="AZ614" s="39"/>
      <c r="BA614" s="39"/>
      <c r="BB614" s="39" t="b">
        <f>BB613=BB575</f>
        <v>1</v>
      </c>
      <c r="BC614" s="40"/>
      <c r="BD614" s="960" t="b">
        <f>BD613=BD575</f>
        <v>1</v>
      </c>
      <c r="BE614" s="40"/>
      <c r="BF614" s="39" t="b">
        <f>BF613=BF575</f>
        <v>1</v>
      </c>
      <c r="BG614" s="40"/>
      <c r="BH614" s="39" t="b">
        <f>BH613=BH575</f>
        <v>1</v>
      </c>
      <c r="BI614" s="40"/>
      <c r="BJ614" s="39" t="b">
        <f>BJ613=BJ575</f>
        <v>1</v>
      </c>
      <c r="BK614" s="40"/>
      <c r="BL614" s="39" t="b">
        <f>BL613=BL575</f>
        <v>1</v>
      </c>
      <c r="BM614" s="40"/>
      <c r="BN614" s="39" t="b">
        <f>BN613=BN575</f>
        <v>1</v>
      </c>
      <c r="BO614" s="40"/>
      <c r="BP614" s="39" t="b">
        <f>BP613=BP575</f>
        <v>1</v>
      </c>
      <c r="BQ614" s="40"/>
      <c r="BR614" s="39" t="b">
        <f>BR613=BR575</f>
        <v>1</v>
      </c>
      <c r="BS614" s="40"/>
      <c r="BT614" s="39" t="b">
        <f>BT613=BT575</f>
        <v>1</v>
      </c>
      <c r="BU614" s="40"/>
      <c r="BV614" s="722"/>
      <c r="BW614" s="722"/>
      <c r="BX614" s="722"/>
      <c r="BY614"/>
      <c r="BZ614"/>
      <c r="CA614"/>
      <c r="CB614"/>
      <c r="CC614"/>
      <c r="CD614"/>
    </row>
    <row r="615" spans="1:82" s="2" customFormat="1" ht="12.75" customHeight="1" x14ac:dyDescent="0.2">
      <c r="A615" s="41"/>
      <c r="B615" s="80"/>
      <c r="C615" s="15"/>
      <c r="D615" s="40"/>
      <c r="E615" s="15"/>
      <c r="F615" s="40"/>
      <c r="G615" s="15"/>
      <c r="H615" s="40"/>
      <c r="I615" s="15"/>
      <c r="J615" s="40"/>
      <c r="K615" s="15"/>
      <c r="L615" s="40"/>
      <c r="M615" s="15"/>
      <c r="N615" s="40"/>
      <c r="O615" s="15"/>
      <c r="P615" s="40"/>
      <c r="Q615" s="15"/>
      <c r="R615" s="40"/>
      <c r="S615" s="15"/>
      <c r="T615" s="40"/>
      <c r="U615" s="15"/>
      <c r="V615" s="40"/>
      <c r="W615" s="15"/>
      <c r="X615" s="40"/>
      <c r="Y615" s="15"/>
      <c r="Z615" s="40"/>
      <c r="AA615" s="15"/>
      <c r="AB615" s="40"/>
      <c r="AC615" s="15"/>
      <c r="AD615" s="40"/>
      <c r="AE615" s="15"/>
      <c r="AF615" s="40"/>
      <c r="AG615" s="15"/>
      <c r="AH615" s="40"/>
      <c r="AI615" s="15"/>
      <c r="AJ615" s="40"/>
      <c r="AK615" s="15"/>
      <c r="AL615" s="40"/>
      <c r="AM615" s="15"/>
      <c r="AN615" s="40"/>
      <c r="AO615" s="15"/>
      <c r="AP615" s="40"/>
      <c r="AQ615" s="15"/>
      <c r="AR615" s="40"/>
      <c r="AS615" s="15"/>
      <c r="AT615" s="40"/>
      <c r="AU615" s="15"/>
      <c r="AV615" s="40"/>
      <c r="AW615" s="15"/>
      <c r="AX615" s="40"/>
      <c r="AY615" s="279"/>
      <c r="AZ615" s="15"/>
      <c r="BA615" s="40"/>
      <c r="BB615" s="15"/>
      <c r="BC615" s="40"/>
      <c r="BD615" s="924"/>
      <c r="BE615" s="40"/>
      <c r="BF615" s="15"/>
      <c r="BG615" s="40"/>
      <c r="BH615" s="15"/>
      <c r="BI615" s="40"/>
      <c r="BJ615" s="15"/>
      <c r="BK615" s="40"/>
      <c r="BL615" s="15"/>
      <c r="BM615" s="40"/>
      <c r="BN615" s="15"/>
      <c r="BO615" s="40"/>
      <c r="BP615" s="15"/>
      <c r="BQ615" s="40"/>
      <c r="BR615" s="15"/>
      <c r="BS615" s="40"/>
      <c r="BT615" s="15"/>
      <c r="BU615" s="40"/>
      <c r="BV615" s="722"/>
      <c r="BW615" s="722"/>
      <c r="BX615" s="722"/>
      <c r="BY615"/>
      <c r="BZ615"/>
      <c r="CA615"/>
      <c r="CB615"/>
      <c r="CC615"/>
      <c r="CD615"/>
    </row>
    <row r="616" spans="1:82" s="2" customFormat="1" ht="12.75" customHeight="1" x14ac:dyDescent="0.2">
      <c r="A616" s="41"/>
      <c r="B616" s="80" t="s">
        <v>582</v>
      </c>
      <c r="C616" s="15"/>
      <c r="D616" s="40"/>
      <c r="E616" s="15"/>
      <c r="F616" s="40"/>
      <c r="G616" s="15"/>
      <c r="H616" s="40"/>
      <c r="I616" s="15"/>
      <c r="J616" s="40"/>
      <c r="K616" s="15"/>
      <c r="L616" s="40"/>
      <c r="M616" s="15"/>
      <c r="N616" s="40"/>
      <c r="O616" s="15"/>
      <c r="P616" s="40"/>
      <c r="Q616" s="15"/>
      <c r="R616" s="40"/>
      <c r="S616" s="15"/>
      <c r="T616" s="40"/>
      <c r="U616" s="15"/>
      <c r="V616" s="40"/>
      <c r="W616" s="15"/>
      <c r="X616" s="40"/>
      <c r="Y616" s="15"/>
      <c r="Z616" s="40"/>
      <c r="AA616" s="15"/>
      <c r="AB616" s="40"/>
      <c r="AC616" s="15"/>
      <c r="AD616" s="40"/>
      <c r="AE616" s="15"/>
      <c r="AF616" s="40"/>
      <c r="AG616" s="15"/>
      <c r="AH616" s="40"/>
      <c r="AI616" s="15"/>
      <c r="AJ616" s="40"/>
      <c r="AK616" s="15"/>
      <c r="AL616" s="40"/>
      <c r="AM616" s="15"/>
      <c r="AN616" s="40"/>
      <c r="AO616" s="15"/>
      <c r="AP616" s="40"/>
      <c r="AQ616" s="15"/>
      <c r="AR616" s="40"/>
      <c r="AS616" s="15"/>
      <c r="AT616" s="40"/>
      <c r="AU616" s="15"/>
      <c r="AV616" s="40"/>
      <c r="AW616" s="15"/>
      <c r="AX616" s="40"/>
      <c r="AY616" s="279"/>
      <c r="AZ616" s="15"/>
      <c r="BA616" s="40"/>
      <c r="BB616" s="15"/>
      <c r="BC616" s="40"/>
      <c r="BD616" s="924"/>
      <c r="BE616" s="40"/>
      <c r="BF616" s="15"/>
      <c r="BG616" s="40"/>
      <c r="BH616" s="15"/>
      <c r="BI616" s="40"/>
      <c r="BJ616" s="15"/>
      <c r="BK616" s="40"/>
      <c r="BL616" s="15"/>
      <c r="BM616" s="40"/>
      <c r="BN616" s="15"/>
      <c r="BO616" s="40"/>
      <c r="BP616" s="15"/>
      <c r="BQ616" s="40"/>
      <c r="BR616" s="15"/>
      <c r="BS616" s="40"/>
      <c r="BT616" s="15"/>
      <c r="BU616" s="40"/>
      <c r="BV616" s="722"/>
      <c r="BW616" s="722"/>
      <c r="BX616" s="722"/>
      <c r="BY616"/>
      <c r="BZ616"/>
      <c r="CA616"/>
      <c r="CB616"/>
      <c r="CC616"/>
      <c r="CD616"/>
    </row>
    <row r="617" spans="1:82" s="2" customFormat="1" ht="12.75" customHeight="1" x14ac:dyDescent="0.2">
      <c r="A617" s="41" t="s">
        <v>349</v>
      </c>
      <c r="B617" s="42" t="str">
        <f>+B596</f>
        <v>Retirement &amp; Income Solutions</v>
      </c>
      <c r="C617" s="725">
        <f>C143</f>
        <v>182.00000000000006</v>
      </c>
      <c r="D617" s="743" t="str">
        <f>IF(ISERROR(C617/#REF!),"NA",IF(OR(C617/#REF!&gt;2,C617/#REF!&lt;0.5),"NM",C617/#REF!*100-100))</f>
        <v>NA</v>
      </c>
      <c r="E617" s="725">
        <f>E143</f>
        <v>196.5</v>
      </c>
      <c r="F617" s="9" t="str">
        <f>IF(ISERROR(E617/#REF!),"NA",IF(OR(E617/#REF!&gt;2,E617/#REF!&lt;0.5),"NM",E617/#REF!*100-100))</f>
        <v>NA</v>
      </c>
      <c r="G617" s="725">
        <f>G143</f>
        <v>183.10000000000008</v>
      </c>
      <c r="H617" s="9" t="str">
        <f>IF(ISERROR(G617/#REF!),"NA",IF(OR(G617/#REF!&gt;2,G617/#REF!&lt;0.5),"NM",G617/#REF!*100-100))</f>
        <v>NA</v>
      </c>
      <c r="I617" s="725">
        <f>I143</f>
        <v>190.89999999999998</v>
      </c>
      <c r="J617" s="9" t="str">
        <f>IF(ISERROR(I617/#REF!),"NA",IF(OR(I617/#REF!&gt;2,I617/#REF!&lt;0.5),"NM",I617/#REF!*100-100))</f>
        <v>NA</v>
      </c>
      <c r="K617" s="725">
        <f>K143</f>
        <v>217.90000000000003</v>
      </c>
      <c r="L617" s="9">
        <f t="shared" ref="L617:L634" si="2917">IF(ISERROR(K617/C617),"NA",IF(OR(K617/C617&gt;2,K617/C617&lt;0.5),"NM",K617/C617*100-100))</f>
        <v>19.725274725274701</v>
      </c>
      <c r="M617" s="725">
        <f>M143</f>
        <v>227.3</v>
      </c>
      <c r="N617" s="9">
        <f t="shared" ref="N617:AB619" si="2918">IF(ISERROR(M617/E617),"NA",IF(OR(M617/E617&gt;2,M617/E617&lt;0.5),"NM",M617/E617*100-100))</f>
        <v>15.67430025445293</v>
      </c>
      <c r="O617" s="725">
        <f>O143</f>
        <v>207.60000000000014</v>
      </c>
      <c r="P617" s="9">
        <f t="shared" si="2918"/>
        <v>13.380666302566937</v>
      </c>
      <c r="Q617" s="725">
        <f>Q143</f>
        <v>198.40000000000015</v>
      </c>
      <c r="R617" s="9">
        <f t="shared" si="2918"/>
        <v>3.9287585123102104</v>
      </c>
      <c r="S617" s="725">
        <f>S143</f>
        <v>202.89999999999992</v>
      </c>
      <c r="T617" s="9">
        <f t="shared" si="2918"/>
        <v>-6.8838916934374055</v>
      </c>
      <c r="U617" s="725">
        <f>U143</f>
        <v>216.89999999999998</v>
      </c>
      <c r="V617" s="9">
        <f t="shared" si="2918"/>
        <v>-4.5754509458865016</v>
      </c>
      <c r="W617" s="725">
        <f>W143</f>
        <v>133.50000000000006</v>
      </c>
      <c r="X617" s="9">
        <f t="shared" si="2918"/>
        <v>-35.693641618497125</v>
      </c>
      <c r="Y617" s="725">
        <f>Y143</f>
        <v>186.8</v>
      </c>
      <c r="Z617" s="9">
        <f t="shared" si="2918"/>
        <v>-5.8467741935484554</v>
      </c>
      <c r="AA617" s="725">
        <f>AA143</f>
        <v>181.39999999999998</v>
      </c>
      <c r="AB617" s="9">
        <f t="shared" si="2918"/>
        <v>-10.596352883193674</v>
      </c>
      <c r="AC617" s="725">
        <f>AC143</f>
        <v>194.69999999999993</v>
      </c>
      <c r="AD617" s="9">
        <f t="shared" ref="AD617:AF619" si="2919">IF(ISERROR(AC617/U617),"NA",IF(OR(AC617/U617&gt;2,AC617/U617&lt;0.5),"NM",AC617/U617*100-100))</f>
        <v>-10.235131396957144</v>
      </c>
      <c r="AE617" s="725">
        <f>AE143</f>
        <v>206.89999999999998</v>
      </c>
      <c r="AF617" s="9">
        <f t="shared" si="2919"/>
        <v>54.981273408239616</v>
      </c>
      <c r="AG617" s="725">
        <f>AG143</f>
        <v>211.49999999999983</v>
      </c>
      <c r="AH617" s="743">
        <f>IF(ISERROR(AG617/Y617),"NA",IF(OR(AG617/Y617&gt;2,AG617/Y617&lt;0.5),"NM",AG617/Y617*100-100))</f>
        <v>13.222698072805045</v>
      </c>
      <c r="AI617" s="725">
        <f>AI143</f>
        <v>244.2000000000001</v>
      </c>
      <c r="AJ617" s="743">
        <f t="shared" ref="AJ617:AJ634" si="2920">IF(ISERROR(AI617/AA617),"NA",IF(OR(AI617/AA617&gt;2,AI617/AA617&lt;0.5),"NM",AI617/AA617*100-100))</f>
        <v>34.619625137817053</v>
      </c>
      <c r="AK617" s="725">
        <f>AK143</f>
        <v>243.80000000000018</v>
      </c>
      <c r="AL617" s="743">
        <f t="shared" ref="AL617:AL634" si="2921">IF(ISERROR(AK617/AC617),"NA",IF(OR(AK617/AC617&gt;2,AK617/AC617&lt;0.5),"NM",AK617/AC617*100-100))</f>
        <v>25.218284540318578</v>
      </c>
      <c r="AM617" s="725">
        <f>AM143</f>
        <v>210.10000000000014</v>
      </c>
      <c r="AN617" s="743">
        <f t="shared" ref="AN617:AN634" si="2922">IF(ISERROR(AM617/AE617),"NA",IF(OR(AM617/AE617&gt;2,AM617/AE617&lt;0.5),"NM",AM617/AE617*100-100))</f>
        <v>1.5466408893185957</v>
      </c>
      <c r="AO617" s="725">
        <f>AO143</f>
        <v>201.6999999999997</v>
      </c>
      <c r="AP617" s="743">
        <f t="shared" ref="AP617:AP634" si="2923">IF(ISERROR(AO617/AG617),"NA",IF(OR(AO617/AG617&gt;2,AO617/AG617&lt;0.5),"NM",AO617/AG617*100-100))</f>
        <v>-4.633569739952776</v>
      </c>
      <c r="AQ617" s="725">
        <f>AQ143</f>
        <v>231.58326887735433</v>
      </c>
      <c r="AR617" s="743">
        <f t="shared" ref="AR617:AR634" si="2924">IF(ISERROR(AQ617/AI617),"NA",IF(OR(AQ617/AI617&gt;2,AQ617/AI617&lt;0.5),"NM",AQ617/AI617*100-100))</f>
        <v>-5.1665565612800037</v>
      </c>
      <c r="AS617" s="725">
        <f>AS143</f>
        <v>227.59466362097146</v>
      </c>
      <c r="AT617" s="743">
        <f t="shared" ref="AT617:AT634" si="2925">IF(ISERROR(AS617/AK617),"NA",IF(OR(AS617/AK617&gt;2,AS617/AK617&lt;0.5),"NM",AS617/AK617*100-100))</f>
        <v>-6.6469796468534526</v>
      </c>
      <c r="AU617" s="725">
        <f>AU143</f>
        <v>230.04561643214765</v>
      </c>
      <c r="AV617" s="743">
        <f t="shared" ref="AV617:AV634" si="2926">IF(ISERROR(AU617/AM617),"NA",IF(OR(AU617/AM617&gt;2,AU617/AM617&lt;0.5),"NM",AU617/AM617*100-100))</f>
        <v>9.4933919239159792</v>
      </c>
      <c r="AW617" s="725">
        <f>AW143</f>
        <v>238.60983203258598</v>
      </c>
      <c r="AX617" s="743">
        <f t="shared" ref="AX617:AX634" si="2927">IF(ISERROR(AW617/AO617),"NA",IF(OR(AW617/AO617&gt;2,AW617/AO617&lt;0.5),"NM",AW617/AO617*100-100))</f>
        <v>18.299371359735403</v>
      </c>
      <c r="AY617" s="279"/>
      <c r="AZ617" s="15"/>
      <c r="BA617" s="9" t="str">
        <f>IF(ISERROR(#REF!/#REF!),"NA",IF(OR(#REF!/#REF!&gt;2,#REF!/#REF!&lt;0.5),"NM",#REF!/#REF!*100-100))</f>
        <v>NA</v>
      </c>
      <c r="BB617" s="725">
        <f>BB143</f>
        <v>752.49999999999955</v>
      </c>
      <c r="BC617" s="9" t="str">
        <f>IF(ISERROR(BB617/#REF!),"NA",IF(OR(BB617/#REF!&gt;2,BB617/#REF!&lt;0.5),"NM",BB617/#REF!*100-100))</f>
        <v>NA</v>
      </c>
      <c r="BD617" s="961">
        <f>BD143</f>
        <v>851.19999999999982</v>
      </c>
      <c r="BE617" s="9">
        <f t="shared" ref="BE617:BS634" si="2928">IF(ISERROR(BD617/BB617),"NA",IF(OR(BD617/BB617&gt;2,BD617/BB617&lt;0.5),"NM",BD617/BB617*100-100))</f>
        <v>13.116279069767486</v>
      </c>
      <c r="BF617" s="725">
        <f>BF143</f>
        <v>740.10000000000036</v>
      </c>
      <c r="BG617" s="9">
        <f t="shared" si="2928"/>
        <v>-13.052161654135276</v>
      </c>
      <c r="BH617" s="725">
        <f>BH143</f>
        <v>794.50000000000091</v>
      </c>
      <c r="BI617" s="9">
        <f t="shared" si="2928"/>
        <v>7.350358059721728</v>
      </c>
      <c r="BJ617" s="725">
        <f>BJ143</f>
        <v>899.80000000000109</v>
      </c>
      <c r="BK617" s="9">
        <f t="shared" si="2928"/>
        <v>13.253618628067983</v>
      </c>
      <c r="BL617" s="725">
        <f>BL143</f>
        <v>927.83338096305943</v>
      </c>
      <c r="BM617" s="9">
        <f t="shared" si="2928"/>
        <v>3.1155124431049472</v>
      </c>
      <c r="BN617" s="725">
        <f>BN143</f>
        <v>960.37921432392432</v>
      </c>
      <c r="BO617" s="9">
        <f t="shared" si="2928"/>
        <v>3.5077239112784895</v>
      </c>
      <c r="BP617" s="725">
        <f>BP143</f>
        <v>1002.659227709406</v>
      </c>
      <c r="BQ617" s="9">
        <f t="shared" si="2928"/>
        <v>4.4024290358309486</v>
      </c>
      <c r="BR617" s="725">
        <f>BR143</f>
        <v>1047.8305685537534</v>
      </c>
      <c r="BS617" s="9">
        <f t="shared" si="2928"/>
        <v>4.5051538544698104</v>
      </c>
      <c r="BT617" s="725">
        <f>BT143</f>
        <v>1093.673428234918</v>
      </c>
      <c r="BU617" s="9">
        <f t="shared" ref="BU617:BU619" si="2929">IF(ISERROR(BT617/BR617),"NA",IF(OR(BT617/BR617&gt;2,BT617/BR617&lt;0.5),"NM",BT617/BR617*100-100))</f>
        <v>4.3750259876878914</v>
      </c>
      <c r="BV617" s="43">
        <f>IF(ISERROR(((BT617/BJ617)^0.2-1)*100),"NA",IF((((BT617/BJ617)^0.2-1)*100)&gt;100,"NM",IF((((BT617/BJ617)^0.2-1)*100)&lt;-50,"NM",((BT617/BJ617)^0.2-1)*100)))</f>
        <v>3.9796459592196909</v>
      </c>
      <c r="BW617" s="722"/>
      <c r="BX617" s="722"/>
      <c r="BY617"/>
      <c r="BZ617"/>
      <c r="CA617"/>
      <c r="CB617"/>
      <c r="CC617"/>
      <c r="CD617"/>
    </row>
    <row r="618" spans="1:82" s="2" customFormat="1" ht="12.75" customHeight="1" x14ac:dyDescent="0.2">
      <c r="A618" s="41"/>
      <c r="B618" s="5" t="s">
        <v>556</v>
      </c>
      <c r="C618" s="15">
        <f>C62</f>
        <v>105.30000000000001</v>
      </c>
      <c r="D618" s="39" t="str">
        <f>IF(ISERROR(C618/#REF!),"NA",IF(OR(C618/#REF!&gt;2,C618/#REF!&lt;0.5),"NM",C618/#REF!*100-100))</f>
        <v>NA</v>
      </c>
      <c r="E618" s="15">
        <f>E62</f>
        <v>119.79999999999995</v>
      </c>
      <c r="F618" s="9" t="str">
        <f>IF(ISERROR(E618/#REF!),"NA",IF(OR(E618/#REF!&gt;2,E618/#REF!&lt;0.5),"NM",E618/#REF!*100-100))</f>
        <v>NA</v>
      </c>
      <c r="G618" s="15">
        <f>G62</f>
        <v>102.90000000000003</v>
      </c>
      <c r="H618" s="9" t="str">
        <f>IF(ISERROR(G618/#REF!),"NA",IF(OR(G618/#REF!&gt;2,G618/#REF!&lt;0.5),"NM",G618/#REF!*100-100))</f>
        <v>NA</v>
      </c>
      <c r="I618" s="15">
        <f>I62</f>
        <v>123</v>
      </c>
      <c r="J618" s="9" t="str">
        <f>IF(ISERROR(I618/#REF!),"NA",IF(OR(I618/#REF!&gt;2,I618/#REF!&lt;0.5),"NM",I618/#REF!*100-100))</f>
        <v>NA</v>
      </c>
      <c r="K618" s="15">
        <f>K62</f>
        <v>140.99999999999994</v>
      </c>
      <c r="L618" s="9">
        <f t="shared" si="2917"/>
        <v>33.903133903133835</v>
      </c>
      <c r="M618" s="15">
        <f>M62</f>
        <v>153.30000000000001</v>
      </c>
      <c r="N618" s="9">
        <f t="shared" si="2918"/>
        <v>27.963272120200401</v>
      </c>
      <c r="O618" s="15">
        <f>O62</f>
        <v>145.5</v>
      </c>
      <c r="P618" s="9">
        <f t="shared" si="2918"/>
        <v>41.399416909620953</v>
      </c>
      <c r="Q618" s="15">
        <f>Q62</f>
        <v>138.69999999999999</v>
      </c>
      <c r="R618" s="9">
        <f t="shared" si="2918"/>
        <v>12.76422764227641</v>
      </c>
      <c r="S618" s="15">
        <f>S62</f>
        <v>141.80000000000001</v>
      </c>
      <c r="T618" s="9">
        <f t="shared" si="2918"/>
        <v>0.56737588652487148</v>
      </c>
      <c r="U618" s="15">
        <f>U62</f>
        <v>143.39999999999998</v>
      </c>
      <c r="V618" s="9">
        <f t="shared" si="2918"/>
        <v>-6.4579256360078432</v>
      </c>
      <c r="W618" s="15">
        <f>W62</f>
        <v>83.599999999999966</v>
      </c>
      <c r="X618" s="9">
        <f t="shared" si="2918"/>
        <v>-42.542955326460508</v>
      </c>
      <c r="Y618" s="15">
        <f>Y62</f>
        <v>124.69999999999999</v>
      </c>
      <c r="Z618" s="9">
        <f t="shared" si="2918"/>
        <v>-10.093727469358328</v>
      </c>
      <c r="AA618" s="15">
        <f>AA62</f>
        <v>114</v>
      </c>
      <c r="AB618" s="9">
        <f t="shared" si="2918"/>
        <v>-19.605077574047954</v>
      </c>
      <c r="AC618" s="15">
        <f>AC62</f>
        <v>124.5</v>
      </c>
      <c r="AD618" s="9">
        <f t="shared" si="2919"/>
        <v>-13.179916317991612</v>
      </c>
      <c r="AE618" s="15">
        <f>AE62</f>
        <v>130.89999999999998</v>
      </c>
      <c r="AF618" s="9">
        <f t="shared" si="2919"/>
        <v>56.578947368421098</v>
      </c>
      <c r="AG618" s="15">
        <f>AG62</f>
        <v>124.00000000000006</v>
      </c>
      <c r="AH618" s="39">
        <f t="shared" ref="AH618:AH634" si="2930">IF(ISERROR(AG618/Y618),"NA",IF(OR(AG618/Y618&gt;2,AG618/Y618&lt;0.5),"NM",AG618/Y618*100-100))</f>
        <v>-0.56134723336001002</v>
      </c>
      <c r="AI618" s="15">
        <f>AI62</f>
        <v>144.69999999999999</v>
      </c>
      <c r="AJ618" s="39">
        <f t="shared" si="2920"/>
        <v>26.929824561403493</v>
      </c>
      <c r="AK618" s="15">
        <f>AK62</f>
        <v>147.5</v>
      </c>
      <c r="AL618" s="39">
        <f t="shared" si="2921"/>
        <v>18.47389558232932</v>
      </c>
      <c r="AM618" s="15">
        <f>AM62</f>
        <v>108</v>
      </c>
      <c r="AN618" s="39">
        <f t="shared" si="2922"/>
        <v>-17.494270435446893</v>
      </c>
      <c r="AO618" s="15">
        <f>AO62</f>
        <v>126.60000000000002</v>
      </c>
      <c r="AP618" s="39">
        <f t="shared" si="2923"/>
        <v>2.0967741935483701</v>
      </c>
      <c r="AQ618" s="15">
        <f>AQ62</f>
        <v>142.05612240496151</v>
      </c>
      <c r="AR618" s="39">
        <f t="shared" si="2924"/>
        <v>-1.8271441569028752</v>
      </c>
      <c r="AS618" s="15">
        <f>AS62</f>
        <v>142.19182518538878</v>
      </c>
      <c r="AT618" s="39">
        <f t="shared" si="2925"/>
        <v>-3.5987625861771022</v>
      </c>
      <c r="AU618" s="15">
        <f>AU62</f>
        <v>143.63086237263838</v>
      </c>
      <c r="AV618" s="39">
        <f t="shared" si="2926"/>
        <v>32.991539233924414</v>
      </c>
      <c r="AW618" s="15">
        <f>AW62</f>
        <v>153.34038105962878</v>
      </c>
      <c r="AX618" s="39">
        <f t="shared" si="2927"/>
        <v>21.121943964951612</v>
      </c>
      <c r="AY618" s="279"/>
      <c r="AZ618" s="15"/>
      <c r="BA618" s="40"/>
      <c r="BB618" s="15">
        <f>BB62</f>
        <v>451</v>
      </c>
      <c r="BC618" s="9" t="str">
        <f>IF(ISERROR(BB618/#REF!),"NA",IF(OR(BB618/#REF!&gt;2,BB618/#REF!&lt;0.5),"NM",BB618/#REF!*100-100))</f>
        <v>NA</v>
      </c>
      <c r="BD618" s="924">
        <f>BD62</f>
        <v>578.5</v>
      </c>
      <c r="BE618" s="9">
        <f t="shared" si="2928"/>
        <v>28.270509977827061</v>
      </c>
      <c r="BF618" s="15">
        <f>BF62</f>
        <v>493.5</v>
      </c>
      <c r="BG618" s="9">
        <f t="shared" si="2928"/>
        <v>-14.693171996542787</v>
      </c>
      <c r="BH618" s="15">
        <f>BH62</f>
        <v>493.39999999999986</v>
      </c>
      <c r="BI618" s="9">
        <f t="shared" si="2928"/>
        <v>-2.0263424518773832E-2</v>
      </c>
      <c r="BJ618" s="15">
        <f>BJ62</f>
        <v>526.79999999999995</v>
      </c>
      <c r="BK618" s="9">
        <f t="shared" si="2928"/>
        <v>6.7693554925010346</v>
      </c>
      <c r="BL618" s="15">
        <f>BL62</f>
        <v>581.21919102261722</v>
      </c>
      <c r="BM618" s="9">
        <f t="shared" si="2928"/>
        <v>10.330142563139205</v>
      </c>
      <c r="BN618" s="15">
        <f>BN62</f>
        <v>602.06469029652203</v>
      </c>
      <c r="BO618" s="9">
        <f t="shared" si="2928"/>
        <v>3.586512557719999</v>
      </c>
      <c r="BP618" s="15">
        <f>BP62</f>
        <v>623.87014885527947</v>
      </c>
      <c r="BQ618" s="9">
        <f t="shared" si="2928"/>
        <v>3.6217800030787544</v>
      </c>
      <c r="BR618" s="15">
        <f>BR62</f>
        <v>648.12151853782029</v>
      </c>
      <c r="BS618" s="9">
        <f t="shared" si="2928"/>
        <v>3.887246364814672</v>
      </c>
      <c r="BT618" s="15">
        <f>BT62</f>
        <v>672.55931623420452</v>
      </c>
      <c r="BU618" s="9">
        <f t="shared" si="2929"/>
        <v>3.770557989112362</v>
      </c>
      <c r="BV618" s="43">
        <f>IF(ISERROR(((BT618/BJ618)^0.2-1)*100),"NA",IF((((BT618/BJ618)^0.2-1)*100)&gt;100,"NM",IF((((BT618/BJ618)^0.2-1)*100)&lt;-50,"NM",((BT618/BJ618)^0.2-1)*100)))</f>
        <v>5.006689121484742</v>
      </c>
      <c r="BW618" s="722"/>
      <c r="BX618" s="722"/>
      <c r="BY618"/>
      <c r="BZ618"/>
      <c r="CA618"/>
      <c r="CB618"/>
      <c r="CC618"/>
      <c r="CD618"/>
    </row>
    <row r="619" spans="1:82" ht="12.75" customHeight="1" x14ac:dyDescent="0.2">
      <c r="B619" s="5" t="s">
        <v>557</v>
      </c>
      <c r="C619" s="126">
        <f>C111</f>
        <v>76.700000000000045</v>
      </c>
      <c r="D619" s="753" t="str">
        <f>IF(ISERROR(C619/#REF!),"NA",IF(OR(C619/#REF!&gt;2,C619/#REF!&lt;0.5),"NM",C619/#REF!*100-100))</f>
        <v>NA</v>
      </c>
      <c r="E619" s="126">
        <f>E111</f>
        <v>76.700000000000045</v>
      </c>
      <c r="F619" s="9" t="str">
        <f>IF(ISERROR(E619/#REF!),"NA",IF(OR(E619/#REF!&gt;2,E619/#REF!&lt;0.5),"NM",E619/#REF!*100-100))</f>
        <v>NA</v>
      </c>
      <c r="G619" s="126">
        <f>G111</f>
        <v>80.200000000000045</v>
      </c>
      <c r="H619" s="9" t="str">
        <f>IF(ISERROR(G619/#REF!),"NA",IF(OR(G619/#REF!&gt;2,G619/#REF!&lt;0.5),"NM",G619/#REF!*100-100))</f>
        <v>NA</v>
      </c>
      <c r="I619" s="126">
        <f>I111</f>
        <v>67.899999999999977</v>
      </c>
      <c r="J619" s="9" t="str">
        <f>IF(ISERROR(I619/#REF!),"NA",IF(OR(I619/#REF!&gt;2,I619/#REF!&lt;0.5),"NM",I619/#REF!*100-100))</f>
        <v>NA</v>
      </c>
      <c r="K619" s="126">
        <f>K111</f>
        <v>76.900000000000091</v>
      </c>
      <c r="L619" s="9">
        <f t="shared" si="2917"/>
        <v>0.26075619295964714</v>
      </c>
      <c r="M619" s="126">
        <f>M111</f>
        <v>74</v>
      </c>
      <c r="N619" s="9">
        <f t="shared" si="2918"/>
        <v>-3.5202086049544192</v>
      </c>
      <c r="O619" s="126">
        <f>O111</f>
        <v>62.100000000000136</v>
      </c>
      <c r="P619" s="9">
        <f t="shared" si="2918"/>
        <v>-22.568578553615836</v>
      </c>
      <c r="Q619" s="126">
        <f>Q111</f>
        <v>59.700000000000159</v>
      </c>
      <c r="R619" s="9">
        <f t="shared" si="2918"/>
        <v>-12.076583210603559</v>
      </c>
      <c r="S619" s="126">
        <f>S111</f>
        <v>61.099999999999909</v>
      </c>
      <c r="T619" s="9">
        <f t="shared" si="2918"/>
        <v>-20.546163849154965</v>
      </c>
      <c r="U619" s="126">
        <f>U111</f>
        <v>73.5</v>
      </c>
      <c r="V619" s="9">
        <f t="shared" si="2918"/>
        <v>-0.67567567567567721</v>
      </c>
      <c r="W619" s="126">
        <f>W111</f>
        <v>49.900000000000091</v>
      </c>
      <c r="X619" s="9">
        <f t="shared" si="2918"/>
        <v>-19.645732689210988</v>
      </c>
      <c r="Y619" s="126">
        <f>Y111</f>
        <v>62.100000000000023</v>
      </c>
      <c r="Z619" s="9">
        <f t="shared" si="2918"/>
        <v>4.0201005025123209</v>
      </c>
      <c r="AA619" s="126">
        <f>AA111</f>
        <v>67.399999999999977</v>
      </c>
      <c r="AB619" s="9">
        <f t="shared" si="2918"/>
        <v>10.310965630114694</v>
      </c>
      <c r="AC619" s="126">
        <f>AC111</f>
        <v>70.199999999999932</v>
      </c>
      <c r="AD619" s="9">
        <f t="shared" si="2919"/>
        <v>-4.4897959183674487</v>
      </c>
      <c r="AE619" s="126">
        <f>AE111</f>
        <v>76</v>
      </c>
      <c r="AF619" s="9">
        <f t="shared" si="2919"/>
        <v>52.30460921843661</v>
      </c>
      <c r="AG619" s="126">
        <f>AG111</f>
        <v>87.499999999999773</v>
      </c>
      <c r="AH619" s="798">
        <f t="shared" si="2930"/>
        <v>40.901771336553537</v>
      </c>
      <c r="AI619" s="126">
        <f>AI111</f>
        <v>99.500000000000114</v>
      </c>
      <c r="AJ619" s="798">
        <f t="shared" si="2920"/>
        <v>47.626112759644144</v>
      </c>
      <c r="AK619" s="126">
        <f>AK111</f>
        <v>96.300000000000182</v>
      </c>
      <c r="AL619" s="798">
        <f t="shared" si="2921"/>
        <v>37.17948717948758</v>
      </c>
      <c r="AM619" s="126">
        <f>AM111</f>
        <v>102.10000000000014</v>
      </c>
      <c r="AN619" s="798">
        <f t="shared" si="2922"/>
        <v>34.342105263158089</v>
      </c>
      <c r="AO619" s="126">
        <f>AO111</f>
        <v>75.099999999999682</v>
      </c>
      <c r="AP619" s="798">
        <f t="shared" si="2923"/>
        <v>-14.171428571428706</v>
      </c>
      <c r="AQ619" s="126">
        <f>AQ111</f>
        <v>89.527146472392815</v>
      </c>
      <c r="AR619" s="798">
        <f t="shared" si="2924"/>
        <v>-10.02296836945456</v>
      </c>
      <c r="AS619" s="126">
        <f>AS111</f>
        <v>85.40283843558268</v>
      </c>
      <c r="AT619" s="798">
        <f t="shared" si="2925"/>
        <v>-11.315847938128215</v>
      </c>
      <c r="AU619" s="126">
        <f>AU111</f>
        <v>86.414754059509278</v>
      </c>
      <c r="AV619" s="798">
        <f t="shared" si="2926"/>
        <v>-15.362630695877414</v>
      </c>
      <c r="AW619" s="126">
        <f>AW111</f>
        <v>85.269450972957202</v>
      </c>
      <c r="AX619" s="798">
        <f t="shared" si="2927"/>
        <v>13.541213013259082</v>
      </c>
      <c r="BB619" s="126">
        <f>BB111</f>
        <v>301.49999999999955</v>
      </c>
      <c r="BC619" s="9" t="str">
        <f>IF(ISERROR(BB619/#REF!),"NA",IF(OR(BB619/#REF!&gt;2,BB619/#REF!&lt;0.5),"NM",BB619/#REF!*100-100))</f>
        <v>NA</v>
      </c>
      <c r="BD619" s="925">
        <f>BD111</f>
        <v>272.69999999999982</v>
      </c>
      <c r="BE619" s="9">
        <f t="shared" si="2928"/>
        <v>-9.5522388059700631</v>
      </c>
      <c r="BF619" s="126">
        <f>BF111</f>
        <v>246.59999999999945</v>
      </c>
      <c r="BG619" s="9">
        <f t="shared" si="2928"/>
        <v>-9.5709570957097156</v>
      </c>
      <c r="BH619" s="126">
        <f>BH111</f>
        <v>301.10000000000036</v>
      </c>
      <c r="BI619" s="9">
        <f t="shared" si="2928"/>
        <v>22.100567721006101</v>
      </c>
      <c r="BJ619" s="126">
        <f>BJ111</f>
        <v>373</v>
      </c>
      <c r="BK619" s="9">
        <f t="shared" si="2928"/>
        <v>23.879109930255566</v>
      </c>
      <c r="BL619" s="126">
        <f>BL111</f>
        <v>346.61418994044107</v>
      </c>
      <c r="BM619" s="9">
        <f t="shared" si="2928"/>
        <v>-7.0739437156994427</v>
      </c>
      <c r="BN619" s="126">
        <f>BN111</f>
        <v>358.31452402740069</v>
      </c>
      <c r="BO619" s="9">
        <f t="shared" si="2928"/>
        <v>3.3756073543815575</v>
      </c>
      <c r="BP619" s="126">
        <f>BP111</f>
        <v>378.78907885412536</v>
      </c>
      <c r="BQ619" s="9">
        <f t="shared" si="2928"/>
        <v>5.7141291948185113</v>
      </c>
      <c r="BR619" s="126">
        <f>BR111</f>
        <v>399.70905001593383</v>
      </c>
      <c r="BS619" s="9">
        <f t="shared" si="2928"/>
        <v>5.5228548893472578</v>
      </c>
      <c r="BT619" s="126">
        <f>BT111</f>
        <v>421.11411200071416</v>
      </c>
      <c r="BU619" s="9">
        <f t="shared" si="2929"/>
        <v>5.3551607060002766</v>
      </c>
      <c r="BV619" s="43">
        <f>IF(ISERROR(((BT619/BJ619)^0.2-1)*100),"NA",IF((((BT619/BJ619)^0.2-1)*100)&gt;100,"NM",IF((((BT619/BJ619)^0.2-1)*100)&lt;-50,"NM",((BT619/BJ619)^0.2-1)*100)))</f>
        <v>2.4561878330790599</v>
      </c>
    </row>
    <row r="620" spans="1:82" s="2" customFormat="1" ht="12.75" hidden="1" customHeight="1" outlineLevel="1" x14ac:dyDescent="0.2">
      <c r="A620" s="41" t="s">
        <v>221</v>
      </c>
      <c r="B620" s="5" t="s">
        <v>453</v>
      </c>
      <c r="C620" s="725"/>
      <c r="D620" s="743"/>
      <c r="E620" s="725"/>
      <c r="F620" s="725"/>
      <c r="G620" s="725"/>
      <c r="H620" s="725"/>
      <c r="I620" s="725"/>
      <c r="J620" s="725"/>
      <c r="K620" s="725"/>
      <c r="L620" s="9" t="str">
        <f t="shared" si="2917"/>
        <v>NA</v>
      </c>
      <c r="M620" s="725"/>
      <c r="N620" s="9"/>
      <c r="O620" s="725"/>
      <c r="P620" s="9"/>
      <c r="Q620" s="725"/>
      <c r="R620" s="9"/>
      <c r="S620" s="725"/>
      <c r="T620" s="9"/>
      <c r="U620" s="725"/>
      <c r="V620" s="9"/>
      <c r="W620" s="725"/>
      <c r="X620" s="9"/>
      <c r="Y620" s="725"/>
      <c r="Z620" s="9"/>
      <c r="AA620" s="725"/>
      <c r="AB620" s="9"/>
      <c r="AC620" s="725"/>
      <c r="AD620" s="9"/>
      <c r="AE620" s="725"/>
      <c r="AF620" s="9"/>
      <c r="AG620" s="725"/>
      <c r="AH620" s="743" t="str">
        <f t="shared" si="2930"/>
        <v>NA</v>
      </c>
      <c r="AI620" s="725"/>
      <c r="AJ620" s="743" t="str">
        <f t="shared" si="2920"/>
        <v>NA</v>
      </c>
      <c r="AK620" s="725"/>
      <c r="AL620" s="743" t="str">
        <f t="shared" si="2921"/>
        <v>NA</v>
      </c>
      <c r="AM620" s="725"/>
      <c r="AN620" s="743" t="str">
        <f t="shared" si="2922"/>
        <v>NA</v>
      </c>
      <c r="AO620" s="725"/>
      <c r="AP620" s="743" t="str">
        <f t="shared" si="2923"/>
        <v>NA</v>
      </c>
      <c r="AQ620" s="725"/>
      <c r="AR620" s="743" t="str">
        <f t="shared" si="2924"/>
        <v>NA</v>
      </c>
      <c r="AS620" s="725"/>
      <c r="AT620" s="743" t="str">
        <f t="shared" si="2925"/>
        <v>NA</v>
      </c>
      <c r="AU620" s="725"/>
      <c r="AV620" s="743" t="str">
        <f t="shared" si="2926"/>
        <v>NA</v>
      </c>
      <c r="AW620" s="725"/>
      <c r="AX620" s="743" t="str">
        <f t="shared" si="2927"/>
        <v>NA</v>
      </c>
      <c r="AY620" s="279"/>
      <c r="AZ620" s="15"/>
      <c r="BA620" s="9"/>
      <c r="BB620" s="725"/>
      <c r="BC620" s="9"/>
      <c r="BD620" s="961"/>
      <c r="BE620" s="9"/>
      <c r="BF620" s="725"/>
      <c r="BG620" s="9"/>
      <c r="BH620" s="725"/>
      <c r="BI620" s="9"/>
      <c r="BJ620" s="725"/>
      <c r="BK620" s="9"/>
      <c r="BL620" s="725"/>
      <c r="BM620" s="9"/>
      <c r="BN620" s="725"/>
      <c r="BO620" s="9"/>
      <c r="BP620" s="725"/>
      <c r="BQ620" s="9"/>
      <c r="BR620" s="725"/>
      <c r="BS620" s="9"/>
      <c r="BT620" s="725"/>
      <c r="BU620" s="9"/>
      <c r="BV620" s="43"/>
      <c r="BW620" s="722"/>
      <c r="BX620" s="722"/>
      <c r="BY620"/>
      <c r="BZ620"/>
      <c r="CA620"/>
      <c r="CB620"/>
      <c r="CC620"/>
      <c r="CD620"/>
    </row>
    <row r="621" spans="1:82" s="2" customFormat="1" ht="12.75" hidden="1" customHeight="1" outlineLevel="1" x14ac:dyDescent="0.2">
      <c r="A621" s="41" t="s">
        <v>57</v>
      </c>
      <c r="B621" s="5" t="s">
        <v>456</v>
      </c>
      <c r="C621" s="725"/>
      <c r="D621" s="743"/>
      <c r="E621" s="725"/>
      <c r="F621" s="725"/>
      <c r="G621" s="725"/>
      <c r="H621" s="725"/>
      <c r="I621" s="725"/>
      <c r="J621" s="725"/>
      <c r="K621" s="725"/>
      <c r="L621" s="9" t="str">
        <f t="shared" si="2917"/>
        <v>NA</v>
      </c>
      <c r="M621" s="725"/>
      <c r="N621" s="9"/>
      <c r="O621" s="725"/>
      <c r="P621" s="9"/>
      <c r="Q621" s="725"/>
      <c r="R621" s="9"/>
      <c r="S621" s="725"/>
      <c r="T621" s="9"/>
      <c r="U621" s="725"/>
      <c r="V621" s="9"/>
      <c r="W621" s="725"/>
      <c r="X621" s="9"/>
      <c r="Y621" s="725"/>
      <c r="Z621" s="9"/>
      <c r="AA621" s="725"/>
      <c r="AB621" s="9"/>
      <c r="AC621" s="725"/>
      <c r="AD621" s="9"/>
      <c r="AE621" s="725"/>
      <c r="AF621" s="9"/>
      <c r="AG621" s="725"/>
      <c r="AH621" s="743" t="str">
        <f t="shared" si="2930"/>
        <v>NA</v>
      </c>
      <c r="AI621" s="725"/>
      <c r="AJ621" s="743" t="str">
        <f t="shared" si="2920"/>
        <v>NA</v>
      </c>
      <c r="AK621" s="725"/>
      <c r="AL621" s="743" t="str">
        <f t="shared" si="2921"/>
        <v>NA</v>
      </c>
      <c r="AM621" s="725"/>
      <c r="AN621" s="743" t="str">
        <f t="shared" si="2922"/>
        <v>NA</v>
      </c>
      <c r="AO621" s="725"/>
      <c r="AP621" s="743" t="str">
        <f t="shared" si="2923"/>
        <v>NA</v>
      </c>
      <c r="AQ621" s="725"/>
      <c r="AR621" s="743" t="str">
        <f t="shared" si="2924"/>
        <v>NA</v>
      </c>
      <c r="AS621" s="725"/>
      <c r="AT621" s="743" t="str">
        <f t="shared" si="2925"/>
        <v>NA</v>
      </c>
      <c r="AU621" s="725"/>
      <c r="AV621" s="743" t="str">
        <f t="shared" si="2926"/>
        <v>NA</v>
      </c>
      <c r="AW621" s="725"/>
      <c r="AX621" s="743" t="str">
        <f t="shared" si="2927"/>
        <v>NA</v>
      </c>
      <c r="AY621" s="279"/>
      <c r="AZ621" s="15"/>
      <c r="BA621" s="9"/>
      <c r="BB621" s="725"/>
      <c r="BC621" s="9"/>
      <c r="BD621" s="961"/>
      <c r="BE621" s="9"/>
      <c r="BF621" s="725"/>
      <c r="BG621" s="9"/>
      <c r="BH621" s="725"/>
      <c r="BI621" s="9"/>
      <c r="BJ621" s="725"/>
      <c r="BK621" s="9"/>
      <c r="BL621" s="725"/>
      <c r="BM621" s="9"/>
      <c r="BN621" s="725"/>
      <c r="BO621" s="9"/>
      <c r="BP621" s="725"/>
      <c r="BQ621" s="9"/>
      <c r="BR621" s="725"/>
      <c r="BS621" s="9"/>
      <c r="BT621" s="725"/>
      <c r="BU621" s="9"/>
      <c r="BV621" s="43"/>
      <c r="BW621" s="722"/>
      <c r="BX621" s="722"/>
      <c r="BY621"/>
      <c r="BZ621"/>
      <c r="CA621"/>
      <c r="CB621"/>
      <c r="CC621"/>
      <c r="CD621"/>
    </row>
    <row r="622" spans="1:82" s="2" customFormat="1" ht="12.75" hidden="1" customHeight="1" outlineLevel="1" x14ac:dyDescent="0.2">
      <c r="A622" s="42" t="s">
        <v>301</v>
      </c>
      <c r="B622" s="5" t="s">
        <v>457</v>
      </c>
      <c r="C622" s="725"/>
      <c r="D622" s="743"/>
      <c r="E622" s="725"/>
      <c r="F622" s="725"/>
      <c r="G622" s="725"/>
      <c r="H622" s="725"/>
      <c r="I622" s="725"/>
      <c r="J622" s="725"/>
      <c r="K622" s="725"/>
      <c r="L622" s="9" t="str">
        <f t="shared" si="2917"/>
        <v>NA</v>
      </c>
      <c r="M622" s="725"/>
      <c r="N622" s="9"/>
      <c r="O622" s="725"/>
      <c r="P622" s="9"/>
      <c r="Q622" s="725"/>
      <c r="R622" s="9"/>
      <c r="S622" s="725"/>
      <c r="T622" s="9"/>
      <c r="U622" s="725"/>
      <c r="V622" s="9"/>
      <c r="W622" s="725"/>
      <c r="X622" s="9"/>
      <c r="Y622" s="725"/>
      <c r="Z622" s="9"/>
      <c r="AA622" s="725"/>
      <c r="AB622" s="9"/>
      <c r="AC622" s="725"/>
      <c r="AD622" s="9"/>
      <c r="AE622" s="725"/>
      <c r="AF622" s="9"/>
      <c r="AG622" s="725"/>
      <c r="AH622" s="743" t="str">
        <f t="shared" si="2930"/>
        <v>NA</v>
      </c>
      <c r="AI622" s="725"/>
      <c r="AJ622" s="743" t="str">
        <f t="shared" si="2920"/>
        <v>NA</v>
      </c>
      <c r="AK622" s="725"/>
      <c r="AL622" s="743" t="str">
        <f t="shared" si="2921"/>
        <v>NA</v>
      </c>
      <c r="AM622" s="725"/>
      <c r="AN622" s="743" t="str">
        <f t="shared" si="2922"/>
        <v>NA</v>
      </c>
      <c r="AO622" s="725"/>
      <c r="AP622" s="743" t="str">
        <f t="shared" si="2923"/>
        <v>NA</v>
      </c>
      <c r="AQ622" s="725"/>
      <c r="AR622" s="743" t="str">
        <f t="shared" si="2924"/>
        <v>NA</v>
      </c>
      <c r="AS622" s="725"/>
      <c r="AT622" s="743" t="str">
        <f t="shared" si="2925"/>
        <v>NA</v>
      </c>
      <c r="AU622" s="725"/>
      <c r="AV622" s="743" t="str">
        <f t="shared" si="2926"/>
        <v>NA</v>
      </c>
      <c r="AW622" s="725"/>
      <c r="AX622" s="743" t="str">
        <f t="shared" si="2927"/>
        <v>NA</v>
      </c>
      <c r="AY622" s="279"/>
      <c r="AZ622" s="15"/>
      <c r="BA622" s="9"/>
      <c r="BB622" s="725"/>
      <c r="BC622" s="9"/>
      <c r="BD622" s="961"/>
      <c r="BE622" s="9"/>
      <c r="BF622" s="725"/>
      <c r="BG622" s="9"/>
      <c r="BH622" s="725"/>
      <c r="BI622" s="9"/>
      <c r="BJ622" s="725"/>
      <c r="BK622" s="9"/>
      <c r="BL622" s="725"/>
      <c r="BM622" s="9"/>
      <c r="BN622" s="725"/>
      <c r="BO622" s="9"/>
      <c r="BP622" s="725"/>
      <c r="BQ622" s="9"/>
      <c r="BR622" s="725"/>
      <c r="BS622" s="9"/>
      <c r="BT622" s="725"/>
      <c r="BU622" s="9"/>
      <c r="BV622" s="43"/>
      <c r="BW622" s="722"/>
      <c r="BX622" s="722"/>
      <c r="BY622"/>
      <c r="BZ622"/>
      <c r="CA622"/>
      <c r="CB622"/>
      <c r="CC622"/>
      <c r="CD622"/>
    </row>
    <row r="623" spans="1:82" s="2" customFormat="1" ht="12.75" hidden="1" customHeight="1" outlineLevel="1" x14ac:dyDescent="0.2">
      <c r="A623" s="41"/>
      <c r="B623" s="5" t="s">
        <v>312</v>
      </c>
      <c r="C623" s="725"/>
      <c r="D623" s="743"/>
      <c r="E623" s="725"/>
      <c r="F623" s="725"/>
      <c r="G623" s="725"/>
      <c r="H623" s="725"/>
      <c r="I623" s="725"/>
      <c r="J623" s="725"/>
      <c r="K623" s="725"/>
      <c r="L623" s="9" t="str">
        <f t="shared" si="2917"/>
        <v>NA</v>
      </c>
      <c r="M623" s="725"/>
      <c r="N623" s="9"/>
      <c r="O623" s="725"/>
      <c r="P623" s="9"/>
      <c r="Q623" s="725"/>
      <c r="R623" s="9"/>
      <c r="S623" s="725"/>
      <c r="T623" s="9"/>
      <c r="U623" s="725"/>
      <c r="V623" s="9"/>
      <c r="W623" s="725"/>
      <c r="X623" s="9"/>
      <c r="Y623" s="725"/>
      <c r="Z623" s="9"/>
      <c r="AA623" s="725"/>
      <c r="AB623" s="9"/>
      <c r="AC623" s="725"/>
      <c r="AD623" s="9"/>
      <c r="AE623" s="725"/>
      <c r="AF623" s="9"/>
      <c r="AG623" s="725"/>
      <c r="AH623" s="743" t="str">
        <f t="shared" si="2930"/>
        <v>NA</v>
      </c>
      <c r="AI623" s="725"/>
      <c r="AJ623" s="743" t="str">
        <f t="shared" si="2920"/>
        <v>NA</v>
      </c>
      <c r="AK623" s="725"/>
      <c r="AL623" s="743" t="str">
        <f t="shared" si="2921"/>
        <v>NA</v>
      </c>
      <c r="AM623" s="725"/>
      <c r="AN623" s="743" t="str">
        <f t="shared" si="2922"/>
        <v>NA</v>
      </c>
      <c r="AO623" s="725"/>
      <c r="AP623" s="743" t="str">
        <f t="shared" si="2923"/>
        <v>NA</v>
      </c>
      <c r="AQ623" s="725"/>
      <c r="AR623" s="743" t="str">
        <f t="shared" si="2924"/>
        <v>NA</v>
      </c>
      <c r="AS623" s="725"/>
      <c r="AT623" s="743" t="str">
        <f t="shared" si="2925"/>
        <v>NA</v>
      </c>
      <c r="AU623" s="725"/>
      <c r="AV623" s="743" t="str">
        <f t="shared" si="2926"/>
        <v>NA</v>
      </c>
      <c r="AW623" s="725"/>
      <c r="AX623" s="743" t="str">
        <f t="shared" si="2927"/>
        <v>NA</v>
      </c>
      <c r="AY623" s="279"/>
      <c r="AZ623" s="15"/>
      <c r="BA623" s="9"/>
      <c r="BB623" s="725"/>
      <c r="BC623" s="9"/>
      <c r="BD623" s="961"/>
      <c r="BE623" s="9"/>
      <c r="BF623" s="725"/>
      <c r="BG623" s="9"/>
      <c r="BH623" s="725"/>
      <c r="BI623" s="9"/>
      <c r="BJ623" s="725"/>
      <c r="BK623" s="9"/>
      <c r="BL623" s="725"/>
      <c r="BM623" s="9"/>
      <c r="BN623" s="725"/>
      <c r="BO623" s="9"/>
      <c r="BP623" s="725"/>
      <c r="BQ623" s="9"/>
      <c r="BR623" s="725"/>
      <c r="BS623" s="9"/>
      <c r="BT623" s="725"/>
      <c r="BU623" s="9"/>
      <c r="BV623" s="43"/>
      <c r="BW623" s="722"/>
      <c r="BX623" s="722"/>
      <c r="BY623"/>
      <c r="BZ623"/>
      <c r="CA623"/>
      <c r="CB623"/>
      <c r="CC623"/>
      <c r="CD623"/>
    </row>
    <row r="624" spans="1:82" s="2" customFormat="1" ht="12.75" hidden="1" customHeight="1" outlineLevel="1" x14ac:dyDescent="0.2">
      <c r="A624" s="41"/>
      <c r="B624" s="5" t="s">
        <v>455</v>
      </c>
      <c r="C624" s="725"/>
      <c r="D624" s="743"/>
      <c r="E624" s="725"/>
      <c r="F624" s="725"/>
      <c r="G624" s="725"/>
      <c r="H624" s="725"/>
      <c r="I624" s="725"/>
      <c r="J624" s="725"/>
      <c r="K624" s="725"/>
      <c r="L624" s="9" t="str">
        <f t="shared" si="2917"/>
        <v>NA</v>
      </c>
      <c r="M624" s="725"/>
      <c r="N624" s="9"/>
      <c r="O624" s="725"/>
      <c r="P624" s="9"/>
      <c r="Q624" s="725"/>
      <c r="R624" s="9"/>
      <c r="S624" s="725"/>
      <c r="T624" s="9"/>
      <c r="U624" s="725"/>
      <c r="V624" s="9"/>
      <c r="W624" s="725"/>
      <c r="X624" s="9"/>
      <c r="Y624" s="725"/>
      <c r="Z624" s="9"/>
      <c r="AA624" s="725"/>
      <c r="AB624" s="9"/>
      <c r="AC624" s="725"/>
      <c r="AD624" s="9"/>
      <c r="AE624" s="725"/>
      <c r="AF624" s="9"/>
      <c r="AG624" s="725"/>
      <c r="AH624" s="743" t="str">
        <f t="shared" si="2930"/>
        <v>NA</v>
      </c>
      <c r="AI624" s="725"/>
      <c r="AJ624" s="743" t="str">
        <f t="shared" si="2920"/>
        <v>NA</v>
      </c>
      <c r="AK624" s="725"/>
      <c r="AL624" s="743" t="str">
        <f t="shared" si="2921"/>
        <v>NA</v>
      </c>
      <c r="AM624" s="725"/>
      <c r="AN624" s="743" t="str">
        <f t="shared" si="2922"/>
        <v>NA</v>
      </c>
      <c r="AO624" s="725"/>
      <c r="AP624" s="743" t="str">
        <f t="shared" si="2923"/>
        <v>NA</v>
      </c>
      <c r="AQ624" s="725"/>
      <c r="AR624" s="743" t="str">
        <f t="shared" si="2924"/>
        <v>NA</v>
      </c>
      <c r="AS624" s="725"/>
      <c r="AT624" s="743" t="str">
        <f t="shared" si="2925"/>
        <v>NA</v>
      </c>
      <c r="AU624" s="725"/>
      <c r="AV624" s="743" t="str">
        <f t="shared" si="2926"/>
        <v>NA</v>
      </c>
      <c r="AW624" s="725"/>
      <c r="AX624" s="743" t="str">
        <f t="shared" si="2927"/>
        <v>NA</v>
      </c>
      <c r="AY624" s="279"/>
      <c r="AZ624" s="15"/>
      <c r="BA624" s="9"/>
      <c r="BB624" s="725"/>
      <c r="BC624" s="9"/>
      <c r="BD624" s="961"/>
      <c r="BE624" s="9"/>
      <c r="BF624" s="725"/>
      <c r="BG624" s="9"/>
      <c r="BH624" s="725"/>
      <c r="BI624" s="9"/>
      <c r="BJ624" s="725"/>
      <c r="BK624" s="9"/>
      <c r="BL624" s="725"/>
      <c r="BM624" s="9"/>
      <c r="BN624" s="725"/>
      <c r="BO624" s="9"/>
      <c r="BP624" s="725"/>
      <c r="BQ624" s="9"/>
      <c r="BR624" s="725"/>
      <c r="BS624" s="9"/>
      <c r="BT624" s="725"/>
      <c r="BU624" s="9"/>
      <c r="BV624" s="43"/>
      <c r="BW624" s="722"/>
      <c r="BX624" s="722"/>
      <c r="BY624"/>
      <c r="BZ624"/>
      <c r="CA624"/>
      <c r="CB624"/>
      <c r="CC624"/>
      <c r="CD624"/>
    </row>
    <row r="625" spans="1:82" s="2" customFormat="1" ht="12.75" hidden="1" customHeight="1" outlineLevel="1" x14ac:dyDescent="0.2">
      <c r="A625" s="41"/>
      <c r="B625" s="5" t="s">
        <v>454</v>
      </c>
      <c r="C625" s="725"/>
      <c r="D625" s="743"/>
      <c r="E625" s="725"/>
      <c r="F625" s="725"/>
      <c r="G625" s="725"/>
      <c r="H625" s="725"/>
      <c r="I625" s="725"/>
      <c r="J625" s="725"/>
      <c r="K625" s="725"/>
      <c r="L625" s="9" t="str">
        <f t="shared" si="2917"/>
        <v>NA</v>
      </c>
      <c r="M625" s="725"/>
      <c r="N625" s="9"/>
      <c r="O625" s="725"/>
      <c r="P625" s="9"/>
      <c r="Q625" s="725"/>
      <c r="R625" s="9"/>
      <c r="S625" s="725"/>
      <c r="T625" s="9"/>
      <c r="U625" s="725"/>
      <c r="V625" s="9"/>
      <c r="W625" s="725"/>
      <c r="X625" s="9"/>
      <c r="Y625" s="725"/>
      <c r="Z625" s="9"/>
      <c r="AA625" s="725"/>
      <c r="AB625" s="9"/>
      <c r="AC625" s="725"/>
      <c r="AD625" s="9"/>
      <c r="AE625" s="725"/>
      <c r="AF625" s="9"/>
      <c r="AG625" s="725"/>
      <c r="AH625" s="743" t="str">
        <f t="shared" si="2930"/>
        <v>NA</v>
      </c>
      <c r="AI625" s="725"/>
      <c r="AJ625" s="743" t="str">
        <f t="shared" si="2920"/>
        <v>NA</v>
      </c>
      <c r="AK625" s="725"/>
      <c r="AL625" s="743" t="str">
        <f t="shared" si="2921"/>
        <v>NA</v>
      </c>
      <c r="AM625" s="725"/>
      <c r="AN625" s="743" t="str">
        <f t="shared" si="2922"/>
        <v>NA</v>
      </c>
      <c r="AO625" s="725"/>
      <c r="AP625" s="743" t="str">
        <f t="shared" si="2923"/>
        <v>NA</v>
      </c>
      <c r="AQ625" s="725"/>
      <c r="AR625" s="743" t="str">
        <f t="shared" si="2924"/>
        <v>NA</v>
      </c>
      <c r="AS625" s="725"/>
      <c r="AT625" s="743" t="str">
        <f t="shared" si="2925"/>
        <v>NA</v>
      </c>
      <c r="AU625" s="725"/>
      <c r="AV625" s="743" t="str">
        <f t="shared" si="2926"/>
        <v>NA</v>
      </c>
      <c r="AW625" s="725"/>
      <c r="AX625" s="743" t="str">
        <f t="shared" si="2927"/>
        <v>NA</v>
      </c>
      <c r="AY625" s="279"/>
      <c r="AZ625" s="15"/>
      <c r="BA625" s="9"/>
      <c r="BB625" s="725"/>
      <c r="BC625" s="9"/>
      <c r="BD625" s="961"/>
      <c r="BE625" s="9"/>
      <c r="BF625" s="725"/>
      <c r="BG625" s="9"/>
      <c r="BH625" s="725"/>
      <c r="BI625" s="9"/>
      <c r="BJ625" s="725"/>
      <c r="BK625" s="9"/>
      <c r="BL625" s="725"/>
      <c r="BM625" s="9"/>
      <c r="BN625" s="725"/>
      <c r="BO625" s="9"/>
      <c r="BP625" s="725"/>
      <c r="BQ625" s="9"/>
      <c r="BR625" s="725"/>
      <c r="BS625" s="9"/>
      <c r="BT625" s="725"/>
      <c r="BU625" s="9"/>
      <c r="BV625" s="43"/>
      <c r="BW625" s="722"/>
      <c r="BX625" s="722"/>
      <c r="BY625"/>
      <c r="BZ625"/>
      <c r="CA625"/>
      <c r="CB625"/>
      <c r="CC625"/>
      <c r="CD625"/>
    </row>
    <row r="626" spans="1:82" s="2" customFormat="1" ht="12.75" hidden="1" customHeight="1" outlineLevel="1" x14ac:dyDescent="0.2">
      <c r="A626" s="41"/>
      <c r="B626" s="5" t="s">
        <v>459</v>
      </c>
      <c r="C626" s="725"/>
      <c r="D626" s="743"/>
      <c r="E626" s="725"/>
      <c r="F626" s="725"/>
      <c r="G626" s="725"/>
      <c r="H626" s="725"/>
      <c r="I626" s="725"/>
      <c r="J626" s="725"/>
      <c r="K626" s="725"/>
      <c r="L626" s="9" t="str">
        <f t="shared" si="2917"/>
        <v>NA</v>
      </c>
      <c r="M626" s="725"/>
      <c r="N626" s="9"/>
      <c r="O626" s="725"/>
      <c r="P626" s="9"/>
      <c r="Q626" s="725"/>
      <c r="R626" s="9"/>
      <c r="S626" s="725"/>
      <c r="T626" s="9"/>
      <c r="U626" s="725"/>
      <c r="V626" s="9"/>
      <c r="W626" s="725"/>
      <c r="X626" s="9"/>
      <c r="Y626" s="725"/>
      <c r="Z626" s="9"/>
      <c r="AA626" s="725"/>
      <c r="AB626" s="9"/>
      <c r="AC626" s="725"/>
      <c r="AD626" s="9"/>
      <c r="AE626" s="725"/>
      <c r="AF626" s="9"/>
      <c r="AG626" s="725"/>
      <c r="AH626" s="743" t="str">
        <f t="shared" si="2930"/>
        <v>NA</v>
      </c>
      <c r="AI626" s="725"/>
      <c r="AJ626" s="743" t="str">
        <f t="shared" si="2920"/>
        <v>NA</v>
      </c>
      <c r="AK626" s="725"/>
      <c r="AL626" s="743" t="str">
        <f t="shared" si="2921"/>
        <v>NA</v>
      </c>
      <c r="AM626" s="725"/>
      <c r="AN626" s="743" t="str">
        <f t="shared" si="2922"/>
        <v>NA</v>
      </c>
      <c r="AO626" s="725"/>
      <c r="AP626" s="743" t="str">
        <f t="shared" si="2923"/>
        <v>NA</v>
      </c>
      <c r="AQ626" s="725"/>
      <c r="AR626" s="743" t="str">
        <f t="shared" si="2924"/>
        <v>NA</v>
      </c>
      <c r="AS626" s="725"/>
      <c r="AT626" s="743" t="str">
        <f t="shared" si="2925"/>
        <v>NA</v>
      </c>
      <c r="AU626" s="725"/>
      <c r="AV626" s="743" t="str">
        <f t="shared" si="2926"/>
        <v>NA</v>
      </c>
      <c r="AW626" s="725"/>
      <c r="AX626" s="743" t="str">
        <f t="shared" si="2927"/>
        <v>NA</v>
      </c>
      <c r="AY626" s="279"/>
      <c r="AZ626" s="15"/>
      <c r="BA626" s="9"/>
      <c r="BB626" s="725"/>
      <c r="BC626" s="9"/>
      <c r="BD626" s="961"/>
      <c r="BE626" s="9"/>
      <c r="BF626" s="725"/>
      <c r="BG626" s="9"/>
      <c r="BH626" s="725"/>
      <c r="BI626" s="9"/>
      <c r="BJ626" s="725"/>
      <c r="BK626" s="9"/>
      <c r="BL626" s="725"/>
      <c r="BM626" s="9"/>
      <c r="BN626" s="725"/>
      <c r="BO626" s="9"/>
      <c r="BP626" s="725"/>
      <c r="BQ626" s="9"/>
      <c r="BR626" s="725"/>
      <c r="BS626" s="9"/>
      <c r="BT626" s="725"/>
      <c r="BU626" s="9"/>
      <c r="BV626" s="43"/>
      <c r="BW626" s="722"/>
      <c r="BX626" s="722"/>
      <c r="BY626"/>
      <c r="BZ626"/>
      <c r="CA626"/>
      <c r="CB626"/>
      <c r="CC626"/>
      <c r="CD626"/>
    </row>
    <row r="627" spans="1:82" s="2" customFormat="1" ht="12.75" customHeight="1" collapsed="1" x14ac:dyDescent="0.2">
      <c r="A627" s="41" t="s">
        <v>58</v>
      </c>
      <c r="B627" s="62" t="str">
        <f>+B606</f>
        <v>Principal Global Investors</v>
      </c>
      <c r="C627" s="725">
        <f>C184</f>
        <v>61.600000000000016</v>
      </c>
      <c r="D627" s="743" t="str">
        <f>IF(ISERROR(C627/#REF!),"NA",IF(OR(C627/#REF!&gt;2,C627/#REF!&lt;0.5),"NM",C627/#REF!*100-100))</f>
        <v>NA</v>
      </c>
      <c r="E627" s="725">
        <f>E184</f>
        <v>73.400000000000006</v>
      </c>
      <c r="F627" s="725" t="str">
        <f>F184</f>
        <v>NA</v>
      </c>
      <c r="G627" s="725">
        <f>G184</f>
        <v>72.199999999999989</v>
      </c>
      <c r="H627" s="9" t="str">
        <f>IF(ISERROR(G627/#REF!),"NA",IF(OR(G627/#REF!&gt;2,G627/#REF!&lt;0.5),"NM",G627/#REF!*100-100))</f>
        <v>NA</v>
      </c>
      <c r="I627" s="725">
        <f>I184</f>
        <v>82.400000000000034</v>
      </c>
      <c r="J627" s="9" t="str">
        <f>IF(ISERROR(I627/#REF!),"NA",IF(OR(I627/#REF!&gt;2,I627/#REF!&lt;0.5),"NM",I627/#REF!*100-100))</f>
        <v>NA</v>
      </c>
      <c r="K627" s="725">
        <f>K184</f>
        <v>80.599999999999994</v>
      </c>
      <c r="L627" s="9">
        <f t="shared" si="2917"/>
        <v>30.844155844155807</v>
      </c>
      <c r="M627" s="725">
        <f>M184</f>
        <v>83.699999999999974</v>
      </c>
      <c r="N627" s="9">
        <f t="shared" ref="N627:AB630" si="2931">IF(ISERROR(M627/E627),"NA",IF(OR(M627/E627&gt;2,M627/E627&lt;0.5),"NM",M627/E627*100-100))</f>
        <v>14.032697547683881</v>
      </c>
      <c r="O627" s="725">
        <f>O184</f>
        <v>85.7</v>
      </c>
      <c r="P627" s="9">
        <f t="shared" si="2931"/>
        <v>18.698060941828288</v>
      </c>
      <c r="Q627" s="725">
        <f>Q184</f>
        <v>100.10000000000001</v>
      </c>
      <c r="R627" s="9">
        <f t="shared" si="2931"/>
        <v>21.48058252427181</v>
      </c>
      <c r="S627" s="725">
        <f>S184</f>
        <v>92.59999999999998</v>
      </c>
      <c r="T627" s="9">
        <f t="shared" si="2931"/>
        <v>14.888337468982613</v>
      </c>
      <c r="U627" s="725">
        <f>U184</f>
        <v>98.500000000000028</v>
      </c>
      <c r="V627" s="9">
        <f t="shared" si="2931"/>
        <v>17.682198327359686</v>
      </c>
      <c r="W627" s="725">
        <f>W184</f>
        <v>95.4</v>
      </c>
      <c r="X627" s="9">
        <f t="shared" si="2931"/>
        <v>11.318553092182043</v>
      </c>
      <c r="Y627" s="725">
        <f>Y184</f>
        <v>102.00000000000003</v>
      </c>
      <c r="Z627" s="9">
        <f t="shared" si="2931"/>
        <v>1.8981018981019133</v>
      </c>
      <c r="AA627" s="725">
        <f>AA184</f>
        <v>79.700000000000017</v>
      </c>
      <c r="AB627" s="9">
        <f t="shared" si="2931"/>
        <v>-13.930885529157635</v>
      </c>
      <c r="AC627" s="725">
        <f>AC184</f>
        <v>117.49999999999996</v>
      </c>
      <c r="AD627" s="9">
        <f t="shared" ref="AD627:AF630" si="2932">IF(ISERROR(AC627/U627),"NA",IF(OR(AC627/U627&gt;2,AC627/U627&lt;0.5),"NM",AC627/U627*100-100))</f>
        <v>19.289340101522768</v>
      </c>
      <c r="AE627" s="725">
        <f>AE184</f>
        <v>112.9</v>
      </c>
      <c r="AF627" s="9">
        <f t="shared" si="2932"/>
        <v>18.343815513626822</v>
      </c>
      <c r="AG627" s="725">
        <f>AG184</f>
        <v>133.70000000000002</v>
      </c>
      <c r="AH627" s="743">
        <f t="shared" si="2930"/>
        <v>31.078431372549005</v>
      </c>
      <c r="AI627" s="725">
        <f>AI184</f>
        <v>100</v>
      </c>
      <c r="AJ627" s="743">
        <f t="shared" si="2920"/>
        <v>25.47051442910913</v>
      </c>
      <c r="AK627" s="725">
        <f>AK184</f>
        <v>115.40000000000002</v>
      </c>
      <c r="AL627" s="743">
        <f t="shared" si="2921"/>
        <v>-1.7872340425531377</v>
      </c>
      <c r="AM627" s="725">
        <f>AM184</f>
        <v>130.20000000000002</v>
      </c>
      <c r="AN627" s="743">
        <f t="shared" si="2922"/>
        <v>15.323294951284325</v>
      </c>
      <c r="AO627" s="725">
        <f>AO184</f>
        <v>124.10000000000001</v>
      </c>
      <c r="AP627" s="743">
        <f t="shared" si="2923"/>
        <v>-7.1802543006731554</v>
      </c>
      <c r="AQ627" s="725">
        <f t="shared" ref="AQ627" si="2933">AQ184</f>
        <v>128.93566912992608</v>
      </c>
      <c r="AR627" s="743">
        <f t="shared" si="2924"/>
        <v>28.935669129926083</v>
      </c>
      <c r="AS627" s="725">
        <f t="shared" ref="AS627" si="2934">AS184</f>
        <v>129.57417779295389</v>
      </c>
      <c r="AT627" s="743">
        <f t="shared" si="2925"/>
        <v>12.282649733928835</v>
      </c>
      <c r="AU627" s="725">
        <f t="shared" ref="AU627" si="2935">AU184</f>
        <v>131.61129112913176</v>
      </c>
      <c r="AV627" s="743">
        <f t="shared" si="2926"/>
        <v>1.0839409593945675</v>
      </c>
      <c r="AW627" s="725">
        <f t="shared" ref="AW627" si="2936">AW184</f>
        <v>134.67239232122225</v>
      </c>
      <c r="AX627" s="743">
        <f t="shared" si="2927"/>
        <v>8.5192524747963176</v>
      </c>
      <c r="AY627" s="279"/>
      <c r="AZ627" s="15"/>
      <c r="BA627" s="9" t="str">
        <f>IF(ISERROR(#REF!/#REF!),"NA",IF(OR(#REF!/#REF!&gt;2,#REF!/#REF!&lt;0.5),"NM",#REF!/#REF!*100-100))</f>
        <v>NA</v>
      </c>
      <c r="BB627" s="725">
        <f>BB184</f>
        <v>289.60000000000002</v>
      </c>
      <c r="BC627" s="9" t="str">
        <f>IF(ISERROR(BB627/#REF!),"NA",IF(OR(BB627/#REF!&gt;2,BB627/#REF!&lt;0.5),"NM",BB627/#REF!*100-100))</f>
        <v>NA</v>
      </c>
      <c r="BD627" s="961">
        <f>BD184</f>
        <v>350.1</v>
      </c>
      <c r="BE627" s="9">
        <f t="shared" si="2928"/>
        <v>20.890883977900558</v>
      </c>
      <c r="BF627" s="725">
        <f>BF184</f>
        <v>388.5</v>
      </c>
      <c r="BG627" s="9">
        <f t="shared" si="2928"/>
        <v>10.968294772922007</v>
      </c>
      <c r="BH627" s="725">
        <f>BH184</f>
        <v>443.80000000000007</v>
      </c>
      <c r="BI627" s="9">
        <f t="shared" si="2928"/>
        <v>14.23423423423425</v>
      </c>
      <c r="BJ627" s="725">
        <f>BJ184</f>
        <v>469.70000000000005</v>
      </c>
      <c r="BK627" s="9">
        <f t="shared" si="2928"/>
        <v>5.8359621451104005</v>
      </c>
      <c r="BL627" s="725">
        <f>BL184</f>
        <v>524.79353037323403</v>
      </c>
      <c r="BM627" s="9">
        <f t="shared" si="2928"/>
        <v>11.729514663239087</v>
      </c>
      <c r="BN627" s="725">
        <f>BN184</f>
        <v>550.50015402645852</v>
      </c>
      <c r="BO627" s="9">
        <f t="shared" si="2928"/>
        <v>4.8984261743741229</v>
      </c>
      <c r="BP627" s="725">
        <f>BP184</f>
        <v>563.85419045671711</v>
      </c>
      <c r="BQ627" s="9">
        <f t="shared" si="2928"/>
        <v>2.42580067100522</v>
      </c>
      <c r="BR627" s="725">
        <f>BR184</f>
        <v>598.21777251477977</v>
      </c>
      <c r="BS627" s="9">
        <f t="shared" si="2928"/>
        <v>6.0944092709905249</v>
      </c>
      <c r="BT627" s="725">
        <f>BT184</f>
        <v>618.99998773386778</v>
      </c>
      <c r="BU627" s="9">
        <f t="shared" ref="BU627:BU630" si="2937">IF(ISERROR(BT627/BR627),"NA",IF(OR(BT627/BR627&gt;2,BT627/BR627&lt;0.5),"NM",BT627/BR627*100-100))</f>
        <v>3.4740216981056875</v>
      </c>
      <c r="BV627" s="43">
        <f>IF(ISERROR(((BT627/BJ627)^0.2-1)*100),"NA",IF((((BT627/BJ627)^0.2-1)*100)&gt;100,"NM",IF((((BT627/BJ627)^0.2-1)*100)&lt;-50,"NM",((BT627/BJ627)^0.2-1)*100)))</f>
        <v>5.6754281433789799</v>
      </c>
      <c r="BW627" s="722"/>
      <c r="BX627" s="722"/>
      <c r="BY627"/>
      <c r="BZ627"/>
      <c r="CA627"/>
      <c r="CB627"/>
      <c r="CC627"/>
      <c r="CD627"/>
    </row>
    <row r="628" spans="1:82" s="2" customFormat="1" ht="12.75" customHeight="1" x14ac:dyDescent="0.2">
      <c r="A628" s="41" t="s">
        <v>148</v>
      </c>
      <c r="B628" s="42" t="str">
        <f>+B607</f>
        <v>Principal International</v>
      </c>
      <c r="C628" s="725">
        <f>C330</f>
        <v>63.700000000000031</v>
      </c>
      <c r="D628" s="743" t="str">
        <f>IF(ISERROR(C628/#REF!),"NA",IF(OR(C628/#REF!&gt;2,C628/#REF!&lt;0.5),"NM",C628/#REF!*100-100))</f>
        <v>NA</v>
      </c>
      <c r="E628" s="725">
        <f>E330</f>
        <v>75.700000000000017</v>
      </c>
      <c r="F628" s="725" t="str">
        <f>F330</f>
        <v>NA</v>
      </c>
      <c r="G628" s="725">
        <f>G330</f>
        <v>66.099999999999994</v>
      </c>
      <c r="H628" s="9" t="str">
        <f>IF(ISERROR(G628/#REF!),"NA",IF(OR(G628/#REF!&gt;2,G628/#REF!&lt;0.5),"NM",G628/#REF!*100-100))</f>
        <v>NA</v>
      </c>
      <c r="I628" s="725">
        <f>I330</f>
        <v>88.9</v>
      </c>
      <c r="J628" s="9" t="str">
        <f>IF(ISERROR(I628/#REF!),"NA",IF(OR(I628/#REF!&gt;2,I628/#REF!&lt;0.5),"NM",I628/#REF!*100-100))</f>
        <v>NA</v>
      </c>
      <c r="K628" s="725">
        <f>K330</f>
        <v>82.199999999999946</v>
      </c>
      <c r="L628" s="9">
        <f t="shared" si="2917"/>
        <v>29.042386185243174</v>
      </c>
      <c r="M628" s="725">
        <f>M330</f>
        <v>90.6</v>
      </c>
      <c r="N628" s="9">
        <f t="shared" si="2931"/>
        <v>19.682959048877109</v>
      </c>
      <c r="O628" s="725">
        <f>O330</f>
        <v>102.4</v>
      </c>
      <c r="P628" s="9">
        <f t="shared" si="2931"/>
        <v>54.916792738275376</v>
      </c>
      <c r="Q628" s="725">
        <f>Q330</f>
        <v>77.499999999999929</v>
      </c>
      <c r="R628" s="9">
        <f t="shared" si="2931"/>
        <v>-12.823397075365662</v>
      </c>
      <c r="S628" s="725">
        <f>S330</f>
        <v>80.799999999999955</v>
      </c>
      <c r="T628" s="9">
        <f t="shared" si="2931"/>
        <v>-1.7031630170316134</v>
      </c>
      <c r="U628" s="725">
        <f>U330</f>
        <v>72.199999999999946</v>
      </c>
      <c r="V628" s="9">
        <f t="shared" si="2931"/>
        <v>-20.309050772626989</v>
      </c>
      <c r="W628" s="725">
        <f>W330</f>
        <v>50.999999999999964</v>
      </c>
      <c r="X628" s="9" t="str">
        <f t="shared" si="2931"/>
        <v>NM</v>
      </c>
      <c r="Y628" s="725">
        <f>Y330</f>
        <v>67.299999999999983</v>
      </c>
      <c r="Z628" s="9">
        <f t="shared" si="2931"/>
        <v>-13.161290322580584</v>
      </c>
      <c r="AA628" s="725">
        <f>AA330</f>
        <v>68.000000000000014</v>
      </c>
      <c r="AB628" s="9">
        <f t="shared" si="2931"/>
        <v>-15.841584158415785</v>
      </c>
      <c r="AC628" s="725">
        <f>AC330</f>
        <v>69.899999999999977</v>
      </c>
      <c r="AD628" s="9">
        <f t="shared" si="2932"/>
        <v>-3.1855955678669972</v>
      </c>
      <c r="AE628" s="725">
        <f>AE330</f>
        <v>84.200000000000017</v>
      </c>
      <c r="AF628" s="9">
        <f t="shared" si="2932"/>
        <v>65.098039215686413</v>
      </c>
      <c r="AG628" s="725">
        <f>AG330</f>
        <v>66.000000000000043</v>
      </c>
      <c r="AH628" s="743">
        <f t="shared" si="2930"/>
        <v>-1.9316493313520766</v>
      </c>
      <c r="AI628" s="725">
        <f>AI330</f>
        <v>100.89999999999995</v>
      </c>
      <c r="AJ628" s="743">
        <f t="shared" si="2920"/>
        <v>48.382352941176379</v>
      </c>
      <c r="AK628" s="725">
        <f>AK330</f>
        <v>78.399999999999949</v>
      </c>
      <c r="AL628" s="743">
        <f t="shared" si="2921"/>
        <v>12.160228898426297</v>
      </c>
      <c r="AM628" s="725">
        <f>AM330</f>
        <v>72.399999999999991</v>
      </c>
      <c r="AN628" s="743">
        <f t="shared" si="2922"/>
        <v>-14.014251781472709</v>
      </c>
      <c r="AO628" s="725">
        <f>AO330</f>
        <v>78.30000000000004</v>
      </c>
      <c r="AP628" s="743">
        <f t="shared" si="2923"/>
        <v>18.636363636363626</v>
      </c>
      <c r="AQ628" s="725">
        <f t="shared" ref="AQ628" si="2938">AQ330</f>
        <v>89.418216769456805</v>
      </c>
      <c r="AR628" s="743">
        <f t="shared" si="2924"/>
        <v>-11.379368910349996</v>
      </c>
      <c r="AS628" s="725">
        <f t="shared" ref="AS628" si="2939">AS330</f>
        <v>89.958952951178887</v>
      </c>
      <c r="AT628" s="743">
        <f t="shared" si="2925"/>
        <v>14.743562437728258</v>
      </c>
      <c r="AU628" s="725">
        <f t="shared" ref="AU628" si="2940">AU330</f>
        <v>90.789771476380139</v>
      </c>
      <c r="AV628" s="743">
        <f t="shared" si="2926"/>
        <v>25.400236845828928</v>
      </c>
      <c r="AW628" s="725">
        <f t="shared" ref="AW628" si="2941">AW330</f>
        <v>89.458368949220741</v>
      </c>
      <c r="AX628" s="743">
        <f t="shared" si="2927"/>
        <v>14.250790484317605</v>
      </c>
      <c r="AY628" s="279"/>
      <c r="AZ628" s="15"/>
      <c r="BA628" s="9" t="str">
        <f>IF(ISERROR(#REF!/#REF!),"NA",IF(OR(#REF!/#REF!&gt;2,#REF!/#REF!&lt;0.5),"NM",#REF!/#REF!*100-100))</f>
        <v>NA</v>
      </c>
      <c r="BB628" s="725">
        <f>BB330</f>
        <v>294.40000000000003</v>
      </c>
      <c r="BC628" s="9" t="str">
        <f>IF(ISERROR(BB628/#REF!),"NA",IF(OR(BB628/#REF!&gt;2,BB628/#REF!&lt;0.5),"NM",BB628/#REF!*100-100))</f>
        <v>NA</v>
      </c>
      <c r="BD628" s="961">
        <f>BD330</f>
        <v>352.69999999999987</v>
      </c>
      <c r="BE628" s="9">
        <f t="shared" si="2928"/>
        <v>19.802989130434725</v>
      </c>
      <c r="BF628" s="725">
        <f>BF330</f>
        <v>271.2999999999999</v>
      </c>
      <c r="BG628" s="9">
        <f t="shared" si="2928"/>
        <v>-23.079104054437209</v>
      </c>
      <c r="BH628" s="725">
        <f>BH330</f>
        <v>288.10000000000008</v>
      </c>
      <c r="BI628" s="9">
        <f t="shared" si="2928"/>
        <v>6.192406929598306</v>
      </c>
      <c r="BJ628" s="725">
        <f>BJ330</f>
        <v>329.99999999999994</v>
      </c>
      <c r="BK628" s="9">
        <f t="shared" si="2928"/>
        <v>14.54356126345013</v>
      </c>
      <c r="BL628" s="725">
        <f>BL330</f>
        <v>359.62531014623659</v>
      </c>
      <c r="BM628" s="9">
        <f t="shared" si="2928"/>
        <v>8.9773667109807889</v>
      </c>
      <c r="BN628" s="725">
        <f>BN330</f>
        <v>381.34775926632324</v>
      </c>
      <c r="BO628" s="9">
        <f t="shared" si="2928"/>
        <v>6.0403004202494799</v>
      </c>
      <c r="BP628" s="725">
        <f>BP330</f>
        <v>431.87008766088064</v>
      </c>
      <c r="BQ628" s="9">
        <f t="shared" si="2928"/>
        <v>13.248361152497012</v>
      </c>
      <c r="BR628" s="725">
        <f>BR330</f>
        <v>450.13486372073396</v>
      </c>
      <c r="BS628" s="9">
        <f t="shared" si="2928"/>
        <v>4.2292292477999638</v>
      </c>
      <c r="BT628" s="725">
        <f>BT330</f>
        <v>484.47991981506397</v>
      </c>
      <c r="BU628" s="9">
        <f t="shared" si="2937"/>
        <v>7.6299480138996501</v>
      </c>
      <c r="BV628" s="43">
        <f>IF(ISERROR(((BT628/BJ628)^0.2-1)*100),"NA",IF((((BT628/BJ628)^0.2-1)*100)&gt;100,"NM",IF((((BT628/BJ628)^0.2-1)*100)&lt;-50,"NM",((BT628/BJ628)^0.2-1)*100)))</f>
        <v>7.9822489624227444</v>
      </c>
      <c r="BW628" s="722"/>
      <c r="BX628" s="722"/>
      <c r="BY628"/>
      <c r="BZ628"/>
      <c r="CA628"/>
      <c r="CB628"/>
      <c r="CC628"/>
      <c r="CD628"/>
    </row>
    <row r="629" spans="1:82" s="2" customFormat="1" ht="12.75" customHeight="1" x14ac:dyDescent="0.2">
      <c r="A629" s="41"/>
      <c r="B629" s="42" t="s">
        <v>48</v>
      </c>
      <c r="C629" s="725">
        <f>C529</f>
        <v>51.800000000000011</v>
      </c>
      <c r="D629" s="743" t="str">
        <f>IF(ISERROR(C629/#REF!),"NA",IF(OR(C629/#REF!&gt;2,C629/#REF!&lt;0.5),"NM",C629/#REF!*100-100))</f>
        <v>NA</v>
      </c>
      <c r="E629" s="725">
        <f t="shared" ref="E629:M629" si="2942">E529</f>
        <v>69.699999999999989</v>
      </c>
      <c r="F629" s="725" t="str">
        <f t="shared" si="2942"/>
        <v>NA</v>
      </c>
      <c r="G629" s="725">
        <f t="shared" si="2942"/>
        <v>80.200000000000102</v>
      </c>
      <c r="H629" s="9" t="str">
        <f>IF(ISERROR(G629/#REF!),"NA",IF(OR(G629/#REF!&gt;2,G629/#REF!&lt;0.5),"NM",G629/#REF!*100-100))</f>
        <v>NA</v>
      </c>
      <c r="I629" s="725">
        <f t="shared" si="2942"/>
        <v>88.89999999999992</v>
      </c>
      <c r="J629" s="9" t="str">
        <f>IF(ISERROR(I629/#REF!),"NA",IF(OR(I629/#REF!&gt;2,I629/#REF!&lt;0.5),"NM",I629/#REF!*100-100))</f>
        <v>NA</v>
      </c>
      <c r="K629" s="725">
        <f t="shared" si="2942"/>
        <v>62.700000000000102</v>
      </c>
      <c r="L629" s="9">
        <f t="shared" si="2917"/>
        <v>21.042471042471206</v>
      </c>
      <c r="M629" s="725">
        <f t="shared" si="2942"/>
        <v>73.199999999999989</v>
      </c>
      <c r="N629" s="9">
        <f t="shared" si="2931"/>
        <v>5.0215208034433374</v>
      </c>
      <c r="O629" s="725">
        <f>O529</f>
        <v>125.09999999999997</v>
      </c>
      <c r="P629" s="9">
        <f t="shared" si="2931"/>
        <v>55.985037406483542</v>
      </c>
      <c r="Q629" s="725">
        <f>Q529</f>
        <v>83.100000000000023</v>
      </c>
      <c r="R629" s="9">
        <f t="shared" si="2931"/>
        <v>-6.5241844769402775</v>
      </c>
      <c r="S629" s="725">
        <f>S529</f>
        <v>81.900000000000091</v>
      </c>
      <c r="T629" s="9">
        <f t="shared" si="2931"/>
        <v>30.622009569377923</v>
      </c>
      <c r="U629" s="725">
        <f>U529</f>
        <v>88.100000000000023</v>
      </c>
      <c r="V629" s="9">
        <f t="shared" si="2931"/>
        <v>20.355191256830651</v>
      </c>
      <c r="W629" s="725">
        <f>W529</f>
        <v>172.89999999999998</v>
      </c>
      <c r="X629" s="9">
        <f t="shared" si="2931"/>
        <v>38.209432454036772</v>
      </c>
      <c r="Y629" s="725">
        <f>Y529</f>
        <v>86.600000000000023</v>
      </c>
      <c r="Z629" s="9">
        <f t="shared" si="2931"/>
        <v>4.2117930204572929</v>
      </c>
      <c r="AA629" s="725">
        <f>AA529</f>
        <v>80.499999999999943</v>
      </c>
      <c r="AB629" s="9">
        <f t="shared" si="2931"/>
        <v>-1.7094017094018881</v>
      </c>
      <c r="AC629" s="725">
        <f>AC529</f>
        <v>103.60000000000008</v>
      </c>
      <c r="AD629" s="9">
        <f t="shared" si="2932"/>
        <v>17.593643586833196</v>
      </c>
      <c r="AE629" s="725">
        <f>AE529</f>
        <v>70.200000000000159</v>
      </c>
      <c r="AF629" s="9" t="str">
        <f t="shared" si="2932"/>
        <v>NM</v>
      </c>
      <c r="AG629" s="725">
        <f>AG529</f>
        <v>106.89999999999998</v>
      </c>
      <c r="AH629" s="743">
        <f t="shared" si="2930"/>
        <v>23.441108545034581</v>
      </c>
      <c r="AI629" s="725">
        <f>AI529</f>
        <v>86.199999999999989</v>
      </c>
      <c r="AJ629" s="743">
        <f t="shared" si="2920"/>
        <v>7.0807453416149571</v>
      </c>
      <c r="AK629" s="725">
        <f>AK529</f>
        <v>104.39999999999998</v>
      </c>
      <c r="AL629" s="743">
        <f t="shared" si="2921"/>
        <v>0.77220077220067651</v>
      </c>
      <c r="AM629" s="725">
        <f>AM529</f>
        <v>83.199999999999989</v>
      </c>
      <c r="AN629" s="743">
        <f t="shared" si="2922"/>
        <v>18.518518518518221</v>
      </c>
      <c r="AO629" s="725">
        <f>AO529</f>
        <v>110.89999999999992</v>
      </c>
      <c r="AP629" s="743">
        <f t="shared" si="2923"/>
        <v>3.7418147801683261</v>
      </c>
      <c r="AQ629" s="725">
        <f t="shared" ref="AQ629:AW629" si="2943">AQ529</f>
        <v>93.558349284956023</v>
      </c>
      <c r="AR629" s="743">
        <f t="shared" si="2924"/>
        <v>8.5363680799953983</v>
      </c>
      <c r="AS629" s="725">
        <f t="shared" si="2943"/>
        <v>105.43637033023407</v>
      </c>
      <c r="AT629" s="743">
        <f t="shared" si="2925"/>
        <v>0.99269188719742374</v>
      </c>
      <c r="AU629" s="725">
        <f t="shared" si="2943"/>
        <v>118.68761292129153</v>
      </c>
      <c r="AV629" s="743">
        <f t="shared" si="2926"/>
        <v>42.653380915013884</v>
      </c>
      <c r="AW629" s="725">
        <f t="shared" si="2943"/>
        <v>126.20979167638234</v>
      </c>
      <c r="AX629" s="743">
        <f t="shared" si="2927"/>
        <v>13.805042088712739</v>
      </c>
      <c r="AY629" s="279"/>
      <c r="AZ629" s="15"/>
      <c r="BA629" s="9" t="str">
        <f>IF(ISERROR(#REF!/#REF!),"NA",IF(OR(#REF!/#REF!&gt;2,#REF!/#REF!&lt;0.5),"NM",#REF!/#REF!*100-100))</f>
        <v>NA</v>
      </c>
      <c r="BB629" s="725">
        <f>BB529</f>
        <v>290.59999999999991</v>
      </c>
      <c r="BC629" s="9" t="str">
        <f>IF(ISERROR(BB629/#REF!),"NA",IF(OR(BB629/#REF!&gt;2,BB629/#REF!&lt;0.5),"NM",BB629/#REF!*100-100))</f>
        <v>NA</v>
      </c>
      <c r="BD629" s="961">
        <f>BD529</f>
        <v>344.09999999999991</v>
      </c>
      <c r="BE629" s="9">
        <f t="shared" si="2928"/>
        <v>18.410185822436347</v>
      </c>
      <c r="BF629" s="725">
        <f>BF529</f>
        <v>429.5</v>
      </c>
      <c r="BG629" s="9">
        <f t="shared" si="2928"/>
        <v>24.818366753850654</v>
      </c>
      <c r="BH629" s="725">
        <f>BH529</f>
        <v>361.19999999999982</v>
      </c>
      <c r="BI629" s="9">
        <f t="shared" si="2928"/>
        <v>-15.902211874272453</v>
      </c>
      <c r="BJ629" s="725">
        <f>BJ529</f>
        <v>384.69999999999959</v>
      </c>
      <c r="BK629" s="9">
        <f t="shared" si="2928"/>
        <v>6.5060908084163316</v>
      </c>
      <c r="BL629" s="725">
        <f>BL529</f>
        <v>443.89212421286425</v>
      </c>
      <c r="BM629" s="9">
        <f t="shared" si="2928"/>
        <v>15.386567250549703</v>
      </c>
      <c r="BN629" s="725">
        <f>BN529</f>
        <v>467.01769667109488</v>
      </c>
      <c r="BO629" s="9">
        <f t="shared" si="2928"/>
        <v>5.2097280390451317</v>
      </c>
      <c r="BP629" s="725">
        <f>BP529</f>
        <v>478.64560724496778</v>
      </c>
      <c r="BQ629" s="9">
        <f t="shared" si="2928"/>
        <v>2.4898222608600804</v>
      </c>
      <c r="BR629" s="725">
        <f>BR529</f>
        <v>492.17283466991989</v>
      </c>
      <c r="BS629" s="9">
        <f t="shared" si="2928"/>
        <v>2.8261467817104489</v>
      </c>
      <c r="BT629" s="725">
        <f>BT529</f>
        <v>505.70221585350532</v>
      </c>
      <c r="BU629" s="9">
        <f t="shared" si="2937"/>
        <v>2.7489085602741596</v>
      </c>
      <c r="BV629" s="43">
        <f>IF(ISERROR(((BT629/BJ629)^0.2-1)*100),"NA",IF((((BT629/BJ629)^0.2-1)*100)&gt;100,"NM",IF((((BT629/BJ629)^0.2-1)*100)&lt;-50,"NM",((BT629/BJ629)^0.2-1)*100)))</f>
        <v>5.6220358159605688</v>
      </c>
      <c r="BW629" s="722"/>
      <c r="BX629" s="722"/>
      <c r="BY629"/>
      <c r="BZ629"/>
      <c r="CA629"/>
      <c r="CB629"/>
      <c r="CC629"/>
      <c r="CD629"/>
    </row>
    <row r="630" spans="1:82" s="2" customFormat="1" ht="12.75" customHeight="1" x14ac:dyDescent="0.2">
      <c r="A630" s="41" t="s">
        <v>147</v>
      </c>
      <c r="B630" s="5" t="s">
        <v>28</v>
      </c>
      <c r="C630" s="725">
        <f>C407</f>
        <v>19.900000000000034</v>
      </c>
      <c r="D630" s="743" t="str">
        <f>IF(ISERROR(C630/#REF!),"NA",IF(OR(C630/#REF!&gt;2,C630/#REF!&lt;0.5),"NM",C630/#REF!*100-100))</f>
        <v>NA</v>
      </c>
      <c r="E630" s="725">
        <f>E407</f>
        <v>30.199999999999989</v>
      </c>
      <c r="F630" s="725" t="str">
        <f>F407</f>
        <v>NA</v>
      </c>
      <c r="G630" s="725">
        <f>G407</f>
        <v>31.500000000000057</v>
      </c>
      <c r="H630" s="9" t="str">
        <f>IF(ISERROR(G630/#REF!),"NA",IF(OR(G630/#REF!&gt;2,G630/#REF!&lt;0.5),"NM",G630/#REF!*100-100))</f>
        <v>NA</v>
      </c>
      <c r="I630" s="725">
        <f>I407</f>
        <v>47.199999999999989</v>
      </c>
      <c r="J630" s="9" t="str">
        <f>IF(ISERROR(I630/#REF!),"NA",IF(OR(I630/#REF!&gt;2,I630/#REF!&lt;0.5),"NM",I630/#REF!*100-100))</f>
        <v>NA</v>
      </c>
      <c r="K630" s="725">
        <f>K407</f>
        <v>21.800000000000011</v>
      </c>
      <c r="L630" s="9">
        <f t="shared" si="2917"/>
        <v>9.5477386934672097</v>
      </c>
      <c r="M630" s="725">
        <f>M407</f>
        <v>27.599999999999966</v>
      </c>
      <c r="N630" s="9">
        <f t="shared" si="2931"/>
        <v>-8.6092715231788901</v>
      </c>
      <c r="O630" s="725">
        <f>O407</f>
        <v>76.499999999999943</v>
      </c>
      <c r="P630" s="9" t="str">
        <f t="shared" si="2931"/>
        <v>NM</v>
      </c>
      <c r="Q630" s="725">
        <f>Q407</f>
        <v>39.000000000000057</v>
      </c>
      <c r="R630" s="9">
        <f t="shared" si="2931"/>
        <v>-17.372881355932066</v>
      </c>
      <c r="S630" s="725">
        <f>S407</f>
        <v>35.100000000000023</v>
      </c>
      <c r="T630" s="9">
        <f t="shared" si="2931"/>
        <v>61.009174311926643</v>
      </c>
      <c r="U630" s="725">
        <f>U407</f>
        <v>36.699999999999989</v>
      </c>
      <c r="V630" s="9">
        <f t="shared" si="2931"/>
        <v>32.971014492753739</v>
      </c>
      <c r="W630" s="725">
        <f>W407</f>
        <v>107.5</v>
      </c>
      <c r="X630" s="9">
        <f t="shared" si="2931"/>
        <v>40.522875816993576</v>
      </c>
      <c r="Y630" s="725">
        <f>Y407</f>
        <v>29.800000000000011</v>
      </c>
      <c r="Z630" s="9">
        <f t="shared" si="2931"/>
        <v>-23.589743589743676</v>
      </c>
      <c r="AA630" s="725">
        <f>AA407</f>
        <v>41.899999999999977</v>
      </c>
      <c r="AB630" s="9">
        <f t="shared" si="2931"/>
        <v>19.373219373219229</v>
      </c>
      <c r="AC630" s="725">
        <f>AC407</f>
        <v>37.099999999999966</v>
      </c>
      <c r="AD630" s="9">
        <f t="shared" si="2932"/>
        <v>1.0899182561307157</v>
      </c>
      <c r="AE630" s="725">
        <f>AE407</f>
        <v>-3.6999999999999318</v>
      </c>
      <c r="AF630" s="9" t="str">
        <f t="shared" si="2932"/>
        <v>NM</v>
      </c>
      <c r="AG630" s="725">
        <f>AG407</f>
        <v>35</v>
      </c>
      <c r="AH630" s="743">
        <f t="shared" si="2930"/>
        <v>17.449664429530159</v>
      </c>
      <c r="AI630" s="725">
        <f>AI407</f>
        <v>40.699999999999989</v>
      </c>
      <c r="AJ630" s="743">
        <f t="shared" si="2920"/>
        <v>-2.863961813842451</v>
      </c>
      <c r="AK630" s="725">
        <f>AK407</f>
        <v>40.800000000000011</v>
      </c>
      <c r="AL630" s="743">
        <f t="shared" si="2921"/>
        <v>9.9730458221025629</v>
      </c>
      <c r="AM630" s="725">
        <f>AM407</f>
        <v>-0.60000000000002274</v>
      </c>
      <c r="AN630" s="743" t="str">
        <f t="shared" si="2922"/>
        <v>NM</v>
      </c>
      <c r="AO630" s="725">
        <f>AO407</f>
        <v>48.300000000000011</v>
      </c>
      <c r="AP630" s="743">
        <f t="shared" si="2923"/>
        <v>38.000000000000028</v>
      </c>
      <c r="AQ630" s="725">
        <f t="shared" ref="AQ630" si="2944">AQ407</f>
        <v>37.100329999999985</v>
      </c>
      <c r="AR630" s="743">
        <f t="shared" si="2924"/>
        <v>-8.8443980343980542</v>
      </c>
      <c r="AS630" s="725">
        <f t="shared" ref="AS630" si="2945">AS407</f>
        <v>39.686480450000033</v>
      </c>
      <c r="AT630" s="743">
        <f t="shared" si="2925"/>
        <v>-2.7292145833332881</v>
      </c>
      <c r="AU630" s="725">
        <f t="shared" ref="AU630" si="2946">AU407</f>
        <v>43.439293186750035</v>
      </c>
      <c r="AV630" s="743" t="str">
        <f t="shared" si="2926"/>
        <v>NM</v>
      </c>
      <c r="AW630" s="725">
        <f t="shared" ref="AW630" si="2947">AW407</f>
        <v>46.13335772633252</v>
      </c>
      <c r="AX630" s="743">
        <f t="shared" si="2927"/>
        <v>-4.4858018088353901</v>
      </c>
      <c r="AY630" s="279"/>
      <c r="AZ630" s="15"/>
      <c r="BA630" s="9" t="str">
        <f>IF(ISERROR(#REF!/#REF!),"NA",IF(OR(#REF!/#REF!&gt;2,#REF!/#REF!&lt;0.5),"NM",#REF!/#REF!*100-100))</f>
        <v>NA</v>
      </c>
      <c r="BB630" s="725">
        <f>BB407</f>
        <v>128.80000000000018</v>
      </c>
      <c r="BC630" s="9" t="str">
        <f>IF(ISERROR(BB630/#REF!),"NA",IF(OR(BB630/#REF!&gt;2,BB630/#REF!&lt;0.5),"NM",BB630/#REF!*100-100))</f>
        <v>NA</v>
      </c>
      <c r="BD630" s="961">
        <f>BD407</f>
        <v>164.90000000000009</v>
      </c>
      <c r="BE630" s="9">
        <f t="shared" si="2928"/>
        <v>28.027950310558879</v>
      </c>
      <c r="BF630" s="725">
        <f>BF407</f>
        <v>209.09999999999968</v>
      </c>
      <c r="BG630" s="9">
        <f t="shared" si="2928"/>
        <v>26.80412371133994</v>
      </c>
      <c r="BH630" s="725">
        <f>BH407</f>
        <v>110.29999999999973</v>
      </c>
      <c r="BI630" s="9">
        <f t="shared" si="2928"/>
        <v>-47.250119560019179</v>
      </c>
      <c r="BJ630" s="725">
        <f>BJ407</f>
        <v>129.20000000000005</v>
      </c>
      <c r="BK630" s="9">
        <f t="shared" si="2928"/>
        <v>17.135086128740127</v>
      </c>
      <c r="BL630" s="725">
        <f>BL407</f>
        <v>166.35946136308257</v>
      </c>
      <c r="BM630" s="9">
        <f t="shared" si="2928"/>
        <v>28.761193005481829</v>
      </c>
      <c r="BN630" s="725">
        <f>BN407</f>
        <v>174.86614895248226</v>
      </c>
      <c r="BO630" s="9">
        <f t="shared" si="2928"/>
        <v>5.1134378049191298</v>
      </c>
      <c r="BP630" s="725">
        <f>BP407</f>
        <v>176.08159040976625</v>
      </c>
      <c r="BQ630" s="9">
        <f t="shared" si="2928"/>
        <v>0.69506960870640455</v>
      </c>
      <c r="BR630" s="725">
        <f>BR407</f>
        <v>179.1179389055917</v>
      </c>
      <c r="BS630" s="9">
        <f t="shared" si="2928"/>
        <v>1.7243986090535941</v>
      </c>
      <c r="BT630" s="725">
        <f>BT407</f>
        <v>182.11546473642716</v>
      </c>
      <c r="BU630" s="9">
        <f t="shared" si="2937"/>
        <v>1.6734928110217879</v>
      </c>
      <c r="BV630" s="43">
        <f>IF(ISERROR(((BT630/BJ630)^0.2-1)*100),"NA",IF((((BT630/BJ630)^0.2-1)*100)&gt;100,"NM",IF((((BT630/BJ630)^0.2-1)*100)&lt;-50,"NM",((BT630/BJ630)^0.2-1)*100)))</f>
        <v>7.1067551999950407</v>
      </c>
      <c r="BW630" s="722"/>
      <c r="BX630" s="722"/>
      <c r="BY630"/>
      <c r="BZ630"/>
      <c r="CA630"/>
      <c r="CB630"/>
      <c r="CC630"/>
      <c r="CD630"/>
    </row>
    <row r="631" spans="1:82" s="2" customFormat="1" ht="12.75" hidden="1" customHeight="1" outlineLevel="1" x14ac:dyDescent="0.2">
      <c r="A631" s="41"/>
      <c r="B631" s="5" t="s">
        <v>29</v>
      </c>
      <c r="C631" s="725"/>
      <c r="D631" s="743" t="str">
        <f>IF(ISERROR(C631/#REF!),"NA",IF(OR(C631/#REF!&gt;2,C631/#REF!&lt;0.5),"NM",C631/#REF!*100-100))</f>
        <v>NA</v>
      </c>
      <c r="E631" s="725"/>
      <c r="F631" s="725"/>
      <c r="G631" s="725"/>
      <c r="H631" s="725"/>
      <c r="I631" s="725"/>
      <c r="J631" s="725"/>
      <c r="K631" s="725"/>
      <c r="L631" s="9" t="str">
        <f t="shared" si="2917"/>
        <v>NA</v>
      </c>
      <c r="M631" s="725"/>
      <c r="N631" s="9"/>
      <c r="O631" s="725"/>
      <c r="P631" s="9"/>
      <c r="Q631" s="725"/>
      <c r="R631" s="9"/>
      <c r="S631" s="725"/>
      <c r="T631" s="9"/>
      <c r="U631" s="725"/>
      <c r="V631" s="9"/>
      <c r="W631" s="725"/>
      <c r="X631" s="9"/>
      <c r="Y631" s="725"/>
      <c r="Z631" s="9"/>
      <c r="AA631" s="725"/>
      <c r="AB631" s="9"/>
      <c r="AC631" s="725"/>
      <c r="AD631" s="9"/>
      <c r="AE631" s="725"/>
      <c r="AF631" s="9"/>
      <c r="AG631" s="725"/>
      <c r="AH631" s="743" t="str">
        <f t="shared" si="2930"/>
        <v>NA</v>
      </c>
      <c r="AI631" s="725"/>
      <c r="AJ631" s="743" t="str">
        <f t="shared" si="2920"/>
        <v>NA</v>
      </c>
      <c r="AK631" s="725"/>
      <c r="AL631" s="743" t="str">
        <f t="shared" si="2921"/>
        <v>NA</v>
      </c>
      <c r="AM631" s="725"/>
      <c r="AN631" s="743" t="str">
        <f t="shared" si="2922"/>
        <v>NA</v>
      </c>
      <c r="AO631" s="725"/>
      <c r="AP631" s="743" t="str">
        <f t="shared" si="2923"/>
        <v>NA</v>
      </c>
      <c r="AQ631" s="725"/>
      <c r="AR631" s="743" t="str">
        <f t="shared" si="2924"/>
        <v>NA</v>
      </c>
      <c r="AS631" s="725"/>
      <c r="AT631" s="743" t="str">
        <f t="shared" si="2925"/>
        <v>NA</v>
      </c>
      <c r="AU631" s="725"/>
      <c r="AV631" s="743" t="str">
        <f t="shared" si="2926"/>
        <v>NA</v>
      </c>
      <c r="AW631" s="725"/>
      <c r="AX631" s="743" t="str">
        <f t="shared" si="2927"/>
        <v>NA</v>
      </c>
      <c r="AY631" s="279"/>
      <c r="AZ631" s="15"/>
      <c r="BA631" s="9"/>
      <c r="BB631" s="725"/>
      <c r="BC631" s="9"/>
      <c r="BD631" s="961"/>
      <c r="BE631" s="9"/>
      <c r="BF631" s="725"/>
      <c r="BG631" s="9"/>
      <c r="BH631" s="725"/>
      <c r="BI631" s="9"/>
      <c r="BJ631" s="725"/>
      <c r="BK631" s="9"/>
      <c r="BL631" s="725"/>
      <c r="BM631" s="9"/>
      <c r="BN631" s="725"/>
      <c r="BO631" s="9"/>
      <c r="BP631" s="725"/>
      <c r="BQ631" s="9"/>
      <c r="BR631" s="725"/>
      <c r="BS631" s="9"/>
      <c r="BT631" s="725"/>
      <c r="BU631" s="9"/>
      <c r="BV631" s="43"/>
      <c r="BW631" s="722"/>
      <c r="BX631" s="722"/>
      <c r="BY631"/>
      <c r="BZ631"/>
      <c r="CA631"/>
      <c r="CB631"/>
      <c r="CC631"/>
      <c r="CD631"/>
    </row>
    <row r="632" spans="1:82" s="2" customFormat="1" ht="12.75" customHeight="1" collapsed="1" x14ac:dyDescent="0.2">
      <c r="A632" s="41" t="s">
        <v>146</v>
      </c>
      <c r="B632" s="5" t="s">
        <v>442</v>
      </c>
      <c r="C632" s="725">
        <f>C494</f>
        <v>31.899999999999977</v>
      </c>
      <c r="D632" s="743" t="str">
        <f>IF(ISERROR(C632/#REF!),"NA",IF(OR(C632/#REF!&gt;2,C632/#REF!&lt;0.5),"NM",C632/#REF!*100-100))</f>
        <v>NA</v>
      </c>
      <c r="E632" s="725">
        <f>E494</f>
        <v>39.5</v>
      </c>
      <c r="F632" s="725" t="str">
        <f>F494</f>
        <v>NA</v>
      </c>
      <c r="G632" s="725">
        <f>G494</f>
        <v>48.700000000000045</v>
      </c>
      <c r="H632" s="9" t="str">
        <f>IF(ISERROR(G632/#REF!),"NA",IF(OR(G632/#REF!&gt;2,G632/#REF!&lt;0.5),"NM",G632/#REF!*100-100))</f>
        <v>NA</v>
      </c>
      <c r="I632" s="725">
        <f>I494</f>
        <v>41.699999999999932</v>
      </c>
      <c r="J632" s="9" t="str">
        <f>IF(ISERROR(I632/#REF!),"NA",IF(OR(I632/#REF!&gt;2,I632/#REF!&lt;0.5),"NM",I632/#REF!*100-100))</f>
        <v>NA</v>
      </c>
      <c r="K632" s="725">
        <f>K494</f>
        <v>40.900000000000091</v>
      </c>
      <c r="L632" s="9">
        <f t="shared" si="2917"/>
        <v>28.213166144200983</v>
      </c>
      <c r="M632" s="725">
        <f>M494</f>
        <v>45.600000000000023</v>
      </c>
      <c r="N632" s="9">
        <f t="shared" ref="N632:AB634" si="2948">IF(ISERROR(M632/E632),"NA",IF(OR(M632/E632&gt;2,M632/E632&lt;0.5),"NM",M632/E632*100-100))</f>
        <v>15.443037974683605</v>
      </c>
      <c r="O632" s="725">
        <f>O494</f>
        <v>48.600000000000023</v>
      </c>
      <c r="P632" s="9">
        <f t="shared" si="2948"/>
        <v>-0.20533880903495572</v>
      </c>
      <c r="Q632" s="725">
        <f>Q494</f>
        <v>44.099999999999966</v>
      </c>
      <c r="R632" s="9">
        <f t="shared" si="2948"/>
        <v>5.7553956834533295</v>
      </c>
      <c r="S632" s="725">
        <f>S494</f>
        <v>46.800000000000068</v>
      </c>
      <c r="T632" s="9">
        <f t="shared" si="2948"/>
        <v>14.425427872860539</v>
      </c>
      <c r="U632" s="725">
        <f>U494</f>
        <v>51.400000000000034</v>
      </c>
      <c r="V632" s="9">
        <f t="shared" si="2948"/>
        <v>12.71929824561407</v>
      </c>
      <c r="W632" s="725">
        <f>W494</f>
        <v>65.399999999999977</v>
      </c>
      <c r="X632" s="9">
        <f t="shared" si="2948"/>
        <v>34.567901234567785</v>
      </c>
      <c r="Y632" s="725">
        <f>Y494</f>
        <v>56.800000000000011</v>
      </c>
      <c r="Z632" s="9">
        <f t="shared" si="2948"/>
        <v>28.798185941043215</v>
      </c>
      <c r="AA632" s="725">
        <f>AA494</f>
        <v>38.599999999999966</v>
      </c>
      <c r="AB632" s="9">
        <f t="shared" si="2948"/>
        <v>-17.521367521367708</v>
      </c>
      <c r="AC632" s="725">
        <f>AC494</f>
        <v>66.500000000000114</v>
      </c>
      <c r="AD632" s="9">
        <f t="shared" ref="AD632:AF634" si="2949">IF(ISERROR(AC632/U632),"NA",IF(OR(AC632/U632&gt;2,AC632/U632&lt;0.5),"NM",AC632/U632*100-100))</f>
        <v>29.37743190661493</v>
      </c>
      <c r="AE632" s="725">
        <f>AE494</f>
        <v>73.900000000000091</v>
      </c>
      <c r="AF632" s="9">
        <f t="shared" si="2949"/>
        <v>12.996941896024651</v>
      </c>
      <c r="AG632" s="725">
        <f>AG494</f>
        <v>71.899999999999977</v>
      </c>
      <c r="AH632" s="743">
        <f t="shared" si="2930"/>
        <v>26.584507042253463</v>
      </c>
      <c r="AI632" s="725">
        <f>AI494</f>
        <v>45.5</v>
      </c>
      <c r="AJ632" s="743">
        <f t="shared" si="2920"/>
        <v>17.875647668393896</v>
      </c>
      <c r="AK632" s="725">
        <f>AK494</f>
        <v>63.599999999999966</v>
      </c>
      <c r="AL632" s="743">
        <f t="shared" si="2921"/>
        <v>-4.3609022556393029</v>
      </c>
      <c r="AM632" s="725">
        <f>AM494</f>
        <v>83.800000000000011</v>
      </c>
      <c r="AN632" s="743">
        <f t="shared" si="2922"/>
        <v>13.396481732070242</v>
      </c>
      <c r="AO632" s="725">
        <f>AO494</f>
        <v>62.599999999999909</v>
      </c>
      <c r="AP632" s="743">
        <f t="shared" si="2923"/>
        <v>-12.934631432545302</v>
      </c>
      <c r="AQ632" s="725">
        <f t="shared" ref="AQ632" si="2950">AQ494</f>
        <v>56.458019284956038</v>
      </c>
      <c r="AR632" s="743">
        <f t="shared" si="2924"/>
        <v>24.08355886803524</v>
      </c>
      <c r="AS632" s="725">
        <f t="shared" ref="AS632" si="2951">AS494</f>
        <v>65.749889880234036</v>
      </c>
      <c r="AT632" s="743">
        <f t="shared" si="2925"/>
        <v>3.3803300003680334</v>
      </c>
      <c r="AU632" s="725">
        <f t="shared" ref="AU632" si="2952">AU494</f>
        <v>75.248319734541496</v>
      </c>
      <c r="AV632" s="743">
        <f t="shared" si="2926"/>
        <v>-10.204869051859802</v>
      </c>
      <c r="AW632" s="725">
        <f t="shared" ref="AW632" si="2953">AW494</f>
        <v>80.076433950049818</v>
      </c>
      <c r="AX632" s="743">
        <f t="shared" si="2927"/>
        <v>27.917626118290627</v>
      </c>
      <c r="AY632" s="279"/>
      <c r="AZ632" s="15"/>
      <c r="BA632" s="9" t="str">
        <f>IF(ISERROR(#REF!/#REF!),"NA",IF(OR(#REF!/#REF!&gt;2,#REF!/#REF!&lt;0.5),"NM",#REF!/#REF!*100-100))</f>
        <v>NA</v>
      </c>
      <c r="BB632" s="725">
        <f>BB494</f>
        <v>161.79999999999973</v>
      </c>
      <c r="BC632" s="9" t="str">
        <f>IF(ISERROR(BB632/#REF!),"NA",IF(OR(BB632/#REF!&gt;2,BB632/#REF!&lt;0.5),"NM",BB632/#REF!*100-100))</f>
        <v>NA</v>
      </c>
      <c r="BD632" s="961">
        <f>BD494</f>
        <v>179.19999999999982</v>
      </c>
      <c r="BE632" s="9">
        <f t="shared" si="2928"/>
        <v>10.754017305315287</v>
      </c>
      <c r="BF632" s="725">
        <f>BF494</f>
        <v>220.40000000000032</v>
      </c>
      <c r="BG632" s="9">
        <f t="shared" si="2928"/>
        <v>22.991071428571729</v>
      </c>
      <c r="BH632" s="725">
        <f>BH494</f>
        <v>250.90000000000009</v>
      </c>
      <c r="BI632" s="9">
        <f t="shared" si="2928"/>
        <v>13.838475499092425</v>
      </c>
      <c r="BJ632" s="725">
        <f>BJ494</f>
        <v>255.49999999999955</v>
      </c>
      <c r="BK632" s="9">
        <f t="shared" si="2928"/>
        <v>1.8333997608606722</v>
      </c>
      <c r="BL632" s="725">
        <f>BL494</f>
        <v>277.53266284978167</v>
      </c>
      <c r="BM632" s="9">
        <f t="shared" si="2928"/>
        <v>8.6233514089167045</v>
      </c>
      <c r="BN632" s="725">
        <f>BN494</f>
        <v>292.15154771861262</v>
      </c>
      <c r="BO632" s="9">
        <f t="shared" si="2928"/>
        <v>5.2674466200555372</v>
      </c>
      <c r="BP632" s="725">
        <f>BP494</f>
        <v>302.56401683520153</v>
      </c>
      <c r="BQ632" s="9">
        <f t="shared" si="2928"/>
        <v>3.564064335068224</v>
      </c>
      <c r="BR632" s="725">
        <f>BR494</f>
        <v>313.05489576432819</v>
      </c>
      <c r="BS632" s="9">
        <f t="shared" si="2928"/>
        <v>3.467325374266423</v>
      </c>
      <c r="BT632" s="725">
        <f>BT494</f>
        <v>323.58675111707817</v>
      </c>
      <c r="BU632" s="9">
        <f t="shared" ref="BU632:BU634" si="2954">IF(ISERROR(BT632/BR632),"NA",IF(OR(BT632/BR632&gt;2,BT632/BR632&lt;0.5),"NM",BT632/BR632*100-100))</f>
        <v>3.3642199803444441</v>
      </c>
      <c r="BV632" s="43">
        <f>IF(ISERROR(((BT632/BJ632)^0.2-1)*100),"NA",IF((((BT632/BJ632)^0.2-1)*100)&gt;100,"NM",IF((((BT632/BJ632)^0.2-1)*100)&lt;-50,"NM",((BT632/BJ632)^0.2-1)*100)))</f>
        <v>4.8382988843020058</v>
      </c>
      <c r="BW632" s="722"/>
      <c r="BX632" s="722"/>
      <c r="BY632"/>
      <c r="BZ632"/>
      <c r="CA632"/>
      <c r="CB632"/>
      <c r="CC632"/>
      <c r="CD632"/>
    </row>
    <row r="633" spans="1:82" s="2" customFormat="1" ht="12.75" customHeight="1" x14ac:dyDescent="0.2">
      <c r="A633" s="42" t="s">
        <v>363</v>
      </c>
      <c r="B633" s="42" t="s">
        <v>324</v>
      </c>
      <c r="C633" s="725">
        <f>C559</f>
        <v>-44.100000000000009</v>
      </c>
      <c r="D633" s="743" t="str">
        <f>IF(ISERROR(C633/#REF!),"NA",IF(OR(C633/#REF!&gt;2,C633/#REF!&lt;0.5),"NM",C633/#REF!*100-100))</f>
        <v>NA</v>
      </c>
      <c r="E633" s="725">
        <f t="shared" ref="E633:M633" si="2955">E559</f>
        <v>-49.000000000000007</v>
      </c>
      <c r="F633" s="725" t="str">
        <f t="shared" si="2955"/>
        <v>NA</v>
      </c>
      <c r="G633" s="725">
        <f t="shared" si="2955"/>
        <v>-41.499999999999993</v>
      </c>
      <c r="H633" s="9" t="str">
        <f>IF(ISERROR(G633/#REF!),"NA",IF(OR(G633/#REF!&gt;2,G633/#REF!&lt;0.5),"NM",G633/#REF!*100-100))</f>
        <v>NA</v>
      </c>
      <c r="I633" s="725">
        <f t="shared" si="2955"/>
        <v>-58.5</v>
      </c>
      <c r="J633" s="9" t="str">
        <f>IF(ISERROR(I633/#REF!),"NA",IF(OR(I633/#REF!&gt;2,I633/#REF!&lt;0.5),"NM",I633/#REF!*100-100))</f>
        <v>NA</v>
      </c>
      <c r="K633" s="725">
        <f t="shared" si="2955"/>
        <v>-42.7</v>
      </c>
      <c r="L633" s="9">
        <f t="shared" si="2917"/>
        <v>-3.1746031746031917</v>
      </c>
      <c r="M633" s="725">
        <f t="shared" si="2955"/>
        <v>-39.800000000000004</v>
      </c>
      <c r="N633" s="9">
        <f t="shared" si="2948"/>
        <v>-18.775510204081641</v>
      </c>
      <c r="O633" s="725">
        <f>O559</f>
        <v>-43.2</v>
      </c>
      <c r="P633" s="9">
        <f t="shared" si="2948"/>
        <v>4.0963855421686901</v>
      </c>
      <c r="Q633" s="725">
        <f>Q559</f>
        <v>-49.1</v>
      </c>
      <c r="R633" s="9">
        <f t="shared" si="2948"/>
        <v>-16.068376068376068</v>
      </c>
      <c r="S633" s="725">
        <f>S559</f>
        <v>-37.300000000000004</v>
      </c>
      <c r="T633" s="9">
        <f t="shared" si="2948"/>
        <v>-12.646370023419195</v>
      </c>
      <c r="U633" s="725">
        <f>U559</f>
        <v>-46.2</v>
      </c>
      <c r="V633" s="9">
        <f t="shared" si="2948"/>
        <v>16.08040201005025</v>
      </c>
      <c r="W633" s="725">
        <f>W559</f>
        <v>-54</v>
      </c>
      <c r="X633" s="9">
        <f t="shared" si="2948"/>
        <v>25</v>
      </c>
      <c r="Y633" s="725">
        <f>Y559</f>
        <v>-54.8</v>
      </c>
      <c r="Z633" s="9">
        <f t="shared" si="2948"/>
        <v>11.608961303462323</v>
      </c>
      <c r="AA633" s="725">
        <f>AA559</f>
        <v>-53.29999999999999</v>
      </c>
      <c r="AB633" s="9">
        <f t="shared" si="2948"/>
        <v>42.895442359249301</v>
      </c>
      <c r="AC633" s="725">
        <f>AC559</f>
        <v>-54.499999999999993</v>
      </c>
      <c r="AD633" s="9">
        <f t="shared" si="2949"/>
        <v>17.965367965367946</v>
      </c>
      <c r="AE633" s="725">
        <f>AE559</f>
        <v>-57.8</v>
      </c>
      <c r="AF633" s="9">
        <f t="shared" si="2949"/>
        <v>7.0370370370370381</v>
      </c>
      <c r="AG633" s="725">
        <f>AG559</f>
        <v>-53.3</v>
      </c>
      <c r="AH633" s="743">
        <f t="shared" si="2930"/>
        <v>-2.7372262773722582</v>
      </c>
      <c r="AI633" s="725">
        <f>AI559</f>
        <v>-58.5</v>
      </c>
      <c r="AJ633" s="743">
        <f t="shared" si="2920"/>
        <v>9.7560975609756468</v>
      </c>
      <c r="AK633" s="725">
        <f>AK559</f>
        <v>-47.5</v>
      </c>
      <c r="AL633" s="743">
        <f t="shared" si="2921"/>
        <v>-12.844036697247702</v>
      </c>
      <c r="AM633" s="725">
        <f>AM559</f>
        <v>-42.999999999999993</v>
      </c>
      <c r="AN633" s="743">
        <f t="shared" si="2922"/>
        <v>-25.605536332179938</v>
      </c>
      <c r="AO633" s="725">
        <f>AO559</f>
        <v>-61.499999999999993</v>
      </c>
      <c r="AP633" s="743">
        <f t="shared" si="2923"/>
        <v>15.384615384615373</v>
      </c>
      <c r="AQ633" s="725">
        <f t="shared" ref="AQ633:AW633" si="2956">AQ559</f>
        <v>-51.500259740259729</v>
      </c>
      <c r="AR633" s="743">
        <f t="shared" si="2924"/>
        <v>-11.965367965367989</v>
      </c>
      <c r="AS633" s="725">
        <f t="shared" si="2956"/>
        <v>-51.500259740259729</v>
      </c>
      <c r="AT633" s="743">
        <f t="shared" si="2925"/>
        <v>8.4215994531783736</v>
      </c>
      <c r="AU633" s="725">
        <f t="shared" si="2956"/>
        <v>-51.500259740259729</v>
      </c>
      <c r="AV633" s="743">
        <f t="shared" si="2926"/>
        <v>19.768045907580785</v>
      </c>
      <c r="AW633" s="725">
        <f t="shared" si="2956"/>
        <v>-51.500259740259729</v>
      </c>
      <c r="AX633" s="743">
        <f t="shared" si="2927"/>
        <v>-16.259740259740269</v>
      </c>
      <c r="AY633" s="279"/>
      <c r="AZ633" s="15"/>
      <c r="BA633" s="9" t="str">
        <f>IF(ISERROR(#REF!/#REF!),"NA",IF(OR(#REF!/#REF!&gt;2,#REF!/#REF!&lt;0.5),"NM",#REF!/#REF!*100-100))</f>
        <v>NA</v>
      </c>
      <c r="BB633" s="725">
        <f>BB559</f>
        <v>-193.1</v>
      </c>
      <c r="BC633" s="9" t="str">
        <f>IF(ISERROR(BB633/#REF!),"NA",IF(OR(BB633/#REF!&gt;2,BB633/#REF!&lt;0.5),"NM",BB633/#REF!*100-100))</f>
        <v>NA</v>
      </c>
      <c r="BD633" s="961">
        <f>BD559</f>
        <v>-174.8</v>
      </c>
      <c r="BE633" s="9">
        <f t="shared" si="2928"/>
        <v>-9.4769549456240156</v>
      </c>
      <c r="BF633" s="725">
        <f>BF559</f>
        <v>-192.29999999999998</v>
      </c>
      <c r="BG633" s="9">
        <f t="shared" si="2928"/>
        <v>10.011441647597238</v>
      </c>
      <c r="BH633" s="725">
        <f>BH559</f>
        <v>-218.89999999999998</v>
      </c>
      <c r="BI633" s="9">
        <f t="shared" si="2928"/>
        <v>13.832553302132084</v>
      </c>
      <c r="BJ633" s="725">
        <f>BJ559</f>
        <v>-210.5</v>
      </c>
      <c r="BK633" s="9">
        <f t="shared" si="2928"/>
        <v>-3.8373686614892648</v>
      </c>
      <c r="BL633" s="725">
        <f>BL559</f>
        <v>-206.00103896103892</v>
      </c>
      <c r="BM633" s="9">
        <f t="shared" si="2928"/>
        <v>-2.1372736527131053</v>
      </c>
      <c r="BN633" s="725">
        <f>BN559</f>
        <v>-206.70183896103896</v>
      </c>
      <c r="BO633" s="9">
        <f t="shared" si="2928"/>
        <v>0.3401924589965688</v>
      </c>
      <c r="BP633" s="725">
        <f>BP559</f>
        <v>-214.90795896103896</v>
      </c>
      <c r="BQ633" s="9">
        <f t="shared" si="2928"/>
        <v>3.9700275726848986</v>
      </c>
      <c r="BR633" s="725">
        <f>BR559</f>
        <v>-223.47907056103895</v>
      </c>
      <c r="BS633" s="9">
        <f t="shared" si="2928"/>
        <v>3.9882709051058782</v>
      </c>
      <c r="BT633" s="725">
        <f>BT559</f>
        <v>-232.43251705303899</v>
      </c>
      <c r="BU633" s="9">
        <f t="shared" si="2954"/>
        <v>4.0063915021315495</v>
      </c>
      <c r="BV633" s="43">
        <f>IF(ISERROR(((BT633/BJ633)^0.2-1)*100),"NA",IF((((BT633/BJ633)^0.2-1)*100)&gt;100,"NM",IF((((BT633/BJ633)^0.2-1)*100)&lt;-50,"NM",((BT633/BJ633)^0.2-1)*100)))</f>
        <v>2.0020633596808057</v>
      </c>
      <c r="BW633" s="722"/>
      <c r="BX633" s="722"/>
      <c r="BY633"/>
      <c r="BZ633"/>
      <c r="CA633"/>
      <c r="CB633"/>
      <c r="CC633"/>
      <c r="CD633"/>
    </row>
    <row r="634" spans="1:82" s="2" customFormat="1" ht="12.75" customHeight="1" x14ac:dyDescent="0.2">
      <c r="A634" s="2" t="s">
        <v>145</v>
      </c>
      <c r="B634" s="80" t="s">
        <v>583</v>
      </c>
      <c r="C634" s="79">
        <f>+C617+SUM(C627:C629)+C633</f>
        <v>315.00000000000011</v>
      </c>
      <c r="D634" s="39" t="str">
        <f>IF(ISERROR(C634/#REF!),"NA",IF(OR(C634/#REF!&gt;2,C634/#REF!&lt;0.5),"NM",C634/#REF!*100-100))</f>
        <v>NA</v>
      </c>
      <c r="E634" s="79">
        <f t="shared" ref="E634" si="2957">+E617+SUM(E627:E629)+E633</f>
        <v>366.3</v>
      </c>
      <c r="F634" s="15" t="e">
        <f t="shared" ref="F634" si="2958">+F617+SUM(F627:F629)+F633</f>
        <v>#VALUE!</v>
      </c>
      <c r="G634" s="79">
        <f t="shared" ref="G634" si="2959">+G617+SUM(G627:G629)+G633</f>
        <v>360.10000000000014</v>
      </c>
      <c r="H634" s="9" t="str">
        <f>IF(ISERROR(G634/#REF!),"NA",IF(OR(G634/#REF!&gt;2,G634/#REF!&lt;0.5),"NM",G634/#REF!*100-100))</f>
        <v>NA</v>
      </c>
      <c r="I634" s="79">
        <f t="shared" ref="I634" si="2960">+I617+SUM(I627:I629)+I633</f>
        <v>392.59999999999991</v>
      </c>
      <c r="J634" s="9" t="str">
        <f>IF(ISERROR(I634/#REF!),"NA",IF(OR(I634/#REF!&gt;2,I634/#REF!&lt;0.5),"NM",I634/#REF!*100-100))</f>
        <v>NA</v>
      </c>
      <c r="K634" s="79">
        <f t="shared" ref="K634" si="2961">+K617+SUM(K627:K629)+K633</f>
        <v>400.7000000000001</v>
      </c>
      <c r="L634" s="9">
        <f t="shared" si="2917"/>
        <v>27.206349206349188</v>
      </c>
      <c r="M634" s="79">
        <f t="shared" ref="M634" si="2962">+M617+SUM(M627:M629)+M633</f>
        <v>434.99999999999994</v>
      </c>
      <c r="N634" s="9">
        <f t="shared" si="2948"/>
        <v>18.75511875511873</v>
      </c>
      <c r="O634" s="79">
        <f t="shared" ref="O634" si="2963">+O617+SUM(O627:O629)+O633</f>
        <v>477.60000000000019</v>
      </c>
      <c r="P634" s="9">
        <f t="shared" si="2948"/>
        <v>32.62982504859761</v>
      </c>
      <c r="Q634" s="79">
        <f t="shared" ref="Q634" si="2964">+Q617+SUM(Q627:Q629)+Q633</f>
        <v>410.00000000000006</v>
      </c>
      <c r="R634" s="9">
        <f t="shared" si="2948"/>
        <v>4.4319918492104335</v>
      </c>
      <c r="S634" s="79">
        <f t="shared" ref="S634" si="2965">+S617+SUM(S627:S629)+S633</f>
        <v>420.89999999999992</v>
      </c>
      <c r="T634" s="9">
        <f t="shared" si="2948"/>
        <v>5.0411779386073903</v>
      </c>
      <c r="U634" s="79">
        <f t="shared" ref="U634" si="2966">+U617+SUM(U627:U629)+U633</f>
        <v>429.5</v>
      </c>
      <c r="V634" s="9">
        <f t="shared" si="2948"/>
        <v>-1.2643678160919336</v>
      </c>
      <c r="W634" s="79">
        <f t="shared" ref="W634:Y634" si="2967">+W617+SUM(W627:W629)+W633</f>
        <v>398.8</v>
      </c>
      <c r="X634" s="9">
        <f t="shared" si="2948"/>
        <v>-16.499162479062008</v>
      </c>
      <c r="Y634" s="79">
        <f t="shared" si="2967"/>
        <v>387.90000000000003</v>
      </c>
      <c r="Z634" s="9">
        <f t="shared" si="2948"/>
        <v>-5.3902439024390247</v>
      </c>
      <c r="AA634" s="79">
        <f t="shared" ref="AA634:AC634" si="2968">+AA617+SUM(AA627:AA629)+AA633</f>
        <v>356.29999999999995</v>
      </c>
      <c r="AB634" s="9">
        <f t="shared" si="2948"/>
        <v>-15.348063673081498</v>
      </c>
      <c r="AC634" s="79">
        <f t="shared" si="2968"/>
        <v>431.19999999999993</v>
      </c>
      <c r="AD634" s="9">
        <f t="shared" si="2949"/>
        <v>0.39580908032594664</v>
      </c>
      <c r="AE634" s="79">
        <f t="shared" ref="AE634:AG634" si="2969">+AE617+SUM(AE627:AE629)+AE633</f>
        <v>416.40000000000015</v>
      </c>
      <c r="AF634" s="9">
        <f t="shared" si="2949"/>
        <v>4.4132397191575023</v>
      </c>
      <c r="AG634" s="79">
        <f t="shared" si="2969"/>
        <v>464.7999999999999</v>
      </c>
      <c r="AH634" s="100">
        <f t="shared" si="2930"/>
        <v>19.824697086878018</v>
      </c>
      <c r="AI634" s="79">
        <f t="shared" ref="AI634:AK634" si="2970">+AI617+SUM(AI627:AI629)+AI633</f>
        <v>472.79999999999995</v>
      </c>
      <c r="AJ634" s="100">
        <f t="shared" si="2920"/>
        <v>32.697165310131908</v>
      </c>
      <c r="AK634" s="79">
        <f t="shared" si="2970"/>
        <v>494.50000000000011</v>
      </c>
      <c r="AL634" s="100">
        <f t="shared" si="2921"/>
        <v>14.679962894248646</v>
      </c>
      <c r="AM634" s="79">
        <f t="shared" ref="AM634:AO634" si="2971">+AM617+SUM(AM627:AM629)+AM633</f>
        <v>452.90000000000015</v>
      </c>
      <c r="AN634" s="100">
        <f t="shared" si="2922"/>
        <v>8.7656099903938411</v>
      </c>
      <c r="AO634" s="79">
        <f t="shared" si="2971"/>
        <v>453.49999999999966</v>
      </c>
      <c r="AP634" s="100">
        <f t="shared" si="2923"/>
        <v>-2.4311531841652823</v>
      </c>
      <c r="AQ634" s="79">
        <f t="shared" ref="AQ634" si="2972">+AQ617+SUM(AQ627:AQ629)+AQ633</f>
        <v>491.99524432143357</v>
      </c>
      <c r="AR634" s="100">
        <f t="shared" si="2924"/>
        <v>4.0599078514030396</v>
      </c>
      <c r="AS634" s="79">
        <f t="shared" ref="AS634" si="2973">+AS617+SUM(AS627:AS629)+AS633</f>
        <v>501.06390495507867</v>
      </c>
      <c r="AT634" s="100">
        <f t="shared" si="2925"/>
        <v>1.3273821951625138</v>
      </c>
      <c r="AU634" s="79">
        <f t="shared" ref="AU634" si="2974">+AU617+SUM(AU627:AU629)+AU633</f>
        <v>519.63403221869135</v>
      </c>
      <c r="AV634" s="100">
        <f t="shared" si="2926"/>
        <v>14.734827162440098</v>
      </c>
      <c r="AW634" s="79">
        <f t="shared" ref="AW634" si="2975">+AW617+SUM(AW627:AW629)+AW633</f>
        <v>537.45012523915159</v>
      </c>
      <c r="AX634" s="100">
        <f t="shared" si="2927"/>
        <v>18.511604242370879</v>
      </c>
      <c r="AY634" s="285"/>
      <c r="AZ634" s="79"/>
      <c r="BA634" s="9" t="str">
        <f>IF(ISERROR(#REF!/#REF!),"NA",IF(OR(#REF!/#REF!&gt;2,#REF!/#REF!&lt;0.5),"NM",#REF!/#REF!*100-100))</f>
        <v>NA</v>
      </c>
      <c r="BB634" s="79">
        <f>+BB617+SUM(BB627:BB629)+BB633</f>
        <v>1433.9999999999995</v>
      </c>
      <c r="BC634" s="9" t="str">
        <f>IF(ISERROR(BB634/#REF!),"NA",IF(OR(BB634/#REF!&gt;2,BB634/#REF!&lt;0.5),"NM",BB634/#REF!*100-100))</f>
        <v>NA</v>
      </c>
      <c r="BD634" s="959">
        <f>+BD617+SUM(BD627:BD629)+BD633</f>
        <v>1723.2999999999997</v>
      </c>
      <c r="BE634" s="9">
        <f t="shared" si="2928"/>
        <v>20.174337517433756</v>
      </c>
      <c r="BF634" s="79">
        <f>+BF617+SUM(BF627:BF629)+BF633</f>
        <v>1637.1000000000004</v>
      </c>
      <c r="BG634" s="9">
        <f t="shared" si="2928"/>
        <v>-5.0020309870596833</v>
      </c>
      <c r="BH634" s="79">
        <f>+BH617+SUM(BH627:BH629)+BH633</f>
        <v>1668.7000000000007</v>
      </c>
      <c r="BI634" s="9">
        <f t="shared" si="2928"/>
        <v>1.9302425019852336</v>
      </c>
      <c r="BJ634" s="79">
        <f>+BJ617+SUM(BJ627:BJ629)+BJ633</f>
        <v>1873.7000000000007</v>
      </c>
      <c r="BK634" s="9">
        <f t="shared" si="2928"/>
        <v>12.285012285012286</v>
      </c>
      <c r="BL634" s="79">
        <f>+BL617+SUM(BL627:BL629)+BL633</f>
        <v>2050.1433067343555</v>
      </c>
      <c r="BM634" s="9">
        <f t="shared" si="2928"/>
        <v>9.4168387006647265</v>
      </c>
      <c r="BN634" s="79">
        <f t="shared" ref="BN634:BP634" si="2976">+BN617+SUM(BN627:BN629)+BN633</f>
        <v>2152.5429853267619</v>
      </c>
      <c r="BO634" s="9">
        <f t="shared" si="2928"/>
        <v>4.9947571106879138</v>
      </c>
      <c r="BP634" s="79">
        <f t="shared" si="2976"/>
        <v>2262.1211541109324</v>
      </c>
      <c r="BQ634" s="9">
        <f t="shared" si="2928"/>
        <v>5.0906378888194865</v>
      </c>
      <c r="BR634" s="79">
        <f t="shared" ref="BR634:BT634" si="2977">+BR617+SUM(BR627:BR629)+BR633</f>
        <v>2364.8769688981479</v>
      </c>
      <c r="BS634" s="9">
        <f t="shared" si="2928"/>
        <v>4.5424540856478188</v>
      </c>
      <c r="BT634" s="79">
        <f t="shared" si="2977"/>
        <v>2470.4230345843162</v>
      </c>
      <c r="BU634" s="9">
        <f t="shared" si="2954"/>
        <v>4.4630679343689081</v>
      </c>
      <c r="BV634" s="43">
        <f>IF(ISERROR(((BT634/BJ634)^0.2-1)*100),"NA",IF((((BT634/BJ634)^0.2-1)*100)&gt;100,"NM",IF((((BT634/BJ634)^0.2-1)*100)&lt;-50,"NM",((BT634/BJ634)^0.2-1)*100)))</f>
        <v>5.6852196278541767</v>
      </c>
      <c r="BW634" s="722"/>
      <c r="BX634" s="722"/>
      <c r="BY634"/>
      <c r="BZ634"/>
      <c r="CA634"/>
      <c r="CB634"/>
      <c r="CC634"/>
      <c r="CD634"/>
    </row>
    <row r="635" spans="1:82" s="227" customFormat="1" ht="12.75" customHeight="1" x14ac:dyDescent="0.2">
      <c r="A635" s="251"/>
      <c r="B635" s="90" t="s">
        <v>167</v>
      </c>
      <c r="C635" s="705" t="b">
        <f>C634=C586</f>
        <v>1</v>
      </c>
      <c r="D635" s="705"/>
      <c r="E635" s="705" t="b">
        <f t="shared" ref="E635:O635" si="2978">E634=E586</f>
        <v>1</v>
      </c>
      <c r="F635" s="705" t="e">
        <f t="shared" si="2978"/>
        <v>#VALUE!</v>
      </c>
      <c r="G635" s="705" t="b">
        <f t="shared" si="2978"/>
        <v>1</v>
      </c>
      <c r="H635" s="9" t="str">
        <f>IF(ISERROR(G635/#REF!),"NA",IF(OR(G635/#REF!&gt;2,G635/#REF!&lt;0.5),"NM",G635/#REF!*100-100))</f>
        <v>NA</v>
      </c>
      <c r="I635" s="705" t="b">
        <f>I634=I586</f>
        <v>1</v>
      </c>
      <c r="J635" s="9"/>
      <c r="K635" s="705" t="b">
        <f t="shared" si="2978"/>
        <v>1</v>
      </c>
      <c r="L635" s="705"/>
      <c r="M635" s="705" t="b">
        <f t="shared" si="2978"/>
        <v>1</v>
      </c>
      <c r="N635" s="705"/>
      <c r="O635" s="705" t="b">
        <f t="shared" si="2978"/>
        <v>1</v>
      </c>
      <c r="P635" s="705"/>
      <c r="Q635" s="705" t="b">
        <f>ROUND(Q634,3)=ROUND(Q586,3)</f>
        <v>1</v>
      </c>
      <c r="R635" s="705"/>
      <c r="S635" s="705" t="b">
        <f>ROUND(S634,3)=ROUND(S586,3)</f>
        <v>1</v>
      </c>
      <c r="T635" s="705"/>
      <c r="U635" s="705" t="b">
        <f>ROUND(U634,3)=ROUND(U586,3)</f>
        <v>1</v>
      </c>
      <c r="V635" s="705"/>
      <c r="W635" s="705" t="b">
        <f>ROUND(W634,3)=ROUND(W586,3)</f>
        <v>1</v>
      </c>
      <c r="X635" s="705"/>
      <c r="Y635" s="705" t="b">
        <f>ROUND(Y634,3)=ROUND(Y586,3)</f>
        <v>1</v>
      </c>
      <c r="Z635" s="705"/>
      <c r="AA635" s="705" t="b">
        <f>ROUND(AA634,3)=ROUND(AA586,3)</f>
        <v>1</v>
      </c>
      <c r="AB635" s="705"/>
      <c r="AC635" s="705" t="b">
        <f>ROUND(AC634,3)=ROUND(AC586,3)</f>
        <v>1</v>
      </c>
      <c r="AD635" s="705"/>
      <c r="AE635" s="705" t="b">
        <f>ROUND(AE634,3)=ROUND(AE586,3)</f>
        <v>1</v>
      </c>
      <c r="AF635" s="705"/>
      <c r="AG635" s="705" t="b">
        <f>ROUND(AG634,3)=ROUND(AG586,3)</f>
        <v>1</v>
      </c>
      <c r="AH635" s="706"/>
      <c r="AI635" s="705" t="b">
        <f>ROUND(AI634,3)=ROUND(AI586,3)</f>
        <v>1</v>
      </c>
      <c r="AJ635" s="706"/>
      <c r="AK635" s="705" t="b">
        <f>ROUND(AK634,3)=ROUND(AK586,3)</f>
        <v>1</v>
      </c>
      <c r="AL635" s="706"/>
      <c r="AM635" s="705" t="b">
        <f>ROUND(AM634,3)=ROUND(AM586,3)</f>
        <v>1</v>
      </c>
      <c r="AN635" s="706"/>
      <c r="AO635" s="705" t="b">
        <f>ROUND(AO634,3)=ROUND(AO586,3)</f>
        <v>1</v>
      </c>
      <c r="AP635" s="706"/>
      <c r="AQ635" s="705" t="b">
        <f t="shared" ref="AQ635:AW635" si="2979">ROUND(AQ634,3)=ROUND(AQ586,3)</f>
        <v>1</v>
      </c>
      <c r="AR635" s="706"/>
      <c r="AS635" s="705" t="b">
        <f t="shared" si="2979"/>
        <v>1</v>
      </c>
      <c r="AT635" s="706"/>
      <c r="AU635" s="705" t="b">
        <f t="shared" si="2979"/>
        <v>1</v>
      </c>
      <c r="AV635" s="706"/>
      <c r="AW635" s="705" t="b">
        <f t="shared" si="2979"/>
        <v>1</v>
      </c>
      <c r="AX635" s="706"/>
      <c r="AY635" s="292"/>
      <c r="AZ635" s="39"/>
      <c r="BA635" s="706"/>
      <c r="BB635" s="705" t="b">
        <f>BB634=BB586</f>
        <v>1</v>
      </c>
      <c r="BC635" s="705"/>
      <c r="BD635" s="962" t="b">
        <f>BD634=BD586</f>
        <v>1</v>
      </c>
      <c r="BE635" s="705"/>
      <c r="BF635" s="705" t="b">
        <f>BF634=BF586</f>
        <v>1</v>
      </c>
      <c r="BG635" s="705"/>
      <c r="BH635" s="705" t="b">
        <f t="shared" ref="BH635:BP635" si="2980">BH634=BH586</f>
        <v>1</v>
      </c>
      <c r="BI635" s="705"/>
      <c r="BJ635" s="705" t="b">
        <f t="shared" ref="BJ635" si="2981">BJ634=BJ586</f>
        <v>1</v>
      </c>
      <c r="BK635" s="705"/>
      <c r="BL635" s="705" t="b">
        <f t="shared" ref="BL635" si="2982">BL634=BL586</f>
        <v>0</v>
      </c>
      <c r="BM635" s="705"/>
      <c r="BN635" s="705" t="b">
        <f t="shared" si="2980"/>
        <v>1</v>
      </c>
      <c r="BO635" s="705"/>
      <c r="BP635" s="705" t="b">
        <f t="shared" si="2980"/>
        <v>1</v>
      </c>
      <c r="BQ635" s="705"/>
      <c r="BR635" s="705" t="b">
        <f t="shared" ref="BR635:BT635" si="2983">BR634=BR586</f>
        <v>1</v>
      </c>
      <c r="BS635" s="705"/>
      <c r="BT635" s="705" t="b">
        <f t="shared" si="2983"/>
        <v>1</v>
      </c>
      <c r="BU635" s="705"/>
      <c r="BV635" s="722"/>
      <c r="BW635" s="722"/>
      <c r="BX635" s="722"/>
      <c r="BY635"/>
      <c r="BZ635"/>
      <c r="CA635"/>
      <c r="CB635"/>
      <c r="CC635"/>
      <c r="CD635"/>
    </row>
    <row r="636" spans="1:82" s="2" customFormat="1" ht="12.75" customHeight="1" x14ac:dyDescent="0.2">
      <c r="A636" s="41"/>
      <c r="B636" s="42"/>
      <c r="C636" s="650"/>
      <c r="D636" s="706"/>
      <c r="E636" s="650"/>
      <c r="F636" s="706"/>
      <c r="G636" s="650"/>
      <c r="H636" s="706"/>
      <c r="I636" s="650"/>
      <c r="J636" s="706"/>
      <c r="K636" s="650"/>
      <c r="L636" s="706"/>
      <c r="M636" s="650"/>
      <c r="N636" s="706"/>
      <c r="O636" s="650"/>
      <c r="P636" s="706"/>
      <c r="Q636" s="650"/>
      <c r="R636" s="706"/>
      <c r="S636" s="650"/>
      <c r="T636" s="706"/>
      <c r="U636" s="650"/>
      <c r="V636" s="706"/>
      <c r="W636" s="650"/>
      <c r="X636" s="706"/>
      <c r="Y636" s="650"/>
      <c r="Z636" s="706"/>
      <c r="AA636" s="650"/>
      <c r="AB636" s="706"/>
      <c r="AC636" s="650"/>
      <c r="AD636" s="706"/>
      <c r="AE636" s="650"/>
      <c r="AF636" s="706"/>
      <c r="AG636" s="650"/>
      <c r="AH636" s="706"/>
      <c r="AI636" s="650"/>
      <c r="AJ636" s="706"/>
      <c r="AK636" s="650"/>
      <c r="AL636" s="706"/>
      <c r="AM636" s="650"/>
      <c r="AN636" s="706"/>
      <c r="AO636" s="650"/>
      <c r="AP636" s="706"/>
      <c r="AQ636" s="650"/>
      <c r="AR636" s="706"/>
      <c r="AS636" s="650"/>
      <c r="AT636" s="706"/>
      <c r="AU636" s="650"/>
      <c r="AV636" s="706"/>
      <c r="AW636" s="650"/>
      <c r="AX636" s="706"/>
      <c r="AY636" s="279"/>
      <c r="AZ636" s="15"/>
      <c r="BA636" s="706"/>
      <c r="BB636" s="650"/>
      <c r="BC636" s="706"/>
      <c r="BD636" s="938"/>
      <c r="BE636" s="706"/>
      <c r="BF636" s="650"/>
      <c r="BG636" s="706"/>
      <c r="BH636" s="703"/>
      <c r="BI636" s="706"/>
      <c r="BJ636" s="703"/>
      <c r="BK636" s="706"/>
      <c r="BL636" s="703"/>
      <c r="BM636" s="706"/>
      <c r="BN636" s="703"/>
      <c r="BO636" s="706"/>
      <c r="BP636" s="703"/>
      <c r="BQ636" s="706"/>
      <c r="BR636" s="703"/>
      <c r="BS636" s="706"/>
      <c r="BT636" s="703"/>
      <c r="BU636" s="706"/>
      <c r="BV636" s="722"/>
      <c r="BW636" s="722"/>
      <c r="BX636" s="722"/>
      <c r="BY636"/>
      <c r="BZ636"/>
      <c r="CA636"/>
      <c r="CB636"/>
      <c r="CC636"/>
      <c r="CD636"/>
    </row>
    <row r="637" spans="1:82" s="2" customFormat="1" ht="12.75" customHeight="1" x14ac:dyDescent="0.2">
      <c r="A637" s="41"/>
      <c r="B637" s="80" t="s">
        <v>372</v>
      </c>
      <c r="C637" s="15"/>
      <c r="D637" s="40"/>
      <c r="E637" s="15"/>
      <c r="F637" s="40"/>
      <c r="G637" s="15"/>
      <c r="H637" s="40"/>
      <c r="I637" s="15"/>
      <c r="J637" s="40"/>
      <c r="K637" s="15"/>
      <c r="L637" s="40"/>
      <c r="M637" s="15"/>
      <c r="N637" s="40"/>
      <c r="O637" s="15"/>
      <c r="P637" s="40"/>
      <c r="Q637" s="15"/>
      <c r="R637" s="40"/>
      <c r="S637" s="15"/>
      <c r="T637" s="40"/>
      <c r="U637" s="15"/>
      <c r="V637" s="40"/>
      <c r="W637" s="15"/>
      <c r="X637" s="40"/>
      <c r="Y637" s="15"/>
      <c r="Z637" s="40"/>
      <c r="AA637" s="15"/>
      <c r="AB637" s="40"/>
      <c r="AC637" s="15"/>
      <c r="AD637" s="40"/>
      <c r="AE637" s="15"/>
      <c r="AF637" s="40"/>
      <c r="AG637" s="15"/>
      <c r="AH637" s="40"/>
      <c r="AI637" s="15"/>
      <c r="AJ637" s="40"/>
      <c r="AK637" s="15"/>
      <c r="AL637" s="40"/>
      <c r="AM637" s="15"/>
      <c r="AN637" s="40"/>
      <c r="AO637" s="15"/>
      <c r="AP637" s="40"/>
      <c r="AQ637" s="15"/>
      <c r="AR637" s="40"/>
      <c r="AS637" s="15"/>
      <c r="AT637" s="40"/>
      <c r="AU637" s="15"/>
      <c r="AV637" s="40"/>
      <c r="AW637" s="15"/>
      <c r="AX637" s="40"/>
      <c r="AY637" s="279"/>
      <c r="AZ637" s="15"/>
      <c r="BA637" s="40"/>
      <c r="BB637" s="15"/>
      <c r="BC637" s="40"/>
      <c r="BD637" s="924"/>
      <c r="BE637" s="40"/>
      <c r="BF637" s="15"/>
      <c r="BG637" s="40"/>
      <c r="BH637" s="15"/>
      <c r="BI637" s="40"/>
      <c r="BJ637" s="15"/>
      <c r="BK637" s="40"/>
      <c r="BL637" s="15"/>
      <c r="BM637" s="40"/>
      <c r="BN637" s="691"/>
      <c r="BO637" s="40"/>
      <c r="BP637" s="691"/>
      <c r="BQ637" s="40"/>
      <c r="BR637" s="691"/>
      <c r="BS637" s="40"/>
      <c r="BT637" s="691"/>
      <c r="BU637" s="40"/>
      <c r="BV637" s="722"/>
      <c r="BW637" s="722"/>
      <c r="BX637" s="722"/>
      <c r="BY637"/>
      <c r="BZ637"/>
      <c r="CA637"/>
      <c r="CB637"/>
      <c r="CC637"/>
      <c r="CD637"/>
    </row>
    <row r="638" spans="1:82" s="2" customFormat="1" ht="12.75" customHeight="1" x14ac:dyDescent="0.2">
      <c r="A638" s="41"/>
      <c r="B638" s="42" t="str">
        <f>+B617</f>
        <v>Retirement &amp; Income Solutions</v>
      </c>
      <c r="C638" s="726">
        <f>+C617/C596*100</f>
        <v>19.113631590002107</v>
      </c>
      <c r="D638" s="9" t="str">
        <f>IF(ISERROR(C638/#REF!),"NA",IF(OR(C638/#REF!&gt;2,C638/#REF!&lt;0.5),"NM",C638/#REF!*100-100))</f>
        <v>NA</v>
      </c>
      <c r="E638" s="726">
        <f>+E617/E596*100</f>
        <v>19.830457160157433</v>
      </c>
      <c r="F638" s="9" t="str">
        <f>IF(ISERROR(E638/#REF!),"NA",IF(OR(E638/#REF!&gt;2,E638/#REF!&lt;0.5),"NM",E638/#REF!*100-100))</f>
        <v>NA</v>
      </c>
      <c r="G638" s="726">
        <f>+G617/G596*100</f>
        <v>18.764091002254567</v>
      </c>
      <c r="H638" s="9" t="str">
        <f>IF(ISERROR(G638/#REF!),"NA",IF(OR(G638/#REF!&gt;2,G638/#REF!&lt;0.5),"NM",G638/#REF!*100-100))</f>
        <v>NA</v>
      </c>
      <c r="I638" s="726">
        <f>+I617/I596*100</f>
        <v>14.75726654298083</v>
      </c>
      <c r="J638" s="9" t="str">
        <f>IF(ISERROR(I638/#REF!),"NA",IF(OR(I638/#REF!&gt;2,I638/#REF!&lt;0.5),"NM",I638/#REF!*100-100))</f>
        <v>NA</v>
      </c>
      <c r="K638" s="726">
        <f>+K617/K596*100</f>
        <v>19.976164283094981</v>
      </c>
      <c r="L638" s="9">
        <f t="shared" ref="L638:L640" si="2984">IF(ISERROR(K638/C638),"NA",IF(OR(K638/C638&gt;2,K638/C638&lt;0.5),"NM",K638/C638*100-100))</f>
        <v>4.5126573096870004</v>
      </c>
      <c r="M638" s="726">
        <f>+M617/M596*100</f>
        <v>20.920386562356192</v>
      </c>
      <c r="N638" s="9">
        <f t="shared" ref="N638:AB640" si="2985">IF(ISERROR(M638/E638),"NA",IF(OR(M638/E638&gt;2,M638/E638&lt;0.5),"NM",M638/E638*100-100))</f>
        <v>5.4962394129198628</v>
      </c>
      <c r="O638" s="726">
        <f>+O617/O596*100</f>
        <v>18.218516893374296</v>
      </c>
      <c r="P638" s="9">
        <f t="shared" si="2985"/>
        <v>-2.9075435032516026</v>
      </c>
      <c r="Q638" s="726">
        <f>+Q617/Q596*100</f>
        <v>13.379189426124494</v>
      </c>
      <c r="R638" s="9">
        <f t="shared" si="2985"/>
        <v>-9.3382952245435007</v>
      </c>
      <c r="S638" s="726">
        <f>+S617/S596*100</f>
        <v>18.043574922187634</v>
      </c>
      <c r="T638" s="9">
        <f t="shared" si="2985"/>
        <v>-9.6744767089386556</v>
      </c>
      <c r="U638" s="726">
        <f>+U617/U596*100</f>
        <v>11.384631534747006</v>
      </c>
      <c r="V638" s="9">
        <f t="shared" si="2985"/>
        <v>-45.581160745698988</v>
      </c>
      <c r="W638" s="726">
        <f>+W617/W596*100</f>
        <v>7.5925609964169976</v>
      </c>
      <c r="X638" s="9" t="str">
        <f t="shared" si="2985"/>
        <v>NM</v>
      </c>
      <c r="Y638" s="726">
        <f>+Y617/Y596*100</f>
        <v>13.547030241496847</v>
      </c>
      <c r="Z638" s="9">
        <f t="shared" si="2985"/>
        <v>1.2544916588491049</v>
      </c>
      <c r="AA638" s="726">
        <f>+AA617/AA596*100</f>
        <v>12.39071038251366</v>
      </c>
      <c r="AB638" s="9">
        <f t="shared" si="2985"/>
        <v>-31.328960940677106</v>
      </c>
      <c r="AC638" s="726">
        <f>+AC617/AC596*100</f>
        <v>13.2035806320358</v>
      </c>
      <c r="AD638" s="9">
        <f t="shared" ref="AD638:AF640" si="2986">IF(ISERROR(AC638/U638),"NA",IF(OR(AC638/U638&gt;2,AC638/U638&lt;0.5),"NM",AC638/U638*100-100))</f>
        <v>15.977232919108403</v>
      </c>
      <c r="AE638" s="726">
        <f>+AE617/AE596*100</f>
        <v>16.626486660237862</v>
      </c>
      <c r="AF638" s="9" t="str">
        <f t="shared" si="2986"/>
        <v>NM</v>
      </c>
      <c r="AG638" s="726">
        <f>+AG617/AG596*100</f>
        <v>10.74858972404329</v>
      </c>
      <c r="AH638" s="9">
        <f t="shared" ref="AH638:AH640" si="2987">IF(ISERROR(AG638/Y638),"NA",IF(OR(AG638/Y638&gt;2,AG638/Y638&lt;0.5),"NM",AG638/Y638*100-100))</f>
        <v>-20.657224997412797</v>
      </c>
      <c r="AI638" s="726">
        <f>+AI617/AI596*100</f>
        <v>16.471064346418462</v>
      </c>
      <c r="AJ638" s="9">
        <f t="shared" ref="AJ638:AJ640" si="2988">IF(ISERROR(AI638/AA638),"NA",IF(OR(AI638/AA638&gt;2,AI638/AA638&lt;0.5),"NM",AI638/AA638*100-100))</f>
        <v>32.930750844303361</v>
      </c>
      <c r="AK638" s="726">
        <f>+AK617/AK596*100</f>
        <v>14.479154293859137</v>
      </c>
      <c r="AL638" s="9">
        <f t="shared" ref="AL638:AL640" si="2989">IF(ISERROR(AK638/AC638),"NA",IF(OR(AK638/AC638&gt;2,AK638/AC638&lt;0.5),"NM",AK638/AC638*100-100))</f>
        <v>9.6608162389558032</v>
      </c>
      <c r="AM638" s="726">
        <f>+AM617/AM596*100</f>
        <v>8.861987514762955</v>
      </c>
      <c r="AN638" s="9">
        <f t="shared" ref="AN638:AN640" si="2990">IF(ISERROR(AM638/AE638),"NA",IF(OR(AM638/AE638&gt;2,AM638/AE638&lt;0.5),"NM",AM638/AE638*100-100))</f>
        <v>-46.699578234069484</v>
      </c>
      <c r="AO638" s="726">
        <f>+AO617/AO596*100</f>
        <v>12.3863915499877</v>
      </c>
      <c r="AP638" s="9">
        <f t="shared" ref="AP638:AP640" si="2991">IF(ISERROR(AO638/AG638),"NA",IF(OR(AO638/AG638&gt;2,AO638/AG638&lt;0.5),"NM",AO638/AG638*100-100))</f>
        <v>15.237364789176439</v>
      </c>
      <c r="AQ638" s="726">
        <f t="shared" ref="AQ638:AW638" si="2992">+AQ617/AQ596*100</f>
        <v>14.057897877021713</v>
      </c>
      <c r="AR638" s="9">
        <f t="shared" ref="AR638:AR640" si="2993">IF(ISERROR(AQ638/AI638),"NA",IF(OR(AQ638/AI638&gt;2,AQ638/AI638&lt;0.5),"NM",AQ638/AI638*100-100))</f>
        <v>-14.650944338769932</v>
      </c>
      <c r="AS638" s="726">
        <f t="shared" si="2992"/>
        <v>13.692563227245888</v>
      </c>
      <c r="AT638" s="9">
        <f t="shared" ref="AT638:AT640" si="2994">IF(ISERROR(AS638/AK638),"NA",IF(OR(AS638/AK638&gt;2,AS638/AK638&lt;0.5),"NM",AS638/AK638*100-100))</f>
        <v>-5.432576037585676</v>
      </c>
      <c r="AU638" s="726">
        <f t="shared" si="2992"/>
        <v>13.684609768460321</v>
      </c>
      <c r="AV638" s="9">
        <f t="shared" ref="AV638:AV640" si="2995">IF(ISERROR(AU638/AM638),"NA",IF(OR(AU638/AM638&gt;2,AU638/AM638&lt;0.5),"NM",AU638/AM638*100-100))</f>
        <v>54.419194855143758</v>
      </c>
      <c r="AW638" s="726">
        <f t="shared" si="2992"/>
        <v>14.063476771682771</v>
      </c>
      <c r="AX638" s="9">
        <f t="shared" ref="AX638:AX640" si="2996">IF(ISERROR(AW638/AO638),"NA",IF(OR(AW638/AO638&gt;2,AW638/AO638&lt;0.5),"NM",AW638/AO638*100-100))</f>
        <v>13.539740084324521</v>
      </c>
      <c r="AY638" s="286"/>
      <c r="AZ638" s="92"/>
      <c r="BA638" s="9" t="str">
        <f>IF(ISERROR(#REF!/#REF!),"NA",IF(OR(#REF!/#REF!&gt;2,#REF!/#REF!&lt;0.5),"NM",#REF!/#REF!*100-100))</f>
        <v>NA</v>
      </c>
      <c r="BB638" s="726">
        <f t="shared" ref="BB638:BD640" si="2997">+BB617/BB596*100</f>
        <v>17.863501483679514</v>
      </c>
      <c r="BC638" s="9" t="str">
        <f>IF(ISERROR(BB638/#REF!),"NA",IF(OR(BB638/#REF!&gt;2,BB638/#REF!&lt;0.5),"NM",BB638/#REF!*100-100))</f>
        <v>NA</v>
      </c>
      <c r="BD638" s="963">
        <f t="shared" si="2997"/>
        <v>17.734441735941829</v>
      </c>
      <c r="BE638" s="9">
        <f t="shared" ref="BE638:BS656" si="2998">IF(ISERROR(BD638/BB638),"NA",IF(OR(BD638/BB638&gt;2,BD638/BB638&lt;0.5),"NM",BD638/BB638*100-100))</f>
        <v>-0.72247732537540799</v>
      </c>
      <c r="BF638" s="726">
        <f>+BF617/BF596*100</f>
        <v>12.001167523391015</v>
      </c>
      <c r="BG638" s="9">
        <f t="shared" si="2998"/>
        <v>-32.328473023942834</v>
      </c>
      <c r="BH638" s="726">
        <f t="shared" ref="BH638:BP640" si="2999">+BH617/BH596*100</f>
        <v>12.917228933292158</v>
      </c>
      <c r="BI638" s="9">
        <f t="shared" si="2998"/>
        <v>7.6331024303734125</v>
      </c>
      <c r="BJ638" s="726">
        <f t="shared" ref="BJ638:BJ640" si="3000">+BJ617/BJ596*100</f>
        <v>12.557217818466018</v>
      </c>
      <c r="BK638" s="9">
        <f t="shared" si="2998"/>
        <v>-2.7870615027830468</v>
      </c>
      <c r="BL638" s="726">
        <f t="shared" ref="BL638:BL640" si="3001">+BL617/BL596*100</f>
        <v>13.874668119936032</v>
      </c>
      <c r="BM638" s="9">
        <f t="shared" si="2998"/>
        <v>10.491577995347328</v>
      </c>
      <c r="BN638" s="726">
        <f t="shared" si="2999"/>
        <v>13.809785610116645</v>
      </c>
      <c r="BO638" s="9">
        <f t="shared" si="2998"/>
        <v>-0.46763287783554119</v>
      </c>
      <c r="BP638" s="726">
        <f t="shared" si="2999"/>
        <v>13.876029879000097</v>
      </c>
      <c r="BQ638" s="9">
        <f t="shared" si="2998"/>
        <v>0.47969078415614774</v>
      </c>
      <c r="BR638" s="726">
        <f t="shared" ref="BR638:BT640" si="3002">+BR617/BR596*100</f>
        <v>13.97815078148748</v>
      </c>
      <c r="BS638" s="9">
        <f t="shared" si="2998"/>
        <v>0.73595187800749784</v>
      </c>
      <c r="BT638" s="726">
        <f t="shared" si="3002"/>
        <v>14.082579715280477</v>
      </c>
      <c r="BU638" s="9">
        <f t="shared" ref="BU638:BU640" si="3003">IF(ISERROR(BT638/BR638),"NA",IF(OR(BT638/BR638&gt;2,BT638/BR638&lt;0.5),"NM",BT638/BR638*100-100))</f>
        <v>0.74708690316391824</v>
      </c>
      <c r="BV638" s="43">
        <f>IF(ISERROR(((BT638/BJ638)^0.2-1)*100),"NA",IF((((BT638/BJ638)^0.2-1)*100)&gt;100,"NM",IF((((BT638/BJ638)^0.2-1)*100)&lt;-50,"NM",((BT638/BJ638)^0.2-1)*100)))</f>
        <v>2.3193466012103148</v>
      </c>
      <c r="BW638" s="722"/>
      <c r="BX638" s="722"/>
      <c r="BY638"/>
      <c r="BZ638"/>
      <c r="CA638"/>
      <c r="CB638"/>
      <c r="CC638"/>
      <c r="CD638"/>
    </row>
    <row r="639" spans="1:82" s="2" customFormat="1" ht="12.75" customHeight="1" x14ac:dyDescent="0.2">
      <c r="A639" s="41"/>
      <c r="B639" s="5" t="s">
        <v>556</v>
      </c>
      <c r="C639" s="726">
        <f t="shared" ref="C639:M640" si="3004">C618/C597*100</f>
        <v>27</v>
      </c>
      <c r="D639" s="744" t="str">
        <f>IF(ISERROR(C639/#REF!),"NA",IF(OR(C639/#REF!&gt;2,C639/#REF!&lt;0.5),"NM",C639/#REF!*100-100))</f>
        <v>NA</v>
      </c>
      <c r="E639" s="726">
        <f t="shared" si="3004"/>
        <v>29.384351238655864</v>
      </c>
      <c r="F639" s="726" t="e">
        <f t="shared" si="3004"/>
        <v>#VALUE!</v>
      </c>
      <c r="G639" s="726">
        <f t="shared" si="3004"/>
        <v>24.729632299927911</v>
      </c>
      <c r="H639" s="9" t="str">
        <f>IF(ISERROR(G639/#REF!),"NA",IF(OR(G639/#REF!&gt;2,G639/#REF!&lt;0.5),"NM",G639/#REF!*100-100))</f>
        <v>NA</v>
      </c>
      <c r="I639" s="726">
        <f t="shared" si="3004"/>
        <v>28.472222222222221</v>
      </c>
      <c r="J639" s="9" t="str">
        <f>IF(ISERROR(I639/#REF!),"NA",IF(OR(I639/#REF!&gt;2,I639/#REF!&lt;0.5),"NM",I639/#REF!*100-100))</f>
        <v>NA</v>
      </c>
      <c r="K639" s="726">
        <f t="shared" si="3004"/>
        <v>32.317212926885162</v>
      </c>
      <c r="L639" s="9">
        <f t="shared" si="2984"/>
        <v>19.693381210685772</v>
      </c>
      <c r="M639" s="726">
        <f t="shared" si="3004"/>
        <v>34.410774410774415</v>
      </c>
      <c r="N639" s="9">
        <f t="shared" si="2985"/>
        <v>17.105782364547025</v>
      </c>
      <c r="O639" s="726">
        <f t="shared" ref="O639:W640" si="3005">O618/O597*100</f>
        <v>32.470430707431376</v>
      </c>
      <c r="P639" s="9">
        <f t="shared" si="2985"/>
        <v>31.301712510808471</v>
      </c>
      <c r="Q639" s="726">
        <f t="shared" si="3005"/>
        <v>30.890868596881958</v>
      </c>
      <c r="R639" s="9">
        <f t="shared" si="2985"/>
        <v>8.4947579988049284</v>
      </c>
      <c r="S639" s="726">
        <f t="shared" si="3005"/>
        <v>32.396618688599496</v>
      </c>
      <c r="T639" s="9">
        <f t="shared" si="2985"/>
        <v>0.24570733216995677</v>
      </c>
      <c r="U639" s="726">
        <f t="shared" si="3005"/>
        <v>31.565045124367153</v>
      </c>
      <c r="V639" s="9">
        <f t="shared" si="2985"/>
        <v>-8.2698786503224682</v>
      </c>
      <c r="W639" s="726">
        <f t="shared" si="3005"/>
        <v>18.918307309345998</v>
      </c>
      <c r="X639" s="9">
        <f t="shared" si="2985"/>
        <v>-41.736814396440259</v>
      </c>
      <c r="Y639" s="726">
        <f t="shared" ref="Y639:AA640" si="3006">Y618/Y597*100</f>
        <v>28.334469438763914</v>
      </c>
      <c r="Z639" s="9">
        <f t="shared" si="2985"/>
        <v>-8.2755819898702327</v>
      </c>
      <c r="AA639" s="726">
        <f t="shared" si="3006"/>
        <v>27.582869586256958</v>
      </c>
      <c r="AB639" s="9">
        <f t="shared" si="2985"/>
        <v>-14.858801002082714</v>
      </c>
      <c r="AC639" s="726">
        <f t="shared" ref="AC639:AE640" si="3007">AC618/AC597*100</f>
        <v>29.034514925373134</v>
      </c>
      <c r="AD639" s="9">
        <f t="shared" si="2986"/>
        <v>-8.0168749609692043</v>
      </c>
      <c r="AE639" s="726">
        <f t="shared" si="3007"/>
        <v>28.928176795580107</v>
      </c>
      <c r="AF639" s="9">
        <f t="shared" si="2986"/>
        <v>52.911020645536553</v>
      </c>
      <c r="AG639" s="726">
        <f t="shared" ref="AG639:AI640" si="3008">AG618/AG597*100</f>
        <v>27.641551493535456</v>
      </c>
      <c r="AH639" s="9">
        <f t="shared" si="2987"/>
        <v>-2.4454946888135112</v>
      </c>
      <c r="AI639" s="726">
        <f t="shared" si="3008"/>
        <v>32.12699822380106</v>
      </c>
      <c r="AJ639" s="9">
        <f t="shared" si="2988"/>
        <v>16.474459349973486</v>
      </c>
      <c r="AK639" s="726">
        <f t="shared" ref="AK639:AM640" si="3009">AK618/AK597*100</f>
        <v>32.668881506090806</v>
      </c>
      <c r="AL639" s="9">
        <f t="shared" si="2989"/>
        <v>12.517400721379417</v>
      </c>
      <c r="AM639" s="726">
        <f t="shared" si="3009"/>
        <v>23.720623764550847</v>
      </c>
      <c r="AN639" s="9">
        <f t="shared" si="2990"/>
        <v>-18.00166345714851</v>
      </c>
      <c r="AO639" s="726">
        <f t="shared" ref="AO639" si="3010">AO618/AO597*100</f>
        <v>27.296248382923675</v>
      </c>
      <c r="AP639" s="9">
        <f t="shared" si="2991"/>
        <v>-1.2492175437132715</v>
      </c>
      <c r="AQ639" s="726">
        <f t="shared" ref="AQ639:AW640" si="3011">AQ618/AQ597*100</f>
        <v>30.030385560183703</v>
      </c>
      <c r="AR639" s="9">
        <f t="shared" si="2993"/>
        <v>-6.5260148147426236</v>
      </c>
      <c r="AS639" s="726">
        <f t="shared" si="3011"/>
        <v>30.030385560183699</v>
      </c>
      <c r="AT639" s="9">
        <f t="shared" si="2994"/>
        <v>-8.076480810691919</v>
      </c>
      <c r="AU639" s="726">
        <f t="shared" si="3011"/>
        <v>30.030385560183699</v>
      </c>
      <c r="AV639" s="9">
        <f t="shared" si="2995"/>
        <v>26.600319866218868</v>
      </c>
      <c r="AW639" s="726">
        <f t="shared" si="3011"/>
        <v>31.798248424650229</v>
      </c>
      <c r="AX639" s="9">
        <f t="shared" si="2996"/>
        <v>16.493109157604863</v>
      </c>
      <c r="AY639" s="286"/>
      <c r="AZ639" s="92"/>
      <c r="BA639" s="9"/>
      <c r="BB639" s="726">
        <f t="shared" si="2997"/>
        <v>27.403086644792808</v>
      </c>
      <c r="BC639" s="9" t="str">
        <f>IF(ISERROR(BB639/#REF!),"NA",IF(OR(BB639/#REF!&gt;2,BB639/#REF!&lt;0.5),"NM",BB639/#REF!*100-100))</f>
        <v>NA</v>
      </c>
      <c r="BD639" s="963">
        <f t="shared" si="2997"/>
        <v>32.52009668896509</v>
      </c>
      <c r="BE639" s="9">
        <f t="shared" si="2998"/>
        <v>18.673115589132465</v>
      </c>
      <c r="BF639" s="726">
        <f>+BF618/BF597*100</f>
        <v>27.8184892897407</v>
      </c>
      <c r="BG639" s="9">
        <f t="shared" si="2998"/>
        <v>-14.457544343094668</v>
      </c>
      <c r="BH639" s="726">
        <f t="shared" si="2999"/>
        <v>28.304268012849921</v>
      </c>
      <c r="BI639" s="9">
        <f t="shared" si="2998"/>
        <v>1.7462440826661663</v>
      </c>
      <c r="BJ639" s="726">
        <f t="shared" si="3000"/>
        <v>28.929159802306419</v>
      </c>
      <c r="BK639" s="9">
        <f t="shared" si="2998"/>
        <v>2.2077652358746889</v>
      </c>
      <c r="BL639" s="726">
        <f t="shared" si="3001"/>
        <v>30.477419148561513</v>
      </c>
      <c r="BM639" s="9">
        <f t="shared" si="2998"/>
        <v>5.3518987652439733</v>
      </c>
      <c r="BN639" s="726">
        <f t="shared" si="2999"/>
        <v>30.840902388827136</v>
      </c>
      <c r="BO639" s="9">
        <f t="shared" si="2998"/>
        <v>1.1926313002220894</v>
      </c>
      <c r="BP639" s="726">
        <f t="shared" si="2999"/>
        <v>31.092457640635441</v>
      </c>
      <c r="BQ639" s="9">
        <f t="shared" si="2998"/>
        <v>0.81565464147843159</v>
      </c>
      <c r="BR639" s="726">
        <f t="shared" si="3002"/>
        <v>31.472337146239898</v>
      </c>
      <c r="BS639" s="9">
        <f t="shared" si="2998"/>
        <v>1.2217738140711845</v>
      </c>
      <c r="BT639" s="726">
        <f t="shared" si="3002"/>
        <v>31.861614002867345</v>
      </c>
      <c r="BU639" s="9">
        <f t="shared" si="3003"/>
        <v>1.2368857604016625</v>
      </c>
      <c r="BV639" s="43">
        <f>IF(ISERROR(((BT639/BJ639)^0.2-1)*100),"NA",IF((((BT639/BJ639)^0.2-1)*100)&gt;100,"NM",IF((((BT639/BJ639)^0.2-1)*100)&lt;-50,"NM",((BT639/BJ639)^0.2-1)*100)))</f>
        <v>1.9498028519517652</v>
      </c>
      <c r="BW639" s="722"/>
      <c r="BX639" s="722"/>
      <c r="BY639"/>
      <c r="BZ639"/>
      <c r="CA639"/>
      <c r="CB639"/>
      <c r="CC639"/>
      <c r="CD639"/>
    </row>
    <row r="640" spans="1:82" s="2" customFormat="1" ht="12.75" customHeight="1" x14ac:dyDescent="0.2">
      <c r="A640" s="41"/>
      <c r="B640" s="5" t="s">
        <v>557</v>
      </c>
      <c r="C640" s="726">
        <f t="shared" si="3004"/>
        <v>13.642831732479552</v>
      </c>
      <c r="D640" s="744" t="str">
        <f>IF(ISERROR(C640/#REF!),"NA",IF(OR(C640/#REF!&gt;2,C640/#REF!&lt;0.5),"NM",C640/#REF!*100-100))</f>
        <v>NA</v>
      </c>
      <c r="E640" s="726">
        <f t="shared" si="3004"/>
        <v>13.151577503429362</v>
      </c>
      <c r="F640" s="726" t="e">
        <f t="shared" si="3004"/>
        <v>#VALUE!</v>
      </c>
      <c r="G640" s="726">
        <f t="shared" si="3004"/>
        <v>14.329104877613014</v>
      </c>
      <c r="H640" s="9" t="str">
        <f>IF(ISERROR(G640/#REF!),"NA",IF(OR(G640/#REF!&gt;2,G640/#REF!&lt;0.5),"NM",G640/#REF!*100-100))</f>
        <v>NA</v>
      </c>
      <c r="I640" s="726">
        <f t="shared" si="3004"/>
        <v>7.8806870937790139</v>
      </c>
      <c r="J640" s="9" t="str">
        <f>IF(ISERROR(I640/#REF!),"NA",IF(OR(I640/#REF!&gt;2,I640/#REF!&lt;0.5),"NM",I640/#REF!*100-100))</f>
        <v>NA</v>
      </c>
      <c r="K640" s="726">
        <f t="shared" si="3004"/>
        <v>11.749427043544705</v>
      </c>
      <c r="L640" s="9">
        <f t="shared" si="2984"/>
        <v>-13.878384825543293</v>
      </c>
      <c r="M640" s="726">
        <f t="shared" si="3004"/>
        <v>11.54446177847114</v>
      </c>
      <c r="N640" s="9">
        <f t="shared" si="2985"/>
        <v>-12.219946424975674</v>
      </c>
      <c r="O640" s="726">
        <f t="shared" si="3005"/>
        <v>8.9817761064506971</v>
      </c>
      <c r="P640" s="9">
        <f t="shared" si="2985"/>
        <v>-37.31795403016892</v>
      </c>
      <c r="Q640" s="726">
        <f t="shared" si="3005"/>
        <v>5.7742528290937383</v>
      </c>
      <c r="R640" s="9">
        <f t="shared" si="2985"/>
        <v>-26.729068666462936</v>
      </c>
      <c r="S640" s="726">
        <f t="shared" si="3005"/>
        <v>8.8963308095515305</v>
      </c>
      <c r="T640" s="9">
        <f t="shared" si="2985"/>
        <v>-24.282854163179849</v>
      </c>
      <c r="U640" s="726">
        <f t="shared" si="3005"/>
        <v>5.0658212144186363</v>
      </c>
      <c r="V640" s="9" t="str">
        <f t="shared" si="2985"/>
        <v>NM</v>
      </c>
      <c r="W640" s="726">
        <f t="shared" si="3005"/>
        <v>3.790641142509882</v>
      </c>
      <c r="X640" s="9" t="str">
        <f t="shared" si="2985"/>
        <v>NM</v>
      </c>
      <c r="Y640" s="726">
        <f t="shared" si="3006"/>
        <v>6.6148274392841948</v>
      </c>
      <c r="Z640" s="9">
        <f t="shared" si="2985"/>
        <v>14.55728793091977</v>
      </c>
      <c r="AA640" s="726">
        <f t="shared" si="3006"/>
        <v>6.4147711049776319</v>
      </c>
      <c r="AB640" s="9">
        <f t="shared" si="2985"/>
        <v>-27.894193209514825</v>
      </c>
      <c r="AC640" s="726">
        <f t="shared" si="3007"/>
        <v>6.7125645438898385</v>
      </c>
      <c r="AD640" s="9">
        <f t="shared" si="2986"/>
        <v>32.506937370473025</v>
      </c>
      <c r="AE640" s="726">
        <f t="shared" si="3007"/>
        <v>9.5971713600202051</v>
      </c>
      <c r="AF640" s="9" t="str">
        <f t="shared" si="2986"/>
        <v>NM</v>
      </c>
      <c r="AG640" s="726">
        <f t="shared" si="3008"/>
        <v>5.7599894674478165</v>
      </c>
      <c r="AH640" s="9">
        <f t="shared" si="2987"/>
        <v>-12.923057777133522</v>
      </c>
      <c r="AI640" s="726">
        <f t="shared" si="3008"/>
        <v>9.6396047277659473</v>
      </c>
      <c r="AJ640" s="9">
        <f t="shared" si="2988"/>
        <v>50.271998330321708</v>
      </c>
      <c r="AK640" s="726">
        <f t="shared" si="3009"/>
        <v>7.8146555221942844</v>
      </c>
      <c r="AL640" s="9">
        <f t="shared" si="2989"/>
        <v>16.418329702432914</v>
      </c>
      <c r="AM640" s="726">
        <f t="shared" si="3009"/>
        <v>5.330200991908125</v>
      </c>
      <c r="AN640" s="9">
        <f t="shared" si="2990"/>
        <v>-44.460708348788891</v>
      </c>
      <c r="AO640" s="726">
        <f t="shared" ref="AO640" si="3012">AO619/AO598*100</f>
        <v>6.4485660312553401</v>
      </c>
      <c r="AP640" s="9">
        <f t="shared" si="2991"/>
        <v>11.954476092342986</v>
      </c>
      <c r="AQ640" s="726">
        <f t="shared" si="3011"/>
        <v>7.6237943854733707</v>
      </c>
      <c r="AR640" s="9">
        <f t="shared" si="2993"/>
        <v>-20.911753118737636</v>
      </c>
      <c r="AS640" s="726">
        <f t="shared" si="3011"/>
        <v>7.1846543456005065</v>
      </c>
      <c r="AT640" s="9">
        <f t="shared" si="2994"/>
        <v>-8.0617907571808018</v>
      </c>
      <c r="AU640" s="726">
        <f t="shared" si="3011"/>
        <v>7.1846543456005243</v>
      </c>
      <c r="AV640" s="9">
        <f t="shared" si="2995"/>
        <v>34.791433878528778</v>
      </c>
      <c r="AW640" s="726">
        <f t="shared" si="3011"/>
        <v>7.0213317212194619</v>
      </c>
      <c r="AX640" s="9">
        <f t="shared" si="2996"/>
        <v>8.8820628832519049</v>
      </c>
      <c r="AY640" s="286"/>
      <c r="AZ640" s="92"/>
      <c r="BA640" s="9"/>
      <c r="BB640" s="726">
        <f t="shared" si="2997"/>
        <v>11.74660069349747</v>
      </c>
      <c r="BC640" s="9" t="str">
        <f>IF(ISERROR(BB640/#REF!),"NA",IF(OR(BB640/#REF!&gt;2,BB640/#REF!&lt;0.5),"NM",BB640/#REF!*100-100))</f>
        <v>NA</v>
      </c>
      <c r="BD640" s="963">
        <f t="shared" si="2997"/>
        <v>9.0274099576271123</v>
      </c>
      <c r="BE640" s="9">
        <f t="shared" si="2998"/>
        <v>-23.148745810144135</v>
      </c>
      <c r="BF640" s="726">
        <f>+BF619/BF598*100</f>
        <v>5.6136037697193082</v>
      </c>
      <c r="BG640" s="9">
        <f t="shared" si="2998"/>
        <v>-37.816009286512283</v>
      </c>
      <c r="BH640" s="726">
        <f t="shared" si="2999"/>
        <v>6.8315371525808368</v>
      </c>
      <c r="BI640" s="9">
        <f t="shared" si="2998"/>
        <v>21.69610526185086</v>
      </c>
      <c r="BJ640" s="726">
        <f t="shared" si="3000"/>
        <v>6.9790068480335279</v>
      </c>
      <c r="BK640" s="9">
        <f t="shared" si="2998"/>
        <v>2.1586605204507947</v>
      </c>
      <c r="BL640" s="726">
        <f t="shared" si="3001"/>
        <v>7.251041318004722</v>
      </c>
      <c r="BM640" s="9">
        <f t="shared" si="2998"/>
        <v>3.8978965903700953</v>
      </c>
      <c r="BN640" s="726">
        <f t="shared" si="2999"/>
        <v>7.1631740466565423</v>
      </c>
      <c r="BO640" s="9">
        <f t="shared" si="2998"/>
        <v>-1.211788314183238</v>
      </c>
      <c r="BP640" s="726">
        <f t="shared" si="2999"/>
        <v>7.2574182133591334</v>
      </c>
      <c r="BQ640" s="9">
        <f t="shared" si="2998"/>
        <v>1.3156760688591618</v>
      </c>
      <c r="BR640" s="726">
        <f t="shared" si="3002"/>
        <v>7.3518282911802846</v>
      </c>
      <c r="BS640" s="9">
        <f t="shared" si="2998"/>
        <v>1.3008769102952584</v>
      </c>
      <c r="BT640" s="726">
        <f t="shared" si="3002"/>
        <v>7.4464047186205429</v>
      </c>
      <c r="BU640" s="9">
        <f t="shared" si="3003"/>
        <v>1.2864341180780485</v>
      </c>
      <c r="BV640" s="43">
        <f>IF(ISERROR(((BT640/BJ640)^0.2-1)*100),"NA",IF((((BT640/BJ640)^0.2-1)*100)&gt;100,"NM",IF((((BT640/BJ640)^0.2-1)*100)&lt;-50,"NM",((BT640/BJ640)^0.2-1)*100)))</f>
        <v>1.3049350551048944</v>
      </c>
      <c r="BW640" s="722"/>
      <c r="BX640" s="722"/>
      <c r="BY640"/>
      <c r="BZ640"/>
      <c r="CA640"/>
      <c r="CB640"/>
      <c r="CC640"/>
      <c r="CD640"/>
    </row>
    <row r="641" spans="1:82" s="2" customFormat="1" ht="12.75" hidden="1" customHeight="1" outlineLevel="1" x14ac:dyDescent="0.2">
      <c r="A641" s="41"/>
      <c r="B641" s="5" t="s">
        <v>453</v>
      </c>
      <c r="C641" s="726"/>
      <c r="D641" s="9"/>
      <c r="E641" s="726"/>
      <c r="F641" s="9"/>
      <c r="G641" s="726"/>
      <c r="H641" s="9"/>
      <c r="I641" s="726"/>
      <c r="J641" s="9"/>
      <c r="K641" s="726"/>
      <c r="L641" s="9"/>
      <c r="M641" s="726"/>
      <c r="N641" s="9"/>
      <c r="O641" s="726"/>
      <c r="P641" s="9"/>
      <c r="Q641" s="726"/>
      <c r="R641" s="9"/>
      <c r="S641" s="726"/>
      <c r="T641" s="9"/>
      <c r="U641" s="726"/>
      <c r="V641" s="9"/>
      <c r="W641" s="726"/>
      <c r="X641" s="9"/>
      <c r="Y641" s="726"/>
      <c r="Z641" s="9"/>
      <c r="AA641" s="726"/>
      <c r="AB641" s="9"/>
      <c r="AC641" s="726"/>
      <c r="AD641" s="9"/>
      <c r="AE641" s="726"/>
      <c r="AF641" s="9"/>
      <c r="AG641" s="726"/>
      <c r="AH641" s="9"/>
      <c r="AI641" s="726"/>
      <c r="AJ641" s="9"/>
      <c r="AK641" s="726"/>
      <c r="AL641" s="9"/>
      <c r="AM641" s="726"/>
      <c r="AN641" s="9"/>
      <c r="AO641" s="726"/>
      <c r="AP641" s="9"/>
      <c r="AQ641" s="726"/>
      <c r="AR641" s="9"/>
      <c r="AS641" s="726"/>
      <c r="AT641" s="9"/>
      <c r="AU641" s="726"/>
      <c r="AV641" s="9"/>
      <c r="AW641" s="726"/>
      <c r="AX641" s="9"/>
      <c r="AY641" s="286"/>
      <c r="AZ641" s="92"/>
      <c r="BA641" s="9"/>
      <c r="BB641" s="726"/>
      <c r="BC641" s="9"/>
      <c r="BD641" s="963"/>
      <c r="BE641" s="9"/>
      <c r="BF641" s="726"/>
      <c r="BG641" s="9"/>
      <c r="BH641" s="726"/>
      <c r="BI641" s="9"/>
      <c r="BJ641" s="726"/>
      <c r="BK641" s="9"/>
      <c r="BL641" s="726"/>
      <c r="BM641" s="9"/>
      <c r="BN641" s="726"/>
      <c r="BO641" s="9"/>
      <c r="BP641" s="726"/>
      <c r="BQ641" s="9"/>
      <c r="BR641" s="726"/>
      <c r="BS641" s="9"/>
      <c r="BT641" s="726"/>
      <c r="BU641" s="9"/>
      <c r="BV641" s="43"/>
      <c r="BW641" s="722"/>
      <c r="BX641" s="722"/>
      <c r="BY641"/>
      <c r="BZ641"/>
      <c r="CA641"/>
      <c r="CB641"/>
      <c r="CC641"/>
      <c r="CD641"/>
    </row>
    <row r="642" spans="1:82" s="2" customFormat="1" ht="12.75" hidden="1" customHeight="1" outlineLevel="1" x14ac:dyDescent="0.2">
      <c r="A642" s="41"/>
      <c r="B642" s="5" t="s">
        <v>456</v>
      </c>
      <c r="C642" s="726"/>
      <c r="D642" s="9"/>
      <c r="E642" s="726"/>
      <c r="F642" s="9"/>
      <c r="G642" s="726"/>
      <c r="H642" s="9"/>
      <c r="I642" s="726"/>
      <c r="J642" s="9"/>
      <c r="K642" s="726"/>
      <c r="L642" s="9"/>
      <c r="M642" s="726"/>
      <c r="N642" s="9"/>
      <c r="O642" s="726"/>
      <c r="P642" s="9"/>
      <c r="Q642" s="726"/>
      <c r="R642" s="9"/>
      <c r="S642" s="726"/>
      <c r="T642" s="9"/>
      <c r="U642" s="726"/>
      <c r="V642" s="9"/>
      <c r="W642" s="726"/>
      <c r="X642" s="9"/>
      <c r="Y642" s="726"/>
      <c r="Z642" s="9"/>
      <c r="AA642" s="726"/>
      <c r="AB642" s="9"/>
      <c r="AC642" s="726"/>
      <c r="AD642" s="9"/>
      <c r="AE642" s="726"/>
      <c r="AF642" s="9"/>
      <c r="AG642" s="726"/>
      <c r="AH642" s="9"/>
      <c r="AI642" s="726"/>
      <c r="AJ642" s="9"/>
      <c r="AK642" s="726"/>
      <c r="AL642" s="9"/>
      <c r="AM642" s="726"/>
      <c r="AN642" s="9"/>
      <c r="AO642" s="726"/>
      <c r="AP642" s="9"/>
      <c r="AQ642" s="726"/>
      <c r="AR642" s="9"/>
      <c r="AS642" s="726"/>
      <c r="AT642" s="9"/>
      <c r="AU642" s="726"/>
      <c r="AV642" s="9"/>
      <c r="AW642" s="726"/>
      <c r="AX642" s="9"/>
      <c r="AY642" s="286"/>
      <c r="AZ642" s="92"/>
      <c r="BA642" s="9"/>
      <c r="BB642" s="726"/>
      <c r="BC642" s="9"/>
      <c r="BD642" s="963"/>
      <c r="BE642" s="9"/>
      <c r="BF642" s="726"/>
      <c r="BG642" s="9"/>
      <c r="BH642" s="726"/>
      <c r="BI642" s="9"/>
      <c r="BJ642" s="726"/>
      <c r="BK642" s="9"/>
      <c r="BL642" s="726"/>
      <c r="BM642" s="9"/>
      <c r="BN642" s="726"/>
      <c r="BO642" s="9"/>
      <c r="BP642" s="726"/>
      <c r="BQ642" s="9"/>
      <c r="BR642" s="726"/>
      <c r="BS642" s="9"/>
      <c r="BT642" s="726"/>
      <c r="BU642" s="9"/>
      <c r="BV642" s="43"/>
      <c r="BW642" s="722"/>
      <c r="BX642" s="722"/>
      <c r="BY642"/>
      <c r="BZ642"/>
      <c r="CA642"/>
      <c r="CB642"/>
      <c r="CC642"/>
      <c r="CD642"/>
    </row>
    <row r="643" spans="1:82" s="2" customFormat="1" ht="12.75" hidden="1" customHeight="1" outlineLevel="1" x14ac:dyDescent="0.2">
      <c r="A643" s="41"/>
      <c r="B643" s="5" t="s">
        <v>457</v>
      </c>
      <c r="C643" s="726"/>
      <c r="D643" s="9"/>
      <c r="E643" s="726"/>
      <c r="F643" s="9"/>
      <c r="G643" s="726"/>
      <c r="H643" s="9"/>
      <c r="I643" s="726"/>
      <c r="J643" s="9"/>
      <c r="K643" s="726"/>
      <c r="L643" s="9"/>
      <c r="M643" s="726"/>
      <c r="N643" s="9"/>
      <c r="O643" s="726"/>
      <c r="P643" s="9"/>
      <c r="Q643" s="726"/>
      <c r="R643" s="9"/>
      <c r="S643" s="726"/>
      <c r="T643" s="9"/>
      <c r="U643" s="726"/>
      <c r="V643" s="9"/>
      <c r="W643" s="726"/>
      <c r="X643" s="9"/>
      <c r="Y643" s="726"/>
      <c r="Z643" s="9"/>
      <c r="AA643" s="726"/>
      <c r="AB643" s="9"/>
      <c r="AC643" s="726"/>
      <c r="AD643" s="9"/>
      <c r="AE643" s="726"/>
      <c r="AF643" s="9"/>
      <c r="AG643" s="726"/>
      <c r="AH643" s="9"/>
      <c r="AI643" s="726"/>
      <c r="AJ643" s="9"/>
      <c r="AK643" s="726"/>
      <c r="AL643" s="9"/>
      <c r="AM643" s="726"/>
      <c r="AN643" s="9"/>
      <c r="AO643" s="726"/>
      <c r="AP643" s="9"/>
      <c r="AQ643" s="726"/>
      <c r="AR643" s="9"/>
      <c r="AS643" s="726"/>
      <c r="AT643" s="9"/>
      <c r="AU643" s="726"/>
      <c r="AV643" s="9"/>
      <c r="AW643" s="726"/>
      <c r="AX643" s="9"/>
      <c r="AY643" s="286"/>
      <c r="AZ643" s="92"/>
      <c r="BA643" s="9"/>
      <c r="BB643" s="726"/>
      <c r="BC643" s="9"/>
      <c r="BD643" s="963"/>
      <c r="BE643" s="9"/>
      <c r="BF643" s="726"/>
      <c r="BG643" s="9"/>
      <c r="BH643" s="726"/>
      <c r="BI643" s="9"/>
      <c r="BJ643" s="726"/>
      <c r="BK643" s="9"/>
      <c r="BL643" s="726"/>
      <c r="BM643" s="9"/>
      <c r="BN643" s="726"/>
      <c r="BO643" s="9"/>
      <c r="BP643" s="726"/>
      <c r="BQ643" s="9"/>
      <c r="BR643" s="726"/>
      <c r="BS643" s="9"/>
      <c r="BT643" s="726"/>
      <c r="BU643" s="9"/>
      <c r="BV643" s="43"/>
      <c r="BW643" s="722"/>
      <c r="BX643" s="722"/>
      <c r="BY643"/>
      <c r="BZ643"/>
      <c r="CA643"/>
      <c r="CB643"/>
      <c r="CC643"/>
      <c r="CD643"/>
    </row>
    <row r="644" spans="1:82" s="2" customFormat="1" ht="12.75" hidden="1" customHeight="1" outlineLevel="1" x14ac:dyDescent="0.2">
      <c r="A644" s="41"/>
      <c r="B644" s="5" t="s">
        <v>312</v>
      </c>
      <c r="C644" s="726"/>
      <c r="D644" s="9"/>
      <c r="E644" s="726"/>
      <c r="F644" s="9"/>
      <c r="G644" s="726"/>
      <c r="H644" s="9"/>
      <c r="I644" s="726"/>
      <c r="J644" s="9"/>
      <c r="K644" s="726"/>
      <c r="L644" s="9"/>
      <c r="M644" s="726"/>
      <c r="N644" s="9"/>
      <c r="O644" s="726"/>
      <c r="P644" s="9"/>
      <c r="Q644" s="726"/>
      <c r="R644" s="9"/>
      <c r="S644" s="726"/>
      <c r="T644" s="9"/>
      <c r="U644" s="726"/>
      <c r="V644" s="9"/>
      <c r="W644" s="726"/>
      <c r="X644" s="9"/>
      <c r="Y644" s="726"/>
      <c r="Z644" s="9"/>
      <c r="AA644" s="726"/>
      <c r="AB644" s="9"/>
      <c r="AC644" s="726"/>
      <c r="AD644" s="9"/>
      <c r="AE644" s="726"/>
      <c r="AF644" s="9"/>
      <c r="AG644" s="726"/>
      <c r="AH644" s="9"/>
      <c r="AI644" s="726"/>
      <c r="AJ644" s="9"/>
      <c r="AK644" s="726"/>
      <c r="AL644" s="9"/>
      <c r="AM644" s="726"/>
      <c r="AN644" s="9"/>
      <c r="AO644" s="726"/>
      <c r="AP644" s="9"/>
      <c r="AQ644" s="726"/>
      <c r="AR644" s="9"/>
      <c r="AS644" s="726"/>
      <c r="AT644" s="9"/>
      <c r="AU644" s="726"/>
      <c r="AV644" s="9"/>
      <c r="AW644" s="726"/>
      <c r="AX644" s="9"/>
      <c r="AY644" s="286"/>
      <c r="AZ644" s="92"/>
      <c r="BA644" s="9"/>
      <c r="BB644" s="726"/>
      <c r="BC644" s="9"/>
      <c r="BD644" s="963"/>
      <c r="BE644" s="9"/>
      <c r="BF644" s="726"/>
      <c r="BG644" s="9"/>
      <c r="BH644" s="726"/>
      <c r="BI644" s="9"/>
      <c r="BJ644" s="726"/>
      <c r="BK644" s="9"/>
      <c r="BL644" s="726"/>
      <c r="BM644" s="9"/>
      <c r="BN644" s="726"/>
      <c r="BO644" s="9"/>
      <c r="BP644" s="726"/>
      <c r="BQ644" s="9"/>
      <c r="BR644" s="726"/>
      <c r="BS644" s="9"/>
      <c r="BT644" s="726"/>
      <c r="BU644" s="9"/>
      <c r="BV644" s="43"/>
      <c r="BW644" s="722"/>
      <c r="BX644" s="722"/>
      <c r="BY644"/>
      <c r="BZ644"/>
      <c r="CA644"/>
      <c r="CB644"/>
      <c r="CC644"/>
      <c r="CD644"/>
    </row>
    <row r="645" spans="1:82" s="2" customFormat="1" ht="12.75" hidden="1" customHeight="1" outlineLevel="1" x14ac:dyDescent="0.2">
      <c r="A645" s="41"/>
      <c r="B645" s="5" t="s">
        <v>455</v>
      </c>
      <c r="C645" s="726"/>
      <c r="D645" s="9"/>
      <c r="E645" s="726"/>
      <c r="F645" s="9"/>
      <c r="G645" s="726"/>
      <c r="H645" s="9"/>
      <c r="I645" s="726"/>
      <c r="J645" s="9"/>
      <c r="K645" s="726"/>
      <c r="L645" s="9"/>
      <c r="M645" s="726"/>
      <c r="N645" s="9"/>
      <c r="O645" s="726"/>
      <c r="P645" s="9"/>
      <c r="Q645" s="726"/>
      <c r="R645" s="9"/>
      <c r="S645" s="726"/>
      <c r="T645" s="9"/>
      <c r="U645" s="726"/>
      <c r="V645" s="9"/>
      <c r="W645" s="726"/>
      <c r="X645" s="9"/>
      <c r="Y645" s="726"/>
      <c r="Z645" s="9"/>
      <c r="AA645" s="726"/>
      <c r="AB645" s="9"/>
      <c r="AC645" s="726"/>
      <c r="AD645" s="9"/>
      <c r="AE645" s="726"/>
      <c r="AF645" s="9"/>
      <c r="AG645" s="726"/>
      <c r="AH645" s="9"/>
      <c r="AI645" s="726"/>
      <c r="AJ645" s="9"/>
      <c r="AK645" s="726"/>
      <c r="AL645" s="9"/>
      <c r="AM645" s="726"/>
      <c r="AN645" s="9"/>
      <c r="AO645" s="726"/>
      <c r="AP645" s="9"/>
      <c r="AQ645" s="726"/>
      <c r="AR645" s="9"/>
      <c r="AS645" s="726"/>
      <c r="AT645" s="9"/>
      <c r="AU645" s="726"/>
      <c r="AV645" s="9"/>
      <c r="AW645" s="726"/>
      <c r="AX645" s="9"/>
      <c r="AY645" s="286"/>
      <c r="AZ645" s="92"/>
      <c r="BA645" s="9"/>
      <c r="BB645" s="726"/>
      <c r="BC645" s="9"/>
      <c r="BD645" s="963"/>
      <c r="BE645" s="9"/>
      <c r="BF645" s="726"/>
      <c r="BG645" s="9"/>
      <c r="BH645" s="726"/>
      <c r="BI645" s="9"/>
      <c r="BJ645" s="726"/>
      <c r="BK645" s="9"/>
      <c r="BL645" s="726"/>
      <c r="BM645" s="9"/>
      <c r="BN645" s="726"/>
      <c r="BO645" s="9"/>
      <c r="BP645" s="726"/>
      <c r="BQ645" s="9"/>
      <c r="BR645" s="726"/>
      <c r="BS645" s="9"/>
      <c r="BT645" s="726"/>
      <c r="BU645" s="9"/>
      <c r="BV645" s="43"/>
      <c r="BW645" s="722"/>
      <c r="BX645" s="722"/>
      <c r="BY645"/>
      <c r="BZ645"/>
      <c r="CA645"/>
      <c r="CB645"/>
      <c r="CC645"/>
      <c r="CD645"/>
    </row>
    <row r="646" spans="1:82" s="2" customFormat="1" ht="12.75" hidden="1" customHeight="1" outlineLevel="1" x14ac:dyDescent="0.2">
      <c r="A646" s="41"/>
      <c r="B646" s="5" t="s">
        <v>454</v>
      </c>
      <c r="C646" s="726"/>
      <c r="D646" s="9"/>
      <c r="E646" s="726"/>
      <c r="F646" s="9"/>
      <c r="G646" s="726"/>
      <c r="H646" s="9"/>
      <c r="I646" s="726"/>
      <c r="J646" s="9"/>
      <c r="K646" s="726"/>
      <c r="L646" s="9"/>
      <c r="M646" s="726"/>
      <c r="N646" s="9"/>
      <c r="O646" s="726"/>
      <c r="P646" s="9"/>
      <c r="Q646" s="726"/>
      <c r="R646" s="9"/>
      <c r="S646" s="726"/>
      <c r="T646" s="9"/>
      <c r="U646" s="726"/>
      <c r="V646" s="9"/>
      <c r="W646" s="726"/>
      <c r="X646" s="9"/>
      <c r="Y646" s="726"/>
      <c r="Z646" s="9"/>
      <c r="AA646" s="726"/>
      <c r="AB646" s="9"/>
      <c r="AC646" s="726"/>
      <c r="AD646" s="9"/>
      <c r="AE646" s="726"/>
      <c r="AF646" s="9"/>
      <c r="AG646" s="726"/>
      <c r="AH646" s="9"/>
      <c r="AI646" s="726"/>
      <c r="AJ646" s="9"/>
      <c r="AK646" s="726"/>
      <c r="AL646" s="9"/>
      <c r="AM646" s="726"/>
      <c r="AN646" s="9"/>
      <c r="AO646" s="726"/>
      <c r="AP646" s="9"/>
      <c r="AQ646" s="726"/>
      <c r="AR646" s="9"/>
      <c r="AS646" s="726"/>
      <c r="AT646" s="9"/>
      <c r="AU646" s="726"/>
      <c r="AV646" s="9"/>
      <c r="AW646" s="726"/>
      <c r="AX646" s="9"/>
      <c r="AY646" s="286"/>
      <c r="AZ646" s="92"/>
      <c r="BA646" s="9"/>
      <c r="BB646" s="726"/>
      <c r="BC646" s="9"/>
      <c r="BD646" s="963"/>
      <c r="BE646" s="9"/>
      <c r="BF646" s="726"/>
      <c r="BG646" s="9"/>
      <c r="BH646" s="726"/>
      <c r="BI646" s="9"/>
      <c r="BJ646" s="726"/>
      <c r="BK646" s="9"/>
      <c r="BL646" s="726"/>
      <c r="BM646" s="9"/>
      <c r="BN646" s="726"/>
      <c r="BO646" s="9"/>
      <c r="BP646" s="726"/>
      <c r="BQ646" s="9"/>
      <c r="BR646" s="726"/>
      <c r="BS646" s="9"/>
      <c r="BT646" s="726"/>
      <c r="BU646" s="9"/>
      <c r="BV646" s="43"/>
      <c r="BW646" s="722"/>
      <c r="BX646" s="722"/>
      <c r="BY646"/>
      <c r="BZ646"/>
      <c r="CA646"/>
      <c r="CB646"/>
      <c r="CC646"/>
      <c r="CD646"/>
    </row>
    <row r="647" spans="1:82" s="2" customFormat="1" ht="12.75" hidden="1" customHeight="1" outlineLevel="1" x14ac:dyDescent="0.2">
      <c r="A647" s="41"/>
      <c r="B647" s="5" t="s">
        <v>459</v>
      </c>
      <c r="C647" s="726"/>
      <c r="D647" s="9"/>
      <c r="E647" s="726"/>
      <c r="F647" s="9"/>
      <c r="G647" s="726"/>
      <c r="H647" s="9"/>
      <c r="I647" s="726"/>
      <c r="J647" s="9"/>
      <c r="K647" s="726"/>
      <c r="L647" s="9"/>
      <c r="M647" s="726"/>
      <c r="N647" s="9"/>
      <c r="O647" s="726"/>
      <c r="P647" s="9"/>
      <c r="Q647" s="726"/>
      <c r="R647" s="9"/>
      <c r="S647" s="726"/>
      <c r="T647" s="9"/>
      <c r="U647" s="726"/>
      <c r="V647" s="9"/>
      <c r="W647" s="726"/>
      <c r="X647" s="9"/>
      <c r="Y647" s="726"/>
      <c r="Z647" s="9"/>
      <c r="AA647" s="726"/>
      <c r="AB647" s="9"/>
      <c r="AC647" s="726"/>
      <c r="AD647" s="9"/>
      <c r="AE647" s="726"/>
      <c r="AF647" s="9"/>
      <c r="AG647" s="726"/>
      <c r="AH647" s="9"/>
      <c r="AI647" s="726"/>
      <c r="AJ647" s="9"/>
      <c r="AK647" s="726"/>
      <c r="AL647" s="9"/>
      <c r="AM647" s="726"/>
      <c r="AN647" s="9"/>
      <c r="AO647" s="726"/>
      <c r="AP647" s="9"/>
      <c r="AQ647" s="726"/>
      <c r="AR647" s="9"/>
      <c r="AS647" s="726"/>
      <c r="AT647" s="9"/>
      <c r="AU647" s="726"/>
      <c r="AV647" s="9"/>
      <c r="AW647" s="726"/>
      <c r="AX647" s="9"/>
      <c r="AY647" s="279"/>
      <c r="AZ647" s="15"/>
      <c r="BA647" s="9"/>
      <c r="BB647" s="726"/>
      <c r="BC647" s="9"/>
      <c r="BD647" s="963"/>
      <c r="BE647" s="9"/>
      <c r="BF647" s="726"/>
      <c r="BG647" s="9"/>
      <c r="BH647" s="726"/>
      <c r="BI647" s="9"/>
      <c r="BJ647" s="726"/>
      <c r="BK647" s="9"/>
      <c r="BL647" s="726"/>
      <c r="BM647" s="9"/>
      <c r="BN647" s="726"/>
      <c r="BO647" s="9"/>
      <c r="BP647" s="726"/>
      <c r="BQ647" s="9"/>
      <c r="BR647" s="726"/>
      <c r="BS647" s="9"/>
      <c r="BT647" s="726"/>
      <c r="BU647" s="9"/>
      <c r="BV647" s="43"/>
      <c r="BW647" s="722"/>
      <c r="BX647" s="722"/>
      <c r="BY647"/>
      <c r="BZ647"/>
      <c r="CA647"/>
      <c r="CB647"/>
      <c r="CC647"/>
      <c r="CD647"/>
    </row>
    <row r="648" spans="1:82" s="2" customFormat="1" ht="12.75" customHeight="1" collapsed="1" x14ac:dyDescent="0.2">
      <c r="A648" s="41"/>
      <c r="B648" s="62" t="str">
        <f>+B627</f>
        <v>Principal Global Investors</v>
      </c>
      <c r="C648" s="726">
        <f t="shared" ref="C648:C651" si="3013">+C627/C606*100</f>
        <v>23.262839879154086</v>
      </c>
      <c r="D648" s="9" t="str">
        <f>IF(ISERROR(C648/#REF!),"NA",IF(OR(C648/#REF!&gt;2,C648/#REF!&lt;0.5),"NM",C648/#REF!*100-100))</f>
        <v>NA</v>
      </c>
      <c r="E648" s="726">
        <f t="shared" ref="E648:E651" si="3014">+E627/E606*100</f>
        <v>25.826882477128787</v>
      </c>
      <c r="F648" s="9" t="str">
        <f>IF(ISERROR(E648/#REF!),"NA",IF(OR(E648/#REF!&gt;2,E648/#REF!&lt;0.5),"NM",E648/#REF!*100-100))</f>
        <v>NA</v>
      </c>
      <c r="G648" s="726">
        <f t="shared" ref="G648:G651" si="3015">+G627/G606*100</f>
        <v>25.703097187611245</v>
      </c>
      <c r="H648" s="9" t="str">
        <f>IF(ISERROR(G648/#REF!),"NA",IF(OR(G648/#REF!&gt;2,G648/#REF!&lt;0.5),"NM",G648/#REF!*100-100))</f>
        <v>NA</v>
      </c>
      <c r="I648" s="726">
        <f t="shared" ref="I648:I651" si="3016">+I627/I606*100</f>
        <v>22.90161200667038</v>
      </c>
      <c r="J648" s="9" t="str">
        <f>IF(ISERROR(I648/#REF!),"NA",IF(OR(I648/#REF!&gt;2,I648/#REF!&lt;0.5),"NM",I648/#REF!*100-100))</f>
        <v>NA</v>
      </c>
      <c r="K648" s="726">
        <f t="shared" ref="K648:K651" si="3017">+K627/K606*100</f>
        <v>27.303523035230352</v>
      </c>
      <c r="L648" s="9">
        <f t="shared" ref="L648" si="3018">IF(ISERROR(K648/C648),"NA",IF(OR(K648/C648&gt;2,K648/C648&lt;0.5),"NM",K648/C648*100-100))</f>
        <v>17.369689930665501</v>
      </c>
      <c r="M648" s="726">
        <f t="shared" ref="M648:M651" si="3019">+M627/M606*100</f>
        <v>27.523840841828338</v>
      </c>
      <c r="N648" s="9">
        <f t="shared" ref="N648:AB651" si="3020">IF(ISERROR(M648/E648),"NA",IF(OR(M648/E648&gt;2,M648/E648&lt;0.5),"NM",M648/E648*100-100))</f>
        <v>6.5705118153625648</v>
      </c>
      <c r="O648" s="726">
        <f t="shared" ref="O648:O651" si="3021">+O627/O606*100</f>
        <v>27.556270096463027</v>
      </c>
      <c r="P648" s="9">
        <f t="shared" si="3020"/>
        <v>7.2099206384552019</v>
      </c>
      <c r="Q648" s="726">
        <f t="shared" ref="Q648:Q651" si="3022">+Q627/Q606*100</f>
        <v>28.838951310861422</v>
      </c>
      <c r="R648" s="9">
        <f t="shared" si="3020"/>
        <v>25.925420893785628</v>
      </c>
      <c r="S648" s="726">
        <f t="shared" ref="S648:S651" si="3023">+S627/S606*100</f>
        <v>28.154454241410757</v>
      </c>
      <c r="T648" s="9">
        <f t="shared" si="3020"/>
        <v>3.1165619362835741</v>
      </c>
      <c r="U648" s="726">
        <f t="shared" ref="U648:U651" si="3024">+U627/U606*100</f>
        <v>29.159265837773841</v>
      </c>
      <c r="V648" s="9">
        <f t="shared" si="3020"/>
        <v>5.9418487606574359</v>
      </c>
      <c r="W648" s="726">
        <f t="shared" ref="W648:Y651" si="3025">+W627/W606*100</f>
        <v>28.952959028831565</v>
      </c>
      <c r="X648" s="9">
        <f t="shared" si="3020"/>
        <v>5.0684977592370615</v>
      </c>
      <c r="Y648" s="726">
        <f t="shared" si="3025"/>
        <v>29.369421249640087</v>
      </c>
      <c r="Z648" s="9">
        <f t="shared" si="3020"/>
        <v>1.8394217357649865</v>
      </c>
      <c r="AA648" s="726">
        <f t="shared" ref="AA648:AC651" si="3026">+AA627/AA606*100</f>
        <v>25.751211631663978</v>
      </c>
      <c r="AB648" s="9">
        <f t="shared" si="3020"/>
        <v>-8.5359232650725261</v>
      </c>
      <c r="AC648" s="726">
        <f t="shared" si="3026"/>
        <v>33.447196128664949</v>
      </c>
      <c r="AD648" s="9">
        <f t="shared" ref="AD648:AF651" si="3027">IF(ISERROR(AC648/U648),"NA",IF(OR(AC648/U648&gt;2,AC648/U648&lt;0.5),"NM",AC648/U648*100-100))</f>
        <v>14.705206621959547</v>
      </c>
      <c r="AE648" s="726">
        <f t="shared" ref="AE648:AG651" si="3028">+AE627/AE606*100</f>
        <v>32.611207394569611</v>
      </c>
      <c r="AF648" s="9">
        <f t="shared" si="3027"/>
        <v>12.635145036799656</v>
      </c>
      <c r="AG648" s="726">
        <f t="shared" si="3028"/>
        <v>35.174953959484348</v>
      </c>
      <c r="AH648" s="9">
        <f>IF(ISERROR(AG648/Y648),"NA",IF(OR(AG648/Y648&gt;2,AG648/Y648&lt;0.5),"NM",AG648/Y648*100-100))</f>
        <v>19.767269707146198</v>
      </c>
      <c r="AI648" s="726">
        <f t="shared" ref="AI648:AK651" si="3029">+AI627/AI606*100</f>
        <v>28.91008962127783</v>
      </c>
      <c r="AJ648" s="9">
        <f t="shared" ref="AJ648:AJ651" si="3030">IF(ISERROR(AI648/AA648),"NA",IF(OR(AI648/AA648&gt;2,AI648/AA648&lt;0.5),"NM",AI648/AA648*100-100))</f>
        <v>12.266910135326057</v>
      </c>
      <c r="AK648" s="726">
        <f t="shared" si="3029"/>
        <v>32.461322081575247</v>
      </c>
      <c r="AL648" s="9">
        <f t="shared" ref="AL648:AL651" si="3031">IF(ISERROR(AK648/AC648),"NA",IF(OR(AK648/AC648&gt;2,AK648/AC648&lt;0.5),"NM",AK648/AC648*100-100))</f>
        <v>-2.9475536403626563</v>
      </c>
      <c r="AM648" s="726">
        <f t="shared" ref="AM648:AO651" si="3032">+AM627/AM606*100</f>
        <v>35.428571428571431</v>
      </c>
      <c r="AN648" s="9">
        <f t="shared" ref="AN648:AN651" si="3033">IF(ISERROR(AM648/AE648),"NA",IF(OR(AM648/AE648&gt;2,AM648/AE648&lt;0.5),"NM",AM648/AE648*100-100))</f>
        <v>8.6392509173731611</v>
      </c>
      <c r="AO648" s="726">
        <f t="shared" si="3032"/>
        <v>33.049267643142478</v>
      </c>
      <c r="AP648" s="9">
        <f t="shared" ref="AP648:AP651" si="3034">IF(ISERROR(AO648/AG648),"NA",IF(OR(AO648/AG648&gt;2,AO648/AG648&lt;0.5),"NM",AO648/AG648*100-100))</f>
        <v>-6.0431815171394447</v>
      </c>
      <c r="AQ648" s="726">
        <f t="shared" ref="AQ648:AW651" si="3035">+AQ627/AQ606*100</f>
        <v>34.100219824140702</v>
      </c>
      <c r="AR648" s="9">
        <f t="shared" ref="AR648:AR651" si="3036">IF(ISERROR(AQ648/AI648),"NA",IF(OR(AQ648/AI648&gt;2,AQ648/AI648&lt;0.5),"NM",AQ648/AI648*100-100))</f>
        <v>17.952660371702663</v>
      </c>
      <c r="AS648" s="726">
        <f t="shared" si="3035"/>
        <v>34.100219824140694</v>
      </c>
      <c r="AT648" s="9">
        <f t="shared" ref="AT648:AT651" si="3037">IF(ISERROR(AS648/AK648),"NA",IF(OR(AS648/AK648&gt;2,AS648/AK648&lt;0.5),"NM",AS648/AK648*100-100))</f>
        <v>5.0487707754074194</v>
      </c>
      <c r="AU648" s="726">
        <f t="shared" si="3035"/>
        <v>34.100219824140702</v>
      </c>
      <c r="AV648" s="9">
        <f t="shared" ref="AV648:AV651" si="3038">IF(ISERROR(AU648/AM648),"NA",IF(OR(AU648/AM648&gt;2,AU648/AM648&lt;0.5),"NM",AU648/AM648*100-100))</f>
        <v>-3.7493795286351173</v>
      </c>
      <c r="AW648" s="726">
        <f t="shared" si="3035"/>
        <v>34.382039822687304</v>
      </c>
      <c r="AX648" s="9">
        <f t="shared" ref="AX648:AX651" si="3039">IF(ISERROR(AW648/AO648),"NA",IF(OR(AW648/AO648&gt;2,AW648/AO648&lt;0.5),"NM",AW648/AO648*100-100))</f>
        <v>4.0326829445534287</v>
      </c>
      <c r="AY648" s="286"/>
      <c r="AZ648" s="92"/>
      <c r="BA648" s="9" t="str">
        <f>IF(ISERROR(#REF!/#REF!),"NA",IF(OR(#REF!/#REF!&gt;2,#REF!/#REF!&lt;0.5),"NM",#REF!/#REF!*100-100))</f>
        <v>NA</v>
      </c>
      <c r="BB648" s="726">
        <f t="shared" ref="BB648:BD651" si="3040">+BB627/BB606*100</f>
        <v>24.342271160796841</v>
      </c>
      <c r="BC648" s="9" t="str">
        <f>IF(ISERROR(BB648/#REF!),"NA",IF(OR(BB648/#REF!&gt;2,BB648/#REF!&lt;0.5),"NM",BB648/#REF!*100-100))</f>
        <v>NA</v>
      </c>
      <c r="BD648" s="963">
        <f t="shared" si="3040"/>
        <v>27.843168442818516</v>
      </c>
      <c r="BE648" s="9">
        <f t="shared" si="2998"/>
        <v>14.38196649316707</v>
      </c>
      <c r="BF648" s="726">
        <f>+BF627/BF606*100</f>
        <v>28.917007815407519</v>
      </c>
      <c r="BG648" s="9">
        <f t="shared" si="2998"/>
        <v>3.8567427223462118</v>
      </c>
      <c r="BH648" s="726">
        <f>+BH627/BH606*100</f>
        <v>31.994809314396949</v>
      </c>
      <c r="BI648" s="9">
        <f t="shared" si="2998"/>
        <v>10.643568375527153</v>
      </c>
      <c r="BJ648" s="726">
        <f>+BJ627/BJ606*100</f>
        <v>32.518692882857941</v>
      </c>
      <c r="BK648" s="9">
        <f t="shared" si="2998"/>
        <v>1.6374017526188425</v>
      </c>
      <c r="BL648" s="726">
        <f>+BL627/BL606*100</f>
        <v>34.172098807402293</v>
      </c>
      <c r="BM648" s="9">
        <f t="shared" si="2998"/>
        <v>5.0844784275321615</v>
      </c>
      <c r="BN648" s="726">
        <f>+BN627/BN606*100</f>
        <v>33.898940543554154</v>
      </c>
      <c r="BO648" s="9">
        <f t="shared" si="2998"/>
        <v>-0.79936051159072008</v>
      </c>
      <c r="BP648" s="726">
        <f>+BP627/BP606*100</f>
        <v>33.243874678321106</v>
      </c>
      <c r="BQ648" s="9">
        <f t="shared" si="2998"/>
        <v>-1.9324080774483292</v>
      </c>
      <c r="BR648" s="726">
        <f>+BR627/BR606*100</f>
        <v>33.243874678321113</v>
      </c>
      <c r="BS648" s="9">
        <f t="shared" si="2998"/>
        <v>2.8421709430404007E-14</v>
      </c>
      <c r="BT648" s="726">
        <f>+BT627/BT606*100</f>
        <v>32.386232261994799</v>
      </c>
      <c r="BU648" s="9">
        <f t="shared" ref="BU648:BU651" si="3041">IF(ISERROR(BT648/BR648),"NA",IF(OR(BT648/BR648&gt;2,BT648/BR648&lt;0.5),"NM",BT648/BR648*100-100))</f>
        <v>-2.579850948859459</v>
      </c>
      <c r="BV648" s="43">
        <f>IF(ISERROR(((BT648/BJ648)^0.2-1)*100),"NA",IF((((BT648/BJ648)^0.2-1)*100)&gt;100,"NM",IF((((BT648/BJ648)^0.2-1)*100)&lt;-50,"NM",((BT648/BJ648)^0.2-1)*100)))</f>
        <v>-8.1600434986695003E-2</v>
      </c>
      <c r="BW648" s="722"/>
      <c r="BX648" s="722"/>
      <c r="BY648"/>
      <c r="BZ648"/>
      <c r="CA648"/>
      <c r="CB648"/>
      <c r="CC648"/>
      <c r="CD648"/>
    </row>
    <row r="649" spans="1:82" s="2" customFormat="1" ht="12.75" customHeight="1" x14ac:dyDescent="0.2">
      <c r="A649" s="41"/>
      <c r="B649" s="42" t="str">
        <f>+B628</f>
        <v>Principal International</v>
      </c>
      <c r="C649" s="726">
        <f t="shared" si="3013"/>
        <v>24.350152905198787</v>
      </c>
      <c r="D649" s="9" t="str">
        <f>IF(ISERROR(C649/#REF!),"NA",IF(OR(C649/#REF!&gt;2,C649/#REF!&lt;0.5),"NM",C649/#REF!*100-100))</f>
        <v>NA</v>
      </c>
      <c r="E649" s="726">
        <f t="shared" si="3014"/>
        <v>26.284722222222229</v>
      </c>
      <c r="F649" s="9" t="str">
        <f>IF(ISERROR(E649/#REF!),"NA",IF(OR(E649/#REF!&gt;2,E649/#REF!&lt;0.5),"NM",E649/#REF!*100-100))</f>
        <v>NA</v>
      </c>
      <c r="G649" s="726">
        <f t="shared" si="3015"/>
        <v>20.950871632329633</v>
      </c>
      <c r="H649" s="9" t="str">
        <f>IF(ISERROR(G649/#REF!),"NA",IF(OR(G649/#REF!&gt;2,G649/#REF!&lt;0.5),"NM",G649/#REF!*100-100))</f>
        <v>NA</v>
      </c>
      <c r="I649" s="726">
        <f t="shared" si="3016"/>
        <v>26.450461172270156</v>
      </c>
      <c r="J649" s="9" t="str">
        <f>IF(ISERROR(I649/#REF!),"NA",IF(OR(I649/#REF!&gt;2,I649/#REF!&lt;0.5),"NM",I649/#REF!*100-100))</f>
        <v>NA</v>
      </c>
      <c r="K649" s="726">
        <f t="shared" si="3017"/>
        <v>26.295585412667933</v>
      </c>
      <c r="L649" s="9">
        <f>IF(ISERROR(K649/C649),"NA",IF(OR(K649/C649&gt;2,K649/C649&lt;0.5),"NM",K649/C649*100-100))</f>
        <v>7.9894057135624621</v>
      </c>
      <c r="M649" s="726">
        <f t="shared" si="3019"/>
        <v>24.39418416801292</v>
      </c>
      <c r="N649" s="9">
        <f t="shared" si="3020"/>
        <v>-7.1925357940856145</v>
      </c>
      <c r="O649" s="726">
        <f t="shared" si="3021"/>
        <v>33.139158576051777</v>
      </c>
      <c r="P649" s="9">
        <f t="shared" si="3020"/>
        <v>58.175560223061069</v>
      </c>
      <c r="Q649" s="726">
        <f t="shared" si="3022"/>
        <v>23.010688836104496</v>
      </c>
      <c r="R649" s="9">
        <f t="shared" si="3020"/>
        <v>-13.004583601634181</v>
      </c>
      <c r="S649" s="726">
        <f t="shared" si="3023"/>
        <v>32.216905901116412</v>
      </c>
      <c r="T649" s="9">
        <f t="shared" si="3020"/>
        <v>22.518306383077814</v>
      </c>
      <c r="U649" s="726">
        <f t="shared" si="3024"/>
        <v>21.992080414255241</v>
      </c>
      <c r="V649" s="9">
        <f t="shared" si="3020"/>
        <v>-9.8470345932185666</v>
      </c>
      <c r="W649" s="726">
        <f t="shared" si="3025"/>
        <v>15.668202764976948</v>
      </c>
      <c r="X649" s="9" t="str">
        <f t="shared" si="3020"/>
        <v>NM</v>
      </c>
      <c r="Y649" s="726">
        <f t="shared" si="3025"/>
        <v>21.297468354430375</v>
      </c>
      <c r="Z649" s="9">
        <f t="shared" si="3020"/>
        <v>-7.4453246222947627</v>
      </c>
      <c r="AA649" s="726">
        <f t="shared" si="3026"/>
        <v>23.726448011165392</v>
      </c>
      <c r="AB649" s="9">
        <f t="shared" si="3020"/>
        <v>-26.354045034649971</v>
      </c>
      <c r="AC649" s="726">
        <f t="shared" si="3026"/>
        <v>21.932852212111698</v>
      </c>
      <c r="AD649" s="9">
        <f t="shared" si="3027"/>
        <v>-0.26931604935907671</v>
      </c>
      <c r="AE649" s="726">
        <f t="shared" si="3028"/>
        <v>25.179425837320579</v>
      </c>
      <c r="AF649" s="9">
        <f t="shared" si="3027"/>
        <v>60.703982549957914</v>
      </c>
      <c r="AG649" s="726">
        <f t="shared" si="3028"/>
        <v>21.133525456292041</v>
      </c>
      <c r="AH649" s="9">
        <f>IF(ISERROR(AG649/Y649),"NA",IF(OR(AG649/Y649&gt;2,AG649/Y649&lt;0.5),"NM",AG649/Y649*100-100))</f>
        <v>-0.769776460798127</v>
      </c>
      <c r="AI649" s="726">
        <f t="shared" si="3029"/>
        <v>31.403672580143155</v>
      </c>
      <c r="AJ649" s="9">
        <f t="shared" si="3030"/>
        <v>32.357243551015102</v>
      </c>
      <c r="AK649" s="726">
        <f t="shared" si="3029"/>
        <v>24.546023794614889</v>
      </c>
      <c r="AL649" s="9">
        <f t="shared" si="3031"/>
        <v>11.914417501341461</v>
      </c>
      <c r="AM649" s="726">
        <f t="shared" si="3032"/>
        <v>26.356024754277392</v>
      </c>
      <c r="AN649" s="9">
        <f t="shared" si="3033"/>
        <v>4.672858406536335</v>
      </c>
      <c r="AO649" s="726">
        <f t="shared" si="3032"/>
        <v>23.29663790538531</v>
      </c>
      <c r="AP649" s="9">
        <f t="shared" si="3034"/>
        <v>10.235454815936777</v>
      </c>
      <c r="AQ649" s="726">
        <f t="shared" si="3035"/>
        <v>27.23347771610306</v>
      </c>
      <c r="AR649" s="9">
        <f t="shared" si="3036"/>
        <v>-13.279322198375453</v>
      </c>
      <c r="AS649" s="726">
        <f t="shared" si="3035"/>
        <v>27.233477716103081</v>
      </c>
      <c r="AT649" s="9">
        <f t="shared" si="3037"/>
        <v>10.948632430144499</v>
      </c>
      <c r="AU649" s="726">
        <f t="shared" si="3035"/>
        <v>27.233477716103067</v>
      </c>
      <c r="AV649" s="9">
        <f t="shared" si="3038"/>
        <v>3.3292310581976921</v>
      </c>
      <c r="AW649" s="726">
        <f t="shared" si="3035"/>
        <v>26.586263300497198</v>
      </c>
      <c r="AX649" s="9">
        <f t="shared" si="3039"/>
        <v>14.120601472504532</v>
      </c>
      <c r="AY649" s="286"/>
      <c r="AZ649" s="92"/>
      <c r="BA649" s="9" t="str">
        <f>IF(ISERROR(#REF!/#REF!),"NA",IF(OR(#REF!/#REF!&gt;2,#REF!/#REF!&lt;0.5),"NM",#REF!/#REF!*100-100))</f>
        <v>NA</v>
      </c>
      <c r="BB649" s="726">
        <f t="shared" si="3040"/>
        <v>24.50882450882451</v>
      </c>
      <c r="BC649" s="9" t="str">
        <f>IF(ISERROR(BB649/#REF!),"NA",IF(OR(BB649/#REF!&gt;2,BB649/#REF!&lt;0.5),"NM",BB649/#REF!*100-100))</f>
        <v>NA</v>
      </c>
      <c r="BD649" s="963">
        <f t="shared" si="3040"/>
        <v>26.522785381260334</v>
      </c>
      <c r="BE649" s="9">
        <f t="shared" si="2998"/>
        <v>8.2172887227238931</v>
      </c>
      <c r="BF649" s="726">
        <f>+BF628/BF607*100</f>
        <v>22.226773717843678</v>
      </c>
      <c r="BG649" s="9">
        <f t="shared" si="2998"/>
        <v>-16.19743779419187</v>
      </c>
      <c r="BH649" s="726">
        <f>+BH628/BH607*100</f>
        <v>23.011182108626205</v>
      </c>
      <c r="BI649" s="9">
        <f t="shared" si="2998"/>
        <v>3.5291149347185922</v>
      </c>
      <c r="BJ649" s="726">
        <f>+BJ628/BJ607*100</f>
        <v>26.368357970435476</v>
      </c>
      <c r="BK649" s="9">
        <f t="shared" si="2998"/>
        <v>14.589323772944127</v>
      </c>
      <c r="BL649" s="726">
        <f>+BL628/BL607*100</f>
        <v>27.06955365631039</v>
      </c>
      <c r="BM649" s="9">
        <f t="shared" si="2998"/>
        <v>2.6592315177953196</v>
      </c>
      <c r="BN649" s="726">
        <f>+BN628/BN607*100</f>
        <v>26.991022655146178</v>
      </c>
      <c r="BO649" s="9">
        <f t="shared" si="2998"/>
        <v>-0.29010822328761776</v>
      </c>
      <c r="BP649" s="726">
        <f>+BP628/BP607*100</f>
        <v>27.769032442827594</v>
      </c>
      <c r="BQ649" s="9">
        <f t="shared" si="2998"/>
        <v>2.8824761389064264</v>
      </c>
      <c r="BR649" s="726">
        <f>+BR628/BR607*100</f>
        <v>26.644374333310761</v>
      </c>
      <c r="BS649" s="9">
        <f t="shared" si="2998"/>
        <v>-4.0500442780364807</v>
      </c>
      <c r="BT649" s="726">
        <f>+BT628/BT607*100</f>
        <v>26.257325695484074</v>
      </c>
      <c r="BU649" s="9">
        <f t="shared" si="3041"/>
        <v>-1.4526467500601115</v>
      </c>
      <c r="BV649" s="43">
        <f>IF(ISERROR(((BT649/BJ649)^0.2-1)*100),"NA",IF((((BT649/BJ649)^0.2-1)*100)&gt;100,"NM",IF((((BT649/BJ649)^0.2-1)*100)&lt;-50,"NM",((BT649/BJ649)^0.2-1)*100)))</f>
        <v>-8.4358505377613024E-2</v>
      </c>
      <c r="BW649" s="722"/>
      <c r="BX649" s="722"/>
      <c r="BY649"/>
      <c r="BZ649"/>
      <c r="CA649"/>
      <c r="CB649"/>
      <c r="CC649"/>
      <c r="CD649"/>
    </row>
    <row r="650" spans="1:82" s="2" customFormat="1" ht="12.75" customHeight="1" x14ac:dyDescent="0.2">
      <c r="A650" s="41"/>
      <c r="B650" s="42" t="s">
        <v>48</v>
      </c>
      <c r="C650" s="726">
        <f t="shared" si="3013"/>
        <v>6.6580976863753225</v>
      </c>
      <c r="D650" s="9" t="str">
        <f>IF(ISERROR(C650/#REF!),"NA",IF(OR(C650/#REF!&gt;2,C650/#REF!&lt;0.5),"NM",C650/#REF!*100-100))</f>
        <v>NA</v>
      </c>
      <c r="E650" s="726">
        <f t="shared" si="3014"/>
        <v>9.0156512740913204</v>
      </c>
      <c r="F650" s="9" t="str">
        <f>IF(ISERROR(E650/#REF!),"NA",IF(OR(E650/#REF!&gt;2,E650/#REF!&lt;0.5),"NM",E650/#REF!*100-100))</f>
        <v>NA</v>
      </c>
      <c r="G650" s="726">
        <f t="shared" si="3015"/>
        <v>10.446789110329568</v>
      </c>
      <c r="H650" s="9" t="str">
        <f>IF(ISERROR(G650/#REF!),"NA",IF(OR(G650/#REF!&gt;2,G650/#REF!&lt;0.5),"NM",G650/#REF!*100-100))</f>
        <v>NA</v>
      </c>
      <c r="I650" s="726">
        <f t="shared" si="3016"/>
        <v>11.284589997461275</v>
      </c>
      <c r="J650" s="9" t="str">
        <f>IF(ISERROR(I650/#REF!),"NA",IF(OR(I650/#REF!&gt;2,I650/#REF!&lt;0.5),"NM",I650/#REF!*100-100))</f>
        <v>NA</v>
      </c>
      <c r="K650" s="726">
        <f t="shared" si="3017"/>
        <v>7.7946295375435222</v>
      </c>
      <c r="L650" s="9">
        <f>IF(ISERROR(K650/C650),"NA",IF(OR(K650/C650&gt;2,K650/C650&lt;0.5),"NM",K650/C650*100-100))</f>
        <v>17.069918536850565</v>
      </c>
      <c r="M650" s="726">
        <f t="shared" si="3019"/>
        <v>9.0203327171903869</v>
      </c>
      <c r="N650" s="9">
        <f t="shared" si="3020"/>
        <v>5.1925734001258661E-2</v>
      </c>
      <c r="O650" s="726">
        <f t="shared" si="3021"/>
        <v>15.237515225334953</v>
      </c>
      <c r="P650" s="9">
        <f t="shared" si="3020"/>
        <v>45.858359582164951</v>
      </c>
      <c r="Q650" s="726">
        <f t="shared" si="3022"/>
        <v>10.061750817290232</v>
      </c>
      <c r="R650" s="9">
        <f t="shared" si="3020"/>
        <v>-10.836363398636095</v>
      </c>
      <c r="S650" s="726">
        <f t="shared" si="3023"/>
        <v>9.5044679122664615</v>
      </c>
      <c r="T650" s="9">
        <f t="shared" si="3020"/>
        <v>21.936108271565075</v>
      </c>
      <c r="U650" s="726">
        <f t="shared" si="3024"/>
        <v>10.269262151765941</v>
      </c>
      <c r="V650" s="9">
        <f t="shared" si="3020"/>
        <v>13.845713608716721</v>
      </c>
      <c r="W650" s="726">
        <f t="shared" si="3025"/>
        <v>20.264885138302859</v>
      </c>
      <c r="X650" s="9">
        <f t="shared" si="3020"/>
        <v>32.993370891659879</v>
      </c>
      <c r="Y650" s="726">
        <f t="shared" si="3025"/>
        <v>9.9769585253456246</v>
      </c>
      <c r="Z650" s="9">
        <f t="shared" si="3020"/>
        <v>-0.84271906037366762</v>
      </c>
      <c r="AA650" s="726">
        <f t="shared" si="3026"/>
        <v>9.0358064878212971</v>
      </c>
      <c r="AB650" s="9">
        <f t="shared" si="3020"/>
        <v>-4.9309590896751843</v>
      </c>
      <c r="AC650" s="726">
        <f t="shared" si="3026"/>
        <v>11.408435194361862</v>
      </c>
      <c r="AD650" s="9">
        <f t="shared" si="3027"/>
        <v>11.093036926708749</v>
      </c>
      <c r="AE650" s="726">
        <f t="shared" si="3028"/>
        <v>7.710896309314605</v>
      </c>
      <c r="AF650" s="9" t="str">
        <f t="shared" si="3027"/>
        <v>NM</v>
      </c>
      <c r="AG650" s="726">
        <f t="shared" si="3028"/>
        <v>11.518155371188447</v>
      </c>
      <c r="AH650" s="9">
        <f>IF(ISERROR(AG650/Y650),"NA",IF(OR(AG650/Y650&gt;2,AG650/Y650&lt;0.5),"NM",AG650/Y650*100-100))</f>
        <v>15.447561919071234</v>
      </c>
      <c r="AI650" s="726">
        <f t="shared" si="3029"/>
        <v>9.0129652864910081</v>
      </c>
      <c r="AJ650" s="9">
        <f t="shared" si="3030"/>
        <v>-0.25278541944291533</v>
      </c>
      <c r="AK650" s="726">
        <f t="shared" si="3029"/>
        <v>10.755125167404962</v>
      </c>
      <c r="AL650" s="9">
        <f t="shared" si="3031"/>
        <v>-5.7265524660189158</v>
      </c>
      <c r="AM650" s="726">
        <f t="shared" si="3032"/>
        <v>8.4424150177574813</v>
      </c>
      <c r="AN650" s="9">
        <f t="shared" si="3033"/>
        <v>9.4868181220283816</v>
      </c>
      <c r="AO650" s="726">
        <f t="shared" si="3032"/>
        <v>11.19975762472227</v>
      </c>
      <c r="AP650" s="9">
        <f t="shared" si="3034"/>
        <v>-2.7643119597311312</v>
      </c>
      <c r="AQ650" s="726">
        <f t="shared" si="3035"/>
        <v>9.3324850508982546</v>
      </c>
      <c r="AR650" s="9">
        <f t="shared" si="3036"/>
        <v>3.5451125600822593</v>
      </c>
      <c r="AS650" s="726">
        <f t="shared" si="3035"/>
        <v>10.373343761300086</v>
      </c>
      <c r="AT650" s="9">
        <f t="shared" si="3037"/>
        <v>-3.5497625565709114</v>
      </c>
      <c r="AU650" s="726">
        <f t="shared" si="3035"/>
        <v>11.471716862551713</v>
      </c>
      <c r="AV650" s="9">
        <f t="shared" si="3038"/>
        <v>35.881934712075889</v>
      </c>
      <c r="AW650" s="726">
        <f t="shared" si="3035"/>
        <v>12.073617821512659</v>
      </c>
      <c r="AX650" s="9">
        <f t="shared" si="3039"/>
        <v>7.8024920366261767</v>
      </c>
      <c r="AY650" s="286"/>
      <c r="AZ650" s="92"/>
      <c r="BA650" s="9" t="str">
        <f>IF(ISERROR(#REF!/#REF!),"NA",IF(OR(#REF!/#REF!&gt;2,#REF!/#REF!&lt;0.5),"NM",#REF!/#REF!*100-100))</f>
        <v>NA</v>
      </c>
      <c r="BB650" s="726">
        <f t="shared" si="3040"/>
        <v>9.3542779887980387</v>
      </c>
      <c r="BC650" s="9" t="str">
        <f>IF(ISERROR(BB650/#REF!),"NA",IF(OR(BB650/#REF!&gt;2,BB650/#REF!&lt;0.5),"NM",BB650/#REF!*100-100))</f>
        <v>NA</v>
      </c>
      <c r="BD650" s="963">
        <f t="shared" si="3040"/>
        <v>10.54615667524825</v>
      </c>
      <c r="BE650" s="9">
        <f t="shared" si="2998"/>
        <v>12.741535882058599</v>
      </c>
      <c r="BF650" s="726">
        <f>+BF629/BF608*100</f>
        <v>12.48256219483841</v>
      </c>
      <c r="BG650" s="9">
        <f t="shared" si="2998"/>
        <v>18.361243619060659</v>
      </c>
      <c r="BH650" s="726">
        <f>+BH629/BH608*100</f>
        <v>9.9298969072164898</v>
      </c>
      <c r="BI650" s="9">
        <f t="shared" si="2998"/>
        <v>-20.449850341442371</v>
      </c>
      <c r="BJ650" s="726">
        <f>+BJ629/BJ608*100</f>
        <v>9.8570257251204154</v>
      </c>
      <c r="BK650" s="9">
        <f t="shared" si="2998"/>
        <v>-0.73385638115856011</v>
      </c>
      <c r="BL650" s="726">
        <f>+BL629/BL608*100</f>
        <v>10.829636520772508</v>
      </c>
      <c r="BM650" s="9">
        <f t="shared" si="2998"/>
        <v>9.8671832941798527</v>
      </c>
      <c r="BN650" s="726">
        <f>+BN629/BN608*100</f>
        <v>10.787500153751131</v>
      </c>
      <c r="BO650" s="9">
        <f t="shared" si="2998"/>
        <v>-0.38908385281958147</v>
      </c>
      <c r="BP650" s="726">
        <f>+BP629/BP608*100</f>
        <v>10.465705797331239</v>
      </c>
      <c r="BQ650" s="9">
        <f t="shared" si="2998"/>
        <v>-2.9830299127086732</v>
      </c>
      <c r="BR650" s="726">
        <f>+BR629/BR608*100</f>
        <v>10.184863321162013</v>
      </c>
      <c r="BS650" s="9">
        <f t="shared" si="2998"/>
        <v>-2.683454719707882</v>
      </c>
      <c r="BT650" s="726">
        <f>+BT629/BT608*100</f>
        <v>9.9022059086891474</v>
      </c>
      <c r="BU650" s="9">
        <f t="shared" si="3041"/>
        <v>-2.7752695697502645</v>
      </c>
      <c r="BV650" s="43">
        <f>IF(ISERROR(((BT650/BJ650)^0.2-1)*100),"NA",IF((((BT650/BJ650)^0.2-1)*100)&gt;100,"NM",IF((((BT650/BJ650)^0.2-1)*100)&lt;-50,"NM",((BT650/BJ650)^0.2-1)*100)))</f>
        <v>9.1503416195748422E-2</v>
      </c>
      <c r="BW650" s="722"/>
      <c r="BX650" s="722"/>
      <c r="BY650"/>
      <c r="BZ650"/>
      <c r="CA650"/>
      <c r="CB650"/>
      <c r="CC650"/>
      <c r="CD650"/>
    </row>
    <row r="651" spans="1:82" s="2" customFormat="1" ht="12.75" customHeight="1" x14ac:dyDescent="0.2">
      <c r="A651" s="41"/>
      <c r="B651" s="5" t="s">
        <v>643</v>
      </c>
      <c r="C651" s="726">
        <f t="shared" si="3013"/>
        <v>5.2437417654809044</v>
      </c>
      <c r="D651" s="9" t="str">
        <f>IF(ISERROR(C651/#REF!),"NA",IF(OR(C651/#REF!&gt;2,C651/#REF!&lt;0.5),"NM",C651/#REF!*100-100))</f>
        <v>NA</v>
      </c>
      <c r="E651" s="726">
        <f t="shared" si="3014"/>
        <v>8.2065217391304319</v>
      </c>
      <c r="F651" s="9" t="str">
        <f>IF(ISERROR(E651/#REF!),"NA",IF(OR(E651/#REF!&gt;2,E651/#REF!&lt;0.5),"NM",E651/#REF!*100-100))</f>
        <v>NA</v>
      </c>
      <c r="G651" s="726">
        <f t="shared" si="3015"/>
        <v>8.684863523573215</v>
      </c>
      <c r="H651" s="9" t="str">
        <f>IF(ISERROR(G651/#REF!),"NA",IF(OR(G651/#REF!&gt;2,G651/#REF!&lt;0.5),"NM",G651/#REF!*100-100))</f>
        <v>NA</v>
      </c>
      <c r="I651" s="726">
        <f t="shared" si="3016"/>
        <v>12.660944206008582</v>
      </c>
      <c r="J651" s="9" t="str">
        <f>IF(ISERROR(I651/#REF!),"NA",IF(OR(I651/#REF!&gt;2,I651/#REF!&lt;0.5),"NM",I651/#REF!*100-100))</f>
        <v>NA</v>
      </c>
      <c r="K651" s="726">
        <f t="shared" si="3017"/>
        <v>5.6800416883793678</v>
      </c>
      <c r="L651" s="9">
        <f>IF(ISERROR(K651/C651),"NA",IF(OR(K651/C651&gt;2,K651/C651&lt;0.5),"NM",K651/C651*100-100))</f>
        <v>8.3203930020083732</v>
      </c>
      <c r="M651" s="726">
        <f t="shared" si="3019"/>
        <v>7.2251308900523474</v>
      </c>
      <c r="N651" s="9">
        <f t="shared" si="3020"/>
        <v>-11.958669949030963</v>
      </c>
      <c r="O651" s="726">
        <f t="shared" si="3021"/>
        <v>19.989547948784935</v>
      </c>
      <c r="P651" s="9" t="str">
        <f t="shared" si="3020"/>
        <v>NM</v>
      </c>
      <c r="Q651" s="726">
        <f t="shared" si="3022"/>
        <v>10.07231404958679</v>
      </c>
      <c r="R651" s="9">
        <f t="shared" si="3020"/>
        <v>-20.445790726992456</v>
      </c>
      <c r="S651" s="726">
        <f t="shared" si="3023"/>
        <v>8.8770864946889301</v>
      </c>
      <c r="T651" s="9">
        <f t="shared" si="3020"/>
        <v>56.285587002826105</v>
      </c>
      <c r="U651" s="726">
        <f t="shared" si="3024"/>
        <v>9.3336724313326531</v>
      </c>
      <c r="V651" s="9">
        <f t="shared" si="3020"/>
        <v>29.183437274241953</v>
      </c>
      <c r="W651" s="726">
        <f t="shared" si="3025"/>
        <v>27.592402464065707</v>
      </c>
      <c r="X651" s="9">
        <f t="shared" si="3020"/>
        <v>38.03414932023469</v>
      </c>
      <c r="Y651" s="726">
        <f t="shared" si="3025"/>
        <v>7.553865652724971</v>
      </c>
      <c r="Z651" s="9">
        <f t="shared" si="3020"/>
        <v>-25.003672288843461</v>
      </c>
      <c r="AA651" s="726">
        <f t="shared" si="3026"/>
        <v>10.26960784313725</v>
      </c>
      <c r="AB651" s="9">
        <f t="shared" si="3020"/>
        <v>15.686693480810973</v>
      </c>
      <c r="AC651" s="726">
        <f t="shared" si="3026"/>
        <v>9.0509880458648375</v>
      </c>
      <c r="AD651" s="9">
        <f t="shared" si="3027"/>
        <v>-3.0286512361292921</v>
      </c>
      <c r="AE651" s="726">
        <f t="shared" si="3028"/>
        <v>-0.92615769712138463</v>
      </c>
      <c r="AF651" s="9" t="str">
        <f t="shared" si="3027"/>
        <v>NM</v>
      </c>
      <c r="AG651" s="726">
        <f t="shared" si="3028"/>
        <v>8.5637386836310245</v>
      </c>
      <c r="AH651" s="9">
        <f>IF(ISERROR(AG651/Y651),"NA",IF(OR(AG651/Y651&gt;2,AG651/Y651&lt;0.5),"NM",AG651/Y651*100-100))</f>
        <v>13.368956734645579</v>
      </c>
      <c r="AI651" s="726">
        <f t="shared" si="3029"/>
        <v>9.5115681233933138</v>
      </c>
      <c r="AJ651" s="9">
        <f t="shared" si="3030"/>
        <v>-7.3813891564564642</v>
      </c>
      <c r="AK651" s="726">
        <f t="shared" si="3029"/>
        <v>9.4139363174896182</v>
      </c>
      <c r="AL651" s="9">
        <f t="shared" si="3031"/>
        <v>4.0100403379783813</v>
      </c>
      <c r="AM651" s="726">
        <f t="shared" si="3032"/>
        <v>-0.13780431786863176</v>
      </c>
      <c r="AN651" s="9" t="str">
        <f t="shared" si="3033"/>
        <v>NM</v>
      </c>
      <c r="AO651" s="726">
        <f t="shared" si="3032"/>
        <v>11.121344692608798</v>
      </c>
      <c r="AP651" s="9">
        <f t="shared" si="3034"/>
        <v>29.865530739120459</v>
      </c>
      <c r="AQ651" s="726">
        <f t="shared" si="3035"/>
        <v>8.4579783559751274</v>
      </c>
      <c r="AR651" s="9">
        <f t="shared" si="3036"/>
        <v>-11.07693025745067</v>
      </c>
      <c r="AS651" s="726">
        <f t="shared" si="3035"/>
        <v>8.9579783559751398</v>
      </c>
      <c r="AT651" s="9">
        <f t="shared" si="3037"/>
        <v>-4.8434357970680111</v>
      </c>
      <c r="AU651" s="726">
        <f t="shared" si="3035"/>
        <v>9.7079783559751398</v>
      </c>
      <c r="AV651" s="9" t="str">
        <f t="shared" si="3038"/>
        <v>NM</v>
      </c>
      <c r="AW651" s="726">
        <f t="shared" si="3035"/>
        <v>10.207978355975136</v>
      </c>
      <c r="AX651" s="9">
        <f t="shared" si="3039"/>
        <v>-8.2127329192546341</v>
      </c>
      <c r="AY651" s="286"/>
      <c r="AZ651" s="92"/>
      <c r="BA651" s="9" t="str">
        <f>IF(ISERROR(#REF!/#REF!),"NA",IF(OR(#REF!/#REF!&gt;2,#REF!/#REF!&lt;0.5),"NM",#REF!/#REF!*100-100))</f>
        <v>NA</v>
      </c>
      <c r="BB651" s="726">
        <f t="shared" si="3040"/>
        <v>8.6850977747808624</v>
      </c>
      <c r="BC651" s="9" t="str">
        <f>IF(ISERROR(BB651/#REF!),"NA",IF(OR(BB651/#REF!&gt;2,BB651/#REF!&lt;0.5),"NM",BB651/#REF!*100-100))</f>
        <v>NA</v>
      </c>
      <c r="BD651" s="963">
        <f t="shared" si="3040"/>
        <v>10.737774304877261</v>
      </c>
      <c r="BE651" s="9">
        <f t="shared" si="2998"/>
        <v>23.63446656935524</v>
      </c>
      <c r="BF651" s="726">
        <f>+BF630/BF609*100</f>
        <v>13.295606282189846</v>
      </c>
      <c r="BG651" s="9">
        <f t="shared" si="2998"/>
        <v>23.820876698356173</v>
      </c>
      <c r="BH651" s="726">
        <f>+BH630/BH609*100</f>
        <v>6.7831006703154619</v>
      </c>
      <c r="BI651" s="9">
        <f t="shared" si="2998"/>
        <v>-48.982389171663598</v>
      </c>
      <c r="BJ651" s="726">
        <f>+BJ630/BJ609*100</f>
        <v>7.4638937030618164</v>
      </c>
      <c r="BK651" s="9">
        <f t="shared" si="2998"/>
        <v>10.036605172700348</v>
      </c>
      <c r="BL651" s="726">
        <f>+BL630/BL609*100</f>
        <v>9.3404408886166159</v>
      </c>
      <c r="BM651" s="9">
        <f t="shared" si="2998"/>
        <v>25.141665465908318</v>
      </c>
      <c r="BN651" s="726">
        <f>+BN630/BN609*100</f>
        <v>9.4404408886165978</v>
      </c>
      <c r="BO651" s="9">
        <f t="shared" si="2998"/>
        <v>1.0706132739607028</v>
      </c>
      <c r="BP651" s="726">
        <f>+BP630/BP609*100</f>
        <v>9.1404408886166006</v>
      </c>
      <c r="BQ651" s="9">
        <f t="shared" si="2998"/>
        <v>-3.1778176839361407</v>
      </c>
      <c r="BR651" s="726">
        <f>+BR630/BR609*100</f>
        <v>8.9404408886166067</v>
      </c>
      <c r="BS651" s="9">
        <f t="shared" si="2998"/>
        <v>-2.1880782605254012</v>
      </c>
      <c r="BT651" s="726">
        <f>+BT630/BT609*100</f>
        <v>8.7404408886165914</v>
      </c>
      <c r="BU651" s="9">
        <f t="shared" si="3041"/>
        <v>-2.2370261432483147</v>
      </c>
      <c r="BV651" s="43">
        <f>IF(ISERROR(((BT651/BJ651)^0.2-1)*100),"NA",IF((((BT651/BJ651)^0.2-1)*100)&gt;100,"NM",IF((((BT651/BJ651)^0.2-1)*100)&lt;-50,"NM",((BT651/BJ651)^0.2-1)*100)))</f>
        <v>3.2080514798091153</v>
      </c>
      <c r="BW651" s="722"/>
      <c r="BX651" s="722"/>
      <c r="BY651"/>
      <c r="BZ651"/>
      <c r="CA651"/>
      <c r="CB651"/>
      <c r="CC651"/>
      <c r="CD651"/>
    </row>
    <row r="652" spans="1:82" s="2" customFormat="1" ht="12.75" hidden="1" customHeight="1" outlineLevel="1" x14ac:dyDescent="0.2">
      <c r="A652" s="41"/>
      <c r="B652" s="5" t="s">
        <v>29</v>
      </c>
      <c r="C652" s="726"/>
      <c r="D652" s="9"/>
      <c r="E652" s="726"/>
      <c r="F652" s="9"/>
      <c r="G652" s="726"/>
      <c r="H652" s="9"/>
      <c r="I652" s="726"/>
      <c r="J652" s="9"/>
      <c r="K652" s="726"/>
      <c r="L652" s="9"/>
      <c r="M652" s="726"/>
      <c r="N652" s="9"/>
      <c r="O652" s="726"/>
      <c r="P652" s="9"/>
      <c r="Q652" s="726"/>
      <c r="R652" s="9"/>
      <c r="S652" s="726"/>
      <c r="T652" s="9"/>
      <c r="U652" s="726"/>
      <c r="V652" s="9"/>
      <c r="W652" s="726"/>
      <c r="X652" s="9"/>
      <c r="Y652" s="726"/>
      <c r="Z652" s="9"/>
      <c r="AA652" s="726"/>
      <c r="AB652" s="9"/>
      <c r="AC652" s="726"/>
      <c r="AD652" s="9"/>
      <c r="AE652" s="726"/>
      <c r="AF652" s="9"/>
      <c r="AG652" s="726"/>
      <c r="AH652" s="9"/>
      <c r="AI652" s="726"/>
      <c r="AJ652" s="9"/>
      <c r="AK652" s="726"/>
      <c r="AL652" s="9"/>
      <c r="AM652" s="726"/>
      <c r="AN652" s="9"/>
      <c r="AO652" s="726"/>
      <c r="AP652" s="9"/>
      <c r="AQ652" s="726"/>
      <c r="AR652" s="9"/>
      <c r="AS652" s="726"/>
      <c r="AT652" s="9"/>
      <c r="AU652" s="726"/>
      <c r="AV652" s="9"/>
      <c r="AW652" s="726"/>
      <c r="AX652" s="9"/>
      <c r="AY652" s="286"/>
      <c r="AZ652" s="92"/>
      <c r="BA652" s="9"/>
      <c r="BB652" s="726"/>
      <c r="BC652" s="9"/>
      <c r="BD652" s="963"/>
      <c r="BE652" s="9"/>
      <c r="BF652" s="726"/>
      <c r="BG652" s="9"/>
      <c r="BH652" s="726"/>
      <c r="BI652" s="9"/>
      <c r="BJ652" s="726"/>
      <c r="BK652" s="9"/>
      <c r="BL652" s="726"/>
      <c r="BM652" s="9"/>
      <c r="BN652" s="726"/>
      <c r="BO652" s="9"/>
      <c r="BP652" s="726"/>
      <c r="BQ652" s="9"/>
      <c r="BR652" s="726"/>
      <c r="BS652" s="9"/>
      <c r="BT652" s="726"/>
      <c r="BU652" s="9"/>
      <c r="BV652" s="43"/>
      <c r="BW652" s="722"/>
      <c r="BX652" s="722"/>
      <c r="BY652"/>
      <c r="BZ652"/>
      <c r="CA652"/>
      <c r="CB652"/>
      <c r="CC652"/>
      <c r="CD652"/>
    </row>
    <row r="653" spans="1:82" s="2" customFormat="1" ht="12.75" customHeight="1" collapsed="1" x14ac:dyDescent="0.2">
      <c r="A653" s="41"/>
      <c r="B653" s="5" t="s">
        <v>442</v>
      </c>
      <c r="C653" s="726">
        <f>+C632/C611*100</f>
        <v>8.0050188205771597</v>
      </c>
      <c r="D653" s="9" t="str">
        <f>IF(ISERROR(C653/#REF!),"NA",IF(OR(C653/#REF!&gt;2,C653/#REF!&lt;0.5),"NM",C653/#REF!*100-100))</f>
        <v>NA</v>
      </c>
      <c r="E653" s="726">
        <f>+E632/E611*100</f>
        <v>9.7506788447296966</v>
      </c>
      <c r="F653" s="9" t="str">
        <f>IF(ISERROR(E653/#REF!),"NA",IF(OR(E653/#REF!&gt;2,E653/#REF!&lt;0.5),"NM",E653/#REF!*100-100))</f>
        <v>NA</v>
      </c>
      <c r="G653" s="726">
        <f>+G632/G611*100</f>
        <v>12.024691358024702</v>
      </c>
      <c r="H653" s="9" t="str">
        <f>IF(ISERROR(G653/#REF!),"NA",IF(OR(G653/#REF!&gt;2,G653/#REF!&lt;0.5),"NM",G653/#REF!*100-100))</f>
        <v>NA</v>
      </c>
      <c r="I653" s="726">
        <f>+I632/I611*100</f>
        <v>10.04819277108432</v>
      </c>
      <c r="J653" s="9" t="str">
        <f>IF(ISERROR(I653/#REF!),"NA",IF(OR(I653/#REF!&gt;2,I653/#REF!&lt;0.5),"NM",I653/#REF!*100-100))</f>
        <v>NA</v>
      </c>
      <c r="K653" s="726">
        <f>+K632/K611*100</f>
        <v>9.7242035187827121</v>
      </c>
      <c r="L653" s="9">
        <f>IF(ISERROR(K653/C653),"NA",IF(OR(K653/C653&gt;2,K653/C653&lt;0.5),"NM",K653/C653*100-100))</f>
        <v>21.476335493257466</v>
      </c>
      <c r="M653" s="726">
        <f>+M632/M611*100</f>
        <v>10.616996507566943</v>
      </c>
      <c r="N653" s="9">
        <f t="shared" ref="N653:AB653" si="3042">IF(ISERROR(M653/E653),"NA",IF(OR(M653/E653&gt;2,M653/E653&lt;0.5),"NM",M653/E653*100-100))</f>
        <v>8.8846907649460434</v>
      </c>
      <c r="O653" s="726">
        <f>+O632/O611*100</f>
        <v>11.088295687885015</v>
      </c>
      <c r="P653" s="9">
        <f t="shared" si="3042"/>
        <v>-7.7872740535230491</v>
      </c>
      <c r="Q653" s="726">
        <f>+Q632/Q611*100</f>
        <v>10.052427627080004</v>
      </c>
      <c r="R653" s="9">
        <f t="shared" si="3042"/>
        <v>4.2145449357519738E-2</v>
      </c>
      <c r="S653" s="726">
        <f>+S632/S611*100</f>
        <v>10.036457216384315</v>
      </c>
      <c r="T653" s="9">
        <f t="shared" si="3042"/>
        <v>3.2110979269250493</v>
      </c>
      <c r="U653" s="726">
        <f>+U632/U611*100</f>
        <v>11.060899505057034</v>
      </c>
      <c r="V653" s="9">
        <f t="shared" si="3042"/>
        <v>4.1810600311840744</v>
      </c>
      <c r="W653" s="726">
        <f>+W632/W611*100</f>
        <v>14.106988783433987</v>
      </c>
      <c r="X653" s="9">
        <f t="shared" si="3042"/>
        <v>27.224139583932399</v>
      </c>
      <c r="Y653" s="726">
        <f>+Y632/Y611*100</f>
        <v>11.995776135163677</v>
      </c>
      <c r="Z653" s="9">
        <f t="shared" si="3042"/>
        <v>19.332131303771163</v>
      </c>
      <c r="AA653" s="726">
        <f>+AA632/AA611*100</f>
        <v>7.9933733692275775</v>
      </c>
      <c r="AB653" s="9">
        <f t="shared" si="3042"/>
        <v>-20.356623887375761</v>
      </c>
      <c r="AC653" s="726">
        <f>+AC632/AC611*100</f>
        <v>13.348052990766782</v>
      </c>
      <c r="AD653" s="9">
        <f t="shared" ref="AD653:AF653" si="3043">IF(ISERROR(AC653/U653),"NA",IF(OR(AC653/U653&gt;2,AC653/U653&lt;0.5),"NM",AC653/U653*100-100))</f>
        <v>20.677825385395309</v>
      </c>
      <c r="AE653" s="726">
        <f>+AE632/AE611*100</f>
        <v>14.464670189861046</v>
      </c>
      <c r="AF653" s="9">
        <f t="shared" si="3043"/>
        <v>2.5354908259875373</v>
      </c>
      <c r="AG653" s="726">
        <f>+AG632/AG611*100</f>
        <v>13.842895648825564</v>
      </c>
      <c r="AH653" s="9">
        <f>IF(ISERROR(AG653/Y653),"NA",IF(OR(AG653/Y653&gt;2,AG653/Y653&lt;0.5),"NM",AG653/Y653*100-100))</f>
        <v>15.398082565473658</v>
      </c>
      <c r="AI653" s="726">
        <f>+AI632/AI611*100</f>
        <v>8.6092715231788084</v>
      </c>
      <c r="AJ653" s="9">
        <f t="shared" ref="AJ653" si="3044">IF(ISERROR(AI653/AA653),"NA",IF(OR(AI653/AA653&gt;2,AI653/AA653&lt;0.5),"NM",AI653/AA653*100-100))</f>
        <v>7.705109288680049</v>
      </c>
      <c r="AK653" s="726">
        <f>+AK632/AK611*100</f>
        <v>11.83696259073143</v>
      </c>
      <c r="AL653" s="9">
        <f t="shared" ref="AL653" si="3045">IF(ISERROR(AK653/AC653),"NA",IF(OR(AK653/AC653&gt;2,AK653/AC653&lt;0.5),"NM",AK653/AC653*100-100))</f>
        <v>-11.320680260114457</v>
      </c>
      <c r="AM653" s="726">
        <f>+AM632/AM611*100</f>
        <v>15.233593892019634</v>
      </c>
      <c r="AN653" s="9">
        <f t="shared" ref="AN653" si="3046">IF(ISERROR(AM653/AE653),"NA",IF(OR(AM653/AE653&gt;2,AM653/AE653&lt;0.5),"NM",AM653/AE653*100-100))</f>
        <v>5.3158744172235686</v>
      </c>
      <c r="AO653" s="726">
        <f>+AO632/AO611*100</f>
        <v>11.261018168735367</v>
      </c>
      <c r="AP653" s="9">
        <f t="shared" ref="AP653" si="3047">IF(ISERROR(AO653/AG653),"NA",IF(OR(AO653/AG653&gt;2,AO653/AG653&lt;0.5),"NM",AO653/AG653*100-100))</f>
        <v>-18.651281824184267</v>
      </c>
      <c r="AQ653" s="726">
        <f t="shared" ref="AQ653:AW653" si="3048">+AQ632/AQ611*100</f>
        <v>10.012790304837919</v>
      </c>
      <c r="AR653" s="9">
        <f t="shared" ref="AR653" si="3049">IF(ISERROR(AQ653/AI653),"NA",IF(OR(AQ653/AI653&gt;2,AQ653/AI653&lt;0.5),"NM",AQ653/AI653*100-100))</f>
        <v>16.302410463886588</v>
      </c>
      <c r="AS653" s="726">
        <f t="shared" si="3048"/>
        <v>11.466930690830806</v>
      </c>
      <c r="AT653" s="9">
        <f t="shared" ref="AT653" si="3050">IF(ISERROR(AS653/AK653),"NA",IF(OR(AS653/AK653&gt;2,AS653/AK653&lt;0.5),"NM",AS653/AK653*100-100))</f>
        <v>-3.1260713807642446</v>
      </c>
      <c r="AU653" s="726">
        <f t="shared" si="3048"/>
        <v>12.815837788667906</v>
      </c>
      <c r="AV653" s="9">
        <f t="shared" ref="AV653" si="3051">IF(ISERROR(AU653/AM653),"NA",IF(OR(AU653/AM653&gt;2,AU653/AM653&lt;0.5),"NM",AU653/AM653*100-100))</f>
        <v>-15.871212797777872</v>
      </c>
      <c r="AW653" s="726">
        <f t="shared" si="3048"/>
        <v>13.494489215564148</v>
      </c>
      <c r="AX653" s="9">
        <f t="shared" ref="AX653" si="3052">IF(ISERROR(AW653/AO653),"NA",IF(OR(AW653/AO653&gt;2,AW653/AO653&lt;0.5),"NM",AW653/AO653*100-100))</f>
        <v>19.833651037254313</v>
      </c>
      <c r="AY653" s="286"/>
      <c r="AZ653" s="92"/>
      <c r="BA653" s="9" t="str">
        <f>IF(ISERROR(#REF!/#REF!),"NA",IF(OR(#REF!/#REF!&gt;2,#REF!/#REF!&lt;0.5),"NM",#REF!/#REF!*100-100))</f>
        <v>NA</v>
      </c>
      <c r="BB653" s="726">
        <f t="shared" ref="BB653:BD653" si="3053">+BB632/BB611*100</f>
        <v>9.9655087459965355</v>
      </c>
      <c r="BC653" s="9" t="str">
        <f>IF(ISERROR(BB653/#REF!),"NA",IF(OR(BB653/#REF!&gt;2,BB653/#REF!&lt;0.5),"NM",BB653/#REF!*100-100))</f>
        <v>NA</v>
      </c>
      <c r="BD653" s="963">
        <f t="shared" si="3053"/>
        <v>10.375774419547207</v>
      </c>
      <c r="BE653" s="9">
        <f t="shared" si="2998"/>
        <v>4.1168562891030263</v>
      </c>
      <c r="BF653" s="726">
        <f>+BF632/BF611*100</f>
        <v>11.798083614367554</v>
      </c>
      <c r="BG653" s="9">
        <f t="shared" si="2998"/>
        <v>13.707981084677584</v>
      </c>
      <c r="BH653" s="726">
        <f>+BH632/BH611*100</f>
        <v>12.473898776971268</v>
      </c>
      <c r="BI653" s="9">
        <f t="shared" si="2998"/>
        <v>5.7281774285843738</v>
      </c>
      <c r="BJ653" s="726">
        <f>+BJ632/BJ611*100</f>
        <v>11.764435030849967</v>
      </c>
      <c r="BK653" s="9">
        <f t="shared" si="2998"/>
        <v>-5.6875862054539112</v>
      </c>
      <c r="BL653" s="726">
        <f>+BL632/BL611*100</f>
        <v>11.973979736361049</v>
      </c>
      <c r="BM653" s="9">
        <f t="shared" si="2998"/>
        <v>1.7811710036358903</v>
      </c>
      <c r="BN653" s="726">
        <f>+BN632/BN611*100</f>
        <v>11.794860342593299</v>
      </c>
      <c r="BO653" s="9">
        <f t="shared" si="2998"/>
        <v>-1.4959052688541163</v>
      </c>
      <c r="BP653" s="726">
        <f>+BP632/BP611*100</f>
        <v>11.430167103910406</v>
      </c>
      <c r="BQ653" s="9">
        <f t="shared" si="2998"/>
        <v>-3.0919674170784504</v>
      </c>
      <c r="BR653" s="726">
        <f>+BR632/BR611*100</f>
        <v>11.066165049394252</v>
      </c>
      <c r="BS653" s="9">
        <f t="shared" si="2998"/>
        <v>-3.1845733418160052</v>
      </c>
      <c r="BT653" s="726">
        <f>+BT632/BT611*100</f>
        <v>10.702851966166433</v>
      </c>
      <c r="BU653" s="9">
        <f t="shared" ref="BU653" si="3054">IF(ISERROR(BT653/BR653),"NA",IF(OR(BT653/BR653&gt;2,BT653/BR653&lt;0.5),"NM",BT653/BR653*100-100))</f>
        <v>-3.2830983597854981</v>
      </c>
      <c r="BV653" s="43">
        <f>IF(ISERROR(((BT653/BJ653)^0.2-1)*100),"NA",IF((((BT653/BJ653)^0.2-1)*100)&gt;100,"NM",IF((((BT653/BJ653)^0.2-1)*100)&lt;-50,"NM",((BT653/BJ653)^0.2-1)*100)))</f>
        <v>-1.8736400874803771</v>
      </c>
      <c r="BW653" s="722"/>
      <c r="BX653" s="722"/>
      <c r="BY653"/>
      <c r="BZ653"/>
      <c r="CA653"/>
      <c r="CB653"/>
      <c r="CC653"/>
      <c r="CD653"/>
    </row>
    <row r="654" spans="1:82" s="2" customFormat="1" ht="12.75" hidden="1" customHeight="1" outlineLevel="1" x14ac:dyDescent="0.2">
      <c r="A654" s="41"/>
      <c r="B654" s="42" t="s">
        <v>268</v>
      </c>
      <c r="C654" s="703"/>
      <c r="D654" s="9"/>
      <c r="E654" s="703"/>
      <c r="F654" s="9"/>
      <c r="G654" s="703"/>
      <c r="H654" s="9"/>
      <c r="I654" s="703"/>
      <c r="J654" s="9"/>
      <c r="K654" s="703"/>
      <c r="L654" s="9"/>
      <c r="M654" s="703"/>
      <c r="N654" s="9"/>
      <c r="O654" s="703"/>
      <c r="P654" s="9"/>
      <c r="Q654" s="703"/>
      <c r="R654" s="9"/>
      <c r="S654" s="703"/>
      <c r="T654" s="9"/>
      <c r="U654" s="703"/>
      <c r="V654" s="9"/>
      <c r="W654" s="703"/>
      <c r="X654" s="9"/>
      <c r="Y654" s="703"/>
      <c r="Z654" s="9"/>
      <c r="AA654" s="703"/>
      <c r="AB654" s="9"/>
      <c r="AC654" s="703"/>
      <c r="AD654" s="9"/>
      <c r="AE654" s="703"/>
      <c r="AF654" s="9"/>
      <c r="AG654" s="703"/>
      <c r="AH654" s="9"/>
      <c r="AI654" s="703"/>
      <c r="AJ654" s="9"/>
      <c r="AK654" s="703"/>
      <c r="AL654" s="9"/>
      <c r="AM654" s="703"/>
      <c r="AN654" s="9"/>
      <c r="AO654" s="703"/>
      <c r="AP654" s="9"/>
      <c r="AQ654" s="703"/>
      <c r="AR654" s="9"/>
      <c r="AS654" s="703"/>
      <c r="AT654" s="9"/>
      <c r="AU654" s="703"/>
      <c r="AV654" s="9"/>
      <c r="AW654" s="703"/>
      <c r="AX654" s="9"/>
      <c r="AY654" s="279"/>
      <c r="AZ654" s="15"/>
      <c r="BA654" s="9"/>
      <c r="BB654" s="703"/>
      <c r="BC654" s="9"/>
      <c r="BD654" s="964"/>
      <c r="BE654" s="9"/>
      <c r="BF654" s="703"/>
      <c r="BG654" s="9"/>
      <c r="BH654" s="703"/>
      <c r="BI654" s="9"/>
      <c r="BJ654" s="703"/>
      <c r="BK654" s="9"/>
      <c r="BL654" s="703"/>
      <c r="BM654" s="9"/>
      <c r="BN654" s="703"/>
      <c r="BO654" s="9"/>
      <c r="BP654" s="703"/>
      <c r="BQ654" s="9"/>
      <c r="BR654" s="703"/>
      <c r="BS654" s="9"/>
      <c r="BT654" s="703"/>
      <c r="BU654" s="9"/>
      <c r="BV654" s="43"/>
      <c r="BW654" s="722"/>
      <c r="BX654" s="722"/>
      <c r="BY654"/>
      <c r="BZ654"/>
      <c r="CA654"/>
      <c r="CB654"/>
      <c r="CC654"/>
      <c r="CD654"/>
    </row>
    <row r="655" spans="1:82" s="2" customFormat="1" ht="12.75" customHeight="1" collapsed="1" x14ac:dyDescent="0.2">
      <c r="A655" s="42"/>
      <c r="B655" s="5" t="s">
        <v>324</v>
      </c>
      <c r="C655" s="725" t="str">
        <f>IF(C633/C612*100&gt;200,"NM",(IF(C633/C612*100&lt;-200,"NM",C633/C612*100)))</f>
        <v>NM</v>
      </c>
      <c r="D655" s="9" t="str">
        <f>IF(ISERROR(C655/#REF!),"NA",IF(OR(C655/#REF!&gt;2,C655/#REF!&lt;0.5),"NM",C655/#REF!*100-100))</f>
        <v>NA</v>
      </c>
      <c r="E655" s="725" t="str">
        <f>IF(E633/E612*100&gt;200,"NM",(IF(E633/E612*100&lt;-200,"NM",E633/E612*100)))</f>
        <v>NM</v>
      </c>
      <c r="F655" s="9" t="str">
        <f>IF(ISERROR(E655/#REF!),"NA",IF(OR(E655/#REF!&gt;2,E655/#REF!&lt;0.5),"NM",E655/#REF!*100-100))</f>
        <v>NA</v>
      </c>
      <c r="G655" s="725" t="str">
        <f>IF(G633/G612*100&gt;200,"NM",(IF(G633/G612*100&lt;-200,"NM",G633/G612*100)))</f>
        <v>NM</v>
      </c>
      <c r="H655" s="9" t="str">
        <f>IF(ISERROR(G655/#REF!),"NA",IF(OR(G655/#REF!&gt;2,G655/#REF!&lt;0.5),"NM",G655/#REF!*100-100))</f>
        <v>NA</v>
      </c>
      <c r="I655" s="725" t="str">
        <f>IF(I633/I612*100&gt;200,"NM",(IF(I633/I612*100&lt;-200,"NM",I633/I612*100)))</f>
        <v>NM</v>
      </c>
      <c r="J655" s="9" t="str">
        <f>IF(ISERROR(I655/#REF!),"NA",IF(OR(I655/#REF!&gt;2,I655/#REF!&lt;0.5),"NM",I655/#REF!*100-100))</f>
        <v>NA</v>
      </c>
      <c r="K655" s="725" t="str">
        <f>IF(K633/K612*100&gt;200,"NM",(IF(K633/K612*100&lt;-200,"NM",K633/K612*100)))</f>
        <v>NM</v>
      </c>
      <c r="L655" s="9" t="str">
        <f>IF(ISERROR(K655/C655),"NA",IF(OR(K655/C655&gt;2,K655/C655&lt;0.5),"NM",K655/C655*100-100))</f>
        <v>NA</v>
      </c>
      <c r="M655" s="725" t="str">
        <f>IF(M633/M612*100&gt;200,"NM",(IF(M633/M612*100&lt;-200,"NM",M633/M612*100)))</f>
        <v>NM</v>
      </c>
      <c r="N655" s="9" t="str">
        <f t="shared" ref="N655:AB656" si="3055">IF(ISERROR(M655/E655),"NA",IF(OR(M655/E655&gt;2,M655/E655&lt;0.5),"NM",M655/E655*100-100))</f>
        <v>NA</v>
      </c>
      <c r="O655" s="725" t="str">
        <f>IF(O633/O612*100&gt;200,"NM",(IF(O633/O612*100&lt;-200,"NM",O633/O612*100)))</f>
        <v>NM</v>
      </c>
      <c r="P655" s="9" t="str">
        <f t="shared" si="3055"/>
        <v>NA</v>
      </c>
      <c r="Q655" s="725" t="str">
        <f>IF(Q633/Q612*100&gt;200,"NM",(IF(Q633/Q612*100&lt;-200,"NM",Q633/Q612*100)))</f>
        <v>NM</v>
      </c>
      <c r="R655" s="9" t="str">
        <f t="shared" si="3055"/>
        <v>NA</v>
      </c>
      <c r="S655" s="725" t="str">
        <f>IF(S633/S612*100&gt;200,"NM",(IF(S633/S612*100&lt;-200,"NM",S633/S612*100)))</f>
        <v>NM</v>
      </c>
      <c r="T655" s="9" t="str">
        <f t="shared" si="3055"/>
        <v>NA</v>
      </c>
      <c r="U655" s="725" t="str">
        <f>IF(U633/U612*100&gt;200,"NM",(IF(U633/U612*100&lt;-200,"NM",U633/U612*100)))</f>
        <v>NM</v>
      </c>
      <c r="V655" s="9" t="str">
        <f t="shared" si="3055"/>
        <v>NA</v>
      </c>
      <c r="W655" s="725" t="str">
        <f>IF(W633/W612*100&gt;200,"NM",(IF(W633/W612*100&lt;-200,"NM",W633/W612*100)))</f>
        <v>NM</v>
      </c>
      <c r="X655" s="9" t="str">
        <f t="shared" si="3055"/>
        <v>NA</v>
      </c>
      <c r="Y655" s="725" t="str">
        <f>IF(Y633/Y612*100&gt;200,"NM",(IF(Y633/Y612*100&lt;-200,"NM",Y633/Y612*100)))</f>
        <v>NM</v>
      </c>
      <c r="Z655" s="9" t="str">
        <f t="shared" si="3055"/>
        <v>NA</v>
      </c>
      <c r="AA655" s="725" t="str">
        <f>IF(AA633/AA612*100&gt;200,"NM",(IF(AA633/AA612*100&lt;-200,"NM",AA633/AA612*100)))</f>
        <v>NM</v>
      </c>
      <c r="AB655" s="9" t="str">
        <f t="shared" si="3055"/>
        <v>NA</v>
      </c>
      <c r="AC655" s="725" t="str">
        <f>IF(AC633/AC612*100&gt;200,"NM",(IF(AC633/AC612*100&lt;-200,"NM",AC633/AC612*100)))</f>
        <v>NM</v>
      </c>
      <c r="AD655" s="9" t="str">
        <f t="shared" ref="AD655:AF656" si="3056">IF(ISERROR(AC655/U655),"NA",IF(OR(AC655/U655&gt;2,AC655/U655&lt;0.5),"NM",AC655/U655*100-100))</f>
        <v>NA</v>
      </c>
      <c r="AE655" s="725" t="str">
        <f>IF(AE633/AE612*100&gt;200,"NM",(IF(AE633/AE612*100&lt;-200,"NM",AE633/AE612*100)))</f>
        <v>NM</v>
      </c>
      <c r="AF655" s="9" t="str">
        <f t="shared" si="3056"/>
        <v>NA</v>
      </c>
      <c r="AG655" s="725" t="str">
        <f>IF(AG633/AG612*100&gt;200,"NM",(IF(AG633/AG612*100&lt;-200,"NM",AG633/AG612*100)))</f>
        <v>NM</v>
      </c>
      <c r="AH655" s="9" t="str">
        <f>IF(ISERROR(AG655/Y655),"NA",IF(OR(AG655/Y655&gt;2,AG655/Y655&lt;0.5),"NM",AG655/Y655*100-100))</f>
        <v>NA</v>
      </c>
      <c r="AI655" s="725" t="str">
        <f>IF(AI633/AI612*100&gt;200,"NM",(IF(AI633/AI612*100&lt;-200,"NM",AI633/AI612*100)))</f>
        <v>NM</v>
      </c>
      <c r="AJ655" s="9" t="str">
        <f t="shared" ref="AJ655:AJ656" si="3057">IF(ISERROR(AI655/AA655),"NA",IF(OR(AI655/AA655&gt;2,AI655/AA655&lt;0.5),"NM",AI655/AA655*100-100))</f>
        <v>NA</v>
      </c>
      <c r="AK655" s="725" t="str">
        <f>IF(AK633/AK612*100&gt;200,"NM",(IF(AK633/AK612*100&lt;-200,"NM",AK633/AK612*100)))</f>
        <v>NM</v>
      </c>
      <c r="AL655" s="9" t="str">
        <f t="shared" ref="AL655:AL656" si="3058">IF(ISERROR(AK655/AC655),"NA",IF(OR(AK655/AC655&gt;2,AK655/AC655&lt;0.5),"NM",AK655/AC655*100-100))</f>
        <v>NA</v>
      </c>
      <c r="AM655" s="725" t="str">
        <f>IF(AM633/AM612*100&gt;200,"NM",(IF(AM633/AM612*100&lt;-200,"NM",AM633/AM612*100)))</f>
        <v>NM</v>
      </c>
      <c r="AN655" s="9" t="str">
        <f t="shared" ref="AN655:AN656" si="3059">IF(ISERROR(AM655/AE655),"NA",IF(OR(AM655/AE655&gt;2,AM655/AE655&lt;0.5),"NM",AM655/AE655*100-100))</f>
        <v>NA</v>
      </c>
      <c r="AO655" s="725" t="str">
        <f>IF(AO633/AO612*100&gt;200,"NM",(IF(AO633/AO612*100&lt;-200,"NM",AO633/AO612*100)))</f>
        <v>NM</v>
      </c>
      <c r="AP655" s="9" t="str">
        <f t="shared" ref="AP655:AP656" si="3060">IF(ISERROR(AO655/AG655),"NA",IF(OR(AO655/AG655&gt;2,AO655/AG655&lt;0.5),"NM",AO655/AG655*100-100))</f>
        <v>NA</v>
      </c>
      <c r="AQ655" s="725" t="str">
        <f t="shared" ref="AQ655:AW655" si="3061">IF(AQ633/AQ612*100&gt;200,"NM",(IF(AQ633/AQ612*100&lt;-200,"NM",AQ633/AQ612*100)))</f>
        <v>NM</v>
      </c>
      <c r="AR655" s="9" t="str">
        <f t="shared" ref="AR655:AR656" si="3062">IF(ISERROR(AQ655/AI655),"NA",IF(OR(AQ655/AI655&gt;2,AQ655/AI655&lt;0.5),"NM",AQ655/AI655*100-100))</f>
        <v>NA</v>
      </c>
      <c r="AS655" s="725" t="str">
        <f t="shared" si="3061"/>
        <v>NM</v>
      </c>
      <c r="AT655" s="9" t="str">
        <f t="shared" ref="AT655:AT656" si="3063">IF(ISERROR(AS655/AK655),"NA",IF(OR(AS655/AK655&gt;2,AS655/AK655&lt;0.5),"NM",AS655/AK655*100-100))</f>
        <v>NA</v>
      </c>
      <c r="AU655" s="725" t="str">
        <f t="shared" si="3061"/>
        <v>NM</v>
      </c>
      <c r="AV655" s="9" t="str">
        <f t="shared" ref="AV655:AV656" si="3064">IF(ISERROR(AU655/AM655),"NA",IF(OR(AU655/AM655&gt;2,AU655/AM655&lt;0.5),"NM",AU655/AM655*100-100))</f>
        <v>NA</v>
      </c>
      <c r="AW655" s="725" t="str">
        <f t="shared" si="3061"/>
        <v>NM</v>
      </c>
      <c r="AX655" s="9" t="str">
        <f t="shared" ref="AX655:AX656" si="3065">IF(ISERROR(AW655/AO655),"NA",IF(OR(AW655/AO655&gt;2,AW655/AO655&lt;0.5),"NM",AW655/AO655*100-100))</f>
        <v>NA</v>
      </c>
      <c r="AY655" s="279"/>
      <c r="AZ655" s="15"/>
      <c r="BA655" s="9" t="str">
        <f>IF(ISERROR(#REF!/#REF!),"NA",IF(OR(#REF!/#REF!&gt;2,#REF!/#REF!&lt;0.5),"NM",#REF!/#REF!*100-100))</f>
        <v>NA</v>
      </c>
      <c r="BB655" s="725" t="str">
        <f t="shared" ref="BB655:BD655" si="3066">IF(BB633/BB612*100&gt;200,"NM",(IF(BB633/BB612*100&lt;-200,"NM",BB633/BB612*100)))</f>
        <v>NM</v>
      </c>
      <c r="BC655" s="9" t="str">
        <f>IF(ISERROR(BB655/#REF!),"NA",IF(OR(BB655/#REF!&gt;2,BB655/#REF!&lt;0.5),"NM",BB655/#REF!*100-100))</f>
        <v>NA</v>
      </c>
      <c r="BD655" s="961" t="str">
        <f t="shared" si="3066"/>
        <v>NM</v>
      </c>
      <c r="BE655" s="9" t="str">
        <f t="shared" si="2998"/>
        <v>NA</v>
      </c>
      <c r="BF655" s="725" t="str">
        <f>IF(BF633/BF612*100&gt;200,"NM",(IF(BF633/BF612*100&lt;-200,"NM",BF633/BF612*100)))</f>
        <v>NM</v>
      </c>
      <c r="BG655" s="9" t="str">
        <f t="shared" si="2998"/>
        <v>NA</v>
      </c>
      <c r="BH655" s="725" t="str">
        <f>IF(BH633/BH612*100&gt;200,"NM",(IF(BH633/BH612*100&lt;-200,"NM",BH633/BH612*100)))</f>
        <v>NM</v>
      </c>
      <c r="BI655" s="9" t="str">
        <f t="shared" si="2998"/>
        <v>NA</v>
      </c>
      <c r="BJ655" s="725" t="str">
        <f>IF(BJ633/BJ612*100&gt;200,"NM",(IF(BJ633/BJ612*100&lt;-200,"NM",BJ633/BJ612*100)))</f>
        <v>NM</v>
      </c>
      <c r="BK655" s="9" t="str">
        <f t="shared" si="2998"/>
        <v>NA</v>
      </c>
      <c r="BL655" s="725" t="str">
        <f>IF(BL633/BL612*100&gt;200,"NM",(IF(BL633/BL612*100&lt;-200,"NM",BL633/BL612*100)))</f>
        <v>NM</v>
      </c>
      <c r="BM655" s="9" t="str">
        <f t="shared" si="2998"/>
        <v>NA</v>
      </c>
      <c r="BN655" s="725" t="str">
        <f>IF(BN633/BN612*100&gt;200,"NM",(IF(BN633/BN612*100&lt;-200,"NM",BN633/BN612*100)))</f>
        <v>NM</v>
      </c>
      <c r="BO655" s="9" t="str">
        <f t="shared" si="2998"/>
        <v>NA</v>
      </c>
      <c r="BP655" s="725" t="str">
        <f>IF(BP633/BP612*100&gt;200,"NM",(IF(BP633/BP612*100&lt;-200,"NM",BP633/BP612*100)))</f>
        <v>NM</v>
      </c>
      <c r="BQ655" s="9" t="str">
        <f t="shared" si="2998"/>
        <v>NA</v>
      </c>
      <c r="BR655" s="725" t="str">
        <f>IF(BR633/BR612*100&gt;200,"NM",(IF(BR633/BR612*100&lt;-200,"NM",BR633/BR612*100)))</f>
        <v>NM</v>
      </c>
      <c r="BS655" s="9" t="str">
        <f t="shared" si="2998"/>
        <v>NA</v>
      </c>
      <c r="BT655" s="725" t="str">
        <f>IF(BT633/BT612*100&gt;200,"NM",(IF(BT633/BT612*100&lt;-200,"NM",BT633/BT612*100)))</f>
        <v>NM</v>
      </c>
      <c r="BU655" s="9" t="str">
        <f t="shared" ref="BU655:BU656" si="3067">IF(ISERROR(BT655/BR655),"NA",IF(OR(BT655/BR655&gt;2,BT655/BR655&lt;0.5),"NM",BT655/BR655*100-100))</f>
        <v>NA</v>
      </c>
      <c r="BV655" s="43" t="str">
        <f>IF(ISERROR(((BT655/BJ655)^0.2-1)*100),"NA",IF((((BT655/BJ655)^0.2-1)*100)&gt;100,"NM",IF((((BT655/BJ655)^0.2-1)*100)&lt;-50,"NM",((BT655/BJ655)^0.2-1)*100)))</f>
        <v>NA</v>
      </c>
      <c r="BW655" s="722"/>
      <c r="BX655" s="722"/>
      <c r="BY655"/>
      <c r="BZ655"/>
      <c r="CA655"/>
      <c r="CB655"/>
      <c r="CC655"/>
      <c r="CD655"/>
    </row>
    <row r="656" spans="1:82" s="2" customFormat="1" ht="12.75" customHeight="1" x14ac:dyDescent="0.2">
      <c r="A656" s="41" t="s">
        <v>460</v>
      </c>
      <c r="B656" s="80" t="s">
        <v>326</v>
      </c>
      <c r="C656" s="724">
        <f>+C634/C613*100</f>
        <v>13.985082578582849</v>
      </c>
      <c r="D656" s="9"/>
      <c r="E656" s="724">
        <f>+E634/E613*100</f>
        <v>15.756871854432832</v>
      </c>
      <c r="F656" s="9" t="str">
        <f>IF(ISERROR(E656/#REF!),"NA",IF(OR(E656/#REF!&gt;2,E656/#REF!&lt;0.5),"NM",E656/#REF!*100-100))</f>
        <v>NA</v>
      </c>
      <c r="G656" s="724">
        <f>+G634/G613*100</f>
        <v>15.467548644817672</v>
      </c>
      <c r="H656" s="9" t="str">
        <f>IF(ISERROR(G656/#REF!),"NA",IF(OR(G656/#REF!&gt;2,G656/#REF!&lt;0.5),"NM",G656/#REF!*100-100))</f>
        <v>NA</v>
      </c>
      <c r="I656" s="724">
        <f>+I634/I613*100</f>
        <v>14.257699012202202</v>
      </c>
      <c r="J656" s="9" t="str">
        <f>IF(ISERROR(I656/#REF!),"NA",IF(OR(I656/#REF!&gt;2,I656/#REF!&lt;0.5),"NM",I656/#REF!*100-100))</f>
        <v>NA</v>
      </c>
      <c r="K656" s="724">
        <f>+K634/K613*100</f>
        <v>15.954608799522202</v>
      </c>
      <c r="L656" s="9">
        <f>IF(ISERROR(K656/C656),"NA",IF(OR(K656/C656&gt;2,K656/C656&lt;0.5),"NM",K656/C656*100-100))</f>
        <v>14.083050349345385</v>
      </c>
      <c r="M656" s="724">
        <f>+M634/M613*100</f>
        <v>17.01345431789737</v>
      </c>
      <c r="N656" s="9">
        <f t="shared" si="3055"/>
        <v>7.9748218750095816</v>
      </c>
      <c r="O656" s="724">
        <f>+O634/O613*100</f>
        <v>18.603926456840146</v>
      </c>
      <c r="P656" s="9">
        <f t="shared" si="3055"/>
        <v>20.277148525880364</v>
      </c>
      <c r="Q656" s="724">
        <f>+Q634/Q613*100</f>
        <v>13.78661017519083</v>
      </c>
      <c r="R656" s="9">
        <f t="shared" si="3055"/>
        <v>-3.3041014304496059</v>
      </c>
      <c r="S656" s="724">
        <f>+S634/S613*100</f>
        <v>16.446545795561107</v>
      </c>
      <c r="T656" s="9">
        <f t="shared" si="3055"/>
        <v>3.0833535451752141</v>
      </c>
      <c r="U656" s="724">
        <f>+U634/U613*100</f>
        <v>12.557745161101689</v>
      </c>
      <c r="V656" s="9">
        <f t="shared" si="3055"/>
        <v>-26.189326832402756</v>
      </c>
      <c r="W656" s="724">
        <f>+W634/W613*100</f>
        <v>12.270769230769231</v>
      </c>
      <c r="X656" s="9">
        <f t="shared" si="3055"/>
        <v>-34.042046128076308</v>
      </c>
      <c r="Y656" s="724">
        <f>+Y634/Y613*100</f>
        <v>13.413326878522774</v>
      </c>
      <c r="Z656" s="9">
        <f t="shared" si="3055"/>
        <v>-2.7075785267344656</v>
      </c>
      <c r="AA656" s="724">
        <f>+AA634/AA613*100</f>
        <v>12.127710269239932</v>
      </c>
      <c r="AB656" s="9">
        <f t="shared" si="3055"/>
        <v>-26.259833402141027</v>
      </c>
      <c r="AC656" s="724">
        <f>+AC634/AC613*100</f>
        <v>14.206642066420663</v>
      </c>
      <c r="AD656" s="9">
        <f t="shared" si="3056"/>
        <v>13.130517335441112</v>
      </c>
      <c r="AE656" s="724">
        <f>+AE634/AE613*100</f>
        <v>14.795338260375217</v>
      </c>
      <c r="AF656" s="9">
        <f t="shared" si="3056"/>
        <v>20.573844900249384</v>
      </c>
      <c r="AG656" s="724">
        <f>+AG634/AG613*100</f>
        <v>12.9344650062613</v>
      </c>
      <c r="AH656" s="9">
        <f>IF(ISERROR(AG656/Y656),"NA",IF(OR(AG656/Y656&gt;2,AG656/Y656&lt;0.5),"NM",AG656/Y656*100-100))</f>
        <v>-3.5700454972749469</v>
      </c>
      <c r="AI656" s="724">
        <f>+AI634/AI613*100</f>
        <v>15.228524495120302</v>
      </c>
      <c r="AJ656" s="9">
        <f t="shared" si="3057"/>
        <v>25.568010424400626</v>
      </c>
      <c r="AK656" s="724">
        <f>+AK634/AK613*100</f>
        <v>14.94138264442833</v>
      </c>
      <c r="AL656" s="9">
        <f t="shared" si="3058"/>
        <v>5.1718103023396793</v>
      </c>
      <c r="AM656" s="724">
        <f>+AM634/AM613*100</f>
        <v>11.384545774470871</v>
      </c>
      <c r="AN656" s="9">
        <f t="shared" si="3059"/>
        <v>-23.053156513758864</v>
      </c>
      <c r="AO656" s="724">
        <f>+AO634/AO613*100</f>
        <v>13.69676834793113</v>
      </c>
      <c r="AP656" s="9">
        <f t="shared" si="3060"/>
        <v>5.8935823112963277</v>
      </c>
      <c r="AQ656" s="724">
        <f t="shared" ref="AQ656:AW656" si="3068">+AQ634/AQ613*100</f>
        <v>14.736931851918634</v>
      </c>
      <c r="AR656" s="9">
        <f t="shared" si="3062"/>
        <v>-3.2281042287398947</v>
      </c>
      <c r="AS656" s="724">
        <f t="shared" si="3068"/>
        <v>14.8634474715262</v>
      </c>
      <c r="AT656" s="9">
        <f t="shared" si="3063"/>
        <v>-0.52160616428086826</v>
      </c>
      <c r="AU656" s="724">
        <f t="shared" si="3068"/>
        <v>15.206381669844147</v>
      </c>
      <c r="AV656" s="9">
        <f t="shared" si="3064"/>
        <v>33.57038542498114</v>
      </c>
      <c r="AW656" s="724">
        <f t="shared" si="3068"/>
        <v>15.567471327653706</v>
      </c>
      <c r="AX656" s="9">
        <f t="shared" si="3065"/>
        <v>13.657988017335072</v>
      </c>
      <c r="AY656" s="293"/>
      <c r="AZ656" s="165"/>
      <c r="BA656" s="9" t="str">
        <f>IF(ISERROR(#REF!/#REF!),"NA",IF(OR(#REF!/#REF!&gt;2,#REF!/#REF!&lt;0.5),"NM",#REF!/#REF!*100-100))</f>
        <v>NA</v>
      </c>
      <c r="BB656" s="724">
        <f>+BB634/BB613*100</f>
        <v>14.84656479065722</v>
      </c>
      <c r="BC656" s="9" t="str">
        <f>IF(ISERROR(BB656/#REF!),"NA",IF(OR(BB656/#REF!&gt;2,BB656/#REF!&lt;0.5),"NM",BB656/#REF!*100-100))</f>
        <v>NA</v>
      </c>
      <c r="BD656" s="965">
        <f t="shared" ref="BD656" si="3069">+BD634/BD613*100</f>
        <v>16.243142873301032</v>
      </c>
      <c r="BE656" s="9">
        <f t="shared" si="2998"/>
        <v>9.4067422487029688</v>
      </c>
      <c r="BF656" s="724">
        <f>+BF634/BF613*100</f>
        <v>13.505977081666162</v>
      </c>
      <c r="BG656" s="9">
        <f t="shared" si="2998"/>
        <v>-16.851208001956124</v>
      </c>
      <c r="BH656" s="724">
        <f>+BH634/BH613*100</f>
        <v>13.477909700347309</v>
      </c>
      <c r="BI656" s="9">
        <f t="shared" si="2998"/>
        <v>-0.20781451907654969</v>
      </c>
      <c r="BJ656" s="724">
        <f>+BJ634/BJ613*100</f>
        <v>13.673149195461018</v>
      </c>
      <c r="BK656" s="9">
        <f t="shared" si="2998"/>
        <v>1.4485888350229743</v>
      </c>
      <c r="BL656" s="724">
        <f>+BL634/BL613*100</f>
        <v>15.097633677938733</v>
      </c>
      <c r="BM656" s="9">
        <f t="shared" si="2998"/>
        <v>10.418115549785639</v>
      </c>
      <c r="BN656" s="724">
        <f>+BN634/BN613*100</f>
        <v>15.11217811222039</v>
      </c>
      <c r="BO656" s="9">
        <f t="shared" si="2998"/>
        <v>9.6335853630563406E-2</v>
      </c>
      <c r="BP656" s="724">
        <f>+BP634/BP613*100</f>
        <v>15.112858545351024</v>
      </c>
      <c r="BQ656" s="9">
        <f t="shared" si="2998"/>
        <v>4.5025483790652743E-3</v>
      </c>
      <c r="BR656" s="724">
        <f>+BR634/BR613*100</f>
        <v>15.035232154053899</v>
      </c>
      <c r="BS656" s="9">
        <f t="shared" si="2998"/>
        <v>-0.51364466268364595</v>
      </c>
      <c r="BT656" s="724">
        <f>+BT634/BT613*100</f>
        <v>14.941066862113143</v>
      </c>
      <c r="BU656" s="9">
        <f t="shared" si="3067"/>
        <v>-0.62629755880003302</v>
      </c>
      <c r="BV656" s="43">
        <f>IF(ISERROR(((BT656/BJ656)^0.2-1)*100),"NA",IF((((BT656/BJ656)^0.2-1)*100)&gt;100,"NM",IF((((BT656/BJ656)^0.2-1)*100)&lt;-50,"NM",((BT656/BJ656)^0.2-1)*100)))</f>
        <v>1.7894133371122445</v>
      </c>
      <c r="BW656" s="722"/>
      <c r="BX656" s="722"/>
      <c r="BY656"/>
      <c r="BZ656"/>
      <c r="CA656"/>
      <c r="CB656"/>
      <c r="CC656"/>
      <c r="CD656"/>
    </row>
    <row r="657" spans="1:82" s="2" customFormat="1" ht="12.75" customHeight="1" x14ac:dyDescent="0.2">
      <c r="A657" s="41"/>
      <c r="B657" s="80"/>
      <c r="C657" s="724"/>
      <c r="D657" s="9"/>
      <c r="E657" s="724"/>
      <c r="F657" s="9"/>
      <c r="G657" s="724"/>
      <c r="H657" s="9"/>
      <c r="I657" s="724"/>
      <c r="J657" s="9"/>
      <c r="K657" s="724"/>
      <c r="L657" s="9"/>
      <c r="M657" s="724"/>
      <c r="N657" s="9"/>
      <c r="O657" s="724"/>
      <c r="P657" s="9"/>
      <c r="Q657" s="724"/>
      <c r="R657" s="9"/>
      <c r="S657" s="724"/>
      <c r="T657" s="9"/>
      <c r="U657" s="724"/>
      <c r="V657" s="9"/>
      <c r="W657" s="724"/>
      <c r="X657" s="9"/>
      <c r="Y657" s="724"/>
      <c r="Z657" s="9"/>
      <c r="AA657" s="724"/>
      <c r="AB657" s="9"/>
      <c r="AC657" s="724"/>
      <c r="AD657" s="9"/>
      <c r="AE657" s="724"/>
      <c r="AF657" s="9"/>
      <c r="AG657" s="724"/>
      <c r="AH657" s="9"/>
      <c r="AI657" s="724"/>
      <c r="AJ657" s="9"/>
      <c r="AK657" s="724"/>
      <c r="AL657" s="9"/>
      <c r="AM657" s="724"/>
      <c r="AN657" s="9"/>
      <c r="AO657" s="724"/>
      <c r="AP657" s="9"/>
      <c r="AQ657" s="724"/>
      <c r="AR657" s="9"/>
      <c r="AS657" s="724"/>
      <c r="AT657" s="9"/>
      <c r="AU657" s="724"/>
      <c r="AV657" s="9"/>
      <c r="AW657" s="724"/>
      <c r="AX657" s="9"/>
      <c r="AY657" s="293"/>
      <c r="AZ657" s="165"/>
      <c r="BA657" s="9"/>
      <c r="BB657" s="724"/>
      <c r="BC657" s="9"/>
      <c r="BD657" s="965"/>
      <c r="BE657" s="9"/>
      <c r="BF657" s="724"/>
      <c r="BG657" s="9"/>
      <c r="BH657" s="724"/>
      <c r="BI657" s="9"/>
      <c r="BJ657" s="724"/>
      <c r="BK657" s="9"/>
      <c r="BL657" s="724"/>
      <c r="BM657" s="9"/>
      <c r="BN657" s="724"/>
      <c r="BO657" s="9"/>
      <c r="BP657" s="724"/>
      <c r="BQ657" s="9"/>
      <c r="BR657" s="724"/>
      <c r="BS657" s="9"/>
      <c r="BT657" s="724"/>
      <c r="BU657" s="9"/>
      <c r="BV657" s="43"/>
      <c r="BW657" s="722"/>
      <c r="BX657" s="722"/>
      <c r="BY657"/>
      <c r="BZ657"/>
      <c r="CA657"/>
      <c r="CB657"/>
      <c r="CC657"/>
      <c r="CD657"/>
    </row>
    <row r="658" spans="1:82" s="2" customFormat="1" ht="12.75" customHeight="1" x14ac:dyDescent="0.2">
      <c r="A658" s="41"/>
      <c r="B658" s="80" t="s">
        <v>559</v>
      </c>
      <c r="C658" s="724"/>
      <c r="D658" s="9"/>
      <c r="E658" s="724"/>
      <c r="F658" s="9"/>
      <c r="G658" s="724"/>
      <c r="H658" s="9"/>
      <c r="I658" s="724"/>
      <c r="J658" s="9"/>
      <c r="K658" s="724"/>
      <c r="L658" s="9"/>
      <c r="M658" s="724"/>
      <c r="N658" s="9"/>
      <c r="O658" s="724"/>
      <c r="P658" s="9"/>
      <c r="Q658" s="724"/>
      <c r="R658" s="129"/>
      <c r="S658" s="724"/>
      <c r="T658" s="9"/>
      <c r="U658" s="724"/>
      <c r="V658" s="9"/>
      <c r="W658" s="724"/>
      <c r="X658" s="9"/>
      <c r="Y658" s="724"/>
      <c r="Z658" s="9"/>
      <c r="AA658" s="724"/>
      <c r="AB658" s="9"/>
      <c r="AC658" s="724"/>
      <c r="AD658" s="9"/>
      <c r="AE658" s="724"/>
      <c r="AF658" s="9"/>
      <c r="AG658" s="724"/>
      <c r="AH658" s="9"/>
      <c r="AI658" s="724"/>
      <c r="AJ658" s="9"/>
      <c r="AK658" s="724"/>
      <c r="AL658" s="9"/>
      <c r="AM658" s="724"/>
      <c r="AN658" s="9"/>
      <c r="AO658" s="724"/>
      <c r="AP658" s="9"/>
      <c r="AQ658" s="724"/>
      <c r="AR658" s="9"/>
      <c r="AS658" s="724"/>
      <c r="AT658" s="9"/>
      <c r="AU658" s="724"/>
      <c r="AV658" s="9"/>
      <c r="AW658" s="724"/>
      <c r="AX658" s="9"/>
      <c r="AY658" s="293"/>
      <c r="AZ658" s="165"/>
      <c r="BA658" s="9"/>
      <c r="BB658" s="724"/>
      <c r="BC658" s="9"/>
      <c r="BD658" s="965"/>
      <c r="BE658" s="9"/>
      <c r="BF658" s="724"/>
      <c r="BG658" s="9"/>
      <c r="BH658" s="724"/>
      <c r="BI658" s="9"/>
      <c r="BJ658" s="724"/>
      <c r="BK658" s="9"/>
      <c r="BL658" s="724"/>
      <c r="BM658" s="9"/>
      <c r="BN658" s="724"/>
      <c r="BO658" s="9"/>
      <c r="BP658" s="724"/>
      <c r="BQ658" s="9"/>
      <c r="BR658" s="724"/>
      <c r="BS658" s="9"/>
      <c r="BT658" s="724"/>
      <c r="BU658" s="9"/>
      <c r="BV658" s="43"/>
      <c r="BW658" s="722"/>
      <c r="BX658" s="722"/>
      <c r="BY658"/>
      <c r="BZ658"/>
      <c r="CA658"/>
      <c r="CB658"/>
      <c r="CC658"/>
      <c r="CD658"/>
    </row>
    <row r="659" spans="1:82" s="2" customFormat="1" ht="12.75" customHeight="1" x14ac:dyDescent="0.2">
      <c r="A659" s="41"/>
      <c r="B659" s="42" t="str">
        <f>B638</f>
        <v>Retirement &amp; Income Solutions</v>
      </c>
      <c r="C659" s="725">
        <f>C146</f>
        <v>169.69230769230774</v>
      </c>
      <c r="D659" s="743" t="str">
        <f>IF(ISERROR(C659/#REF!),"NA",IF(OR(C659/#REF!&gt;2,C659/#REF!&lt;0.5),"NM",C659/#REF!*100-100))</f>
        <v>NA</v>
      </c>
      <c r="E659" s="725">
        <f>E146</f>
        <v>196.5</v>
      </c>
      <c r="F659" s="743" t="str">
        <f>IF(ISERROR(E659/#REF!),"NA",IF(OR(E659/#REF!&gt;2,E659/#REF!&lt;0.5),"NM",E659/#REF!*100-100))</f>
        <v>NA</v>
      </c>
      <c r="G659" s="725">
        <f>G146</f>
        <v>183.10000000000008</v>
      </c>
      <c r="H659" s="9" t="str">
        <f>IF(ISERROR(G659/#REF!),"NA",IF(OR(G659/#REF!&gt;2,G659/#REF!&lt;0.5),"NM",G659/#REF!*100-100))</f>
        <v>NA</v>
      </c>
      <c r="I659" s="725">
        <f>I146</f>
        <v>186.28461538461536</v>
      </c>
      <c r="J659" s="9" t="str">
        <f>IF(ISERROR(I659/#REF!),"NA",IF(OR(I659/#REF!&gt;2,I659/#REF!&lt;0.5),"NM",I659/#REF!*100-100))</f>
        <v>NA</v>
      </c>
      <c r="K659" s="725">
        <f>K146</f>
        <v>185.59230769230771</v>
      </c>
      <c r="L659" s="9">
        <f t="shared" ref="L659:L670" si="3070">IF(ISERROR(K659/C659),"NA",IF(OR(K659/C659&gt;2,K659/C659&lt;0.5),"NM",K659/C659*100-100))</f>
        <v>9.3699002719854718</v>
      </c>
      <c r="M659" s="725">
        <f>M146</f>
        <v>213.45384615384617</v>
      </c>
      <c r="N659" s="9">
        <f t="shared" ref="N659:AB670" si="3071">IF(ISERROR(M659/E659),"NA",IF(OR(M659/E659&gt;2,M659/E659&lt;0.5),"NM",M659/E659*100-100))</f>
        <v>8.6279115286749004</v>
      </c>
      <c r="O659" s="725">
        <f>O146</f>
        <v>207.60000000000014</v>
      </c>
      <c r="P659" s="9">
        <f t="shared" si="3071"/>
        <v>13.380666302566937</v>
      </c>
      <c r="Q659" s="725">
        <f>Q146</f>
        <v>198.40000000000015</v>
      </c>
      <c r="R659" s="9">
        <f t="shared" si="3071"/>
        <v>6.5036957509188653</v>
      </c>
      <c r="S659" s="725">
        <f>S146</f>
        <v>189.05384615384608</v>
      </c>
      <c r="T659" s="9">
        <f t="shared" si="3071"/>
        <v>1.8651303518878706</v>
      </c>
      <c r="U659" s="725">
        <f>U146</f>
        <v>212.28461538461536</v>
      </c>
      <c r="V659" s="9">
        <f t="shared" si="3071"/>
        <v>-0.54776748711667267</v>
      </c>
      <c r="W659" s="725">
        <f>W146</f>
        <v>189.96153846153851</v>
      </c>
      <c r="X659" s="9">
        <f t="shared" si="3071"/>
        <v>-8.4963687564844008</v>
      </c>
      <c r="Y659" s="725">
        <f>Y146</f>
        <v>186.8</v>
      </c>
      <c r="Z659" s="9">
        <f t="shared" si="3071"/>
        <v>-5.8467741935484554</v>
      </c>
      <c r="AA659" s="725">
        <f>AA146</f>
        <v>181.39999999999998</v>
      </c>
      <c r="AB659" s="9">
        <f t="shared" si="3071"/>
        <v>-4.0485006306709295</v>
      </c>
      <c r="AC659" s="725">
        <f>AC146</f>
        <v>194.69999999999993</v>
      </c>
      <c r="AD659" s="9">
        <f t="shared" ref="AD659:AF670" si="3072">IF(ISERROR(AC659/U659),"NA",IF(OR(AC659/U659&gt;2,AC659/U659&lt;0.5),"NM",AC659/U659*100-100))</f>
        <v>-8.2835090770736173</v>
      </c>
      <c r="AE659" s="725">
        <f>AE146</f>
        <v>211.7</v>
      </c>
      <c r="AF659" s="9">
        <f t="shared" si="3072"/>
        <v>11.443612067220045</v>
      </c>
      <c r="AG659" s="725">
        <f>AG146</f>
        <v>199.49999999999983</v>
      </c>
      <c r="AH659" s="9">
        <f t="shared" ref="AH659:AH670" si="3073">IF(ISERROR(AG659/Y659),"NA",IF(OR(AG659/Y659&gt;2,AG659/Y659&lt;0.5),"NM",AG659/Y659*100-100))</f>
        <v>6.7987152034260276</v>
      </c>
      <c r="AI659" s="725">
        <f>AI146</f>
        <v>233.2000000000001</v>
      </c>
      <c r="AJ659" s="9">
        <f t="shared" ref="AJ659:AJ670" si="3074">IF(ISERROR(AI659/AA659),"NA",IF(OR(AI659/AA659&gt;2,AI659/AA659&lt;0.5),"NM",AI659/AA659*100-100))</f>
        <v>28.555678059537001</v>
      </c>
      <c r="AK659" s="725">
        <f>AK146</f>
        <v>236.80000000000018</v>
      </c>
      <c r="AL659" s="9">
        <f t="shared" ref="AL659:AL670" si="3075">IF(ISERROR(AK659/AC659),"NA",IF(OR(AK659/AC659&gt;2,AK659/AC659&lt;0.5),"NM",AK659/AC659*100-100))</f>
        <v>21.623009758603118</v>
      </c>
      <c r="AM659" s="725">
        <f>AM146</f>
        <v>232.10000000000014</v>
      </c>
      <c r="AN659" s="9">
        <f t="shared" ref="AN659:AN670" si="3076">IF(ISERROR(AM659/AE659),"NA",IF(OR(AM659/AE659&gt;2,AM659/AE659&lt;0.5),"NM",AM659/AE659*100-100))</f>
        <v>9.6362777515352604</v>
      </c>
      <c r="AO659" s="725">
        <f>AO146</f>
        <v>201.6999999999997</v>
      </c>
      <c r="AP659" s="9">
        <f t="shared" ref="AP659:AP670" si="3077">IF(ISERROR(AO659/AG659),"NA",IF(OR(AO659/AG659&gt;2,AO659/AG659&lt;0.5),"NM",AO659/AG659*100-100))</f>
        <v>1.1027568922305164</v>
      </c>
      <c r="AQ659" s="725">
        <f>AQ146</f>
        <v>231.58326887735433</v>
      </c>
      <c r="AR659" s="9">
        <f t="shared" ref="AR659:AR670" si="3078">IF(ISERROR(AQ659/AI659),"NA",IF(OR(AQ659/AI659&gt;2,AQ659/AI659&lt;0.5),"NM",AQ659/AI659*100-100))</f>
        <v>-0.69328092737811176</v>
      </c>
      <c r="AS659" s="725">
        <f>AS146</f>
        <v>227.59466362097146</v>
      </c>
      <c r="AT659" s="9">
        <f t="shared" ref="AT659:AT670" si="3079">IF(ISERROR(AS659/AK659),"NA",IF(OR(AS659/AK659&gt;2,AS659/AK659&lt;0.5),"NM",AS659/AK659*100-100))</f>
        <v>-3.887388673576325</v>
      </c>
      <c r="AU659" s="725">
        <f>AU146</f>
        <v>230.04561643214765</v>
      </c>
      <c r="AV659" s="9">
        <f t="shared" ref="AV659:AV670" si="3080">IF(ISERROR(AU659/AM659),"NA",IF(OR(AU659/AM659&gt;2,AU659/AM659&lt;0.5),"NM",AU659/AM659*100-100))</f>
        <v>-0.88512863759262927</v>
      </c>
      <c r="AW659" s="725">
        <f>AW146</f>
        <v>238.60983203258598</v>
      </c>
      <c r="AX659" s="9">
        <f t="shared" ref="AX659:AX670" si="3081">IF(ISERROR(AW659/AO659),"NA",IF(OR(AW659/AO659&gt;2,AW659/AO659&lt;0.5),"NM",AW659/AO659*100-100))</f>
        <v>18.299371359735403</v>
      </c>
      <c r="AY659" s="293"/>
      <c r="AZ659" s="165"/>
      <c r="BA659" s="9"/>
      <c r="BB659" s="725">
        <f>BB146</f>
        <v>735.57692307692264</v>
      </c>
      <c r="BC659" s="9" t="str">
        <f>IF(ISERROR(BB659/#REF!),"NA",IF(OR(BB659/#REF!&gt;2,BB659/#REF!&lt;0.5),"NM",BB659/#REF!*100-100))</f>
        <v>NA</v>
      </c>
      <c r="BD659" s="961">
        <f>BD146</f>
        <v>805.04615384615363</v>
      </c>
      <c r="BE659" s="9">
        <f t="shared" ref="BE659:BS670" si="3082">IF(ISERROR(BD659/BB659),"NA",IF(OR(BD659/BB659&gt;2,BD659/BB659&lt;0.5),"NM",BD659/BB659*100-100))</f>
        <v>9.4441830065359795</v>
      </c>
      <c r="BF659" s="725">
        <f>BF146</f>
        <v>778.10000000000036</v>
      </c>
      <c r="BG659" s="9">
        <f t="shared" si="3082"/>
        <v>-3.3471563981041896</v>
      </c>
      <c r="BH659" s="725">
        <f>BH146</f>
        <v>787.30000000000086</v>
      </c>
      <c r="BI659" s="9">
        <f t="shared" si="3082"/>
        <v>1.1823673049737238</v>
      </c>
      <c r="BJ659" s="725">
        <f>BJ146</f>
        <v>903.80000000000109</v>
      </c>
      <c r="BK659" s="9">
        <f t="shared" si="3082"/>
        <v>14.797408865743705</v>
      </c>
      <c r="BL659" s="725">
        <f>BL146</f>
        <v>927.83338096305943</v>
      </c>
      <c r="BM659" s="9">
        <f t="shared" si="3082"/>
        <v>2.6591481481587067</v>
      </c>
      <c r="BN659" s="725">
        <f>BN146</f>
        <v>960.37921432392432</v>
      </c>
      <c r="BO659" s="9">
        <f t="shared" si="3082"/>
        <v>3.5077239112784895</v>
      </c>
      <c r="BP659" s="725">
        <f>BP146</f>
        <v>1002.659227709406</v>
      </c>
      <c r="BQ659" s="9">
        <f t="shared" si="3082"/>
        <v>4.4024290358309486</v>
      </c>
      <c r="BR659" s="725">
        <f>BR146</f>
        <v>1047.8305685537534</v>
      </c>
      <c r="BS659" s="9">
        <f t="shared" si="3082"/>
        <v>4.5051538544698104</v>
      </c>
      <c r="BT659" s="725">
        <f>BT146</f>
        <v>1093.673428234918</v>
      </c>
      <c r="BU659" s="9">
        <f t="shared" ref="BU659:BU670" si="3083">IF(ISERROR(BT659/BR659),"NA",IF(OR(BT659/BR659&gt;2,BT659/BR659&lt;0.5),"NM",BT659/BR659*100-100))</f>
        <v>4.3750259876878914</v>
      </c>
      <c r="BV659" s="43">
        <f t="shared" ref="BV659:BV670" si="3084">IF(ISERROR(((BT659/BJ659)^0.2-1)*100),"NA",IF((((BT659/BJ659)^0.2-1)*100)&gt;100,"NM",IF((((BT659/BJ659)^0.2-1)*100)&lt;-50,"NM",((BT659/BJ659)^0.2-1)*100)))</f>
        <v>3.8874448423539265</v>
      </c>
      <c r="BW659" s="722"/>
      <c r="BX659" s="722"/>
      <c r="BY659"/>
      <c r="BZ659"/>
      <c r="CA659"/>
      <c r="CB659"/>
      <c r="CC659"/>
      <c r="CD659"/>
    </row>
    <row r="660" spans="1:82" s="2" customFormat="1" ht="12.75" customHeight="1" x14ac:dyDescent="0.2">
      <c r="A660" s="41"/>
      <c r="B660" s="5" t="s">
        <v>556</v>
      </c>
      <c r="C660" s="725">
        <f>C65</f>
        <v>92.992307692307705</v>
      </c>
      <c r="D660" s="743" t="str">
        <f>IF(ISERROR(C660/#REF!),"NA",IF(OR(C660/#REF!&gt;2,C660/#REF!&lt;0.5),"NM",C660/#REF!*100-100))</f>
        <v>NA</v>
      </c>
      <c r="E660" s="725">
        <f>E65</f>
        <v>119.79999999999995</v>
      </c>
      <c r="F660" s="743" t="str">
        <f>IF(ISERROR(E660/#REF!),"NA",IF(OR(E660/#REF!&gt;2,E660/#REF!&lt;0.5),"NM",E660/#REF!*100-100))</f>
        <v>NA</v>
      </c>
      <c r="G660" s="725">
        <f>G65</f>
        <v>102.90000000000003</v>
      </c>
      <c r="H660" s="9" t="str">
        <f>IF(ISERROR(G660/#REF!),"NA",IF(OR(G660/#REF!&gt;2,G660/#REF!&lt;0.5),"NM",G660/#REF!*100-100))</f>
        <v>NA</v>
      </c>
      <c r="I660" s="725">
        <f>I65</f>
        <v>118.38461538461539</v>
      </c>
      <c r="J660" s="9" t="str">
        <f>IF(ISERROR(I660/#REF!),"NA",IF(OR(I660/#REF!&gt;2,I660/#REF!&lt;0.5),"NM",I660/#REF!*100-100))</f>
        <v>NA</v>
      </c>
      <c r="K660" s="725">
        <f>K65</f>
        <v>117.92307692307686</v>
      </c>
      <c r="L660" s="9">
        <f t="shared" si="3070"/>
        <v>26.809496236247753</v>
      </c>
      <c r="M660" s="725">
        <f>M65</f>
        <v>144.06923076923078</v>
      </c>
      <c r="N660" s="9">
        <f t="shared" si="3071"/>
        <v>20.258122511878838</v>
      </c>
      <c r="O660" s="725">
        <f>O65</f>
        <v>145.5</v>
      </c>
      <c r="P660" s="9">
        <f t="shared" si="3071"/>
        <v>41.399416909620953</v>
      </c>
      <c r="Q660" s="725">
        <f>Q65</f>
        <v>138.69999999999999</v>
      </c>
      <c r="R660" s="9">
        <f t="shared" si="3071"/>
        <v>17.160493827160479</v>
      </c>
      <c r="S660" s="725">
        <f>S65</f>
        <v>132.56923076923078</v>
      </c>
      <c r="T660" s="9">
        <f t="shared" si="3071"/>
        <v>12.420091324200982</v>
      </c>
      <c r="U660" s="725">
        <f>U65</f>
        <v>138.78461538461536</v>
      </c>
      <c r="V660" s="9">
        <f t="shared" si="3071"/>
        <v>-3.6681082812750532</v>
      </c>
      <c r="W660" s="725">
        <f>W65</f>
        <v>129.13846153846151</v>
      </c>
      <c r="X660" s="9">
        <f t="shared" si="3071"/>
        <v>-11.245043616177654</v>
      </c>
      <c r="Y660" s="725">
        <f>Y65</f>
        <v>124.69999999999999</v>
      </c>
      <c r="Z660" s="9">
        <f t="shared" si="3071"/>
        <v>-10.093727469358328</v>
      </c>
      <c r="AA660" s="725">
        <f>AA65</f>
        <v>114</v>
      </c>
      <c r="AB660" s="9">
        <f t="shared" si="3071"/>
        <v>-14.007195079494039</v>
      </c>
      <c r="AC660" s="725">
        <f>AC65</f>
        <v>124.5</v>
      </c>
      <c r="AD660" s="9">
        <f t="shared" si="3072"/>
        <v>-10.29265048220816</v>
      </c>
      <c r="AE660" s="725">
        <f>AE65</f>
        <v>145.29999999999998</v>
      </c>
      <c r="AF660" s="9">
        <f t="shared" si="3072"/>
        <v>12.514891589230402</v>
      </c>
      <c r="AG660" s="725">
        <f>AG65</f>
        <v>124.00000000000006</v>
      </c>
      <c r="AH660" s="9">
        <f t="shared" si="3073"/>
        <v>-0.56134723336001002</v>
      </c>
      <c r="AI660" s="725">
        <f>AI65</f>
        <v>138.69999999999999</v>
      </c>
      <c r="AJ660" s="9">
        <f t="shared" si="3074"/>
        <v>21.666666666666657</v>
      </c>
      <c r="AK660" s="725">
        <f>AK65</f>
        <v>147.5</v>
      </c>
      <c r="AL660" s="9">
        <f t="shared" si="3075"/>
        <v>18.47389558232932</v>
      </c>
      <c r="AM660" s="725">
        <f>AM65</f>
        <v>149</v>
      </c>
      <c r="AN660" s="9">
        <f t="shared" si="3076"/>
        <v>2.54645560908466</v>
      </c>
      <c r="AO660" s="725">
        <f>AO65</f>
        <v>126.60000000000002</v>
      </c>
      <c r="AP660" s="9">
        <f t="shared" si="3077"/>
        <v>2.0967741935483701</v>
      </c>
      <c r="AQ660" s="725">
        <f>AQ65</f>
        <v>142.05612240496151</v>
      </c>
      <c r="AR660" s="9">
        <f t="shared" si="3078"/>
        <v>2.4196989221063632</v>
      </c>
      <c r="AS660" s="725">
        <f>AS65</f>
        <v>142.19182518538878</v>
      </c>
      <c r="AT660" s="9">
        <f t="shared" si="3079"/>
        <v>-3.5987625861771022</v>
      </c>
      <c r="AU660" s="725">
        <f>AU65</f>
        <v>143.63086237263838</v>
      </c>
      <c r="AV660" s="9">
        <f t="shared" si="3080"/>
        <v>-3.603448072054789</v>
      </c>
      <c r="AW660" s="725">
        <f>AW65</f>
        <v>153.34038105962878</v>
      </c>
      <c r="AX660" s="9">
        <f t="shared" si="3081"/>
        <v>21.121943964951612</v>
      </c>
      <c r="AY660" s="293"/>
      <c r="AZ660" s="165"/>
      <c r="BA660" s="9"/>
      <c r="BB660" s="725">
        <f>BB65</f>
        <v>434.07692307692309</v>
      </c>
      <c r="BC660" s="9" t="str">
        <f>IF(ISERROR(BB660/#REF!),"NA",IF(OR(BB660/#REF!&gt;2,BB660/#REF!&lt;0.5),"NM",BB660/#REF!*100-100))</f>
        <v>NA</v>
      </c>
      <c r="BD660" s="961">
        <f>BD65</f>
        <v>546.19230769230774</v>
      </c>
      <c r="BE660" s="9">
        <f t="shared" si="3082"/>
        <v>25.82846003898635</v>
      </c>
      <c r="BF660" s="725">
        <f>BF65</f>
        <v>525.19230769230774</v>
      </c>
      <c r="BG660" s="9">
        <f t="shared" si="3082"/>
        <v>-3.8447996619956371</v>
      </c>
      <c r="BH660" s="725">
        <f>BH65</f>
        <v>507.79999999999984</v>
      </c>
      <c r="BI660" s="9">
        <f t="shared" si="3082"/>
        <v>-3.3116074697913263</v>
      </c>
      <c r="BJ660" s="725">
        <f>BJ65</f>
        <v>561.79999999999995</v>
      </c>
      <c r="BK660" s="9">
        <f t="shared" si="3082"/>
        <v>10.634107916502586</v>
      </c>
      <c r="BL660" s="725">
        <f>BL65</f>
        <v>581.21919102261722</v>
      </c>
      <c r="BM660" s="9">
        <f t="shared" si="3082"/>
        <v>3.4566021756171637</v>
      </c>
      <c r="BN660" s="725">
        <f>BN65</f>
        <v>602.06469029652203</v>
      </c>
      <c r="BO660" s="9">
        <f t="shared" si="3082"/>
        <v>3.586512557719999</v>
      </c>
      <c r="BP660" s="725">
        <f>BP65</f>
        <v>623.87014885527947</v>
      </c>
      <c r="BQ660" s="9">
        <f t="shared" si="3082"/>
        <v>3.6217800030787544</v>
      </c>
      <c r="BR660" s="725">
        <f>BR65</f>
        <v>648.12151853782029</v>
      </c>
      <c r="BS660" s="9">
        <f t="shared" si="3082"/>
        <v>3.887246364814672</v>
      </c>
      <c r="BT660" s="725">
        <f>BT65</f>
        <v>672.55931623420452</v>
      </c>
      <c r="BU660" s="9">
        <f t="shared" si="3083"/>
        <v>3.770557989112362</v>
      </c>
      <c r="BV660" s="43">
        <f t="shared" si="3084"/>
        <v>3.6644318007982291</v>
      </c>
      <c r="BW660" s="722"/>
      <c r="BX660" s="722"/>
      <c r="BY660"/>
      <c r="BZ660"/>
      <c r="CA660"/>
      <c r="CB660"/>
      <c r="CC660"/>
      <c r="CD660"/>
    </row>
    <row r="661" spans="1:82" s="2" customFormat="1" ht="12.75" customHeight="1" x14ac:dyDescent="0.2">
      <c r="A661" s="41"/>
      <c r="B661" s="5" t="s">
        <v>557</v>
      </c>
      <c r="C661" s="725">
        <f>C114</f>
        <v>76.700000000000045</v>
      </c>
      <c r="D661" s="743" t="str">
        <f>IF(ISERROR(C661/#REF!),"NA",IF(OR(C661/#REF!&gt;2,C661/#REF!&lt;0.5),"NM",C661/#REF!*100-100))</f>
        <v>NA</v>
      </c>
      <c r="E661" s="725">
        <f>E114</f>
        <v>76.700000000000045</v>
      </c>
      <c r="F661" s="743" t="str">
        <f>IF(ISERROR(E661/#REF!),"NA",IF(OR(E661/#REF!&gt;2,E661/#REF!&lt;0.5),"NM",E661/#REF!*100-100))</f>
        <v>NA</v>
      </c>
      <c r="G661" s="725">
        <f>G114</f>
        <v>80.200000000000045</v>
      </c>
      <c r="H661" s="9" t="str">
        <f>IF(ISERROR(G661/#REF!),"NA",IF(OR(G661/#REF!&gt;2,G661/#REF!&lt;0.5),"NM",G661/#REF!*100-100))</f>
        <v>NA</v>
      </c>
      <c r="I661" s="725">
        <f>I114</f>
        <v>67.899999999999977</v>
      </c>
      <c r="J661" s="9" t="str">
        <f>IF(ISERROR(I661/#REF!),"NA",IF(OR(I661/#REF!&gt;2,I661/#REF!&lt;0.5),"NM",I661/#REF!*100-100))</f>
        <v>NA</v>
      </c>
      <c r="K661" s="725">
        <f>K114</f>
        <v>67.669230769230865</v>
      </c>
      <c r="L661" s="9">
        <f t="shared" si="3070"/>
        <v>-11.774145020559544</v>
      </c>
      <c r="M661" s="725">
        <f>M114</f>
        <v>69.384615384615387</v>
      </c>
      <c r="N661" s="9">
        <f t="shared" si="3071"/>
        <v>-9.5376592117140291</v>
      </c>
      <c r="O661" s="725">
        <f>O114</f>
        <v>62.100000000000136</v>
      </c>
      <c r="P661" s="9">
        <f t="shared" si="3071"/>
        <v>-22.568578553615836</v>
      </c>
      <c r="Q661" s="725">
        <f>Q114</f>
        <v>59.700000000000159</v>
      </c>
      <c r="R661" s="9">
        <f t="shared" si="3071"/>
        <v>-12.076583210603559</v>
      </c>
      <c r="S661" s="725">
        <f>S114</f>
        <v>56.484615384615296</v>
      </c>
      <c r="T661" s="9">
        <f t="shared" si="3071"/>
        <v>-16.528361941571234</v>
      </c>
      <c r="U661" s="725">
        <f>U114</f>
        <v>73.5</v>
      </c>
      <c r="V661" s="9">
        <f t="shared" si="3071"/>
        <v>5.9312638580931321</v>
      </c>
      <c r="W661" s="725">
        <f>W114</f>
        <v>60.823076923077011</v>
      </c>
      <c r="X661" s="9">
        <f t="shared" si="3071"/>
        <v>-2.0562368388456065</v>
      </c>
      <c r="Y661" s="725">
        <f>Y114</f>
        <v>62.100000000000023</v>
      </c>
      <c r="Z661" s="9">
        <f t="shared" si="3071"/>
        <v>4.0201005025123209</v>
      </c>
      <c r="AA661" s="725">
        <f>AA114</f>
        <v>67.399999999999977</v>
      </c>
      <c r="AB661" s="9">
        <f t="shared" si="3071"/>
        <v>19.324526760179907</v>
      </c>
      <c r="AC661" s="725">
        <f>AC114</f>
        <v>70.199999999999932</v>
      </c>
      <c r="AD661" s="9">
        <f t="shared" si="3072"/>
        <v>-4.4897959183674487</v>
      </c>
      <c r="AE661" s="725">
        <f>AE114</f>
        <v>66.400000000000006</v>
      </c>
      <c r="AF661" s="9">
        <f t="shared" si="3072"/>
        <v>9.1690906791449152</v>
      </c>
      <c r="AG661" s="725">
        <f>AG114</f>
        <v>75.499999999999773</v>
      </c>
      <c r="AH661" s="9">
        <f t="shared" si="3073"/>
        <v>21.578099838968996</v>
      </c>
      <c r="AI661" s="725">
        <f>AI114</f>
        <v>94.500000000000114</v>
      </c>
      <c r="AJ661" s="9">
        <f t="shared" si="3074"/>
        <v>40.207715133531366</v>
      </c>
      <c r="AK661" s="725">
        <f>AK114</f>
        <v>89.300000000000182</v>
      </c>
      <c r="AL661" s="9">
        <f t="shared" si="3075"/>
        <v>27.207977207977592</v>
      </c>
      <c r="AM661" s="725">
        <f>AM114</f>
        <v>83.100000000000136</v>
      </c>
      <c r="AN661" s="9">
        <f t="shared" si="3076"/>
        <v>25.150602409638751</v>
      </c>
      <c r="AO661" s="725">
        <f>AO114</f>
        <v>75.099999999999682</v>
      </c>
      <c r="AP661" s="9">
        <f t="shared" si="3077"/>
        <v>-0.52980132450343831</v>
      </c>
      <c r="AQ661" s="725">
        <f>AQ114</f>
        <v>89.527146472392815</v>
      </c>
      <c r="AR661" s="9">
        <f t="shared" si="3078"/>
        <v>-5.2622788651929113</v>
      </c>
      <c r="AS661" s="725">
        <f>AS114</f>
        <v>85.40283843558268</v>
      </c>
      <c r="AT661" s="9">
        <f t="shared" si="3079"/>
        <v>-4.3641226925167871</v>
      </c>
      <c r="AU661" s="725">
        <f>AU114</f>
        <v>86.414754059509278</v>
      </c>
      <c r="AV661" s="9">
        <f t="shared" si="3080"/>
        <v>3.9888737178208657</v>
      </c>
      <c r="AW661" s="725">
        <f>AW114</f>
        <v>85.269450972957202</v>
      </c>
      <c r="AX661" s="9">
        <f t="shared" si="3081"/>
        <v>13.541213013259082</v>
      </c>
      <c r="AY661" s="293"/>
      <c r="AZ661" s="165"/>
      <c r="BA661" s="9"/>
      <c r="BB661" s="725">
        <f>BB114</f>
        <v>301.49999999999955</v>
      </c>
      <c r="BC661" s="9" t="str">
        <f>IF(ISERROR(BB661/#REF!),"NA",IF(OR(BB661/#REF!&gt;2,BB661/#REF!&lt;0.5),"NM",BB661/#REF!*100-100))</f>
        <v>NA</v>
      </c>
      <c r="BD661" s="961">
        <f>BD114</f>
        <v>258.85384615384595</v>
      </c>
      <c r="BE661" s="9">
        <f t="shared" si="3082"/>
        <v>-14.144661308840355</v>
      </c>
      <c r="BF661" s="725">
        <f>BF114</f>
        <v>252.90769230769178</v>
      </c>
      <c r="BG661" s="9">
        <f t="shared" si="3082"/>
        <v>-2.2971085554665365</v>
      </c>
      <c r="BH661" s="725">
        <f>BH114</f>
        <v>279.50000000000034</v>
      </c>
      <c r="BI661" s="9">
        <f t="shared" si="3082"/>
        <v>10.514629843664821</v>
      </c>
      <c r="BJ661" s="725">
        <f>BJ114</f>
        <v>342</v>
      </c>
      <c r="BK661" s="9">
        <f t="shared" si="3082"/>
        <v>22.361359570661747</v>
      </c>
      <c r="BL661" s="725">
        <f>BL114</f>
        <v>346.61418994044107</v>
      </c>
      <c r="BM661" s="9">
        <f t="shared" si="3082"/>
        <v>1.3491783451581938</v>
      </c>
      <c r="BN661" s="725">
        <f>BN114</f>
        <v>358.31452402740069</v>
      </c>
      <c r="BO661" s="9">
        <f t="shared" si="3082"/>
        <v>3.3756073543815575</v>
      </c>
      <c r="BP661" s="725">
        <f>BP114</f>
        <v>378.78907885412536</v>
      </c>
      <c r="BQ661" s="9">
        <f t="shared" si="3082"/>
        <v>5.7141291948185113</v>
      </c>
      <c r="BR661" s="725">
        <f>BR114</f>
        <v>399.70905001593383</v>
      </c>
      <c r="BS661" s="9">
        <f t="shared" si="3082"/>
        <v>5.5228548893472578</v>
      </c>
      <c r="BT661" s="725">
        <f>BT114</f>
        <v>421.11411200071416</v>
      </c>
      <c r="BU661" s="9">
        <f t="shared" si="3083"/>
        <v>5.3551607060002766</v>
      </c>
      <c r="BV661" s="43">
        <f t="shared" si="3084"/>
        <v>4.2496817527833519</v>
      </c>
      <c r="BW661" s="722"/>
      <c r="BX661" s="722"/>
      <c r="BY661"/>
      <c r="BZ661"/>
      <c r="CA661"/>
      <c r="CB661"/>
      <c r="CC661"/>
      <c r="CD661"/>
    </row>
    <row r="662" spans="1:82" s="2" customFormat="1" ht="12.75" customHeight="1" x14ac:dyDescent="0.2">
      <c r="A662" s="41"/>
      <c r="B662" s="42" t="str">
        <f>+B627</f>
        <v>Principal Global Investors</v>
      </c>
      <c r="C662" s="725">
        <f>C187</f>
        <v>56.984615384615402</v>
      </c>
      <c r="D662" s="743" t="str">
        <f>IF(ISERROR(C662/#REF!),"NA",IF(OR(C662/#REF!&gt;2,C662/#REF!&lt;0.5),"NM",C662/#REF!*100-100))</f>
        <v>NA</v>
      </c>
      <c r="E662" s="725">
        <f>E187</f>
        <v>67.246153846153845</v>
      </c>
      <c r="F662" s="743" t="str">
        <f>IF(ISERROR(E662/#REF!),"NA",IF(OR(E662/#REF!&gt;2,E662/#REF!&lt;0.5),"NM",E662/#REF!*100-100))</f>
        <v>NA</v>
      </c>
      <c r="G662" s="725">
        <f>G187</f>
        <v>72.199999999999989</v>
      </c>
      <c r="H662" s="9" t="str">
        <f>IF(ISERROR(G662/#REF!),"NA",IF(OR(G662/#REF!&gt;2,G662/#REF!&lt;0.5),"NM",G662/#REF!*100-100))</f>
        <v>NA</v>
      </c>
      <c r="I662" s="725">
        <f>I187</f>
        <v>82.400000000000034</v>
      </c>
      <c r="J662" s="9" t="str">
        <f>IF(ISERROR(I662/#REF!),"NA",IF(OR(I662/#REF!&gt;2,I662/#REF!&lt;0.5),"NM",I662/#REF!*100-100))</f>
        <v>NA</v>
      </c>
      <c r="K662" s="725">
        <f>K187</f>
        <v>80.599999999999994</v>
      </c>
      <c r="L662" s="9">
        <f t="shared" si="3070"/>
        <v>41.441684665226717</v>
      </c>
      <c r="M662" s="725">
        <f>M187</f>
        <v>83.699999999999974</v>
      </c>
      <c r="N662" s="9">
        <f t="shared" si="3071"/>
        <v>24.468085106382944</v>
      </c>
      <c r="O662" s="725">
        <f>O187</f>
        <v>85.7</v>
      </c>
      <c r="P662" s="9">
        <f t="shared" si="3071"/>
        <v>18.698060941828288</v>
      </c>
      <c r="Q662" s="725">
        <f>Q187</f>
        <v>100.10000000000001</v>
      </c>
      <c r="R662" s="9">
        <f t="shared" si="3071"/>
        <v>21.48058252427181</v>
      </c>
      <c r="S662" s="725">
        <f>S187</f>
        <v>92.59999999999998</v>
      </c>
      <c r="T662" s="9">
        <f t="shared" si="3071"/>
        <v>14.888337468982613</v>
      </c>
      <c r="U662" s="725">
        <f>U187</f>
        <v>98.500000000000028</v>
      </c>
      <c r="V662" s="9">
        <f t="shared" si="3071"/>
        <v>17.682198327359686</v>
      </c>
      <c r="W662" s="725">
        <f>W187</f>
        <v>95.4</v>
      </c>
      <c r="X662" s="9">
        <f t="shared" si="3071"/>
        <v>11.318553092182043</v>
      </c>
      <c r="Y662" s="725">
        <f>Y187</f>
        <v>102.00000000000003</v>
      </c>
      <c r="Z662" s="9">
        <f t="shared" si="3071"/>
        <v>1.8981018981019133</v>
      </c>
      <c r="AA662" s="725">
        <f>AA187</f>
        <v>79.700000000000017</v>
      </c>
      <c r="AB662" s="9">
        <f t="shared" si="3071"/>
        <v>-13.930885529157635</v>
      </c>
      <c r="AC662" s="725">
        <f>AC187</f>
        <v>117.49999999999996</v>
      </c>
      <c r="AD662" s="9">
        <f t="shared" si="3072"/>
        <v>19.289340101522768</v>
      </c>
      <c r="AE662" s="725">
        <f>AE187</f>
        <v>112.9</v>
      </c>
      <c r="AF662" s="9">
        <f t="shared" si="3072"/>
        <v>18.343815513626822</v>
      </c>
      <c r="AG662" s="725">
        <f>AG187</f>
        <v>133.70000000000002</v>
      </c>
      <c r="AH662" s="9">
        <f t="shared" si="3073"/>
        <v>31.078431372549005</v>
      </c>
      <c r="AI662" s="725">
        <f>AI187</f>
        <v>100</v>
      </c>
      <c r="AJ662" s="9">
        <f t="shared" si="3074"/>
        <v>25.47051442910913</v>
      </c>
      <c r="AK662" s="725">
        <f>AK187</f>
        <v>115.40000000000002</v>
      </c>
      <c r="AL662" s="9">
        <f t="shared" si="3075"/>
        <v>-1.7872340425531377</v>
      </c>
      <c r="AM662" s="725">
        <f>AM187</f>
        <v>130.20000000000002</v>
      </c>
      <c r="AN662" s="9">
        <f t="shared" si="3076"/>
        <v>15.323294951284325</v>
      </c>
      <c r="AO662" s="725">
        <f>AO187</f>
        <v>124.10000000000001</v>
      </c>
      <c r="AP662" s="9">
        <f t="shared" si="3077"/>
        <v>-7.1802543006731554</v>
      </c>
      <c r="AQ662" s="725">
        <f t="shared" ref="AQ662" si="3085">AQ187</f>
        <v>128.93566912992608</v>
      </c>
      <c r="AR662" s="9">
        <f t="shared" si="3078"/>
        <v>28.935669129926083</v>
      </c>
      <c r="AS662" s="725">
        <f t="shared" ref="AS662" si="3086">AS187</f>
        <v>129.57417779295389</v>
      </c>
      <c r="AT662" s="9">
        <f t="shared" si="3079"/>
        <v>12.282649733928835</v>
      </c>
      <c r="AU662" s="725">
        <f t="shared" ref="AU662" si="3087">AU187</f>
        <v>131.61129112913176</v>
      </c>
      <c r="AV662" s="9">
        <f t="shared" si="3080"/>
        <v>1.0839409593945675</v>
      </c>
      <c r="AW662" s="725">
        <f t="shared" ref="AW662" si="3088">AW187</f>
        <v>134.67239232122225</v>
      </c>
      <c r="AX662" s="9">
        <f t="shared" si="3081"/>
        <v>8.5192524747963176</v>
      </c>
      <c r="AY662" s="293"/>
      <c r="AZ662" s="165"/>
      <c r="BA662" s="9"/>
      <c r="BB662" s="725">
        <f>BB187</f>
        <v>278.83076923076925</v>
      </c>
      <c r="BC662" s="9" t="str">
        <f>IF(ISERROR(BB662/#REF!),"NA",IF(OR(BB662/#REF!&gt;2,BB662/#REF!&lt;0.5),"NM",BB662/#REF!*100-100))</f>
        <v>NA</v>
      </c>
      <c r="BD662" s="961">
        <f>BD187</f>
        <v>350.1</v>
      </c>
      <c r="BE662" s="9">
        <f t="shared" si="3082"/>
        <v>25.560030898256443</v>
      </c>
      <c r="BF662" s="725">
        <f>BF187</f>
        <v>388.5</v>
      </c>
      <c r="BG662" s="9">
        <f t="shared" si="3082"/>
        <v>10.968294772922007</v>
      </c>
      <c r="BH662" s="725">
        <f>BH187</f>
        <v>443.80000000000007</v>
      </c>
      <c r="BI662" s="9">
        <f t="shared" si="3082"/>
        <v>14.23423423423425</v>
      </c>
      <c r="BJ662" s="725">
        <f>BJ187</f>
        <v>469.70000000000005</v>
      </c>
      <c r="BK662" s="9">
        <f t="shared" si="3082"/>
        <v>5.8359621451104005</v>
      </c>
      <c r="BL662" s="725">
        <f>BL187</f>
        <v>524.79353037323403</v>
      </c>
      <c r="BM662" s="9">
        <f t="shared" si="3082"/>
        <v>11.729514663239087</v>
      </c>
      <c r="BN662" s="725">
        <f>BN187</f>
        <v>550.50015402645852</v>
      </c>
      <c r="BO662" s="9">
        <f t="shared" si="3082"/>
        <v>4.8984261743741229</v>
      </c>
      <c r="BP662" s="725">
        <f>BP187</f>
        <v>563.85419045671711</v>
      </c>
      <c r="BQ662" s="9">
        <f t="shared" si="3082"/>
        <v>2.42580067100522</v>
      </c>
      <c r="BR662" s="725">
        <f>BR187</f>
        <v>598.21777251477977</v>
      </c>
      <c r="BS662" s="9">
        <f t="shared" si="3082"/>
        <v>6.0944092709905249</v>
      </c>
      <c r="BT662" s="725">
        <f>BT187</f>
        <v>618.99998773386778</v>
      </c>
      <c r="BU662" s="9">
        <f t="shared" si="3083"/>
        <v>3.4740216981056875</v>
      </c>
      <c r="BV662" s="43">
        <f t="shared" si="3084"/>
        <v>5.6754281433789799</v>
      </c>
      <c r="BW662" s="722"/>
      <c r="BX662" s="722"/>
      <c r="BY662"/>
      <c r="BZ662"/>
      <c r="CA662"/>
      <c r="CB662"/>
      <c r="CC662"/>
      <c r="CD662"/>
    </row>
    <row r="663" spans="1:82" s="2" customFormat="1" ht="12.75" customHeight="1" x14ac:dyDescent="0.2">
      <c r="A663" s="41"/>
      <c r="B663" s="42" t="s">
        <v>191</v>
      </c>
      <c r="C663" s="725">
        <f>C339</f>
        <v>67.084615384615418</v>
      </c>
      <c r="D663" s="743" t="str">
        <f>IF(ISERROR(C663/#REF!),"NA",IF(OR(C663/#REF!&gt;2,C663/#REF!&lt;0.5),"NM",C663/#REF!*100-100))</f>
        <v>NA</v>
      </c>
      <c r="E663" s="725">
        <f>E339</f>
        <v>86.469230769230791</v>
      </c>
      <c r="F663" s="743" t="str">
        <f>IF(ISERROR(E663/#REF!),"NA",IF(OR(E663/#REF!&gt;2,E663/#REF!&lt;0.5),"NM",E663/#REF!*100-100))</f>
        <v>NA</v>
      </c>
      <c r="G663" s="725">
        <f>G339</f>
        <v>81.484615384615381</v>
      </c>
      <c r="H663" s="9" t="str">
        <f>IF(ISERROR(G663/#REF!),"NA",IF(OR(G663/#REF!&gt;2,G663/#REF!&lt;0.5),"NM",G663/#REF!*100-100))</f>
        <v>NA</v>
      </c>
      <c r="I663" s="725">
        <f>I339</f>
        <v>90.438461538461539</v>
      </c>
      <c r="J663" s="9" t="str">
        <f>IF(ISERROR(I663/#REF!),"NA",IF(OR(I663/#REF!&gt;2,I663/#REF!&lt;0.5),"NM",I663/#REF!*100-100))</f>
        <v>NA</v>
      </c>
      <c r="K663" s="725">
        <f>K339</f>
        <v>78.353846153846106</v>
      </c>
      <c r="L663" s="9">
        <f t="shared" si="3070"/>
        <v>16.798532278408302</v>
      </c>
      <c r="M663" s="725">
        <f>M339</f>
        <v>82.138461538461527</v>
      </c>
      <c r="N663" s="9">
        <f t="shared" si="3071"/>
        <v>-5.0084512054088037</v>
      </c>
      <c r="O663" s="725">
        <f>O339</f>
        <v>83.323076923076925</v>
      </c>
      <c r="P663" s="9">
        <f t="shared" si="3071"/>
        <v>2.2562069291041382</v>
      </c>
      <c r="Q663" s="725">
        <f>Q339</f>
        <v>77.499999999999929</v>
      </c>
      <c r="R663" s="9">
        <f t="shared" si="3071"/>
        <v>-14.306370672790763</v>
      </c>
      <c r="S663" s="725">
        <f>S339</f>
        <v>80.799999999999955</v>
      </c>
      <c r="T663" s="9">
        <f t="shared" si="3071"/>
        <v>3.1219320636167254</v>
      </c>
      <c r="U663" s="725">
        <f>U339</f>
        <v>72.199999999999946</v>
      </c>
      <c r="V663" s="9">
        <f t="shared" si="3071"/>
        <v>-12.099644128113923</v>
      </c>
      <c r="W663" s="725">
        <f>W339</f>
        <v>63.923076923076891</v>
      </c>
      <c r="X663" s="9">
        <f t="shared" si="3071"/>
        <v>-23.28286558345647</v>
      </c>
      <c r="Y663" s="725">
        <f>Y339</f>
        <v>67.299999999999983</v>
      </c>
      <c r="Z663" s="9">
        <f t="shared" si="3071"/>
        <v>-13.161290322580584</v>
      </c>
      <c r="AA663" s="725">
        <f>AA339</f>
        <v>68.000000000000014</v>
      </c>
      <c r="AB663" s="9">
        <f t="shared" si="3071"/>
        <v>-15.841584158415785</v>
      </c>
      <c r="AC663" s="725">
        <f>AC339</f>
        <v>69.899999999999977</v>
      </c>
      <c r="AD663" s="9">
        <f t="shared" si="3072"/>
        <v>-3.1855955678669972</v>
      </c>
      <c r="AE663" s="725">
        <f>AE339</f>
        <v>85.100000000000023</v>
      </c>
      <c r="AF663" s="9">
        <f t="shared" si="3072"/>
        <v>33.128760529482662</v>
      </c>
      <c r="AG663" s="725">
        <f>AG339</f>
        <v>77.000000000000043</v>
      </c>
      <c r="AH663" s="9">
        <f t="shared" si="3073"/>
        <v>14.41307578008923</v>
      </c>
      <c r="AI663" s="725">
        <f>AI339</f>
        <v>88.899999999999949</v>
      </c>
      <c r="AJ663" s="9">
        <f t="shared" si="3074"/>
        <v>30.735294117646959</v>
      </c>
      <c r="AK663" s="725">
        <f>AK339</f>
        <v>83.399999999999949</v>
      </c>
      <c r="AL663" s="9">
        <f t="shared" si="3075"/>
        <v>19.313304721030008</v>
      </c>
      <c r="AM663" s="725">
        <f>AM339</f>
        <v>84.399999999999991</v>
      </c>
      <c r="AN663" s="9">
        <f t="shared" si="3076"/>
        <v>-0.82256169212693919</v>
      </c>
      <c r="AO663" s="725">
        <f>AO339</f>
        <v>78.30000000000004</v>
      </c>
      <c r="AP663" s="9">
        <f t="shared" si="3077"/>
        <v>1.6883116883116998</v>
      </c>
      <c r="AQ663" s="725">
        <f t="shared" ref="AQ663" si="3089">AQ339</f>
        <v>89.418216769456805</v>
      </c>
      <c r="AR663" s="9">
        <f t="shared" si="3078"/>
        <v>0.58292100051389184</v>
      </c>
      <c r="AS663" s="725">
        <f t="shared" ref="AS663" si="3090">AS339</f>
        <v>89.958952951178887</v>
      </c>
      <c r="AT663" s="9">
        <f t="shared" si="3079"/>
        <v>7.8644519798308608</v>
      </c>
      <c r="AU663" s="725">
        <f t="shared" ref="AU663" si="3091">AU339</f>
        <v>90.789771476380139</v>
      </c>
      <c r="AV663" s="9">
        <f t="shared" si="3080"/>
        <v>7.5708192848105966</v>
      </c>
      <c r="AW663" s="725">
        <f t="shared" ref="AW663" si="3092">AW339</f>
        <v>89.458368949220741</v>
      </c>
      <c r="AX663" s="9">
        <f t="shared" si="3081"/>
        <v>14.250790484317605</v>
      </c>
      <c r="AY663" s="293"/>
      <c r="AZ663" s="165"/>
      <c r="BA663" s="9"/>
      <c r="BB663" s="725">
        <f>BB339</f>
        <v>325.47692307692313</v>
      </c>
      <c r="BC663" s="9" t="str">
        <f>IF(ISERROR(BB663/#REF!),"NA",IF(OR(BB663/#REF!&gt;2,BB663/#REF!&lt;0.5),"NM",BB663/#REF!*100-100))</f>
        <v>NA</v>
      </c>
      <c r="BD663" s="961">
        <f>BD339</f>
        <v>321.31538461538452</v>
      </c>
      <c r="BE663" s="9">
        <f t="shared" si="3082"/>
        <v>-1.2785970882965074</v>
      </c>
      <c r="BF663" s="725">
        <f>BF339</f>
        <v>284.2230769230768</v>
      </c>
      <c r="BG663" s="9">
        <f t="shared" si="3082"/>
        <v>-11.543894089200663</v>
      </c>
      <c r="BH663" s="725">
        <f>BH339</f>
        <v>300.00000000000006</v>
      </c>
      <c r="BI663" s="9">
        <f t="shared" si="3082"/>
        <v>5.5508944761699155</v>
      </c>
      <c r="BJ663" s="725">
        <f>BJ339</f>
        <v>334.99999999999994</v>
      </c>
      <c r="BK663" s="9">
        <f t="shared" si="3082"/>
        <v>11.666666666666629</v>
      </c>
      <c r="BL663" s="725">
        <f>BL339</f>
        <v>359.62531014623659</v>
      </c>
      <c r="BM663" s="9">
        <f t="shared" si="3082"/>
        <v>7.3508388496228889</v>
      </c>
      <c r="BN663" s="725">
        <f>BN339</f>
        <v>381.34775926632324</v>
      </c>
      <c r="BO663" s="9">
        <f t="shared" si="3082"/>
        <v>6.0403004202494799</v>
      </c>
      <c r="BP663" s="725">
        <f>BP339</f>
        <v>431.87008766088064</v>
      </c>
      <c r="BQ663" s="9">
        <f t="shared" si="3082"/>
        <v>13.248361152497012</v>
      </c>
      <c r="BR663" s="725">
        <f>BR339</f>
        <v>450.13486372073396</v>
      </c>
      <c r="BS663" s="9">
        <f t="shared" si="3082"/>
        <v>4.2292292477999638</v>
      </c>
      <c r="BT663" s="725">
        <f>BT339</f>
        <v>484.47991981506397</v>
      </c>
      <c r="BU663" s="9">
        <f t="shared" si="3083"/>
        <v>7.6299480138996501</v>
      </c>
      <c r="BV663" s="43">
        <f t="shared" si="3084"/>
        <v>7.6579720869598855</v>
      </c>
      <c r="BW663" s="722"/>
      <c r="BX663" s="722"/>
      <c r="BY663"/>
      <c r="BZ663"/>
      <c r="CA663"/>
      <c r="CB663"/>
      <c r="CC663"/>
      <c r="CD663"/>
    </row>
    <row r="664" spans="1:82" s="2" customFormat="1" ht="12.75" customHeight="1" x14ac:dyDescent="0.2">
      <c r="A664" s="41"/>
      <c r="B664" s="42" t="s">
        <v>48</v>
      </c>
      <c r="C664" s="725">
        <f>C536</f>
        <v>51.800000000000011</v>
      </c>
      <c r="D664" s="743" t="str">
        <f>IF(ISERROR(C664/#REF!),"NA",IF(OR(C664/#REF!&gt;2,C664/#REF!&lt;0.5),"NM",C664/#REF!*100-100))</f>
        <v>NA</v>
      </c>
      <c r="E664" s="725">
        <f>E536</f>
        <v>69.699999999999989</v>
      </c>
      <c r="F664" s="743" t="str">
        <f>IF(ISERROR(E664/#REF!),"NA",IF(OR(E664/#REF!&gt;2,E664/#REF!&lt;0.5),"NM",E664/#REF!*100-100))</f>
        <v>NA</v>
      </c>
      <c r="G664" s="725">
        <f t="shared" ref="G664:M664" si="3093">G536</f>
        <v>80.200000000000102</v>
      </c>
      <c r="H664" s="9" t="str">
        <f>IF(ISERROR(G664/#REF!),"NA",IF(OR(G664/#REF!&gt;2,G664/#REF!&lt;0.5),"NM",G664/#REF!*100-100))</f>
        <v>NA</v>
      </c>
      <c r="I664" s="725">
        <f t="shared" si="3093"/>
        <v>84.284615384615307</v>
      </c>
      <c r="J664" s="9" t="str">
        <f>IF(ISERROR(I664/#REF!),"NA",IF(OR(I664/#REF!&gt;2,I664/#REF!&lt;0.5),"NM",I664/#REF!*100-100))</f>
        <v>NA</v>
      </c>
      <c r="K664" s="725">
        <f t="shared" si="3093"/>
        <v>62.700000000000102</v>
      </c>
      <c r="L664" s="9">
        <f t="shared" si="3070"/>
        <v>21.042471042471206</v>
      </c>
      <c r="M664" s="725">
        <f t="shared" si="3093"/>
        <v>73.199999999999989</v>
      </c>
      <c r="N664" s="9">
        <f t="shared" si="3071"/>
        <v>5.0215208034433374</v>
      </c>
      <c r="O664" s="725">
        <f>O536</f>
        <v>65.099999999999966</v>
      </c>
      <c r="P664" s="9">
        <f t="shared" si="3071"/>
        <v>-18.827930174563733</v>
      </c>
      <c r="Q664" s="725">
        <f>Q536</f>
        <v>83.100000000000023</v>
      </c>
      <c r="R664" s="9">
        <f t="shared" si="3071"/>
        <v>-1.4054942046179235</v>
      </c>
      <c r="S664" s="725">
        <f>S536</f>
        <v>77.284615384615478</v>
      </c>
      <c r="T664" s="9">
        <f t="shared" si="3071"/>
        <v>23.260949576738994</v>
      </c>
      <c r="U664" s="725">
        <f>U536</f>
        <v>88.100000000000023</v>
      </c>
      <c r="V664" s="9">
        <f t="shared" si="3071"/>
        <v>20.355191256830651</v>
      </c>
      <c r="W664" s="725">
        <f>W536</f>
        <v>95.51538461538459</v>
      </c>
      <c r="X664" s="9">
        <f t="shared" si="3071"/>
        <v>46.721020914569323</v>
      </c>
      <c r="Y664" s="725">
        <f>Y536</f>
        <v>86.600000000000023</v>
      </c>
      <c r="Z664" s="9">
        <f t="shared" si="3071"/>
        <v>4.2117930204572929</v>
      </c>
      <c r="AA664" s="725">
        <f>AA536</f>
        <v>80.499999999999943</v>
      </c>
      <c r="AB664" s="9">
        <f t="shared" si="3071"/>
        <v>4.1604459042498263</v>
      </c>
      <c r="AC664" s="725">
        <f>AC536</f>
        <v>103.60000000000008</v>
      </c>
      <c r="AD664" s="9">
        <f t="shared" si="3072"/>
        <v>17.593643586833196</v>
      </c>
      <c r="AE664" s="725">
        <f>AE536</f>
        <v>95.500000000000171</v>
      </c>
      <c r="AF664" s="9">
        <f t="shared" si="3072"/>
        <v>-1.6106950148781607E-2</v>
      </c>
      <c r="AG664" s="725">
        <f>AG536</f>
        <v>101.89999999999998</v>
      </c>
      <c r="AH664" s="9">
        <f t="shared" si="3073"/>
        <v>17.66743648960734</v>
      </c>
      <c r="AI664" s="725">
        <f>AI536</f>
        <v>86.199999999999989</v>
      </c>
      <c r="AJ664" s="9">
        <f t="shared" si="3074"/>
        <v>7.0807453416149571</v>
      </c>
      <c r="AK664" s="725">
        <f>AK536</f>
        <v>101.39999999999998</v>
      </c>
      <c r="AL664" s="9">
        <f t="shared" si="3075"/>
        <v>-2.1235521235522157</v>
      </c>
      <c r="AM664" s="725">
        <f>AM536</f>
        <v>116.19999999999999</v>
      </c>
      <c r="AN664" s="9">
        <f t="shared" si="3076"/>
        <v>21.675392670156839</v>
      </c>
      <c r="AO664" s="725">
        <f>AO536</f>
        <v>110.89999999999992</v>
      </c>
      <c r="AP664" s="9">
        <f t="shared" si="3077"/>
        <v>8.8321884200195768</v>
      </c>
      <c r="AQ664" s="725">
        <f t="shared" ref="AQ664:AW664" si="3094">AQ536</f>
        <v>93.558349284956023</v>
      </c>
      <c r="AR664" s="9">
        <f t="shared" si="3078"/>
        <v>8.5363680799953983</v>
      </c>
      <c r="AS664" s="725">
        <f t="shared" si="3094"/>
        <v>105.43637033023407</v>
      </c>
      <c r="AT664" s="9">
        <f t="shared" si="3079"/>
        <v>3.9806413513156826</v>
      </c>
      <c r="AU664" s="725">
        <f t="shared" si="3094"/>
        <v>118.68761292129153</v>
      </c>
      <c r="AV664" s="9">
        <f t="shared" si="3080"/>
        <v>2.1408028582543324</v>
      </c>
      <c r="AW664" s="725">
        <f t="shared" si="3094"/>
        <v>126.20979167638234</v>
      </c>
      <c r="AX664" s="9">
        <f t="shared" si="3081"/>
        <v>13.805042088712739</v>
      </c>
      <c r="AY664" s="293"/>
      <c r="AZ664" s="165"/>
      <c r="BA664" s="9"/>
      <c r="BB664" s="725">
        <f>BB536</f>
        <v>285.98461538461527</v>
      </c>
      <c r="BC664" s="9" t="str">
        <f>IF(ISERROR(BB664/#REF!),"NA",IF(OR(BB664/#REF!&gt;2,BB664/#REF!&lt;0.5),"NM",BB664/#REF!*100-100))</f>
        <v>NA</v>
      </c>
      <c r="BD664" s="961">
        <f>BD536</f>
        <v>284.09999999999991</v>
      </c>
      <c r="BE664" s="9">
        <f t="shared" si="3082"/>
        <v>-0.65899187691644556</v>
      </c>
      <c r="BF664" s="725">
        <f>BF536</f>
        <v>347.5</v>
      </c>
      <c r="BG664" s="9">
        <f t="shared" si="3082"/>
        <v>22.316085885251709</v>
      </c>
      <c r="BH664" s="725">
        <f>BH536</f>
        <v>381.49999999999983</v>
      </c>
      <c r="BI664" s="9">
        <f t="shared" si="3082"/>
        <v>9.784172661870457</v>
      </c>
      <c r="BJ664" s="725">
        <f>BJ536</f>
        <v>414.69999999999959</v>
      </c>
      <c r="BK664" s="9">
        <f t="shared" si="3082"/>
        <v>8.702490170380031</v>
      </c>
      <c r="BL664" s="725">
        <f>BL536</f>
        <v>443.89212421286425</v>
      </c>
      <c r="BM664" s="9">
        <f t="shared" si="3082"/>
        <v>7.0393354745272916</v>
      </c>
      <c r="BN664" s="725">
        <f>BN536</f>
        <v>467.01769667109488</v>
      </c>
      <c r="BO664" s="9">
        <f t="shared" si="3082"/>
        <v>5.2097280390451317</v>
      </c>
      <c r="BP664" s="725">
        <f>BP536</f>
        <v>478.64560724496778</v>
      </c>
      <c r="BQ664" s="9">
        <f t="shared" si="3082"/>
        <v>2.4898222608600804</v>
      </c>
      <c r="BR664" s="725">
        <f>BR536</f>
        <v>492.17283466991989</v>
      </c>
      <c r="BS664" s="9">
        <f t="shared" si="3082"/>
        <v>2.8261467817104489</v>
      </c>
      <c r="BT664" s="725">
        <f>BT536</f>
        <v>505.70221585350532</v>
      </c>
      <c r="BU664" s="9">
        <f t="shared" si="3083"/>
        <v>2.7489085602741596</v>
      </c>
      <c r="BV664" s="43">
        <f t="shared" si="3084"/>
        <v>4.0476232821101243</v>
      </c>
      <c r="BW664" s="722"/>
      <c r="BX664" s="722"/>
      <c r="BY664"/>
      <c r="BZ664"/>
      <c r="CA664"/>
      <c r="CB664"/>
      <c r="CC664"/>
      <c r="CD664"/>
    </row>
    <row r="665" spans="1:82" s="2" customFormat="1" ht="12.75" customHeight="1" x14ac:dyDescent="0.2">
      <c r="A665" s="41"/>
      <c r="B665" s="5" t="s">
        <v>643</v>
      </c>
      <c r="C665" s="725">
        <f>C414</f>
        <v>19.900000000000034</v>
      </c>
      <c r="D665" s="743" t="str">
        <f>IF(ISERROR(C665/#REF!),"NA",IF(OR(C665/#REF!&gt;2,C665/#REF!&lt;0.5),"NM",C665/#REF!*100-100))</f>
        <v>NA</v>
      </c>
      <c r="E665" s="725">
        <f>E414</f>
        <v>30.199999999999989</v>
      </c>
      <c r="F665" s="743" t="str">
        <f>IF(ISERROR(E665/#REF!),"NA",IF(OR(E665/#REF!&gt;2,E665/#REF!&lt;0.5),"NM",E665/#REF!*100-100))</f>
        <v>NA</v>
      </c>
      <c r="G665" s="725">
        <f>G414</f>
        <v>31.500000000000057</v>
      </c>
      <c r="H665" s="9" t="str">
        <f>IF(ISERROR(G665/#REF!),"NA",IF(OR(G665/#REF!&gt;2,G665/#REF!&lt;0.5),"NM",G665/#REF!*100-100))</f>
        <v>NA</v>
      </c>
      <c r="I665" s="725">
        <f>I414</f>
        <v>42.584615384615375</v>
      </c>
      <c r="J665" s="9" t="str">
        <f>IF(ISERROR(I665/#REF!),"NA",IF(OR(I665/#REF!&gt;2,I665/#REF!&lt;0.5),"NM",I665/#REF!*100-100))</f>
        <v>NA</v>
      </c>
      <c r="K665" s="725">
        <f>K414</f>
        <v>21.800000000000011</v>
      </c>
      <c r="L665" s="9">
        <f t="shared" si="3070"/>
        <v>9.5477386934672097</v>
      </c>
      <c r="M665" s="725">
        <f>M414</f>
        <v>27.599999999999966</v>
      </c>
      <c r="N665" s="9">
        <f t="shared" si="3071"/>
        <v>-8.6092715231788901</v>
      </c>
      <c r="O665" s="725">
        <f>O414</f>
        <v>16.499999999999943</v>
      </c>
      <c r="P665" s="9">
        <f t="shared" si="3071"/>
        <v>-47.61904761904789</v>
      </c>
      <c r="Q665" s="725">
        <f>Q414</f>
        <v>39.000000000000057</v>
      </c>
      <c r="R665" s="9">
        <f t="shared" si="3071"/>
        <v>-8.4176300578033221</v>
      </c>
      <c r="S665" s="725">
        <f>S414</f>
        <v>35.100000000000023</v>
      </c>
      <c r="T665" s="9">
        <f t="shared" si="3071"/>
        <v>61.009174311926643</v>
      </c>
      <c r="U665" s="725">
        <f>U414</f>
        <v>36.699999999999989</v>
      </c>
      <c r="V665" s="9">
        <f t="shared" si="3071"/>
        <v>32.971014492753739</v>
      </c>
      <c r="W665" s="725">
        <f>W414</f>
        <v>42.269230769230774</v>
      </c>
      <c r="X665" s="9" t="str">
        <f t="shared" si="3071"/>
        <v>NM</v>
      </c>
      <c r="Y665" s="725">
        <f>Y414</f>
        <v>29.800000000000011</v>
      </c>
      <c r="Z665" s="9">
        <f t="shared" si="3071"/>
        <v>-23.589743589743676</v>
      </c>
      <c r="AA665" s="725">
        <f>AA414</f>
        <v>41.899999999999977</v>
      </c>
      <c r="AB665" s="9">
        <f t="shared" si="3071"/>
        <v>19.373219373219229</v>
      </c>
      <c r="AC665" s="725">
        <f>AC414</f>
        <v>37.099999999999966</v>
      </c>
      <c r="AD665" s="9">
        <f t="shared" si="3072"/>
        <v>1.0899182561307157</v>
      </c>
      <c r="AE665" s="725">
        <f>AE414</f>
        <v>39.500000000000071</v>
      </c>
      <c r="AF665" s="9">
        <f t="shared" si="3072"/>
        <v>-6.5514103730662754</v>
      </c>
      <c r="AG665" s="725">
        <f>AG414</f>
        <v>35</v>
      </c>
      <c r="AH665" s="9">
        <f t="shared" si="3073"/>
        <v>17.449664429530159</v>
      </c>
      <c r="AI665" s="725">
        <f>AI414</f>
        <v>40.699999999999989</v>
      </c>
      <c r="AJ665" s="9">
        <f t="shared" si="3074"/>
        <v>-2.863961813842451</v>
      </c>
      <c r="AK665" s="725">
        <f>AK414</f>
        <v>37.800000000000011</v>
      </c>
      <c r="AL665" s="9">
        <f t="shared" si="3075"/>
        <v>1.8867924528303206</v>
      </c>
      <c r="AM665" s="725">
        <f>AM414</f>
        <v>46.399999999999977</v>
      </c>
      <c r="AN665" s="9">
        <f t="shared" si="3076"/>
        <v>17.468354430379492</v>
      </c>
      <c r="AO665" s="725">
        <f>AO414</f>
        <v>48.300000000000011</v>
      </c>
      <c r="AP665" s="9">
        <f t="shared" si="3077"/>
        <v>38.000000000000028</v>
      </c>
      <c r="AQ665" s="725">
        <f t="shared" ref="AQ665" si="3095">AQ414</f>
        <v>37.100329999999985</v>
      </c>
      <c r="AR665" s="9">
        <f t="shared" si="3078"/>
        <v>-8.8443980343980542</v>
      </c>
      <c r="AS665" s="725">
        <f t="shared" ref="AS665" si="3096">AS414</f>
        <v>39.686480450000033</v>
      </c>
      <c r="AT665" s="9">
        <f t="shared" si="3079"/>
        <v>4.9906890211640871</v>
      </c>
      <c r="AU665" s="725">
        <f t="shared" ref="AU665" si="3097">AU414</f>
        <v>43.439293186750035</v>
      </c>
      <c r="AV665" s="9">
        <f t="shared" si="3080"/>
        <v>-6.3808336492455595</v>
      </c>
      <c r="AW665" s="725">
        <f t="shared" ref="AW665" si="3098">AW414</f>
        <v>46.13335772633252</v>
      </c>
      <c r="AX665" s="9">
        <f t="shared" si="3081"/>
        <v>-4.4858018088353901</v>
      </c>
      <c r="AY665" s="293"/>
      <c r="AZ665" s="165"/>
      <c r="BA665" s="9"/>
      <c r="BB665" s="725">
        <f>BB414</f>
        <v>124.18461538461557</v>
      </c>
      <c r="BC665" s="9" t="str">
        <f>IF(ISERROR(BB665/#REF!),"NA",IF(OR(BB665/#REF!&gt;2,BB665/#REF!&lt;0.5),"NM",BB665/#REF!*100-100))</f>
        <v>NA</v>
      </c>
      <c r="BD665" s="961">
        <f>BD414</f>
        <v>104.90000000000009</v>
      </c>
      <c r="BE665" s="9">
        <f t="shared" si="3082"/>
        <v>-15.528989098116995</v>
      </c>
      <c r="BF665" s="725">
        <f>BF414</f>
        <v>143.86923076923046</v>
      </c>
      <c r="BG665" s="9">
        <f t="shared" si="3082"/>
        <v>37.1489330497906</v>
      </c>
      <c r="BH665" s="725">
        <f>BH414</f>
        <v>153.49999999999972</v>
      </c>
      <c r="BI665" s="9">
        <f t="shared" si="3082"/>
        <v>6.6941132438646633</v>
      </c>
      <c r="BJ665" s="725">
        <f>BJ414</f>
        <v>173.20000000000005</v>
      </c>
      <c r="BK665" s="9">
        <f t="shared" si="3082"/>
        <v>12.833876221498613</v>
      </c>
      <c r="BL665" s="725">
        <f>BL414</f>
        <v>166.35946136308257</v>
      </c>
      <c r="BM665" s="9">
        <f t="shared" si="3082"/>
        <v>-3.9495026772040802</v>
      </c>
      <c r="BN665" s="725">
        <f>BN414</f>
        <v>174.86614895248226</v>
      </c>
      <c r="BO665" s="9">
        <f t="shared" si="3082"/>
        <v>5.1134378049191298</v>
      </c>
      <c r="BP665" s="725">
        <f>BP414</f>
        <v>176.08159040976625</v>
      </c>
      <c r="BQ665" s="9">
        <f t="shared" si="3082"/>
        <v>0.69506960870640455</v>
      </c>
      <c r="BR665" s="725">
        <f>BR414</f>
        <v>179.1179389055917</v>
      </c>
      <c r="BS665" s="9">
        <f t="shared" si="3082"/>
        <v>1.7243986090535941</v>
      </c>
      <c r="BT665" s="725">
        <f>BT414</f>
        <v>182.11546473642716</v>
      </c>
      <c r="BU665" s="9">
        <f t="shared" si="3083"/>
        <v>1.6734928110217879</v>
      </c>
      <c r="BV665" s="43">
        <f t="shared" si="3084"/>
        <v>1.0089339895567484</v>
      </c>
      <c r="BW665" s="722"/>
      <c r="BX665" s="722"/>
      <c r="BY665"/>
      <c r="BZ665"/>
      <c r="CA665"/>
      <c r="CB665"/>
      <c r="CC665"/>
      <c r="CD665"/>
    </row>
    <row r="666" spans="1:82" s="2" customFormat="1" ht="12.75" customHeight="1" x14ac:dyDescent="0.2">
      <c r="A666" s="41"/>
      <c r="B666" s="5" t="s">
        <v>442</v>
      </c>
      <c r="C666" s="725">
        <f>C500</f>
        <v>31.899999999999977</v>
      </c>
      <c r="D666" s="743" t="str">
        <f>IF(ISERROR(C666/#REF!),"NA",IF(OR(C666/#REF!&gt;2,C666/#REF!&lt;0.5),"NM",C666/#REF!*100-100))</f>
        <v>NA</v>
      </c>
      <c r="E666" s="725">
        <f>E500</f>
        <v>39.5</v>
      </c>
      <c r="F666" s="743" t="str">
        <f>IF(ISERROR(E666/#REF!),"NA",IF(OR(E666/#REF!&gt;2,E666/#REF!&lt;0.5),"NM",E666/#REF!*100-100))</f>
        <v>NA</v>
      </c>
      <c r="G666" s="725">
        <f>G500</f>
        <v>48.700000000000045</v>
      </c>
      <c r="H666" s="9" t="str">
        <f>IF(ISERROR(G666/#REF!),"NA",IF(OR(G666/#REF!&gt;2,G666/#REF!&lt;0.5),"NM",G666/#REF!*100-100))</f>
        <v>NA</v>
      </c>
      <c r="I666" s="725">
        <f>I500</f>
        <v>41.699999999999932</v>
      </c>
      <c r="J666" s="9" t="str">
        <f>IF(ISERROR(I666/#REF!),"NA",IF(OR(I666/#REF!&gt;2,I666/#REF!&lt;0.5),"NM",I666/#REF!*100-100))</f>
        <v>NA</v>
      </c>
      <c r="K666" s="725">
        <f>K500</f>
        <v>40.900000000000091</v>
      </c>
      <c r="L666" s="9">
        <f t="shared" si="3070"/>
        <v>28.213166144200983</v>
      </c>
      <c r="M666" s="725">
        <f>M500</f>
        <v>45.600000000000023</v>
      </c>
      <c r="N666" s="9">
        <f t="shared" si="3071"/>
        <v>15.443037974683605</v>
      </c>
      <c r="O666" s="725">
        <f>O500</f>
        <v>48.600000000000023</v>
      </c>
      <c r="P666" s="9">
        <f t="shared" si="3071"/>
        <v>-0.20533880903495572</v>
      </c>
      <c r="Q666" s="725">
        <f>Q500</f>
        <v>44.099999999999966</v>
      </c>
      <c r="R666" s="9">
        <f t="shared" si="3071"/>
        <v>5.7553956834533295</v>
      </c>
      <c r="S666" s="725">
        <f>S500</f>
        <v>42.184615384615455</v>
      </c>
      <c r="T666" s="9">
        <f t="shared" si="3071"/>
        <v>3.1408689110400019</v>
      </c>
      <c r="U666" s="725">
        <f>U500</f>
        <v>51.400000000000034</v>
      </c>
      <c r="V666" s="9">
        <f t="shared" si="3071"/>
        <v>12.71929824561407</v>
      </c>
      <c r="W666" s="725">
        <f>W500</f>
        <v>53.246153846153824</v>
      </c>
      <c r="X666" s="9">
        <f t="shared" si="3071"/>
        <v>9.5599873377650226</v>
      </c>
      <c r="Y666" s="725">
        <f>Y500</f>
        <v>56.800000000000011</v>
      </c>
      <c r="Z666" s="9">
        <f t="shared" si="3071"/>
        <v>28.798185941043215</v>
      </c>
      <c r="AA666" s="725">
        <f>AA500</f>
        <v>38.599999999999966</v>
      </c>
      <c r="AB666" s="9">
        <f t="shared" si="3071"/>
        <v>-8.4974471188915572</v>
      </c>
      <c r="AC666" s="725">
        <f>AC500</f>
        <v>66.500000000000114</v>
      </c>
      <c r="AD666" s="9">
        <f t="shared" si="3072"/>
        <v>29.37743190661493</v>
      </c>
      <c r="AE666" s="725">
        <f>AE500</f>
        <v>56.000000000000092</v>
      </c>
      <c r="AF666" s="9">
        <f t="shared" si="3072"/>
        <v>5.171915631320644</v>
      </c>
      <c r="AG666" s="725">
        <f>AG500</f>
        <v>66.899999999999977</v>
      </c>
      <c r="AH666" s="9">
        <f t="shared" si="3073"/>
        <v>17.781690140845001</v>
      </c>
      <c r="AI666" s="725">
        <f>AI500</f>
        <v>45.5</v>
      </c>
      <c r="AJ666" s="9">
        <f t="shared" si="3074"/>
        <v>17.875647668393896</v>
      </c>
      <c r="AK666" s="725">
        <f>AK500</f>
        <v>63.599999999999966</v>
      </c>
      <c r="AL666" s="9">
        <f t="shared" si="3075"/>
        <v>-4.3609022556393029</v>
      </c>
      <c r="AM666" s="725">
        <f>AM500</f>
        <v>69.800000000000011</v>
      </c>
      <c r="AN666" s="9">
        <f t="shared" si="3076"/>
        <v>24.642857142856968</v>
      </c>
      <c r="AO666" s="725">
        <f>AO500</f>
        <v>62.599999999999909</v>
      </c>
      <c r="AP666" s="9">
        <f t="shared" si="3077"/>
        <v>-6.4275037369208832</v>
      </c>
      <c r="AQ666" s="725">
        <f t="shared" ref="AQ666" si="3099">AQ500</f>
        <v>56.458019284956038</v>
      </c>
      <c r="AR666" s="9">
        <f t="shared" si="3078"/>
        <v>24.08355886803524</v>
      </c>
      <c r="AS666" s="725">
        <f t="shared" ref="AS666" si="3100">AS500</f>
        <v>65.749889880234036</v>
      </c>
      <c r="AT666" s="9">
        <f t="shared" si="3079"/>
        <v>3.3803300003680334</v>
      </c>
      <c r="AU666" s="725">
        <f t="shared" ref="AU666" si="3101">AU500</f>
        <v>75.248319734541496</v>
      </c>
      <c r="AV666" s="9">
        <f t="shared" si="3080"/>
        <v>7.8056156655322155</v>
      </c>
      <c r="AW666" s="725">
        <f t="shared" ref="AW666" si="3102">AW500</f>
        <v>80.076433950049818</v>
      </c>
      <c r="AX666" s="9">
        <f t="shared" si="3081"/>
        <v>27.917626118290627</v>
      </c>
      <c r="AY666" s="293"/>
      <c r="AZ666" s="165"/>
      <c r="BA666" s="9"/>
      <c r="BB666" s="725">
        <f>BB500</f>
        <v>161.79999999999973</v>
      </c>
      <c r="BC666" s="9" t="str">
        <f>IF(ISERROR(BB666/#REF!),"NA",IF(OR(BB666/#REF!&gt;2,BB666/#REF!&lt;0.5),"NM",BB666/#REF!*100-100))</f>
        <v>NA</v>
      </c>
      <c r="BD666" s="961">
        <f>BD500</f>
        <v>179.19999999999982</v>
      </c>
      <c r="BE666" s="9">
        <f t="shared" si="3082"/>
        <v>10.754017305315287</v>
      </c>
      <c r="BF666" s="725">
        <f>BF500</f>
        <v>203.63076923076954</v>
      </c>
      <c r="BG666" s="9">
        <f t="shared" si="3082"/>
        <v>13.63324175824205</v>
      </c>
      <c r="BH666" s="725">
        <f>BH500</f>
        <v>228.00000000000009</v>
      </c>
      <c r="BI666" s="9">
        <f t="shared" si="3082"/>
        <v>11.967361740707034</v>
      </c>
      <c r="BJ666" s="725">
        <f>BJ500</f>
        <v>241.49999999999955</v>
      </c>
      <c r="BK666" s="9">
        <f t="shared" si="3082"/>
        <v>5.9210526315787178</v>
      </c>
      <c r="BL666" s="725">
        <f>BL500</f>
        <v>277.53266284978167</v>
      </c>
      <c r="BM666" s="9">
        <f t="shared" si="3082"/>
        <v>14.9203572876945</v>
      </c>
      <c r="BN666" s="725">
        <f>BN500</f>
        <v>292.15154771861262</v>
      </c>
      <c r="BO666" s="9">
        <f t="shared" si="3082"/>
        <v>5.2674466200555372</v>
      </c>
      <c r="BP666" s="725">
        <f>BP500</f>
        <v>302.56401683520153</v>
      </c>
      <c r="BQ666" s="9">
        <f t="shared" si="3082"/>
        <v>3.564064335068224</v>
      </c>
      <c r="BR666" s="725">
        <f>BR500</f>
        <v>313.05489576432819</v>
      </c>
      <c r="BS666" s="9">
        <f t="shared" si="3082"/>
        <v>3.467325374266423</v>
      </c>
      <c r="BT666" s="725">
        <f>BT500</f>
        <v>323.58675111707817</v>
      </c>
      <c r="BU666" s="9">
        <f t="shared" si="3083"/>
        <v>3.3642199803444441</v>
      </c>
      <c r="BV666" s="43">
        <f t="shared" si="3084"/>
        <v>6.0265717735567659</v>
      </c>
      <c r="BW666" s="722"/>
      <c r="BX666" s="722"/>
      <c r="BY666"/>
      <c r="BZ666"/>
      <c r="CA666"/>
      <c r="CB666"/>
      <c r="CC666"/>
      <c r="CD666"/>
    </row>
    <row r="667" spans="1:82" s="2" customFormat="1" ht="12.75" customHeight="1" x14ac:dyDescent="0.2">
      <c r="A667" s="41"/>
      <c r="B667" s="42" t="s">
        <v>324</v>
      </c>
      <c r="C667" s="725">
        <f>C568</f>
        <v>-44.100000000000009</v>
      </c>
      <c r="D667" s="743" t="str">
        <f>IF(ISERROR(C667/#REF!),"NA",IF(OR(C667/#REF!&gt;2,C667/#REF!&lt;0.5),"NM",C667/#REF!*100-100))</f>
        <v>NA</v>
      </c>
      <c r="E667" s="725">
        <f>E568</f>
        <v>-49.000000000000007</v>
      </c>
      <c r="F667" s="743" t="str">
        <f>IF(ISERROR(E667/#REF!),"NA",IF(OR(E667/#REF!&gt;2,E667/#REF!&lt;0.5),"NM",E667/#REF!*100-100))</f>
        <v>NA</v>
      </c>
      <c r="G667" s="725">
        <f t="shared" ref="G667:M667" si="3103">G568</f>
        <v>-41.499999999999993</v>
      </c>
      <c r="H667" s="9" t="str">
        <f>IF(ISERROR(G667/#REF!),"NA",IF(OR(G667/#REF!&gt;2,G667/#REF!&lt;0.5),"NM",G667/#REF!*100-100))</f>
        <v>NA</v>
      </c>
      <c r="I667" s="725">
        <f t="shared" si="3103"/>
        <v>-49.269230769230774</v>
      </c>
      <c r="J667" s="9" t="str">
        <f>IF(ISERROR(I667/#REF!),"NA",IF(OR(I667/#REF!&gt;2,I667/#REF!&lt;0.5),"NM",I667/#REF!*100-100))</f>
        <v>NA</v>
      </c>
      <c r="K667" s="725">
        <f t="shared" si="3103"/>
        <v>-42.7</v>
      </c>
      <c r="L667" s="9">
        <f t="shared" si="3070"/>
        <v>-3.1746031746031917</v>
      </c>
      <c r="M667" s="725">
        <f t="shared" si="3103"/>
        <v>-39.800000000000004</v>
      </c>
      <c r="N667" s="9">
        <f t="shared" si="3071"/>
        <v>-18.775510204081641</v>
      </c>
      <c r="O667" s="725">
        <f>O568</f>
        <v>-43.2</v>
      </c>
      <c r="P667" s="9">
        <f t="shared" si="3071"/>
        <v>4.0963855421686901</v>
      </c>
      <c r="Q667" s="725">
        <f>Q568</f>
        <v>-58.330769230769235</v>
      </c>
      <c r="R667" s="9">
        <f t="shared" si="3071"/>
        <v>18.391881342701026</v>
      </c>
      <c r="S667" s="725">
        <f>S568</f>
        <v>-37.300000000000004</v>
      </c>
      <c r="T667" s="9">
        <f t="shared" si="3071"/>
        <v>-12.646370023419195</v>
      </c>
      <c r="U667" s="725">
        <f>U568</f>
        <v>-36.969230769230776</v>
      </c>
      <c r="V667" s="9">
        <f t="shared" si="3071"/>
        <v>-7.1124855044453028</v>
      </c>
      <c r="W667" s="725">
        <f>W568</f>
        <v>-54</v>
      </c>
      <c r="X667" s="9">
        <f t="shared" si="3071"/>
        <v>25</v>
      </c>
      <c r="Y667" s="725">
        <f>Y568</f>
        <v>-54.8</v>
      </c>
      <c r="Z667" s="9">
        <f t="shared" si="3071"/>
        <v>-6.0530133192667961</v>
      </c>
      <c r="AA667" s="725">
        <f>AA568</f>
        <v>-53.29999999999999</v>
      </c>
      <c r="AB667" s="9">
        <f t="shared" si="3071"/>
        <v>42.895442359249301</v>
      </c>
      <c r="AC667" s="725">
        <f>AC568</f>
        <v>-54.499999999999993</v>
      </c>
      <c r="AD667" s="9">
        <f t="shared" si="3072"/>
        <v>47.419891801914218</v>
      </c>
      <c r="AE667" s="725">
        <f>AE568</f>
        <v>-57.8</v>
      </c>
      <c r="AF667" s="9">
        <f t="shared" si="3072"/>
        <v>7.0370370370370381</v>
      </c>
      <c r="AG667" s="725">
        <f>AG568</f>
        <v>-53.3</v>
      </c>
      <c r="AH667" s="9">
        <f t="shared" si="3073"/>
        <v>-2.7372262773722582</v>
      </c>
      <c r="AI667" s="725">
        <f>AI568</f>
        <v>-58.5</v>
      </c>
      <c r="AJ667" s="9">
        <f t="shared" si="3074"/>
        <v>9.7560975609756468</v>
      </c>
      <c r="AK667" s="725">
        <f>AK568</f>
        <v>-47.5</v>
      </c>
      <c r="AL667" s="9">
        <f t="shared" si="3075"/>
        <v>-12.844036697247702</v>
      </c>
      <c r="AM667" s="725">
        <f>AM568</f>
        <v>-42.999999999999993</v>
      </c>
      <c r="AN667" s="9">
        <f t="shared" si="3076"/>
        <v>-25.605536332179938</v>
      </c>
      <c r="AO667" s="725">
        <f>AO568</f>
        <v>-61.499999999999993</v>
      </c>
      <c r="AP667" s="9">
        <f t="shared" si="3077"/>
        <v>15.384615384615373</v>
      </c>
      <c r="AQ667" s="725">
        <f t="shared" ref="AQ667:AW667" si="3104">AQ568</f>
        <v>-51.500259740259729</v>
      </c>
      <c r="AR667" s="9">
        <f t="shared" si="3078"/>
        <v>-11.965367965367989</v>
      </c>
      <c r="AS667" s="725">
        <f t="shared" si="3104"/>
        <v>-51.500259740259729</v>
      </c>
      <c r="AT667" s="9">
        <f t="shared" si="3079"/>
        <v>8.4215994531783736</v>
      </c>
      <c r="AU667" s="725">
        <f t="shared" si="3104"/>
        <v>-51.500259740259729</v>
      </c>
      <c r="AV667" s="9">
        <f t="shared" si="3080"/>
        <v>19.768045907580785</v>
      </c>
      <c r="AW667" s="725">
        <f t="shared" si="3104"/>
        <v>-51.500259740259729</v>
      </c>
      <c r="AX667" s="9">
        <f t="shared" si="3081"/>
        <v>-16.259740259740269</v>
      </c>
      <c r="AY667" s="293"/>
      <c r="AZ667" s="165"/>
      <c r="BA667" s="9"/>
      <c r="BB667" s="725">
        <f>BB568</f>
        <v>-183.86923076923077</v>
      </c>
      <c r="BC667" s="9" t="str">
        <f>IF(ISERROR(BB667/#REF!),"NA",IF(OR(BB667/#REF!&gt;2,BB667/#REF!&lt;0.5),"NM",BB667/#REF!*100-100))</f>
        <v>NA</v>
      </c>
      <c r="BD667" s="961">
        <f>BD568</f>
        <v>-184.03076923076924</v>
      </c>
      <c r="BE667" s="9">
        <f t="shared" si="3082"/>
        <v>8.7855080952195408E-2</v>
      </c>
      <c r="BF667" s="725">
        <f>BF568</f>
        <v>-183.06923076923076</v>
      </c>
      <c r="BG667" s="9">
        <f t="shared" si="3082"/>
        <v>-0.52248787828122545</v>
      </c>
      <c r="BH667" s="725">
        <f>BH568</f>
        <v>-218.89999999999998</v>
      </c>
      <c r="BI667" s="9">
        <f t="shared" si="3082"/>
        <v>19.572250934913242</v>
      </c>
      <c r="BJ667" s="725">
        <f>BJ568</f>
        <v>-210.5</v>
      </c>
      <c r="BK667" s="9">
        <f t="shared" si="3082"/>
        <v>-3.8373686614892648</v>
      </c>
      <c r="BL667" s="725">
        <f>BL568</f>
        <v>-206.00103896103892</v>
      </c>
      <c r="BM667" s="9">
        <f t="shared" si="3082"/>
        <v>-2.1372736527131053</v>
      </c>
      <c r="BN667" s="725">
        <f>BN568</f>
        <v>-206.70183896103896</v>
      </c>
      <c r="BO667" s="9">
        <f t="shared" si="3082"/>
        <v>0.3401924589965688</v>
      </c>
      <c r="BP667" s="725">
        <f>BP568</f>
        <v>-214.90795896103896</v>
      </c>
      <c r="BQ667" s="9">
        <f t="shared" si="3082"/>
        <v>3.9700275726848986</v>
      </c>
      <c r="BR667" s="725">
        <f>BR568</f>
        <v>-223.47907056103895</v>
      </c>
      <c r="BS667" s="9">
        <f t="shared" si="3082"/>
        <v>3.9882709051058782</v>
      </c>
      <c r="BT667" s="725">
        <f>BT568</f>
        <v>-232.43251705303899</v>
      </c>
      <c r="BU667" s="9">
        <f t="shared" si="3083"/>
        <v>4.0063915021315495</v>
      </c>
      <c r="BV667" s="43">
        <f t="shared" si="3084"/>
        <v>2.0020633596808057</v>
      </c>
      <c r="BW667" s="722"/>
      <c r="BX667" s="722"/>
      <c r="BY667"/>
      <c r="BZ667"/>
      <c r="CA667"/>
      <c r="CB667"/>
      <c r="CC667"/>
      <c r="CD667"/>
    </row>
    <row r="668" spans="1:82" s="2" customFormat="1" ht="12.75" customHeight="1" x14ac:dyDescent="0.2">
      <c r="A668" s="41"/>
      <c r="B668" s="80" t="s">
        <v>560</v>
      </c>
      <c r="C668" s="728">
        <f>C659+C662+C663+C664+C667</f>
        <v>301.46153846153857</v>
      </c>
      <c r="D668" s="743" t="str">
        <f>IF(ISERROR(C668/#REF!),"NA",IF(OR(C668/#REF!&gt;2,C668/#REF!&lt;0.5),"NM",C668/#REF!*100-100))</f>
        <v>NA</v>
      </c>
      <c r="E668" s="728">
        <f>E659+E662+E663+E664+E667</f>
        <v>370.91538461538465</v>
      </c>
      <c r="F668" s="743" t="str">
        <f>IF(ISERROR(E668/#REF!),"NA",IF(OR(E668/#REF!&gt;2,E668/#REF!&lt;0.5),"NM",E668/#REF!*100-100))</f>
        <v>NA</v>
      </c>
      <c r="G668" s="728">
        <f>G659+G662+G663+G664+G667</f>
        <v>375.48461538461555</v>
      </c>
      <c r="H668" s="9" t="str">
        <f>IF(ISERROR(G668/#REF!),"NA",IF(OR(G668/#REF!&gt;2,G668/#REF!&lt;0.5),"NM",G668/#REF!*100-100))</f>
        <v>NA</v>
      </c>
      <c r="I668" s="728">
        <f>I659+I662+I663+I664+I667</f>
        <v>394.13846153846151</v>
      </c>
      <c r="J668" s="9" t="str">
        <f>IF(ISERROR(I668/#REF!),"NA",IF(OR(I668/#REF!&gt;2,I668/#REF!&lt;0.5),"NM",I668/#REF!*100-100))</f>
        <v>NA</v>
      </c>
      <c r="K668" s="728">
        <f t="shared" ref="K668:M668" si="3105">K659+K662+K663+K664+K667</f>
        <v>364.54615384615397</v>
      </c>
      <c r="L668" s="9">
        <f t="shared" si="3070"/>
        <v>20.92625669813728</v>
      </c>
      <c r="M668" s="728">
        <f t="shared" si="3105"/>
        <v>412.69230769230762</v>
      </c>
      <c r="N668" s="9">
        <f t="shared" si="3071"/>
        <v>11.263195006117897</v>
      </c>
      <c r="O668" s="728">
        <f>O659+O662+O663+O664+O667</f>
        <v>398.52307692307704</v>
      </c>
      <c r="P668" s="9">
        <f t="shared" si="3071"/>
        <v>6.1356605822219308</v>
      </c>
      <c r="Q668" s="728">
        <f t="shared" ref="Q668:W668" si="3106">Q659+Q662+Q663+Q664+Q667</f>
        <v>400.76923076923089</v>
      </c>
      <c r="R668" s="9">
        <f t="shared" si="3071"/>
        <v>1.6823451344705376</v>
      </c>
      <c r="S668" s="728">
        <f t="shared" si="3106"/>
        <v>402.43846153846147</v>
      </c>
      <c r="T668" s="9">
        <f t="shared" si="3071"/>
        <v>10.394378679496043</v>
      </c>
      <c r="U668" s="728">
        <f t="shared" si="3106"/>
        <v>434.11538461538458</v>
      </c>
      <c r="V668" s="9">
        <f t="shared" si="3071"/>
        <v>5.1910531220876095</v>
      </c>
      <c r="W668" s="728">
        <f t="shared" si="3106"/>
        <v>390.80000000000007</v>
      </c>
      <c r="X668" s="9">
        <f t="shared" si="3071"/>
        <v>-1.9379246448424965</v>
      </c>
      <c r="Y668" s="728">
        <f t="shared" ref="Y668:AA668" si="3107">Y659+Y662+Y663+Y664+Y667</f>
        <v>387.90000000000003</v>
      </c>
      <c r="Z668" s="9">
        <f t="shared" si="3071"/>
        <v>-3.2111324376199804</v>
      </c>
      <c r="AA668" s="728">
        <f t="shared" si="3107"/>
        <v>356.29999999999995</v>
      </c>
      <c r="AB668" s="9">
        <f t="shared" si="3071"/>
        <v>-11.464724659288564</v>
      </c>
      <c r="AC668" s="728">
        <f t="shared" ref="AC668:AE668" si="3108">AC659+AC662+AC663+AC664+AC667</f>
        <v>431.19999999999993</v>
      </c>
      <c r="AD668" s="9">
        <f t="shared" si="3072"/>
        <v>-0.67156906175246434</v>
      </c>
      <c r="AE668" s="728">
        <f t="shared" si="3108"/>
        <v>447.4000000000002</v>
      </c>
      <c r="AF668" s="9">
        <f t="shared" si="3072"/>
        <v>14.483111566018451</v>
      </c>
      <c r="AG668" s="728">
        <f t="shared" ref="AG668:AI668" si="3109">AG659+AG662+AG663+AG664+AG667</f>
        <v>458.7999999999999</v>
      </c>
      <c r="AH668" s="9">
        <f t="shared" si="3073"/>
        <v>18.277906676978574</v>
      </c>
      <c r="AI668" s="728">
        <f t="shared" si="3109"/>
        <v>449.8</v>
      </c>
      <c r="AJ668" s="9">
        <f t="shared" si="3074"/>
        <v>26.241930957058671</v>
      </c>
      <c r="AK668" s="728">
        <f t="shared" ref="AK668:AM668" si="3110">AK659+AK662+AK663+AK664+AK667</f>
        <v>489.50000000000011</v>
      </c>
      <c r="AL668" s="9">
        <f t="shared" si="3075"/>
        <v>13.520408163265344</v>
      </c>
      <c r="AM668" s="728">
        <f t="shared" si="3110"/>
        <v>519.90000000000009</v>
      </c>
      <c r="AN668" s="9">
        <f t="shared" si="3076"/>
        <v>16.204738489047799</v>
      </c>
      <c r="AO668" s="728">
        <f t="shared" ref="AO668" si="3111">AO659+AO662+AO663+AO664+AO667</f>
        <v>453.49999999999977</v>
      </c>
      <c r="AP668" s="9">
        <f t="shared" si="3077"/>
        <v>-1.1551874455100517</v>
      </c>
      <c r="AQ668" s="728">
        <f t="shared" ref="AQ668:AW668" si="3112">AQ659+AQ662+AQ663+AQ664+AQ667</f>
        <v>491.99524432143357</v>
      </c>
      <c r="AR668" s="9">
        <f t="shared" si="3078"/>
        <v>9.3808902448718499</v>
      </c>
      <c r="AS668" s="728">
        <f t="shared" si="3112"/>
        <v>501.06390495507867</v>
      </c>
      <c r="AT668" s="9">
        <f t="shared" si="3079"/>
        <v>2.3623912063490451</v>
      </c>
      <c r="AU668" s="728">
        <f t="shared" si="3112"/>
        <v>519.63403221869135</v>
      </c>
      <c r="AV668" s="9">
        <f t="shared" si="3080"/>
        <v>-5.1157488230188619E-2</v>
      </c>
      <c r="AW668" s="728">
        <f t="shared" si="3112"/>
        <v>537.4501252391517</v>
      </c>
      <c r="AX668" s="9">
        <f t="shared" si="3081"/>
        <v>18.511604242370879</v>
      </c>
      <c r="AY668" s="293"/>
      <c r="AZ668" s="165"/>
      <c r="BA668" s="9"/>
      <c r="BB668" s="728">
        <f>BB659+BB662+BB663+BB664+BB667</f>
        <v>1441.9999999999995</v>
      </c>
      <c r="BC668" s="9" t="str">
        <f>IF(ISERROR(BB668/#REF!),"NA",IF(OR(BB668/#REF!&gt;2,BB668/#REF!&lt;0.5),"NM",BB668/#REF!*100-100))</f>
        <v>NA</v>
      </c>
      <c r="BD668" s="966">
        <f>BD659+BD662+BD663+BD664+BD667</f>
        <v>1576.5307692307688</v>
      </c>
      <c r="BE668" s="9">
        <f t="shared" si="3082"/>
        <v>9.3294569508161658</v>
      </c>
      <c r="BF668" s="728">
        <f>BF659+BF662+BF663+BF664+BF667</f>
        <v>1615.2538461538466</v>
      </c>
      <c r="BG668" s="9">
        <f t="shared" si="3082"/>
        <v>2.456220815910342</v>
      </c>
      <c r="BH668" s="728">
        <f>BH659+BH662+BH663+BH664+BH667</f>
        <v>1693.7000000000007</v>
      </c>
      <c r="BI668" s="9">
        <f t="shared" si="3082"/>
        <v>4.8565836281984929</v>
      </c>
      <c r="BJ668" s="728">
        <f>BJ659+BJ662+BJ663+BJ664+BJ667</f>
        <v>1912.7000000000007</v>
      </c>
      <c r="BK668" s="9">
        <f t="shared" si="3082"/>
        <v>12.930271004310072</v>
      </c>
      <c r="BL668" s="728">
        <f>BL659+BL662+BL663+BL664+BL667</f>
        <v>2050.1433067343555</v>
      </c>
      <c r="BM668" s="9">
        <f t="shared" si="3082"/>
        <v>7.1858266709026424</v>
      </c>
      <c r="BN668" s="728">
        <f>BN659+BN662+BN663+BN664+BN667</f>
        <v>2152.5429853267619</v>
      </c>
      <c r="BO668" s="9">
        <f t="shared" si="3082"/>
        <v>4.9947571106879138</v>
      </c>
      <c r="BP668" s="728">
        <f t="shared" ref="BP668:BR668" si="3113">BP659+BP662+BP663+BP664+BP667</f>
        <v>2262.1211541109324</v>
      </c>
      <c r="BQ668" s="9">
        <f t="shared" si="3082"/>
        <v>5.0906378888194865</v>
      </c>
      <c r="BR668" s="728">
        <f t="shared" si="3113"/>
        <v>2364.8769688981479</v>
      </c>
      <c r="BS668" s="9">
        <f t="shared" si="3082"/>
        <v>4.5424540856478188</v>
      </c>
      <c r="BT668" s="728">
        <f t="shared" ref="BT668" si="3114">BT659+BT662+BT663+BT664+BT667</f>
        <v>2470.4230345843162</v>
      </c>
      <c r="BU668" s="9">
        <f t="shared" si="3083"/>
        <v>4.4630679343689081</v>
      </c>
      <c r="BV668" s="43">
        <f t="shared" si="3084"/>
        <v>5.2506760387326823</v>
      </c>
      <c r="BW668" s="722"/>
      <c r="BX668" s="722"/>
      <c r="BY668"/>
      <c r="BZ668"/>
      <c r="CA668"/>
      <c r="CB668"/>
      <c r="CC668"/>
      <c r="CD668"/>
    </row>
    <row r="669" spans="1:82" s="2" customFormat="1" ht="12.75" customHeight="1" x14ac:dyDescent="0.2">
      <c r="A669" s="41"/>
      <c r="B669" s="42" t="s">
        <v>59</v>
      </c>
      <c r="C669" s="725">
        <f>C145+C186+C337+C534+C566</f>
        <v>13.538461538461535</v>
      </c>
      <c r="D669" s="743" t="str">
        <f>IF(ISERROR(C669/#REF!),"NA",IF(OR(C669/#REF!&gt;2,C669/#REF!&lt;0.5),"NM",C669/#REF!*100-100))</f>
        <v>NA</v>
      </c>
      <c r="E669" s="725">
        <f>E145+E186+E337+E534+E566</f>
        <v>-4.615384615384615</v>
      </c>
      <c r="F669" s="743" t="str">
        <f>IF(ISERROR(E669/#REF!),"NA",IF(OR(E669/#REF!&gt;2,E669/#REF!&lt;0.5),"NM",E669/#REF!*100-100))</f>
        <v>NA</v>
      </c>
      <c r="G669" s="725">
        <f>G145+G186+G337+G534+G566</f>
        <v>-15.384615384615383</v>
      </c>
      <c r="H669" s="9" t="str">
        <f>IF(ISERROR(G669/#REF!),"NA",IF(OR(G669/#REF!&gt;2,G669/#REF!&lt;0.5),"NM",G669/#REF!*100-100))</f>
        <v>NA</v>
      </c>
      <c r="I669" s="725">
        <f>I145+I186+I337+I534+I566</f>
        <v>-1.5384615384615383</v>
      </c>
      <c r="J669" s="9" t="str">
        <f>IF(ISERROR(I669/#REF!),"NA",IF(OR(I669/#REF!&gt;2,I669/#REF!&lt;0.5),"NM",I669/#REF!*100-100))</f>
        <v>NA</v>
      </c>
      <c r="K669" s="725">
        <f>K145+K186+K337+K534+K566</f>
        <v>36.153846153846153</v>
      </c>
      <c r="L669" s="9" t="str">
        <f t="shared" si="3070"/>
        <v>NM</v>
      </c>
      <c r="M669" s="725">
        <f>M145+M186+M337+M534+M566</f>
        <v>22.307692307692307</v>
      </c>
      <c r="N669" s="9" t="str">
        <f t="shared" si="3071"/>
        <v>NM</v>
      </c>
      <c r="O669" s="725">
        <f>O145+O186+O337+O534+O566</f>
        <v>79.07692307692308</v>
      </c>
      <c r="P669" s="9" t="str">
        <f t="shared" si="3071"/>
        <v>NM</v>
      </c>
      <c r="Q669" s="725">
        <f>Q145+Q186+Q337+Q534+Q566</f>
        <v>9.2307692307692299</v>
      </c>
      <c r="R669" s="9" t="str">
        <f t="shared" si="3071"/>
        <v>NM</v>
      </c>
      <c r="S669" s="725">
        <f>S145+S186+S337+S534+S566</f>
        <v>18.46153846153846</v>
      </c>
      <c r="T669" s="9">
        <f t="shared" si="3071"/>
        <v>-48.936170212765958</v>
      </c>
      <c r="U669" s="725">
        <f>U145+U186+U337+U534+U566</f>
        <v>-4.615384615384615</v>
      </c>
      <c r="V669" s="9" t="str">
        <f t="shared" si="3071"/>
        <v>NM</v>
      </c>
      <c r="W669" s="725">
        <f>W145+W186+W337+W534+W566</f>
        <v>8</v>
      </c>
      <c r="X669" s="9" t="str">
        <f t="shared" si="3071"/>
        <v>NM</v>
      </c>
      <c r="Y669" s="725">
        <f>Y145+Y186+Y337+Y534+Y566</f>
        <v>0</v>
      </c>
      <c r="Z669" s="9" t="str">
        <f t="shared" si="3071"/>
        <v>NM</v>
      </c>
      <c r="AA669" s="725">
        <f>AA145+AA186+AA337+AA534+AA566</f>
        <v>0</v>
      </c>
      <c r="AB669" s="9" t="str">
        <f t="shared" si="3071"/>
        <v>NM</v>
      </c>
      <c r="AC669" s="725">
        <f>AC145+AC186+AC337+AC534+AC566</f>
        <v>0</v>
      </c>
      <c r="AD669" s="9" t="str">
        <f t="shared" si="3072"/>
        <v>NM</v>
      </c>
      <c r="AE669" s="725">
        <f>AE145+AE186+AE337+AE534+AE566</f>
        <v>-31.000000000000004</v>
      </c>
      <c r="AF669" s="9" t="str">
        <f t="shared" si="3072"/>
        <v>NM</v>
      </c>
      <c r="AG669" s="725">
        <f>AG145+AG186+AG337+AG534+AG566</f>
        <v>6</v>
      </c>
      <c r="AH669" s="9" t="str">
        <f t="shared" si="3073"/>
        <v>NA</v>
      </c>
      <c r="AI669" s="725">
        <f>AI145+AI186+AI337+AI534+AI566</f>
        <v>23</v>
      </c>
      <c r="AJ669" s="9" t="str">
        <f t="shared" si="3074"/>
        <v>NA</v>
      </c>
      <c r="AK669" s="725">
        <f>AK145+AK186+AK337+AK534+AK566</f>
        <v>5</v>
      </c>
      <c r="AL669" s="9" t="str">
        <f t="shared" si="3075"/>
        <v>NA</v>
      </c>
      <c r="AM669" s="725">
        <f>AM145+AM186+AM337+AM534+AM566</f>
        <v>-67</v>
      </c>
      <c r="AN669" s="9" t="str">
        <f t="shared" si="3076"/>
        <v>NM</v>
      </c>
      <c r="AO669" s="725">
        <f>AO145+AO186+AO337+AO534+AO566</f>
        <v>0</v>
      </c>
      <c r="AP669" s="9" t="str">
        <f t="shared" si="3077"/>
        <v>NM</v>
      </c>
      <c r="AQ669" s="651">
        <f>AQ145+AQ186+AQ337+AQ534+AQ566</f>
        <v>0</v>
      </c>
      <c r="AR669" s="9" t="str">
        <f t="shared" si="3078"/>
        <v>NM</v>
      </c>
      <c r="AS669" s="651">
        <f>AS145+AS186+AS337+AS534+AS566</f>
        <v>0</v>
      </c>
      <c r="AT669" s="9" t="str">
        <f t="shared" si="3079"/>
        <v>NM</v>
      </c>
      <c r="AU669" s="651">
        <f>AU145+AU186+AU337+AU534+AU566</f>
        <v>0</v>
      </c>
      <c r="AV669" s="9" t="str">
        <f t="shared" si="3080"/>
        <v>NM</v>
      </c>
      <c r="AW669" s="651">
        <f>AW145+AW186+AW337+AW534+AW566</f>
        <v>0</v>
      </c>
      <c r="AX669" s="9" t="str">
        <f t="shared" si="3081"/>
        <v>NA</v>
      </c>
      <c r="AY669" s="293"/>
      <c r="AZ669" s="165"/>
      <c r="BA669" s="9"/>
      <c r="BB669" s="725">
        <f>BB145+BB186+BB337+BB534+BB566</f>
        <v>-8.0000000000000018</v>
      </c>
      <c r="BC669" s="9" t="str">
        <f>IF(ISERROR(BB669/#REF!),"NA",IF(OR(BB669/#REF!&gt;2,BB669/#REF!&lt;0.5),"NM",BB669/#REF!*100-100))</f>
        <v>NA</v>
      </c>
      <c r="BD669" s="961">
        <f>BD145+BD186+BD337+BD534+BD566</f>
        <v>146.76923076923077</v>
      </c>
      <c r="BE669" s="9" t="str">
        <f t="shared" si="3082"/>
        <v>NM</v>
      </c>
      <c r="BF669" s="725">
        <f>BF145+BF186+BF337+BF534+BF566</f>
        <v>21.84615384615385</v>
      </c>
      <c r="BG669" s="9" t="str">
        <f t="shared" si="3082"/>
        <v>NM</v>
      </c>
      <c r="BH669" s="725">
        <f>BH145+BH186+BH337+BH534+BH566</f>
        <v>-25.000000000000004</v>
      </c>
      <c r="BI669" s="9" t="str">
        <f t="shared" si="3082"/>
        <v>NM</v>
      </c>
      <c r="BJ669" s="725">
        <f>BJ145+BJ186+BJ337+BJ534+BJ566</f>
        <v>-39</v>
      </c>
      <c r="BK669" s="9">
        <f t="shared" si="3082"/>
        <v>55.999999999999972</v>
      </c>
      <c r="BL669" s="725">
        <f>BL145+BL186+BL337+BL534+BL566</f>
        <v>0</v>
      </c>
      <c r="BM669" s="9" t="str">
        <f t="shared" si="3082"/>
        <v>NM</v>
      </c>
      <c r="BN669" s="725">
        <f>BN145+BN186+BN337+BN534+BN566</f>
        <v>0</v>
      </c>
      <c r="BO669" s="9" t="str">
        <f t="shared" si="3082"/>
        <v>NA</v>
      </c>
      <c r="BP669" s="725">
        <f>BP145+BP186+BP337+BP534+BP566</f>
        <v>0</v>
      </c>
      <c r="BQ669" s="9" t="str">
        <f t="shared" si="3082"/>
        <v>NA</v>
      </c>
      <c r="BR669" s="725">
        <f>BR145+BR186+BR337+BR534+BR566</f>
        <v>0</v>
      </c>
      <c r="BS669" s="9" t="str">
        <f t="shared" si="3082"/>
        <v>NA</v>
      </c>
      <c r="BT669" s="725">
        <f>BT145+BT186+BT337+BT534+BT566</f>
        <v>0</v>
      </c>
      <c r="BU669" s="9" t="str">
        <f t="shared" si="3083"/>
        <v>NA</v>
      </c>
      <c r="BV669" s="43" t="str">
        <f t="shared" si="3084"/>
        <v>NM</v>
      </c>
      <c r="BW669" s="722"/>
      <c r="BX669" s="722"/>
      <c r="BY669"/>
      <c r="BZ669"/>
      <c r="CA669"/>
      <c r="CB669"/>
      <c r="CC669"/>
      <c r="CD669"/>
    </row>
    <row r="670" spans="1:82" s="2" customFormat="1" ht="12.75" customHeight="1" x14ac:dyDescent="0.2">
      <c r="A670" s="41"/>
      <c r="B670" s="80" t="s">
        <v>584</v>
      </c>
      <c r="C670" s="728">
        <f t="shared" ref="C670:W670" si="3115">C668+C669</f>
        <v>315.00000000000011</v>
      </c>
      <c r="D670" s="743" t="str">
        <f>IF(ISERROR(C670/#REF!),"NA",IF(OR(C670/#REF!&gt;2,C670/#REF!&lt;0.5),"NM",C670/#REF!*100-100))</f>
        <v>NA</v>
      </c>
      <c r="E670" s="728">
        <f t="shared" si="3115"/>
        <v>366.3</v>
      </c>
      <c r="F670" s="743" t="str">
        <f>IF(ISERROR(E670/#REF!),"NA",IF(OR(E670/#REF!&gt;2,E670/#REF!&lt;0.5),"NM",E670/#REF!*100-100))</f>
        <v>NA</v>
      </c>
      <c r="G670" s="728">
        <f t="shared" si="3115"/>
        <v>360.10000000000019</v>
      </c>
      <c r="H670" s="9" t="str">
        <f>IF(ISERROR(G670/#REF!),"NA",IF(OR(G670/#REF!&gt;2,G670/#REF!&lt;0.5),"NM",G670/#REF!*100-100))</f>
        <v>NA</v>
      </c>
      <c r="I670" s="728">
        <f>I668+I669</f>
        <v>392.59999999999997</v>
      </c>
      <c r="J670" s="9" t="str">
        <f>IF(ISERROR(I670/#REF!),"NA",IF(OR(I670/#REF!&gt;2,I670/#REF!&lt;0.5),"NM",I670/#REF!*100-100))</f>
        <v>NA</v>
      </c>
      <c r="K670" s="728">
        <f t="shared" si="3115"/>
        <v>400.7000000000001</v>
      </c>
      <c r="L670" s="9">
        <f t="shared" si="3070"/>
        <v>27.206349206349188</v>
      </c>
      <c r="M670" s="728">
        <f t="shared" si="3115"/>
        <v>434.99999999999994</v>
      </c>
      <c r="N670" s="9">
        <f t="shared" si="3071"/>
        <v>18.75511875511873</v>
      </c>
      <c r="O670" s="728">
        <f t="shared" si="3115"/>
        <v>477.60000000000014</v>
      </c>
      <c r="P670" s="9">
        <f t="shared" si="3071"/>
        <v>32.629825048597581</v>
      </c>
      <c r="Q670" s="728">
        <f t="shared" si="3115"/>
        <v>410.00000000000011</v>
      </c>
      <c r="R670" s="9">
        <f t="shared" si="3071"/>
        <v>4.4319918492104335</v>
      </c>
      <c r="S670" s="728">
        <f t="shared" si="3115"/>
        <v>420.89999999999992</v>
      </c>
      <c r="T670" s="9">
        <f t="shared" si="3071"/>
        <v>5.0411779386073903</v>
      </c>
      <c r="U670" s="728">
        <f t="shared" si="3115"/>
        <v>429.49999999999994</v>
      </c>
      <c r="V670" s="9">
        <f t="shared" si="3071"/>
        <v>-1.2643678160919478</v>
      </c>
      <c r="W670" s="728">
        <f t="shared" si="3115"/>
        <v>398.80000000000007</v>
      </c>
      <c r="X670" s="9">
        <f t="shared" si="3071"/>
        <v>-16.499162479061994</v>
      </c>
      <c r="Y670" s="728">
        <f t="shared" ref="Y670:AA670" si="3116">Y668+Y669</f>
        <v>387.90000000000003</v>
      </c>
      <c r="Z670" s="9">
        <f t="shared" si="3071"/>
        <v>-5.3902439024390389</v>
      </c>
      <c r="AA670" s="728">
        <f t="shared" si="3116"/>
        <v>356.29999999999995</v>
      </c>
      <c r="AB670" s="9">
        <f t="shared" si="3071"/>
        <v>-15.348063673081498</v>
      </c>
      <c r="AC670" s="728">
        <f t="shared" ref="AC670:AE670" si="3117">AC668+AC669</f>
        <v>431.19999999999993</v>
      </c>
      <c r="AD670" s="9">
        <f t="shared" si="3072"/>
        <v>0.39580908032594664</v>
      </c>
      <c r="AE670" s="728">
        <f t="shared" si="3117"/>
        <v>416.4000000000002</v>
      </c>
      <c r="AF670" s="9">
        <f t="shared" si="3072"/>
        <v>4.4132397191575023</v>
      </c>
      <c r="AG670" s="728">
        <f t="shared" ref="AG670:AI670" si="3118">AG668+AG669</f>
        <v>464.7999999999999</v>
      </c>
      <c r="AH670" s="9">
        <f t="shared" si="3073"/>
        <v>19.824697086878018</v>
      </c>
      <c r="AI670" s="728">
        <f t="shared" si="3118"/>
        <v>472.8</v>
      </c>
      <c r="AJ670" s="9">
        <f t="shared" si="3074"/>
        <v>32.697165310131936</v>
      </c>
      <c r="AK670" s="728">
        <f t="shared" ref="AK670:AM670" si="3119">AK668+AK669</f>
        <v>494.50000000000011</v>
      </c>
      <c r="AL670" s="9">
        <f t="shared" si="3075"/>
        <v>14.679962894248646</v>
      </c>
      <c r="AM670" s="728">
        <f t="shared" si="3119"/>
        <v>452.90000000000009</v>
      </c>
      <c r="AN670" s="9">
        <f t="shared" si="3076"/>
        <v>8.7656099903938127</v>
      </c>
      <c r="AO670" s="728">
        <f t="shared" ref="AO670" si="3120">AO668+AO669</f>
        <v>453.49999999999977</v>
      </c>
      <c r="AP670" s="9">
        <f t="shared" si="3077"/>
        <v>-2.4311531841652538</v>
      </c>
      <c r="AQ670" s="728">
        <f t="shared" ref="AQ670:AW670" si="3121">AQ668+AQ669</f>
        <v>491.99524432143357</v>
      </c>
      <c r="AR670" s="9">
        <f t="shared" si="3078"/>
        <v>4.0599078514030396</v>
      </c>
      <c r="AS670" s="728">
        <f t="shared" si="3121"/>
        <v>501.06390495507867</v>
      </c>
      <c r="AT670" s="9">
        <f t="shared" si="3079"/>
        <v>1.3273821951625138</v>
      </c>
      <c r="AU670" s="728">
        <f t="shared" si="3121"/>
        <v>519.63403221869135</v>
      </c>
      <c r="AV670" s="9">
        <f t="shared" si="3080"/>
        <v>14.734827162440098</v>
      </c>
      <c r="AW670" s="728">
        <f t="shared" si="3121"/>
        <v>537.4501252391517</v>
      </c>
      <c r="AX670" s="9">
        <f t="shared" si="3081"/>
        <v>18.511604242370879</v>
      </c>
      <c r="AY670" s="293"/>
      <c r="AZ670" s="165"/>
      <c r="BA670" s="9"/>
      <c r="BB670" s="728">
        <f>BB668+BB669</f>
        <v>1433.9999999999995</v>
      </c>
      <c r="BC670" s="9" t="str">
        <f>IF(ISERROR(BB670/#REF!),"NA",IF(OR(BB670/#REF!&gt;2,BB670/#REF!&lt;0.5),"NM",BB670/#REF!*100-100))</f>
        <v>NA</v>
      </c>
      <c r="BD670" s="966">
        <f>BD668+BD669</f>
        <v>1723.2999999999995</v>
      </c>
      <c r="BE670" s="9">
        <f t="shared" si="3082"/>
        <v>20.174337517433756</v>
      </c>
      <c r="BF670" s="728">
        <f>BF668+BF669</f>
        <v>1637.1000000000004</v>
      </c>
      <c r="BG670" s="9">
        <f t="shared" si="3082"/>
        <v>-5.0020309870596549</v>
      </c>
      <c r="BH670" s="728">
        <f>BH668+BH669</f>
        <v>1668.7000000000007</v>
      </c>
      <c r="BI670" s="9">
        <f t="shared" si="3082"/>
        <v>1.9302425019852336</v>
      </c>
      <c r="BJ670" s="728">
        <f>BJ668+BJ669</f>
        <v>1873.7000000000007</v>
      </c>
      <c r="BK670" s="9">
        <f t="shared" si="3082"/>
        <v>12.285012285012286</v>
      </c>
      <c r="BL670" s="728">
        <f>BL668+BL669</f>
        <v>2050.1433067343555</v>
      </c>
      <c r="BM670" s="9">
        <f t="shared" si="3082"/>
        <v>9.4168387006647265</v>
      </c>
      <c r="BN670" s="728">
        <f>BN668+BN669</f>
        <v>2152.5429853267619</v>
      </c>
      <c r="BO670" s="9">
        <f t="shared" si="3082"/>
        <v>4.9947571106879138</v>
      </c>
      <c r="BP670" s="728">
        <f>BP668+BP669</f>
        <v>2262.1211541109324</v>
      </c>
      <c r="BQ670" s="9">
        <f t="shared" si="3082"/>
        <v>5.0906378888194865</v>
      </c>
      <c r="BR670" s="728">
        <f>BR668+BR669</f>
        <v>2364.8769688981479</v>
      </c>
      <c r="BS670" s="9">
        <f t="shared" si="3082"/>
        <v>4.5424540856478188</v>
      </c>
      <c r="BT670" s="728">
        <f>BT668+BT669</f>
        <v>2470.4230345843162</v>
      </c>
      <c r="BU670" s="9">
        <f t="shared" si="3083"/>
        <v>4.4630679343689081</v>
      </c>
      <c r="BV670" s="43">
        <f t="shared" si="3084"/>
        <v>5.6852196278541767</v>
      </c>
      <c r="BW670" s="722"/>
      <c r="BX670" s="722"/>
      <c r="BY670"/>
      <c r="BZ670"/>
      <c r="CA670"/>
      <c r="CB670"/>
      <c r="CC670"/>
      <c r="CD670"/>
    </row>
    <row r="671" spans="1:82" s="2" customFormat="1" ht="12.75" customHeight="1" x14ac:dyDescent="0.2">
      <c r="A671" s="41"/>
      <c r="B671" s="90" t="s">
        <v>167</v>
      </c>
      <c r="C671" s="709" t="b">
        <f t="shared" ref="C671:U671" si="3122">C670=C586</f>
        <v>1</v>
      </c>
      <c r="D671" s="709"/>
      <c r="E671" s="709" t="b">
        <f t="shared" si="3122"/>
        <v>1</v>
      </c>
      <c r="F671" s="709"/>
      <c r="G671" s="709" t="b">
        <f t="shared" si="3122"/>
        <v>1</v>
      </c>
      <c r="H671" s="709"/>
      <c r="I671" s="709" t="b">
        <f>I670=I586</f>
        <v>1</v>
      </c>
      <c r="J671" s="709"/>
      <c r="K671" s="709" t="b">
        <f t="shared" si="3122"/>
        <v>1</v>
      </c>
      <c r="L671" s="709"/>
      <c r="M671" s="709" t="b">
        <f t="shared" si="3122"/>
        <v>1</v>
      </c>
      <c r="N671" s="709"/>
      <c r="O671" s="709" t="b">
        <f t="shared" si="3122"/>
        <v>1</v>
      </c>
      <c r="P671" s="709"/>
      <c r="Q671" s="709" t="b">
        <f t="shared" si="3122"/>
        <v>0</v>
      </c>
      <c r="R671" s="709"/>
      <c r="S671" s="709" t="b">
        <f t="shared" si="3122"/>
        <v>0</v>
      </c>
      <c r="T671" s="709"/>
      <c r="U671" s="709" t="b">
        <f t="shared" si="3122"/>
        <v>1</v>
      </c>
      <c r="V671" s="709"/>
      <c r="W671" s="709" t="b">
        <f>W670=W586</f>
        <v>0</v>
      </c>
      <c r="X671" s="709"/>
      <c r="Y671" s="709" t="b">
        <f>Y670=Y586</f>
        <v>1</v>
      </c>
      <c r="Z671" s="709"/>
      <c r="AA671" s="709" t="b">
        <f>AA670=AA586</f>
        <v>1</v>
      </c>
      <c r="AB671" s="709"/>
      <c r="AC671" s="709" t="b">
        <f>AC670=AC586</f>
        <v>1</v>
      </c>
      <c r="AD671" s="709"/>
      <c r="AE671" s="709" t="b">
        <f>AE670=AE586</f>
        <v>1</v>
      </c>
      <c r="AF671" s="709"/>
      <c r="AG671" s="709" t="b">
        <f>AG670=AG586</f>
        <v>1</v>
      </c>
      <c r="AH671" s="9"/>
      <c r="AI671" s="709" t="b">
        <f>AI670=AI586</f>
        <v>1</v>
      </c>
      <c r="AJ671" s="9"/>
      <c r="AK671" s="709" t="b">
        <f>AK670=AK586</f>
        <v>1</v>
      </c>
      <c r="AL671" s="9"/>
      <c r="AM671" s="709" t="b">
        <f>AM670=AM586</f>
        <v>1</v>
      </c>
      <c r="AN671" s="9"/>
      <c r="AO671" s="709" t="b">
        <f>AO670=AO586</f>
        <v>1</v>
      </c>
      <c r="AP671" s="9"/>
      <c r="AQ671" s="705" t="b">
        <f t="shared" ref="AQ671" si="3123">ROUND(AQ670,3)=ROUND(AQ586,3)</f>
        <v>1</v>
      </c>
      <c r="AR671" s="9"/>
      <c r="AS671" s="705" t="b">
        <f t="shared" ref="AS671" si="3124">ROUND(AS670,3)=ROUND(AS586,3)</f>
        <v>1</v>
      </c>
      <c r="AT671" s="9"/>
      <c r="AU671" s="705" t="b">
        <f t="shared" ref="AU671" si="3125">ROUND(AU670,3)=ROUND(AU586,3)</f>
        <v>1</v>
      </c>
      <c r="AV671" s="9"/>
      <c r="AW671" s="705" t="b">
        <f t="shared" ref="AW671" si="3126">ROUND(AW670,3)=ROUND(AW586,3)</f>
        <v>1</v>
      </c>
      <c r="AX671" s="9"/>
      <c r="AY671" s="293"/>
      <c r="AZ671" s="165"/>
      <c r="BA671" s="9"/>
      <c r="BB671" s="709" t="b">
        <f>BB670=BB586</f>
        <v>1</v>
      </c>
      <c r="BC671" s="9"/>
      <c r="BD671" s="967" t="b">
        <f>BD670=BD586</f>
        <v>1</v>
      </c>
      <c r="BE671" s="9"/>
      <c r="BF671" s="709" t="b">
        <f>BF670=BF586</f>
        <v>1</v>
      </c>
      <c r="BG671" s="9"/>
      <c r="BH671" s="709" t="b">
        <f t="shared" ref="BH671:BP671" si="3127">BH670=BH586</f>
        <v>1</v>
      </c>
      <c r="BI671" s="9"/>
      <c r="BJ671" s="709" t="b">
        <f t="shared" ref="BJ671" si="3128">BJ670=BJ586</f>
        <v>1</v>
      </c>
      <c r="BK671" s="9"/>
      <c r="BL671" s="709" t="b">
        <f t="shared" ref="BL671" si="3129">BL670=BL586</f>
        <v>0</v>
      </c>
      <c r="BM671" s="9"/>
      <c r="BN671" s="709" t="b">
        <f t="shared" si="3127"/>
        <v>1</v>
      </c>
      <c r="BO671" s="9"/>
      <c r="BP671" s="709" t="b">
        <f t="shared" si="3127"/>
        <v>1</v>
      </c>
      <c r="BQ671" s="9"/>
      <c r="BR671" s="709" t="b">
        <f t="shared" ref="BR671:BT671" si="3130">BR670=BR586</f>
        <v>1</v>
      </c>
      <c r="BS671" s="9"/>
      <c r="BT671" s="709" t="b">
        <f t="shared" si="3130"/>
        <v>1</v>
      </c>
      <c r="BU671" s="9"/>
      <c r="BV671" s="43"/>
      <c r="BW671" s="722"/>
      <c r="BX671" s="722"/>
      <c r="BY671"/>
      <c r="BZ671"/>
      <c r="CA671"/>
      <c r="CB671"/>
      <c r="CC671"/>
      <c r="CD671"/>
    </row>
    <row r="672" spans="1:82" s="2" customFormat="1" ht="12.75" customHeight="1" x14ac:dyDescent="0.2">
      <c r="A672" s="41"/>
      <c r="B672" s="80"/>
      <c r="C672" s="724"/>
      <c r="D672" s="9"/>
      <c r="E672" s="724"/>
      <c r="F672" s="9"/>
      <c r="G672" s="724"/>
      <c r="H672" s="9"/>
      <c r="I672" s="724"/>
      <c r="J672" s="9"/>
      <c r="K672" s="724"/>
      <c r="L672" s="9"/>
      <c r="M672" s="724"/>
      <c r="N672" s="9"/>
      <c r="O672" s="728"/>
      <c r="P672" s="9"/>
      <c r="Q672" s="728"/>
      <c r="R672" s="9"/>
      <c r="S672" s="728"/>
      <c r="T672" s="9"/>
      <c r="U672" s="728"/>
      <c r="V672" s="9"/>
      <c r="W672" s="728"/>
      <c r="X672" s="9"/>
      <c r="Y672" s="728"/>
      <c r="Z672" s="9"/>
      <c r="AA672" s="728"/>
      <c r="AB672" s="9"/>
      <c r="AC672" s="728"/>
      <c r="AD672" s="9"/>
      <c r="AE672" s="728"/>
      <c r="AF672" s="9"/>
      <c r="AG672" s="728"/>
      <c r="AH672" s="9"/>
      <c r="AI672" s="728"/>
      <c r="AJ672" s="9"/>
      <c r="AK672" s="728"/>
      <c r="AL672" s="9"/>
      <c r="AM672" s="728"/>
      <c r="AN672" s="9"/>
      <c r="AO672" s="728"/>
      <c r="AP672" s="9"/>
      <c r="AQ672" s="728"/>
      <c r="AR672" s="9"/>
      <c r="AS672" s="728"/>
      <c r="AT672" s="9"/>
      <c r="AU672" s="728"/>
      <c r="AV672" s="9"/>
      <c r="AW672" s="728"/>
      <c r="AX672" s="9"/>
      <c r="AY672" s="293"/>
      <c r="AZ672" s="165"/>
      <c r="BA672" s="9"/>
      <c r="BB672" s="724"/>
      <c r="BC672" s="9"/>
      <c r="BD672" s="965"/>
      <c r="BE672" s="9"/>
      <c r="BF672" s="724"/>
      <c r="BG672" s="9"/>
      <c r="BH672" s="724"/>
      <c r="BI672" s="9"/>
      <c r="BJ672" s="724"/>
      <c r="BK672" s="9"/>
      <c r="BL672" s="724"/>
      <c r="BM672" s="9"/>
      <c r="BN672" s="724"/>
      <c r="BO672" s="9"/>
      <c r="BP672" s="724"/>
      <c r="BQ672" s="9"/>
      <c r="BR672" s="724"/>
      <c r="BS672" s="9"/>
      <c r="BT672" s="724"/>
      <c r="BU672" s="9"/>
      <c r="BV672" s="43"/>
      <c r="BW672" s="722"/>
      <c r="BX672" s="722"/>
      <c r="BY672"/>
      <c r="BZ672"/>
      <c r="CA672"/>
      <c r="CB672"/>
      <c r="CC672"/>
      <c r="CD672"/>
    </row>
    <row r="673" spans="1:82" s="2" customFormat="1" ht="12.75" customHeight="1" x14ac:dyDescent="0.2">
      <c r="A673" s="41"/>
      <c r="B673" s="80" t="s">
        <v>61</v>
      </c>
      <c r="C673" s="724"/>
      <c r="D673" s="9"/>
      <c r="E673" s="724"/>
      <c r="F673" s="9"/>
      <c r="G673" s="724"/>
      <c r="H673" s="9"/>
      <c r="I673" s="724"/>
      <c r="J673" s="9"/>
      <c r="K673" s="724"/>
      <c r="L673" s="9"/>
      <c r="M673" s="724"/>
      <c r="N673" s="9"/>
      <c r="O673" s="728"/>
      <c r="P673" s="9"/>
      <c r="Q673" s="728"/>
      <c r="R673" s="9"/>
      <c r="S673" s="728"/>
      <c r="T673" s="9"/>
      <c r="U673" s="728"/>
      <c r="V673" s="9"/>
      <c r="W673" s="728"/>
      <c r="X673" s="9"/>
      <c r="Y673" s="728"/>
      <c r="Z673" s="9"/>
      <c r="AA673" s="728"/>
      <c r="AB673" s="9"/>
      <c r="AC673" s="728"/>
      <c r="AD673" s="9"/>
      <c r="AE673" s="728"/>
      <c r="AF673" s="9"/>
      <c r="AG673" s="728"/>
      <c r="AH673" s="9"/>
      <c r="AI673" s="728"/>
      <c r="AJ673" s="9"/>
      <c r="AK673" s="728"/>
      <c r="AL673" s="9"/>
      <c r="AM673" s="728"/>
      <c r="AN673" s="9"/>
      <c r="AO673" s="728"/>
      <c r="AP673" s="9"/>
      <c r="AQ673" s="728"/>
      <c r="AR673" s="9"/>
      <c r="AS673" s="728"/>
      <c r="AT673" s="9"/>
      <c r="AU673" s="728"/>
      <c r="AV673" s="9"/>
      <c r="AW673" s="728"/>
      <c r="AX673" s="9"/>
      <c r="AY673" s="293"/>
      <c r="AZ673" s="165"/>
      <c r="BA673" s="9"/>
      <c r="BB673" s="724"/>
      <c r="BC673" s="9"/>
      <c r="BD673" s="965"/>
      <c r="BE673" s="9"/>
      <c r="BF673" s="724"/>
      <c r="BG673" s="9"/>
      <c r="BH673" s="724"/>
      <c r="BI673" s="9"/>
      <c r="BJ673" s="724"/>
      <c r="BK673" s="9"/>
      <c r="BL673" s="724"/>
      <c r="BM673" s="9"/>
      <c r="BN673" s="724"/>
      <c r="BO673" s="9"/>
      <c r="BP673" s="724"/>
      <c r="BQ673" s="9"/>
      <c r="BR673" s="724"/>
      <c r="BS673" s="9"/>
      <c r="BT673" s="724"/>
      <c r="BU673" s="9"/>
      <c r="BV673" s="43"/>
      <c r="BW673" s="722"/>
      <c r="BX673" s="722"/>
      <c r="BY673"/>
      <c r="BZ673"/>
      <c r="CA673"/>
      <c r="CB673"/>
      <c r="CC673"/>
      <c r="CD673"/>
    </row>
    <row r="674" spans="1:82" s="2" customFormat="1" ht="12.75" customHeight="1" x14ac:dyDescent="0.2">
      <c r="A674" s="41"/>
      <c r="B674" s="42" t="s">
        <v>590</v>
      </c>
      <c r="C674" s="724"/>
      <c r="D674" s="9"/>
      <c r="E674" s="724"/>
      <c r="F674" s="9"/>
      <c r="G674" s="724"/>
      <c r="H674" s="9"/>
      <c r="I674" s="724"/>
      <c r="J674" s="9"/>
      <c r="K674" s="724"/>
      <c r="L674" s="9"/>
      <c r="M674" s="728"/>
      <c r="N674" s="9"/>
      <c r="O674" s="728">
        <f>O618+O627+O628</f>
        <v>333.6</v>
      </c>
      <c r="P674" s="9" t="str">
        <f t="shared" ref="P674:P691" si="3131">IF(ISERROR(O674/G674),"NA",IF(OR(O674/G674&gt;2,O674/G674&lt;0.5),"NM",O674/G674*100-100))</f>
        <v>NA</v>
      </c>
      <c r="Q674" s="728">
        <f>Q618+Q627+Q628</f>
        <v>316.29999999999995</v>
      </c>
      <c r="R674" s="9" t="str">
        <f t="shared" ref="R674:R691" si="3132">IF(ISERROR(Q674/I674),"NA",IF(OR(Q674/I674&gt;2,Q674/I674&lt;0.5),"NM",Q674/I674*100-100))</f>
        <v>NA</v>
      </c>
      <c r="S674" s="728">
        <f>S618+S627+S628</f>
        <v>315.19999999999993</v>
      </c>
      <c r="T674" s="9" t="str">
        <f t="shared" ref="T674:T691" si="3133">IF(ISERROR(S674/K674),"NA",IF(OR(S674/K674&gt;2,S674/K674&lt;0.5),"NM",S674/K674*100-100))</f>
        <v>NA</v>
      </c>
      <c r="U674" s="728">
        <f>U618+U627+U628</f>
        <v>314.09999999999997</v>
      </c>
      <c r="V674" s="9" t="str">
        <f t="shared" ref="V674:V691" si="3134">IF(ISERROR(U674/M674),"NA",IF(OR(U674/M674&gt;2,U674/M674&lt;0.5),"NM",U674/M674*100-100))</f>
        <v>NA</v>
      </c>
      <c r="W674" s="728">
        <f>W618+W627+W628</f>
        <v>229.99999999999994</v>
      </c>
      <c r="X674" s="9">
        <f t="shared" ref="X674:X691" si="3135">IF(ISERROR(W674/O674),"NA",IF(OR(W674/O674&gt;2,W674/O674&lt;0.5),"NM",W674/O674*100-100))</f>
        <v>-31.055155875299775</v>
      </c>
      <c r="Y674" s="728">
        <f>Y618+Y627+Y628</f>
        <v>294</v>
      </c>
      <c r="Z674" s="9">
        <f t="shared" ref="Z674:Z691" si="3136">IF(ISERROR(Y674/Q674),"NA",IF(OR(Y674/Q674&gt;2,Y674/Q674&lt;0.5),"NM",Y674/Q674*100-100))</f>
        <v>-7.0502687322162387</v>
      </c>
      <c r="AA674" s="728">
        <f>AA618+AA627+AA628</f>
        <v>261.70000000000005</v>
      </c>
      <c r="AB674" s="9">
        <f t="shared" ref="AB674:AB691" si="3137">IF(ISERROR(AA674/S674),"NA",IF(OR(AA674/S674&gt;2,AA674/S674&lt;0.5),"NM",AA674/S674*100-100))</f>
        <v>-16.97335025380707</v>
      </c>
      <c r="AC674" s="728">
        <f>AC618+AC627+AC628</f>
        <v>311.89999999999992</v>
      </c>
      <c r="AD674" s="9">
        <f t="shared" ref="AD674:AD691" si="3138">IF(ISERROR(AC674/U674),"NA",IF(OR(AC674/U674&gt;2,AC674/U674&lt;0.5),"NM",AC674/U674*100-100))</f>
        <v>-0.70041388092964496</v>
      </c>
      <c r="AE674" s="728">
        <f>AE618+AE627+AE628</f>
        <v>328</v>
      </c>
      <c r="AF674" s="9">
        <f t="shared" ref="AF674:AF691" si="3139">IF(ISERROR(AE674/W674),"NA",IF(OR(AE674/W674&gt;2,AE674/W674&lt;0.5),"NM",AE674/W674*100-100))</f>
        <v>42.608695652173964</v>
      </c>
      <c r="AG674" s="728">
        <f>AG618+AG627+AG628</f>
        <v>323.7000000000001</v>
      </c>
      <c r="AH674" s="9">
        <f t="shared" ref="AH674:AH691" si="3140">IF(ISERROR(AG674/Y674),"NA",IF(OR(AG674/Y674&gt;2,AG674/Y674&lt;0.5),"NM",AG674/Y674*100-100))</f>
        <v>10.102040816326578</v>
      </c>
      <c r="AI674" s="728">
        <f>AI618+AI627+AI628</f>
        <v>345.59999999999991</v>
      </c>
      <c r="AJ674" s="9">
        <f t="shared" ref="AJ674:AJ689" si="3141">IF(ISERROR(AI674/AA674),"NA",IF(OR(AI674/AA674&gt;2,AI674/AA674&lt;0.5),"NM",AI674/AA674*100-100))</f>
        <v>32.059610240733605</v>
      </c>
      <c r="AK674" s="728">
        <f>AK618+AK627+AK628</f>
        <v>341.29999999999995</v>
      </c>
      <c r="AL674" s="9">
        <f t="shared" ref="AL674:AL689" si="3142">IF(ISERROR(AK674/AC674),"NA",IF(OR(AK674/AC674&gt;2,AK674/AC674&lt;0.5),"NM",AK674/AC674*100-100))</f>
        <v>9.4260981083680804</v>
      </c>
      <c r="AM674" s="728">
        <f>AM618+AM627+AM628</f>
        <v>310.60000000000002</v>
      </c>
      <c r="AN674" s="9">
        <f t="shared" ref="AN674:AN689" si="3143">IF(ISERROR(AM674/AE674),"NA",IF(OR(AM674/AE674&gt;2,AM674/AE674&lt;0.5),"NM",AM674/AE674*100-100))</f>
        <v>-5.3048780487804805</v>
      </c>
      <c r="AO674" s="728">
        <f>AO618+AO627+AO628</f>
        <v>329.00000000000011</v>
      </c>
      <c r="AP674" s="9">
        <f t="shared" ref="AP674:AP689" si="3144">IF(ISERROR(AO674/AG674),"NA",IF(OR(AO674/AG674&gt;2,AO674/AG674&lt;0.5),"NM",AO674/AG674*100-100))</f>
        <v>1.6373185047883823</v>
      </c>
      <c r="AQ674" s="728">
        <f t="shared" ref="AQ674:AW674" si="3145">AQ618+AQ627+AQ628</f>
        <v>360.41000830434444</v>
      </c>
      <c r="AR674" s="9">
        <f t="shared" ref="AR674:AR689" si="3146">IF(ISERROR(AQ674/AI674),"NA",IF(OR(AQ674/AI674&gt;2,AQ674/AI674&lt;0.5),"NM",AQ674/AI674*100-100))</f>
        <v>4.2853033288033942</v>
      </c>
      <c r="AS674" s="728">
        <f t="shared" si="3145"/>
        <v>361.72495592952157</v>
      </c>
      <c r="AT674" s="9">
        <f t="shared" ref="AT674:AT689" si="3147">IF(ISERROR(AS674/AK674),"NA",IF(OR(AS674/AK674&gt;2,AS674/AK674&lt;0.5),"NM",AS674/AK674*100-100))</f>
        <v>5.9844582272258009</v>
      </c>
      <c r="AU674" s="728">
        <f t="shared" si="3145"/>
        <v>366.0319249781503</v>
      </c>
      <c r="AV674" s="9">
        <f t="shared" ref="AV674:AV689" si="3148">IF(ISERROR(AU674/AM674),"NA",IF(OR(AU674/AM674&gt;2,AU674/AM674&lt;0.5),"NM",AU674/AM674*100-100))</f>
        <v>17.846724075386433</v>
      </c>
      <c r="AW674" s="728">
        <f t="shared" si="3145"/>
        <v>377.47114233007181</v>
      </c>
      <c r="AX674" s="9">
        <f t="shared" ref="AX674:AX689" si="3149">IF(ISERROR(AW674/AO674),"NA",IF(OR(AW674/AO674&gt;2,AW674/AO674&lt;0.5),"NM",AW674/AO674*100-100))</f>
        <v>14.732870009140314</v>
      </c>
      <c r="AY674" s="293"/>
      <c r="AZ674" s="165"/>
      <c r="BA674" s="9"/>
      <c r="BB674" s="724"/>
      <c r="BC674" s="9"/>
      <c r="BD674" s="728"/>
      <c r="BE674" s="9"/>
      <c r="BF674" s="728">
        <f>BF618+BF627+BF628</f>
        <v>1153.3</v>
      </c>
      <c r="BG674" s="9" t="str">
        <f t="shared" ref="BG674:BG691" si="3150">IF(ISERROR(BF674/BD674),"NA",IF(OR(BF674/BD674&gt;2,BF674/BD674&lt;0.5),"NM",BF674/BD674*100-100))</f>
        <v>NA</v>
      </c>
      <c r="BH674" s="728">
        <f>BH618+BH627+BH628</f>
        <v>1225.3</v>
      </c>
      <c r="BI674" s="9">
        <f t="shared" ref="BI674:BS691" si="3151">IF(ISERROR(BH674/BF674),"NA",IF(OR(BH674/BF674&gt;2,BH674/BF674&lt;0.5),"NM",BH674/BF674*100-100))</f>
        <v>6.2429549986993749</v>
      </c>
      <c r="BJ674" s="728">
        <f>BJ618+BJ627+BJ628</f>
        <v>1326.5</v>
      </c>
      <c r="BK674" s="9">
        <f t="shared" si="3151"/>
        <v>8.2592018281237216</v>
      </c>
      <c r="BL674" s="728">
        <f>BL618+BL627+BL628</f>
        <v>1465.6380315420879</v>
      </c>
      <c r="BM674" s="9">
        <f t="shared" si="3151"/>
        <v>10.489109049535458</v>
      </c>
      <c r="BN674" s="728">
        <f>BN618+BN627+BN628</f>
        <v>1533.9126035893039</v>
      </c>
      <c r="BO674" s="9">
        <f t="shared" si="3151"/>
        <v>4.6583515559691193</v>
      </c>
      <c r="BP674" s="728">
        <f>BP618+BP627+BP628</f>
        <v>1619.5944269728773</v>
      </c>
      <c r="BQ674" s="9">
        <f t="shared" si="3151"/>
        <v>5.5858347589739452</v>
      </c>
      <c r="BR674" s="728">
        <f>BR618+BR627+BR628</f>
        <v>1696.4741547733338</v>
      </c>
      <c r="BS674" s="9">
        <f t="shared" si="3151"/>
        <v>4.7468506016132324</v>
      </c>
      <c r="BT674" s="728">
        <f>BT618+BT627+BT628</f>
        <v>1776.0392237831363</v>
      </c>
      <c r="BU674" s="9">
        <f t="shared" ref="BU674:BU689" si="3152">IF(ISERROR(BT674/BR674),"NA",IF(OR(BT674/BR674&gt;2,BT674/BR674&lt;0.5),"NM",BT674/BR674*100-100))</f>
        <v>4.6900254145300124</v>
      </c>
      <c r="BV674" s="43">
        <f t="shared" ref="BV674:BV689" si="3153">IF(ISERROR(((BT674/BJ674)^0.2-1)*100),"NA",IF((((BT674/BJ674)^0.2-1)*100)&gt;100,"NM",IF((((BT674/BJ674)^0.2-1)*100)&lt;-50,"NM",((BT674/BJ674)^0.2-1)*100)))</f>
        <v>6.0105431692670352</v>
      </c>
      <c r="BW674" s="722"/>
      <c r="BX674" s="722"/>
      <c r="BY674"/>
      <c r="BZ674"/>
      <c r="CA674"/>
      <c r="CB674"/>
      <c r="CC674"/>
      <c r="CD674"/>
    </row>
    <row r="675" spans="1:82" s="2" customFormat="1" ht="12.75" customHeight="1" x14ac:dyDescent="0.2">
      <c r="A675" s="41"/>
      <c r="B675" s="5" t="s">
        <v>123</v>
      </c>
      <c r="C675" s="724"/>
      <c r="D675" s="9"/>
      <c r="E675" s="724"/>
      <c r="F675" s="9"/>
      <c r="G675" s="724"/>
      <c r="H675" s="9"/>
      <c r="I675" s="724"/>
      <c r="J675" s="9"/>
      <c r="K675" s="724"/>
      <c r="L675" s="9"/>
      <c r="M675" s="724"/>
      <c r="N675" s="9"/>
      <c r="O675" s="725">
        <f>O674-O677</f>
        <v>74.600000000000023</v>
      </c>
      <c r="P675" s="9" t="str">
        <f t="shared" si="3131"/>
        <v>NA</v>
      </c>
      <c r="Q675" s="725">
        <f>Q674-Q677</f>
        <v>63.499999999999943</v>
      </c>
      <c r="R675" s="9" t="str">
        <f t="shared" si="3132"/>
        <v>NA</v>
      </c>
      <c r="S675" s="725">
        <f>S674-S677</f>
        <v>57.499999999999943</v>
      </c>
      <c r="T675" s="9" t="str">
        <f t="shared" si="3133"/>
        <v>NA</v>
      </c>
      <c r="U675" s="725">
        <f>U674-U677</f>
        <v>58.099999999999966</v>
      </c>
      <c r="V675" s="9" t="str">
        <f t="shared" si="3134"/>
        <v>NA</v>
      </c>
      <c r="W675" s="725">
        <f>W674-W677</f>
        <v>26.699999999999932</v>
      </c>
      <c r="X675" s="9" t="str">
        <f t="shared" si="3135"/>
        <v>NM</v>
      </c>
      <c r="Y675" s="725">
        <f>Y674-Y677</f>
        <v>59.699999999999989</v>
      </c>
      <c r="Z675" s="9">
        <f t="shared" si="3136"/>
        <v>-5.9842519685038695</v>
      </c>
      <c r="AA675" s="725">
        <f>AA674-AA677</f>
        <v>47.200000000000045</v>
      </c>
      <c r="AB675" s="9">
        <f t="shared" si="3137"/>
        <v>-17.913043478260704</v>
      </c>
      <c r="AC675" s="725">
        <f>AC674-AC677</f>
        <v>60.999999999999915</v>
      </c>
      <c r="AD675" s="9">
        <f t="shared" si="3138"/>
        <v>4.9913941480205608</v>
      </c>
      <c r="AE675" s="725">
        <f>AE674-AE677</f>
        <v>67.399999999999977</v>
      </c>
      <c r="AF675" s="9" t="str">
        <f t="shared" si="3139"/>
        <v>NM</v>
      </c>
      <c r="AG675" s="725">
        <f>AG674-AG677</f>
        <v>61.900000000000091</v>
      </c>
      <c r="AH675" s="9">
        <f t="shared" si="3140"/>
        <v>3.6850921273033492</v>
      </c>
      <c r="AI675" s="725">
        <f>AI674-AI677</f>
        <v>65.199999999999932</v>
      </c>
      <c r="AJ675" s="9">
        <f t="shared" si="3141"/>
        <v>38.135593220338706</v>
      </c>
      <c r="AK675" s="725">
        <f>AK674-AK677</f>
        <v>70.199999999999932</v>
      </c>
      <c r="AL675" s="9">
        <f t="shared" si="3142"/>
        <v>15.081967213114808</v>
      </c>
      <c r="AM675" s="725">
        <f>AM674-AM677</f>
        <v>54.700000000000017</v>
      </c>
      <c r="AN675" s="9">
        <f t="shared" si="3143"/>
        <v>-18.84272997032636</v>
      </c>
      <c r="AO675" s="725">
        <f>AO674-AO677</f>
        <v>69.500000000000114</v>
      </c>
      <c r="AP675" s="9">
        <f t="shared" si="3144"/>
        <v>12.277867528271429</v>
      </c>
      <c r="AQ675" s="725">
        <f t="shared" ref="AQ675:AW675" si="3154">AQ676*AQ674/100</f>
        <v>68.477901577825435</v>
      </c>
      <c r="AR675" s="9">
        <f t="shared" si="3146"/>
        <v>5.027456407707831</v>
      </c>
      <c r="AS675" s="725">
        <f t="shared" si="3154"/>
        <v>68.727741626609088</v>
      </c>
      <c r="AT675" s="9">
        <f t="shared" si="3147"/>
        <v>-2.0972341501294096</v>
      </c>
      <c r="AU675" s="725">
        <f t="shared" si="3154"/>
        <v>69.546065745848551</v>
      </c>
      <c r="AV675" s="9">
        <f t="shared" si="3148"/>
        <v>27.140888018004631</v>
      </c>
      <c r="AW675" s="725">
        <f t="shared" si="3154"/>
        <v>71.719517042713647</v>
      </c>
      <c r="AX675" s="9">
        <f t="shared" si="3149"/>
        <v>3.193549701746079</v>
      </c>
      <c r="AY675" s="293"/>
      <c r="AZ675" s="165"/>
      <c r="BA675" s="9"/>
      <c r="BB675" s="724"/>
      <c r="BC675" s="9"/>
      <c r="BD675" s="965"/>
      <c r="BE675" s="9"/>
      <c r="BF675" s="650">
        <f>S675+U675+W675+Y675</f>
        <v>201.99999999999983</v>
      </c>
      <c r="BG675" s="9" t="str">
        <f t="shared" si="3150"/>
        <v>NA</v>
      </c>
      <c r="BH675" s="650">
        <f>AA675+AC675+AE675+AG675</f>
        <v>237.50000000000003</v>
      </c>
      <c r="BI675" s="9">
        <f t="shared" si="3151"/>
        <v>17.574257425742672</v>
      </c>
      <c r="BJ675" s="650">
        <f>AI675+AK675+AM675+AO675</f>
        <v>259.60000000000002</v>
      </c>
      <c r="BK675" s="9">
        <f t="shared" si="3151"/>
        <v>9.3052631578947285</v>
      </c>
      <c r="BL675" s="650">
        <f>AQ675+AS675+AU675+AW675</f>
        <v>278.47122599299672</v>
      </c>
      <c r="BM675" s="9">
        <f t="shared" si="3151"/>
        <v>7.2693474549294024</v>
      </c>
      <c r="BN675" s="725">
        <f>BN676*BN674/100</f>
        <v>291.44339468196773</v>
      </c>
      <c r="BO675" s="9">
        <f t="shared" si="3151"/>
        <v>4.6583515559690909</v>
      </c>
      <c r="BP675" s="725">
        <f>BP676*BP674/100</f>
        <v>307.72294112484667</v>
      </c>
      <c r="BQ675" s="9">
        <f t="shared" si="3151"/>
        <v>5.5858347589739452</v>
      </c>
      <c r="BR675" s="725">
        <f>BR676*BR674/100</f>
        <v>322.33008940693338</v>
      </c>
      <c r="BS675" s="9">
        <f t="shared" si="3151"/>
        <v>4.7468506016132324</v>
      </c>
      <c r="BT675" s="725">
        <f>BT676*BT674/100</f>
        <v>337.4474525187959</v>
      </c>
      <c r="BU675" s="9">
        <f t="shared" si="3152"/>
        <v>4.6900254145300266</v>
      </c>
      <c r="BV675" s="43">
        <f t="shared" si="3153"/>
        <v>5.3853623588420163</v>
      </c>
      <c r="BW675" s="722"/>
      <c r="BX675" s="722"/>
      <c r="BY675"/>
      <c r="BZ675"/>
      <c r="CA675"/>
      <c r="CB675"/>
      <c r="CC675"/>
      <c r="CD675"/>
    </row>
    <row r="676" spans="1:82" s="2" customFormat="1" ht="12.75" customHeight="1" x14ac:dyDescent="0.2">
      <c r="A676" s="41"/>
      <c r="B676" s="5" t="s">
        <v>534</v>
      </c>
      <c r="C676" s="724"/>
      <c r="D676" s="9"/>
      <c r="E676" s="724"/>
      <c r="F676" s="9"/>
      <c r="G676" s="724"/>
      <c r="H676" s="9"/>
      <c r="I676" s="724"/>
      <c r="J676" s="9"/>
      <c r="K676" s="724"/>
      <c r="L676" s="9"/>
      <c r="M676" s="724"/>
      <c r="N676" s="9"/>
      <c r="O676" s="726">
        <f>O675/O674*100</f>
        <v>22.362110311750605</v>
      </c>
      <c r="P676" s="9" t="str">
        <f t="shared" si="3131"/>
        <v>NA</v>
      </c>
      <c r="Q676" s="726">
        <f>Q675/Q674*100</f>
        <v>20.075877331647156</v>
      </c>
      <c r="R676" s="9" t="str">
        <f t="shared" si="3132"/>
        <v>NA</v>
      </c>
      <c r="S676" s="726">
        <f>S675/S674*100</f>
        <v>18.242385786802014</v>
      </c>
      <c r="T676" s="9" t="str">
        <f t="shared" si="3133"/>
        <v>NA</v>
      </c>
      <c r="U676" s="726">
        <f>U675/U674*100</f>
        <v>18.497293855460036</v>
      </c>
      <c r="V676" s="9" t="str">
        <f t="shared" si="3134"/>
        <v>NA</v>
      </c>
      <c r="W676" s="726">
        <f>W675/W674*100</f>
        <v>11.608695652173887</v>
      </c>
      <c r="X676" s="9">
        <f t="shared" si="3135"/>
        <v>-48.087655903951642</v>
      </c>
      <c r="Y676" s="726">
        <f>Y675/Y674*100</f>
        <v>20.30612244897959</v>
      </c>
      <c r="Z676" s="9">
        <f t="shared" si="3136"/>
        <v>1.1468744978306802</v>
      </c>
      <c r="AA676" s="726">
        <f>AA675/AA674*100</f>
        <v>18.035918991211325</v>
      </c>
      <c r="AB676" s="9">
        <f t="shared" si="3137"/>
        <v>-1.1317971125249642</v>
      </c>
      <c r="AC676" s="726">
        <f>AC675/AC674*100</f>
        <v>19.557550496954129</v>
      </c>
      <c r="AD676" s="9">
        <f t="shared" si="3138"/>
        <v>5.7319554405041941</v>
      </c>
      <c r="AE676" s="726">
        <f>AE675/AE674*100</f>
        <v>20.548780487804873</v>
      </c>
      <c r="AF676" s="9">
        <f t="shared" si="3139"/>
        <v>77.011966748881321</v>
      </c>
      <c r="AG676" s="726">
        <f>AG675/AG674*100</f>
        <v>19.122644423849266</v>
      </c>
      <c r="AH676" s="9">
        <f t="shared" si="3140"/>
        <v>-5.8281832393352602</v>
      </c>
      <c r="AI676" s="726">
        <f>AI675/AI674*100</f>
        <v>18.865740740740726</v>
      </c>
      <c r="AJ676" s="9">
        <f t="shared" si="3141"/>
        <v>4.6009396578780439</v>
      </c>
      <c r="AK676" s="726">
        <f>AK675/AK674*100</f>
        <v>20.568414884266023</v>
      </c>
      <c r="AL676" s="9">
        <f t="shared" si="3142"/>
        <v>5.1686656131570601</v>
      </c>
      <c r="AM676" s="726">
        <f>AM675/AM674*100</f>
        <v>17.611075338055382</v>
      </c>
      <c r="AN676" s="9">
        <f t="shared" si="3143"/>
        <v>-14.296250580383287</v>
      </c>
      <c r="AO676" s="726">
        <f>AO675/AO674*100</f>
        <v>21.124620060790299</v>
      </c>
      <c r="AP676" s="9">
        <f t="shared" si="3144"/>
        <v>10.469135923712642</v>
      </c>
      <c r="AQ676" s="645">
        <v>19</v>
      </c>
      <c r="AR676" s="9">
        <f t="shared" si="3146"/>
        <v>0.71165644171786369</v>
      </c>
      <c r="AS676" s="645">
        <f t="shared" ref="AS676" si="3155">AQ676</f>
        <v>19</v>
      </c>
      <c r="AT676" s="9">
        <f t="shared" si="3147"/>
        <v>-7.6253561253560349</v>
      </c>
      <c r="AU676" s="645">
        <f t="shared" ref="AU676" si="3156">AS676</f>
        <v>19</v>
      </c>
      <c r="AV676" s="9">
        <f t="shared" si="3148"/>
        <v>7.8866544789762116</v>
      </c>
      <c r="AW676" s="645">
        <f t="shared" ref="AW676" si="3157">AU676</f>
        <v>19</v>
      </c>
      <c r="AX676" s="9">
        <f t="shared" si="3149"/>
        <v>-10.057553956834639</v>
      </c>
      <c r="AY676" s="293"/>
      <c r="AZ676" s="165"/>
      <c r="BA676" s="9"/>
      <c r="BB676" s="724"/>
      <c r="BC676" s="9"/>
      <c r="BD676" s="965"/>
      <c r="BE676" s="9"/>
      <c r="BF676" s="726">
        <f>BF675/BF674*100</f>
        <v>17.514957079684372</v>
      </c>
      <c r="BG676" s="9" t="str">
        <f t="shared" si="3150"/>
        <v>NA</v>
      </c>
      <c r="BH676" s="726">
        <f>BH675/BH674*100</f>
        <v>19.383008242879299</v>
      </c>
      <c r="BI676" s="9">
        <f t="shared" si="3151"/>
        <v>10.66546240847876</v>
      </c>
      <c r="BJ676" s="726">
        <f>BJ675/BJ674*100</f>
        <v>19.570297776102528</v>
      </c>
      <c r="BK676" s="9">
        <f t="shared" si="3151"/>
        <v>0.96625627393021318</v>
      </c>
      <c r="BL676" s="726">
        <f>BL675/BL674*100</f>
        <v>19</v>
      </c>
      <c r="BM676" s="9">
        <f t="shared" si="3151"/>
        <v>-2.9140986132511699</v>
      </c>
      <c r="BN676" s="645">
        <f>BL676</f>
        <v>19</v>
      </c>
      <c r="BO676" s="9">
        <f t="shared" si="3151"/>
        <v>0</v>
      </c>
      <c r="BP676" s="645">
        <f>BN676</f>
        <v>19</v>
      </c>
      <c r="BQ676" s="9">
        <f t="shared" si="3151"/>
        <v>0</v>
      </c>
      <c r="BR676" s="645">
        <f>BP676</f>
        <v>19</v>
      </c>
      <c r="BS676" s="9">
        <f t="shared" si="3151"/>
        <v>0</v>
      </c>
      <c r="BT676" s="645">
        <f>BR676</f>
        <v>19</v>
      </c>
      <c r="BU676" s="9">
        <f t="shared" si="3152"/>
        <v>0</v>
      </c>
      <c r="BV676" s="43">
        <f t="shared" si="3153"/>
        <v>-0.58973456010577019</v>
      </c>
      <c r="BW676" s="722"/>
      <c r="BX676" s="722"/>
      <c r="BY676"/>
      <c r="BZ676"/>
      <c r="CA676"/>
      <c r="CB676"/>
      <c r="CC676"/>
      <c r="CD676"/>
    </row>
    <row r="677" spans="1:82" s="2" customFormat="1" ht="12.75" customHeight="1" x14ac:dyDescent="0.2">
      <c r="A677" s="41"/>
      <c r="B677" s="80" t="s">
        <v>591</v>
      </c>
      <c r="C677" s="724"/>
      <c r="D677" s="9"/>
      <c r="E677" s="724"/>
      <c r="F677" s="9"/>
      <c r="G677" s="724"/>
      <c r="H677" s="9"/>
      <c r="I677" s="724"/>
      <c r="J677" s="9"/>
      <c r="K677" s="724"/>
      <c r="L677" s="9"/>
      <c r="M677" s="724"/>
      <c r="N677" s="9"/>
      <c r="O677" s="720">
        <v>259</v>
      </c>
      <c r="P677" s="9" t="str">
        <f t="shared" si="3131"/>
        <v>NA</v>
      </c>
      <c r="Q677" s="720">
        <v>252.8</v>
      </c>
      <c r="R677" s="9" t="str">
        <f t="shared" si="3132"/>
        <v>NA</v>
      </c>
      <c r="S677" s="720">
        <v>257.7</v>
      </c>
      <c r="T677" s="9" t="str">
        <f t="shared" si="3133"/>
        <v>NA</v>
      </c>
      <c r="U677" s="720">
        <v>256</v>
      </c>
      <c r="V677" s="9" t="str">
        <f t="shared" si="3134"/>
        <v>NA</v>
      </c>
      <c r="W677" s="720">
        <v>203.3</v>
      </c>
      <c r="X677" s="9">
        <f t="shared" si="3135"/>
        <v>-21.505791505791507</v>
      </c>
      <c r="Y677" s="720">
        <v>234.3</v>
      </c>
      <c r="Z677" s="9">
        <f t="shared" si="3136"/>
        <v>-7.3180379746835484</v>
      </c>
      <c r="AA677" s="720">
        <v>214.5</v>
      </c>
      <c r="AB677" s="9">
        <f t="shared" si="3137"/>
        <v>-16.763678696158323</v>
      </c>
      <c r="AC677" s="720">
        <v>250.9</v>
      </c>
      <c r="AD677" s="9">
        <f t="shared" si="3138"/>
        <v>-1.9921875</v>
      </c>
      <c r="AE677" s="720">
        <v>260.60000000000002</v>
      </c>
      <c r="AF677" s="9">
        <f t="shared" si="3139"/>
        <v>28.184948352188883</v>
      </c>
      <c r="AG677" s="720">
        <v>261.8</v>
      </c>
      <c r="AH677" s="9">
        <f t="shared" si="3140"/>
        <v>11.737089201877922</v>
      </c>
      <c r="AI677" s="720">
        <v>280.39999999999998</v>
      </c>
      <c r="AJ677" s="9">
        <f t="shared" si="3141"/>
        <v>30.72261072261071</v>
      </c>
      <c r="AK677" s="720">
        <v>271.10000000000002</v>
      </c>
      <c r="AL677" s="9">
        <f t="shared" si="3142"/>
        <v>8.0510163411717741</v>
      </c>
      <c r="AM677" s="720">
        <v>255.9</v>
      </c>
      <c r="AN677" s="9">
        <f t="shared" si="3143"/>
        <v>-1.803530314658488</v>
      </c>
      <c r="AO677" s="720">
        <v>259.5</v>
      </c>
      <c r="AP677" s="9">
        <f t="shared" si="3144"/>
        <v>-0.87853323147440676</v>
      </c>
      <c r="AQ677" s="728">
        <f t="shared" ref="AQ677:AW677" si="3158">AQ674-AQ675</f>
        <v>291.93210672651901</v>
      </c>
      <c r="AR677" s="9">
        <f t="shared" si="3146"/>
        <v>4.1127342105987879</v>
      </c>
      <c r="AS677" s="728">
        <f t="shared" si="3158"/>
        <v>292.99721430291248</v>
      </c>
      <c r="AT677" s="9">
        <f t="shared" si="3147"/>
        <v>8.0771723728928322</v>
      </c>
      <c r="AU677" s="728">
        <f t="shared" si="3158"/>
        <v>296.48585923230178</v>
      </c>
      <c r="AV677" s="9">
        <f t="shared" si="3148"/>
        <v>15.860046593318387</v>
      </c>
      <c r="AW677" s="728">
        <f t="shared" si="3158"/>
        <v>305.75162528735814</v>
      </c>
      <c r="AX677" s="9">
        <f t="shared" si="3149"/>
        <v>17.823362345802749</v>
      </c>
      <c r="AY677" s="293"/>
      <c r="AZ677" s="165"/>
      <c r="BA677" s="9"/>
      <c r="BB677" s="724"/>
      <c r="BC677" s="9"/>
      <c r="BD677" s="965"/>
      <c r="BE677" s="9"/>
      <c r="BF677" s="708">
        <f>S677+U677+W677+Y677</f>
        <v>951.3</v>
      </c>
      <c r="BG677" s="9" t="str">
        <f t="shared" si="3150"/>
        <v>NA</v>
      </c>
      <c r="BH677" s="708">
        <f>AA677+AC677+AE677+AG677</f>
        <v>987.8</v>
      </c>
      <c r="BI677" s="9">
        <f t="shared" si="3151"/>
        <v>3.836854830232312</v>
      </c>
      <c r="BJ677" s="708">
        <f>AI677+AK677+AM677+AO677</f>
        <v>1066.9000000000001</v>
      </c>
      <c r="BK677" s="9">
        <f t="shared" si="3151"/>
        <v>8.0076938651548915</v>
      </c>
      <c r="BL677" s="708">
        <f>AQ677+AS677+AU677+AW677</f>
        <v>1187.1668055490914</v>
      </c>
      <c r="BM677" s="9">
        <f t="shared" si="3151"/>
        <v>11.272547150538117</v>
      </c>
      <c r="BN677" s="728">
        <f>BN674-BN675</f>
        <v>1242.4692089073362</v>
      </c>
      <c r="BO677" s="9">
        <f t="shared" si="3151"/>
        <v>4.6583515559691193</v>
      </c>
      <c r="BP677" s="728">
        <f>BP674-BP675</f>
        <v>1311.8714858480307</v>
      </c>
      <c r="BQ677" s="9">
        <f t="shared" si="3151"/>
        <v>5.5858347589739452</v>
      </c>
      <c r="BR677" s="728">
        <f>BR674-BR675</f>
        <v>1374.1440653664004</v>
      </c>
      <c r="BS677" s="9">
        <f t="shared" si="3151"/>
        <v>4.7468506016132181</v>
      </c>
      <c r="BT677" s="728">
        <f>BT674-BT675</f>
        <v>1438.5917712643404</v>
      </c>
      <c r="BU677" s="9">
        <f t="shared" si="3152"/>
        <v>4.6900254145300124</v>
      </c>
      <c r="BV677" s="43">
        <f t="shared" si="3153"/>
        <v>6.1604550256517454</v>
      </c>
      <c r="BW677" s="722"/>
      <c r="BX677" s="722"/>
      <c r="BY677"/>
      <c r="BZ677"/>
      <c r="CA677"/>
      <c r="CB677"/>
      <c r="CC677"/>
      <c r="CD677"/>
    </row>
    <row r="678" spans="1:82" s="2" customFormat="1" ht="12.75" customHeight="1" x14ac:dyDescent="0.2">
      <c r="A678" s="41"/>
      <c r="B678" s="42" t="s">
        <v>592</v>
      </c>
      <c r="C678" s="724"/>
      <c r="D678" s="9"/>
      <c r="E678" s="724"/>
      <c r="F678" s="9"/>
      <c r="G678" s="724"/>
      <c r="H678" s="9"/>
      <c r="I678" s="724"/>
      <c r="J678" s="9"/>
      <c r="K678" s="724"/>
      <c r="L678" s="9"/>
      <c r="M678" s="724"/>
      <c r="N678" s="9"/>
      <c r="O678" s="728">
        <f>O619</f>
        <v>62.100000000000136</v>
      </c>
      <c r="P678" s="9" t="str">
        <f t="shared" si="3131"/>
        <v>NA</v>
      </c>
      <c r="Q678" s="728">
        <f>Q619</f>
        <v>59.700000000000159</v>
      </c>
      <c r="R678" s="9" t="str">
        <f t="shared" si="3132"/>
        <v>NA</v>
      </c>
      <c r="S678" s="728">
        <f>S619</f>
        <v>61.099999999999909</v>
      </c>
      <c r="T678" s="9" t="str">
        <f t="shared" si="3133"/>
        <v>NA</v>
      </c>
      <c r="U678" s="728">
        <f>U619</f>
        <v>73.5</v>
      </c>
      <c r="V678" s="9" t="str">
        <f t="shared" si="3134"/>
        <v>NA</v>
      </c>
      <c r="W678" s="728">
        <f>W619</f>
        <v>49.900000000000091</v>
      </c>
      <c r="X678" s="9">
        <f t="shared" si="3135"/>
        <v>-19.645732689210988</v>
      </c>
      <c r="Y678" s="728">
        <f>Y619</f>
        <v>62.100000000000023</v>
      </c>
      <c r="Z678" s="9">
        <f t="shared" si="3136"/>
        <v>4.0201005025123209</v>
      </c>
      <c r="AA678" s="728">
        <f>AA619</f>
        <v>67.399999999999977</v>
      </c>
      <c r="AB678" s="9">
        <f t="shared" si="3137"/>
        <v>10.310965630114694</v>
      </c>
      <c r="AC678" s="728">
        <f>AC619</f>
        <v>70.199999999999932</v>
      </c>
      <c r="AD678" s="9">
        <f t="shared" si="3138"/>
        <v>-4.4897959183674487</v>
      </c>
      <c r="AE678" s="728">
        <f>AE619</f>
        <v>76</v>
      </c>
      <c r="AF678" s="9">
        <f t="shared" si="3139"/>
        <v>52.30460921843661</v>
      </c>
      <c r="AG678" s="728">
        <f>AG619</f>
        <v>87.499999999999773</v>
      </c>
      <c r="AH678" s="9">
        <f t="shared" si="3140"/>
        <v>40.901771336553537</v>
      </c>
      <c r="AI678" s="728">
        <f>AI619</f>
        <v>99.500000000000114</v>
      </c>
      <c r="AJ678" s="9">
        <f t="shared" si="3141"/>
        <v>47.626112759644144</v>
      </c>
      <c r="AK678" s="728">
        <f>AK619</f>
        <v>96.300000000000182</v>
      </c>
      <c r="AL678" s="9">
        <f t="shared" si="3142"/>
        <v>37.17948717948758</v>
      </c>
      <c r="AM678" s="728">
        <f>AM619</f>
        <v>102.10000000000014</v>
      </c>
      <c r="AN678" s="9">
        <f t="shared" si="3143"/>
        <v>34.342105263158089</v>
      </c>
      <c r="AO678" s="728">
        <f>AO619</f>
        <v>75.099999999999682</v>
      </c>
      <c r="AP678" s="9">
        <f t="shared" si="3144"/>
        <v>-14.171428571428706</v>
      </c>
      <c r="AQ678" s="728">
        <f t="shared" ref="AQ678:AW678" si="3159">AQ619</f>
        <v>89.527146472392815</v>
      </c>
      <c r="AR678" s="9">
        <f t="shared" si="3146"/>
        <v>-10.02296836945456</v>
      </c>
      <c r="AS678" s="728">
        <f t="shared" si="3159"/>
        <v>85.40283843558268</v>
      </c>
      <c r="AT678" s="9">
        <f t="shared" si="3147"/>
        <v>-11.315847938128215</v>
      </c>
      <c r="AU678" s="728">
        <f t="shared" si="3159"/>
        <v>86.414754059509278</v>
      </c>
      <c r="AV678" s="9">
        <f t="shared" si="3148"/>
        <v>-15.362630695877414</v>
      </c>
      <c r="AW678" s="728">
        <f t="shared" si="3159"/>
        <v>85.269450972957202</v>
      </c>
      <c r="AX678" s="9">
        <f t="shared" si="3149"/>
        <v>13.541213013259082</v>
      </c>
      <c r="AY678" s="293"/>
      <c r="AZ678" s="165"/>
      <c r="BA678" s="9"/>
      <c r="BB678" s="724"/>
      <c r="BC678" s="9"/>
      <c r="BD678" s="965"/>
      <c r="BE678" s="9"/>
      <c r="BF678" s="728">
        <f>BF619</f>
        <v>246.59999999999945</v>
      </c>
      <c r="BG678" s="9" t="str">
        <f t="shared" si="3150"/>
        <v>NA</v>
      </c>
      <c r="BH678" s="728">
        <f>BH619</f>
        <v>301.10000000000036</v>
      </c>
      <c r="BI678" s="9">
        <f t="shared" si="3151"/>
        <v>22.100567721006101</v>
      </c>
      <c r="BJ678" s="728">
        <f>BJ619</f>
        <v>373</v>
      </c>
      <c r="BK678" s="9">
        <f t="shared" si="3151"/>
        <v>23.879109930255566</v>
      </c>
      <c r="BL678" s="728">
        <f>BL619</f>
        <v>346.61418994044107</v>
      </c>
      <c r="BM678" s="9">
        <f t="shared" si="3151"/>
        <v>-7.0739437156994427</v>
      </c>
      <c r="BN678" s="728">
        <f>BN619</f>
        <v>358.31452402740069</v>
      </c>
      <c r="BO678" s="9">
        <f t="shared" si="3151"/>
        <v>3.3756073543815575</v>
      </c>
      <c r="BP678" s="728">
        <f>BP619</f>
        <v>378.78907885412536</v>
      </c>
      <c r="BQ678" s="9">
        <f t="shared" si="3151"/>
        <v>5.7141291948185113</v>
      </c>
      <c r="BR678" s="728">
        <f>BR619</f>
        <v>399.70905001593383</v>
      </c>
      <c r="BS678" s="9">
        <f t="shared" si="3151"/>
        <v>5.5228548893472578</v>
      </c>
      <c r="BT678" s="728">
        <f>BT619</f>
        <v>421.11411200071416</v>
      </c>
      <c r="BU678" s="9">
        <f t="shared" si="3152"/>
        <v>5.3551607060002766</v>
      </c>
      <c r="BV678" s="43">
        <f t="shared" si="3153"/>
        <v>2.4561878330790599</v>
      </c>
      <c r="BW678" s="722"/>
      <c r="BX678" s="722"/>
      <c r="BY678"/>
      <c r="BZ678"/>
      <c r="CA678"/>
      <c r="CB678"/>
      <c r="CC678"/>
      <c r="CD678"/>
    </row>
    <row r="679" spans="1:82" s="2" customFormat="1" ht="12.75" customHeight="1" x14ac:dyDescent="0.2">
      <c r="A679" s="41"/>
      <c r="B679" s="5" t="s">
        <v>123</v>
      </c>
      <c r="C679" s="724"/>
      <c r="D679" s="9"/>
      <c r="E679" s="724"/>
      <c r="F679" s="9"/>
      <c r="G679" s="724"/>
      <c r="H679" s="9"/>
      <c r="I679" s="724"/>
      <c r="J679" s="9"/>
      <c r="K679" s="724"/>
      <c r="L679" s="9"/>
      <c r="M679" s="724"/>
      <c r="N679" s="9"/>
      <c r="O679" s="725">
        <f>O678-O681</f>
        <v>18.800000000000139</v>
      </c>
      <c r="P679" s="9" t="str">
        <f t="shared" si="3131"/>
        <v>NA</v>
      </c>
      <c r="Q679" s="725">
        <f>Q678-Q681</f>
        <v>17.900000000000162</v>
      </c>
      <c r="R679" s="9" t="str">
        <f t="shared" si="3132"/>
        <v>NA</v>
      </c>
      <c r="S679" s="725">
        <f>S678-S681</f>
        <v>18.299999999999912</v>
      </c>
      <c r="T679" s="9" t="str">
        <f t="shared" si="3133"/>
        <v>NA</v>
      </c>
      <c r="U679" s="725">
        <f>U678-U681</f>
        <v>22.700000000000003</v>
      </c>
      <c r="V679" s="9" t="str">
        <f t="shared" si="3134"/>
        <v>NA</v>
      </c>
      <c r="W679" s="725">
        <f>W678-W681</f>
        <v>14.200000000000088</v>
      </c>
      <c r="X679" s="9">
        <f t="shared" si="3135"/>
        <v>-24.468085106383072</v>
      </c>
      <c r="Y679" s="725">
        <f>Y678-Y681</f>
        <v>18.800000000000026</v>
      </c>
      <c r="Z679" s="9">
        <f t="shared" si="3136"/>
        <v>5.0279329608930539</v>
      </c>
      <c r="AA679" s="725">
        <f>AA678-AA681</f>
        <v>20.199999999999974</v>
      </c>
      <c r="AB679" s="9">
        <f t="shared" si="3137"/>
        <v>10.38251366120258</v>
      </c>
      <c r="AC679" s="725">
        <f>AC678-AC681</f>
        <v>20.899999999999935</v>
      </c>
      <c r="AD679" s="9">
        <f t="shared" si="3138"/>
        <v>-7.9295154185025041</v>
      </c>
      <c r="AE679" s="725">
        <f>AE678-AE681</f>
        <v>22.799999999999997</v>
      </c>
      <c r="AF679" s="9">
        <f t="shared" si="3139"/>
        <v>60.56338028168912</v>
      </c>
      <c r="AG679" s="725">
        <f>AG678-AG681</f>
        <v>26.699999999999775</v>
      </c>
      <c r="AH679" s="9">
        <f t="shared" si="3140"/>
        <v>42.021276595743274</v>
      </c>
      <c r="AI679" s="725">
        <f>AI678-AI681</f>
        <v>31.100000000000108</v>
      </c>
      <c r="AJ679" s="9">
        <f t="shared" si="3141"/>
        <v>53.960396039604689</v>
      </c>
      <c r="AK679" s="725">
        <f>AK678-AK681</f>
        <v>29.600000000000179</v>
      </c>
      <c r="AL679" s="9">
        <f t="shared" si="3142"/>
        <v>41.626794258374503</v>
      </c>
      <c r="AM679" s="725">
        <f>AM678-AM681</f>
        <v>31.500000000000142</v>
      </c>
      <c r="AN679" s="9">
        <f t="shared" si="3143"/>
        <v>38.157894736842735</v>
      </c>
      <c r="AO679" s="725">
        <f>AO678-AO681</f>
        <v>21.399999999999679</v>
      </c>
      <c r="AP679" s="9">
        <f t="shared" si="3144"/>
        <v>-19.850187265918123</v>
      </c>
      <c r="AQ679" s="725">
        <f t="shared" ref="AQ679:AW679" si="3160">AQ680*AQ678/100</f>
        <v>17.010157829754636</v>
      </c>
      <c r="AR679" s="9">
        <f t="shared" si="3146"/>
        <v>-45.304958746769856</v>
      </c>
      <c r="AS679" s="725">
        <f t="shared" si="3160"/>
        <v>16.22653930276071</v>
      </c>
      <c r="AT679" s="9">
        <f t="shared" si="3147"/>
        <v>-45.180610463646588</v>
      </c>
      <c r="AU679" s="725">
        <f t="shared" si="3160"/>
        <v>16.418803271306764</v>
      </c>
      <c r="AV679" s="9">
        <f t="shared" si="3148"/>
        <v>-47.876815011724794</v>
      </c>
      <c r="AW679" s="725">
        <f t="shared" si="3160"/>
        <v>16.201195684861869</v>
      </c>
      <c r="AX679" s="9">
        <f t="shared" si="3149"/>
        <v>-24.293478108120965</v>
      </c>
      <c r="AY679" s="293"/>
      <c r="AZ679" s="165"/>
      <c r="BA679" s="9"/>
      <c r="BB679" s="724"/>
      <c r="BC679" s="9"/>
      <c r="BD679" s="965"/>
      <c r="BE679" s="9"/>
      <c r="BF679" s="650">
        <f>S679+U679+W679+Y679</f>
        <v>74.000000000000028</v>
      </c>
      <c r="BG679" s="9" t="str">
        <f t="shared" si="3150"/>
        <v>NA</v>
      </c>
      <c r="BH679" s="650">
        <f>AA679+AC679+AE679+AG679</f>
        <v>90.599999999999682</v>
      </c>
      <c r="BI679" s="9">
        <f t="shared" si="3151"/>
        <v>22.432432432431966</v>
      </c>
      <c r="BJ679" s="650">
        <f>AI679+AK679+AM679+AO679</f>
        <v>113.60000000000011</v>
      </c>
      <c r="BK679" s="9">
        <f t="shared" si="3151"/>
        <v>25.386313465784212</v>
      </c>
      <c r="BL679" s="650">
        <f>AQ679+AS679+AU679+AW679</f>
        <v>65.856696088683975</v>
      </c>
      <c r="BM679" s="9">
        <f t="shared" si="3151"/>
        <v>-42.027556259961344</v>
      </c>
      <c r="BN679" s="725">
        <f>BN680*BN678/100</f>
        <v>68.079759565206317</v>
      </c>
      <c r="BO679" s="9">
        <f t="shared" si="3151"/>
        <v>3.3756073543815859</v>
      </c>
      <c r="BP679" s="725">
        <f>BP680*BP678/100</f>
        <v>71.969924982284013</v>
      </c>
      <c r="BQ679" s="9">
        <f t="shared" si="3151"/>
        <v>5.7141291948185113</v>
      </c>
      <c r="BR679" s="725">
        <f>BR680*BR678/100</f>
        <v>75.944719503027628</v>
      </c>
      <c r="BS679" s="9">
        <f t="shared" si="3151"/>
        <v>5.5228548893472578</v>
      </c>
      <c r="BT679" s="725">
        <f>BT680*BT678/100</f>
        <v>80.011681280135903</v>
      </c>
      <c r="BU679" s="9">
        <f t="shared" si="3152"/>
        <v>5.3551607060002766</v>
      </c>
      <c r="BV679" s="43">
        <f t="shared" si="3153"/>
        <v>-6.7701440938146558</v>
      </c>
      <c r="BW679" s="722"/>
      <c r="BX679" s="722"/>
      <c r="BY679"/>
      <c r="BZ679"/>
      <c r="CA679"/>
      <c r="CB679"/>
      <c r="CC679"/>
      <c r="CD679"/>
    </row>
    <row r="680" spans="1:82" s="2" customFormat="1" ht="12.75" customHeight="1" x14ac:dyDescent="0.2">
      <c r="A680" s="41"/>
      <c r="B680" s="5" t="s">
        <v>534</v>
      </c>
      <c r="C680" s="724"/>
      <c r="D680" s="9"/>
      <c r="E680" s="724"/>
      <c r="F680" s="9"/>
      <c r="G680" s="724"/>
      <c r="H680" s="9"/>
      <c r="I680" s="724"/>
      <c r="J680" s="9"/>
      <c r="K680" s="724"/>
      <c r="L680" s="9"/>
      <c r="M680" s="724"/>
      <c r="N680" s="9"/>
      <c r="O680" s="726">
        <f>O679/O678*100</f>
        <v>30.273752012882603</v>
      </c>
      <c r="P680" s="9" t="str">
        <f t="shared" si="3131"/>
        <v>NA</v>
      </c>
      <c r="Q680" s="726">
        <f>Q679/Q678*100</f>
        <v>29.983249581239726</v>
      </c>
      <c r="R680" s="9" t="str">
        <f t="shared" si="3132"/>
        <v>NA</v>
      </c>
      <c r="S680" s="726">
        <f>S679/S678*100</f>
        <v>29.950900163666024</v>
      </c>
      <c r="T680" s="9" t="str">
        <f t="shared" si="3133"/>
        <v>NA</v>
      </c>
      <c r="U680" s="726">
        <f>U679/U678*100</f>
        <v>30.8843537414966</v>
      </c>
      <c r="V680" s="9" t="str">
        <f t="shared" si="3134"/>
        <v>NA</v>
      </c>
      <c r="W680" s="726">
        <f>W679/W678*100</f>
        <v>28.456913827655434</v>
      </c>
      <c r="X680" s="9">
        <f t="shared" si="3135"/>
        <v>-6.0013644309897245</v>
      </c>
      <c r="Y680" s="726">
        <f>Y679/Y678*100</f>
        <v>30.273752012882476</v>
      </c>
      <c r="Z680" s="9">
        <f t="shared" si="3136"/>
        <v>0.96888241167999922</v>
      </c>
      <c r="AA680" s="726">
        <f>AA679/AA678*100</f>
        <v>29.970326409495524</v>
      </c>
      <c r="AB680" s="9">
        <f t="shared" si="3137"/>
        <v>6.4860307113789872E-2</v>
      </c>
      <c r="AC680" s="726">
        <f>AC679/AC678*100</f>
        <v>29.772079772079707</v>
      </c>
      <c r="AD680" s="9">
        <f t="shared" si="3138"/>
        <v>-3.6014157159533795</v>
      </c>
      <c r="AE680" s="726">
        <f>AE679/AE678*100</f>
        <v>30</v>
      </c>
      <c r="AF680" s="9">
        <f t="shared" si="3139"/>
        <v>5.4225352112671459</v>
      </c>
      <c r="AG680" s="726">
        <f>AG679/AG678*100</f>
        <v>30.514285714285538</v>
      </c>
      <c r="AH680" s="9">
        <f t="shared" si="3140"/>
        <v>0.79452887537927097</v>
      </c>
      <c r="AI680" s="726">
        <f>AI679/AI678*100</f>
        <v>31.256281407035246</v>
      </c>
      <c r="AJ680" s="9">
        <f t="shared" si="3141"/>
        <v>4.2907607343652074</v>
      </c>
      <c r="AK680" s="726">
        <f>AK679/AK678*100</f>
        <v>30.737279335410307</v>
      </c>
      <c r="AL680" s="9">
        <f t="shared" si="3142"/>
        <v>3.241962169655892</v>
      </c>
      <c r="AM680" s="726">
        <f>AM679/AM678*100</f>
        <v>30.852105778648482</v>
      </c>
      <c r="AN680" s="9">
        <f t="shared" si="3143"/>
        <v>2.8403525954949345</v>
      </c>
      <c r="AO680" s="726">
        <f>AO679/AO678*100</f>
        <v>28.49533954727</v>
      </c>
      <c r="AP680" s="9">
        <f t="shared" si="3144"/>
        <v>-6.6163966147513378</v>
      </c>
      <c r="AQ680" s="645">
        <v>19</v>
      </c>
      <c r="AR680" s="9">
        <f t="shared" si="3146"/>
        <v>-39.212218649517816</v>
      </c>
      <c r="AS680" s="645">
        <f t="shared" ref="AS680" si="3161">AQ680</f>
        <v>19</v>
      </c>
      <c r="AT680" s="9">
        <f t="shared" si="3147"/>
        <v>-38.18581081081107</v>
      </c>
      <c r="AU680" s="645">
        <f t="shared" ref="AU680" si="3162">AS680</f>
        <v>19</v>
      </c>
      <c r="AV680" s="9">
        <f t="shared" si="3148"/>
        <v>-38.415873015873217</v>
      </c>
      <c r="AW680" s="645">
        <f t="shared" ref="AW680" si="3163">AU680</f>
        <v>19</v>
      </c>
      <c r="AX680" s="9">
        <f t="shared" si="3149"/>
        <v>-33.322429906541345</v>
      </c>
      <c r="AY680" s="293"/>
      <c r="AZ680" s="165"/>
      <c r="BA680" s="9"/>
      <c r="BB680" s="724"/>
      <c r="BC680" s="9"/>
      <c r="BD680" s="965"/>
      <c r="BE680" s="9"/>
      <c r="BF680" s="726">
        <f>BF679/BF678*100</f>
        <v>30.008110300081182</v>
      </c>
      <c r="BG680" s="9" t="str">
        <f t="shared" si="3150"/>
        <v>NA</v>
      </c>
      <c r="BH680" s="726">
        <f>BH679/BH678*100</f>
        <v>30.0896712055794</v>
      </c>
      <c r="BI680" s="9">
        <f t="shared" si="3151"/>
        <v>0.27179620670081306</v>
      </c>
      <c r="BJ680" s="726">
        <f>BJ679/BJ678*100</f>
        <v>30.455764075067055</v>
      </c>
      <c r="BK680" s="9">
        <f t="shared" si="3151"/>
        <v>1.2166728808248735</v>
      </c>
      <c r="BL680" s="726">
        <f>BL679/BL678*100</f>
        <v>19.00000000000005</v>
      </c>
      <c r="BM680" s="9">
        <f t="shared" si="3151"/>
        <v>-37.614436619718205</v>
      </c>
      <c r="BN680" s="645">
        <f>BL680</f>
        <v>19.00000000000005</v>
      </c>
      <c r="BO680" s="9">
        <f t="shared" si="3151"/>
        <v>0</v>
      </c>
      <c r="BP680" s="645">
        <f>BN680</f>
        <v>19.00000000000005</v>
      </c>
      <c r="BQ680" s="9">
        <f t="shared" si="3151"/>
        <v>0</v>
      </c>
      <c r="BR680" s="645">
        <f>BP680</f>
        <v>19.00000000000005</v>
      </c>
      <c r="BS680" s="9">
        <f t="shared" si="3151"/>
        <v>0</v>
      </c>
      <c r="BT680" s="645">
        <f>BR680</f>
        <v>19.00000000000005</v>
      </c>
      <c r="BU680" s="9">
        <f t="shared" si="3152"/>
        <v>0</v>
      </c>
      <c r="BV680" s="43">
        <f t="shared" si="3153"/>
        <v>-9.0051485635257116</v>
      </c>
      <c r="BW680" s="722"/>
      <c r="BX680" s="722"/>
      <c r="BY680"/>
      <c r="BZ680"/>
      <c r="CA680"/>
      <c r="CB680"/>
      <c r="CC680"/>
      <c r="CD680"/>
    </row>
    <row r="681" spans="1:82" s="2" customFormat="1" ht="12.75" customHeight="1" x14ac:dyDescent="0.2">
      <c r="A681" s="41"/>
      <c r="B681" s="80" t="s">
        <v>593</v>
      </c>
      <c r="C681" s="724"/>
      <c r="D681" s="9"/>
      <c r="E681" s="724"/>
      <c r="F681" s="9"/>
      <c r="G681" s="724"/>
      <c r="H681" s="9"/>
      <c r="I681" s="724"/>
      <c r="J681" s="9"/>
      <c r="K681" s="724"/>
      <c r="L681" s="9"/>
      <c r="M681" s="724"/>
      <c r="N681" s="9"/>
      <c r="O681" s="720">
        <v>43.3</v>
      </c>
      <c r="P681" s="9" t="str">
        <f t="shared" si="3131"/>
        <v>NA</v>
      </c>
      <c r="Q681" s="720">
        <v>41.8</v>
      </c>
      <c r="R681" s="9" t="str">
        <f t="shared" si="3132"/>
        <v>NA</v>
      </c>
      <c r="S681" s="720">
        <v>42.8</v>
      </c>
      <c r="T681" s="9" t="str">
        <f t="shared" si="3133"/>
        <v>NA</v>
      </c>
      <c r="U681" s="720">
        <v>50.8</v>
      </c>
      <c r="V681" s="9" t="str">
        <f t="shared" si="3134"/>
        <v>NA</v>
      </c>
      <c r="W681" s="720">
        <v>35.700000000000003</v>
      </c>
      <c r="X681" s="9">
        <f t="shared" si="3135"/>
        <v>-17.551963048498834</v>
      </c>
      <c r="Y681" s="720">
        <v>43.3</v>
      </c>
      <c r="Z681" s="9">
        <f t="shared" si="3136"/>
        <v>3.5885167464114716</v>
      </c>
      <c r="AA681" s="720">
        <v>47.2</v>
      </c>
      <c r="AB681" s="9">
        <f t="shared" si="3137"/>
        <v>10.280373831775719</v>
      </c>
      <c r="AC681" s="720">
        <v>49.3</v>
      </c>
      <c r="AD681" s="9">
        <f t="shared" si="3138"/>
        <v>-2.9527559055118076</v>
      </c>
      <c r="AE681" s="720">
        <v>53.2</v>
      </c>
      <c r="AF681" s="9">
        <f t="shared" si="3139"/>
        <v>49.019607843137265</v>
      </c>
      <c r="AG681" s="720">
        <v>60.8</v>
      </c>
      <c r="AH681" s="9">
        <f t="shared" si="3140"/>
        <v>40.415704387990758</v>
      </c>
      <c r="AI681" s="720">
        <v>68.400000000000006</v>
      </c>
      <c r="AJ681" s="9">
        <f t="shared" si="3141"/>
        <v>44.915254237288138</v>
      </c>
      <c r="AK681" s="720">
        <v>66.7</v>
      </c>
      <c r="AL681" s="9">
        <f t="shared" si="3142"/>
        <v>35.29411764705884</v>
      </c>
      <c r="AM681" s="720">
        <v>70.599999999999994</v>
      </c>
      <c r="AN681" s="9">
        <f t="shared" si="3143"/>
        <v>32.706766917293209</v>
      </c>
      <c r="AO681" s="720">
        <v>53.7</v>
      </c>
      <c r="AP681" s="9">
        <f t="shared" si="3144"/>
        <v>-11.677631578947356</v>
      </c>
      <c r="AQ681" s="728">
        <f t="shared" ref="AQ681:AW681" si="3164">AQ678-AQ679</f>
        <v>72.516988642638182</v>
      </c>
      <c r="AR681" s="9">
        <f t="shared" si="3146"/>
        <v>6.0189892436230679</v>
      </c>
      <c r="AS681" s="728">
        <f t="shared" si="3164"/>
        <v>69.176299132821967</v>
      </c>
      <c r="AT681" s="9">
        <f t="shared" si="3147"/>
        <v>3.7125924030314366</v>
      </c>
      <c r="AU681" s="728">
        <f t="shared" si="3164"/>
        <v>69.995950788202521</v>
      </c>
      <c r="AV681" s="9">
        <f t="shared" si="3148"/>
        <v>-0.85559378441568867</v>
      </c>
      <c r="AW681" s="728">
        <f t="shared" si="3164"/>
        <v>69.06825528809533</v>
      </c>
      <c r="AX681" s="9">
        <f t="shared" si="3149"/>
        <v>28.618724931276205</v>
      </c>
      <c r="AY681" s="293"/>
      <c r="AZ681" s="165"/>
      <c r="BA681" s="9"/>
      <c r="BB681" s="724"/>
      <c r="BC681" s="9"/>
      <c r="BD681" s="965"/>
      <c r="BE681" s="9"/>
      <c r="BF681" s="708">
        <f>S681+U681+W681+Y681</f>
        <v>172.60000000000002</v>
      </c>
      <c r="BG681" s="9" t="str">
        <f t="shared" si="3150"/>
        <v>NA</v>
      </c>
      <c r="BH681" s="708">
        <f>AA681+AC681+AE681+AG681</f>
        <v>210.5</v>
      </c>
      <c r="BI681" s="9">
        <f t="shared" si="3151"/>
        <v>21.95828505214368</v>
      </c>
      <c r="BJ681" s="708">
        <f>AI681+AK681+AM681+AO681</f>
        <v>259.40000000000003</v>
      </c>
      <c r="BK681" s="9">
        <f t="shared" si="3151"/>
        <v>23.230403800475074</v>
      </c>
      <c r="BL681" s="708">
        <f>AQ681+AS681+AU681+AW681</f>
        <v>280.757493851758</v>
      </c>
      <c r="BM681" s="9">
        <f t="shared" si="3151"/>
        <v>8.2334209143245687</v>
      </c>
      <c r="BN681" s="728">
        <f>BN678-BN679</f>
        <v>290.23476446219439</v>
      </c>
      <c r="BO681" s="9">
        <f t="shared" si="3151"/>
        <v>3.3756073543812306</v>
      </c>
      <c r="BP681" s="728">
        <f>BP678-BP679</f>
        <v>306.81915387184137</v>
      </c>
      <c r="BQ681" s="9">
        <f t="shared" si="3151"/>
        <v>5.7141291948185113</v>
      </c>
      <c r="BR681" s="728">
        <f>BR678-BR679</f>
        <v>323.76433051290621</v>
      </c>
      <c r="BS681" s="9">
        <f t="shared" si="3151"/>
        <v>5.5228548893472578</v>
      </c>
      <c r="BT681" s="728">
        <f>BT678-BT679</f>
        <v>341.10243072057824</v>
      </c>
      <c r="BU681" s="9">
        <f t="shared" si="3152"/>
        <v>5.3551607060002766</v>
      </c>
      <c r="BV681" s="43">
        <f t="shared" si="3153"/>
        <v>5.6289514036255595</v>
      </c>
      <c r="BW681" s="722"/>
      <c r="BX681" s="722"/>
      <c r="BY681"/>
      <c r="BZ681"/>
      <c r="CA681"/>
      <c r="CB681"/>
      <c r="CC681"/>
      <c r="CD681"/>
    </row>
    <row r="682" spans="1:82" s="2" customFormat="1" ht="12.75" customHeight="1" x14ac:dyDescent="0.2">
      <c r="A682" s="41"/>
      <c r="B682" s="42" t="s">
        <v>594</v>
      </c>
      <c r="C682" s="724"/>
      <c r="D682" s="9"/>
      <c r="E682" s="724"/>
      <c r="F682" s="9"/>
      <c r="G682" s="724"/>
      <c r="H682" s="9"/>
      <c r="I682" s="724"/>
      <c r="J682" s="9"/>
      <c r="K682" s="724"/>
      <c r="L682" s="9"/>
      <c r="M682" s="724"/>
      <c r="N682" s="9"/>
      <c r="O682" s="728">
        <f>O629</f>
        <v>125.09999999999997</v>
      </c>
      <c r="P682" s="9" t="str">
        <f t="shared" si="3131"/>
        <v>NA</v>
      </c>
      <c r="Q682" s="728">
        <f>Q629</f>
        <v>83.100000000000023</v>
      </c>
      <c r="R682" s="9" t="str">
        <f t="shared" si="3132"/>
        <v>NA</v>
      </c>
      <c r="S682" s="728">
        <f>S629</f>
        <v>81.900000000000091</v>
      </c>
      <c r="T682" s="9" t="str">
        <f t="shared" si="3133"/>
        <v>NA</v>
      </c>
      <c r="U682" s="728">
        <f>U629</f>
        <v>88.100000000000023</v>
      </c>
      <c r="V682" s="9" t="str">
        <f t="shared" si="3134"/>
        <v>NA</v>
      </c>
      <c r="W682" s="728">
        <f>W629</f>
        <v>172.89999999999998</v>
      </c>
      <c r="X682" s="9">
        <f t="shared" si="3135"/>
        <v>38.209432454036772</v>
      </c>
      <c r="Y682" s="728">
        <f>Y629</f>
        <v>86.600000000000023</v>
      </c>
      <c r="Z682" s="9">
        <f t="shared" si="3136"/>
        <v>4.2117930204572929</v>
      </c>
      <c r="AA682" s="728">
        <f>AA629</f>
        <v>80.499999999999943</v>
      </c>
      <c r="AB682" s="9">
        <f t="shared" si="3137"/>
        <v>-1.7094017094018881</v>
      </c>
      <c r="AC682" s="728">
        <f>AC629</f>
        <v>103.60000000000008</v>
      </c>
      <c r="AD682" s="9">
        <f t="shared" si="3138"/>
        <v>17.593643586833196</v>
      </c>
      <c r="AE682" s="728">
        <f>AE629</f>
        <v>70.200000000000159</v>
      </c>
      <c r="AF682" s="9" t="str">
        <f t="shared" si="3139"/>
        <v>NM</v>
      </c>
      <c r="AG682" s="728">
        <f>AG629</f>
        <v>106.89999999999998</v>
      </c>
      <c r="AH682" s="9">
        <f t="shared" si="3140"/>
        <v>23.441108545034581</v>
      </c>
      <c r="AI682" s="728">
        <f>AI629</f>
        <v>86.199999999999989</v>
      </c>
      <c r="AJ682" s="9">
        <f t="shared" si="3141"/>
        <v>7.0807453416149571</v>
      </c>
      <c r="AK682" s="728">
        <f>AK629</f>
        <v>104.39999999999998</v>
      </c>
      <c r="AL682" s="9">
        <f t="shared" si="3142"/>
        <v>0.77220077220067651</v>
      </c>
      <c r="AM682" s="728">
        <f>AM629</f>
        <v>83.199999999999989</v>
      </c>
      <c r="AN682" s="9">
        <f t="shared" si="3143"/>
        <v>18.518518518518221</v>
      </c>
      <c r="AO682" s="728">
        <f>AO629</f>
        <v>110.89999999999992</v>
      </c>
      <c r="AP682" s="9">
        <f t="shared" si="3144"/>
        <v>3.7418147801683261</v>
      </c>
      <c r="AQ682" s="728">
        <f t="shared" ref="AQ682:AW682" si="3165">AQ629</f>
        <v>93.558349284956023</v>
      </c>
      <c r="AR682" s="9">
        <f t="shared" si="3146"/>
        <v>8.5363680799953983</v>
      </c>
      <c r="AS682" s="728">
        <f t="shared" si="3165"/>
        <v>105.43637033023407</v>
      </c>
      <c r="AT682" s="9">
        <f t="shared" si="3147"/>
        <v>0.99269188719742374</v>
      </c>
      <c r="AU682" s="728">
        <f t="shared" si="3165"/>
        <v>118.68761292129153</v>
      </c>
      <c r="AV682" s="9">
        <f t="shared" si="3148"/>
        <v>42.653380915013884</v>
      </c>
      <c r="AW682" s="728">
        <f t="shared" si="3165"/>
        <v>126.20979167638234</v>
      </c>
      <c r="AX682" s="9">
        <f t="shared" si="3149"/>
        <v>13.805042088712739</v>
      </c>
      <c r="AY682" s="293"/>
      <c r="AZ682" s="165"/>
      <c r="BA682" s="9"/>
      <c r="BB682" s="724"/>
      <c r="BC682" s="9"/>
      <c r="BD682" s="965"/>
      <c r="BE682" s="9"/>
      <c r="BF682" s="728">
        <f>BF629</f>
        <v>429.5</v>
      </c>
      <c r="BG682" s="9" t="str">
        <f t="shared" si="3150"/>
        <v>NA</v>
      </c>
      <c r="BH682" s="728">
        <f>BH629</f>
        <v>361.19999999999982</v>
      </c>
      <c r="BI682" s="9">
        <f t="shared" si="3151"/>
        <v>-15.902211874272453</v>
      </c>
      <c r="BJ682" s="728">
        <f>BJ629</f>
        <v>384.69999999999959</v>
      </c>
      <c r="BK682" s="9">
        <f t="shared" si="3151"/>
        <v>6.5060908084163316</v>
      </c>
      <c r="BL682" s="728">
        <f>BL629</f>
        <v>443.89212421286425</v>
      </c>
      <c r="BM682" s="9">
        <f t="shared" si="3151"/>
        <v>15.386567250549703</v>
      </c>
      <c r="BN682" s="728">
        <f>BN629</f>
        <v>467.01769667109488</v>
      </c>
      <c r="BO682" s="9">
        <f t="shared" si="3151"/>
        <v>5.2097280390451317</v>
      </c>
      <c r="BP682" s="728">
        <f>BP629</f>
        <v>478.64560724496778</v>
      </c>
      <c r="BQ682" s="9">
        <f t="shared" si="3151"/>
        <v>2.4898222608600804</v>
      </c>
      <c r="BR682" s="728">
        <f>BR629</f>
        <v>492.17283466991989</v>
      </c>
      <c r="BS682" s="9">
        <f t="shared" si="3151"/>
        <v>2.8261467817104489</v>
      </c>
      <c r="BT682" s="728">
        <f>BT629</f>
        <v>505.70221585350532</v>
      </c>
      <c r="BU682" s="9">
        <f t="shared" si="3152"/>
        <v>2.7489085602741596</v>
      </c>
      <c r="BV682" s="43">
        <f t="shared" si="3153"/>
        <v>5.6220358159605688</v>
      </c>
      <c r="BW682" s="722"/>
      <c r="BX682" s="722"/>
      <c r="BY682"/>
      <c r="BZ682"/>
      <c r="CA682"/>
      <c r="CB682"/>
      <c r="CC682"/>
      <c r="CD682"/>
    </row>
    <row r="683" spans="1:82" s="2" customFormat="1" ht="12.75" customHeight="1" x14ac:dyDescent="0.2">
      <c r="A683" s="41"/>
      <c r="B683" s="5" t="s">
        <v>123</v>
      </c>
      <c r="C683" s="724"/>
      <c r="D683" s="9"/>
      <c r="E683" s="724"/>
      <c r="F683" s="9"/>
      <c r="G683" s="724"/>
      <c r="H683" s="9"/>
      <c r="I683" s="724"/>
      <c r="J683" s="9"/>
      <c r="K683" s="724"/>
      <c r="L683" s="9"/>
      <c r="M683" s="724"/>
      <c r="N683" s="9"/>
      <c r="O683" s="725">
        <f>O682-O685</f>
        <v>41.799999999999969</v>
      </c>
      <c r="P683" s="9" t="str">
        <f t="shared" si="3131"/>
        <v>NA</v>
      </c>
      <c r="Q683" s="725">
        <f>Q682-Q685</f>
        <v>27.500000000000021</v>
      </c>
      <c r="R683" s="9" t="str">
        <f t="shared" si="3132"/>
        <v>NA</v>
      </c>
      <c r="S683" s="725">
        <f>S682-S685</f>
        <v>26.80000000000009</v>
      </c>
      <c r="T683" s="9" t="str">
        <f t="shared" si="3133"/>
        <v>NA</v>
      </c>
      <c r="U683" s="725">
        <f>U682-U685</f>
        <v>29.300000000000026</v>
      </c>
      <c r="V683" s="9" t="str">
        <f t="shared" si="3134"/>
        <v>NA</v>
      </c>
      <c r="W683" s="725">
        <f>W682-W685</f>
        <v>58.399999999999977</v>
      </c>
      <c r="X683" s="9">
        <f t="shared" si="3135"/>
        <v>39.71291866028713</v>
      </c>
      <c r="Y683" s="725">
        <f>Y682-Y685</f>
        <v>28.600000000000023</v>
      </c>
      <c r="Z683" s="9">
        <f t="shared" si="3136"/>
        <v>4</v>
      </c>
      <c r="AA683" s="725">
        <f>AA682-AA685</f>
        <v>25.699999999999946</v>
      </c>
      <c r="AB683" s="9">
        <f t="shared" si="3137"/>
        <v>-4.1044776119408084</v>
      </c>
      <c r="AC683" s="725">
        <f>AC682-AC685</f>
        <v>34.500000000000085</v>
      </c>
      <c r="AD683" s="9">
        <f t="shared" si="3138"/>
        <v>17.747440273037739</v>
      </c>
      <c r="AE683" s="725">
        <f>AE682-AE685</f>
        <v>22.700000000000159</v>
      </c>
      <c r="AF683" s="9" t="str">
        <f t="shared" si="3139"/>
        <v>NM</v>
      </c>
      <c r="AG683" s="725">
        <f>AG682-AG685</f>
        <v>35.899999999999977</v>
      </c>
      <c r="AH683" s="9">
        <f t="shared" si="3140"/>
        <v>25.524475524475349</v>
      </c>
      <c r="AI683" s="725">
        <f>AI682-AI685</f>
        <v>28.099999999999987</v>
      </c>
      <c r="AJ683" s="9">
        <f t="shared" si="3141"/>
        <v>9.3385214007784043</v>
      </c>
      <c r="AK683" s="725">
        <f>AK682-AK685</f>
        <v>34.799999999999983</v>
      </c>
      <c r="AL683" s="9">
        <f t="shared" si="3142"/>
        <v>0.86956521739101333</v>
      </c>
      <c r="AM683" s="725">
        <f>AM682-AM685</f>
        <v>25.999999999999986</v>
      </c>
      <c r="AN683" s="9">
        <f t="shared" si="3143"/>
        <v>14.537444933919843</v>
      </c>
      <c r="AO683" s="725">
        <f>AO682-AO685</f>
        <v>35.299999999999926</v>
      </c>
      <c r="AP683" s="9">
        <f t="shared" si="3144"/>
        <v>-1.6713091922006953</v>
      </c>
      <c r="AQ683" s="725">
        <f t="shared" ref="AQ683:AW683" si="3166">AQ684*AQ682/100</f>
        <v>17.776086364141644</v>
      </c>
      <c r="AR683" s="9">
        <f t="shared" si="3146"/>
        <v>-36.739906177431848</v>
      </c>
      <c r="AS683" s="725">
        <f t="shared" si="3166"/>
        <v>20.032910362744474</v>
      </c>
      <c r="AT683" s="9">
        <f t="shared" si="3147"/>
        <v>-42.434165624297457</v>
      </c>
      <c r="AU683" s="725">
        <f t="shared" si="3166"/>
        <v>22.550646455045388</v>
      </c>
      <c r="AV683" s="9">
        <f t="shared" si="3148"/>
        <v>-13.266744403671538</v>
      </c>
      <c r="AW683" s="725">
        <f t="shared" si="3166"/>
        <v>23.979860418512644</v>
      </c>
      <c r="AX683" s="9">
        <f t="shared" si="3149"/>
        <v>-32.068384083533445</v>
      </c>
      <c r="AY683" s="293"/>
      <c r="AZ683" s="165"/>
      <c r="BA683" s="9"/>
      <c r="BB683" s="724"/>
      <c r="BC683" s="9"/>
      <c r="BD683" s="965"/>
      <c r="BE683" s="9"/>
      <c r="BF683" s="650">
        <f>S683+U683+W683+Y683</f>
        <v>143.10000000000011</v>
      </c>
      <c r="BG683" s="9" t="str">
        <f t="shared" si="3150"/>
        <v>NA</v>
      </c>
      <c r="BH683" s="650">
        <f>AA683+AC683+AE683+AG683</f>
        <v>118.80000000000017</v>
      </c>
      <c r="BI683" s="9">
        <f t="shared" si="3151"/>
        <v>-16.981132075471635</v>
      </c>
      <c r="BJ683" s="650">
        <f>AI683+AK683+AM683+AO683</f>
        <v>124.19999999999987</v>
      </c>
      <c r="BK683" s="9">
        <f t="shared" si="3151"/>
        <v>4.545454545454291</v>
      </c>
      <c r="BL683" s="650">
        <f>AQ683+AS683+AU683+AW683</f>
        <v>84.339503600444147</v>
      </c>
      <c r="BM683" s="9">
        <f t="shared" si="3151"/>
        <v>-32.093797423152793</v>
      </c>
      <c r="BN683" s="725">
        <f>BN684*BN682/100</f>
        <v>88.733362367507965</v>
      </c>
      <c r="BO683" s="9">
        <f t="shared" si="3151"/>
        <v>5.2097280390451317</v>
      </c>
      <c r="BP683" s="725">
        <f>BP684*BP682/100</f>
        <v>90.942665376543815</v>
      </c>
      <c r="BQ683" s="9">
        <f t="shared" si="3151"/>
        <v>2.4898222608600804</v>
      </c>
      <c r="BR683" s="725">
        <f>BR684*BR682/100</f>
        <v>93.512838587284719</v>
      </c>
      <c r="BS683" s="9">
        <f t="shared" si="3151"/>
        <v>2.8261467817104489</v>
      </c>
      <c r="BT683" s="725">
        <f>BT684*BT682/100</f>
        <v>96.083421012165942</v>
      </c>
      <c r="BU683" s="9">
        <f t="shared" si="3152"/>
        <v>2.7489085602741596</v>
      </c>
      <c r="BV683" s="43">
        <f t="shared" si="3153"/>
        <v>-5.003988292766115</v>
      </c>
      <c r="BW683" s="722"/>
      <c r="BX683" s="722"/>
      <c r="BY683"/>
      <c r="BZ683"/>
      <c r="CA683"/>
      <c r="CB683"/>
      <c r="CC683"/>
      <c r="CD683"/>
    </row>
    <row r="684" spans="1:82" s="2" customFormat="1" ht="12.75" customHeight="1" x14ac:dyDescent="0.2">
      <c r="A684" s="41"/>
      <c r="B684" s="5" t="s">
        <v>534</v>
      </c>
      <c r="C684" s="724"/>
      <c r="D684" s="9"/>
      <c r="E684" s="724"/>
      <c r="F684" s="9"/>
      <c r="G684" s="724"/>
      <c r="H684" s="9"/>
      <c r="I684" s="724"/>
      <c r="J684" s="9"/>
      <c r="K684" s="724"/>
      <c r="L684" s="9"/>
      <c r="M684" s="724"/>
      <c r="N684" s="9"/>
      <c r="O684" s="726">
        <f>O683/O682*100</f>
        <v>33.413269384492388</v>
      </c>
      <c r="P684" s="9" t="str">
        <f t="shared" si="3131"/>
        <v>NA</v>
      </c>
      <c r="Q684" s="726">
        <f>Q683/Q682*100</f>
        <v>33.092659446450078</v>
      </c>
      <c r="R684" s="9" t="str">
        <f t="shared" si="3132"/>
        <v>NA</v>
      </c>
      <c r="S684" s="726">
        <f>S683/S682*100</f>
        <v>32.722832722832798</v>
      </c>
      <c r="T684" s="9" t="str">
        <f t="shared" si="3133"/>
        <v>NA</v>
      </c>
      <c r="U684" s="726">
        <f>U683/U682*100</f>
        <v>33.257661748013639</v>
      </c>
      <c r="V684" s="9" t="str">
        <f t="shared" si="3134"/>
        <v>NA</v>
      </c>
      <c r="W684" s="726">
        <f>W683/W682*100</f>
        <v>33.776749566223238</v>
      </c>
      <c r="X684" s="9">
        <f t="shared" si="3135"/>
        <v>1.0878318357542867</v>
      </c>
      <c r="Y684" s="726">
        <f>Y683/Y682*100</f>
        <v>33.025404157043894</v>
      </c>
      <c r="Z684" s="9">
        <f t="shared" si="3136"/>
        <v>-0.20323325635105505</v>
      </c>
      <c r="AA684" s="726">
        <f>AA683/AA682*100</f>
        <v>31.925465838509272</v>
      </c>
      <c r="AB684" s="9">
        <f t="shared" si="3137"/>
        <v>-2.4367293964961334</v>
      </c>
      <c r="AC684" s="726">
        <f>AC683/AC682*100</f>
        <v>33.30115830115836</v>
      </c>
      <c r="AD684" s="9">
        <f t="shared" si="3138"/>
        <v>0.13078656423377311</v>
      </c>
      <c r="AE684" s="726">
        <f>AE683/AE682*100</f>
        <v>32.336182336182489</v>
      </c>
      <c r="AF684" s="9">
        <f t="shared" si="3139"/>
        <v>-4.2649670218158491</v>
      </c>
      <c r="AG684" s="726">
        <f>AG683/AG682*100</f>
        <v>33.582787652011206</v>
      </c>
      <c r="AH684" s="9">
        <f t="shared" si="3140"/>
        <v>1.6877416316143155</v>
      </c>
      <c r="AI684" s="726">
        <f>AI683/AI682*100</f>
        <v>32.598607888631079</v>
      </c>
      <c r="AJ684" s="9">
        <f t="shared" si="3141"/>
        <v>2.1084799624437949</v>
      </c>
      <c r="AK684" s="726">
        <f>AK683/AK682*100</f>
        <v>33.333333333333329</v>
      </c>
      <c r="AL684" s="9">
        <f t="shared" si="3142"/>
        <v>9.6618357487727735E-2</v>
      </c>
      <c r="AM684" s="726">
        <f>AM683/AM682*100</f>
        <v>31.249999999999989</v>
      </c>
      <c r="AN684" s="9">
        <f t="shared" si="3143"/>
        <v>-3.3590308370048945</v>
      </c>
      <c r="AO684" s="726">
        <f>AO683/AO682*100</f>
        <v>31.830477908025205</v>
      </c>
      <c r="AP684" s="9">
        <f t="shared" si="3144"/>
        <v>-5.2178805468552412</v>
      </c>
      <c r="AQ684" s="645">
        <v>19</v>
      </c>
      <c r="AR684" s="9">
        <f t="shared" si="3146"/>
        <v>-41.715302491103181</v>
      </c>
      <c r="AS684" s="645">
        <f t="shared" ref="AS684" si="3167">AQ684</f>
        <v>19</v>
      </c>
      <c r="AT684" s="9">
        <f t="shared" si="3147"/>
        <v>-42.999999999999993</v>
      </c>
      <c r="AU684" s="645">
        <f t="shared" ref="AU684" si="3168">AS684</f>
        <v>19</v>
      </c>
      <c r="AV684" s="9">
        <f t="shared" si="3148"/>
        <v>-39.199999999999982</v>
      </c>
      <c r="AW684" s="645">
        <f t="shared" ref="AW684" si="3169">AU684</f>
        <v>19</v>
      </c>
      <c r="AX684" s="9">
        <f t="shared" si="3149"/>
        <v>-40.308781869688303</v>
      </c>
      <c r="AY684" s="293"/>
      <c r="AZ684" s="165"/>
      <c r="BA684" s="9"/>
      <c r="BB684" s="724"/>
      <c r="BC684" s="9"/>
      <c r="BD684" s="965"/>
      <c r="BE684" s="9"/>
      <c r="BF684" s="726">
        <f>BF683/BF682*100</f>
        <v>33.317811408614695</v>
      </c>
      <c r="BG684" s="9" t="str">
        <f t="shared" si="3150"/>
        <v>NA</v>
      </c>
      <c r="BH684" s="726">
        <f>BH683/BH682*100</f>
        <v>32.890365448505051</v>
      </c>
      <c r="BI684" s="9">
        <f t="shared" si="3151"/>
        <v>-1.2829352890782104</v>
      </c>
      <c r="BJ684" s="726">
        <f>BJ683/BJ682*100</f>
        <v>32.284897322589032</v>
      </c>
      <c r="BK684" s="9">
        <f t="shared" si="3151"/>
        <v>-1.8408677363709245</v>
      </c>
      <c r="BL684" s="726">
        <f>BL683/BL682*100</f>
        <v>18.999999999999986</v>
      </c>
      <c r="BM684" s="9">
        <f t="shared" si="3151"/>
        <v>-41.148953301127257</v>
      </c>
      <c r="BN684" s="645">
        <f>BL684</f>
        <v>18.999999999999986</v>
      </c>
      <c r="BO684" s="9">
        <f t="shared" si="3151"/>
        <v>0</v>
      </c>
      <c r="BP684" s="645">
        <f>BN684</f>
        <v>18.999999999999986</v>
      </c>
      <c r="BQ684" s="9">
        <f t="shared" si="3151"/>
        <v>0</v>
      </c>
      <c r="BR684" s="645">
        <f>BP684</f>
        <v>18.999999999999986</v>
      </c>
      <c r="BS684" s="9">
        <f t="shared" si="3151"/>
        <v>0</v>
      </c>
      <c r="BT684" s="645">
        <f>BR684</f>
        <v>18.999999999999986</v>
      </c>
      <c r="BU684" s="9">
        <f t="shared" si="3152"/>
        <v>0</v>
      </c>
      <c r="BV684" s="43">
        <f t="shared" si="3153"/>
        <v>-10.06042349651527</v>
      </c>
      <c r="BW684" s="722"/>
      <c r="BX684" s="722"/>
      <c r="BY684"/>
      <c r="BZ684"/>
      <c r="CA684"/>
      <c r="CB684"/>
      <c r="CC684"/>
      <c r="CD684"/>
    </row>
    <row r="685" spans="1:82" s="2" customFormat="1" ht="12.75" customHeight="1" x14ac:dyDescent="0.2">
      <c r="A685" s="41"/>
      <c r="B685" s="80" t="s">
        <v>595</v>
      </c>
      <c r="C685" s="724"/>
      <c r="D685" s="9"/>
      <c r="E685" s="724"/>
      <c r="F685" s="9"/>
      <c r="G685" s="724"/>
      <c r="H685" s="9"/>
      <c r="I685" s="724"/>
      <c r="J685" s="9"/>
      <c r="K685" s="724"/>
      <c r="L685" s="9"/>
      <c r="M685" s="724"/>
      <c r="N685" s="9"/>
      <c r="O685" s="720">
        <v>83.3</v>
      </c>
      <c r="P685" s="9" t="str">
        <f t="shared" si="3131"/>
        <v>NA</v>
      </c>
      <c r="Q685" s="720">
        <v>55.6</v>
      </c>
      <c r="R685" s="9" t="str">
        <f t="shared" si="3132"/>
        <v>NA</v>
      </c>
      <c r="S685" s="720">
        <v>55.1</v>
      </c>
      <c r="T685" s="9" t="str">
        <f t="shared" si="3133"/>
        <v>NA</v>
      </c>
      <c r="U685" s="720">
        <v>58.8</v>
      </c>
      <c r="V685" s="9" t="str">
        <f t="shared" si="3134"/>
        <v>NA</v>
      </c>
      <c r="W685" s="720">
        <v>114.5</v>
      </c>
      <c r="X685" s="9">
        <f t="shared" si="3135"/>
        <v>37.454981992797144</v>
      </c>
      <c r="Y685" s="720">
        <v>58</v>
      </c>
      <c r="Z685" s="9">
        <f t="shared" si="3136"/>
        <v>4.3165467625899225</v>
      </c>
      <c r="AA685" s="720">
        <v>54.8</v>
      </c>
      <c r="AB685" s="9">
        <f t="shared" si="3137"/>
        <v>-0.54446460980037159</v>
      </c>
      <c r="AC685" s="720">
        <v>69.099999999999994</v>
      </c>
      <c r="AD685" s="9">
        <f t="shared" si="3138"/>
        <v>17.517006802721085</v>
      </c>
      <c r="AE685" s="720">
        <v>47.5</v>
      </c>
      <c r="AF685" s="9" t="str">
        <f t="shared" si="3139"/>
        <v>NM</v>
      </c>
      <c r="AG685" s="720">
        <v>71</v>
      </c>
      <c r="AH685" s="9">
        <f t="shared" si="3140"/>
        <v>22.41379310344827</v>
      </c>
      <c r="AI685" s="720">
        <v>58.1</v>
      </c>
      <c r="AJ685" s="9">
        <f t="shared" si="3141"/>
        <v>6.0218978102189737</v>
      </c>
      <c r="AK685" s="720">
        <v>69.599999999999994</v>
      </c>
      <c r="AL685" s="9">
        <f t="shared" si="3142"/>
        <v>0.72358900144718064</v>
      </c>
      <c r="AM685" s="720">
        <v>57.2</v>
      </c>
      <c r="AN685" s="9">
        <f t="shared" si="3143"/>
        <v>20.421052631578959</v>
      </c>
      <c r="AO685" s="720">
        <v>75.599999999999994</v>
      </c>
      <c r="AP685" s="9">
        <f t="shared" si="3144"/>
        <v>6.4788732394366093</v>
      </c>
      <c r="AQ685" s="728">
        <f t="shared" ref="AQ685:AW685" si="3170">AQ682-AQ683</f>
        <v>75.782262920814375</v>
      </c>
      <c r="AR685" s="9">
        <f t="shared" si="3146"/>
        <v>30.434187471281206</v>
      </c>
      <c r="AS685" s="728">
        <f t="shared" si="3170"/>
        <v>85.403459967489596</v>
      </c>
      <c r="AT685" s="9">
        <f t="shared" si="3147"/>
        <v>22.706120642944839</v>
      </c>
      <c r="AU685" s="728">
        <f t="shared" si="3170"/>
        <v>96.13696646624615</v>
      </c>
      <c r="AV685" s="9">
        <f t="shared" si="3148"/>
        <v>68.071619696234507</v>
      </c>
      <c r="AW685" s="728">
        <f t="shared" si="3170"/>
        <v>102.22993125786969</v>
      </c>
      <c r="AX685" s="9">
        <f t="shared" si="3149"/>
        <v>35.224776796123933</v>
      </c>
      <c r="AY685" s="293"/>
      <c r="AZ685" s="165"/>
      <c r="BA685" s="9"/>
      <c r="BB685" s="724"/>
      <c r="BC685" s="9"/>
      <c r="BD685" s="965"/>
      <c r="BE685" s="9"/>
      <c r="BF685" s="708">
        <f>S685+U685+W685+Y685</f>
        <v>286.39999999999998</v>
      </c>
      <c r="BG685" s="9" t="str">
        <f t="shared" si="3150"/>
        <v>NA</v>
      </c>
      <c r="BH685" s="708">
        <f>AA685+AC685+AE685+AG685</f>
        <v>242.39999999999998</v>
      </c>
      <c r="BI685" s="9">
        <f t="shared" si="3151"/>
        <v>-15.363128491620117</v>
      </c>
      <c r="BJ685" s="708">
        <f>AI685+AK685+AM685+AO685</f>
        <v>260.5</v>
      </c>
      <c r="BK685" s="9">
        <f t="shared" si="3151"/>
        <v>7.466996699669977</v>
      </c>
      <c r="BL685" s="708">
        <f>AQ685+AS685+AU685+AW685</f>
        <v>359.55262061241979</v>
      </c>
      <c r="BM685" s="9">
        <f t="shared" si="3151"/>
        <v>38.024038622809883</v>
      </c>
      <c r="BN685" s="728">
        <f>BN682-BN683</f>
        <v>378.28433430358689</v>
      </c>
      <c r="BO685" s="9">
        <f t="shared" si="3151"/>
        <v>5.2097280390452312</v>
      </c>
      <c r="BP685" s="728">
        <f>BP682-BP683</f>
        <v>387.70294186842398</v>
      </c>
      <c r="BQ685" s="9">
        <f t="shared" si="3151"/>
        <v>2.4898222608600804</v>
      </c>
      <c r="BR685" s="728">
        <f>BR682-BR683</f>
        <v>398.65999608263519</v>
      </c>
      <c r="BS685" s="9">
        <f t="shared" si="3151"/>
        <v>2.8261467817104489</v>
      </c>
      <c r="BT685" s="728">
        <f>BT682-BT683</f>
        <v>409.61879484133937</v>
      </c>
      <c r="BU685" s="9">
        <f t="shared" si="3152"/>
        <v>2.7489085602741596</v>
      </c>
      <c r="BV685" s="43">
        <f t="shared" si="3153"/>
        <v>9.4748678380372162</v>
      </c>
      <c r="BW685" s="722"/>
      <c r="BX685" s="722"/>
      <c r="BY685"/>
      <c r="BZ685"/>
      <c r="CA685"/>
      <c r="CB685"/>
      <c r="CC685"/>
      <c r="CD685"/>
    </row>
    <row r="686" spans="1:82" s="2" customFormat="1" ht="12.75" customHeight="1" x14ac:dyDescent="0.2">
      <c r="A686" s="41"/>
      <c r="B686" s="42" t="s">
        <v>596</v>
      </c>
      <c r="C686" s="724"/>
      <c r="D686" s="9"/>
      <c r="E686" s="724"/>
      <c r="F686" s="9"/>
      <c r="G686" s="724"/>
      <c r="H686" s="9"/>
      <c r="I686" s="724"/>
      <c r="J686" s="9"/>
      <c r="K686" s="724"/>
      <c r="L686" s="9"/>
      <c r="M686" s="724"/>
      <c r="N686" s="9"/>
      <c r="O686" s="728">
        <f>O633</f>
        <v>-43.2</v>
      </c>
      <c r="P686" s="9" t="str">
        <f t="shared" si="3131"/>
        <v>NA</v>
      </c>
      <c r="Q686" s="728">
        <f>Q633</f>
        <v>-49.1</v>
      </c>
      <c r="R686" s="9" t="str">
        <f t="shared" si="3132"/>
        <v>NA</v>
      </c>
      <c r="S686" s="728">
        <f>S633</f>
        <v>-37.300000000000004</v>
      </c>
      <c r="T686" s="9" t="str">
        <f t="shared" si="3133"/>
        <v>NA</v>
      </c>
      <c r="U686" s="728">
        <f>U633</f>
        <v>-46.2</v>
      </c>
      <c r="V686" s="9" t="str">
        <f t="shared" si="3134"/>
        <v>NA</v>
      </c>
      <c r="W686" s="728">
        <f>W633</f>
        <v>-54</v>
      </c>
      <c r="X686" s="9">
        <f t="shared" si="3135"/>
        <v>25</v>
      </c>
      <c r="Y686" s="728">
        <f>Y633</f>
        <v>-54.8</v>
      </c>
      <c r="Z686" s="9">
        <f t="shared" si="3136"/>
        <v>11.608961303462323</v>
      </c>
      <c r="AA686" s="728">
        <f>AA633</f>
        <v>-53.29999999999999</v>
      </c>
      <c r="AB686" s="9">
        <f t="shared" si="3137"/>
        <v>42.895442359249301</v>
      </c>
      <c r="AC686" s="728">
        <f>AC633</f>
        <v>-54.499999999999993</v>
      </c>
      <c r="AD686" s="9">
        <f t="shared" si="3138"/>
        <v>17.965367965367946</v>
      </c>
      <c r="AE686" s="728">
        <f>AE633</f>
        <v>-57.8</v>
      </c>
      <c r="AF686" s="9">
        <f t="shared" si="3139"/>
        <v>7.0370370370370381</v>
      </c>
      <c r="AG686" s="728">
        <f>AG633</f>
        <v>-53.3</v>
      </c>
      <c r="AH686" s="9">
        <f t="shared" si="3140"/>
        <v>-2.7372262773722582</v>
      </c>
      <c r="AI686" s="728">
        <f>AI633</f>
        <v>-58.5</v>
      </c>
      <c r="AJ686" s="9">
        <f t="shared" si="3141"/>
        <v>9.7560975609756468</v>
      </c>
      <c r="AK686" s="728">
        <f>AK633</f>
        <v>-47.5</v>
      </c>
      <c r="AL686" s="9">
        <f t="shared" si="3142"/>
        <v>-12.844036697247702</v>
      </c>
      <c r="AM686" s="728">
        <f>AM633</f>
        <v>-42.999999999999993</v>
      </c>
      <c r="AN686" s="9">
        <f t="shared" si="3143"/>
        <v>-25.605536332179938</v>
      </c>
      <c r="AO686" s="728">
        <f>AO633</f>
        <v>-61.499999999999993</v>
      </c>
      <c r="AP686" s="9">
        <f t="shared" si="3144"/>
        <v>15.384615384615373</v>
      </c>
      <c r="AQ686" s="728">
        <f t="shared" ref="AQ686:AW686" si="3171">AQ633</f>
        <v>-51.500259740259729</v>
      </c>
      <c r="AR686" s="9">
        <f t="shared" si="3146"/>
        <v>-11.965367965367989</v>
      </c>
      <c r="AS686" s="728">
        <f t="shared" si="3171"/>
        <v>-51.500259740259729</v>
      </c>
      <c r="AT686" s="9">
        <f t="shared" si="3147"/>
        <v>8.4215994531783736</v>
      </c>
      <c r="AU686" s="728">
        <f t="shared" si="3171"/>
        <v>-51.500259740259729</v>
      </c>
      <c r="AV686" s="9">
        <f t="shared" si="3148"/>
        <v>19.768045907580785</v>
      </c>
      <c r="AW686" s="728">
        <f t="shared" si="3171"/>
        <v>-51.500259740259729</v>
      </c>
      <c r="AX686" s="9">
        <f t="shared" si="3149"/>
        <v>-16.259740259740269</v>
      </c>
      <c r="AY686" s="293"/>
      <c r="AZ686" s="165"/>
      <c r="BA686" s="9"/>
      <c r="BB686" s="724"/>
      <c r="BC686" s="9"/>
      <c r="BD686" s="965"/>
      <c r="BE686" s="9"/>
      <c r="BF686" s="728">
        <f>BF633</f>
        <v>-192.29999999999998</v>
      </c>
      <c r="BG686" s="9" t="str">
        <f t="shared" si="3150"/>
        <v>NA</v>
      </c>
      <c r="BH686" s="728">
        <f>BH633</f>
        <v>-218.89999999999998</v>
      </c>
      <c r="BI686" s="9">
        <f t="shared" si="3151"/>
        <v>13.832553302132084</v>
      </c>
      <c r="BJ686" s="728">
        <f>BJ633</f>
        <v>-210.5</v>
      </c>
      <c r="BK686" s="9">
        <f t="shared" si="3151"/>
        <v>-3.8373686614892648</v>
      </c>
      <c r="BL686" s="728">
        <f>BL633</f>
        <v>-206.00103896103892</v>
      </c>
      <c r="BM686" s="9">
        <f t="shared" si="3151"/>
        <v>-2.1372736527131053</v>
      </c>
      <c r="BN686" s="728">
        <f>BN633</f>
        <v>-206.70183896103896</v>
      </c>
      <c r="BO686" s="9">
        <f t="shared" si="3151"/>
        <v>0.3401924589965688</v>
      </c>
      <c r="BP686" s="728">
        <f>BP633</f>
        <v>-214.90795896103896</v>
      </c>
      <c r="BQ686" s="9">
        <f t="shared" si="3151"/>
        <v>3.9700275726848986</v>
      </c>
      <c r="BR686" s="728">
        <f>BR633</f>
        <v>-223.47907056103895</v>
      </c>
      <c r="BS686" s="9">
        <f t="shared" si="3151"/>
        <v>3.9882709051058782</v>
      </c>
      <c r="BT686" s="728">
        <f>BT633</f>
        <v>-232.43251705303899</v>
      </c>
      <c r="BU686" s="9">
        <f t="shared" si="3152"/>
        <v>4.0063915021315495</v>
      </c>
      <c r="BV686" s="43">
        <f t="shared" si="3153"/>
        <v>2.0020633596808057</v>
      </c>
      <c r="BW686" s="722"/>
      <c r="BX686" s="722"/>
      <c r="BY686"/>
      <c r="BZ686"/>
      <c r="CA686"/>
      <c r="CB686"/>
      <c r="CC686"/>
      <c r="CD686"/>
    </row>
    <row r="687" spans="1:82" s="2" customFormat="1" ht="12.75" customHeight="1" x14ac:dyDescent="0.2">
      <c r="A687" s="41"/>
      <c r="B687" s="5" t="s">
        <v>123</v>
      </c>
      <c r="C687" s="724"/>
      <c r="D687" s="9"/>
      <c r="E687" s="724"/>
      <c r="F687" s="9"/>
      <c r="G687" s="724"/>
      <c r="H687" s="9"/>
      <c r="I687" s="724"/>
      <c r="J687" s="9"/>
      <c r="K687" s="724"/>
      <c r="L687" s="9"/>
      <c r="M687" s="724"/>
      <c r="N687" s="9"/>
      <c r="O687" s="725">
        <f>O686-O689</f>
        <v>-11.300000000000004</v>
      </c>
      <c r="P687" s="9" t="str">
        <f t="shared" si="3131"/>
        <v>NA</v>
      </c>
      <c r="Q687" s="725">
        <f>Q686-Q689</f>
        <v>-22.900000000000002</v>
      </c>
      <c r="R687" s="9" t="str">
        <f t="shared" si="3132"/>
        <v>NA</v>
      </c>
      <c r="S687" s="725">
        <f>S686-S689</f>
        <v>-8.100000000000005</v>
      </c>
      <c r="T687" s="9" t="str">
        <f t="shared" si="3133"/>
        <v>NA</v>
      </c>
      <c r="U687" s="725">
        <f>U686-U689</f>
        <v>-4.5</v>
      </c>
      <c r="V687" s="9" t="str">
        <f t="shared" si="3134"/>
        <v>NA</v>
      </c>
      <c r="W687" s="725">
        <f>W686-W689</f>
        <v>-17.5</v>
      </c>
      <c r="X687" s="9">
        <f t="shared" si="3135"/>
        <v>54.867256637168083</v>
      </c>
      <c r="Y687" s="725">
        <f>Y686-Y689</f>
        <v>-22.4</v>
      </c>
      <c r="Z687" s="9">
        <f t="shared" si="3136"/>
        <v>-2.1834061135371314</v>
      </c>
      <c r="AA687" s="725">
        <f>AA686-AA689</f>
        <v>-23.099999999999991</v>
      </c>
      <c r="AB687" s="9" t="str">
        <f t="shared" si="3137"/>
        <v>NM</v>
      </c>
      <c r="AC687" s="725">
        <f>AC686-AC689</f>
        <v>-22.29999999999999</v>
      </c>
      <c r="AD687" s="9" t="str">
        <f t="shared" si="3138"/>
        <v>NM</v>
      </c>
      <c r="AE687" s="725">
        <f>AE686-AE689</f>
        <v>-32.199999999999996</v>
      </c>
      <c r="AF687" s="9">
        <f t="shared" si="3139"/>
        <v>84</v>
      </c>
      <c r="AG687" s="725">
        <f>AG686-AG689</f>
        <v>-31.699999999999996</v>
      </c>
      <c r="AH687" s="9">
        <f t="shared" si="3140"/>
        <v>41.517857142857139</v>
      </c>
      <c r="AI687" s="725">
        <f>AI686-AI689</f>
        <v>-22.1</v>
      </c>
      <c r="AJ687" s="9">
        <f t="shared" si="3141"/>
        <v>-4.3290043290042775</v>
      </c>
      <c r="AK687" s="725">
        <f>AK686-AK689</f>
        <v>-23.7</v>
      </c>
      <c r="AL687" s="9">
        <f t="shared" si="3142"/>
        <v>6.2780269058296341</v>
      </c>
      <c r="AM687" s="725">
        <f>AM686-AM689</f>
        <v>-32.999999999999993</v>
      </c>
      <c r="AN687" s="9">
        <f t="shared" si="3143"/>
        <v>2.4844720496894297</v>
      </c>
      <c r="AO687" s="725">
        <f>AO686-AO689</f>
        <v>-23.499999999999993</v>
      </c>
      <c r="AP687" s="9">
        <f t="shared" si="3144"/>
        <v>-25.867507886435348</v>
      </c>
      <c r="AQ687" s="725">
        <f t="shared" ref="AQ687:AW687" si="3172">AQ688*AQ686/100</f>
        <v>-9.7850493506493486</v>
      </c>
      <c r="AR687" s="9" t="str">
        <f t="shared" si="3146"/>
        <v>NM</v>
      </c>
      <c r="AS687" s="725">
        <f t="shared" si="3172"/>
        <v>-9.7850493506493486</v>
      </c>
      <c r="AT687" s="9" t="str">
        <f t="shared" si="3147"/>
        <v>NM</v>
      </c>
      <c r="AU687" s="725">
        <f t="shared" si="3172"/>
        <v>-9.7850493506493486</v>
      </c>
      <c r="AV687" s="9" t="str">
        <f t="shared" si="3148"/>
        <v>NM</v>
      </c>
      <c r="AW687" s="725">
        <f t="shared" si="3172"/>
        <v>-9.7850493506493486</v>
      </c>
      <c r="AX687" s="9" t="str">
        <f t="shared" si="3149"/>
        <v>NM</v>
      </c>
      <c r="AY687" s="293"/>
      <c r="AZ687" s="165"/>
      <c r="BA687" s="9"/>
      <c r="BB687" s="724"/>
      <c r="BC687" s="9"/>
      <c r="BD687" s="965"/>
      <c r="BE687" s="9"/>
      <c r="BF687" s="650">
        <f>S687+U687+W687+Y687</f>
        <v>-52.5</v>
      </c>
      <c r="BG687" s="9" t="str">
        <f t="shared" si="3150"/>
        <v>NA</v>
      </c>
      <c r="BH687" s="650">
        <f>AA687+AC687+AE687+AG687</f>
        <v>-109.29999999999995</v>
      </c>
      <c r="BI687" s="9" t="str">
        <f t="shared" si="3151"/>
        <v>NM</v>
      </c>
      <c r="BJ687" s="650">
        <f>AI687+AK687+AM687+AO687</f>
        <v>-102.29999999999998</v>
      </c>
      <c r="BK687" s="9">
        <f t="shared" si="3151"/>
        <v>-6.4043915827996045</v>
      </c>
      <c r="BL687" s="650">
        <f>AQ687+AS687+AU687+AW687</f>
        <v>-39.140197402597394</v>
      </c>
      <c r="BM687" s="9" t="str">
        <f t="shared" si="3151"/>
        <v>NM</v>
      </c>
      <c r="BN687" s="725">
        <f>BN688*BN686/100</f>
        <v>-39.273349402597404</v>
      </c>
      <c r="BO687" s="9">
        <f t="shared" si="3151"/>
        <v>0.3401924589965688</v>
      </c>
      <c r="BP687" s="725">
        <f>BP688*BP686/100</f>
        <v>-40.8325122025974</v>
      </c>
      <c r="BQ687" s="9">
        <f t="shared" si="3151"/>
        <v>3.9700275726848986</v>
      </c>
      <c r="BR687" s="725">
        <f>BR688*BR686/100</f>
        <v>-42.461023406597398</v>
      </c>
      <c r="BS687" s="9">
        <f t="shared" si="3151"/>
        <v>3.9882709051058782</v>
      </c>
      <c r="BT687" s="725">
        <f>BT688*BT686/100</f>
        <v>-44.162178240077409</v>
      </c>
      <c r="BU687" s="9">
        <f t="shared" si="3152"/>
        <v>4.0063915021315495</v>
      </c>
      <c r="BV687" s="43">
        <f t="shared" si="3153"/>
        <v>-15.465308807831878</v>
      </c>
      <c r="BW687" s="722"/>
      <c r="BX687" s="722"/>
      <c r="BY687"/>
      <c r="BZ687"/>
      <c r="CA687"/>
      <c r="CB687"/>
      <c r="CC687"/>
      <c r="CD687"/>
    </row>
    <row r="688" spans="1:82" s="2" customFormat="1" ht="12.75" customHeight="1" x14ac:dyDescent="0.2">
      <c r="A688" s="41"/>
      <c r="B688" s="5" t="s">
        <v>534</v>
      </c>
      <c r="C688" s="724"/>
      <c r="D688" s="9"/>
      <c r="E688" s="724"/>
      <c r="F688" s="9"/>
      <c r="G688" s="724"/>
      <c r="H688" s="9"/>
      <c r="I688" s="724"/>
      <c r="J688" s="9"/>
      <c r="K688" s="724"/>
      <c r="L688" s="9"/>
      <c r="M688" s="724"/>
      <c r="N688" s="9"/>
      <c r="O688" s="726">
        <f>O687/O686*100</f>
        <v>26.157407407407419</v>
      </c>
      <c r="P688" s="9" t="str">
        <f t="shared" si="3131"/>
        <v>NA</v>
      </c>
      <c r="Q688" s="726">
        <f>Q687/Q686*100</f>
        <v>46.639511201629333</v>
      </c>
      <c r="R688" s="9" t="str">
        <f t="shared" si="3132"/>
        <v>NA</v>
      </c>
      <c r="S688" s="726">
        <f>S687/S686*100</f>
        <v>21.715817694369985</v>
      </c>
      <c r="T688" s="9" t="str">
        <f t="shared" si="3133"/>
        <v>NA</v>
      </c>
      <c r="U688" s="726">
        <f>U687/U686*100</f>
        <v>9.7402597402597397</v>
      </c>
      <c r="V688" s="9" t="str">
        <f t="shared" si="3134"/>
        <v>NA</v>
      </c>
      <c r="W688" s="726">
        <f>W687/W686*100</f>
        <v>32.407407407407405</v>
      </c>
      <c r="X688" s="9">
        <f t="shared" si="3135"/>
        <v>23.893805309734432</v>
      </c>
      <c r="Y688" s="726">
        <f>Y687/Y686*100</f>
        <v>40.875912408759127</v>
      </c>
      <c r="Z688" s="9">
        <f t="shared" si="3136"/>
        <v>-12.357759857202055</v>
      </c>
      <c r="AA688" s="726">
        <f>AA687/AA686*100</f>
        <v>43.339587242026255</v>
      </c>
      <c r="AB688" s="9">
        <f t="shared" si="3137"/>
        <v>99.576123966367703</v>
      </c>
      <c r="AC688" s="726">
        <f>AC687/AC686*100</f>
        <v>40.917431192660537</v>
      </c>
      <c r="AD688" s="9" t="str">
        <f t="shared" si="3138"/>
        <v>NM</v>
      </c>
      <c r="AE688" s="726">
        <f>AE687/AE686*100</f>
        <v>55.70934256055363</v>
      </c>
      <c r="AF688" s="9">
        <f t="shared" si="3139"/>
        <v>71.903114186851212</v>
      </c>
      <c r="AG688" s="726">
        <f>AG687/AG686*100</f>
        <v>59.474671669793608</v>
      </c>
      <c r="AH688" s="9">
        <f t="shared" si="3140"/>
        <v>45.500536049316509</v>
      </c>
      <c r="AI688" s="726">
        <f>AI687/AI686*100</f>
        <v>37.777777777777786</v>
      </c>
      <c r="AJ688" s="9">
        <f t="shared" si="3141"/>
        <v>-12.833092833092792</v>
      </c>
      <c r="AK688" s="726">
        <f>AK687/AK686*100</f>
        <v>49.894736842105267</v>
      </c>
      <c r="AL688" s="9">
        <f t="shared" si="3142"/>
        <v>21.940051923530859</v>
      </c>
      <c r="AM688" s="726">
        <f>AM687/AM686*100</f>
        <v>76.744186046511615</v>
      </c>
      <c r="AN688" s="9">
        <f t="shared" si="3143"/>
        <v>37.758197313303469</v>
      </c>
      <c r="AO688" s="726">
        <f>AO687/AO686*100</f>
        <v>38.211382113821131</v>
      </c>
      <c r="AP688" s="9">
        <f t="shared" si="3144"/>
        <v>-35.751840168243959</v>
      </c>
      <c r="AQ688" s="645">
        <v>19</v>
      </c>
      <c r="AR688" s="9">
        <f t="shared" si="3146"/>
        <v>-49.705882352941188</v>
      </c>
      <c r="AS688" s="645">
        <f t="shared" ref="AS688" si="3173">AQ688</f>
        <v>19</v>
      </c>
      <c r="AT688" s="9" t="str">
        <f t="shared" si="3147"/>
        <v>NM</v>
      </c>
      <c r="AU688" s="645">
        <f t="shared" ref="AU688" si="3174">AS688</f>
        <v>19</v>
      </c>
      <c r="AV688" s="9" t="str">
        <f t="shared" si="3148"/>
        <v>NM</v>
      </c>
      <c r="AW688" s="645">
        <f t="shared" ref="AW688" si="3175">AU688</f>
        <v>19</v>
      </c>
      <c r="AX688" s="9" t="str">
        <f t="shared" si="3149"/>
        <v>NM</v>
      </c>
      <c r="AY688" s="293"/>
      <c r="AZ688" s="165"/>
      <c r="BA688" s="9"/>
      <c r="BB688" s="724"/>
      <c r="BC688" s="9"/>
      <c r="BD688" s="965"/>
      <c r="BE688" s="9"/>
      <c r="BF688" s="726">
        <f>BF687/BF686*100</f>
        <v>27.301092043681752</v>
      </c>
      <c r="BG688" s="9" t="str">
        <f t="shared" si="3150"/>
        <v>NA</v>
      </c>
      <c r="BH688" s="726">
        <f>BH687/BH686*100</f>
        <v>49.931475559616246</v>
      </c>
      <c r="BI688" s="9">
        <f t="shared" si="3151"/>
        <v>82.89186190693718</v>
      </c>
      <c r="BJ688" s="726">
        <f>BJ687/BJ686*100</f>
        <v>48.598574821852722</v>
      </c>
      <c r="BK688" s="9">
        <f t="shared" si="3151"/>
        <v>-2.6694599404980295</v>
      </c>
      <c r="BL688" s="726">
        <f>BL687/BL686*100</f>
        <v>19</v>
      </c>
      <c r="BM688" s="9" t="str">
        <f t="shared" si="3151"/>
        <v>NM</v>
      </c>
      <c r="BN688" s="645">
        <f>BL688</f>
        <v>19</v>
      </c>
      <c r="BO688" s="9">
        <f t="shared" si="3151"/>
        <v>0</v>
      </c>
      <c r="BP688" s="645">
        <f>BN688</f>
        <v>19</v>
      </c>
      <c r="BQ688" s="9">
        <f t="shared" si="3151"/>
        <v>0</v>
      </c>
      <c r="BR688" s="645">
        <f>BP688</f>
        <v>19</v>
      </c>
      <c r="BS688" s="9">
        <f t="shared" si="3151"/>
        <v>0</v>
      </c>
      <c r="BT688" s="645">
        <f>BR688</f>
        <v>19</v>
      </c>
      <c r="BU688" s="9">
        <f t="shared" si="3152"/>
        <v>0</v>
      </c>
      <c r="BV688" s="43">
        <f t="shared" si="3153"/>
        <v>-17.12452826166766</v>
      </c>
      <c r="BW688" s="722"/>
      <c r="BX688" s="722"/>
      <c r="BY688"/>
      <c r="BZ688"/>
      <c r="CA688"/>
      <c r="CB688"/>
      <c r="CC688"/>
      <c r="CD688"/>
    </row>
    <row r="689" spans="1:82" s="2" customFormat="1" ht="12.75" customHeight="1" x14ac:dyDescent="0.2">
      <c r="A689" s="41"/>
      <c r="B689" s="80" t="s">
        <v>597</v>
      </c>
      <c r="C689" s="724"/>
      <c r="D689" s="9"/>
      <c r="E689" s="724"/>
      <c r="F689" s="9"/>
      <c r="G689" s="724"/>
      <c r="H689" s="9"/>
      <c r="I689" s="724"/>
      <c r="J689" s="9"/>
      <c r="K689" s="724"/>
      <c r="L689" s="9"/>
      <c r="M689" s="724"/>
      <c r="N689" s="9"/>
      <c r="O689" s="720">
        <v>-31.9</v>
      </c>
      <c r="P689" s="9" t="str">
        <f t="shared" si="3131"/>
        <v>NA</v>
      </c>
      <c r="Q689" s="720">
        <v>-26.2</v>
      </c>
      <c r="R689" s="9" t="str">
        <f t="shared" si="3132"/>
        <v>NA</v>
      </c>
      <c r="S689" s="720">
        <v>-29.2</v>
      </c>
      <c r="T689" s="9" t="str">
        <f t="shared" si="3133"/>
        <v>NA</v>
      </c>
      <c r="U689" s="720">
        <v>-41.7</v>
      </c>
      <c r="V689" s="9" t="str">
        <f t="shared" si="3134"/>
        <v>NA</v>
      </c>
      <c r="W689" s="720">
        <v>-36.5</v>
      </c>
      <c r="X689" s="9">
        <f t="shared" si="3135"/>
        <v>14.42006269592477</v>
      </c>
      <c r="Y689" s="720">
        <v>-32.4</v>
      </c>
      <c r="Z689" s="9">
        <f t="shared" si="3136"/>
        <v>23.66412213740459</v>
      </c>
      <c r="AA689" s="720">
        <v>-30.2</v>
      </c>
      <c r="AB689" s="9">
        <f t="shared" si="3137"/>
        <v>3.4246575342465633</v>
      </c>
      <c r="AC689" s="720">
        <v>-32.200000000000003</v>
      </c>
      <c r="AD689" s="9">
        <f t="shared" si="3138"/>
        <v>-22.781774580335735</v>
      </c>
      <c r="AE689" s="720">
        <v>-25.6</v>
      </c>
      <c r="AF689" s="9">
        <f t="shared" si="3139"/>
        <v>-29.863013698630141</v>
      </c>
      <c r="AG689" s="720">
        <v>-21.6</v>
      </c>
      <c r="AH689" s="9">
        <f t="shared" si="3140"/>
        <v>-33.333333333333329</v>
      </c>
      <c r="AI689" s="720">
        <v>-36.4</v>
      </c>
      <c r="AJ689" s="9">
        <f t="shared" si="3141"/>
        <v>20.52980132450331</v>
      </c>
      <c r="AK689" s="720">
        <v>-23.8</v>
      </c>
      <c r="AL689" s="9">
        <f t="shared" si="3142"/>
        <v>-26.08695652173914</v>
      </c>
      <c r="AM689" s="720">
        <v>-10</v>
      </c>
      <c r="AN689" s="9" t="str">
        <f t="shared" si="3143"/>
        <v>NM</v>
      </c>
      <c r="AO689" s="720">
        <v>-38</v>
      </c>
      <c r="AP689" s="9">
        <f t="shared" si="3144"/>
        <v>75.925925925925895</v>
      </c>
      <c r="AQ689" s="728">
        <f t="shared" ref="AQ689:AW689" si="3176">AQ686-AQ687</f>
        <v>-41.715210389610377</v>
      </c>
      <c r="AR689" s="9">
        <f t="shared" si="3146"/>
        <v>14.602226345083452</v>
      </c>
      <c r="AS689" s="728">
        <f t="shared" si="3176"/>
        <v>-41.715210389610377</v>
      </c>
      <c r="AT689" s="9">
        <f t="shared" si="3147"/>
        <v>75.273993233657052</v>
      </c>
      <c r="AU689" s="728">
        <f t="shared" si="3176"/>
        <v>-41.715210389610377</v>
      </c>
      <c r="AV689" s="9" t="str">
        <f t="shared" si="3148"/>
        <v>NM</v>
      </c>
      <c r="AW689" s="728">
        <f t="shared" si="3176"/>
        <v>-41.715210389610377</v>
      </c>
      <c r="AX689" s="9">
        <f t="shared" si="3149"/>
        <v>9.7768694463431132</v>
      </c>
      <c r="AY689" s="293"/>
      <c r="AZ689" s="165"/>
      <c r="BA689" s="9"/>
      <c r="BB689" s="724"/>
      <c r="BC689" s="9"/>
      <c r="BD689" s="965"/>
      <c r="BE689" s="9"/>
      <c r="BF689" s="708">
        <f>S689+U689+W689+Y689</f>
        <v>-139.80000000000001</v>
      </c>
      <c r="BG689" s="9" t="str">
        <f t="shared" si="3150"/>
        <v>NA</v>
      </c>
      <c r="BH689" s="708">
        <f>AA689+AC689+AE689+AG689</f>
        <v>-109.6</v>
      </c>
      <c r="BI689" s="9">
        <f t="shared" si="3151"/>
        <v>-21.60228898426324</v>
      </c>
      <c r="BJ689" s="708">
        <f>AI689+AK689+AM689+AO689</f>
        <v>-108.2</v>
      </c>
      <c r="BK689" s="9">
        <f t="shared" si="3151"/>
        <v>-1.2773722627737101</v>
      </c>
      <c r="BL689" s="708">
        <f>AQ689+AS689+AU689+AW689</f>
        <v>-166.86084155844151</v>
      </c>
      <c r="BM689" s="9">
        <f t="shared" si="3151"/>
        <v>54.215195525361821</v>
      </c>
      <c r="BN689" s="728">
        <f>BN686-BN687</f>
        <v>-167.42848955844156</v>
      </c>
      <c r="BO689" s="9">
        <f t="shared" si="3151"/>
        <v>0.3401924589965688</v>
      </c>
      <c r="BP689" s="728">
        <f>BP686-BP687</f>
        <v>-174.07544675844156</v>
      </c>
      <c r="BQ689" s="9">
        <f t="shared" si="3151"/>
        <v>3.9700275726848986</v>
      </c>
      <c r="BR689" s="728">
        <f>BR686-BR687</f>
        <v>-181.01804715444155</v>
      </c>
      <c r="BS689" s="9">
        <f t="shared" si="3151"/>
        <v>3.9882709051058782</v>
      </c>
      <c r="BT689" s="728">
        <f>BT686-BT687</f>
        <v>-188.2703388129616</v>
      </c>
      <c r="BU689" s="9">
        <f t="shared" si="3152"/>
        <v>4.0063915021315495</v>
      </c>
      <c r="BV689" s="43">
        <f t="shared" si="3153"/>
        <v>11.71485564683843</v>
      </c>
      <c r="BW689" s="722"/>
      <c r="BX689" s="722"/>
      <c r="BY689"/>
      <c r="BZ689"/>
      <c r="CA689"/>
      <c r="CB689"/>
      <c r="CC689"/>
      <c r="CD689"/>
    </row>
    <row r="690" spans="1:82" s="2" customFormat="1" ht="12.75" customHeight="1" x14ac:dyDescent="0.2">
      <c r="A690" s="41"/>
      <c r="B690" s="42" t="s">
        <v>642</v>
      </c>
      <c r="C690" s="651"/>
      <c r="D690" s="9"/>
      <c r="E690" s="651"/>
      <c r="F690" s="9"/>
      <c r="G690" s="651"/>
      <c r="H690" s="9"/>
      <c r="I690" s="651"/>
      <c r="J690" s="9"/>
      <c r="K690" s="651"/>
      <c r="L690" s="9"/>
      <c r="M690" s="651"/>
      <c r="N690" s="9"/>
      <c r="O690" s="721">
        <f>-0.35*O669</f>
        <v>-27.676923076923078</v>
      </c>
      <c r="P690" s="9"/>
      <c r="Q690" s="721">
        <f>-0.35*Q669</f>
        <v>-3.2307692307692304</v>
      </c>
      <c r="R690" s="9"/>
      <c r="S690" s="721">
        <f>-0.35*S669</f>
        <v>-6.4615384615384608</v>
      </c>
      <c r="T690" s="9"/>
      <c r="U690" s="721">
        <f>-0.35*U669</f>
        <v>1.6153846153846152</v>
      </c>
      <c r="V690" s="9"/>
      <c r="W690" s="721">
        <f>-0.35*W669</f>
        <v>-2.8</v>
      </c>
      <c r="X690" s="9"/>
      <c r="Y690" s="721">
        <f>-0.35*Y669</f>
        <v>0</v>
      </c>
      <c r="Z690" s="9"/>
      <c r="AA690" s="721">
        <f>-0.35*AA669</f>
        <v>0</v>
      </c>
      <c r="AB690" s="9"/>
      <c r="AC690" s="721">
        <f>-0.35*AC669</f>
        <v>0</v>
      </c>
      <c r="AD690" s="9"/>
      <c r="AE690" s="721">
        <f>-0.35*AE669</f>
        <v>10.850000000000001</v>
      </c>
      <c r="AF690" s="9"/>
      <c r="AG690" s="721">
        <f>-0.35*AG669</f>
        <v>-2.0999999999999996</v>
      </c>
      <c r="AH690" s="9"/>
      <c r="AI690" s="721">
        <f>-0.35*AI669</f>
        <v>-8.0499999999999989</v>
      </c>
      <c r="AJ690" s="9"/>
      <c r="AK690" s="721">
        <f>-0.35*AK669</f>
        <v>-1.75</v>
      </c>
      <c r="AL690" s="9"/>
      <c r="AM690" s="721">
        <f>-0.35*AM669</f>
        <v>23.45</v>
      </c>
      <c r="AN690" s="9"/>
      <c r="AO690" s="721">
        <f>-0.35*AO669</f>
        <v>0</v>
      </c>
      <c r="AP690" s="9"/>
      <c r="AQ690" s="721">
        <f t="shared" ref="AQ690:AW690" si="3177">-0.35*AQ669</f>
        <v>0</v>
      </c>
      <c r="AR690" s="9"/>
      <c r="AS690" s="721">
        <f t="shared" si="3177"/>
        <v>0</v>
      </c>
      <c r="AT690" s="9"/>
      <c r="AU690" s="721">
        <f t="shared" si="3177"/>
        <v>0</v>
      </c>
      <c r="AV690" s="9"/>
      <c r="AW690" s="721">
        <f t="shared" si="3177"/>
        <v>0</v>
      </c>
      <c r="AX690" s="9"/>
      <c r="AY690" s="286"/>
      <c r="AZ690" s="92"/>
      <c r="BA690" s="9"/>
      <c r="BB690" s="651"/>
      <c r="BC690" s="9"/>
      <c r="BD690" s="937"/>
      <c r="BE690" s="9"/>
      <c r="BF690" s="721">
        <f>-0.35*BF669</f>
        <v>-7.6461538461538474</v>
      </c>
      <c r="BG690" s="9"/>
      <c r="BH690" s="721">
        <f>-0.35*BH669</f>
        <v>8.75</v>
      </c>
      <c r="BI690" s="9"/>
      <c r="BJ690" s="721">
        <f>-0.35*BJ669</f>
        <v>13.649999999999999</v>
      </c>
      <c r="BK690" s="9"/>
      <c r="BL690" s="721">
        <f>-0.35*BL669</f>
        <v>0</v>
      </c>
      <c r="BM690" s="9"/>
      <c r="BN690" s="721">
        <f>-0.35*BN669</f>
        <v>0</v>
      </c>
      <c r="BO690" s="9"/>
      <c r="BP690" s="721">
        <f>-0.35*BP669</f>
        <v>0</v>
      </c>
      <c r="BQ690" s="9"/>
      <c r="BR690" s="721">
        <f>-0.35*BR669</f>
        <v>0</v>
      </c>
      <c r="BS690" s="9"/>
      <c r="BT690" s="721">
        <f>-0.35*BT669</f>
        <v>0</v>
      </c>
      <c r="BU690" s="9"/>
      <c r="BV690" s="43"/>
      <c r="BW690" s="722"/>
      <c r="BX690" s="722"/>
      <c r="BY690"/>
      <c r="BZ690"/>
      <c r="CA690"/>
      <c r="CB690"/>
      <c r="CC690"/>
      <c r="CD690"/>
    </row>
    <row r="691" spans="1:82" s="2" customFormat="1" ht="12.75" customHeight="1" x14ac:dyDescent="0.2">
      <c r="A691" s="41"/>
      <c r="B691" s="80" t="s">
        <v>589</v>
      </c>
      <c r="C691" s="724"/>
      <c r="D691" s="9"/>
      <c r="E691" s="724"/>
      <c r="F691" s="9"/>
      <c r="G691" s="724"/>
      <c r="H691" s="9"/>
      <c r="I691" s="724"/>
      <c r="J691" s="9"/>
      <c r="K691" s="724"/>
      <c r="L691" s="9"/>
      <c r="M691" s="724"/>
      <c r="N691" s="9"/>
      <c r="O691" s="723">
        <f>O687+O683+O679+O675-O706+O690</f>
        <v>88.023076923077042</v>
      </c>
      <c r="P691" s="9" t="str">
        <f t="shared" si="3131"/>
        <v>NA</v>
      </c>
      <c r="Q691" s="723">
        <f>Q687+Q683+Q679+Q675-Q706+Q690</f>
        <v>74.469230769230904</v>
      </c>
      <c r="R691" s="9" t="str">
        <f t="shared" si="3132"/>
        <v>NA</v>
      </c>
      <c r="S691" s="723">
        <f>S687+S683+S679+S675-S706+S690</f>
        <v>79.838461538461473</v>
      </c>
      <c r="T691" s="9" t="str">
        <f t="shared" si="3133"/>
        <v>NA</v>
      </c>
      <c r="U691" s="723">
        <f>U687+U683+U679+U675-U706+U690</f>
        <v>90.715384615384608</v>
      </c>
      <c r="V691" s="9" t="str">
        <f t="shared" si="3134"/>
        <v>NA</v>
      </c>
      <c r="W691" s="723">
        <f>W687+W683+W679+W675-W706+W690</f>
        <v>79</v>
      </c>
      <c r="X691" s="9">
        <f t="shared" si="3135"/>
        <v>-10.25080835445263</v>
      </c>
      <c r="Y691" s="723">
        <f>Y687+Y683+Y679+Y675-Y706+Y690</f>
        <v>84.700000000000045</v>
      </c>
      <c r="Z691" s="9">
        <f t="shared" si="3136"/>
        <v>13.738250180766315</v>
      </c>
      <c r="AA691" s="723">
        <f>AA687+AA683+AA679+AA675-AA706+AA690</f>
        <v>69.999999999999972</v>
      </c>
      <c r="AB691" s="9">
        <f t="shared" si="3137"/>
        <v>-12.322959822718914</v>
      </c>
      <c r="AC691" s="723">
        <f>AC687+AC683+AC679+AC675-AC706+AC690</f>
        <v>94.099999999999937</v>
      </c>
      <c r="AD691" s="9">
        <f t="shared" si="3138"/>
        <v>3.7310268803527009</v>
      </c>
      <c r="AE691" s="723">
        <f>AE687+AE683+AE679+AE675-AE706</f>
        <v>80.700000000000131</v>
      </c>
      <c r="AF691" s="9">
        <f t="shared" si="3139"/>
        <v>2.1518987341773794</v>
      </c>
      <c r="AG691" s="723">
        <f>AG687+AG683+AG679+AG675-AG706</f>
        <v>92.799999999999841</v>
      </c>
      <c r="AH691" s="9">
        <f t="shared" si="3140"/>
        <v>9.5631641086184231</v>
      </c>
      <c r="AI691" s="723">
        <f>AI687+AI683+AI679+AI675-AI706</f>
        <v>102.30000000000003</v>
      </c>
      <c r="AJ691" s="9">
        <f t="shared" ref="AJ691" si="3178">IF(ISERROR(AI691/AA691),"NA",IF(OR(AI691/AA691&gt;2,AI691/AA691&lt;0.5),"NM",AI691/AA691*100-100))</f>
        <v>46.142857142857252</v>
      </c>
      <c r="AK691" s="723">
        <f>AK687+AK683+AK679+AK675-AK706</f>
        <v>110.90000000000009</v>
      </c>
      <c r="AL691" s="9">
        <f t="shared" ref="AL691" si="3179">IF(ISERROR(AK691/AC691),"NA",IF(OR(AK691/AC691&gt;2,AK691/AC691&lt;0.5),"NM",AK691/AC691*100-100))</f>
        <v>17.853347502656931</v>
      </c>
      <c r="AM691" s="723">
        <f>AM687+AM683+AM679+AM675-AM706</f>
        <v>79.200000000000159</v>
      </c>
      <c r="AN691" s="9">
        <f t="shared" ref="AN691" si="3180">IF(ISERROR(AM691/AE691),"NA",IF(OR(AM691/AE691&gt;2,AM691/AE691&lt;0.5),"NM",AM691/AE691*100-100))</f>
        <v>-1.8587360594795115</v>
      </c>
      <c r="AO691" s="723">
        <f>AO687+AO683+AO679+AO675-AO706</f>
        <v>102.69999999999973</v>
      </c>
      <c r="AP691" s="9">
        <f t="shared" ref="AP691" si="3181">IF(ISERROR(AO691/AG691),"NA",IF(OR(AO691/AG691&gt;2,AO691/AG691&lt;0.5),"NM",AO691/AG691*100-100))</f>
        <v>10.668103448275758</v>
      </c>
      <c r="AQ691" s="723">
        <f t="shared" ref="AQ691:AW691" si="3182">AQ687+AQ683+AQ679+AQ675-AQ706-AQ690</f>
        <v>93.47909642107237</v>
      </c>
      <c r="AR691" s="9">
        <f t="shared" ref="AR691" si="3183">IF(ISERROR(AQ691/AI691),"NA",IF(OR(AQ691/AI691&gt;2,AQ691/AI691&lt;0.5),"NM",AQ691/AI691*100-100))</f>
        <v>-8.6225841436242945</v>
      </c>
      <c r="AS691" s="723">
        <f t="shared" si="3182"/>
        <v>95.20214194146493</v>
      </c>
      <c r="AT691" s="9">
        <f t="shared" ref="AT691" si="3184">IF(ISERROR(AS691/AK691),"NA",IF(OR(AS691/AK691&gt;2,AS691/AK691&lt;0.5),"NM",AS691/AK691*100-100))</f>
        <v>-14.154966689391486</v>
      </c>
      <c r="AU691" s="723">
        <f t="shared" si="3182"/>
        <v>98.730466121551359</v>
      </c>
      <c r="AV691" s="9">
        <f t="shared" ref="AV691" si="3185">IF(ISERROR(AU691/AM691),"NA",IF(OR(AU691/AM691&gt;2,AU691/AM691&lt;0.5),"NM",AU691/AM691*100-100))</f>
        <v>24.659679446402976</v>
      </c>
      <c r="AW691" s="723">
        <f t="shared" si="3182"/>
        <v>102.1155237954388</v>
      </c>
      <c r="AX691" s="9">
        <f t="shared" ref="AX691" si="3186">IF(ISERROR(AW691/AO691),"NA",IF(OR(AW691/AO691&gt;2,AW691/AO691&lt;0.5),"NM",AW691/AO691*100-100))</f>
        <v>-0.56911022839429393</v>
      </c>
      <c r="AY691" s="293"/>
      <c r="AZ691" s="165"/>
      <c r="BA691" s="9"/>
      <c r="BB691" s="724"/>
      <c r="BC691" s="9"/>
      <c r="BD691" s="965"/>
      <c r="BE691" s="9"/>
      <c r="BF691" s="723">
        <f>BF687+BF683+BF679+BF675-BF706-BF690</f>
        <v>349.5461538461538</v>
      </c>
      <c r="BG691" s="9" t="str">
        <f t="shared" si="3150"/>
        <v>NA</v>
      </c>
      <c r="BH691" s="723">
        <f>BH687+BH683+BH679+BH675-BH706-BH690</f>
        <v>328.84999999999991</v>
      </c>
      <c r="BI691" s="9">
        <f t="shared" si="3151"/>
        <v>-5.9208644175964622</v>
      </c>
      <c r="BJ691" s="723">
        <f>BJ687+BJ683+BJ679+BJ675-BJ706-BJ690</f>
        <v>381.45000000000005</v>
      </c>
      <c r="BK691" s="9">
        <f t="shared" si="3151"/>
        <v>15.995134559829751</v>
      </c>
      <c r="BL691" s="723">
        <f>BL687+BL683+BL679+BL675-BL706-BL690</f>
        <v>389.52722827952744</v>
      </c>
      <c r="BM691" s="9">
        <f t="shared" si="3151"/>
        <v>2.1175064306009546</v>
      </c>
      <c r="BN691" s="723">
        <f>BN687+BN683+BN679+BN675-BN706-BN690</f>
        <v>408.9831672120846</v>
      </c>
      <c r="BO691" s="9">
        <f t="shared" si="3151"/>
        <v>4.9947571106878854</v>
      </c>
      <c r="BP691" s="723">
        <f>BP687+BP683+BP679+BP675-BP706-BP690</f>
        <v>429.80301928107713</v>
      </c>
      <c r="BQ691" s="9">
        <f t="shared" si="3151"/>
        <v>5.0906378888195434</v>
      </c>
      <c r="BR691" s="723">
        <f>BR687+BR683+BR679+BR675-BR706-BR690</f>
        <v>449.32662409064835</v>
      </c>
      <c r="BS691" s="9">
        <f t="shared" si="3151"/>
        <v>4.5424540856478899</v>
      </c>
      <c r="BT691" s="723">
        <f>BT687+BT683+BT679+BT675-BT706-BT690</f>
        <v>469.38037657102035</v>
      </c>
      <c r="BU691" s="9">
        <f t="shared" ref="BU691" si="3187">IF(ISERROR(BT691/BR691),"NA",IF(OR(BT691/BR691&gt;2,BT691/BR691&lt;0.5),"NM",BT691/BR691*100-100))</f>
        <v>4.4630679343689081</v>
      </c>
      <c r="BV691" s="43">
        <f>IF(ISERROR(((BT691/BJ691)^0.2-1)*100),"NA",IF((((BT691/BJ691)^0.2-1)*100)&gt;100,"NM",IF((((BT691/BJ691)^0.2-1)*100)&lt;-50,"NM",((BT691/BJ691)^0.2-1)*100)))</f>
        <v>4.235933937905223</v>
      </c>
      <c r="BW691" s="722"/>
      <c r="BX691" s="722"/>
      <c r="BY691"/>
      <c r="BZ691"/>
      <c r="CA691"/>
      <c r="CB691"/>
      <c r="CC691"/>
      <c r="CD691"/>
    </row>
    <row r="692" spans="1:82" s="2" customFormat="1" ht="12.75" customHeight="1" x14ac:dyDescent="0.2">
      <c r="A692" s="41"/>
      <c r="B692" s="80"/>
      <c r="C692" s="724"/>
      <c r="D692" s="9"/>
      <c r="E692" s="724"/>
      <c r="F692" s="9"/>
      <c r="G692" s="724"/>
      <c r="H692" s="9"/>
      <c r="I692" s="724"/>
      <c r="J692" s="9"/>
      <c r="K692" s="724"/>
      <c r="L692" s="9"/>
      <c r="M692" s="724"/>
      <c r="N692" s="9"/>
      <c r="O692" s="723"/>
      <c r="P692" s="9"/>
      <c r="Q692" s="723"/>
      <c r="R692" s="9"/>
      <c r="S692" s="723"/>
      <c r="T692" s="9"/>
      <c r="U692" s="723"/>
      <c r="V692" s="9"/>
      <c r="W692" s="723"/>
      <c r="X692" s="9"/>
      <c r="Y692" s="723"/>
      <c r="Z692" s="9"/>
      <c r="AA692" s="723"/>
      <c r="AB692" s="9"/>
      <c r="AC692" s="723"/>
      <c r="AD692" s="9"/>
      <c r="AE692" s="723"/>
      <c r="AF692" s="9"/>
      <c r="AG692" s="723"/>
      <c r="AH692" s="9"/>
      <c r="AI692" s="723"/>
      <c r="AJ692" s="9"/>
      <c r="AK692" s="723"/>
      <c r="AL692" s="9"/>
      <c r="AM692" s="723"/>
      <c r="AN692" s="9"/>
      <c r="AO692" s="723"/>
      <c r="AP692" s="9"/>
      <c r="AQ692" s="1000"/>
      <c r="AR692" s="9"/>
      <c r="AS692" s="1000"/>
      <c r="AT692" s="9"/>
      <c r="AU692" s="1000"/>
      <c r="AV692" s="9"/>
      <c r="AW692" s="1000"/>
      <c r="AX692" s="9"/>
      <c r="AY692" s="293"/>
      <c r="AZ692" s="165"/>
      <c r="BA692" s="9"/>
      <c r="BB692" s="724"/>
      <c r="BC692" s="9"/>
      <c r="BD692" s="965"/>
      <c r="BE692" s="9"/>
      <c r="BF692" s="724"/>
      <c r="BG692" s="9"/>
      <c r="BH692" s="724"/>
      <c r="BI692" s="9"/>
      <c r="BJ692" s="724"/>
      <c r="BK692" s="9"/>
      <c r="BL692" s="1000"/>
      <c r="BM692" s="9"/>
      <c r="BN692" s="1000"/>
      <c r="BO692" s="9"/>
      <c r="BP692" s="1000"/>
      <c r="BQ692" s="9"/>
      <c r="BR692" s="1000"/>
      <c r="BS692" s="9"/>
      <c r="BT692" s="1000"/>
      <c r="BU692" s="9"/>
      <c r="BV692" s="43"/>
      <c r="BW692" s="722"/>
      <c r="BX692" s="722"/>
      <c r="BY692"/>
      <c r="BZ692"/>
      <c r="CA692"/>
      <c r="CB692"/>
      <c r="CC692"/>
      <c r="CD692"/>
    </row>
    <row r="693" spans="1:82" s="2" customFormat="1" ht="12.75" customHeight="1" x14ac:dyDescent="0.2">
      <c r="A693" s="41"/>
      <c r="B693" s="80" t="s">
        <v>600</v>
      </c>
      <c r="C693" s="724"/>
      <c r="D693" s="9"/>
      <c r="E693" s="724"/>
      <c r="F693" s="9"/>
      <c r="G693" s="724"/>
      <c r="H693" s="9"/>
      <c r="I693" s="724"/>
      <c r="J693" s="9"/>
      <c r="K693" s="724"/>
      <c r="L693" s="9"/>
      <c r="M693" s="724"/>
      <c r="N693" s="9"/>
      <c r="O693" s="723"/>
      <c r="P693" s="9"/>
      <c r="Q693" s="723"/>
      <c r="R693" s="9"/>
      <c r="S693" s="723"/>
      <c r="T693" s="9"/>
      <c r="U693" s="723"/>
      <c r="V693" s="9"/>
      <c r="W693" s="723"/>
      <c r="X693" s="9"/>
      <c r="Y693" s="723"/>
      <c r="Z693" s="9"/>
      <c r="AA693" s="723"/>
      <c r="AB693" s="9"/>
      <c r="AC693" s="723"/>
      <c r="AD693" s="9"/>
      <c r="AE693" s="723"/>
      <c r="AF693" s="9"/>
      <c r="AG693" s="723"/>
      <c r="AH693" s="9"/>
      <c r="AI693" s="723"/>
      <c r="AJ693" s="9"/>
      <c r="AK693" s="723"/>
      <c r="AL693" s="9"/>
      <c r="AM693" s="723"/>
      <c r="AN693" s="9"/>
      <c r="AO693" s="723"/>
      <c r="AP693" s="9"/>
      <c r="AQ693" s="723"/>
      <c r="AR693" s="9"/>
      <c r="AS693" s="723"/>
      <c r="AT693" s="9"/>
      <c r="AU693" s="723"/>
      <c r="AV693" s="9"/>
      <c r="AW693" s="723"/>
      <c r="AX693" s="9"/>
      <c r="AY693" s="293"/>
      <c r="AZ693" s="165"/>
      <c r="BA693" s="9"/>
      <c r="BB693" s="724"/>
      <c r="BC693" s="9"/>
      <c r="BD693" s="965"/>
      <c r="BE693" s="9"/>
      <c r="BF693" s="724"/>
      <c r="BG693" s="9"/>
      <c r="BH693" s="724"/>
      <c r="BI693" s="9"/>
      <c r="BJ693" s="724"/>
      <c r="BK693" s="9"/>
      <c r="BL693" s="724"/>
      <c r="BM693" s="9"/>
      <c r="BN693" s="724"/>
      <c r="BO693" s="9"/>
      <c r="BP693" s="724"/>
      <c r="BQ693" s="9"/>
      <c r="BR693" s="724"/>
      <c r="BS693" s="9"/>
      <c r="BT693" s="724"/>
      <c r="BU693" s="9"/>
      <c r="BV693" s="43"/>
      <c r="BW693" s="722"/>
      <c r="BX693" s="722"/>
      <c r="BY693"/>
      <c r="BZ693"/>
      <c r="CA693"/>
      <c r="CB693"/>
      <c r="CC693"/>
      <c r="CD693"/>
    </row>
    <row r="694" spans="1:82" s="2" customFormat="1" ht="12.75" customHeight="1" x14ac:dyDescent="0.2">
      <c r="A694" s="41"/>
      <c r="B694" s="42" t="s">
        <v>556</v>
      </c>
      <c r="C694" s="724"/>
      <c r="D694" s="9"/>
      <c r="E694" s="724"/>
      <c r="F694" s="9"/>
      <c r="G694" s="724"/>
      <c r="H694" s="9"/>
      <c r="I694" s="724"/>
      <c r="J694" s="9"/>
      <c r="K694" s="724"/>
      <c r="L694" s="9"/>
      <c r="M694" s="724"/>
      <c r="N694" s="9"/>
      <c r="O694" s="644">
        <f>O674/(O55+O178+O322)*100</f>
        <v>37.03374777975133</v>
      </c>
      <c r="P694" s="9"/>
      <c r="Q694" s="644">
        <f>Q674/(Q55+Q178+Q322)*100</f>
        <v>34.331922283729511</v>
      </c>
      <c r="R694" s="9"/>
      <c r="S694" s="644">
        <f>S674/(S55+S178+S322)*100</f>
        <v>35.619844050175146</v>
      </c>
      <c r="T694" s="9"/>
      <c r="U694" s="644">
        <f>U674/(U55+U178+U322)*100</f>
        <v>34.838065661047025</v>
      </c>
      <c r="V694" s="9"/>
      <c r="W694" s="644">
        <f>W674/(W55+W178+W322)*100</f>
        <v>26.088929219600722</v>
      </c>
      <c r="X694" s="9"/>
      <c r="Y694" s="644">
        <f>Y674/(Y55+Y178+Y322)*100</f>
        <v>32.504145936981757</v>
      </c>
      <c r="Z694" s="9"/>
      <c r="AA694" s="644">
        <f>AA674/(AA55+AA178+AA322)*100</f>
        <v>31.458107945666551</v>
      </c>
      <c r="AB694" s="9"/>
      <c r="AC694" s="644">
        <f>AC674/(AC55+AC178+AC322)*100</f>
        <v>34.713411240957143</v>
      </c>
      <c r="AD694" s="9"/>
      <c r="AE694" s="644">
        <f>AE674/(AE55+AE178+AE322)*100</f>
        <v>36.566332218506133</v>
      </c>
      <c r="AF694" s="9"/>
      <c r="AG694" s="644">
        <f>AG674/(AG55+AG178+AG322)*100</f>
        <v>34.116779089376067</v>
      </c>
      <c r="AH694" s="9">
        <f t="shared" ref="AH694:AH696" si="3188">IF(ISERROR(AG694/Y694),"NA",IF(OR(AG694/Y694&gt;2,AG694/Y694&lt;0.5),"NM",AG694/Y694*100-100))</f>
        <v>4.9613152596620864</v>
      </c>
      <c r="AI694" s="644">
        <f>AI674/(AI55+AI178+AI322)*100</f>
        <v>36.517328825021131</v>
      </c>
      <c r="AJ694" s="9">
        <f t="shared" ref="AJ694:AJ696" si="3189">IF(ISERROR(AI694/AA694),"NA",IF(OR(AI694/AA694&gt;2,AI694/AA694&lt;0.5),"NM",AI694/AA694*100-100))</f>
        <v>16.082406761693051</v>
      </c>
      <c r="AK694" s="644">
        <f>AK674/(AK55+AK178+AK322)*100</f>
        <v>35.956595027391479</v>
      </c>
      <c r="AL694" s="9">
        <f t="shared" ref="AL694:AL696" si="3190">IF(ISERROR(AK694/AC694),"NA",IF(OR(AK694/AC694&gt;2,AK694/AC694&lt;0.5),"NM",AK694/AC694*100-100))</f>
        <v>3.581278076663196</v>
      </c>
      <c r="AM694" s="644">
        <f>AM674/(AM55+AM178+AM322)*100</f>
        <v>33.709572389841554</v>
      </c>
      <c r="AN694" s="9">
        <f t="shared" ref="AN694:AN696" si="3191">IF(ISERROR(AM694/AE694),"NA",IF(OR(AM694/AE694&gt;2,AM694/AE694&lt;0.5),"NM",AM694/AE694*100-100))</f>
        <v>-7.8125413607076979</v>
      </c>
      <c r="AO694" s="644">
        <f>AO674/(AO55+AO178+AO322)*100</f>
        <v>33.509879812589134</v>
      </c>
      <c r="AP694" s="9">
        <f t="shared" ref="AP694:AP696" si="3192">IF(ISERROR(AO694/AG694),"NA",IF(OR(AO694/AG694&gt;2,AO694/AG694&lt;0.5),"NM",AO694/AG694*100-100))</f>
        <v>-1.778887963594201</v>
      </c>
      <c r="AQ694" s="644">
        <f>AQ674/(AQ55+AQ178+AQ322)*100</f>
        <v>35.769488893858856</v>
      </c>
      <c r="AR694" s="9">
        <f t="shared" ref="AR694:AR696" si="3193">IF(ISERROR(AQ694/AI694),"NA",IF(OR(AQ694/AI694&gt;2,AQ694/AI694&lt;0.5),"NM",AQ694/AI694*100-100))</f>
        <v>-2.0479042559374392</v>
      </c>
      <c r="AS694" s="644">
        <f>AS674/(AS55+AS178+AS322)*100</f>
        <v>35.774737618887926</v>
      </c>
      <c r="AT694" s="9">
        <f t="shared" ref="AT694:AT696" si="3194">IF(ISERROR(AS694/AK694),"NA",IF(OR(AS694/AK694&gt;2,AS694/AK694&lt;0.5),"NM",AS694/AK694*100-100))</f>
        <v>-0.50576927088067691</v>
      </c>
      <c r="AU694" s="644">
        <f>AU674/(AU55+AU178+AU322)*100</f>
        <v>35.769918051775527</v>
      </c>
      <c r="AV694" s="9">
        <f t="shared" ref="AV694:AV696" si="3195">IF(ISERROR(AU694/AM694),"NA",IF(OR(AU694/AM694&gt;2,AU694/AM694&lt;0.5),"NM",AU694/AM694*100-100))</f>
        <v>6.1120492366579526</v>
      </c>
      <c r="AW694" s="644">
        <f>AW674/(AW55+AW178+AW322)*100</f>
        <v>36.265752056037506</v>
      </c>
      <c r="AX694" s="9">
        <f t="shared" ref="AX694:AX696" si="3196">IF(ISERROR(AW694/AO694),"NA",IF(OR(AW694/AO694&gt;2,AW694/AO694&lt;0.5),"NM",AW694/AO694*100-100))</f>
        <v>8.2240588711781442</v>
      </c>
      <c r="AY694" s="293"/>
      <c r="AZ694" s="165"/>
      <c r="BA694" s="9"/>
      <c r="BB694" s="724"/>
      <c r="BC694" s="9"/>
      <c r="BD694" s="965"/>
      <c r="BE694" s="9"/>
      <c r="BF694" s="644">
        <f>BF674/(BF55+BF178+BF322)*100</f>
        <v>32.281811565806414</v>
      </c>
      <c r="BG694" s="9" t="str">
        <f t="shared" ref="BG694:BG701" si="3197">IF(ISERROR(BF694/BD694),"NA",IF(OR(BF694/BD694&gt;2,BF694/BD694&lt;0.5),"NM",BF694/BD694*100-100))</f>
        <v>NA</v>
      </c>
      <c r="BH694" s="644">
        <f>BH674/(BH55+BH178+BH322)*100</f>
        <v>34.262625132822549</v>
      </c>
      <c r="BI694" s="9">
        <f t="shared" ref="BI694:BS701" si="3198">IF(ISERROR(BH694/BF694),"NA",IF(OR(BH694/BF694&gt;2,BH694/BF694&lt;0.5),"NM",BH694/BF694*100-100))</f>
        <v>6.1360049852786176</v>
      </c>
      <c r="BJ694" s="644">
        <f>BJ674/(BJ55+BJ178+BJ322)*100</f>
        <v>34.918921764767823</v>
      </c>
      <c r="BK694" s="9">
        <f t="shared" si="3198"/>
        <v>1.9154884641823884</v>
      </c>
      <c r="BL694" s="644">
        <f>BL674/(BL55+BL178+BL322)*100</f>
        <v>35.897409398984678</v>
      </c>
      <c r="BM694" s="9">
        <f t="shared" si="3198"/>
        <v>2.8021702411330551</v>
      </c>
      <c r="BN694" s="644">
        <f>BN674/(BN55+BN178+BN322)*100</f>
        <v>35.778514355478265</v>
      </c>
      <c r="BO694" s="9">
        <f t="shared" si="3198"/>
        <v>-0.33120786568451877</v>
      </c>
      <c r="BP694" s="644">
        <f>BP674/(BP55+BP178+BP322)*100</f>
        <v>35.779994620338726</v>
      </c>
      <c r="BQ694" s="9">
        <f t="shared" si="3198"/>
        <v>4.137301078955602E-3</v>
      </c>
      <c r="BR694" s="644">
        <f>BR674/(BR55+BR178+BR322)*100</f>
        <v>35.594380693931583</v>
      </c>
      <c r="BS694" s="9">
        <f t="shared" si="3198"/>
        <v>-0.51876454531839045</v>
      </c>
      <c r="BT694" s="644">
        <f>BT674/(BT55+BT178+BT322)*100</f>
        <v>35.289478898644354</v>
      </c>
      <c r="BU694" s="9">
        <f t="shared" ref="BU694:BU696" si="3199">IF(ISERROR(BT694/BR694),"NA",IF(OR(BT694/BR694&gt;2,BT694/BR694&lt;0.5),"NM",BT694/BR694*100-100))</f>
        <v>-0.85660092785154518</v>
      </c>
      <c r="BV694" s="43">
        <f>IF(ISERROR(((BT694/BJ694)^0.2-1)*100),"NA",IF((((BT694/BJ694)^0.2-1)*100)&gt;100,"NM",IF((((BT694/BJ694)^0.2-1)*100)&lt;-50,"NM",((BT694/BJ694)^0.2-1)*100)))</f>
        <v>0.21134337835206907</v>
      </c>
      <c r="BW694" s="722"/>
      <c r="BX694" s="722"/>
      <c r="BY694"/>
      <c r="BZ694"/>
      <c r="CA694"/>
      <c r="CB694"/>
      <c r="CC694"/>
      <c r="CD694"/>
    </row>
    <row r="695" spans="1:82" s="2" customFormat="1" ht="12.75" customHeight="1" x14ac:dyDescent="0.2">
      <c r="A695" s="41"/>
      <c r="B695" s="42" t="s">
        <v>557</v>
      </c>
      <c r="C695" s="724"/>
      <c r="D695" s="9"/>
      <c r="E695" s="724"/>
      <c r="F695" s="9"/>
      <c r="G695" s="724"/>
      <c r="H695" s="9"/>
      <c r="I695" s="724"/>
      <c r="J695" s="9"/>
      <c r="K695" s="724"/>
      <c r="L695" s="9"/>
      <c r="M695" s="724"/>
      <c r="N695" s="9"/>
      <c r="O695" s="644">
        <f>O678/(O104)*100</f>
        <v>58.862559241706222</v>
      </c>
      <c r="P695" s="9"/>
      <c r="Q695" s="644">
        <f>Q678/(Q104)*100</f>
        <v>53.542600896861067</v>
      </c>
      <c r="R695" s="9"/>
      <c r="S695" s="644">
        <f>S678/(S104)*100</f>
        <v>57.263355201499479</v>
      </c>
      <c r="T695" s="9"/>
      <c r="U695" s="644">
        <f>U678/(U104)*100</f>
        <v>58.659217877094882</v>
      </c>
      <c r="V695" s="9"/>
      <c r="W695" s="644">
        <f>W678/(W104)*100</f>
        <v>51.337448559670854</v>
      </c>
      <c r="X695" s="9"/>
      <c r="Y695" s="644">
        <f>Y678/(Y104)*100</f>
        <v>57.287822878228809</v>
      </c>
      <c r="Z695" s="9"/>
      <c r="AA695" s="644">
        <f>AA678/(AA104)*100</f>
        <v>58.761987794245819</v>
      </c>
      <c r="AB695" s="9"/>
      <c r="AC695" s="644">
        <f>AC678/(AC104)*100</f>
        <v>57.682826622843031</v>
      </c>
      <c r="AD695" s="9"/>
      <c r="AE695" s="644">
        <f>AE678/(AE104)*100</f>
        <v>62.295081967213115</v>
      </c>
      <c r="AF695" s="9"/>
      <c r="AG695" s="644">
        <f>AG678/(AG104)*100</f>
        <v>65.740045078887931</v>
      </c>
      <c r="AH695" s="9">
        <f t="shared" si="3188"/>
        <v>14.753959525788218</v>
      </c>
      <c r="AI695" s="644">
        <f>AI678/(AI104)*100</f>
        <v>69.145239749826302</v>
      </c>
      <c r="AJ695" s="9">
        <f t="shared" si="3189"/>
        <v>17.670014826484888</v>
      </c>
      <c r="AK695" s="644">
        <f>AK678/(AK104)*100</f>
        <v>66.368022053756093</v>
      </c>
      <c r="AL695" s="9">
        <f t="shared" si="3190"/>
        <v>15.056813161568655</v>
      </c>
      <c r="AM695" s="644">
        <f>AM678/(AM104)*100</f>
        <v>77.938931297710027</v>
      </c>
      <c r="AN695" s="9">
        <f t="shared" si="3191"/>
        <v>25.112494977902927</v>
      </c>
      <c r="AO695" s="644">
        <f>AO678/(AO104)*100</f>
        <v>60.46698872785813</v>
      </c>
      <c r="AP695" s="9">
        <f t="shared" si="3192"/>
        <v>-8.0210720036807714</v>
      </c>
      <c r="AQ695" s="644">
        <f>AQ678/(AQ104)*100</f>
        <v>64.778866404175574</v>
      </c>
      <c r="AR695" s="9">
        <f t="shared" si="3193"/>
        <v>-6.3147851702426152</v>
      </c>
      <c r="AS695" s="644">
        <f>AS678/(AS104)*100</f>
        <v>63.413706187282962</v>
      </c>
      <c r="AT695" s="9">
        <f t="shared" si="3194"/>
        <v>-4.4514146648520381</v>
      </c>
      <c r="AU695" s="644">
        <f>AU678/(AU104)*100</f>
        <v>63.413706187283012</v>
      </c>
      <c r="AV695" s="9">
        <f t="shared" si="3195"/>
        <v>-18.636674725425422</v>
      </c>
      <c r="AW695" s="644">
        <f>AW678/(AW104)*100</f>
        <v>62.837544079996199</v>
      </c>
      <c r="AX695" s="9">
        <f t="shared" si="3196"/>
        <v>3.9204124465452566</v>
      </c>
      <c r="AY695" s="293"/>
      <c r="AZ695" s="165"/>
      <c r="BA695" s="9"/>
      <c r="BB695" s="724"/>
      <c r="BC695" s="9"/>
      <c r="BD695" s="965"/>
      <c r="BE695" s="9"/>
      <c r="BF695" s="644">
        <f>BF678/(BF104)*100</f>
        <v>56.35283363802548</v>
      </c>
      <c r="BG695" s="9" t="str">
        <f t="shared" si="3197"/>
        <v>NA</v>
      </c>
      <c r="BH695" s="644">
        <f>BH678/(BH104)*100</f>
        <v>61.261444557477184</v>
      </c>
      <c r="BI695" s="9">
        <f t="shared" si="3198"/>
        <v>8.7104952893433563</v>
      </c>
      <c r="BJ695" s="644">
        <f>BJ678/(BJ104)*100</f>
        <v>68.540977581771315</v>
      </c>
      <c r="BK695" s="9">
        <f t="shared" si="3198"/>
        <v>11.882731588975631</v>
      </c>
      <c r="BL695" s="644">
        <f>BL678/(BL104)*100</f>
        <v>63.616490133268591</v>
      </c>
      <c r="BM695" s="9">
        <f t="shared" si="3198"/>
        <v>-7.1847347707109606</v>
      </c>
      <c r="BN695" s="644">
        <f>BN678/(BN104)*100</f>
        <v>63.333831670717146</v>
      </c>
      <c r="BO695" s="9">
        <f t="shared" si="3198"/>
        <v>-0.44431634307285606</v>
      </c>
      <c r="BP695" s="644">
        <f>BP678/(BP104)*100</f>
        <v>64.110717857857722</v>
      </c>
      <c r="BQ695" s="9">
        <f t="shared" si="3198"/>
        <v>1.2266527488495171</v>
      </c>
      <c r="BR695" s="644">
        <f>BR678/(BR104)*100</f>
        <v>64.887604044998554</v>
      </c>
      <c r="BS695" s="9">
        <f t="shared" si="3198"/>
        <v>1.2117883141837353</v>
      </c>
      <c r="BT695" s="644">
        <f>BT678/(BT104)*100</f>
        <v>65.664490232139244</v>
      </c>
      <c r="BU695" s="9">
        <f t="shared" si="3199"/>
        <v>1.1972798172697594</v>
      </c>
      <c r="BV695" s="43">
        <f>IF(ISERROR(((BT695/BJ695)^0.2-1)*100),"NA",IF((((BT695/BJ695)^0.2-1)*100)&gt;100,"NM",IF((((BT695/BJ695)^0.2-1)*100)&lt;-50,"NM",((BT695/BJ695)^0.2-1)*100)))</f>
        <v>-0.85380388268964102</v>
      </c>
      <c r="BW695" s="722"/>
      <c r="BX695" s="722"/>
      <c r="BY695"/>
      <c r="BZ695"/>
      <c r="CA695"/>
      <c r="CB695"/>
      <c r="CC695"/>
      <c r="CD695"/>
    </row>
    <row r="696" spans="1:82" s="2" customFormat="1" ht="12.75" customHeight="1" x14ac:dyDescent="0.2">
      <c r="A696" s="41"/>
      <c r="B696" s="42" t="s">
        <v>580</v>
      </c>
      <c r="C696" s="724"/>
      <c r="D696" s="9"/>
      <c r="E696" s="724"/>
      <c r="F696" s="9"/>
      <c r="G696" s="724"/>
      <c r="H696" s="9"/>
      <c r="I696" s="724"/>
      <c r="J696" s="9"/>
      <c r="K696" s="724"/>
      <c r="L696" s="9"/>
      <c r="M696" s="724"/>
      <c r="N696" s="9"/>
      <c r="O696" s="644">
        <f>O682/(O518)*100</f>
        <v>19.537716695299075</v>
      </c>
      <c r="P696" s="9"/>
      <c r="Q696" s="644">
        <f>Q682/(Q518)*100</f>
        <v>12.97221354979707</v>
      </c>
      <c r="R696" s="9"/>
      <c r="S696" s="644">
        <f>S682/(S518)*100</f>
        <v>11.984196663740136</v>
      </c>
      <c r="T696" s="9"/>
      <c r="U696" s="644">
        <f>U682/(U518)*100</f>
        <v>13.184675246932059</v>
      </c>
      <c r="V696" s="9"/>
      <c r="W696" s="644">
        <f>W682/(W518)*100</f>
        <v>25.852272727272723</v>
      </c>
      <c r="X696" s="9"/>
      <c r="Y696" s="644">
        <f>Y682/(Y518)*100</f>
        <v>12.767212148017107</v>
      </c>
      <c r="Z696" s="9"/>
      <c r="AA696" s="644">
        <f>AA682/(AA518)*100</f>
        <v>11.420059582919555</v>
      </c>
      <c r="AB696" s="9"/>
      <c r="AC696" s="644">
        <f>AC682/(AC518)*100</f>
        <v>14.487484267934564</v>
      </c>
      <c r="AD696" s="9"/>
      <c r="AE696" s="644">
        <f>AE682/(AE518)*100</f>
        <v>9.883147965648341</v>
      </c>
      <c r="AF696" s="9"/>
      <c r="AG696" s="644">
        <f>AG682/(AG518)*100</f>
        <v>14.682049169070179</v>
      </c>
      <c r="AH696" s="9">
        <f t="shared" si="3188"/>
        <v>14.998082579449175</v>
      </c>
      <c r="AI696" s="644">
        <f>AI682/(AI518)*100</f>
        <v>11.378035902851108</v>
      </c>
      <c r="AJ696" s="9">
        <f t="shared" si="3189"/>
        <v>-0.36798126807761378</v>
      </c>
      <c r="AK696" s="644">
        <f>AK682/(AK518)*100</f>
        <v>13.569014816740314</v>
      </c>
      <c r="AL696" s="9">
        <f t="shared" si="3190"/>
        <v>-6.3397442524035483</v>
      </c>
      <c r="AM696" s="644">
        <f>AM682/(AM518)*100</f>
        <v>10.565079365079363</v>
      </c>
      <c r="AN696" s="9">
        <f t="shared" si="3191"/>
        <v>6.8999412110520382</v>
      </c>
      <c r="AO696" s="644">
        <f>AO682/(AO518)*100</f>
        <v>14.057548485232591</v>
      </c>
      <c r="AP696" s="9">
        <f t="shared" si="3192"/>
        <v>-4.2534981094681825</v>
      </c>
      <c r="AQ696" s="644">
        <f t="shared" ref="AQ696:AW696" si="3200">AQ682/(AQ518)*100</f>
        <v>11.802268064178934</v>
      </c>
      <c r="AR696" s="9">
        <f t="shared" si="3193"/>
        <v>3.7285183923661407</v>
      </c>
      <c r="AS696" s="644">
        <f t="shared" si="3200"/>
        <v>13.0516914325674</v>
      </c>
      <c r="AT696" s="9">
        <f t="shared" si="3194"/>
        <v>-3.8125345956191552</v>
      </c>
      <c r="AU696" s="644">
        <f t="shared" si="3200"/>
        <v>14.367416543173592</v>
      </c>
      <c r="AV696" s="9">
        <f t="shared" si="3195"/>
        <v>35.989669804677959</v>
      </c>
      <c r="AW696" s="644">
        <f t="shared" si="3200"/>
        <v>15.092603432784854</v>
      </c>
      <c r="AX696" s="9">
        <f t="shared" si="3196"/>
        <v>7.3629833013884678</v>
      </c>
      <c r="AY696" s="293"/>
      <c r="AZ696" s="165"/>
      <c r="BA696" s="9"/>
      <c r="BB696" s="724"/>
      <c r="BC696" s="9"/>
      <c r="BD696" s="965"/>
      <c r="BE696" s="9"/>
      <c r="BF696" s="644">
        <f>BF682/(BF518)*100</f>
        <v>15.915070218994332</v>
      </c>
      <c r="BG696" s="9" t="str">
        <f t="shared" si="3197"/>
        <v>NA</v>
      </c>
      <c r="BH696" s="644">
        <f>BH682/(BH518)*100</f>
        <v>12.63643996641477</v>
      </c>
      <c r="BI696" s="9">
        <f t="shared" si="3198"/>
        <v>-20.600790367023208</v>
      </c>
      <c r="BJ696" s="644">
        <f>BJ682/(BJ518)*100</f>
        <v>12.396081716826693</v>
      </c>
      <c r="BK696" s="9">
        <f t="shared" si="3198"/>
        <v>-1.9021041545475157</v>
      </c>
      <c r="BL696" s="644">
        <f>BL682/(BL518)*100</f>
        <v>13.604318293927154</v>
      </c>
      <c r="BM696" s="9">
        <f t="shared" si="3198"/>
        <v>9.7469232996453741</v>
      </c>
      <c r="BN696" s="644">
        <f>BN682/(BN518)*100</f>
        <v>13.50437730485767</v>
      </c>
      <c r="BO696" s="9">
        <f t="shared" si="3198"/>
        <v>-0.73462695381140009</v>
      </c>
      <c r="BP696" s="644">
        <f>BP682/(BP518)*100</f>
        <v>13.056279092026035</v>
      </c>
      <c r="BQ696" s="9">
        <f t="shared" si="3198"/>
        <v>-3.3181701215534645</v>
      </c>
      <c r="BR696" s="644">
        <f>BR682/(BR518)*100</f>
        <v>12.662227349671918</v>
      </c>
      <c r="BS696" s="9">
        <f t="shared" si="3198"/>
        <v>-3.0181014022194148</v>
      </c>
      <c r="BT696" s="644">
        <f>BT682/(BT518)*100</f>
        <v>12.268690783908596</v>
      </c>
      <c r="BU696" s="9">
        <f t="shared" si="3199"/>
        <v>-3.1079568775355995</v>
      </c>
      <c r="BV696" s="43">
        <f>IF(ISERROR(((BT696/BJ696)^0.2-1)*100),"NA",IF((((BT696/BJ696)^0.2-1)*100)&gt;100,"NM",IF((((BT696/BJ696)^0.2-1)*100)&lt;-50,"NM",((BT696/BJ696)^0.2-1)*100)))</f>
        <v>-0.20638432696563624</v>
      </c>
      <c r="BW696" s="722"/>
      <c r="BX696" s="722"/>
      <c r="BY696"/>
      <c r="BZ696"/>
      <c r="CA696"/>
      <c r="CB696"/>
      <c r="CC696"/>
      <c r="CD696"/>
    </row>
    <row r="697" spans="1:82" s="2" customFormat="1" ht="12.75" customHeight="1" x14ac:dyDescent="0.2">
      <c r="A697" s="41"/>
      <c r="B697" s="80"/>
      <c r="C697" s="724"/>
      <c r="D697" s="9"/>
      <c r="E697" s="724"/>
      <c r="F697" s="9"/>
      <c r="G697" s="724"/>
      <c r="H697" s="9"/>
      <c r="I697" s="724"/>
      <c r="J697" s="9"/>
      <c r="K697" s="724"/>
      <c r="L697" s="9"/>
      <c r="M697" s="724"/>
      <c r="N697" s="9"/>
      <c r="O697" s="723"/>
      <c r="P697" s="9"/>
      <c r="Q697" s="723"/>
      <c r="R697" s="9"/>
      <c r="S697" s="723"/>
      <c r="T697" s="9"/>
      <c r="U697" s="723"/>
      <c r="V697" s="9"/>
      <c r="W697" s="723"/>
      <c r="X697" s="9"/>
      <c r="Y697" s="723"/>
      <c r="Z697" s="9"/>
      <c r="AA697" s="723"/>
      <c r="AB697" s="9"/>
      <c r="AC697" s="723"/>
      <c r="AD697" s="9"/>
      <c r="AE697" s="723"/>
      <c r="AF697" s="9"/>
      <c r="AG697" s="723"/>
      <c r="AH697" s="9"/>
      <c r="AI697" s="723"/>
      <c r="AJ697" s="9"/>
      <c r="AK697" s="723"/>
      <c r="AL697" s="9"/>
      <c r="AM697" s="723"/>
      <c r="AN697" s="9"/>
      <c r="AO697" s="723"/>
      <c r="AP697" s="9"/>
      <c r="AQ697" s="723"/>
      <c r="AR697" s="9"/>
      <c r="AS697" s="723"/>
      <c r="AT697" s="9"/>
      <c r="AU697" s="723"/>
      <c r="AV697" s="9"/>
      <c r="AW697" s="723"/>
      <c r="AX697" s="9"/>
      <c r="AY697" s="293"/>
      <c r="AZ697" s="165"/>
      <c r="BA697" s="9"/>
      <c r="BB697" s="724"/>
      <c r="BC697" s="9"/>
      <c r="BD697" s="965"/>
      <c r="BE697" s="9"/>
      <c r="BF697" s="724"/>
      <c r="BG697" s="9"/>
      <c r="BH697" s="724"/>
      <c r="BI697" s="9"/>
      <c r="BJ697" s="724"/>
      <c r="BK697" s="9"/>
      <c r="BL697" s="724"/>
      <c r="BM697" s="9"/>
      <c r="BN697" s="724"/>
      <c r="BO697" s="9"/>
      <c r="BP697" s="724"/>
      <c r="BQ697" s="9"/>
      <c r="BR697" s="724"/>
      <c r="BS697" s="9"/>
      <c r="BT697" s="724"/>
      <c r="BU697" s="9"/>
      <c r="BV697" s="43"/>
      <c r="BW697" s="722"/>
      <c r="BX697" s="722"/>
      <c r="BY697"/>
      <c r="BZ697"/>
      <c r="CA697"/>
      <c r="CB697"/>
      <c r="CC697"/>
      <c r="CD697"/>
    </row>
    <row r="698" spans="1:82" s="2" customFormat="1" ht="12.75" customHeight="1" x14ac:dyDescent="0.2">
      <c r="A698" s="41"/>
      <c r="B698" s="80" t="s">
        <v>599</v>
      </c>
      <c r="C698" s="724"/>
      <c r="D698" s="9"/>
      <c r="E698" s="724"/>
      <c r="F698" s="9"/>
      <c r="G698" s="724"/>
      <c r="H698" s="9"/>
      <c r="I698" s="724"/>
      <c r="J698" s="9"/>
      <c r="K698" s="724"/>
      <c r="L698" s="9"/>
      <c r="M698" s="724"/>
      <c r="N698" s="9"/>
      <c r="O698" s="723"/>
      <c r="P698" s="9"/>
      <c r="Q698" s="723"/>
      <c r="R698" s="9"/>
      <c r="S698" s="723"/>
      <c r="T698" s="9"/>
      <c r="U698" s="723"/>
      <c r="V698" s="9"/>
      <c r="W698" s="723"/>
      <c r="X698" s="9"/>
      <c r="Y698" s="723"/>
      <c r="Z698" s="9"/>
      <c r="AA698" s="723"/>
      <c r="AB698" s="9"/>
      <c r="AC698" s="723"/>
      <c r="AD698" s="9"/>
      <c r="AE698" s="723"/>
      <c r="AF698" s="9"/>
      <c r="AG698" s="723"/>
      <c r="AH698" s="9"/>
      <c r="AI698" s="723"/>
      <c r="AJ698" s="9"/>
      <c r="AK698" s="723"/>
      <c r="AL698" s="9"/>
      <c r="AM698" s="723"/>
      <c r="AN698" s="9"/>
      <c r="AO698" s="723"/>
      <c r="AP698" s="9"/>
      <c r="AQ698" s="723"/>
      <c r="AR698" s="9"/>
      <c r="AS698" s="723"/>
      <c r="AT698" s="9"/>
      <c r="AU698" s="723"/>
      <c r="AV698" s="9"/>
      <c r="AW698" s="723"/>
      <c r="AX698" s="9"/>
      <c r="AY698" s="293"/>
      <c r="AZ698" s="165"/>
      <c r="BA698" s="9"/>
      <c r="BB698" s="724"/>
      <c r="BC698" s="9"/>
      <c r="BD698" s="965"/>
      <c r="BE698" s="9"/>
      <c r="BF698" s="724"/>
      <c r="BG698" s="9"/>
      <c r="BH698" s="724"/>
      <c r="BI698" s="9"/>
      <c r="BJ698" s="724"/>
      <c r="BK698" s="9"/>
      <c r="BL698" s="724"/>
      <c r="BM698" s="9"/>
      <c r="BN698" s="724"/>
      <c r="BO698" s="9"/>
      <c r="BP698" s="724"/>
      <c r="BQ698" s="9"/>
      <c r="BR698" s="724"/>
      <c r="BS698" s="9"/>
      <c r="BT698" s="724"/>
      <c r="BU698" s="9"/>
      <c r="BV698" s="43"/>
      <c r="BW698" s="722"/>
      <c r="BX698" s="722"/>
      <c r="BY698"/>
      <c r="BZ698"/>
      <c r="CA698"/>
      <c r="CB698"/>
      <c r="CC698"/>
      <c r="CD698"/>
    </row>
    <row r="699" spans="1:82" s="2" customFormat="1" ht="12.75" customHeight="1" x14ac:dyDescent="0.2">
      <c r="A699" s="41"/>
      <c r="B699" s="42" t="s">
        <v>556</v>
      </c>
      <c r="C699" s="724"/>
      <c r="D699" s="9"/>
      <c r="E699" s="724"/>
      <c r="F699" s="9"/>
      <c r="G699" s="724"/>
      <c r="H699" s="9"/>
      <c r="I699" s="724"/>
      <c r="J699" s="9"/>
      <c r="K699" s="724"/>
      <c r="L699" s="9"/>
      <c r="M699" s="724"/>
      <c r="N699" s="9"/>
      <c r="O699" s="721">
        <f>O677/(O$677+O$681+O$685)*100</f>
        <v>67.168049792531122</v>
      </c>
      <c r="P699" s="9"/>
      <c r="Q699" s="721">
        <f>Q677/(Q$677+Q$681+Q$685)*100</f>
        <v>72.187321530553959</v>
      </c>
      <c r="R699" s="9"/>
      <c r="S699" s="721">
        <f>S677/(S$677+S$681+S$685)*100</f>
        <v>72.469066366704155</v>
      </c>
      <c r="T699" s="9"/>
      <c r="U699" s="721">
        <f>U677/(U$677+U$681+U$685)*100</f>
        <v>70.021881838074393</v>
      </c>
      <c r="V699" s="9"/>
      <c r="W699" s="721">
        <f>W677/(W$677+W$681+W$685)*100</f>
        <v>57.510608203677513</v>
      </c>
      <c r="X699" s="9"/>
      <c r="Y699" s="721">
        <f>Y677/(Y$677+Y$681+Y$685)*100</f>
        <v>69.815256257449349</v>
      </c>
      <c r="Z699" s="9"/>
      <c r="AA699" s="721">
        <f>AA677/(AA$677+AA$681+AA$685)*100</f>
        <v>67.772511848341239</v>
      </c>
      <c r="AB699" s="9"/>
      <c r="AC699" s="721">
        <f>AC677/(AC$677+AC$681+AC$685)*100</f>
        <v>67.939344706200927</v>
      </c>
      <c r="AD699" s="9"/>
      <c r="AE699" s="721">
        <f>AE677/(AE$677+AE$681+AE$685)*100</f>
        <v>72.128425131469697</v>
      </c>
      <c r="AF699" s="9"/>
      <c r="AG699" s="721">
        <f>AG677/(AG$677+AG$681+AG$685)*100</f>
        <v>66.514227642276424</v>
      </c>
      <c r="AH699" s="9">
        <f t="shared" ref="AH699:AH701" si="3201">IF(ISERROR(AG699/Y699),"NA",IF(OR(AG699/Y699&gt;2,AG699/Y699&lt;0.5),"NM",AG699/Y699*100-100))</f>
        <v>-4.7282339020573261</v>
      </c>
      <c r="AI699" s="721">
        <f>AI677/(AI$677+AI$681+AI$685)*100</f>
        <v>68.911280412877858</v>
      </c>
      <c r="AJ699" s="9">
        <f t="shared" ref="AJ699:AJ701" si="3202">IF(ISERROR(AI699/AA699),"NA",IF(OR(AI699/AA699&gt;2,AI699/AA699&lt;0.5),"NM",AI699/AA699*100-100))</f>
        <v>1.6802808889316623</v>
      </c>
      <c r="AK699" s="721">
        <f>AK677/(AK$677+AK$681+AK$685)*100</f>
        <v>66.543937162493876</v>
      </c>
      <c r="AL699" s="9">
        <f t="shared" ref="AL699:AL701" si="3203">IF(ISERROR(AK699/AC699),"NA",IF(OR(AK699/AC699&gt;2,AK699/AC699&lt;0.5),"NM",AK699/AC699*100-100))</f>
        <v>-2.0539019764488415</v>
      </c>
      <c r="AM699" s="721">
        <f>AM677/(AM$677+AM$681+AM$685)*100</f>
        <v>66.692728694292427</v>
      </c>
      <c r="AN699" s="9">
        <f t="shared" ref="AN699:AN701" si="3204">IF(ISERROR(AM699/AE699),"NA",IF(OR(AM699/AE699&gt;2,AM699/AE699&lt;0.5),"NM",AM699/AE699*100-100))</f>
        <v>-7.5361363114050164</v>
      </c>
      <c r="AO699" s="721">
        <f>AO677/(AO$677+AO$681+AO$685)*100</f>
        <v>66.743827160493836</v>
      </c>
      <c r="AP699" s="9">
        <f t="shared" ref="AP699:AP701" si="3205">IF(ISERROR(AO699/AG699),"NA",IF(OR(AO699/AG699&gt;2,AO699/AG699&lt;0.5),"NM",AO699/AG699*100-100))</f>
        <v>0.34518858048271284</v>
      </c>
      <c r="AQ699" s="721">
        <f t="shared" ref="AQ699:AW699" si="3206">AQ677/(AQ$677+AQ$681+AQ$685)*100</f>
        <v>66.313337573337776</v>
      </c>
      <c r="AR699" s="9">
        <f t="shared" ref="AR699:AR701" si="3207">IF(ISERROR(AQ699/AI699),"NA",IF(OR(AQ699/AI699&gt;2,AQ699/AI699&lt;0.5),"NM",AQ699/AI699*100-100))</f>
        <v>-3.7699819593753858</v>
      </c>
      <c r="AS699" s="721">
        <f t="shared" si="3206"/>
        <v>65.462977703044174</v>
      </c>
      <c r="AT699" s="9">
        <f t="shared" ref="AT699:AT701" si="3208">IF(ISERROR(AS699/AK699),"NA",IF(OR(AS699/AK699&gt;2,AS699/AK699&lt;0.5),"NM",AS699/AK699*100-100))</f>
        <v>-1.6244296708956369</v>
      </c>
      <c r="AU699" s="721">
        <f t="shared" si="3206"/>
        <v>64.088591795580356</v>
      </c>
      <c r="AV699" s="9">
        <f t="shared" ref="AV699:AV701" si="3209">IF(ISERROR(AU699/AM699),"NA",IF(OR(AU699/AM699&gt;2,AU699/AM699&lt;0.5),"NM",AU699/AM699*100-100))</f>
        <v>-3.9046788903314535</v>
      </c>
      <c r="AW699" s="721">
        <f t="shared" si="3206"/>
        <v>64.092180251018519</v>
      </c>
      <c r="AX699" s="9">
        <f t="shared" ref="AX699:AX701" si="3210">IF(ISERROR(AW699/AO699),"NA",IF(OR(AW699/AO699&gt;2,AW699/AO699&lt;0.5),"NM",AW699/AO699*100-100))</f>
        <v>-3.9728721325780469</v>
      </c>
      <c r="AY699" s="293"/>
      <c r="AZ699" s="165"/>
      <c r="BA699" s="9"/>
      <c r="BB699" s="724"/>
      <c r="BC699" s="9"/>
      <c r="BD699" s="965"/>
      <c r="BE699" s="9"/>
      <c r="BF699" s="721">
        <f>BF677/(BF$677+BF$681+BF$685)*100</f>
        <v>67.453733248245044</v>
      </c>
      <c r="BG699" s="9" t="str">
        <f t="shared" si="3197"/>
        <v>NA</v>
      </c>
      <c r="BH699" s="721">
        <f>BH677/(BH$677+BH$681+BH$685)*100</f>
        <v>68.563892552231565</v>
      </c>
      <c r="BI699" s="9">
        <f t="shared" si="3198"/>
        <v>1.6458085424284548</v>
      </c>
      <c r="BJ699" s="721">
        <f>BJ677/(BJ$677+BJ$681+BJ$685)*100</f>
        <v>67.235946559112676</v>
      </c>
      <c r="BK699" s="9">
        <f t="shared" si="3198"/>
        <v>-1.9368007615776293</v>
      </c>
      <c r="BL699" s="721">
        <f>BL677/(BL$677+BL$681+BL$685)*100</f>
        <v>64.962068333014642</v>
      </c>
      <c r="BM699" s="9">
        <f t="shared" si="3198"/>
        <v>-3.3819382970965961</v>
      </c>
      <c r="BN699" s="721">
        <f>BN677/(BN$677+BN$681+BN$685)*100</f>
        <v>65.017101565640019</v>
      </c>
      <c r="BO699" s="9">
        <f t="shared" si="3198"/>
        <v>8.4715948918457684E-2</v>
      </c>
      <c r="BP699" s="721">
        <f>BP677/(BP$677+BP$681+BP$685)*100</f>
        <v>65.384553553522167</v>
      </c>
      <c r="BQ699" s="9">
        <f t="shared" si="3198"/>
        <v>0.56516205588027901</v>
      </c>
      <c r="BR699" s="721">
        <f>BR677/(BR$677+BR$681+BR$685)*100</f>
        <v>65.542534678799285</v>
      </c>
      <c r="BS699" s="9">
        <f t="shared" si="3198"/>
        <v>0.24161842008724932</v>
      </c>
      <c r="BT699" s="721">
        <f>BT677/(BT$677+BT$681+BT$685)*100</f>
        <v>65.709735124662302</v>
      </c>
      <c r="BU699" s="9">
        <f t="shared" ref="BU699:BU701" si="3211">IF(ISERROR(BT699/BR699),"NA",IF(OR(BT699/BR699&gt;2,BT699/BR699&lt;0.5),"NM",BT699/BR699*100-100))</f>
        <v>0.25510219689002156</v>
      </c>
      <c r="BV699" s="43">
        <f>IF(ISERROR(((BT699/BJ699)^0.2-1)*100),"NA",IF((((BT699/BJ699)^0.2-1)*100)&gt;100,"NM",IF((((BT699/BJ699)^0.2-1)*100)&lt;-50,"NM",((BT699/BJ699)^0.2-1)*100)))</f>
        <v>-0.45816587558235033</v>
      </c>
      <c r="BW699" s="722"/>
      <c r="BX699" s="722"/>
      <c r="BY699"/>
      <c r="BZ699"/>
      <c r="CA699"/>
      <c r="CB699"/>
      <c r="CC699"/>
      <c r="CD699"/>
    </row>
    <row r="700" spans="1:82" s="2" customFormat="1" ht="12.75" customHeight="1" x14ac:dyDescent="0.2">
      <c r="A700" s="41"/>
      <c r="B700" s="42" t="s">
        <v>557</v>
      </c>
      <c r="C700" s="724"/>
      <c r="D700" s="9"/>
      <c r="E700" s="724"/>
      <c r="F700" s="9"/>
      <c r="G700" s="724"/>
      <c r="H700" s="9"/>
      <c r="I700" s="724"/>
      <c r="J700" s="9"/>
      <c r="K700" s="724"/>
      <c r="L700" s="9"/>
      <c r="M700" s="724"/>
      <c r="N700" s="9"/>
      <c r="O700" s="721">
        <f>O681/(O$677+O$681+O$685)*100</f>
        <v>11.229253112033193</v>
      </c>
      <c r="P700" s="9"/>
      <c r="Q700" s="721">
        <f>Q681/(Q$677+Q$681+Q$685)*100</f>
        <v>11.936036550542545</v>
      </c>
      <c r="R700" s="9"/>
      <c r="S700" s="721">
        <f>S681/(S$677+S$681+S$685)*100</f>
        <v>12.035995500562429</v>
      </c>
      <c r="T700" s="9"/>
      <c r="U700" s="721">
        <f>U681/(U$677+U$681+U$685)*100</f>
        <v>13.894967177242886</v>
      </c>
      <c r="V700" s="9"/>
      <c r="W700" s="721">
        <f>W681/(W$677+W$681+W$685)*100</f>
        <v>10.099009900990099</v>
      </c>
      <c r="X700" s="9"/>
      <c r="Y700" s="721">
        <f>Y681/(Y$677+Y$681+Y$685)*100</f>
        <v>12.902264600715135</v>
      </c>
      <c r="Z700" s="9"/>
      <c r="AA700" s="721">
        <f>AA681/(AA$677+AA$681+AA$685)*100</f>
        <v>14.913112164296999</v>
      </c>
      <c r="AB700" s="9"/>
      <c r="AC700" s="721">
        <f>AC681/(AC$677+AC$681+AC$685)*100</f>
        <v>13.349580287029516</v>
      </c>
      <c r="AD700" s="9"/>
      <c r="AE700" s="721">
        <f>AE681/(AE$677+AE$681+AE$685)*100</f>
        <v>14.724605590921671</v>
      </c>
      <c r="AF700" s="9"/>
      <c r="AG700" s="721">
        <f>AG681/(AG$677+AG$681+AG$685)*100</f>
        <v>15.447154471544714</v>
      </c>
      <c r="AH700" s="9">
        <f t="shared" si="3201"/>
        <v>19.724365834882377</v>
      </c>
      <c r="AI700" s="721">
        <f>AI681/(AI$677+AI$681+AI$685)*100</f>
        <v>16.810027033669208</v>
      </c>
      <c r="AJ700" s="9">
        <f t="shared" si="3202"/>
        <v>12.719778732125093</v>
      </c>
      <c r="AK700" s="721">
        <f>AK681/(AK$677+AK$681+AK$685)*100</f>
        <v>16.372115856651941</v>
      </c>
      <c r="AL700" s="9">
        <f t="shared" si="3203"/>
        <v>22.641427705102672</v>
      </c>
      <c r="AM700" s="721">
        <f>AM681/(AM$677+AM$681+AM$685)*100</f>
        <v>18.399791503778992</v>
      </c>
      <c r="AN700" s="9">
        <f t="shared" si="3204"/>
        <v>24.959486284123116</v>
      </c>
      <c r="AO700" s="721">
        <f>AO681/(AO$677+AO$681+AO$685)*100</f>
        <v>13.811728395061731</v>
      </c>
      <c r="AP700" s="9">
        <f t="shared" si="3205"/>
        <v>-10.587231968810883</v>
      </c>
      <c r="AQ700" s="721">
        <f t="shared" ref="AQ700:AW700" si="3212">AQ681/(AQ$677+AQ$681+AQ$685)*100</f>
        <v>16.472472320990978</v>
      </c>
      <c r="AR700" s="9">
        <f t="shared" si="3207"/>
        <v>-2.0080557396019287</v>
      </c>
      <c r="AS700" s="721">
        <f t="shared" si="3212"/>
        <v>15.455732364162698</v>
      </c>
      <c r="AT700" s="9">
        <f t="shared" si="3208"/>
        <v>-5.5972209121457013</v>
      </c>
      <c r="AU700" s="721">
        <f t="shared" si="3212"/>
        <v>15.130373937644794</v>
      </c>
      <c r="AV700" s="9">
        <f t="shared" si="3209"/>
        <v>-17.768775072601869</v>
      </c>
      <c r="AW700" s="721">
        <f t="shared" si="3212"/>
        <v>14.478206169427679</v>
      </c>
      <c r="AX700" s="9">
        <f t="shared" si="3210"/>
        <v>4.8254480199903185</v>
      </c>
      <c r="AY700" s="293"/>
      <c r="AZ700" s="165"/>
      <c r="BA700" s="9"/>
      <c r="BB700" s="724"/>
      <c r="BC700" s="9"/>
      <c r="BD700" s="965"/>
      <c r="BE700" s="9"/>
      <c r="BF700" s="721">
        <f>BF681/(BF$677+BF$681+BF$685)*100</f>
        <v>12.23853080904772</v>
      </c>
      <c r="BG700" s="9" t="str">
        <f t="shared" si="3197"/>
        <v>NA</v>
      </c>
      <c r="BH700" s="721">
        <f>BH681/(BH$677+BH$681+BH$685)*100</f>
        <v>14.610953008953983</v>
      </c>
      <c r="BI700" s="9">
        <f t="shared" si="3198"/>
        <v>19.384861115456559</v>
      </c>
      <c r="BJ700" s="721">
        <f>BJ681/(BJ$677+BJ$681+BJ$685)*100</f>
        <v>16.347365767582556</v>
      </c>
      <c r="BK700" s="9">
        <f t="shared" si="3198"/>
        <v>11.884322381739594</v>
      </c>
      <c r="BL700" s="721">
        <f>BL681/(BL$677+BL$681+BL$685)*100</f>
        <v>15.363121185121148</v>
      </c>
      <c r="BM700" s="9">
        <f t="shared" si="3198"/>
        <v>-6.0208145853884503</v>
      </c>
      <c r="BN700" s="721">
        <f>BN681/(BN$677+BN$681+BN$685)*100</f>
        <v>15.187678715606262</v>
      </c>
      <c r="BO700" s="9">
        <f t="shared" si="3198"/>
        <v>-1.141971526494217</v>
      </c>
      <c r="BP700" s="721">
        <f>BP681/(BP$677+BP$681+BP$685)*100</f>
        <v>15.292072138157359</v>
      </c>
      <c r="BQ700" s="9">
        <f t="shared" si="3198"/>
        <v>0.68735601078935815</v>
      </c>
      <c r="BR700" s="721">
        <f>BR681/(BR$677+BR$681+BR$685)*100</f>
        <v>15.442583783776865</v>
      </c>
      <c r="BS700" s="9">
        <f t="shared" si="3198"/>
        <v>0.98424624380331238</v>
      </c>
      <c r="BT700" s="721">
        <f>BT681/(BT$677+BT$681+BT$685)*100</f>
        <v>15.580341011772097</v>
      </c>
      <c r="BU700" s="9">
        <f t="shared" si="3211"/>
        <v>0.8920607453006113</v>
      </c>
      <c r="BV700" s="43">
        <f>IF(ISERROR(((BT700/BJ700)^0.2-1)*100),"NA",IF((((BT700/BJ700)^0.2-1)*100)&gt;100,"NM",IF((((BT700/BJ700)^0.2-1)*100)&lt;-50,"NM",((BT700/BJ700)^0.2-1)*100)))</f>
        <v>-0.95653266731730024</v>
      </c>
      <c r="BW700" s="722"/>
      <c r="BX700" s="722"/>
      <c r="BY700"/>
      <c r="BZ700"/>
      <c r="CA700"/>
      <c r="CB700"/>
      <c r="CC700"/>
      <c r="CD700"/>
    </row>
    <row r="701" spans="1:82" s="2" customFormat="1" ht="12.75" customHeight="1" x14ac:dyDescent="0.2">
      <c r="A701" s="41"/>
      <c r="B701" s="42" t="s">
        <v>580</v>
      </c>
      <c r="C701" s="724"/>
      <c r="D701" s="9"/>
      <c r="E701" s="724"/>
      <c r="F701" s="9"/>
      <c r="G701" s="724"/>
      <c r="H701" s="9"/>
      <c r="I701" s="724"/>
      <c r="J701" s="9"/>
      <c r="K701" s="724"/>
      <c r="L701" s="9"/>
      <c r="M701" s="724"/>
      <c r="N701" s="9"/>
      <c r="O701" s="721">
        <f>O685/(O$677+O$681+O$685)*100</f>
        <v>21.602697095435683</v>
      </c>
      <c r="P701" s="9"/>
      <c r="Q701" s="721">
        <f>Q685/(Q$677+Q$681+Q$685)*100</f>
        <v>15.876641918903481</v>
      </c>
      <c r="R701" s="9"/>
      <c r="S701" s="721">
        <f>S685/(S$677+S$681+S$685)*100</f>
        <v>15.494938132733408</v>
      </c>
      <c r="T701" s="9"/>
      <c r="U701" s="721">
        <f>U685/(U$677+U$681+U$685)*100</f>
        <v>16.08315098468271</v>
      </c>
      <c r="V701" s="9"/>
      <c r="W701" s="721">
        <f>W685/(W$677+W$681+W$685)*100</f>
        <v>32.390381895332396</v>
      </c>
      <c r="X701" s="9"/>
      <c r="Y701" s="721">
        <f>Y685/(Y$677+Y$681+Y$685)*100</f>
        <v>17.282479141835516</v>
      </c>
      <c r="Z701" s="9"/>
      <c r="AA701" s="721">
        <f>AA685/(AA$677+AA$681+AA$685)*100</f>
        <v>17.314375987361768</v>
      </c>
      <c r="AB701" s="9"/>
      <c r="AC701" s="721">
        <f>AC685/(AC$677+AC$681+AC$685)*100</f>
        <v>18.711075006769565</v>
      </c>
      <c r="AD701" s="9"/>
      <c r="AE701" s="721">
        <f>AE685/(AE$677+AE$681+AE$685)*100</f>
        <v>13.146969277608637</v>
      </c>
      <c r="AF701" s="9"/>
      <c r="AG701" s="721">
        <f>AG685/(AG$677+AG$681+AG$685)*100</f>
        <v>18.038617886178862</v>
      </c>
      <c r="AH701" s="9">
        <f t="shared" si="3201"/>
        <v>4.3751752172694296</v>
      </c>
      <c r="AI701" s="721">
        <f>AI685/(AI$677+AI$681+AI$685)*100</f>
        <v>14.278692553452938</v>
      </c>
      <c r="AJ701" s="9">
        <f t="shared" si="3202"/>
        <v>-17.532733701316502</v>
      </c>
      <c r="AK701" s="721">
        <f>AK685/(AK$677+AK$681+AK$685)*100</f>
        <v>17.083946980854197</v>
      </c>
      <c r="AL701" s="9">
        <f t="shared" si="3203"/>
        <v>-8.6960691746822789</v>
      </c>
      <c r="AM701" s="721">
        <f>AM685/(AM$677+AM$681+AM$685)*100</f>
        <v>14.907479801928591</v>
      </c>
      <c r="AN701" s="9">
        <f t="shared" si="3204"/>
        <v>13.390998998669474</v>
      </c>
      <c r="AO701" s="721">
        <f>AO685/(AO$677+AO$681+AO$685)*100</f>
        <v>19.444444444444446</v>
      </c>
      <c r="AP701" s="9">
        <f t="shared" si="3205"/>
        <v>7.7934272300469729</v>
      </c>
      <c r="AQ701" s="721">
        <f t="shared" ref="AQ701:AW701" si="3213">AQ685/(AQ$677+AQ$681+AQ$685)*100</f>
        <v>17.214190105671236</v>
      </c>
      <c r="AR701" s="9">
        <f t="shared" si="3207"/>
        <v>20.558587848496131</v>
      </c>
      <c r="AS701" s="721">
        <f t="shared" si="3213"/>
        <v>19.081289932793137</v>
      </c>
      <c r="AT701" s="9">
        <f t="shared" si="3208"/>
        <v>11.691343658332244</v>
      </c>
      <c r="AU701" s="721">
        <f t="shared" si="3213"/>
        <v>20.781034266774849</v>
      </c>
      <c r="AV701" s="9">
        <f t="shared" si="3209"/>
        <v>39.400049793033389</v>
      </c>
      <c r="AW701" s="721">
        <f t="shared" si="3213"/>
        <v>21.429613579553806</v>
      </c>
      <c r="AX701" s="9">
        <f t="shared" si="3210"/>
        <v>10.209441266276698</v>
      </c>
      <c r="AY701" s="293"/>
      <c r="AZ701" s="165"/>
      <c r="BA701" s="9"/>
      <c r="BB701" s="724"/>
      <c r="BC701" s="9"/>
      <c r="BD701" s="965"/>
      <c r="BE701" s="9"/>
      <c r="BF701" s="721">
        <f>BF685/(BF$677+BF$681+BF$685)*100</f>
        <v>20.307735942707222</v>
      </c>
      <c r="BG701" s="9" t="str">
        <f t="shared" si="3197"/>
        <v>NA</v>
      </c>
      <c r="BH701" s="721">
        <f>BH685/(BH$677+BH$681+BH$685)*100</f>
        <v>16.825154438814465</v>
      </c>
      <c r="BI701" s="9">
        <f t="shared" si="3198"/>
        <v>-17.149038739315486</v>
      </c>
      <c r="BJ701" s="721">
        <f>BJ685/(BJ$677+BJ$681+BJ$685)*100</f>
        <v>16.416687673304761</v>
      </c>
      <c r="BK701" s="9">
        <f t="shared" si="3198"/>
        <v>-2.4277148063936949</v>
      </c>
      <c r="BL701" s="721">
        <f>BL685/(BL$677+BL$681+BL$685)*100</f>
        <v>19.674810481864206</v>
      </c>
      <c r="BM701" s="9">
        <f t="shared" si="3198"/>
        <v>19.846407956322949</v>
      </c>
      <c r="BN701" s="721">
        <f>BN685/(BN$677+BN$681+BN$685)*100</f>
        <v>19.795219718753714</v>
      </c>
      <c r="BO701" s="9">
        <f t="shared" si="3198"/>
        <v>0.61199693384847365</v>
      </c>
      <c r="BP701" s="721">
        <f>BP685/(BP$677+BP$681+BP$685)*100</f>
        <v>19.323374308320485</v>
      </c>
      <c r="BQ701" s="9">
        <f t="shared" si="3198"/>
        <v>-2.3836331050481334</v>
      </c>
      <c r="BR701" s="721">
        <f>BR685/(BR$677+BR$681+BR$685)*100</f>
        <v>19.014881537423843</v>
      </c>
      <c r="BS701" s="9">
        <f t="shared" si="3198"/>
        <v>-1.5964746424427858</v>
      </c>
      <c r="BT701" s="721">
        <f>BT685/(BT$677+BT$681+BT$685)*100</f>
        <v>18.70992386356561</v>
      </c>
      <c r="BU701" s="9">
        <f t="shared" si="3211"/>
        <v>-1.603784242662968</v>
      </c>
      <c r="BV701" s="43">
        <f>IF(ISERROR(((BT701/BJ701)^0.2-1)*100),"NA",IF((((BT701/BJ701)^0.2-1)*100)&gt;100,"NM",IF((((BT701/BJ701)^0.2-1)*100)&lt;-50,"NM",((BT701/BJ701)^0.2-1)*100)))</f>
        <v>2.649608392252123</v>
      </c>
      <c r="BW701" s="722"/>
      <c r="BX701" s="722"/>
      <c r="BY701"/>
      <c r="BZ701"/>
      <c r="CA701"/>
      <c r="CB701"/>
      <c r="CC701"/>
      <c r="CD701"/>
    </row>
    <row r="702" spans="1:82" s="2" customFormat="1" ht="12.75" customHeight="1" x14ac:dyDescent="0.2">
      <c r="A702" s="41"/>
      <c r="B702" s="42"/>
      <c r="C702" s="724"/>
      <c r="D702" s="9"/>
      <c r="E702" s="724"/>
      <c r="F702" s="9"/>
      <c r="G702" s="724"/>
      <c r="H702" s="9"/>
      <c r="I702" s="724"/>
      <c r="J702" s="9"/>
      <c r="K702" s="724"/>
      <c r="L702" s="9"/>
      <c r="M702" s="724"/>
      <c r="N702" s="9"/>
      <c r="O702" s="720"/>
      <c r="P702" s="9"/>
      <c r="Q702" s="720"/>
      <c r="R702" s="9"/>
      <c r="S702" s="720"/>
      <c r="T702" s="9"/>
      <c r="U702" s="720"/>
      <c r="V702" s="9"/>
      <c r="W702" s="720"/>
      <c r="X702" s="9"/>
      <c r="Y702" s="720"/>
      <c r="Z702" s="9"/>
      <c r="AA702" s="720"/>
      <c r="AB702" s="9"/>
      <c r="AC702" s="720"/>
      <c r="AD702" s="9"/>
      <c r="AE702" s="720"/>
      <c r="AF702" s="9"/>
      <c r="AG702" s="720"/>
      <c r="AH702" s="9"/>
      <c r="AI702" s="720"/>
      <c r="AJ702" s="9"/>
      <c r="AK702" s="720"/>
      <c r="AL702" s="9"/>
      <c r="AM702" s="720"/>
      <c r="AN702" s="9"/>
      <c r="AO702" s="720"/>
      <c r="AP702" s="9"/>
      <c r="AQ702" s="728"/>
      <c r="AR702" s="9"/>
      <c r="AS702" s="728"/>
      <c r="AT702" s="9"/>
      <c r="AU702" s="728"/>
      <c r="AV702" s="9"/>
      <c r="AW702" s="728"/>
      <c r="AX702" s="9"/>
      <c r="AY702" s="293"/>
      <c r="AZ702" s="165"/>
      <c r="BA702" s="9"/>
      <c r="BB702" s="724"/>
      <c r="BC702" s="9"/>
      <c r="BD702" s="965"/>
      <c r="BE702" s="9"/>
      <c r="BF702" s="724"/>
      <c r="BG702" s="9"/>
      <c r="BH702" s="724"/>
      <c r="BI702" s="9"/>
      <c r="BJ702" s="724"/>
      <c r="BK702" s="9"/>
      <c r="BL702" s="724"/>
      <c r="BM702" s="9"/>
      <c r="BN702" s="724"/>
      <c r="BO702" s="9"/>
      <c r="BP702" s="724"/>
      <c r="BQ702" s="9"/>
      <c r="BR702" s="724"/>
      <c r="BS702" s="9"/>
      <c r="BT702" s="724"/>
      <c r="BU702" s="9"/>
      <c r="BV702" s="43"/>
      <c r="BW702" s="722"/>
      <c r="BX702" s="722"/>
      <c r="BY702"/>
      <c r="BZ702"/>
      <c r="CA702"/>
      <c r="CB702"/>
      <c r="CC702"/>
      <c r="CD702"/>
    </row>
    <row r="703" spans="1:82" s="2" customFormat="1" ht="12.75" customHeight="1" x14ac:dyDescent="0.2">
      <c r="A703" s="41" t="s">
        <v>568</v>
      </c>
      <c r="B703" s="80" t="s">
        <v>584</v>
      </c>
      <c r="C703" s="728">
        <f>C670</f>
        <v>315.00000000000011</v>
      </c>
      <c r="D703" s="743" t="str">
        <f>IF(ISERROR(C703/#REF!),"NA",IF(OR(C703/#REF!&gt;2,C703/#REF!&lt;0.5),"NM",C703/#REF!*100-100))</f>
        <v>NA</v>
      </c>
      <c r="E703" s="728">
        <f>E670</f>
        <v>366.3</v>
      </c>
      <c r="F703" s="709" t="str">
        <f>IF(ISERROR(E703/#REF!),"NA",IF(OR(E703/#REF!&gt;2,E703/#REF!&lt;0.5),"NM",E703/#REF!*100-100))</f>
        <v>NA</v>
      </c>
      <c r="G703" s="728">
        <f>G670</f>
        <v>360.10000000000019</v>
      </c>
      <c r="H703" s="9" t="str">
        <f>IF(ISERROR(G703/#REF!),"NA",IF(OR(G703/#REF!&gt;2,G703/#REF!&lt;0.5),"NM",G703/#REF!*100-100))</f>
        <v>NA</v>
      </c>
      <c r="I703" s="728">
        <f>I670</f>
        <v>392.59999999999997</v>
      </c>
      <c r="J703" s="9" t="str">
        <f>IF(ISERROR(I703/#REF!),"NA",IF(OR(I703/#REF!&gt;2,I703/#REF!&lt;0.5),"NM",I703/#REF!*100-100))</f>
        <v>NA</v>
      </c>
      <c r="K703" s="728">
        <f>K670</f>
        <v>400.7000000000001</v>
      </c>
      <c r="L703" s="9">
        <f t="shared" ref="L703:L712" si="3214">IF(ISERROR(K703/C703),"NA",IF(OR(K703/C703&gt;2,K703/C703&lt;0.5),"NM",K703/C703*100-100))</f>
        <v>27.206349206349188</v>
      </c>
      <c r="M703" s="728">
        <f>M670</f>
        <v>434.99999999999994</v>
      </c>
      <c r="N703" s="9">
        <f t="shared" ref="N703:AB720" si="3215">IF(ISERROR(M703/E703),"NA",IF(OR(M703/E703&gt;2,M703/E703&lt;0.5),"NM",M703/E703*100-100))</f>
        <v>18.75511875511873</v>
      </c>
      <c r="O703" s="728">
        <f>O670</f>
        <v>477.60000000000014</v>
      </c>
      <c r="P703" s="9">
        <f t="shared" ref="P703:P719" si="3216">IF(ISERROR(O703/G703),"NA",IF(OR(O703/G703&gt;2,O703/G703&lt;0.5),"NM",O703/G703*100-100))</f>
        <v>32.629825048597581</v>
      </c>
      <c r="Q703" s="728">
        <f>Q670</f>
        <v>410.00000000000011</v>
      </c>
      <c r="R703" s="9">
        <f t="shared" ref="R703:R719" si="3217">IF(ISERROR(Q703/I703),"NA",IF(OR(Q703/I703&gt;2,Q703/I703&lt;0.5),"NM",Q703/I703*100-100))</f>
        <v>4.4319918492104335</v>
      </c>
      <c r="S703" s="728">
        <f>S670</f>
        <v>420.89999999999992</v>
      </c>
      <c r="T703" s="9">
        <f t="shared" ref="T703:T719" si="3218">IF(ISERROR(S703/K703),"NA",IF(OR(S703/K703&gt;2,S703/K703&lt;0.5),"NM",S703/K703*100-100))</f>
        <v>5.0411779386073903</v>
      </c>
      <c r="U703" s="728">
        <f>U670</f>
        <v>429.49999999999994</v>
      </c>
      <c r="V703" s="9">
        <f t="shared" ref="V703:V719" si="3219">IF(ISERROR(U703/M703),"NA",IF(OR(U703/M703&gt;2,U703/M703&lt;0.5),"NM",U703/M703*100-100))</f>
        <v>-1.2643678160919478</v>
      </c>
      <c r="W703" s="728">
        <f>W670</f>
        <v>398.80000000000007</v>
      </c>
      <c r="X703" s="9">
        <f t="shared" ref="X703:X719" si="3220">IF(ISERROR(W703/O703),"NA",IF(OR(W703/O703&gt;2,W703/O703&lt;0.5),"NM",W703/O703*100-100))</f>
        <v>-16.499162479061994</v>
      </c>
      <c r="Y703" s="728">
        <f>Y670</f>
        <v>387.90000000000003</v>
      </c>
      <c r="Z703" s="9">
        <f t="shared" ref="Z703:AD719" si="3221">IF(ISERROR(Y703/Q703),"NA",IF(OR(Y703/Q703&gt;2,Y703/Q703&lt;0.5),"NM",Y703/Q703*100-100))</f>
        <v>-5.3902439024390389</v>
      </c>
      <c r="AA703" s="728">
        <f>AA670</f>
        <v>356.29999999999995</v>
      </c>
      <c r="AB703" s="9">
        <f t="shared" si="3221"/>
        <v>-15.348063673081498</v>
      </c>
      <c r="AC703" s="728">
        <f>AC670</f>
        <v>431.19999999999993</v>
      </c>
      <c r="AD703" s="9">
        <f t="shared" si="3221"/>
        <v>0.39580908032594664</v>
      </c>
      <c r="AE703" s="728">
        <f>AE670</f>
        <v>416.4000000000002</v>
      </c>
      <c r="AF703" s="9">
        <f t="shared" ref="AF703:AF719" si="3222">IF(ISERROR(AE703/W703),"NA",IF(OR(AE703/W703&gt;2,AE703/W703&lt;0.5),"NM",AE703/W703*100-100))</f>
        <v>4.4132397191575023</v>
      </c>
      <c r="AG703" s="728">
        <f>AG670</f>
        <v>464.7999999999999</v>
      </c>
      <c r="AH703" s="9">
        <f t="shared" ref="AH703:AH712" si="3223">IF(ISERROR(AG703/Y703),"NA",IF(OR(AG703/Y703&gt;2,AG703/Y703&lt;0.5),"NM",AG703/Y703*100-100))</f>
        <v>19.824697086878018</v>
      </c>
      <c r="AI703" s="728">
        <f>AI670</f>
        <v>472.8</v>
      </c>
      <c r="AJ703" s="9">
        <f t="shared" ref="AJ703:AJ709" si="3224">IF(ISERROR(AI703/AA703),"NA",IF(OR(AI703/AA703&gt;2,AI703/AA703&lt;0.5),"NM",AI703/AA703*100-100))</f>
        <v>32.697165310131936</v>
      </c>
      <c r="AK703" s="728">
        <f>AK670</f>
        <v>494.50000000000011</v>
      </c>
      <c r="AL703" s="9">
        <f t="shared" ref="AL703:AL709" si="3225">IF(ISERROR(AK703/AC703),"NA",IF(OR(AK703/AC703&gt;2,AK703/AC703&lt;0.5),"NM",AK703/AC703*100-100))</f>
        <v>14.679962894248646</v>
      </c>
      <c r="AM703" s="728">
        <f>AM670</f>
        <v>452.90000000000009</v>
      </c>
      <c r="AN703" s="9">
        <f t="shared" ref="AN703:AN709" si="3226">IF(ISERROR(AM703/AE703),"NA",IF(OR(AM703/AE703&gt;2,AM703/AE703&lt;0.5),"NM",AM703/AE703*100-100))</f>
        <v>8.7656099903938127</v>
      </c>
      <c r="AO703" s="728">
        <f>AO670</f>
        <v>453.49999999999977</v>
      </c>
      <c r="AP703" s="9">
        <f t="shared" ref="AP703:AP709" si="3227">IF(ISERROR(AO703/AG703),"NA",IF(OR(AO703/AG703&gt;2,AO703/AG703&lt;0.5),"NM",AO703/AG703*100-100))</f>
        <v>-2.4311531841652538</v>
      </c>
      <c r="AQ703" s="728">
        <f t="shared" ref="AQ703:AW703" si="3228">AQ670</f>
        <v>491.99524432143357</v>
      </c>
      <c r="AR703" s="9">
        <f t="shared" ref="AR703:AR709" si="3229">IF(ISERROR(AQ703/AI703),"NA",IF(OR(AQ703/AI703&gt;2,AQ703/AI703&lt;0.5),"NM",AQ703/AI703*100-100))</f>
        <v>4.0599078514030396</v>
      </c>
      <c r="AS703" s="728">
        <f t="shared" si="3228"/>
        <v>501.06390495507867</v>
      </c>
      <c r="AT703" s="9">
        <f t="shared" ref="AT703:AT709" si="3230">IF(ISERROR(AS703/AK703),"NA",IF(OR(AS703/AK703&gt;2,AS703/AK703&lt;0.5),"NM",AS703/AK703*100-100))</f>
        <v>1.3273821951625138</v>
      </c>
      <c r="AU703" s="728">
        <f t="shared" si="3228"/>
        <v>519.63403221869135</v>
      </c>
      <c r="AV703" s="9">
        <f t="shared" ref="AV703:AV709" si="3231">IF(ISERROR(AU703/AM703),"NA",IF(OR(AU703/AM703&gt;2,AU703/AM703&lt;0.5),"NM",AU703/AM703*100-100))</f>
        <v>14.734827162440098</v>
      </c>
      <c r="AW703" s="728">
        <f t="shared" si="3228"/>
        <v>537.4501252391517</v>
      </c>
      <c r="AX703" s="9">
        <f t="shared" ref="AX703:AX709" si="3232">IF(ISERROR(AW703/AO703),"NA",IF(OR(AW703/AO703&gt;2,AW703/AO703&lt;0.5),"NM",AW703/AO703*100-100))</f>
        <v>18.511604242370879</v>
      </c>
      <c r="AY703" s="293"/>
      <c r="AZ703" s="165"/>
      <c r="BA703" s="728"/>
      <c r="BB703" s="728">
        <f>BB670</f>
        <v>1433.9999999999995</v>
      </c>
      <c r="BC703" s="9" t="str">
        <f>IF(ISERROR(BB703/#REF!),"NA",IF(OR(BB703/#REF!&gt;2,BB703/#REF!&lt;0.5),"NM",BB703/#REF!*100-100))</f>
        <v>NA</v>
      </c>
      <c r="BD703" s="966">
        <f>BD670</f>
        <v>1723.2999999999995</v>
      </c>
      <c r="BE703" s="9">
        <f t="shared" ref="BE703:BS712" si="3233">IF(ISERROR(BD703/BB703),"NA",IF(OR(BD703/BB703&gt;2,BD703/BB703&lt;0.5),"NM",BD703/BB703*100-100))</f>
        <v>20.174337517433756</v>
      </c>
      <c r="BF703" s="728">
        <f>BF670</f>
        <v>1637.1000000000004</v>
      </c>
      <c r="BG703" s="9">
        <f t="shared" si="3233"/>
        <v>-5.0020309870596549</v>
      </c>
      <c r="BH703" s="728">
        <f>BH670</f>
        <v>1668.7000000000007</v>
      </c>
      <c r="BI703" s="9">
        <f t="shared" si="3233"/>
        <v>1.9302425019852336</v>
      </c>
      <c r="BJ703" s="728">
        <f>BJ670</f>
        <v>1873.7000000000007</v>
      </c>
      <c r="BK703" s="9">
        <f t="shared" si="3233"/>
        <v>12.285012285012286</v>
      </c>
      <c r="BL703" s="728">
        <f>BL670</f>
        <v>2050.1433067343555</v>
      </c>
      <c r="BM703" s="9">
        <f t="shared" si="3233"/>
        <v>9.4168387006647265</v>
      </c>
      <c r="BN703" s="728">
        <f>BN670</f>
        <v>2152.5429853267619</v>
      </c>
      <c r="BO703" s="9">
        <f t="shared" si="3233"/>
        <v>4.9947571106879138</v>
      </c>
      <c r="BP703" s="728">
        <f>BP670</f>
        <v>2262.1211541109324</v>
      </c>
      <c r="BQ703" s="9">
        <f t="shared" si="3233"/>
        <v>5.0906378888194865</v>
      </c>
      <c r="BR703" s="728">
        <f>BR670</f>
        <v>2364.8769688981479</v>
      </c>
      <c r="BS703" s="9">
        <f t="shared" si="3233"/>
        <v>4.5424540856478188</v>
      </c>
      <c r="BT703" s="728">
        <f>BT670</f>
        <v>2470.4230345843162</v>
      </c>
      <c r="BU703" s="9">
        <f t="shared" ref="BU703:BU705" si="3234">IF(ISERROR(BT703/BR703),"NA",IF(OR(BT703/BR703&gt;2,BT703/BR703&lt;0.5),"NM",BT703/BR703*100-100))</f>
        <v>4.4630679343689081</v>
      </c>
      <c r="BV703" s="43">
        <f>IF(ISERROR(((BT703/BJ703)^0.2-1)*100),"NA",IF((((BT703/BJ703)^0.2-1)*100)&gt;100,"NM",IF((((BT703/BJ703)^0.2-1)*100)&lt;-50,"NM",((BT703/BJ703)^0.2-1)*100)))</f>
        <v>5.6852196278541767</v>
      </c>
      <c r="BW703" s="722"/>
      <c r="BX703" s="722"/>
      <c r="BY703"/>
      <c r="BZ703"/>
      <c r="CA703"/>
      <c r="CB703"/>
      <c r="CC703"/>
      <c r="CD703"/>
    </row>
    <row r="704" spans="1:82" s="2" customFormat="1" ht="12.75" customHeight="1" x14ac:dyDescent="0.2">
      <c r="A704" s="41"/>
      <c r="B704" s="42" t="s">
        <v>569</v>
      </c>
      <c r="C704" s="721">
        <f>C703-C707</f>
        <v>81.699999999999989</v>
      </c>
      <c r="D704" s="745" t="str">
        <f>IF(ISERROR(C704/#REF!),"NA",IF(OR(C704/#REF!&gt;2,C704/#REF!&lt;0.5),"NM",C704/#REF!*100-100))</f>
        <v>NA</v>
      </c>
      <c r="E704" s="721">
        <f>E703-E707</f>
        <v>94.900000000000034</v>
      </c>
      <c r="F704" s="709" t="str">
        <f>IF(ISERROR(E704/#REF!),"NA",IF(OR(E704/#REF!&gt;2,E704/#REF!&lt;0.5),"NM",E704/#REF!*100-100))</f>
        <v>NA</v>
      </c>
      <c r="G704" s="721">
        <f>G703-G707</f>
        <v>90.900000000000205</v>
      </c>
      <c r="H704" s="9" t="str">
        <f>IF(ISERROR(G704/#REF!),"NA",IF(OR(G704/#REF!&gt;2,G704/#REF!&lt;0.5),"NM",G704/#REF!*100-100))</f>
        <v>NA</v>
      </c>
      <c r="I704" s="721">
        <f>I703-I707</f>
        <v>106.59999999999997</v>
      </c>
      <c r="J704" s="9" t="str">
        <f>IF(ISERROR(I704/#REF!),"NA",IF(OR(I704/#REF!&gt;2,I704/#REF!&lt;0.5),"NM",I704/#REF!*100-100))</f>
        <v>NA</v>
      </c>
      <c r="K704" s="721">
        <f>K703-K707</f>
        <v>83.700000000000102</v>
      </c>
      <c r="L704" s="9">
        <f t="shared" si="3214"/>
        <v>2.4479804161568097</v>
      </c>
      <c r="M704" s="721">
        <f>M703-M707</f>
        <v>111.99999999999994</v>
      </c>
      <c r="N704" s="9">
        <f t="shared" si="3215"/>
        <v>18.018967334035722</v>
      </c>
      <c r="O704" s="721">
        <f>O691</f>
        <v>88.023076923077042</v>
      </c>
      <c r="P704" s="9">
        <f t="shared" si="3216"/>
        <v>-3.1649318778032551</v>
      </c>
      <c r="Q704" s="721">
        <f>Q691</f>
        <v>74.469230769230904</v>
      </c>
      <c r="R704" s="121">
        <f t="shared" si="3217"/>
        <v>-30.141434550440025</v>
      </c>
      <c r="S704" s="721">
        <f>S691</f>
        <v>79.838461538461473</v>
      </c>
      <c r="T704" s="9">
        <f t="shared" si="3218"/>
        <v>-4.613546549030616</v>
      </c>
      <c r="U704" s="721">
        <f>U691</f>
        <v>90.715384615384608</v>
      </c>
      <c r="V704" s="9">
        <f t="shared" si="3219"/>
        <v>-19.004120879120848</v>
      </c>
      <c r="W704" s="721">
        <f>W691</f>
        <v>79</v>
      </c>
      <c r="X704" s="9">
        <f t="shared" si="3220"/>
        <v>-10.25080835445263</v>
      </c>
      <c r="Y704" s="721">
        <f>Y691</f>
        <v>84.700000000000045</v>
      </c>
      <c r="Z704" s="9">
        <f t="shared" si="3221"/>
        <v>13.738250180766315</v>
      </c>
      <c r="AA704" s="721">
        <f>AA691</f>
        <v>69.999999999999972</v>
      </c>
      <c r="AB704" s="9">
        <f t="shared" si="3221"/>
        <v>-12.322959822718914</v>
      </c>
      <c r="AC704" s="721">
        <f>AC691</f>
        <v>94.099999999999937</v>
      </c>
      <c r="AD704" s="9">
        <f t="shared" si="3221"/>
        <v>3.7310268803527009</v>
      </c>
      <c r="AE704" s="721">
        <f>AE691</f>
        <v>80.700000000000131</v>
      </c>
      <c r="AF704" s="9">
        <f t="shared" si="3222"/>
        <v>2.1518987341773794</v>
      </c>
      <c r="AG704" s="721">
        <f>AG691</f>
        <v>92.799999999999841</v>
      </c>
      <c r="AH704" s="9">
        <f t="shared" si="3223"/>
        <v>9.5631641086184231</v>
      </c>
      <c r="AI704" s="721">
        <f>AI691</f>
        <v>102.30000000000003</v>
      </c>
      <c r="AJ704" s="9">
        <f t="shared" si="3224"/>
        <v>46.142857142857252</v>
      </c>
      <c r="AK704" s="721">
        <f>AK691</f>
        <v>110.90000000000009</v>
      </c>
      <c r="AL704" s="9">
        <f t="shared" si="3225"/>
        <v>17.853347502656931</v>
      </c>
      <c r="AM704" s="721">
        <f>AM691</f>
        <v>79.200000000000159</v>
      </c>
      <c r="AN704" s="9">
        <f t="shared" si="3226"/>
        <v>-1.8587360594795115</v>
      </c>
      <c r="AO704" s="721">
        <f>AO691</f>
        <v>102.69999999999973</v>
      </c>
      <c r="AP704" s="9">
        <f t="shared" si="3227"/>
        <v>10.668103448275758</v>
      </c>
      <c r="AQ704" s="721">
        <f t="shared" ref="AQ704:AW704" si="3235">AQ691</f>
        <v>93.47909642107237</v>
      </c>
      <c r="AR704" s="9">
        <f t="shared" si="3229"/>
        <v>-8.6225841436242945</v>
      </c>
      <c r="AS704" s="721">
        <f t="shared" si="3235"/>
        <v>95.20214194146493</v>
      </c>
      <c r="AT704" s="9">
        <f t="shared" si="3230"/>
        <v>-14.154966689391486</v>
      </c>
      <c r="AU704" s="721">
        <f t="shared" si="3235"/>
        <v>98.730466121551359</v>
      </c>
      <c r="AV704" s="9">
        <f t="shared" si="3231"/>
        <v>24.659679446402976</v>
      </c>
      <c r="AW704" s="721">
        <f t="shared" si="3235"/>
        <v>102.1155237954388</v>
      </c>
      <c r="AX704" s="9">
        <f t="shared" si="3232"/>
        <v>-0.56911022839429393</v>
      </c>
      <c r="AY704" s="293"/>
      <c r="AZ704" s="165"/>
      <c r="BA704" s="725"/>
      <c r="BB704" s="725">
        <f>C704+E704+G704+I704</f>
        <v>374.10000000000019</v>
      </c>
      <c r="BC704" s="9" t="str">
        <f>IF(ISERROR(BB704/#REF!),"NA",IF(OR(BB704/#REF!&gt;2,BB704/#REF!&lt;0.5),"NM",BB704/#REF!*100-100))</f>
        <v>NA</v>
      </c>
      <c r="BD704" s="961">
        <f>K704+M704+O704+Q704</f>
        <v>358.19230769230796</v>
      </c>
      <c r="BE704" s="9">
        <f t="shared" si="3233"/>
        <v>-4.2522566981267715</v>
      </c>
      <c r="BF704" s="725">
        <f>S704+U704+W704+Y704</f>
        <v>334.2538461538461</v>
      </c>
      <c r="BG704" s="9">
        <f t="shared" si="3233"/>
        <v>-6.6831311070547343</v>
      </c>
      <c r="BH704" s="725">
        <f>AA704+AC704+AE704+AG704</f>
        <v>337.59999999999991</v>
      </c>
      <c r="BI704" s="9">
        <f t="shared" si="3233"/>
        <v>1.001081628426121</v>
      </c>
      <c r="BJ704" s="725">
        <f>AI704+AK704+AM704+AO704</f>
        <v>395.1</v>
      </c>
      <c r="BK704" s="9">
        <f t="shared" si="3233"/>
        <v>17.031990521327046</v>
      </c>
      <c r="BL704" s="725">
        <f>AQ704+AS704+AU704+AW704</f>
        <v>389.52722827952744</v>
      </c>
      <c r="BM704" s="9">
        <f t="shared" si="3233"/>
        <v>-1.4104712023468977</v>
      </c>
      <c r="BN704" s="721">
        <f>BN691</f>
        <v>408.9831672120846</v>
      </c>
      <c r="BO704" s="9">
        <f t="shared" si="3233"/>
        <v>4.9947571106878854</v>
      </c>
      <c r="BP704" s="721">
        <f>BP691</f>
        <v>429.80301928107713</v>
      </c>
      <c r="BQ704" s="9">
        <f t="shared" si="3233"/>
        <v>5.0906378888195434</v>
      </c>
      <c r="BR704" s="721">
        <f>BR691</f>
        <v>449.32662409064835</v>
      </c>
      <c r="BS704" s="9">
        <f t="shared" si="3233"/>
        <v>4.5424540856478899</v>
      </c>
      <c r="BT704" s="721">
        <f>BT691</f>
        <v>469.38037657102035</v>
      </c>
      <c r="BU704" s="9">
        <f t="shared" si="3234"/>
        <v>4.4630679343689081</v>
      </c>
      <c r="BV704" s="43">
        <f>IF(ISERROR(((BT704/BJ704)^0.2-1)*100),"NA",IF((((BT704/BJ704)^0.2-1)*100)&gt;100,"NM",IF((((BT704/BJ704)^0.2-1)*100)&lt;-50,"NM",((BT704/BJ704)^0.2-1)*100)))</f>
        <v>3.5055362842796756</v>
      </c>
      <c r="BW704" s="722"/>
      <c r="BX704" s="722"/>
      <c r="BY704"/>
      <c r="BZ704"/>
      <c r="CA704"/>
      <c r="CB704"/>
      <c r="CC704"/>
      <c r="CD704"/>
    </row>
    <row r="705" spans="1:82" s="2" customFormat="1" ht="12.75" customHeight="1" x14ac:dyDescent="0.2">
      <c r="A705" s="41"/>
      <c r="B705" s="42" t="s">
        <v>362</v>
      </c>
      <c r="C705" s="726">
        <f t="shared" ref="C705" si="3236">C704/C703*100</f>
        <v>25.936507936507923</v>
      </c>
      <c r="D705" s="744" t="str">
        <f>IF(ISERROR(C705/#REF!),"NA",IF(OR(C705/#REF!&gt;2,C705/#REF!&lt;0.5),"NM",C705/#REF!*100-100))</f>
        <v>NA</v>
      </c>
      <c r="E705" s="726">
        <f t="shared" ref="E705:M705" si="3237">E704/E703*100</f>
        <v>25.907725907725915</v>
      </c>
      <c r="F705" s="709" t="str">
        <f>IF(ISERROR(E705/#REF!),"NA",IF(OR(E705/#REF!&gt;2,E705/#REF!&lt;0.5),"NM",E705/#REF!*100-100))</f>
        <v>NA</v>
      </c>
      <c r="G705" s="726">
        <f t="shared" si="3237"/>
        <v>25.24298805887258</v>
      </c>
      <c r="H705" s="9" t="str">
        <f>IF(ISERROR(G705/#REF!),"NA",IF(OR(G705/#REF!&gt;2,G705/#REF!&lt;0.5),"NM",G705/#REF!*100-100))</f>
        <v>NA</v>
      </c>
      <c r="I705" s="726">
        <f t="shared" si="3237"/>
        <v>27.152317880794698</v>
      </c>
      <c r="J705" s="9" t="str">
        <f>IF(ISERROR(I705/#REF!),"NA",IF(OR(I705/#REF!&gt;2,I705/#REF!&lt;0.5),"NM",I705/#REF!*100-100))</f>
        <v>NA</v>
      </c>
      <c r="K705" s="726">
        <f t="shared" si="3237"/>
        <v>20.88844522086351</v>
      </c>
      <c r="L705" s="9">
        <f t="shared" si="3214"/>
        <v>-19.463154901199403</v>
      </c>
      <c r="M705" s="726">
        <f t="shared" si="3237"/>
        <v>25.747126436781599</v>
      </c>
      <c r="N705" s="9">
        <f t="shared" si="3215"/>
        <v>-0.6198902656154246</v>
      </c>
      <c r="O705" s="726">
        <f t="shared" ref="O705" si="3238">O704/O703*100</f>
        <v>18.430292488081452</v>
      </c>
      <c r="P705" s="9">
        <f t="shared" si="3216"/>
        <v>-26.988467272187904</v>
      </c>
      <c r="Q705" s="726">
        <f t="shared" ref="Q705" si="3239">Q704/Q703*100</f>
        <v>18.163227016885582</v>
      </c>
      <c r="R705" s="9">
        <f t="shared" si="3217"/>
        <v>-33.106163913421383</v>
      </c>
      <c r="S705" s="726">
        <f t="shared" ref="S705" si="3240">S704/S703*100</f>
        <v>18.968510700513537</v>
      </c>
      <c r="T705" s="9">
        <f t="shared" si="3218"/>
        <v>-9.1913711147459196</v>
      </c>
      <c r="U705" s="726">
        <f t="shared" ref="U705" si="3241">U704/U703*100</f>
        <v>21.121160562371273</v>
      </c>
      <c r="V705" s="9">
        <f t="shared" si="3219"/>
        <v>-17.966921030075838</v>
      </c>
      <c r="W705" s="726">
        <f t="shared" ref="W705" si="3242">W704/W703*100</f>
        <v>19.809428284854562</v>
      </c>
      <c r="X705" s="9">
        <f t="shared" si="3220"/>
        <v>7.4829837761119222</v>
      </c>
      <c r="Y705" s="726">
        <f t="shared" ref="Y705:AA705" si="3243">Y704/Y703*100</f>
        <v>21.835524619747368</v>
      </c>
      <c r="Z705" s="129">
        <f t="shared" si="3221"/>
        <v>20.218310322542393</v>
      </c>
      <c r="AA705" s="726">
        <f t="shared" si="3243"/>
        <v>19.646365422396851</v>
      </c>
      <c r="AB705" s="129">
        <f t="shared" si="3221"/>
        <v>3.573579036254884</v>
      </c>
      <c r="AC705" s="726">
        <f t="shared" ref="AC705:AE705" si="3244">AC704/AC703*100</f>
        <v>21.822820037105739</v>
      </c>
      <c r="AD705" s="129">
        <f t="shared" si="3221"/>
        <v>3.3220687502585378</v>
      </c>
      <c r="AE705" s="726">
        <f t="shared" si="3244"/>
        <v>19.380403458213276</v>
      </c>
      <c r="AF705" s="129">
        <f t="shared" si="3222"/>
        <v>-2.1657607704372737</v>
      </c>
      <c r="AG705" s="726">
        <f t="shared" ref="AG705:AI705" si="3245">AG704/AG703*100</f>
        <v>19.965576592082588</v>
      </c>
      <c r="AH705" s="129">
        <f t="shared" si="3223"/>
        <v>-8.5637879566843935</v>
      </c>
      <c r="AI705" s="726">
        <f t="shared" si="3245"/>
        <v>21.637055837563459</v>
      </c>
      <c r="AJ705" s="129">
        <f t="shared" si="3224"/>
        <v>10.132614213198039</v>
      </c>
      <c r="AK705" s="726">
        <f t="shared" ref="AK705:AM705" si="3246">AK704/AK703*100</f>
        <v>22.426693629929233</v>
      </c>
      <c r="AL705" s="129">
        <f t="shared" si="3225"/>
        <v>2.7671657090913016</v>
      </c>
      <c r="AM705" s="726">
        <f t="shared" si="3246"/>
        <v>17.487304040627102</v>
      </c>
      <c r="AN705" s="129">
        <f t="shared" si="3226"/>
        <v>-9.7681114929725226</v>
      </c>
      <c r="AO705" s="726">
        <f t="shared" ref="AO705" si="3247">AO704/AO703*100</f>
        <v>22.646085997794881</v>
      </c>
      <c r="AP705" s="129">
        <f t="shared" si="3227"/>
        <v>13.425654868265894</v>
      </c>
      <c r="AQ705" s="726">
        <f t="shared" ref="AQ705:AW705" si="3248">AQ704/AQ703*100</f>
        <v>18.999999999999996</v>
      </c>
      <c r="AR705" s="129">
        <f t="shared" si="3229"/>
        <v>-12.18768328445752</v>
      </c>
      <c r="AS705" s="726">
        <f t="shared" si="3248"/>
        <v>18.999999999999996</v>
      </c>
      <c r="AT705" s="129">
        <f t="shared" si="3230"/>
        <v>-15.279531109107353</v>
      </c>
      <c r="AU705" s="726">
        <f t="shared" si="3248"/>
        <v>19</v>
      </c>
      <c r="AV705" s="129">
        <f t="shared" si="3231"/>
        <v>8.650252525252327</v>
      </c>
      <c r="AW705" s="726">
        <f t="shared" si="3248"/>
        <v>18.999999999999996</v>
      </c>
      <c r="AX705" s="129">
        <f t="shared" si="3232"/>
        <v>-16.100292112950171</v>
      </c>
      <c r="AY705" s="293"/>
      <c r="AZ705" s="165"/>
      <c r="BA705" s="9"/>
      <c r="BB705" s="651">
        <f t="shared" ref="BB705" si="3249">BB704/BB703*100</f>
        <v>26.087866108786635</v>
      </c>
      <c r="BC705" s="9" t="str">
        <f>IF(ISERROR(BB705/#REF!),"NA",IF(OR(BB705/#REF!&gt;2,BB705/#REF!&lt;0.5),"NM",BB705/#REF!*100-100))</f>
        <v>NA</v>
      </c>
      <c r="BD705" s="937">
        <f>BD704/BD703*100</f>
        <v>20.785255480317304</v>
      </c>
      <c r="BE705" s="9">
        <f t="shared" si="3233"/>
        <v>-20.325965360131022</v>
      </c>
      <c r="BF705" s="651">
        <f>BF704/BF703*100</f>
        <v>20.4174360853855</v>
      </c>
      <c r="BG705" s="9">
        <f t="shared" si="3233"/>
        <v>-1.7696169059846767</v>
      </c>
      <c r="BH705" s="651">
        <f t="shared" ref="BH705" si="3250">BH704/BH703*100</f>
        <v>20.231317792293389</v>
      </c>
      <c r="BI705" s="9">
        <f t="shared" si="3233"/>
        <v>-0.91156544981340915</v>
      </c>
      <c r="BJ705" s="651">
        <f t="shared" ref="BJ705" si="3251">BJ704/BJ703*100</f>
        <v>21.086620056572549</v>
      </c>
      <c r="BK705" s="9">
        <f t="shared" si="3233"/>
        <v>4.2276151907661159</v>
      </c>
      <c r="BL705" s="651">
        <f t="shared" ref="BL705" si="3252">BL704/BL703*100</f>
        <v>18.999999999999993</v>
      </c>
      <c r="BM705" s="9">
        <f t="shared" si="3233"/>
        <v>-9.8954695013920571</v>
      </c>
      <c r="BN705" s="726">
        <f t="shared" ref="BN705" si="3253">BN704/BN703*100</f>
        <v>18.999999999999993</v>
      </c>
      <c r="BO705" s="9">
        <f t="shared" si="3233"/>
        <v>0</v>
      </c>
      <c r="BP705" s="726">
        <f t="shared" ref="BP705:BR705" si="3254">BP704/BP703*100</f>
        <v>19</v>
      </c>
      <c r="BQ705" s="9">
        <f t="shared" si="3233"/>
        <v>4.2632564145606011E-14</v>
      </c>
      <c r="BR705" s="726">
        <f t="shared" si="3254"/>
        <v>19.000000000000011</v>
      </c>
      <c r="BS705" s="9">
        <f t="shared" si="3233"/>
        <v>7.1054273576010019E-14</v>
      </c>
      <c r="BT705" s="726">
        <f t="shared" ref="BT705" si="3255">BT704/BT703*100</f>
        <v>19.000000000000011</v>
      </c>
      <c r="BU705" s="9">
        <f t="shared" si="3234"/>
        <v>0</v>
      </c>
      <c r="BV705" s="43">
        <f>IF(ISERROR(((BT705/BJ705)^0.2-1)*100),"NA",IF((((BT705/BJ705)^0.2-1)*100)&gt;100,"NM",IF((((BT705/BJ705)^0.2-1)*100)&lt;-50,"NM",((BT705/BJ705)^0.2-1)*100)))</f>
        <v>-2.0624296862415958</v>
      </c>
      <c r="BW705" s="722"/>
      <c r="BX705" s="722"/>
      <c r="BY705"/>
      <c r="BZ705"/>
      <c r="CA705"/>
      <c r="CB705"/>
      <c r="CC705"/>
      <c r="CD705"/>
    </row>
    <row r="706" spans="1:82" s="2" customFormat="1" ht="12.75" customHeight="1" x14ac:dyDescent="0.2">
      <c r="A706" s="41"/>
      <c r="B706" s="42" t="s">
        <v>233</v>
      </c>
      <c r="C706" s="714">
        <v>0</v>
      </c>
      <c r="D706" s="744" t="str">
        <f>IF(ISERROR(C706/#REF!),"NA",IF(OR(C706/#REF!&gt;2,C706/#REF!&lt;0.5),"NM",C706/#REF!*100-100))</f>
        <v>NA</v>
      </c>
      <c r="E706" s="714">
        <v>0</v>
      </c>
      <c r="F706" s="709" t="str">
        <f>IF(ISERROR(E706/#REF!),"NA",IF(OR(E706/#REF!&gt;2,E706/#REF!&lt;0.5),"NM",E706/#REF!*100-100))</f>
        <v>NA</v>
      </c>
      <c r="G706" s="714">
        <v>0</v>
      </c>
      <c r="H706" s="9" t="str">
        <f>IF(ISERROR(G706/#REF!),"NA",IF(OR(G706/#REF!&gt;2,G706/#REF!&lt;0.5),"NM",G706/#REF!*100-100))</f>
        <v>NA</v>
      </c>
      <c r="I706" s="714">
        <v>0</v>
      </c>
      <c r="J706" s="9" t="str">
        <f>IF(ISERROR(I706/#REF!),"NA",IF(OR(I706/#REF!&gt;2,I706/#REF!&lt;0.5),"NM",I706/#REF!*100-100))</f>
        <v>NA</v>
      </c>
      <c r="K706" s="714">
        <v>0</v>
      </c>
      <c r="L706" s="9" t="str">
        <f t="shared" si="3214"/>
        <v>NA</v>
      </c>
      <c r="M706" s="714">
        <v>0</v>
      </c>
      <c r="N706" s="9" t="str">
        <f t="shared" si="3215"/>
        <v>NA</v>
      </c>
      <c r="O706" s="714">
        <v>8.1999999999999993</v>
      </c>
      <c r="P706" s="9" t="str">
        <f t="shared" si="3216"/>
        <v>NA</v>
      </c>
      <c r="Q706" s="714">
        <v>8.3000000000000007</v>
      </c>
      <c r="R706" s="9" t="str">
        <f t="shared" si="3217"/>
        <v>NA</v>
      </c>
      <c r="S706" s="714">
        <v>8.1999999999999993</v>
      </c>
      <c r="T706" s="9" t="str">
        <f t="shared" si="3218"/>
        <v>NA</v>
      </c>
      <c r="U706" s="714">
        <f>8.3+8.2</f>
        <v>16.5</v>
      </c>
      <c r="V706" s="9" t="str">
        <f t="shared" si="3219"/>
        <v>NA</v>
      </c>
      <c r="W706" s="714">
        <v>0</v>
      </c>
      <c r="X706" s="9" t="str">
        <f t="shared" si="3220"/>
        <v>NM</v>
      </c>
      <c r="Y706" s="714">
        <v>0</v>
      </c>
      <c r="Z706" s="9" t="str">
        <f t="shared" si="3221"/>
        <v>NM</v>
      </c>
      <c r="AA706" s="714">
        <v>0</v>
      </c>
      <c r="AB706" s="9" t="str">
        <f t="shared" si="3221"/>
        <v>NM</v>
      </c>
      <c r="AC706" s="714">
        <v>0</v>
      </c>
      <c r="AD706" s="9" t="str">
        <f t="shared" si="3221"/>
        <v>NM</v>
      </c>
      <c r="AE706" s="714">
        <v>0</v>
      </c>
      <c r="AF706" s="9" t="str">
        <f t="shared" si="3222"/>
        <v>NA</v>
      </c>
      <c r="AG706" s="714">
        <v>0</v>
      </c>
      <c r="AH706" s="9" t="str">
        <f t="shared" si="3223"/>
        <v>NA</v>
      </c>
      <c r="AI706" s="714">
        <v>0</v>
      </c>
      <c r="AJ706" s="9" t="str">
        <f t="shared" si="3224"/>
        <v>NA</v>
      </c>
      <c r="AK706" s="714">
        <v>0</v>
      </c>
      <c r="AL706" s="9" t="str">
        <f t="shared" si="3225"/>
        <v>NA</v>
      </c>
      <c r="AM706" s="714">
        <v>0</v>
      </c>
      <c r="AN706" s="9" t="str">
        <f t="shared" si="3226"/>
        <v>NA</v>
      </c>
      <c r="AO706" s="714">
        <v>0</v>
      </c>
      <c r="AP706" s="9" t="str">
        <f t="shared" si="3227"/>
        <v>NA</v>
      </c>
      <c r="AQ706" s="725">
        <f t="shared" ref="AQ706" si="3256">AO706</f>
        <v>0</v>
      </c>
      <c r="AR706" s="9" t="str">
        <f t="shared" si="3229"/>
        <v>NA</v>
      </c>
      <c r="AS706" s="725">
        <f t="shared" ref="AS706" si="3257">AQ706</f>
        <v>0</v>
      </c>
      <c r="AT706" s="9" t="str">
        <f t="shared" si="3230"/>
        <v>NA</v>
      </c>
      <c r="AU706" s="725">
        <f t="shared" ref="AU706" si="3258">AS706</f>
        <v>0</v>
      </c>
      <c r="AV706" s="9" t="str">
        <f t="shared" si="3231"/>
        <v>NA</v>
      </c>
      <c r="AW706" s="725">
        <f t="shared" ref="AW706" si="3259">AU706</f>
        <v>0</v>
      </c>
      <c r="AX706" s="9" t="str">
        <f t="shared" si="3232"/>
        <v>NA</v>
      </c>
      <c r="AY706" s="293"/>
      <c r="AZ706" s="165"/>
      <c r="BA706" s="9"/>
      <c r="BB706" s="725">
        <f>C706+E706+G706+I706</f>
        <v>0</v>
      </c>
      <c r="BC706" s="9" t="str">
        <f>IF(ISERROR(BB706/#REF!),"NA",IF(OR(BB706/#REF!&gt;2,BB706/#REF!&lt;0.5),"NM",BB706/#REF!*100-100))</f>
        <v>NA</v>
      </c>
      <c r="BD706" s="961">
        <f>K706+M706+O706+Q706</f>
        <v>16.5</v>
      </c>
      <c r="BE706" s="9"/>
      <c r="BF706" s="725">
        <f>S706+U706+W706+Y706</f>
        <v>24.7</v>
      </c>
      <c r="BG706" s="9"/>
      <c r="BH706" s="725">
        <f>AA706+AC706+AE706+AG706</f>
        <v>0</v>
      </c>
      <c r="BI706" s="9"/>
      <c r="BJ706" s="725">
        <f>AI706+AK706+AM706+AO706</f>
        <v>0</v>
      </c>
      <c r="BK706" s="9"/>
      <c r="BL706" s="725">
        <f>AQ706+AS706+AU706+AW706</f>
        <v>0</v>
      </c>
      <c r="BM706" s="9"/>
      <c r="BN706" s="725">
        <f>BL706</f>
        <v>0</v>
      </c>
      <c r="BO706" s="9"/>
      <c r="BP706" s="725">
        <f>BN706</f>
        <v>0</v>
      </c>
      <c r="BQ706" s="9"/>
      <c r="BR706" s="725">
        <f>BP706</f>
        <v>0</v>
      </c>
      <c r="BS706" s="9"/>
      <c r="BT706" s="725">
        <f>BR706</f>
        <v>0</v>
      </c>
      <c r="BU706" s="9"/>
      <c r="BV706" s="43"/>
      <c r="BW706" s="722"/>
      <c r="BX706" s="722"/>
      <c r="BY706"/>
      <c r="BZ706"/>
      <c r="CA706"/>
      <c r="CB706"/>
      <c r="CC706"/>
      <c r="CD706"/>
    </row>
    <row r="707" spans="1:82" s="2" customFormat="1" ht="12.75" customHeight="1" x14ac:dyDescent="0.2">
      <c r="A707" s="41"/>
      <c r="B707" s="80" t="s">
        <v>567</v>
      </c>
      <c r="C707" s="720">
        <v>233.30000000000013</v>
      </c>
      <c r="D707" s="744" t="str">
        <f>IF(ISERROR(C707/#REF!),"NA",IF(OR(C707/#REF!&gt;2,C707/#REF!&lt;0.5),"NM",C707/#REF!*100-100))</f>
        <v>NA</v>
      </c>
      <c r="E707" s="720">
        <v>271.39999999999998</v>
      </c>
      <c r="F707" s="709" t="str">
        <f>IF(ISERROR(E707/#REF!),"NA",IF(OR(E707/#REF!&gt;2,E707/#REF!&lt;0.5),"NM",E707/#REF!*100-100))</f>
        <v>NA</v>
      </c>
      <c r="G707" s="720">
        <v>269.2</v>
      </c>
      <c r="H707" s="9" t="str">
        <f>IF(ISERROR(G707/#REF!),"NA",IF(OR(G707/#REF!&gt;2,G707/#REF!&lt;0.5),"NM",G707/#REF!*100-100))</f>
        <v>NA</v>
      </c>
      <c r="I707" s="720">
        <v>286</v>
      </c>
      <c r="J707" s="9" t="str">
        <f>IF(ISERROR(I707/#REF!),"NA",IF(OR(I707/#REF!&gt;2,I707/#REF!&lt;0.5),"NM",I707/#REF!*100-100))</f>
        <v>NA</v>
      </c>
      <c r="K707" s="720">
        <v>317</v>
      </c>
      <c r="L707" s="9">
        <f t="shared" si="3214"/>
        <v>35.876553793398983</v>
      </c>
      <c r="M707" s="720">
        <v>323</v>
      </c>
      <c r="N707" s="9">
        <f t="shared" si="3215"/>
        <v>19.012527634487839</v>
      </c>
      <c r="O707" s="728">
        <f>O703-O704-O706</f>
        <v>381.37692307692311</v>
      </c>
      <c r="P707" s="9">
        <f t="shared" si="3216"/>
        <v>41.670476625900108</v>
      </c>
      <c r="Q707" s="728">
        <f>Q703-Q704-Q706</f>
        <v>327.23076923076923</v>
      </c>
      <c r="R707" s="9">
        <f t="shared" si="3217"/>
        <v>14.416352877891342</v>
      </c>
      <c r="S707" s="728">
        <f>S703-S704-S706</f>
        <v>332.86153846153849</v>
      </c>
      <c r="T707" s="9">
        <f t="shared" si="3218"/>
        <v>5.0036398932298027</v>
      </c>
      <c r="U707" s="728">
        <f>U703-U704-U706</f>
        <v>322.28461538461534</v>
      </c>
      <c r="V707" s="9">
        <f t="shared" si="3219"/>
        <v>-0.22148130507264341</v>
      </c>
      <c r="W707" s="728">
        <f>W703-W704-W706</f>
        <v>319.80000000000007</v>
      </c>
      <c r="X707" s="9">
        <f t="shared" si="3220"/>
        <v>-16.145948889650853</v>
      </c>
      <c r="Y707" s="728">
        <f>Y703-Y704-Y706</f>
        <v>303.2</v>
      </c>
      <c r="Z707" s="9">
        <f t="shared" si="3221"/>
        <v>-7.343676539727312</v>
      </c>
      <c r="AA707" s="728">
        <f>AA703-AA704-AA706</f>
        <v>286.29999999999995</v>
      </c>
      <c r="AB707" s="9">
        <f t="shared" si="3221"/>
        <v>-13.988260306895938</v>
      </c>
      <c r="AC707" s="728">
        <f>AC703-AC704-AC706</f>
        <v>337.1</v>
      </c>
      <c r="AD707" s="9">
        <f t="shared" si="3221"/>
        <v>4.5969878511588007</v>
      </c>
      <c r="AE707" s="728">
        <f>AE703-AE704-AE706</f>
        <v>335.70000000000005</v>
      </c>
      <c r="AF707" s="9">
        <f t="shared" si="3222"/>
        <v>4.9718574108817961</v>
      </c>
      <c r="AG707" s="728">
        <f>AG703-AG704-AG706</f>
        <v>372.00000000000006</v>
      </c>
      <c r="AH707" s="9">
        <f t="shared" si="3223"/>
        <v>22.691292875989475</v>
      </c>
      <c r="AI707" s="728">
        <f>AI703-AI704-AI706</f>
        <v>370.5</v>
      </c>
      <c r="AJ707" s="9">
        <f t="shared" si="3224"/>
        <v>29.409710094306689</v>
      </c>
      <c r="AK707" s="728">
        <f>AK703-AK704-AK706</f>
        <v>383.6</v>
      </c>
      <c r="AL707" s="9">
        <f t="shared" si="3225"/>
        <v>13.794126371996441</v>
      </c>
      <c r="AM707" s="728">
        <f>AM703-AM704-AM706</f>
        <v>373.69999999999993</v>
      </c>
      <c r="AN707" s="9">
        <f t="shared" si="3226"/>
        <v>11.319630622579652</v>
      </c>
      <c r="AO707" s="728">
        <f>AO703-AO704-AO706</f>
        <v>350.80000000000007</v>
      </c>
      <c r="AP707" s="9">
        <f t="shared" si="3227"/>
        <v>-5.6989247311827995</v>
      </c>
      <c r="AQ707" s="728">
        <f t="shared" ref="AQ707:AW707" si="3260">AQ703-AQ704-AQ706</f>
        <v>398.5161479003612</v>
      </c>
      <c r="AR707" s="9">
        <f t="shared" si="3229"/>
        <v>7.5617133334308306</v>
      </c>
      <c r="AS707" s="728">
        <f t="shared" si="3260"/>
        <v>405.86176301361377</v>
      </c>
      <c r="AT707" s="9">
        <f t="shared" si="3230"/>
        <v>5.8033793049045386</v>
      </c>
      <c r="AU707" s="728">
        <f t="shared" si="3260"/>
        <v>420.90356609714001</v>
      </c>
      <c r="AV707" s="9">
        <f t="shared" si="3231"/>
        <v>12.631406501776851</v>
      </c>
      <c r="AW707" s="728">
        <f t="shared" si="3260"/>
        <v>435.33460144371293</v>
      </c>
      <c r="AX707" s="9">
        <f t="shared" si="3232"/>
        <v>24.097662897295564</v>
      </c>
      <c r="AY707" s="293"/>
      <c r="AZ707" s="165"/>
      <c r="BA707" s="9"/>
      <c r="BB707" s="728">
        <f>C707+E707+I707+G707</f>
        <v>1059.9000000000001</v>
      </c>
      <c r="BC707" s="9" t="str">
        <f>IF(ISERROR(BB707/#REF!),"NA",IF(OR(BB707/#REF!&gt;2,BB707/#REF!&lt;0.5),"NM",BB707/#REF!*100-100))</f>
        <v>NA</v>
      </c>
      <c r="BD707" s="966">
        <f>K707+M707+O707+Q707</f>
        <v>1348.6076923076923</v>
      </c>
      <c r="BE707" s="9">
        <f t="shared" si="3233"/>
        <v>27.2391444766197</v>
      </c>
      <c r="BF707" s="728">
        <f>BF703-BF704-BF706</f>
        <v>1278.1461538461542</v>
      </c>
      <c r="BG707" s="9">
        <f t="shared" si="3233"/>
        <v>-5.2247617200645351</v>
      </c>
      <c r="BH707" s="728">
        <f>BH703-BH704-BH706</f>
        <v>1331.1000000000008</v>
      </c>
      <c r="BI707" s="9">
        <f t="shared" si="3233"/>
        <v>4.1430196378168205</v>
      </c>
      <c r="BJ707" s="728">
        <f>BJ703-BJ704-BJ706</f>
        <v>1478.6000000000008</v>
      </c>
      <c r="BK707" s="9">
        <f t="shared" si="3233"/>
        <v>11.081060776801138</v>
      </c>
      <c r="BL707" s="728">
        <f>BL703-BL704-BL706</f>
        <v>1660.6160784548281</v>
      </c>
      <c r="BM707" s="9">
        <f t="shared" si="3233"/>
        <v>12.310028300745785</v>
      </c>
      <c r="BN707" s="728">
        <f>BN703-BN704-BN706</f>
        <v>1743.5598181146775</v>
      </c>
      <c r="BO707" s="9">
        <f t="shared" si="3233"/>
        <v>4.9947571106879138</v>
      </c>
      <c r="BP707" s="728">
        <f>BP703-BP704-BP706</f>
        <v>1832.3181348298554</v>
      </c>
      <c r="BQ707" s="9">
        <f t="shared" si="3233"/>
        <v>5.0906378888194865</v>
      </c>
      <c r="BR707" s="728">
        <f>BR703-BR704-BR706</f>
        <v>1915.5503448074996</v>
      </c>
      <c r="BS707" s="9">
        <f t="shared" si="3233"/>
        <v>4.5424540856477904</v>
      </c>
      <c r="BT707" s="728">
        <f>BT703-BT704-BT706</f>
        <v>2001.0426580132957</v>
      </c>
      <c r="BU707" s="9">
        <f t="shared" ref="BU707:BU709" si="3261">IF(ISERROR(BT707/BR707),"NA",IF(OR(BT707/BR707&gt;2,BT707/BR707&lt;0.5),"NM",BT707/BR707*100-100))</f>
        <v>4.4630679343688797</v>
      </c>
      <c r="BV707" s="43">
        <f>IF(ISERROR(((BT707/BJ707)^0.2-1)*100),"NA",IF((((BT707/BJ707)^0.2-1)*100)&gt;100,"NM",IF((((BT707/BJ707)^0.2-1)*100)&lt;-50,"NM",((BT707/BJ707)^0.2-1)*100)))</f>
        <v>6.2383040168927373</v>
      </c>
      <c r="BW707" s="722"/>
      <c r="BX707" s="722"/>
      <c r="BY707"/>
      <c r="BZ707"/>
      <c r="CA707"/>
      <c r="CB707"/>
      <c r="CC707"/>
      <c r="CD707"/>
    </row>
    <row r="708" spans="1:82" s="2" customFormat="1" ht="12.75" customHeight="1" x14ac:dyDescent="0.2">
      <c r="A708" s="41"/>
      <c r="B708" s="42" t="s">
        <v>59</v>
      </c>
      <c r="C708" s="725">
        <f>C669*0.65</f>
        <v>8.7999999999999972</v>
      </c>
      <c r="D708" s="744" t="str">
        <f>IF(ISERROR(C708/#REF!),"NA",IF(OR(C708/#REF!&gt;2,C708/#REF!&lt;0.5),"NM",C708/#REF!*100-100))</f>
        <v>NA</v>
      </c>
      <c r="E708" s="725">
        <f>E669*0.65</f>
        <v>-3</v>
      </c>
      <c r="F708" s="709" t="str">
        <f>IF(ISERROR(E708/#REF!),"NA",IF(OR(E708/#REF!&gt;2,E708/#REF!&lt;0.5),"NM",E708/#REF!*100-100))</f>
        <v>NA</v>
      </c>
      <c r="G708" s="725">
        <f>G669*0.65</f>
        <v>-10</v>
      </c>
      <c r="H708" s="9" t="str">
        <f>IF(ISERROR(G708/#REF!),"NA",IF(OR(G708/#REF!&gt;2,G708/#REF!&lt;0.5),"NM",G708/#REF!*100-100))</f>
        <v>NA</v>
      </c>
      <c r="I708" s="725">
        <f>I669*0.65</f>
        <v>-1</v>
      </c>
      <c r="J708" s="9" t="str">
        <f>IF(ISERROR(I708/#REF!),"NA",IF(OR(I708/#REF!&gt;2,I708/#REF!&lt;0.5),"NM",I708/#REF!*100-100))</f>
        <v>NA</v>
      </c>
      <c r="K708" s="725">
        <f>K669*0.65</f>
        <v>23.5</v>
      </c>
      <c r="L708" s="9" t="str">
        <f t="shared" si="3214"/>
        <v>NM</v>
      </c>
      <c r="M708" s="725">
        <f>M669*0.65</f>
        <v>14.5</v>
      </c>
      <c r="N708" s="9" t="str">
        <f t="shared" si="3215"/>
        <v>NM</v>
      </c>
      <c r="O708" s="725">
        <f>O669*0.65</f>
        <v>51.400000000000006</v>
      </c>
      <c r="P708" s="9" t="str">
        <f t="shared" si="3216"/>
        <v>NM</v>
      </c>
      <c r="Q708" s="725">
        <f>Q669*0.65</f>
        <v>6</v>
      </c>
      <c r="R708" s="9" t="str">
        <f t="shared" si="3217"/>
        <v>NM</v>
      </c>
      <c r="S708" s="725">
        <f>S669*0.65</f>
        <v>12</v>
      </c>
      <c r="T708" s="9">
        <f t="shared" si="3218"/>
        <v>-48.936170212765958</v>
      </c>
      <c r="U708" s="725">
        <f>U669*0.65</f>
        <v>-3</v>
      </c>
      <c r="V708" s="9" t="str">
        <f t="shared" si="3219"/>
        <v>NM</v>
      </c>
      <c r="W708" s="725">
        <f>W669*0.65</f>
        <v>5.2</v>
      </c>
      <c r="X708" s="9" t="str">
        <f t="shared" si="3220"/>
        <v>NM</v>
      </c>
      <c r="Y708" s="725">
        <f>Y669*0.65</f>
        <v>0</v>
      </c>
      <c r="Z708" s="9" t="str">
        <f t="shared" si="3221"/>
        <v>NM</v>
      </c>
      <c r="AA708" s="725">
        <f>AA669*0.65</f>
        <v>0</v>
      </c>
      <c r="AB708" s="9" t="str">
        <f t="shared" si="3221"/>
        <v>NM</v>
      </c>
      <c r="AC708" s="725">
        <f>AC669*0.65</f>
        <v>0</v>
      </c>
      <c r="AD708" s="9" t="str">
        <f t="shared" si="3221"/>
        <v>NM</v>
      </c>
      <c r="AE708" s="725">
        <f>AE669+AE690</f>
        <v>-20.150000000000002</v>
      </c>
      <c r="AF708" s="9" t="str">
        <f t="shared" si="3222"/>
        <v>NM</v>
      </c>
      <c r="AG708" s="725">
        <f>AG669+AG690</f>
        <v>3.9000000000000004</v>
      </c>
      <c r="AH708" s="9" t="str">
        <f t="shared" si="3223"/>
        <v>NA</v>
      </c>
      <c r="AI708" s="725">
        <f>AI669+AI690</f>
        <v>14.950000000000001</v>
      </c>
      <c r="AJ708" s="9" t="str">
        <f t="shared" si="3224"/>
        <v>NA</v>
      </c>
      <c r="AK708" s="725">
        <f>AK669+AK690</f>
        <v>3.25</v>
      </c>
      <c r="AL708" s="9" t="str">
        <f t="shared" si="3225"/>
        <v>NA</v>
      </c>
      <c r="AM708" s="725">
        <f>AM669+AM690</f>
        <v>-43.55</v>
      </c>
      <c r="AN708" s="9" t="str">
        <f t="shared" si="3226"/>
        <v>NM</v>
      </c>
      <c r="AO708" s="725">
        <f>AO669+AO690</f>
        <v>0</v>
      </c>
      <c r="AP708" s="9" t="str">
        <f t="shared" si="3227"/>
        <v>NM</v>
      </c>
      <c r="AQ708" s="725">
        <f t="shared" ref="AQ708" si="3262">AQ669+AQ690</f>
        <v>0</v>
      </c>
      <c r="AR708" s="9" t="str">
        <f t="shared" si="3229"/>
        <v>NM</v>
      </c>
      <c r="AS708" s="725">
        <f t="shared" ref="AS708" si="3263">AS669+AS690</f>
        <v>0</v>
      </c>
      <c r="AT708" s="9" t="str">
        <f t="shared" si="3230"/>
        <v>NM</v>
      </c>
      <c r="AU708" s="725">
        <f t="shared" ref="AU708" si="3264">AU669+AU690</f>
        <v>0</v>
      </c>
      <c r="AV708" s="9" t="str">
        <f t="shared" si="3231"/>
        <v>NM</v>
      </c>
      <c r="AW708" s="725">
        <f t="shared" ref="AW708" si="3265">AW669+AW690</f>
        <v>0</v>
      </c>
      <c r="AX708" s="9" t="str">
        <f t="shared" si="3232"/>
        <v>NA</v>
      </c>
      <c r="AY708" s="293"/>
      <c r="AZ708" s="165"/>
      <c r="BA708" s="9"/>
      <c r="BB708" s="725">
        <f>BB669*0.65</f>
        <v>-5.2000000000000011</v>
      </c>
      <c r="BC708" s="9" t="str">
        <f>IF(ISERROR(BB708/#REF!),"NA",IF(OR(BB708/#REF!&gt;2,BB708/#REF!&lt;0.5),"NM",BB708/#REF!*100-100))</f>
        <v>NA</v>
      </c>
      <c r="BD708" s="725">
        <f>BD669*0.65</f>
        <v>95.4</v>
      </c>
      <c r="BE708" s="9" t="str">
        <f t="shared" si="3233"/>
        <v>NM</v>
      </c>
      <c r="BF708" s="725">
        <f>BF669*0.65</f>
        <v>14.200000000000003</v>
      </c>
      <c r="BG708" s="9" t="str">
        <f t="shared" si="3233"/>
        <v>NM</v>
      </c>
      <c r="BH708" s="725">
        <f>BH669*0.65</f>
        <v>-16.250000000000004</v>
      </c>
      <c r="BI708" s="9" t="str">
        <f t="shared" si="3233"/>
        <v>NM</v>
      </c>
      <c r="BJ708" s="725">
        <f>BJ669*0.65</f>
        <v>-25.35</v>
      </c>
      <c r="BK708" s="9">
        <f t="shared" si="3233"/>
        <v>55.999999999999972</v>
      </c>
      <c r="BL708" s="725">
        <f>BL669*0.65</f>
        <v>0</v>
      </c>
      <c r="BM708" s="9" t="str">
        <f t="shared" si="3233"/>
        <v>NM</v>
      </c>
      <c r="BN708" s="725">
        <f>BN669*0.65</f>
        <v>0</v>
      </c>
      <c r="BO708" s="9" t="str">
        <f t="shared" si="3233"/>
        <v>NA</v>
      </c>
      <c r="BP708" s="725">
        <f>BP669*0.65</f>
        <v>0</v>
      </c>
      <c r="BQ708" s="9" t="str">
        <f t="shared" si="3233"/>
        <v>NA</v>
      </c>
      <c r="BR708" s="725">
        <f>BR669*0.65</f>
        <v>0</v>
      </c>
      <c r="BS708" s="9" t="str">
        <f t="shared" si="3233"/>
        <v>NA</v>
      </c>
      <c r="BT708" s="725">
        <f>BT669*0.65</f>
        <v>0</v>
      </c>
      <c r="BU708" s="9" t="str">
        <f t="shared" si="3261"/>
        <v>NA</v>
      </c>
      <c r="BV708" s="43" t="str">
        <f>IF(ISERROR(((BT708/BJ708)^0.2-1)*100),"NA",IF((((BT708/BJ708)^0.2-1)*100)&gt;100,"NM",IF((((BT708/BJ708)^0.2-1)*100)&lt;-50,"NM",((BT708/BJ708)^0.2-1)*100)))</f>
        <v>NM</v>
      </c>
      <c r="BW708" s="722"/>
      <c r="BX708" s="722"/>
      <c r="BY708"/>
      <c r="BZ708"/>
      <c r="CA708"/>
      <c r="CB708"/>
      <c r="CC708"/>
      <c r="CD708"/>
    </row>
    <row r="709" spans="1:82" s="2" customFormat="1" ht="12.75" customHeight="1" x14ac:dyDescent="0.2">
      <c r="A709" s="41"/>
      <c r="B709" s="80" t="s">
        <v>561</v>
      </c>
      <c r="C709" s="728">
        <f t="shared" ref="C709" si="3266">C707-C708</f>
        <v>224.50000000000011</v>
      </c>
      <c r="D709" s="744" t="str">
        <f>IF(ISERROR(C709/#REF!),"NA",IF(OR(C709/#REF!&gt;2,C709/#REF!&lt;0.5),"NM",C709/#REF!*100-100))</f>
        <v>NA</v>
      </c>
      <c r="E709" s="728">
        <f t="shared" ref="E709:M709" si="3267">E707-E708</f>
        <v>274.39999999999998</v>
      </c>
      <c r="F709" s="709" t="str">
        <f>IF(ISERROR(E709/#REF!),"NA",IF(OR(E709/#REF!&gt;2,E709/#REF!&lt;0.5),"NM",E709/#REF!*100-100))</f>
        <v>NA</v>
      </c>
      <c r="G709" s="728">
        <f t="shared" si="3267"/>
        <v>279.2</v>
      </c>
      <c r="H709" s="9" t="str">
        <f>IF(ISERROR(G709/#REF!),"NA",IF(OR(G709/#REF!&gt;2,G709/#REF!&lt;0.5),"NM",G709/#REF!*100-100))</f>
        <v>NA</v>
      </c>
      <c r="I709" s="728">
        <f t="shared" si="3267"/>
        <v>287</v>
      </c>
      <c r="J709" s="9" t="str">
        <f>IF(ISERROR(I709/#REF!),"NA",IF(OR(I709/#REF!&gt;2,I709/#REF!&lt;0.5),"NM",I709/#REF!*100-100))</f>
        <v>NA</v>
      </c>
      <c r="K709" s="728">
        <f t="shared" si="3267"/>
        <v>293.5</v>
      </c>
      <c r="L709" s="9">
        <f t="shared" si="3214"/>
        <v>30.734966592427554</v>
      </c>
      <c r="M709" s="728">
        <f t="shared" si="3267"/>
        <v>308.5</v>
      </c>
      <c r="N709" s="9">
        <f t="shared" si="3215"/>
        <v>12.427113702623927</v>
      </c>
      <c r="O709" s="728">
        <f t="shared" ref="O709" si="3268">O707-O708</f>
        <v>329.97692307692307</v>
      </c>
      <c r="P709" s="9">
        <f t="shared" si="3216"/>
        <v>18.186577033281907</v>
      </c>
      <c r="Q709" s="728">
        <f t="shared" ref="Q709" si="3269">Q707-Q708</f>
        <v>321.23076923076923</v>
      </c>
      <c r="R709" s="9">
        <f t="shared" si="3217"/>
        <v>11.927097292950933</v>
      </c>
      <c r="S709" s="728">
        <f t="shared" ref="S709" si="3270">S707-S708</f>
        <v>320.86153846153849</v>
      </c>
      <c r="T709" s="9">
        <f t="shared" si="3218"/>
        <v>9.322500327611067</v>
      </c>
      <c r="U709" s="728">
        <f t="shared" ref="U709" si="3271">U707-U708</f>
        <v>325.28461538461534</v>
      </c>
      <c r="V709" s="9">
        <f t="shared" si="3219"/>
        <v>5.4407181149482398</v>
      </c>
      <c r="W709" s="728">
        <f t="shared" ref="W709" si="3272">W707-W708</f>
        <v>314.60000000000008</v>
      </c>
      <c r="X709" s="9">
        <f t="shared" si="3220"/>
        <v>-4.6599995337669071</v>
      </c>
      <c r="Y709" s="728">
        <f t="shared" ref="Y709:AA709" si="3273">Y707-Y708</f>
        <v>303.2</v>
      </c>
      <c r="Z709" s="9">
        <f t="shared" si="3221"/>
        <v>-5.6130268199233768</v>
      </c>
      <c r="AA709" s="728">
        <f t="shared" si="3273"/>
        <v>286.29999999999995</v>
      </c>
      <c r="AB709" s="9">
        <f t="shared" si="3221"/>
        <v>-10.771480629075597</v>
      </c>
      <c r="AC709" s="728">
        <f t="shared" ref="AC709:AE709" si="3274">AC707-AC708</f>
        <v>337.1</v>
      </c>
      <c r="AD709" s="9">
        <f t="shared" si="3221"/>
        <v>3.6323219902097748</v>
      </c>
      <c r="AE709" s="728">
        <f t="shared" si="3274"/>
        <v>355.85</v>
      </c>
      <c r="AF709" s="9">
        <f t="shared" si="3222"/>
        <v>13.111888111888078</v>
      </c>
      <c r="AG709" s="728">
        <f t="shared" ref="AG709:AI709" si="3275">AG707-AG708</f>
        <v>368.10000000000008</v>
      </c>
      <c r="AH709" s="9">
        <f t="shared" si="3223"/>
        <v>21.405013192612159</v>
      </c>
      <c r="AI709" s="728">
        <f t="shared" si="3275"/>
        <v>355.55</v>
      </c>
      <c r="AJ709" s="9">
        <f t="shared" si="3224"/>
        <v>24.187914774711871</v>
      </c>
      <c r="AK709" s="728">
        <f t="shared" ref="AK709:AM709" si="3276">AK707-AK708</f>
        <v>380.35</v>
      </c>
      <c r="AL709" s="9">
        <f t="shared" si="3225"/>
        <v>12.830020765351534</v>
      </c>
      <c r="AM709" s="728">
        <f t="shared" si="3276"/>
        <v>417.24999999999994</v>
      </c>
      <c r="AN709" s="9">
        <f t="shared" si="3226"/>
        <v>17.254461149360665</v>
      </c>
      <c r="AO709" s="728">
        <f t="shared" ref="AO709" si="3277">AO707-AO708</f>
        <v>350.80000000000007</v>
      </c>
      <c r="AP709" s="9">
        <f t="shared" si="3227"/>
        <v>-4.6998098342841672</v>
      </c>
      <c r="AQ709" s="728">
        <f t="shared" ref="AQ709:AW709" si="3278">AQ707-AQ708</f>
        <v>398.5161479003612</v>
      </c>
      <c r="AR709" s="9">
        <f t="shared" si="3229"/>
        <v>12.084417916006515</v>
      </c>
      <c r="AS709" s="728">
        <f t="shared" si="3278"/>
        <v>405.86176301361377</v>
      </c>
      <c r="AT709" s="9">
        <f t="shared" si="3230"/>
        <v>6.7074439367986685</v>
      </c>
      <c r="AU709" s="728">
        <f t="shared" si="3278"/>
        <v>420.90356609714001</v>
      </c>
      <c r="AV709" s="9">
        <f t="shared" si="3231"/>
        <v>0.8756299813397419</v>
      </c>
      <c r="AW709" s="728">
        <f t="shared" si="3278"/>
        <v>435.33460144371293</v>
      </c>
      <c r="AX709" s="9">
        <f t="shared" si="3232"/>
        <v>24.097662897295564</v>
      </c>
      <c r="AY709" s="293"/>
      <c r="AZ709" s="165"/>
      <c r="BA709" s="9"/>
      <c r="BB709" s="728">
        <f>BB707-BB708</f>
        <v>1065.1000000000001</v>
      </c>
      <c r="BC709" s="9" t="str">
        <f>IF(ISERROR(BB709/#REF!),"NA",IF(OR(BB709/#REF!&gt;2,BB709/#REF!&lt;0.5),"NM",BB709/#REF!*100-100))</f>
        <v>NA</v>
      </c>
      <c r="BD709" s="966">
        <f t="shared" ref="BD709:BP709" si="3279">BD707-BD708</f>
        <v>1253.2076923076922</v>
      </c>
      <c r="BE709" s="9">
        <f t="shared" si="3233"/>
        <v>17.661035800177643</v>
      </c>
      <c r="BF709" s="728">
        <f t="shared" si="3279"/>
        <v>1263.9461538461542</v>
      </c>
      <c r="BG709" s="9">
        <f t="shared" si="3233"/>
        <v>0.85687804219330133</v>
      </c>
      <c r="BH709" s="728">
        <f t="shared" si="3279"/>
        <v>1347.3500000000008</v>
      </c>
      <c r="BI709" s="9">
        <f t="shared" si="3233"/>
        <v>6.5986866529124484</v>
      </c>
      <c r="BJ709" s="728">
        <f t="shared" ref="BJ709" si="3280">BJ707-BJ708</f>
        <v>1503.9500000000007</v>
      </c>
      <c r="BK709" s="9">
        <f t="shared" si="3233"/>
        <v>11.622815155675937</v>
      </c>
      <c r="BL709" s="728">
        <f t="shared" ref="BL709" si="3281">BL707-BL708</f>
        <v>1660.6160784548281</v>
      </c>
      <c r="BM709" s="9">
        <f t="shared" si="3233"/>
        <v>10.416973865808529</v>
      </c>
      <c r="BN709" s="728">
        <f t="shared" si="3279"/>
        <v>1743.5598181146775</v>
      </c>
      <c r="BO709" s="9">
        <f t="shared" si="3233"/>
        <v>4.9947571106879138</v>
      </c>
      <c r="BP709" s="728">
        <f t="shared" si="3279"/>
        <v>1832.3181348298554</v>
      </c>
      <c r="BQ709" s="9">
        <f t="shared" si="3233"/>
        <v>5.0906378888194865</v>
      </c>
      <c r="BR709" s="728">
        <f t="shared" ref="BR709:BT709" si="3282">BR707-BR708</f>
        <v>1915.5503448074996</v>
      </c>
      <c r="BS709" s="9">
        <f t="shared" si="3233"/>
        <v>4.5424540856477904</v>
      </c>
      <c r="BT709" s="728">
        <f t="shared" si="3282"/>
        <v>2001.0426580132957</v>
      </c>
      <c r="BU709" s="9">
        <f t="shared" si="3261"/>
        <v>4.4630679343688797</v>
      </c>
      <c r="BV709" s="43">
        <f>IF(ISERROR(((BT709/BJ709)^0.2-1)*100),"NA",IF((((BT709/BJ709)^0.2-1)*100)&gt;100,"NM",IF((((BT709/BJ709)^0.2-1)*100)&lt;-50,"NM",((BT709/BJ709)^0.2-1)*100)))</f>
        <v>5.8777222613830116</v>
      </c>
      <c r="BW709" s="722"/>
      <c r="BX709" s="722"/>
      <c r="BY709"/>
      <c r="BZ709"/>
      <c r="CA709"/>
      <c r="CB709"/>
      <c r="CC709"/>
      <c r="CD709"/>
    </row>
    <row r="710" spans="1:82" s="2" customFormat="1" ht="12.75" customHeight="1" x14ac:dyDescent="0.2">
      <c r="A710" s="41"/>
      <c r="B710" s="80"/>
      <c r="C710" s="728"/>
      <c r="D710" s="9"/>
      <c r="E710" s="728"/>
      <c r="F710" s="9"/>
      <c r="G710" s="728"/>
      <c r="H710" s="9"/>
      <c r="I710" s="728"/>
      <c r="J710" s="9"/>
      <c r="K710" s="728"/>
      <c r="L710" s="9"/>
      <c r="M710" s="728"/>
      <c r="N710" s="9"/>
      <c r="O710" s="728"/>
      <c r="P710" s="9"/>
      <c r="Q710" s="728"/>
      <c r="R710" s="9"/>
      <c r="S710" s="728"/>
      <c r="T710" s="9"/>
      <c r="U710" s="728"/>
      <c r="V710" s="9"/>
      <c r="W710" s="728"/>
      <c r="X710" s="9"/>
      <c r="Y710" s="728"/>
      <c r="Z710" s="9"/>
      <c r="AA710" s="728"/>
      <c r="AB710" s="9"/>
      <c r="AC710" s="728"/>
      <c r="AD710" s="9"/>
      <c r="AE710" s="728"/>
      <c r="AF710" s="9"/>
      <c r="AG710" s="728"/>
      <c r="AH710" s="9"/>
      <c r="AI710" s="728"/>
      <c r="AJ710" s="9"/>
      <c r="AK710" s="728"/>
      <c r="AL710" s="9"/>
      <c r="AM710" s="728"/>
      <c r="AN710" s="9"/>
      <c r="AO710" s="728"/>
      <c r="AP710" s="9"/>
      <c r="AQ710" s="728"/>
      <c r="AR710" s="9"/>
      <c r="AS710" s="728"/>
      <c r="AT710" s="9"/>
      <c r="AU710" s="728"/>
      <c r="AV710" s="9"/>
      <c r="AW710" s="728"/>
      <c r="AX710" s="9"/>
      <c r="AY710" s="293"/>
      <c r="AZ710" s="165"/>
      <c r="BA710" s="9"/>
      <c r="BB710" s="728"/>
      <c r="BC710" s="9"/>
      <c r="BD710" s="966"/>
      <c r="BE710" s="9"/>
      <c r="BF710" s="728"/>
      <c r="BG710" s="9"/>
      <c r="BH710" s="728"/>
      <c r="BI710" s="9"/>
      <c r="BJ710" s="728"/>
      <c r="BK710" s="9"/>
      <c r="BL710" s="728"/>
      <c r="BM710" s="9"/>
      <c r="BN710" s="728"/>
      <c r="BO710" s="9"/>
      <c r="BP710" s="728"/>
      <c r="BQ710" s="9"/>
      <c r="BR710" s="728"/>
      <c r="BS710" s="9"/>
      <c r="BT710" s="728"/>
      <c r="BU710" s="9"/>
      <c r="BV710" s="43"/>
      <c r="BW710" s="722"/>
      <c r="BX710" s="722"/>
      <c r="BY710"/>
      <c r="BZ710"/>
      <c r="CA710"/>
      <c r="CB710"/>
      <c r="CC710"/>
      <c r="CD710"/>
    </row>
    <row r="711" spans="1:82" s="2" customFormat="1" ht="12.75" customHeight="1" x14ac:dyDescent="0.2">
      <c r="A711" s="41"/>
      <c r="B711" s="42" t="s">
        <v>18</v>
      </c>
      <c r="C711" s="15">
        <f>(C842*C852)-C707</f>
        <v>0</v>
      </c>
      <c r="D711" s="39" t="str">
        <f>IF(ISERROR(C711/#REF!),"NA",IF(OR(C711/#REF!&gt;2,C711/#REF!&lt;0.5),"NM",C711/#REF!*100-100))</f>
        <v>NA</v>
      </c>
      <c r="E711" s="15">
        <f>(E842*E852)-E707</f>
        <v>0</v>
      </c>
      <c r="F711" s="709" t="str">
        <f>IF(ISERROR(E711/#REF!),"NA",IF(OR(E711/#REF!&gt;2,E711/#REF!&lt;0.5),"NM",E711/#REF!*100-100))</f>
        <v>NA</v>
      </c>
      <c r="G711" s="15">
        <f>(G842*G852)-G707</f>
        <v>0</v>
      </c>
      <c r="H711" s="9" t="str">
        <f>IF(ISERROR(G711/#REF!),"NA",IF(OR(G711/#REF!&gt;2,G711/#REF!&lt;0.5),"NM",G711/#REF!*100-100))</f>
        <v>NA</v>
      </c>
      <c r="I711" s="15">
        <f>(I842*I852)-I707</f>
        <v>0</v>
      </c>
      <c r="J711" s="9" t="str">
        <f>IF(ISERROR(I711/#REF!),"NA",IF(OR(I711/#REF!&gt;2,I711/#REF!&lt;0.5),"NM",I711/#REF!*100-100))</f>
        <v>NA</v>
      </c>
      <c r="K711" s="15">
        <f>(K842*K852)-K707</f>
        <v>0</v>
      </c>
      <c r="L711" s="9" t="str">
        <f t="shared" si="3214"/>
        <v>NA</v>
      </c>
      <c r="M711" s="15">
        <f>(M842*M852)-M707</f>
        <v>0</v>
      </c>
      <c r="N711" s="9" t="str">
        <f t="shared" si="3215"/>
        <v>NA</v>
      </c>
      <c r="O711" s="15">
        <f>(O842*O852)-O707</f>
        <v>0</v>
      </c>
      <c r="P711" s="9" t="str">
        <f t="shared" si="3216"/>
        <v>NA</v>
      </c>
      <c r="Q711" s="15">
        <f>(Q842*Q852)-Q707</f>
        <v>0</v>
      </c>
      <c r="R711" s="9" t="str">
        <f t="shared" si="3217"/>
        <v>NA</v>
      </c>
      <c r="S711" s="15">
        <f>(S842*S852)-S707</f>
        <v>0</v>
      </c>
      <c r="T711" s="9" t="str">
        <f t="shared" si="3218"/>
        <v>NA</v>
      </c>
      <c r="U711" s="15">
        <f>(U842*U852)-U707</f>
        <v>0</v>
      </c>
      <c r="V711" s="9" t="str">
        <f t="shared" si="3219"/>
        <v>NA</v>
      </c>
      <c r="W711" s="15">
        <f>(W842*W852)-W707</f>
        <v>0</v>
      </c>
      <c r="X711" s="9" t="str">
        <f t="shared" si="3220"/>
        <v>NA</v>
      </c>
      <c r="Y711" s="15">
        <f>(Y842*Y852)-Y707</f>
        <v>0</v>
      </c>
      <c r="Z711" s="9" t="str">
        <f t="shared" si="3221"/>
        <v>NA</v>
      </c>
      <c r="AA711" s="15">
        <f>(AA842*AA852)-AA707</f>
        <v>0</v>
      </c>
      <c r="AB711" s="9" t="str">
        <f t="shared" si="3221"/>
        <v>NA</v>
      </c>
      <c r="AC711" s="15">
        <f>(AC842*AC852)-AC707</f>
        <v>0</v>
      </c>
      <c r="AD711" s="9" t="str">
        <f t="shared" si="3221"/>
        <v>NA</v>
      </c>
      <c r="AE711" s="15">
        <f>(AE842*AE852)-AE707</f>
        <v>0</v>
      </c>
      <c r="AF711" s="9" t="str">
        <f t="shared" si="3222"/>
        <v>NA</v>
      </c>
      <c r="AG711" s="15">
        <f>(AG842*AG852)-AG707</f>
        <v>0</v>
      </c>
      <c r="AH711" s="9" t="str">
        <f t="shared" si="3223"/>
        <v>NA</v>
      </c>
      <c r="AI711" s="15">
        <f>(AI842*AI852)-AI707</f>
        <v>0</v>
      </c>
      <c r="AJ711" s="9" t="str">
        <f t="shared" ref="AJ711:AJ712" si="3283">IF(ISERROR(AI711/AA711),"NA",IF(OR(AI711/AA711&gt;2,AI711/AA711&lt;0.5),"NM",AI711/AA711*100-100))</f>
        <v>NA</v>
      </c>
      <c r="AK711" s="15">
        <f>(AK842*AK852)-AK707</f>
        <v>0</v>
      </c>
      <c r="AL711" s="9" t="str">
        <f t="shared" ref="AL711:AL712" si="3284">IF(ISERROR(AK711/AC711),"NA",IF(OR(AK711/AC711&gt;2,AK711/AC711&lt;0.5),"NM",AK711/AC711*100-100))</f>
        <v>NA</v>
      </c>
      <c r="AM711" s="15">
        <f>(AM842*AM852)-AM707</f>
        <v>0</v>
      </c>
      <c r="AN711" s="9" t="str">
        <f t="shared" ref="AN711:AN712" si="3285">IF(ISERROR(AM711/AE711),"NA",IF(OR(AM711/AE711&gt;2,AM711/AE711&lt;0.5),"NM",AM711/AE711*100-100))</f>
        <v>NA</v>
      </c>
      <c r="AO711" s="15">
        <f>(AO842*AO852)-AO707</f>
        <v>0</v>
      </c>
      <c r="AP711" s="9" t="str">
        <f t="shared" ref="AP711:AP712" si="3286">IF(ISERROR(AO711/AG711),"NA",IF(OR(AO711/AG711&gt;2,AO711/AG711&lt;0.5),"NM",AO711/AG711*100-100))</f>
        <v>NA</v>
      </c>
      <c r="AQ711" s="15">
        <f t="shared" ref="AQ711:AW711" si="3287">(AQ842*AQ852)-AQ707</f>
        <v>0</v>
      </c>
      <c r="AR711" s="9" t="str">
        <f t="shared" ref="AR711:AR712" si="3288">IF(ISERROR(AQ711/AI711),"NA",IF(OR(AQ711/AI711&gt;2,AQ711/AI711&lt;0.5),"NM",AQ711/AI711*100-100))</f>
        <v>NA</v>
      </c>
      <c r="AS711" s="15">
        <f t="shared" si="3287"/>
        <v>0</v>
      </c>
      <c r="AT711" s="9" t="str">
        <f t="shared" ref="AT711:AT712" si="3289">IF(ISERROR(AS711/AK711),"NA",IF(OR(AS711/AK711&gt;2,AS711/AK711&lt;0.5),"NM",AS711/AK711*100-100))</f>
        <v>NA</v>
      </c>
      <c r="AU711" s="15">
        <f t="shared" si="3287"/>
        <v>0</v>
      </c>
      <c r="AV711" s="9" t="str">
        <f t="shared" ref="AV711:AV712" si="3290">IF(ISERROR(AU711/AM711),"NA",IF(OR(AU711/AM711&gt;2,AU711/AM711&lt;0.5),"NM",AU711/AM711*100-100))</f>
        <v>NA</v>
      </c>
      <c r="AW711" s="15">
        <f t="shared" si="3287"/>
        <v>0</v>
      </c>
      <c r="AX711" s="9" t="str">
        <f t="shared" ref="AX711:AX712" si="3291">IF(ISERROR(AW711/AO711),"NA",IF(OR(AW711/AO711&gt;2,AW711/AO711&lt;0.5),"NM",AW711/AO711*100-100))</f>
        <v>NA</v>
      </c>
      <c r="AY711" s="293"/>
      <c r="AZ711" s="165"/>
      <c r="BA711" s="9"/>
      <c r="BB711" s="15">
        <f>(BB842*BB852)-BB707</f>
        <v>0</v>
      </c>
      <c r="BC711" s="9" t="str">
        <f>IF(ISERROR(BB711/#REF!),"NA",IF(OR(BB711/#REF!&gt;2,BB711/#REF!&lt;0.5),"NM",BB711/#REF!*100-100))</f>
        <v>NA</v>
      </c>
      <c r="BD711" s="924">
        <f>(BD842*BD852)-BD707</f>
        <v>0</v>
      </c>
      <c r="BE711" s="9" t="str">
        <f t="shared" si="3233"/>
        <v>NA</v>
      </c>
      <c r="BF711" s="15">
        <f>(BF842*BF852)-BF707</f>
        <v>0</v>
      </c>
      <c r="BG711" s="9" t="str">
        <f t="shared" si="3233"/>
        <v>NA</v>
      </c>
      <c r="BH711" s="15">
        <f>(BH842*BH852)-BH707</f>
        <v>0</v>
      </c>
      <c r="BI711" s="9" t="str">
        <f t="shared" si="3233"/>
        <v>NA</v>
      </c>
      <c r="BJ711" s="15">
        <f>(BJ842*BJ852)-BJ707</f>
        <v>0</v>
      </c>
      <c r="BK711" s="9" t="str">
        <f t="shared" si="3233"/>
        <v>NA</v>
      </c>
      <c r="BL711" s="15">
        <f>(BL842*BL852)-BL707</f>
        <v>0</v>
      </c>
      <c r="BM711" s="9" t="str">
        <f t="shared" si="3233"/>
        <v>NA</v>
      </c>
      <c r="BN711" s="15">
        <f>(BN842*BN852)-BN707</f>
        <v>0</v>
      </c>
      <c r="BO711" s="9" t="str">
        <f t="shared" si="3233"/>
        <v>NA</v>
      </c>
      <c r="BP711" s="15">
        <f>(BP842*BP852)-BP707</f>
        <v>0</v>
      </c>
      <c r="BQ711" s="9" t="str">
        <f t="shared" si="3233"/>
        <v>NA</v>
      </c>
      <c r="BR711" s="15">
        <f>(BR842*BR852)-BR707</f>
        <v>0</v>
      </c>
      <c r="BS711" s="9" t="str">
        <f t="shared" si="3233"/>
        <v>NA</v>
      </c>
      <c r="BT711" s="15">
        <f>(BT842*BT852)-BT707</f>
        <v>0</v>
      </c>
      <c r="BU711" s="9" t="str">
        <f t="shared" ref="BU711:BU712" si="3292">IF(ISERROR(BT711/BR711),"NA",IF(OR(BT711/BR711&gt;2,BT711/BR711&lt;0.5),"NM",BT711/BR711*100-100))</f>
        <v>NA</v>
      </c>
      <c r="BV711" s="43"/>
      <c r="BW711" s="722"/>
      <c r="BX711" s="722"/>
      <c r="BY711"/>
      <c r="BZ711"/>
      <c r="CA711"/>
      <c r="CB711"/>
      <c r="CC711"/>
      <c r="CD711"/>
    </row>
    <row r="712" spans="1:82" ht="12.75" customHeight="1" x14ac:dyDescent="0.2">
      <c r="B712" s="42" t="s">
        <v>19</v>
      </c>
      <c r="C712" s="126">
        <f t="shared" ref="C712" si="3293">C707+C711</f>
        <v>233.30000000000013</v>
      </c>
      <c r="D712" s="753" t="str">
        <f>IF(ISERROR(C712/#REF!),"NA",IF(OR(C712/#REF!&gt;2,C712/#REF!&lt;0.5),"NM",C712/#REF!*100-100))</f>
        <v>NA</v>
      </c>
      <c r="E712" s="126">
        <f t="shared" ref="E712:M712" si="3294">E707+E711</f>
        <v>271.39999999999998</v>
      </c>
      <c r="F712" s="709" t="str">
        <f>IF(ISERROR(E712/#REF!),"NA",IF(OR(E712/#REF!&gt;2,E712/#REF!&lt;0.5),"NM",E712/#REF!*100-100))</f>
        <v>NA</v>
      </c>
      <c r="G712" s="126">
        <f t="shared" si="3294"/>
        <v>269.2</v>
      </c>
      <c r="H712" s="9" t="str">
        <f>IF(ISERROR(G712/#REF!),"NA",IF(OR(G712/#REF!&gt;2,G712/#REF!&lt;0.5),"NM",G712/#REF!*100-100))</f>
        <v>NA</v>
      </c>
      <c r="I712" s="126">
        <f t="shared" si="3294"/>
        <v>286</v>
      </c>
      <c r="J712" s="9" t="str">
        <f>IF(ISERROR(I712/#REF!),"NA",IF(OR(I712/#REF!&gt;2,I712/#REF!&lt;0.5),"NM",I712/#REF!*100-100))</f>
        <v>NA</v>
      </c>
      <c r="K712" s="126">
        <f t="shared" si="3294"/>
        <v>317</v>
      </c>
      <c r="L712" s="9">
        <f t="shared" si="3214"/>
        <v>35.876553793398983</v>
      </c>
      <c r="M712" s="126">
        <f t="shared" si="3294"/>
        <v>323</v>
      </c>
      <c r="N712" s="9">
        <f t="shared" si="3215"/>
        <v>19.012527634487839</v>
      </c>
      <c r="O712" s="126">
        <f t="shared" ref="O712" si="3295">O707+O711</f>
        <v>381.37692307692311</v>
      </c>
      <c r="P712" s="9">
        <f t="shared" si="3216"/>
        <v>41.670476625900108</v>
      </c>
      <c r="Q712" s="126">
        <f t="shared" ref="Q712" si="3296">Q707+Q711</f>
        <v>327.23076923076923</v>
      </c>
      <c r="R712" s="9">
        <f t="shared" si="3217"/>
        <v>14.416352877891342</v>
      </c>
      <c r="S712" s="126">
        <f t="shared" ref="S712" si="3297">S707+S711</f>
        <v>332.86153846153849</v>
      </c>
      <c r="T712" s="9">
        <f t="shared" si="3218"/>
        <v>5.0036398932298027</v>
      </c>
      <c r="U712" s="126">
        <f t="shared" ref="U712" si="3298">U707+U711</f>
        <v>322.28461538461534</v>
      </c>
      <c r="V712" s="9">
        <f t="shared" si="3219"/>
        <v>-0.22148130507264341</v>
      </c>
      <c r="W712" s="126">
        <f t="shared" ref="W712" si="3299">W707+W711</f>
        <v>319.80000000000007</v>
      </c>
      <c r="X712" s="9">
        <f t="shared" si="3220"/>
        <v>-16.145948889650853</v>
      </c>
      <c r="Y712" s="126">
        <f t="shared" ref="Y712:AA712" si="3300">Y707+Y711</f>
        <v>303.2</v>
      </c>
      <c r="Z712" s="9">
        <f t="shared" si="3221"/>
        <v>-7.343676539727312</v>
      </c>
      <c r="AA712" s="126">
        <f t="shared" si="3300"/>
        <v>286.29999999999995</v>
      </c>
      <c r="AB712" s="9">
        <f t="shared" si="3221"/>
        <v>-13.988260306895938</v>
      </c>
      <c r="AC712" s="126">
        <f t="shared" ref="AC712:AE712" si="3301">AC707+AC711</f>
        <v>337.1</v>
      </c>
      <c r="AD712" s="9">
        <f t="shared" si="3221"/>
        <v>4.5969878511588007</v>
      </c>
      <c r="AE712" s="126">
        <f t="shared" si="3301"/>
        <v>335.70000000000005</v>
      </c>
      <c r="AF712" s="9">
        <f t="shared" si="3222"/>
        <v>4.9718574108817961</v>
      </c>
      <c r="AG712" s="126">
        <f t="shared" ref="AG712:AI712" si="3302">AG707+AG711</f>
        <v>372.00000000000006</v>
      </c>
      <c r="AH712" s="9">
        <f t="shared" si="3223"/>
        <v>22.691292875989475</v>
      </c>
      <c r="AI712" s="126">
        <f t="shared" si="3302"/>
        <v>370.5</v>
      </c>
      <c r="AJ712" s="9">
        <f t="shared" si="3283"/>
        <v>29.409710094306689</v>
      </c>
      <c r="AK712" s="126">
        <f t="shared" ref="AK712:AM712" si="3303">AK707+AK711</f>
        <v>383.6</v>
      </c>
      <c r="AL712" s="9">
        <f t="shared" si="3284"/>
        <v>13.794126371996441</v>
      </c>
      <c r="AM712" s="126">
        <f t="shared" si="3303"/>
        <v>373.69999999999993</v>
      </c>
      <c r="AN712" s="9">
        <f t="shared" si="3285"/>
        <v>11.319630622579652</v>
      </c>
      <c r="AO712" s="126">
        <f t="shared" ref="AO712" si="3304">AO707+AO711</f>
        <v>350.80000000000007</v>
      </c>
      <c r="AP712" s="9">
        <f t="shared" si="3286"/>
        <v>-5.6989247311827995</v>
      </c>
      <c r="AQ712" s="126">
        <f t="shared" ref="AQ712:AW712" si="3305">AQ707+AQ711</f>
        <v>398.5161479003612</v>
      </c>
      <c r="AR712" s="9">
        <f t="shared" si="3288"/>
        <v>7.5617133334308306</v>
      </c>
      <c r="AS712" s="126">
        <f t="shared" si="3305"/>
        <v>405.86176301361377</v>
      </c>
      <c r="AT712" s="9">
        <f t="shared" si="3289"/>
        <v>5.8033793049045386</v>
      </c>
      <c r="AU712" s="126">
        <f t="shared" si="3305"/>
        <v>420.90356609714001</v>
      </c>
      <c r="AV712" s="9">
        <f t="shared" si="3290"/>
        <v>12.631406501776851</v>
      </c>
      <c r="AW712" s="126">
        <f t="shared" si="3305"/>
        <v>435.33460144371293</v>
      </c>
      <c r="AX712" s="9">
        <f t="shared" si="3291"/>
        <v>24.097662897295564</v>
      </c>
      <c r="BB712" s="126">
        <f>C712+E712+G712+I712</f>
        <v>1059.9000000000001</v>
      </c>
      <c r="BC712" s="9" t="str">
        <f>IF(ISERROR(BB712/#REF!),"NA",IF(OR(BB712/#REF!&gt;2,BB712/#REF!&lt;0.5),"NM",BB712/#REF!*100-100))</f>
        <v>NA</v>
      </c>
      <c r="BD712" s="925">
        <f>K712+M712+O712+Q712</f>
        <v>1348.6076923076923</v>
      </c>
      <c r="BE712" s="9">
        <f t="shared" si="3233"/>
        <v>27.2391444766197</v>
      </c>
      <c r="BF712" s="126">
        <f>S712+U712+W712+Y712</f>
        <v>1278.1461538461538</v>
      </c>
      <c r="BG712" s="9">
        <f t="shared" si="3233"/>
        <v>-5.2247617200645777</v>
      </c>
      <c r="BH712" s="126">
        <f>AA712+AC712+AE712+AG712</f>
        <v>1331.1000000000001</v>
      </c>
      <c r="BI712" s="9">
        <f t="shared" si="3233"/>
        <v>4.1430196378168063</v>
      </c>
      <c r="BJ712" s="126">
        <f>AI712+AK712+AM712+AO712</f>
        <v>1478.6</v>
      </c>
      <c r="BK712" s="9">
        <f t="shared" si="3233"/>
        <v>11.081060776801138</v>
      </c>
      <c r="BL712" s="126">
        <f>AQ712+AS712+AU712+AW712</f>
        <v>1660.6160784548279</v>
      </c>
      <c r="BM712" s="9">
        <f t="shared" si="3233"/>
        <v>12.310028300745842</v>
      </c>
      <c r="BN712" s="126">
        <f t="shared" ref="BN712:BP712" si="3306">BN707+BN711</f>
        <v>1743.5598181146775</v>
      </c>
      <c r="BO712" s="9">
        <f t="shared" si="3233"/>
        <v>4.994757110687928</v>
      </c>
      <c r="BP712" s="126">
        <f t="shared" si="3306"/>
        <v>1832.3181348298554</v>
      </c>
      <c r="BQ712" s="9">
        <f t="shared" si="3233"/>
        <v>5.0906378888194865</v>
      </c>
      <c r="BR712" s="126">
        <f t="shared" ref="BR712:BT712" si="3307">BR707+BR711</f>
        <v>1915.5503448074996</v>
      </c>
      <c r="BS712" s="9">
        <f t="shared" si="3233"/>
        <v>4.5424540856477904</v>
      </c>
      <c r="BT712" s="126">
        <f t="shared" si="3307"/>
        <v>2001.0426580132957</v>
      </c>
      <c r="BU712" s="9">
        <f t="shared" si="3292"/>
        <v>4.4630679343688797</v>
      </c>
      <c r="BV712" s="43">
        <f>IF(ISERROR(((BT712/BJ712)^0.2-1)*100),"NA",IF((((BT712/BJ712)^0.2-1)*100)&gt;100,"NM",IF((((BT712/BJ712)^0.2-1)*100)&lt;-50,"NM",((BT712/BJ712)^0.2-1)*100)))</f>
        <v>6.2383040168927373</v>
      </c>
    </row>
    <row r="713" spans="1:82" s="2" customFormat="1" ht="12.75" customHeight="1" x14ac:dyDescent="0.2">
      <c r="A713" s="41"/>
      <c r="B713" s="42"/>
      <c r="C713" s="105"/>
      <c r="D713" s="40"/>
      <c r="E713" s="105"/>
      <c r="F713" s="40"/>
      <c r="G713" s="105"/>
      <c r="H713" s="40"/>
      <c r="I713" s="105"/>
      <c r="J713" s="40"/>
      <c r="K713" s="105"/>
      <c r="L713" s="40"/>
      <c r="M713" s="105"/>
      <c r="N713" s="9"/>
      <c r="O713" s="105"/>
      <c r="P713" s="9"/>
      <c r="Q713" s="105"/>
      <c r="R713" s="9"/>
      <c r="S713" s="105"/>
      <c r="T713" s="9"/>
      <c r="U713" s="105"/>
      <c r="V713" s="9"/>
      <c r="W713" s="105"/>
      <c r="X713" s="9"/>
      <c r="Y713" s="105"/>
      <c r="Z713" s="9"/>
      <c r="AA713" s="105"/>
      <c r="AB713" s="9"/>
      <c r="AC713" s="105"/>
      <c r="AD713" s="9"/>
      <c r="AE713" s="105"/>
      <c r="AF713" s="9"/>
      <c r="AG713" s="105"/>
      <c r="AH713" s="40"/>
      <c r="AI713" s="105"/>
      <c r="AJ713" s="40"/>
      <c r="AK713" s="105"/>
      <c r="AL713" s="40"/>
      <c r="AM713" s="105"/>
      <c r="AN713" s="40"/>
      <c r="AO713" s="105"/>
      <c r="AP713" s="40"/>
      <c r="AQ713" s="105"/>
      <c r="AR713" s="40"/>
      <c r="AS713" s="105"/>
      <c r="AT713" s="40"/>
      <c r="AU713" s="105"/>
      <c r="AV713" s="40"/>
      <c r="AW713" s="105"/>
      <c r="AX713" s="40"/>
      <c r="AY713" s="279"/>
      <c r="AZ713" s="15"/>
      <c r="BA713" s="40"/>
      <c r="BB713" s="105"/>
      <c r="BC713" s="40"/>
      <c r="BD713" s="943"/>
      <c r="BE713" s="40"/>
      <c r="BF713" s="105"/>
      <c r="BG713" s="40"/>
      <c r="BH713" s="105"/>
      <c r="BI713" s="40"/>
      <c r="BJ713" s="105"/>
      <c r="BK713" s="40"/>
      <c r="BL713" s="105"/>
      <c r="BM713" s="40"/>
      <c r="BN713" s="105"/>
      <c r="BO713" s="40"/>
      <c r="BP713" s="105"/>
      <c r="BQ713" s="40"/>
      <c r="BR713" s="105"/>
      <c r="BS713" s="40"/>
      <c r="BT713" s="105"/>
      <c r="BU713" s="40"/>
      <c r="BV713" s="722"/>
      <c r="BW713" s="722"/>
      <c r="BX713" s="722"/>
      <c r="BY713"/>
      <c r="BZ713"/>
      <c r="CA713"/>
      <c r="CB713"/>
      <c r="CC713"/>
      <c r="CD713"/>
    </row>
    <row r="714" spans="1:82" s="2" customFormat="1" ht="12.75" customHeight="1" x14ac:dyDescent="0.2">
      <c r="A714" s="41"/>
      <c r="B714" s="80" t="s">
        <v>563</v>
      </c>
      <c r="C714" s="105"/>
      <c r="D714" s="40"/>
      <c r="E714" s="105"/>
      <c r="F714" s="40"/>
      <c r="G714" s="105"/>
      <c r="H714" s="40"/>
      <c r="I714" s="105"/>
      <c r="J714" s="40"/>
      <c r="K714" s="105"/>
      <c r="L714" s="40"/>
      <c r="M714" s="105"/>
      <c r="N714" s="9"/>
      <c r="O714" s="105"/>
      <c r="P714" s="9"/>
      <c r="Q714" s="105"/>
      <c r="R714" s="9"/>
      <c r="S714" s="105"/>
      <c r="T714" s="9"/>
      <c r="U714" s="105"/>
      <c r="V714" s="9"/>
      <c r="W714" s="105"/>
      <c r="X714" s="9"/>
      <c r="Y714" s="105"/>
      <c r="Z714" s="9"/>
      <c r="AA714" s="105"/>
      <c r="AB714" s="9"/>
      <c r="AC714" s="105"/>
      <c r="AD714" s="9"/>
      <c r="AE714" s="105"/>
      <c r="AF714" s="9"/>
      <c r="AG714" s="105"/>
      <c r="AH714" s="40"/>
      <c r="AI714" s="105"/>
      <c r="AJ714" s="40"/>
      <c r="AK714" s="105"/>
      <c r="AL714" s="40"/>
      <c r="AM714" s="105"/>
      <c r="AN714" s="40"/>
      <c r="AO714" s="105"/>
      <c r="AP714" s="40"/>
      <c r="AQ714" s="105"/>
      <c r="AR714" s="40"/>
      <c r="AS714" s="105"/>
      <c r="AT714" s="40"/>
      <c r="AU714" s="105"/>
      <c r="AV714" s="40"/>
      <c r="AW714" s="105"/>
      <c r="AX714" s="40"/>
      <c r="AY714" s="279"/>
      <c r="AZ714" s="15"/>
      <c r="BA714" s="40"/>
      <c r="BB714" s="105"/>
      <c r="BC714" s="40"/>
      <c r="BD714" s="943"/>
      <c r="BE714" s="40"/>
      <c r="BF714" s="105"/>
      <c r="BG714" s="40"/>
      <c r="BH714" s="105"/>
      <c r="BI714" s="40"/>
      <c r="BJ714" s="105"/>
      <c r="BK714" s="40"/>
      <c r="BL714" s="105"/>
      <c r="BM714" s="40"/>
      <c r="BN714" s="105"/>
      <c r="BO714" s="40"/>
      <c r="BP714" s="105"/>
      <c r="BQ714" s="40"/>
      <c r="BR714" s="105"/>
      <c r="BS714" s="40"/>
      <c r="BT714" s="105"/>
      <c r="BU714" s="40"/>
      <c r="BV714" s="722"/>
      <c r="BW714" s="722"/>
      <c r="BX714" s="722"/>
      <c r="BY714"/>
      <c r="BZ714"/>
      <c r="CA714"/>
      <c r="CB714"/>
      <c r="CC714"/>
      <c r="CD714"/>
    </row>
    <row r="715" spans="1:82" s="7" customFormat="1" ht="12.75" customHeight="1" x14ac:dyDescent="0.2">
      <c r="A715" s="42"/>
      <c r="B715" s="5" t="s">
        <v>585</v>
      </c>
      <c r="C715" s="57">
        <f>C660/C$668*100</f>
        <v>30.847154886450618</v>
      </c>
      <c r="D715" s="754" t="str">
        <f>IF(ISERROR(C715/#REF!),"NA",IF(OR(C715/#REF!&gt;2,C715/#REF!&lt;0.5),"NM",C715/#REF!*100-100))</f>
        <v>NA</v>
      </c>
      <c r="E715" s="57">
        <f>E660/E$668*100</f>
        <v>32.298471556855169</v>
      </c>
      <c r="F715" s="754" t="str">
        <f>IF(ISERROR(E715/#REF!),"NA",IF(OR(E715/#REF!&gt;2,E715/#REF!&lt;0.5),"NM",E715/#REF!*100-100))</f>
        <v>NA</v>
      </c>
      <c r="G715" s="57">
        <f>G660/G$668*100</f>
        <v>27.404584844201334</v>
      </c>
      <c r="H715" s="9" t="str">
        <f>IF(ISERROR(G715/#REF!),"NA",IF(OR(G715/#REF!&gt;2,G715/#REF!&lt;0.5),"NM",G715/#REF!*100-100))</f>
        <v>NA</v>
      </c>
      <c r="I715" s="57">
        <f>I660/I$668*100</f>
        <v>30.036301182715956</v>
      </c>
      <c r="J715" s="9" t="str">
        <f>IF(ISERROR(I715/#REF!),"NA",IF(OR(I715/#REF!&gt;2,I715/#REF!&lt;0.5),"NM",I715/#REF!*100-100))</f>
        <v>NA</v>
      </c>
      <c r="K715" s="57">
        <f>K660/K$668*100</f>
        <v>32.347914160916602</v>
      </c>
      <c r="L715" s="9">
        <f t="shared" ref="L715:L738" si="3308">IF(ISERROR(K715/C715),"NA",IF(OR(K715/C715&gt;2,K715/C715&lt;0.5),"NM",K715/C715*100-100))</f>
        <v>4.865146494029446</v>
      </c>
      <c r="M715" s="57">
        <f>M660/M$668*100</f>
        <v>34.909599254426851</v>
      </c>
      <c r="N715" s="9">
        <f t="shared" si="3215"/>
        <v>8.0843692339289248</v>
      </c>
      <c r="O715" s="57">
        <f>O660/O$668*100</f>
        <v>36.509805435453977</v>
      </c>
      <c r="P715" s="9">
        <f t="shared" si="3216"/>
        <v>33.225172514077542</v>
      </c>
      <c r="Q715" s="57">
        <f>Q660/Q$668*100</f>
        <v>34.608445297504787</v>
      </c>
      <c r="R715" s="9">
        <f t="shared" si="3217"/>
        <v>15.22206108859973</v>
      </c>
      <c r="S715" s="57">
        <f>S660/S$668*100</f>
        <v>32.941491293461027</v>
      </c>
      <c r="T715" s="9">
        <f t="shared" si="3218"/>
        <v>1.8349780749127689</v>
      </c>
      <c r="U715" s="57">
        <f>U660/U$668*100</f>
        <v>31.969522459466642</v>
      </c>
      <c r="V715" s="9">
        <f t="shared" si="3219"/>
        <v>-8.4219723450058837</v>
      </c>
      <c r="W715" s="57">
        <f>W660/W$668*100</f>
        <v>33.044642154161082</v>
      </c>
      <c r="X715" s="9">
        <f t="shared" si="3220"/>
        <v>-9.4910483360942379</v>
      </c>
      <c r="Y715" s="57">
        <f>Y660/Y$668*100</f>
        <v>32.147460685743745</v>
      </c>
      <c r="Z715" s="9">
        <f t="shared" si="3221"/>
        <v>-7.1109366242998391</v>
      </c>
      <c r="AA715" s="57">
        <f>AA660/AA$668*100</f>
        <v>31.995509402189171</v>
      </c>
      <c r="AB715" s="9">
        <f t="shared" si="3221"/>
        <v>-2.8717032961396001</v>
      </c>
      <c r="AC715" s="57">
        <f>AC660/AC$668*100</f>
        <v>28.872912801484237</v>
      </c>
      <c r="AD715" s="9">
        <f t="shared" si="3221"/>
        <v>-9.6861304760135738</v>
      </c>
      <c r="AE715" s="57">
        <f>AE660/AE$668*100</f>
        <v>32.476531068395154</v>
      </c>
      <c r="AF715" s="9">
        <f t="shared" si="3222"/>
        <v>-1.7192229926883584</v>
      </c>
      <c r="AG715" s="57">
        <f>AG660/AG$668*100</f>
        <v>27.027027027027046</v>
      </c>
      <c r="AH715" s="9">
        <f t="shared" ref="AH715:AH725" si="3309">IF(ISERROR(AG715/Y715),"NA",IF(OR(AG715/Y715&gt;2,AG715/Y715&lt;0.5),"NM",AG715/Y715*100-100))</f>
        <v>-15.927956826112336</v>
      </c>
      <c r="AI715" s="57">
        <f>AI660/AI$668*100</f>
        <v>30.835927078701641</v>
      </c>
      <c r="AJ715" s="9">
        <f t="shared" ref="AJ715:AJ725" si="3310">IF(ISERROR(AI715/AA715),"NA",IF(OR(AI715/AA715&gt;2,AI715/AA715&lt;0.5),"NM",AI715/AA715*100-100))</f>
        <v>-3.6242033496369004</v>
      </c>
      <c r="AK715" s="57">
        <f>AK660/AK$668*100</f>
        <v>30.132788559754847</v>
      </c>
      <c r="AL715" s="9">
        <f t="shared" ref="AL715:AL725" si="3311">IF(ISERROR(AK715/AC715),"NA",IF(OR(AK715/AC715&gt;2,AK715/AC715&lt;0.5),"NM",AK715/AC715*100-100))</f>
        <v>4.3635215017372389</v>
      </c>
      <c r="AM715" s="57">
        <f>AM660/AM$668*100</f>
        <v>28.659357568763216</v>
      </c>
      <c r="AN715" s="9">
        <f t="shared" ref="AN715:AN725" si="3312">IF(ISERROR(AM715/AE715),"NA",IF(OR(AM715/AE715&gt;2,AM715/AE715&lt;0.5),"NM",AM715/AE715*100-100))</f>
        <v>-11.753636777256233</v>
      </c>
      <c r="AO715" s="57">
        <f>AO660/AO$668*100</f>
        <v>27.916207276736515</v>
      </c>
      <c r="AP715" s="9">
        <f t="shared" ref="AP715:AP725" si="3313">IF(ISERROR(AO715/AG715),"NA",IF(OR(AO715/AG715&gt;2,AO715/AG715&lt;0.5),"NM",AO715/AG715*100-100))</f>
        <v>3.2899669239250215</v>
      </c>
      <c r="AQ715" s="57">
        <f t="shared" ref="AQ715:AW715" si="3314">AQ660/AQ$668*100</f>
        <v>28.873474702156365</v>
      </c>
      <c r="AR715" s="9">
        <f t="shared" ref="AR715:AR725" si="3315">IF(ISERROR(AQ715/AI715),"NA",IF(OR(AQ715/AI715&gt;2,AQ715/AI715&lt;0.5),"NM",AQ715/AI715*100-100))</f>
        <v>-6.3641750466479152</v>
      </c>
      <c r="AS715" s="57">
        <f t="shared" si="3314"/>
        <v>28.377982085565822</v>
      </c>
      <c r="AT715" s="9">
        <f t="shared" ref="AT715:AT725" si="3316">IF(ISERROR(AS715/AK715),"NA",IF(OR(AS715/AK715&gt;2,AS715/AK715&lt;0.5),"NM",AS715/AK715*100-100))</f>
        <v>-5.8235780956984939</v>
      </c>
      <c r="AU715" s="57">
        <f t="shared" si="3314"/>
        <v>27.640772826093574</v>
      </c>
      <c r="AV715" s="9">
        <f t="shared" ref="AV715:AV725" si="3317">IF(ISERROR(AU715/AM715),"NA",IF(OR(AU715/AM715&gt;2,AU715/AM715&lt;0.5),"NM",AU715/AM715*100-100))</f>
        <v>-3.5541087766036696</v>
      </c>
      <c r="AW715" s="57">
        <f t="shared" si="3314"/>
        <v>28.531090394926633</v>
      </c>
      <c r="AX715" s="9">
        <f t="shared" ref="AX715:AX725" si="3318">IF(ISERROR(AW715/AO715),"NA",IF(OR(AW715/AO715&gt;2,AW715/AO715&lt;0.5),"NM",AW715/AO715*100-100))</f>
        <v>2.2026026390143727</v>
      </c>
      <c r="AY715" s="279"/>
      <c r="AZ715" s="15"/>
      <c r="BA715" s="40"/>
      <c r="BB715" s="57">
        <f>BB660/BB$668*100</f>
        <v>30.102421849994677</v>
      </c>
      <c r="BC715" s="9" t="str">
        <f>IF(ISERROR(BB715/#REF!),"NA",IF(OR(BB715/#REF!&gt;2,BB715/#REF!&lt;0.5),"NM",BB715/#REF!*100-100))</f>
        <v>NA</v>
      </c>
      <c r="BD715" s="57">
        <f>BD660/BD$668*100</f>
        <v>34.645204416708559</v>
      </c>
      <c r="BE715" s="9">
        <f t="shared" ref="BE715:BS725" si="3319">IF(ISERROR(BD715/BB715),"NA",IF(OR(BD715/BB715&gt;2,BD715/BB715&lt;0.5),"NM",BD715/BB715*100-100))</f>
        <v>15.091086655257556</v>
      </c>
      <c r="BF715" s="57">
        <f>BF660/BF$668*100</f>
        <v>32.514536891081654</v>
      </c>
      <c r="BG715" s="9">
        <f t="shared" si="3319"/>
        <v>-6.1499637871939825</v>
      </c>
      <c r="BH715" s="57">
        <f>BH660/BH$668*100</f>
        <v>29.981696876660539</v>
      </c>
      <c r="BI715" s="9">
        <f t="shared" si="3319"/>
        <v>-7.7898695678973127</v>
      </c>
      <c r="BJ715" s="57">
        <f>BJ660/BJ$668*100</f>
        <v>29.372091807392675</v>
      </c>
      <c r="BK715" s="9">
        <f t="shared" si="3319"/>
        <v>-2.0332573962563742</v>
      </c>
      <c r="BL715" s="57">
        <f>BL660/BL$668*100</f>
        <v>28.350173820211289</v>
      </c>
      <c r="BM715" s="9">
        <f t="shared" si="3319"/>
        <v>-3.4792141938089003</v>
      </c>
      <c r="BN715" s="57">
        <f>BN660/BN$668*100</f>
        <v>27.969926473042161</v>
      </c>
      <c r="BO715" s="9">
        <f t="shared" si="3319"/>
        <v>-1.3412522603231594</v>
      </c>
      <c r="BP715" s="57">
        <f>BP660/BP$668*100</f>
        <v>27.578989203187721</v>
      </c>
      <c r="BQ715" s="9">
        <f t="shared" si="3319"/>
        <v>-1.3977057473898924</v>
      </c>
      <c r="BR715" s="57">
        <f>BR660/BR$668*100</f>
        <v>27.406141083093864</v>
      </c>
      <c r="BS715" s="9">
        <f t="shared" si="3319"/>
        <v>-0.62673841604708969</v>
      </c>
      <c r="BT715" s="57">
        <f>BT660/BT$668*100</f>
        <v>27.224459407106043</v>
      </c>
      <c r="BU715" s="9">
        <f t="shared" ref="BU715:BU717" si="3320">IF(ISERROR(BT715/BR715),"NA",IF(OR(BT715/BR715&gt;2,BT715/BR715&lt;0.5),"NM",BT715/BR715*100-100))</f>
        <v>-0.66292323109982476</v>
      </c>
      <c r="BV715" s="43">
        <f>IF(ISERROR(((BT715/BJ715)^0.2-1)*100),"NA",IF((((BT715/BJ715)^0.2-1)*100)&gt;100,"NM",IF((((BT715/BJ715)^0.2-1)*100)&lt;-50,"NM",((BT715/BJ715)^0.2-1)*100)))</f>
        <v>-1.5071107356599778</v>
      </c>
      <c r="BW715" s="722"/>
      <c r="BX715" s="722"/>
      <c r="BY715"/>
      <c r="BZ715"/>
      <c r="CA715"/>
      <c r="CB715"/>
      <c r="CC715"/>
      <c r="CD715"/>
    </row>
    <row r="716" spans="1:82" s="7" customFormat="1" ht="12.75" customHeight="1" x14ac:dyDescent="0.2">
      <c r="A716" s="42"/>
      <c r="B716" s="5" t="s">
        <v>190</v>
      </c>
      <c r="C716" s="57">
        <f>C662/C$668*100</f>
        <v>18.902781321765755</v>
      </c>
      <c r="D716" s="754" t="str">
        <f>IF(ISERROR(C716/#REF!),"NA",IF(OR(C716/#REF!&gt;2,C716/#REF!&lt;0.5),"NM",C716/#REF!*100-100))</f>
        <v>NA</v>
      </c>
      <c r="E716" s="57">
        <f>E662/E$668*100</f>
        <v>18.129782865675352</v>
      </c>
      <c r="F716" s="754" t="str">
        <f>IF(ISERROR(E716/#REF!),"NA",IF(OR(E716/#REF!&gt;2,E716/#REF!&lt;0.5),"NM",E716/#REF!*100-100))</f>
        <v>NA</v>
      </c>
      <c r="G716" s="57">
        <f>G662/G$668*100</f>
        <v>19.228484215270512</v>
      </c>
      <c r="H716" s="9" t="str">
        <f>IF(ISERROR(G716/#REF!),"NA",IF(OR(G716/#REF!&gt;2,G716/#REF!&lt;0.5),"NM",G716/#REF!*100-100))</f>
        <v>NA</v>
      </c>
      <c r="I716" s="57">
        <f>I662/I$668*100</f>
        <v>20.906358562004772</v>
      </c>
      <c r="J716" s="9" t="str">
        <f>IF(ISERROR(I716/#REF!),"NA",IF(OR(I716/#REF!&gt;2,I716/#REF!&lt;0.5),"NM",I716/#REF!*100-100))</f>
        <v>NA</v>
      </c>
      <c r="K716" s="57">
        <f>K662/K$668*100</f>
        <v>22.109683273195323</v>
      </c>
      <c r="L716" s="9">
        <f t="shared" si="3308"/>
        <v>16.965238590243644</v>
      </c>
      <c r="M716" s="57">
        <f>M662/M$668*100</f>
        <v>20.281453867660762</v>
      </c>
      <c r="N716" s="9">
        <f t="shared" si="3215"/>
        <v>11.868156491047174</v>
      </c>
      <c r="O716" s="57">
        <f>O662/O$668*100</f>
        <v>21.504400864731309</v>
      </c>
      <c r="P716" s="9">
        <f t="shared" si="3216"/>
        <v>11.836172960806522</v>
      </c>
      <c r="Q716" s="57">
        <f>Q662/Q$668*100</f>
        <v>24.976967370441454</v>
      </c>
      <c r="R716" s="9">
        <f t="shared" si="3217"/>
        <v>19.47067346216194</v>
      </c>
      <c r="S716" s="57">
        <f>S662/S$668*100</f>
        <v>23.009729151136341</v>
      </c>
      <c r="T716" s="9">
        <f t="shared" si="3218"/>
        <v>4.0708221226858967</v>
      </c>
      <c r="U716" s="57">
        <f>U662/U$668*100</f>
        <v>22.68982014707186</v>
      </c>
      <c r="V716" s="9">
        <f t="shared" si="3219"/>
        <v>11.874722074295136</v>
      </c>
      <c r="W716" s="57">
        <f>W662/W$668*100</f>
        <v>24.411463664278401</v>
      </c>
      <c r="X716" s="9">
        <f t="shared" si="3220"/>
        <v>13.51845521218344</v>
      </c>
      <c r="Y716" s="57">
        <f>Y662/Y$668*100</f>
        <v>26.295436968290804</v>
      </c>
      <c r="Z716" s="9">
        <f t="shared" si="3221"/>
        <v>5.278741723503515</v>
      </c>
      <c r="AA716" s="57">
        <f>AA662/AA$668*100</f>
        <v>22.368790345214716</v>
      </c>
      <c r="AB716" s="9">
        <f t="shared" si="3221"/>
        <v>-2.7855121705766379</v>
      </c>
      <c r="AC716" s="57">
        <f>AC662/AC$668*100</f>
        <v>27.249536178107604</v>
      </c>
      <c r="AD716" s="9">
        <f t="shared" si="3221"/>
        <v>20.095866787309816</v>
      </c>
      <c r="AE716" s="57">
        <f>AE662/AE$668*100</f>
        <v>25.234689316048271</v>
      </c>
      <c r="AF716" s="9">
        <f t="shared" si="3222"/>
        <v>3.3722912443570721</v>
      </c>
      <c r="AG716" s="57">
        <f>AG662/AG$668*100</f>
        <v>29.141238012205768</v>
      </c>
      <c r="AH716" s="9">
        <f t="shared" si="3309"/>
        <v>10.822413969947206</v>
      </c>
      <c r="AI716" s="57">
        <f>AI662/AI$668*100</f>
        <v>22.232103156958647</v>
      </c>
      <c r="AJ716" s="9">
        <f t="shared" si="3310"/>
        <v>-0.61106204737311032</v>
      </c>
      <c r="AK716" s="57">
        <f>AK662/AK$668*100</f>
        <v>23.575076608784475</v>
      </c>
      <c r="AL716" s="9">
        <f t="shared" si="3311"/>
        <v>-13.484484819507529</v>
      </c>
      <c r="AM716" s="57">
        <f>AM662/AM$668*100</f>
        <v>25.043277553375649</v>
      </c>
      <c r="AN716" s="9">
        <f t="shared" si="3312"/>
        <v>-0.7585263296698912</v>
      </c>
      <c r="AO716" s="57">
        <f>AO662/AO$668*100</f>
        <v>27.364939360529235</v>
      </c>
      <c r="AP716" s="9">
        <f t="shared" si="3313"/>
        <v>-6.0954810874285243</v>
      </c>
      <c r="AQ716" s="57">
        <f t="shared" ref="AQ716:AW717" si="3321">AQ662/AQ$668*100</f>
        <v>26.206690129242183</v>
      </c>
      <c r="AR716" s="9">
        <f t="shared" si="3315"/>
        <v>17.877692201331357</v>
      </c>
      <c r="AS716" s="57">
        <f t="shared" si="3321"/>
        <v>25.859810796902334</v>
      </c>
      <c r="AT716" s="9">
        <f t="shared" si="3316"/>
        <v>9.6913118291481055</v>
      </c>
      <c r="AU716" s="57">
        <f t="shared" si="3321"/>
        <v>25.327688905822534</v>
      </c>
      <c r="AV716" s="9">
        <f t="shared" si="3317"/>
        <v>1.1356794326969037</v>
      </c>
      <c r="AW716" s="57">
        <f t="shared" si="3321"/>
        <v>25.057653909987732</v>
      </c>
      <c r="AX716" s="9">
        <f t="shared" si="3318"/>
        <v>-8.4315386931552894</v>
      </c>
      <c r="AY716" s="279"/>
      <c r="AZ716" s="15"/>
      <c r="BA716" s="40"/>
      <c r="BB716" s="57">
        <f>BB662/BB$668*100</f>
        <v>19.336391763576238</v>
      </c>
      <c r="BC716" s="9" t="str">
        <f>IF(ISERROR(BB716/#REF!),"NA",IF(OR(BB716/#REF!&gt;2,BB716/#REF!&lt;0.5),"NM",BB716/#REF!*100-100))</f>
        <v>NA</v>
      </c>
      <c r="BD716" s="57">
        <f>BD662/BD$668*100</f>
        <v>22.206988079961366</v>
      </c>
      <c r="BE716" s="9">
        <f t="shared" si="3319"/>
        <v>14.845563492318362</v>
      </c>
      <c r="BF716" s="57">
        <f>BF662/BF$668*100</f>
        <v>24.051947062381235</v>
      </c>
      <c r="BG716" s="9">
        <f t="shared" si="3319"/>
        <v>8.3080108647632471</v>
      </c>
      <c r="BH716" s="57">
        <f>BH662/BH$668*100</f>
        <v>26.202987542067657</v>
      </c>
      <c r="BI716" s="9">
        <f t="shared" si="3319"/>
        <v>8.9433112176219112</v>
      </c>
      <c r="BJ716" s="57">
        <f>BJ662/BJ$668*100</f>
        <v>24.556909081403244</v>
      </c>
      <c r="BK716" s="9">
        <f t="shared" si="3319"/>
        <v>-6.2820258873981913</v>
      </c>
      <c r="BL716" s="57">
        <f>BL662/BL$668*100</f>
        <v>25.597894969067809</v>
      </c>
      <c r="BM716" s="9">
        <f t="shared" si="3319"/>
        <v>4.2390753828742049</v>
      </c>
      <c r="BN716" s="57">
        <f>BN662/BN$668*100</f>
        <v>25.574409327899723</v>
      </c>
      <c r="BO716" s="9">
        <f t="shared" si="3319"/>
        <v>-9.1748330073500028E-2</v>
      </c>
      <c r="BP716" s="57">
        <f>BP662/BP$668*100</f>
        <v>24.925905910566726</v>
      </c>
      <c r="BQ716" s="9">
        <f t="shared" si="3319"/>
        <v>-2.5357513013038755</v>
      </c>
      <c r="BR716" s="57">
        <f>BR662/BR$668*100</f>
        <v>25.295936337588991</v>
      </c>
      <c r="BS716" s="9">
        <f t="shared" si="3319"/>
        <v>1.4845214787776229</v>
      </c>
      <c r="BT716" s="57">
        <f>BT662/BT$668*100</f>
        <v>25.056436855885426</v>
      </c>
      <c r="BU716" s="9">
        <f t="shared" si="3320"/>
        <v>-0.94679034018470531</v>
      </c>
      <c r="BV716" s="43">
        <f>IF(ISERROR(((BT716/BJ716)^0.2-1)*100),"NA",IF((((BT716/BJ716)^0.2-1)*100)&gt;100,"NM",IF((((BT716/BJ716)^0.2-1)*100)&lt;-50,"NM",((BT716/BJ716)^0.2-1)*100)))</f>
        <v>0.40356235288216968</v>
      </c>
      <c r="BW716" s="722"/>
      <c r="BX716" s="722"/>
      <c r="BY716"/>
      <c r="BZ716"/>
      <c r="CA716"/>
      <c r="CB716"/>
      <c r="CC716"/>
      <c r="CD716"/>
    </row>
    <row r="717" spans="1:82" s="7" customFormat="1" ht="12.75" customHeight="1" x14ac:dyDescent="0.2">
      <c r="A717" s="42"/>
      <c r="B717" s="5" t="s">
        <v>191</v>
      </c>
      <c r="C717" s="57">
        <f>C663/C$668*100</f>
        <v>22.253125797397299</v>
      </c>
      <c r="D717" s="754" t="str">
        <f>IF(ISERROR(C717/#REF!),"NA",IF(OR(C717/#REF!&gt;2,C717/#REF!&lt;0.5),"NM",C717/#REF!*100-100))</f>
        <v>NA</v>
      </c>
      <c r="E717" s="57">
        <f>E663/E$668*100</f>
        <v>23.312387233248309</v>
      </c>
      <c r="F717" s="754" t="str">
        <f>IF(ISERROR(E717/#REF!),"NA",IF(OR(E717/#REF!&gt;2,E717/#REF!&lt;0.5),"NM",E717/#REF!*100-100))</f>
        <v>NA</v>
      </c>
      <c r="G717" s="57">
        <f>G663/G$668*100</f>
        <v>21.701186159424733</v>
      </c>
      <c r="H717" s="9" t="str">
        <f>IF(ISERROR(G717/#REF!),"NA",IF(OR(G717/#REF!&gt;2,G717/#REF!&lt;0.5),"NM",G717/#REF!*100-100))</f>
        <v>NA</v>
      </c>
      <c r="I717" s="57">
        <f>I663/I$668*100</f>
        <v>22.945860494164489</v>
      </c>
      <c r="J717" s="9" t="str">
        <f>IF(ISERROR(I717/#REF!),"NA",IF(OR(I717/#REF!&gt;2,I717/#REF!&lt;0.5),"NM",I717/#REF!*100-100))</f>
        <v>NA</v>
      </c>
      <c r="K717" s="57">
        <f>K663/K$668*100</f>
        <v>21.493532527273089</v>
      </c>
      <c r="L717" s="9">
        <f t="shared" si="3308"/>
        <v>-3.4134228019915014</v>
      </c>
      <c r="M717" s="57">
        <f>M663/M$668*100</f>
        <v>19.903075489282386</v>
      </c>
      <c r="N717" s="9">
        <f t="shared" si="3215"/>
        <v>-14.624464280961902</v>
      </c>
      <c r="O717" s="57">
        <f>O663/O$668*100</f>
        <v>20.907967881408272</v>
      </c>
      <c r="P717" s="9">
        <f t="shared" si="3216"/>
        <v>-3.655183971001378</v>
      </c>
      <c r="Q717" s="57">
        <f>Q663/Q$668*100</f>
        <v>19.337811900191916</v>
      </c>
      <c r="R717" s="9">
        <f t="shared" si="3217"/>
        <v>-15.724180816361894</v>
      </c>
      <c r="S717" s="57">
        <f>S663/S$668*100</f>
        <v>20.077603838140558</v>
      </c>
      <c r="T717" s="9">
        <f t="shared" si="3218"/>
        <v>-6.5876964958452646</v>
      </c>
      <c r="U717" s="57">
        <f>U663/U$668*100</f>
        <v>16.631522991051643</v>
      </c>
      <c r="V717" s="9">
        <f t="shared" si="3219"/>
        <v>-16.437421945128236</v>
      </c>
      <c r="W717" s="57">
        <f>W663/W$668*100</f>
        <v>16.356979765372795</v>
      </c>
      <c r="X717" s="9">
        <f t="shared" si="3220"/>
        <v>-21.766764430905283</v>
      </c>
      <c r="Y717" s="57">
        <f>Y663/Y$668*100</f>
        <v>17.349832431038923</v>
      </c>
      <c r="Z717" s="9">
        <f t="shared" si="3221"/>
        <v>-10.280271001773798</v>
      </c>
      <c r="AA717" s="57">
        <f>AA663/AA$668*100</f>
        <v>19.085040696042668</v>
      </c>
      <c r="AB717" s="9">
        <f t="shared" si="3221"/>
        <v>-4.9436334639313912</v>
      </c>
      <c r="AC717" s="57">
        <f>AC663/AC$668*100</f>
        <v>16.210575139146567</v>
      </c>
      <c r="AD717" s="9">
        <f t="shared" si="3221"/>
        <v>-2.5310240807865938</v>
      </c>
      <c r="AE717" s="57">
        <f>AE663/AE$668*100</f>
        <v>19.021010281627177</v>
      </c>
      <c r="AF717" s="9">
        <f t="shared" si="3222"/>
        <v>16.286811834872168</v>
      </c>
      <c r="AG717" s="57">
        <f>AG663/AG$668*100</f>
        <v>16.782911944202279</v>
      </c>
      <c r="AH717" s="9">
        <f t="shared" si="3309"/>
        <v>-3.267584797086684</v>
      </c>
      <c r="AI717" s="57">
        <f>AI663/AI$668*100</f>
        <v>19.764339706536227</v>
      </c>
      <c r="AJ717" s="9">
        <f t="shared" si="3310"/>
        <v>3.5593270211596177</v>
      </c>
      <c r="AK717" s="57">
        <f>AK663/AK$668*100</f>
        <v>17.037793667007136</v>
      </c>
      <c r="AL717" s="9">
        <f t="shared" si="3311"/>
        <v>5.1029560688623548</v>
      </c>
      <c r="AM717" s="57">
        <f>AM663/AM$668*100</f>
        <v>16.23389113291017</v>
      </c>
      <c r="AN717" s="9">
        <f t="shared" si="3312"/>
        <v>-14.652844972220791</v>
      </c>
      <c r="AO717" s="57">
        <f>AO663/AO$668*100</f>
        <v>17.265711135611923</v>
      </c>
      <c r="AP717" s="9">
        <f t="shared" si="3313"/>
        <v>2.876730766477209</v>
      </c>
      <c r="AQ717" s="57">
        <f t="shared" si="3321"/>
        <v>18.174609978757744</v>
      </c>
      <c r="AR717" s="9">
        <f t="shared" si="3315"/>
        <v>-8.0434244269377047</v>
      </c>
      <c r="AS717" s="57">
        <f t="shared" si="3321"/>
        <v>17.953588766136303</v>
      </c>
      <c r="AT717" s="9">
        <f t="shared" si="3316"/>
        <v>5.375080348006307</v>
      </c>
      <c r="AU717" s="57">
        <f t="shared" si="3321"/>
        <v>17.471867862220904</v>
      </c>
      <c r="AV717" s="9">
        <f t="shared" si="3317"/>
        <v>7.6258779806712198</v>
      </c>
      <c r="AW717" s="57">
        <f t="shared" si="3321"/>
        <v>16.644961969152771</v>
      </c>
      <c r="AX717" s="9">
        <f t="shared" si="3318"/>
        <v>-3.5952713536299541</v>
      </c>
      <c r="AY717" s="279"/>
      <c r="AZ717" s="15"/>
      <c r="BA717" s="40"/>
      <c r="BB717" s="57">
        <f>BB663/BB$668*100</f>
        <v>22.571215192574424</v>
      </c>
      <c r="BC717" s="9" t="str">
        <f>IF(ISERROR(BB717/#REF!),"NA",IF(OR(BB717/#REF!&gt;2,BB717/#REF!&lt;0.5),"NM",BB717/#REF!*100-100))</f>
        <v>NA</v>
      </c>
      <c r="BD717" s="57">
        <f>BD663/BD$668*100</f>
        <v>20.381167997892156</v>
      </c>
      <c r="BE717" s="9">
        <f t="shared" si="3319"/>
        <v>-9.7028324615980779</v>
      </c>
      <c r="BF717" s="57">
        <f>BF663/BF$668*100</f>
        <v>17.59618635794325</v>
      </c>
      <c r="BG717" s="9">
        <f t="shared" si="3319"/>
        <v>-13.664484980629837</v>
      </c>
      <c r="BH717" s="57">
        <f>BH663/BH$668*100</f>
        <v>17.712700005904228</v>
      </c>
      <c r="BI717" s="9">
        <f t="shared" si="3319"/>
        <v>0.66215284147853026</v>
      </c>
      <c r="BJ717" s="57">
        <f>BJ663/BJ$668*100</f>
        <v>17.514508286715106</v>
      </c>
      <c r="BK717" s="9">
        <f t="shared" si="3319"/>
        <v>-1.1189243826353845</v>
      </c>
      <c r="BL717" s="57">
        <f>BL663/BL$668*100</f>
        <v>17.541471806625982</v>
      </c>
      <c r="BM717" s="9">
        <f t="shared" si="3319"/>
        <v>0.15394962547323132</v>
      </c>
      <c r="BN717" s="57">
        <f>BN663/BN$668*100</f>
        <v>17.716150704810833</v>
      </c>
      <c r="BO717" s="9">
        <f t="shared" si="3319"/>
        <v>0.99580525574181422</v>
      </c>
      <c r="BP717" s="57">
        <f>BP663/BP$668*100</f>
        <v>19.09137743909282</v>
      </c>
      <c r="BQ717" s="9">
        <f t="shared" si="3319"/>
        <v>7.7625594701480054</v>
      </c>
      <c r="BR717" s="57">
        <f>BR663/BR$668*100</f>
        <v>19.034176815145798</v>
      </c>
      <c r="BS717" s="9">
        <f t="shared" si="3319"/>
        <v>-0.29961496560166267</v>
      </c>
      <c r="BT717" s="57">
        <f>BT663/BT$668*100</f>
        <v>19.611212858391461</v>
      </c>
      <c r="BU717" s="9">
        <f t="shared" si="3320"/>
        <v>3.0315786642609339</v>
      </c>
      <c r="BV717" s="43">
        <f>IF(ISERROR(((BT717/BJ717)^0.2-1)*100),"NA",IF((((BT717/BJ717)^0.2-1)*100)&gt;100,"NM",IF((((BT717/BJ717)^0.2-1)*100)&lt;-50,"NM",((BT717/BJ717)^0.2-1)*100)))</f>
        <v>2.2872024568671767</v>
      </c>
      <c r="BW717" s="722"/>
      <c r="BX717" s="722"/>
      <c r="BY717"/>
      <c r="BZ717"/>
      <c r="CA717"/>
      <c r="CB717"/>
      <c r="CC717"/>
      <c r="CD717"/>
    </row>
    <row r="718" spans="1:82" s="103" customFormat="1" ht="12.75" customHeight="1" x14ac:dyDescent="0.2">
      <c r="A718" s="80"/>
      <c r="B718" s="80" t="s">
        <v>556</v>
      </c>
      <c r="C718" s="112">
        <f>C717+C716+C715</f>
        <v>72.003062005613671</v>
      </c>
      <c r="D718" s="754" t="str">
        <f>IF(ISERROR(C718/#REF!),"NA",IF(OR(C718/#REF!&gt;2,C718/#REF!&lt;0.5),"NM",C718/#REF!*100-100))</f>
        <v>NA</v>
      </c>
      <c r="E718" s="112">
        <f>E717+E716+E715</f>
        <v>73.74064165577883</v>
      </c>
      <c r="F718" s="754" t="str">
        <f>IF(ISERROR(E718/#REF!),"NA",IF(OR(E718/#REF!&gt;2,E718/#REF!&lt;0.5),"NM",E718/#REF!*100-100))</f>
        <v>NA</v>
      </c>
      <c r="G718" s="112">
        <f>G717+G716+G715</f>
        <v>68.334255218896587</v>
      </c>
      <c r="H718" s="9" t="str">
        <f>IF(ISERROR(G718/#REF!),"NA",IF(OR(G718/#REF!&gt;2,G718/#REF!&lt;0.5),"NM",G718/#REF!*100-100))</f>
        <v>NA</v>
      </c>
      <c r="I718" s="112">
        <f>I717+I716+I715</f>
        <v>73.888520238885221</v>
      </c>
      <c r="J718" s="9" t="str">
        <f>IF(ISERROR(I718/#REF!),"NA",IF(OR(I718/#REF!&gt;2,I718/#REF!&lt;0.5),"NM",I718/#REF!*100-100))</f>
        <v>NA</v>
      </c>
      <c r="K718" s="112">
        <f>K717+K716+K715</f>
        <v>75.951129961385021</v>
      </c>
      <c r="L718" s="9">
        <f t="shared" si="3308"/>
        <v>5.4831945278431817</v>
      </c>
      <c r="M718" s="112">
        <f>M717+M716+M715</f>
        <v>75.094128611369996</v>
      </c>
      <c r="N718" s="9">
        <f t="shared" si="3215"/>
        <v>1.8354694578184478</v>
      </c>
      <c r="O718" s="112">
        <f>O717+O716+O715</f>
        <v>78.922174181593562</v>
      </c>
      <c r="P718" s="9">
        <f t="shared" si="3216"/>
        <v>15.494306521349316</v>
      </c>
      <c r="Q718" s="112">
        <f>Q717+Q716+Q715</f>
        <v>78.923224568138153</v>
      </c>
      <c r="R718" s="9">
        <f t="shared" si="3217"/>
        <v>6.8139195547230997</v>
      </c>
      <c r="S718" s="112">
        <f>S717+S716+S715</f>
        <v>76.028824282737929</v>
      </c>
      <c r="T718" s="9">
        <f t="shared" si="3218"/>
        <v>0.10229514872577283</v>
      </c>
      <c r="U718" s="112">
        <f>U717+U716+U715</f>
        <v>71.290865597590141</v>
      </c>
      <c r="V718" s="9">
        <f t="shared" si="3219"/>
        <v>-5.0646609583322402</v>
      </c>
      <c r="W718" s="112">
        <f>W717+W716+W715</f>
        <v>73.813085583812281</v>
      </c>
      <c r="X718" s="9">
        <f t="shared" si="3220"/>
        <v>-6.4735781176348297</v>
      </c>
      <c r="Y718" s="112">
        <f>Y717+Y716+Y715</f>
        <v>75.792730085073472</v>
      </c>
      <c r="Z718" s="9">
        <f t="shared" si="3221"/>
        <v>-3.9665060572404514</v>
      </c>
      <c r="AA718" s="112">
        <f>AA717+AA716+AA715</f>
        <v>73.449340443446559</v>
      </c>
      <c r="AB718" s="9">
        <f t="shared" si="3221"/>
        <v>-3.392770917643972</v>
      </c>
      <c r="AC718" s="112">
        <f>AC717+AC716+AC715</f>
        <v>72.333024118738408</v>
      </c>
      <c r="AD718" s="9">
        <f t="shared" si="3221"/>
        <v>1.4618401844506366</v>
      </c>
      <c r="AE718" s="112">
        <f>AE717+AE716+AE715</f>
        <v>76.732230666070592</v>
      </c>
      <c r="AF718" s="9">
        <f t="shared" si="3222"/>
        <v>3.954779913574697</v>
      </c>
      <c r="AG718" s="112">
        <f>AG717+AG716+AG715</f>
        <v>72.95117698343509</v>
      </c>
      <c r="AH718" s="9">
        <f t="shared" si="3309"/>
        <v>-3.749110367773909</v>
      </c>
      <c r="AI718" s="112">
        <f>AI717+AI716+AI715</f>
        <v>72.832369942196522</v>
      </c>
      <c r="AJ718" s="9">
        <f t="shared" si="3310"/>
        <v>-0.83999461060523117</v>
      </c>
      <c r="AK718" s="112">
        <f>AK717+AK716+AK715</f>
        <v>70.74565883554645</v>
      </c>
      <c r="AL718" s="9">
        <f t="shared" si="3311"/>
        <v>-2.1945235976671142</v>
      </c>
      <c r="AM718" s="112">
        <f>AM717+AM716+AM715</f>
        <v>69.936526255049031</v>
      </c>
      <c r="AN718" s="9">
        <f t="shared" si="3312"/>
        <v>-8.8563884459395581</v>
      </c>
      <c r="AO718" s="112">
        <f>AO717+AO716+AO715</f>
        <v>72.546857772877672</v>
      </c>
      <c r="AP718" s="9">
        <f t="shared" si="3313"/>
        <v>-0.55423260771958383</v>
      </c>
      <c r="AQ718" s="112">
        <f t="shared" ref="AQ718:AW718" si="3322">AQ717+AQ716+AQ715</f>
        <v>73.254774810156292</v>
      </c>
      <c r="AR718" s="9">
        <f t="shared" si="3315"/>
        <v>0.57996858854794198</v>
      </c>
      <c r="AS718" s="112">
        <f t="shared" si="3322"/>
        <v>72.191381648604462</v>
      </c>
      <c r="AT718" s="9">
        <f t="shared" si="3316"/>
        <v>2.0435498613684615</v>
      </c>
      <c r="AU718" s="112">
        <f t="shared" si="3322"/>
        <v>70.440329594137012</v>
      </c>
      <c r="AV718" s="9">
        <f t="shared" si="3317"/>
        <v>0.72037226620417982</v>
      </c>
      <c r="AW718" s="112">
        <f t="shared" si="3322"/>
        <v>70.233706274067131</v>
      </c>
      <c r="AX718" s="9">
        <f t="shared" si="3318"/>
        <v>-3.1884930234364077</v>
      </c>
      <c r="AY718" s="279"/>
      <c r="AZ718" s="79"/>
      <c r="BA718" s="729"/>
      <c r="BB718" s="112">
        <f>BB717+BB716+BB715</f>
        <v>72.010028806145328</v>
      </c>
      <c r="BC718" s="613"/>
      <c r="BD718" s="112">
        <f>BD717+BD716+BD715</f>
        <v>77.233360494562078</v>
      </c>
      <c r="BE718" s="613"/>
      <c r="BF718" s="112">
        <f>BF717+BF716+BF715</f>
        <v>74.162670311406146</v>
      </c>
      <c r="BG718" s="613"/>
      <c r="BH718" s="112">
        <f>BH717+BH716+BH715</f>
        <v>73.897384424632421</v>
      </c>
      <c r="BI718" s="613"/>
      <c r="BJ718" s="112">
        <f>BJ717+BJ716+BJ715</f>
        <v>71.443509175511025</v>
      </c>
      <c r="BK718" s="613"/>
      <c r="BL718" s="112">
        <f>BL717+BL716+BL715</f>
        <v>71.489540595905083</v>
      </c>
      <c r="BM718" s="613"/>
      <c r="BN718" s="112">
        <f>BN717+BN716+BN715</f>
        <v>71.260486505752723</v>
      </c>
      <c r="BO718" s="613"/>
      <c r="BP718" s="112">
        <f>BP717+BP716+BP715</f>
        <v>71.596272552847267</v>
      </c>
      <c r="BQ718" s="613"/>
      <c r="BR718" s="112">
        <f>BR717+BR716+BR715</f>
        <v>71.736254235828653</v>
      </c>
      <c r="BS718" s="613"/>
      <c r="BT718" s="112">
        <f>BT717+BT716+BT715</f>
        <v>71.89210912138293</v>
      </c>
      <c r="BU718" s="613"/>
      <c r="BV718" s="162"/>
      <c r="BW718" s="176"/>
      <c r="BX718" s="176"/>
      <c r="BY718"/>
      <c r="BZ718"/>
      <c r="CA718"/>
      <c r="CB718"/>
      <c r="CC718"/>
      <c r="CD718"/>
    </row>
    <row r="719" spans="1:82" s="7" customFormat="1" ht="12.75" customHeight="1" x14ac:dyDescent="0.2">
      <c r="A719" s="42"/>
      <c r="B719" s="5" t="s">
        <v>586</v>
      </c>
      <c r="C719" s="57">
        <f>C661/C$668*100</f>
        <v>25.4427149783108</v>
      </c>
      <c r="D719" s="754" t="str">
        <f>IF(ISERROR(C719/#REF!),"NA",IF(OR(C719/#REF!&gt;2,C719/#REF!&lt;0.5),"NM",C719/#REF!*100-100))</f>
        <v>NA</v>
      </c>
      <c r="E719" s="57">
        <f>E661/E$668*100</f>
        <v>20.678570687903118</v>
      </c>
      <c r="F719" s="754" t="str">
        <f>IF(ISERROR(E719/#REF!),"NA",IF(OR(E719/#REF!&gt;2,E719/#REF!&lt;0.5),"NM",E719/#REF!*100-100))</f>
        <v>NA</v>
      </c>
      <c r="G719" s="57">
        <f>G661/G$668*100</f>
        <v>21.35906418372155</v>
      </c>
      <c r="H719" s="9" t="str">
        <f>IF(ISERROR(G719/#REF!),"NA",IF(OR(G719/#REF!&gt;2,G719/#REF!&lt;0.5),"NM",G719/#REF!*100-100))</f>
        <v>NA</v>
      </c>
      <c r="I719" s="57">
        <f>I661/I$668*100</f>
        <v>17.227448378156833</v>
      </c>
      <c r="J719" s="9" t="str">
        <f>IF(ISERROR(I719/#REF!),"NA",IF(OR(I719/#REF!&gt;2,I719/#REF!&lt;0.5),"NM",I719/#REF!*100-100))</f>
        <v>NA</v>
      </c>
      <c r="K719" s="57">
        <f>K661/K$668*100</f>
        <v>18.562596273554067</v>
      </c>
      <c r="L719" s="9">
        <f t="shared" si="3308"/>
        <v>-27.041605860938347</v>
      </c>
      <c r="M719" s="57">
        <f>M661/M$668*100</f>
        <v>16.812674743709231</v>
      </c>
      <c r="N719" s="9">
        <f t="shared" si="3215"/>
        <v>-18.695179674364155</v>
      </c>
      <c r="O719" s="57">
        <f>O661/O$668*100</f>
        <v>15.582535515750493</v>
      </c>
      <c r="P719" s="9">
        <f t="shared" si="3216"/>
        <v>-27.044858418345598</v>
      </c>
      <c r="Q719" s="57">
        <f>Q661/Q$668*100</f>
        <v>14.8963531669866</v>
      </c>
      <c r="R719" s="9">
        <f t="shared" si="3217"/>
        <v>-13.531285423126818</v>
      </c>
      <c r="S719" s="57">
        <f>S661/S$668*100</f>
        <v>14.035590725767896</v>
      </c>
      <c r="T719" s="9">
        <f t="shared" si="3218"/>
        <v>-24.387782188829632</v>
      </c>
      <c r="U719" s="57">
        <f>U661/U$668*100</f>
        <v>16.930982546292196</v>
      </c>
      <c r="V719" s="9">
        <f t="shared" si="3219"/>
        <v>0.70368221824568877</v>
      </c>
      <c r="W719" s="57">
        <f>W661/W$668*100</f>
        <v>15.563735138965457</v>
      </c>
      <c r="X719" s="9">
        <f t="shared" si="3220"/>
        <v>-0.12065030601748106</v>
      </c>
      <c r="Y719" s="57">
        <f>Y661/Y$668*100</f>
        <v>16.009280742459399</v>
      </c>
      <c r="Z719" s="9">
        <f t="shared" si="3221"/>
        <v>7.4711411779580885</v>
      </c>
      <c r="AA719" s="57">
        <f>AA661/AA$668*100</f>
        <v>18.916643278136398</v>
      </c>
      <c r="AB719" s="9">
        <f t="shared" si="3221"/>
        <v>34.776253082154852</v>
      </c>
      <c r="AC719" s="57">
        <f>AC661/AC$668*100</f>
        <v>16.280148423005553</v>
      </c>
      <c r="AD719" s="9">
        <f t="shared" si="3221"/>
        <v>-3.8440422551210673</v>
      </c>
      <c r="AE719" s="57">
        <f>AE661/AE$668*100</f>
        <v>14.841305319624492</v>
      </c>
      <c r="AF719" s="9">
        <f t="shared" si="3222"/>
        <v>-4.6417509221953139</v>
      </c>
      <c r="AG719" s="57">
        <f>AG661/AG$668*100</f>
        <v>16.455972101133344</v>
      </c>
      <c r="AH719" s="9">
        <f t="shared" si="3309"/>
        <v>2.7902025447604331</v>
      </c>
      <c r="AI719" s="57">
        <f>AI661/AI$668*100</f>
        <v>21.009337483325947</v>
      </c>
      <c r="AJ719" s="9">
        <f t="shared" si="3310"/>
        <v>11.062714322092532</v>
      </c>
      <c r="AK719" s="57">
        <f>AK661/AK$668*100</f>
        <v>18.243105209397378</v>
      </c>
      <c r="AL719" s="9">
        <f t="shared" si="3311"/>
        <v>12.057364192195934</v>
      </c>
      <c r="AM719" s="57">
        <f>AM661/AM$668*100</f>
        <v>15.983843046739782</v>
      </c>
      <c r="AN719" s="9">
        <f t="shared" si="3312"/>
        <v>7.698364143243694</v>
      </c>
      <c r="AO719" s="57">
        <f>AO661/AO$668*100</f>
        <v>16.560088202866531</v>
      </c>
      <c r="AP719" s="9">
        <f t="shared" si="3313"/>
        <v>0.63269493344617445</v>
      </c>
      <c r="AQ719" s="57">
        <f t="shared" ref="AQ719:AW719" si="3323">AQ661/AQ$668*100</f>
        <v>18.196750376290698</v>
      </c>
      <c r="AR719" s="9">
        <f t="shared" si="3315"/>
        <v>-13.38731937295718</v>
      </c>
      <c r="AS719" s="57">
        <f t="shared" si="3323"/>
        <v>17.04430065527055</v>
      </c>
      <c r="AT719" s="9">
        <f t="shared" si="3316"/>
        <v>-6.5712746835955329</v>
      </c>
      <c r="AU719" s="57">
        <f t="shared" si="3323"/>
        <v>16.629925813469637</v>
      </c>
      <c r="AV719" s="9">
        <f t="shared" si="3317"/>
        <v>4.0420990423929197</v>
      </c>
      <c r="AW719" s="57">
        <f t="shared" si="3323"/>
        <v>15.865556070903223</v>
      </c>
      <c r="AX719" s="9">
        <f t="shared" si="3318"/>
        <v>-4.1940122749049493</v>
      </c>
      <c r="AY719" s="279"/>
      <c r="AZ719" s="15"/>
      <c r="BA719" s="40"/>
      <c r="BB719" s="57">
        <f>BB661/BB$668*100</f>
        <v>20.908460471567242</v>
      </c>
      <c r="BC719" s="9" t="str">
        <f>IF(ISERROR(BB719/#REF!),"NA",IF(OR(BB719/#REF!&gt;2,BB719/#REF!&lt;0.5),"NM",BB719/#REF!*100-100))</f>
        <v>NA</v>
      </c>
      <c r="BD719" s="57">
        <f>BD661/BD$668*100</f>
        <v>16.419206729479033</v>
      </c>
      <c r="BE719" s="9">
        <f t="shared" si="3319"/>
        <v>-21.47099136348659</v>
      </c>
      <c r="BF719" s="57">
        <f>BF661/BF$668*100</f>
        <v>15.657457984693963</v>
      </c>
      <c r="BG719" s="9">
        <f t="shared" si="3319"/>
        <v>-4.6393760510818538</v>
      </c>
      <c r="BH719" s="57">
        <f>BH661/BH$668*100</f>
        <v>16.50233217216746</v>
      </c>
      <c r="BI719" s="9">
        <f t="shared" si="3319"/>
        <v>5.3959856593542241</v>
      </c>
      <c r="BJ719" s="57">
        <f>BJ661/BJ$668*100</f>
        <v>17.880483086736021</v>
      </c>
      <c r="BK719" s="9">
        <f t="shared" si="3319"/>
        <v>8.3512493882102632</v>
      </c>
      <c r="BL719" s="57">
        <f>BL661/BL$668*100</f>
        <v>16.906827381377447</v>
      </c>
      <c r="BM719" s="9">
        <f t="shared" si="3319"/>
        <v>-5.4453545837407802</v>
      </c>
      <c r="BN719" s="57">
        <f>BN661/BN$668*100</f>
        <v>16.646103072966394</v>
      </c>
      <c r="BO719" s="9">
        <f t="shared" si="3319"/>
        <v>-1.5421243887438862</v>
      </c>
      <c r="BP719" s="57">
        <f>BP661/BP$668*100</f>
        <v>16.744862589068468</v>
      </c>
      <c r="BQ719" s="9">
        <f t="shared" si="3319"/>
        <v>0.59328910597977824</v>
      </c>
      <c r="BR719" s="57">
        <f>BR661/BR$668*100</f>
        <v>16.901896177802762</v>
      </c>
      <c r="BS719" s="9">
        <f t="shared" si="3319"/>
        <v>0.93780159675247887</v>
      </c>
      <c r="BT719" s="57">
        <f>BT661/BT$668*100</f>
        <v>17.046234839353033</v>
      </c>
      <c r="BU719" s="9">
        <f t="shared" ref="BU719:BU725" si="3324">IF(ISERROR(BT719/BR719),"NA",IF(OR(BT719/BR719&gt;2,BT719/BR719&lt;0.5),"NM",BT719/BR719*100-100))</f>
        <v>0.8539791040713709</v>
      </c>
      <c r="BV719" s="43">
        <f t="shared" ref="BV719:BV725" si="3325">IF(ISERROR(((BT719/BJ719)^0.2-1)*100),"NA",IF((((BT719/BJ719)^0.2-1)*100)&gt;100,"NM",IF((((BT719/BJ719)^0.2-1)*100)&lt;-50,"NM",((BT719/BJ719)^0.2-1)*100)))</f>
        <v>-0.9510573457798599</v>
      </c>
      <c r="BW719" s="722"/>
      <c r="BX719" s="722"/>
      <c r="BY719"/>
      <c r="BZ719"/>
      <c r="CA719"/>
      <c r="CB719"/>
      <c r="CC719"/>
      <c r="CD719"/>
    </row>
    <row r="720" spans="1:82" s="103" customFormat="1" ht="12.75" customHeight="1" x14ac:dyDescent="0.2">
      <c r="A720" s="80"/>
      <c r="B720" s="80" t="s">
        <v>557</v>
      </c>
      <c r="C720" s="112">
        <f>C719</f>
        <v>25.4427149783108</v>
      </c>
      <c r="D720" s="754" t="str">
        <f>IF(ISERROR(C720/#REF!),"NA",IF(OR(C720/#REF!&gt;2,C720/#REF!&lt;0.5),"NM",C720/#REF!*100-100))</f>
        <v>NA</v>
      </c>
      <c r="E720" s="112">
        <f>E719</f>
        <v>20.678570687903118</v>
      </c>
      <c r="F720" s="754" t="str">
        <f>IF(ISERROR(E720/#REF!),"NA",IF(OR(E720/#REF!&gt;2,E720/#REF!&lt;0.5),"NM",E720/#REF!*100-100))</f>
        <v>NA</v>
      </c>
      <c r="G720" s="112">
        <f>G719</f>
        <v>21.35906418372155</v>
      </c>
      <c r="H720" s="9" t="str">
        <f>IF(ISERROR(G720/#REF!),"NA",IF(OR(G720/#REF!&gt;2,G720/#REF!&lt;0.5),"NM",G720/#REF!*100-100))</f>
        <v>NA</v>
      </c>
      <c r="I720" s="112">
        <f>I719</f>
        <v>17.227448378156833</v>
      </c>
      <c r="J720" s="9" t="str">
        <f>IF(ISERROR(I720/#REF!),"NA",IF(OR(I720/#REF!&gt;2,I720/#REF!&lt;0.5),"NM",I720/#REF!*100-100))</f>
        <v>NA</v>
      </c>
      <c r="K720" s="112">
        <f>K719</f>
        <v>18.562596273554067</v>
      </c>
      <c r="L720" s="9">
        <f t="shared" si="3308"/>
        <v>-27.041605860938347</v>
      </c>
      <c r="M720" s="112">
        <f>M719</f>
        <v>16.812674743709231</v>
      </c>
      <c r="N720" s="613">
        <f t="shared" si="3215"/>
        <v>-18.695179674364155</v>
      </c>
      <c r="O720" s="112">
        <f>O719</f>
        <v>15.582535515750493</v>
      </c>
      <c r="P720" s="613">
        <f t="shared" si="3215"/>
        <v>-27.044858418345598</v>
      </c>
      <c r="Q720" s="112">
        <f>Q719</f>
        <v>14.8963531669866</v>
      </c>
      <c r="R720" s="9">
        <f t="shared" si="3215"/>
        <v>-13.531285423126818</v>
      </c>
      <c r="S720" s="112">
        <f>S719</f>
        <v>14.035590725767896</v>
      </c>
      <c r="T720" s="9">
        <f t="shared" si="3215"/>
        <v>-24.387782188829632</v>
      </c>
      <c r="U720" s="112">
        <f>U719</f>
        <v>16.930982546292196</v>
      </c>
      <c r="V720" s="9">
        <f t="shared" si="3215"/>
        <v>0.70368221824568877</v>
      </c>
      <c r="W720" s="112">
        <f>W719</f>
        <v>15.563735138965457</v>
      </c>
      <c r="X720" s="9">
        <f t="shared" si="3215"/>
        <v>-0.12065030601748106</v>
      </c>
      <c r="Y720" s="112">
        <f>Y719</f>
        <v>16.009280742459399</v>
      </c>
      <c r="Z720" s="9">
        <f t="shared" si="3215"/>
        <v>7.4711411779580885</v>
      </c>
      <c r="AA720" s="112">
        <f>AA719</f>
        <v>18.916643278136398</v>
      </c>
      <c r="AB720" s="9">
        <f t="shared" si="3215"/>
        <v>34.776253082154852</v>
      </c>
      <c r="AC720" s="112">
        <f>AC719</f>
        <v>16.280148423005553</v>
      </c>
      <c r="AD720" s="9">
        <f t="shared" ref="AD720:AF724" si="3326">IF(ISERROR(AC720/U720),"NA",IF(OR(AC720/U720&gt;2,AC720/U720&lt;0.5),"NM",AC720/U720*100-100))</f>
        <v>-3.8440422551210673</v>
      </c>
      <c r="AE720" s="112">
        <f>AE719</f>
        <v>14.841305319624492</v>
      </c>
      <c r="AF720" s="9">
        <f t="shared" si="3326"/>
        <v>-4.6417509221953139</v>
      </c>
      <c r="AG720" s="112">
        <f>AG719</f>
        <v>16.455972101133344</v>
      </c>
      <c r="AH720" s="9">
        <f t="shared" si="3309"/>
        <v>2.7902025447604331</v>
      </c>
      <c r="AI720" s="112">
        <f>AI719</f>
        <v>21.009337483325947</v>
      </c>
      <c r="AJ720" s="9">
        <f t="shared" si="3310"/>
        <v>11.062714322092532</v>
      </c>
      <c r="AK720" s="112">
        <f>AK719</f>
        <v>18.243105209397378</v>
      </c>
      <c r="AL720" s="9">
        <f t="shared" si="3311"/>
        <v>12.057364192195934</v>
      </c>
      <c r="AM720" s="112">
        <f>AM719</f>
        <v>15.983843046739782</v>
      </c>
      <c r="AN720" s="9">
        <f t="shared" si="3312"/>
        <v>7.698364143243694</v>
      </c>
      <c r="AO720" s="112">
        <f>AO719</f>
        <v>16.560088202866531</v>
      </c>
      <c r="AP720" s="9">
        <f t="shared" si="3313"/>
        <v>0.63269493344617445</v>
      </c>
      <c r="AQ720" s="112">
        <f t="shared" ref="AQ720:AW720" si="3327">AQ719</f>
        <v>18.196750376290698</v>
      </c>
      <c r="AR720" s="9">
        <f t="shared" si="3315"/>
        <v>-13.38731937295718</v>
      </c>
      <c r="AS720" s="112">
        <f t="shared" si="3327"/>
        <v>17.04430065527055</v>
      </c>
      <c r="AT720" s="9">
        <f t="shared" si="3316"/>
        <v>-6.5712746835955329</v>
      </c>
      <c r="AU720" s="112">
        <f t="shared" si="3327"/>
        <v>16.629925813469637</v>
      </c>
      <c r="AV720" s="9">
        <f t="shared" si="3317"/>
        <v>4.0420990423929197</v>
      </c>
      <c r="AW720" s="112">
        <f t="shared" si="3327"/>
        <v>15.865556070903223</v>
      </c>
      <c r="AX720" s="9">
        <f t="shared" si="3318"/>
        <v>-4.1940122749049493</v>
      </c>
      <c r="AY720" s="279"/>
      <c r="AZ720" s="79"/>
      <c r="BA720" s="729"/>
      <c r="BB720" s="112">
        <f>BB719</f>
        <v>20.908460471567242</v>
      </c>
      <c r="BC720" s="613" t="str">
        <f>IF(ISERROR(BB720/#REF!),"NA",IF(OR(BB720/#REF!&gt;2,BB720/#REF!&lt;0.5),"NM",BB720/#REF!*100-100))</f>
        <v>NA</v>
      </c>
      <c r="BD720" s="112">
        <f>BD719</f>
        <v>16.419206729479033</v>
      </c>
      <c r="BE720" s="613">
        <f t="shared" si="3319"/>
        <v>-21.47099136348659</v>
      </c>
      <c r="BF720" s="112">
        <f>BF719</f>
        <v>15.657457984693963</v>
      </c>
      <c r="BG720" s="613">
        <f t="shared" si="3319"/>
        <v>-4.6393760510818538</v>
      </c>
      <c r="BH720" s="112">
        <f>BH719</f>
        <v>16.50233217216746</v>
      </c>
      <c r="BI720" s="613">
        <f t="shared" si="3319"/>
        <v>5.3959856593542241</v>
      </c>
      <c r="BJ720" s="112">
        <f>BJ719</f>
        <v>17.880483086736021</v>
      </c>
      <c r="BK720" s="613">
        <f t="shared" si="3319"/>
        <v>8.3512493882102632</v>
      </c>
      <c r="BL720" s="112">
        <f>BL719</f>
        <v>16.906827381377447</v>
      </c>
      <c r="BM720" s="613">
        <f t="shared" si="3319"/>
        <v>-5.4453545837407802</v>
      </c>
      <c r="BN720" s="112">
        <f>BN719</f>
        <v>16.646103072966394</v>
      </c>
      <c r="BO720" s="613">
        <f t="shared" si="3319"/>
        <v>-1.5421243887438862</v>
      </c>
      <c r="BP720" s="112">
        <f>BP719</f>
        <v>16.744862589068468</v>
      </c>
      <c r="BQ720" s="9">
        <f t="shared" si="3319"/>
        <v>0.59328910597977824</v>
      </c>
      <c r="BR720" s="112">
        <f>BR719</f>
        <v>16.901896177802762</v>
      </c>
      <c r="BS720" s="9">
        <f t="shared" si="3319"/>
        <v>0.93780159675247887</v>
      </c>
      <c r="BT720" s="112">
        <f>BT719</f>
        <v>17.046234839353033</v>
      </c>
      <c r="BU720" s="9">
        <f t="shared" si="3324"/>
        <v>0.8539791040713709</v>
      </c>
      <c r="BV720" s="43">
        <f t="shared" si="3325"/>
        <v>-0.9510573457798599</v>
      </c>
      <c r="BW720" s="176"/>
      <c r="BX720" s="176"/>
      <c r="BY720"/>
      <c r="BZ720"/>
      <c r="CA720"/>
      <c r="CB720"/>
      <c r="CC720"/>
      <c r="CD720"/>
    </row>
    <row r="721" spans="1:82" s="7" customFormat="1" ht="12.75" customHeight="1" x14ac:dyDescent="0.2">
      <c r="A721" s="42"/>
      <c r="B721" s="5" t="s">
        <v>643</v>
      </c>
      <c r="C721" s="57">
        <f>C665/C$668*100</f>
        <v>6.6011737688185859</v>
      </c>
      <c r="D721" s="754" t="str">
        <f>IF(ISERROR(C721/#REF!),"NA",IF(OR(C721/#REF!&gt;2,C721/#REF!&lt;0.5),"NM",C721/#REF!*100-100))</f>
        <v>NA</v>
      </c>
      <c r="E721" s="57">
        <f>E665/E$668*100</f>
        <v>8.1420187063190816</v>
      </c>
      <c r="F721" s="754" t="str">
        <f>IF(ISERROR(E721/#REF!),"NA",IF(OR(E721/#REF!&gt;2,E721/#REF!&lt;0.5),"NM",E721/#REF!*100-100))</f>
        <v>NA</v>
      </c>
      <c r="G721" s="57">
        <f>G665/G$668*100</f>
        <v>8.3891586257759325</v>
      </c>
      <c r="H721" s="9" t="str">
        <f>IF(ISERROR(G721/#REF!),"NA",IF(OR(G721/#REF!&gt;2,G721/#REF!&lt;0.5),"NM",G721/#REF!*100-100))</f>
        <v>NA</v>
      </c>
      <c r="I721" s="57">
        <f>I665/I$668*100</f>
        <v>10.804481049221279</v>
      </c>
      <c r="J721" s="9" t="str">
        <f>IF(ISERROR(I721/#REF!),"NA",IF(OR(I721/#REF!&gt;2,I721/#REF!&lt;0.5),"NM",I721/#REF!*100-100))</f>
        <v>NA</v>
      </c>
      <c r="K721" s="57">
        <f>K665/K$668*100</f>
        <v>5.9800384039163568</v>
      </c>
      <c r="L721" s="9">
        <f t="shared" si="3308"/>
        <v>-9.4094684772007469</v>
      </c>
      <c r="M721" s="57">
        <f>M665/M$668*100</f>
        <v>6.68779123951537</v>
      </c>
      <c r="N721" s="9">
        <f t="shared" ref="N721:AB724" si="3328">IF(ISERROR(M721/E721),"NA",IF(OR(M721/E721&gt;2,M721/E721&lt;0.5),"NM",M721/E721*100-100))</f>
        <v>-17.860772853236938</v>
      </c>
      <c r="O721" s="57">
        <f>O665/O$668*100</f>
        <v>4.1402872143298177</v>
      </c>
      <c r="P721" s="9" t="str">
        <f t="shared" si="3328"/>
        <v>NM</v>
      </c>
      <c r="Q721" s="57">
        <f>Q665/Q$668*100</f>
        <v>9.7312859884836964</v>
      </c>
      <c r="R721" s="9">
        <f t="shared" si="3328"/>
        <v>-9.9328700365014981</v>
      </c>
      <c r="S721" s="57">
        <f>S665/S$668*100</f>
        <v>8.7218303801823573</v>
      </c>
      <c r="T721" s="9">
        <f t="shared" si="3328"/>
        <v>45.849069706147503</v>
      </c>
      <c r="U721" s="57">
        <f>U665/U$668*100</f>
        <v>8.4539735979445361</v>
      </c>
      <c r="V721" s="9">
        <f t="shared" si="3328"/>
        <v>26.40905338063682</v>
      </c>
      <c r="W721" s="57">
        <f>W665/W$668*100</f>
        <v>10.816077474214628</v>
      </c>
      <c r="X721" s="9" t="str">
        <f t="shared" si="3328"/>
        <v>NM</v>
      </c>
      <c r="Y721" s="57">
        <f>Y665/Y$668*100</f>
        <v>7.6823923691673137</v>
      </c>
      <c r="Z721" s="9">
        <f t="shared" si="3328"/>
        <v>-21.054705634395148</v>
      </c>
      <c r="AA721" s="57">
        <f>AA665/AA$668*100</f>
        <v>11.759753017120399</v>
      </c>
      <c r="AB721" s="9">
        <f t="shared" si="3328"/>
        <v>34.831251062171248</v>
      </c>
      <c r="AC721" s="57">
        <f>AC665/AC$668*100</f>
        <v>8.6038961038960977</v>
      </c>
      <c r="AD721" s="9">
        <f t="shared" si="3326"/>
        <v>1.7733969028246577</v>
      </c>
      <c r="AE721" s="57">
        <f>AE665/AE$668*100</f>
        <v>8.8287885561019337</v>
      </c>
      <c r="AF721" s="9">
        <f t="shared" si="3326"/>
        <v>-18.373471555195152</v>
      </c>
      <c r="AG721" s="57">
        <f>AG665/AG$668*100</f>
        <v>7.6285963382737592</v>
      </c>
      <c r="AH721" s="9">
        <f t="shared" si="3309"/>
        <v>-0.70025101958421487</v>
      </c>
      <c r="AI721" s="57">
        <f>AI665/AI$668*100</f>
        <v>9.0484659848821671</v>
      </c>
      <c r="AJ721" s="9">
        <f t="shared" si="3310"/>
        <v>-23.055646052183349</v>
      </c>
      <c r="AK721" s="57">
        <f>AK665/AK$668*100</f>
        <v>7.7221654749744646</v>
      </c>
      <c r="AL721" s="9">
        <f t="shared" si="3311"/>
        <v>-10.248039007843886</v>
      </c>
      <c r="AM721" s="57">
        <f>AM665/AM$668*100</f>
        <v>8.9247932294672001</v>
      </c>
      <c r="AN721" s="9">
        <f t="shared" si="3312"/>
        <v>1.0874048319903977</v>
      </c>
      <c r="AO721" s="57">
        <f>AO665/AO$668*100</f>
        <v>10.650496141124595</v>
      </c>
      <c r="AP721" s="9">
        <f t="shared" si="3313"/>
        <v>39.612789415656096</v>
      </c>
      <c r="AQ721" s="57">
        <f t="shared" ref="AQ721:AW722" si="3329">AQ665/AQ$668*100</f>
        <v>7.5407903690551432</v>
      </c>
      <c r="AR721" s="9">
        <f t="shared" si="3315"/>
        <v>-16.662223390638715</v>
      </c>
      <c r="AS721" s="57">
        <f t="shared" si="3329"/>
        <v>7.9204428931191924</v>
      </c>
      <c r="AT721" s="9">
        <f t="shared" si="3316"/>
        <v>2.5676401106308049</v>
      </c>
      <c r="AU721" s="57">
        <f t="shared" si="3329"/>
        <v>8.3595935780565522</v>
      </c>
      <c r="AV721" s="9">
        <f t="shared" si="3317"/>
        <v>-6.3329159217326776</v>
      </c>
      <c r="AW721" s="57">
        <f t="shared" si="3329"/>
        <v>8.583746762698091</v>
      </c>
      <c r="AX721" s="9">
        <f t="shared" si="3318"/>
        <v>-19.405193439263329</v>
      </c>
      <c r="AY721" s="279"/>
      <c r="AZ721" s="15"/>
      <c r="BA721" s="40"/>
      <c r="BB721" s="57">
        <f>BB665/BB$668*100</f>
        <v>8.611970553718141</v>
      </c>
      <c r="BC721" s="9" t="str">
        <f>IF(ISERROR(BB721/#REF!),"NA",IF(OR(BB721/#REF!&gt;2,BB721/#REF!&lt;0.5),"NM",BB721/#REF!*100-100))</f>
        <v>NA</v>
      </c>
      <c r="BD721" s="57">
        <f>BD665/BD$668*100</f>
        <v>6.6538504701169634</v>
      </c>
      <c r="BE721" s="9">
        <f t="shared" si="3319"/>
        <v>-22.737189721994312</v>
      </c>
      <c r="BF721" s="57">
        <f>BF665/BF$668*100</f>
        <v>8.9069115118842728</v>
      </c>
      <c r="BG721" s="9">
        <f t="shared" si="3319"/>
        <v>33.861011032424102</v>
      </c>
      <c r="BH721" s="57">
        <f>BH665/BH$668*100</f>
        <v>9.0629981696876456</v>
      </c>
      <c r="BI721" s="9">
        <f t="shared" si="3319"/>
        <v>1.7524217861052165</v>
      </c>
      <c r="BJ721" s="57">
        <f>BJ665/BJ$668*100</f>
        <v>9.0552621948031575</v>
      </c>
      <c r="BK721" s="9">
        <f t="shared" si="3319"/>
        <v>-8.5357789328071476E-2</v>
      </c>
      <c r="BL721" s="57">
        <f>BL665/BL$668*100</f>
        <v>8.1145284242628986</v>
      </c>
      <c r="BM721" s="9">
        <f t="shared" si="3319"/>
        <v>-10.38880763806209</v>
      </c>
      <c r="BN721" s="57">
        <f>BN665/BN$668*100</f>
        <v>8.1237006714612541</v>
      </c>
      <c r="BO721" s="9">
        <f t="shared" si="3319"/>
        <v>0.11303487669019319</v>
      </c>
      <c r="BP721" s="57">
        <f>BP665/BP$668*100</f>
        <v>7.7839151139086766</v>
      </c>
      <c r="BQ721" s="9">
        <f t="shared" si="3319"/>
        <v>-4.1826449704905002</v>
      </c>
      <c r="BR721" s="57">
        <f>BR665/BR$668*100</f>
        <v>7.5740912217115026</v>
      </c>
      <c r="BS721" s="9">
        <f t="shared" si="3319"/>
        <v>-2.6956086895430076</v>
      </c>
      <c r="BT721" s="57">
        <f>BT665/BT$668*100</f>
        <v>7.3718331713608993</v>
      </c>
      <c r="BU721" s="9">
        <f t="shared" si="3324"/>
        <v>-2.6703936410327458</v>
      </c>
      <c r="BV721" s="43">
        <f t="shared" si="3325"/>
        <v>-4.0301328303249617</v>
      </c>
      <c r="BW721" s="722"/>
      <c r="BX721" s="722"/>
      <c r="BY721"/>
      <c r="BZ721"/>
      <c r="CA721"/>
      <c r="CB721"/>
      <c r="CC721"/>
      <c r="CD721"/>
    </row>
    <row r="722" spans="1:82" s="7" customFormat="1" ht="12.75" customHeight="1" x14ac:dyDescent="0.2">
      <c r="A722" s="42"/>
      <c r="B722" s="5" t="s">
        <v>442</v>
      </c>
      <c r="C722" s="57">
        <f>C666/C$668*100</f>
        <v>10.581781066598611</v>
      </c>
      <c r="D722" s="754" t="str">
        <f>IF(ISERROR(C722/#REF!),"NA",IF(OR(C722/#REF!&gt;2,C722/#REF!&lt;0.5),"NM",C722/#REF!*100-100))</f>
        <v>NA</v>
      </c>
      <c r="E722" s="57">
        <f>E666/E$668*100</f>
        <v>10.649329102635889</v>
      </c>
      <c r="F722" s="754" t="str">
        <f>IF(ISERROR(E722/#REF!),"NA",IF(OR(E722/#REF!&gt;2,E722/#REF!&lt;0.5),"NM",E722/#REF!*100-100))</f>
        <v>NA</v>
      </c>
      <c r="G722" s="57">
        <f>G666/G$668*100</f>
        <v>12.969905557945635</v>
      </c>
      <c r="H722" s="9" t="str">
        <f>IF(ISERROR(G722/#REF!),"NA",IF(OR(G722/#REF!&gt;2,G722/#REF!&lt;0.5),"NM",G722/#REF!*100-100))</f>
        <v>NA</v>
      </c>
      <c r="I722" s="57">
        <f>I666/I$668*100</f>
        <v>10.58003825285919</v>
      </c>
      <c r="J722" s="9" t="str">
        <f>IF(ISERROR(I722/#REF!),"NA",IF(OR(I722/#REF!&gt;2,I722/#REF!&lt;0.5),"NM",I722/#REF!*100-100))</f>
        <v>NA</v>
      </c>
      <c r="K722" s="57">
        <f>K666/K$668*100</f>
        <v>11.219429849549515</v>
      </c>
      <c r="L722" s="9">
        <f t="shared" si="3308"/>
        <v>6.0259116961287589</v>
      </c>
      <c r="M722" s="57">
        <f>M666/M$668*100</f>
        <v>11.049394221808022</v>
      </c>
      <c r="N722" s="9">
        <f t="shared" si="3328"/>
        <v>3.7567166468083855</v>
      </c>
      <c r="O722" s="57">
        <f>O666/O$668*100</f>
        <v>12.195027794935147</v>
      </c>
      <c r="P722" s="9">
        <f t="shared" si="3328"/>
        <v>-5.9744287230818145</v>
      </c>
      <c r="Q722" s="57">
        <f>Q666/Q$668*100</f>
        <v>11.003838771593079</v>
      </c>
      <c r="R722" s="9">
        <f t="shared" si="3328"/>
        <v>4.0056614976733158</v>
      </c>
      <c r="S722" s="57">
        <f>S666/S$668*100</f>
        <v>10.48225242273068</v>
      </c>
      <c r="T722" s="9">
        <f t="shared" si="3328"/>
        <v>-6.5705426809049072</v>
      </c>
      <c r="U722" s="57">
        <f>U666/U$668*100</f>
        <v>11.840170107202985</v>
      </c>
      <c r="V722" s="9">
        <f t="shared" si="3328"/>
        <v>7.1567351976112832</v>
      </c>
      <c r="W722" s="57">
        <f>W666/W$668*100</f>
        <v>13.624911424297292</v>
      </c>
      <c r="X722" s="9">
        <f t="shared" si="3328"/>
        <v>11.725136288381449</v>
      </c>
      <c r="Y722" s="57">
        <f>Y666/Y$668*100</f>
        <v>14.642949213714877</v>
      </c>
      <c r="Z722" s="9">
        <f t="shared" si="3328"/>
        <v>33.071281010735362</v>
      </c>
      <c r="AA722" s="57">
        <f>AA666/AA$668*100</f>
        <v>10.833567218635972</v>
      </c>
      <c r="AB722" s="9">
        <f t="shared" si="3328"/>
        <v>3.3515200906960558</v>
      </c>
      <c r="AC722" s="57">
        <f>AC666/AC$668*100</f>
        <v>15.422077922077952</v>
      </c>
      <c r="AD722" s="9">
        <f t="shared" si="3326"/>
        <v>30.252165150025235</v>
      </c>
      <c r="AE722" s="57">
        <f>AE666/AE$668*100</f>
        <v>12.516763522574891</v>
      </c>
      <c r="AF722" s="9">
        <f t="shared" si="3326"/>
        <v>-8.1332484829680567</v>
      </c>
      <c r="AG722" s="57">
        <f>AG666/AG$668*100</f>
        <v>14.581517000871838</v>
      </c>
      <c r="AH722" s="9">
        <f t="shared" si="3309"/>
        <v>-0.41953442538405739</v>
      </c>
      <c r="AI722" s="57">
        <f>AI666/AI$668*100</f>
        <v>10.115606936416183</v>
      </c>
      <c r="AJ722" s="9">
        <f t="shared" si="3310"/>
        <v>-6.6271826050495122</v>
      </c>
      <c r="AK722" s="57">
        <f>AK666/AK$668*100</f>
        <v>12.99284984678242</v>
      </c>
      <c r="AL722" s="9">
        <f t="shared" si="3311"/>
        <v>-15.751626256653111</v>
      </c>
      <c r="AM722" s="57">
        <f>AM666/AM$668*100</f>
        <v>13.425658780534718</v>
      </c>
      <c r="AN722" s="9">
        <f t="shared" si="3312"/>
        <v>7.2614239002004553</v>
      </c>
      <c r="AO722" s="57">
        <f>AO666/AO$668*100</f>
        <v>13.803748621830197</v>
      </c>
      <c r="AP722" s="9">
        <f t="shared" si="3313"/>
        <v>-5.3339332183005297</v>
      </c>
      <c r="AQ722" s="57">
        <f t="shared" si="3329"/>
        <v>11.475318092316867</v>
      </c>
      <c r="AR722" s="9">
        <f t="shared" si="3315"/>
        <v>13.441715998332484</v>
      </c>
      <c r="AS722" s="57">
        <f t="shared" si="3329"/>
        <v>13.12205673368722</v>
      </c>
      <c r="AT722" s="9">
        <f t="shared" si="3316"/>
        <v>0.9944460871053451</v>
      </c>
      <c r="AU722" s="57">
        <f t="shared" si="3329"/>
        <v>14.481022232753368</v>
      </c>
      <c r="AV722" s="9">
        <f t="shared" si="3317"/>
        <v>7.8607945388033755</v>
      </c>
      <c r="AW722" s="57">
        <f t="shared" si="3329"/>
        <v>14.899323712022177</v>
      </c>
      <c r="AX722" s="9">
        <f t="shared" si="3318"/>
        <v>7.9367939840585393</v>
      </c>
      <c r="AY722" s="279"/>
      <c r="AZ722" s="15"/>
      <c r="BA722" s="40"/>
      <c r="BB722" s="57">
        <f>BB666/BB$668*100</f>
        <v>11.220527045769749</v>
      </c>
      <c r="BC722" s="9" t="str">
        <f>IF(ISERROR(BB722/#REF!),"NA",IF(OR(BB722/#REF!&gt;2,BB722/#REF!&lt;0.5),"NM",BB722/#REF!*100-100))</f>
        <v>NA</v>
      </c>
      <c r="BD722" s="57">
        <f>BD666/BD$668*100</f>
        <v>11.366730259723143</v>
      </c>
      <c r="BE722" s="9">
        <f t="shared" si="3319"/>
        <v>1.3029977411668483</v>
      </c>
      <c r="BF722" s="57">
        <f>BF666/BF$668*100</f>
        <v>12.606734830914901</v>
      </c>
      <c r="BG722" s="9">
        <f t="shared" si="3319"/>
        <v>10.909070091911914</v>
      </c>
      <c r="BH722" s="57">
        <f>BH666/BH$668*100</f>
        <v>13.461652004487219</v>
      </c>
      <c r="BI722" s="9">
        <f t="shared" si="3319"/>
        <v>6.7814321871500454</v>
      </c>
      <c r="BJ722" s="57">
        <f>BJ666/BJ$668*100</f>
        <v>12.626130600721464</v>
      </c>
      <c r="BK722" s="9">
        <f t="shared" si="3319"/>
        <v>-6.2066780770090304</v>
      </c>
      <c r="BL722" s="57">
        <f>BL666/BL$668*100</f>
        <v>13.537232345570004</v>
      </c>
      <c r="BM722" s="9">
        <f t="shared" si="3319"/>
        <v>7.2160012727611189</v>
      </c>
      <c r="BN722" s="57">
        <f>BN666/BN$668*100</f>
        <v>13.572390874891784</v>
      </c>
      <c r="BO722" s="9">
        <f t="shared" si="3319"/>
        <v>0.25971726291072628</v>
      </c>
      <c r="BP722" s="57">
        <f>BP666/BP$668*100</f>
        <v>13.37523484475421</v>
      </c>
      <c r="BQ722" s="9">
        <f t="shared" si="3319"/>
        <v>-1.4526256424157538</v>
      </c>
      <c r="BR722" s="57">
        <f>BR666/BR$668*100</f>
        <v>13.237682123911412</v>
      </c>
      <c r="BS722" s="9">
        <f t="shared" si="3319"/>
        <v>-1.0284135003188197</v>
      </c>
      <c r="BT722" s="57">
        <f>BT666/BT$668*100</f>
        <v>13.098434826225066</v>
      </c>
      <c r="BU722" s="9">
        <f t="shared" si="3324"/>
        <v>-1.0519009021588488</v>
      </c>
      <c r="BV722" s="43">
        <f t="shared" si="3325"/>
        <v>0.73718836213323424</v>
      </c>
      <c r="BW722" s="722"/>
      <c r="BX722" s="722"/>
      <c r="BY722"/>
      <c r="BZ722"/>
      <c r="CA722"/>
      <c r="CB722"/>
      <c r="CC722"/>
      <c r="CD722"/>
    </row>
    <row r="723" spans="1:82" s="103" customFormat="1" ht="12.75" customHeight="1" x14ac:dyDescent="0.2">
      <c r="A723" s="80"/>
      <c r="B723" s="80" t="s">
        <v>580</v>
      </c>
      <c r="C723" s="112">
        <f>C722+C721</f>
        <v>17.182954835417195</v>
      </c>
      <c r="D723" s="754" t="str">
        <f>IF(ISERROR(C723/#REF!),"NA",IF(OR(C723/#REF!&gt;2,C723/#REF!&lt;0.5),"NM",C723/#REF!*100-100))</f>
        <v>NA</v>
      </c>
      <c r="E723" s="112">
        <f>E722+E721</f>
        <v>18.791347808954971</v>
      </c>
      <c r="F723" s="754" t="str">
        <f>IF(ISERROR(E723/#REF!),"NA",IF(OR(E723/#REF!&gt;2,E723/#REF!&lt;0.5),"NM",E723/#REF!*100-100))</f>
        <v>NA</v>
      </c>
      <c r="G723" s="112">
        <f>G722+G721</f>
        <v>21.359064183721568</v>
      </c>
      <c r="H723" s="9" t="str">
        <f>IF(ISERROR(G723/#REF!),"NA",IF(OR(G723/#REF!&gt;2,G723/#REF!&lt;0.5),"NM",G723/#REF!*100-100))</f>
        <v>NA</v>
      </c>
      <c r="I723" s="112">
        <f>I722+I721</f>
        <v>21.38451930208047</v>
      </c>
      <c r="J723" s="9" t="str">
        <f>IF(ISERROR(I723/#REF!),"NA",IF(OR(I723/#REF!&gt;2,I723/#REF!&lt;0.5),"NM",I723/#REF!*100-100))</f>
        <v>NA</v>
      </c>
      <c r="K723" s="112">
        <f>K722+K721</f>
        <v>17.199468253465874</v>
      </c>
      <c r="L723" s="9">
        <f t="shared" si="3308"/>
        <v>9.6103482822655906E-2</v>
      </c>
      <c r="M723" s="112">
        <f>M722+M721</f>
        <v>17.737185461323392</v>
      </c>
      <c r="N723" s="613">
        <f t="shared" si="3328"/>
        <v>-5.609828301561322</v>
      </c>
      <c r="O723" s="112">
        <f>O722+O721</f>
        <v>16.335315009264963</v>
      </c>
      <c r="P723" s="613">
        <f t="shared" si="3328"/>
        <v>-23.520455443386723</v>
      </c>
      <c r="Q723" s="112">
        <f>Q722+Q721</f>
        <v>20.735124760076776</v>
      </c>
      <c r="R723" s="9">
        <f t="shared" si="3328"/>
        <v>-3.0367507112517416</v>
      </c>
      <c r="S723" s="112">
        <f>S722+S721</f>
        <v>19.204082802913035</v>
      </c>
      <c r="T723" s="9">
        <f t="shared" si="3328"/>
        <v>11.655096075677875</v>
      </c>
      <c r="U723" s="112">
        <f>U722+U721</f>
        <v>20.294143705147519</v>
      </c>
      <c r="V723" s="9">
        <f t="shared" si="3328"/>
        <v>14.415805987932373</v>
      </c>
      <c r="W723" s="112">
        <f>W722+W721</f>
        <v>24.440988898511918</v>
      </c>
      <c r="X723" s="613">
        <f t="shared" si="3328"/>
        <v>49.62055451425104</v>
      </c>
      <c r="Y723" s="112">
        <f>Y722+Y721</f>
        <v>22.325341582882189</v>
      </c>
      <c r="Z723" s="613">
        <f t="shared" si="3328"/>
        <v>7.6691934155477242</v>
      </c>
      <c r="AA723" s="112">
        <f>AA722+AA721</f>
        <v>22.593320235756373</v>
      </c>
      <c r="AB723" s="613">
        <f t="shared" si="3328"/>
        <v>17.648525407988913</v>
      </c>
      <c r="AC723" s="112">
        <f>AC722+AC721</f>
        <v>24.025974025974051</v>
      </c>
      <c r="AD723" s="613">
        <f t="shared" si="3326"/>
        <v>18.388705505618191</v>
      </c>
      <c r="AE723" s="112">
        <f>AE722+AE721</f>
        <v>21.345552078676825</v>
      </c>
      <c r="AF723" s="613">
        <f t="shared" si="3326"/>
        <v>-12.664940983724108</v>
      </c>
      <c r="AG723" s="112">
        <f>AG722+AG721</f>
        <v>22.210113339145597</v>
      </c>
      <c r="AH723" s="9">
        <f t="shared" si="3309"/>
        <v>-0.51613205248757765</v>
      </c>
      <c r="AI723" s="112">
        <f>AI722+AI721</f>
        <v>19.164072921298349</v>
      </c>
      <c r="AJ723" s="9">
        <f t="shared" si="3310"/>
        <v>-15.178146809209863</v>
      </c>
      <c r="AK723" s="112">
        <f>AK722+AK721</f>
        <v>20.715015321756884</v>
      </c>
      <c r="AL723" s="9">
        <f t="shared" si="3311"/>
        <v>-13.780747039174145</v>
      </c>
      <c r="AM723" s="112">
        <f>AM722+AM721</f>
        <v>22.350452010001916</v>
      </c>
      <c r="AN723" s="9">
        <f t="shared" si="3312"/>
        <v>4.7077720342915796</v>
      </c>
      <c r="AO723" s="112">
        <f>AO722+AO721</f>
        <v>24.454244762954794</v>
      </c>
      <c r="AP723" s="9">
        <f t="shared" si="3313"/>
        <v>10.104097127023152</v>
      </c>
      <c r="AQ723" s="112">
        <f t="shared" ref="AQ723:AW723" si="3330">AQ722+AQ721</f>
        <v>19.01610846137201</v>
      </c>
      <c r="AR723" s="9">
        <f t="shared" si="3315"/>
        <v>-0.77209297070611171</v>
      </c>
      <c r="AS723" s="112">
        <f t="shared" si="3330"/>
        <v>21.042499626806411</v>
      </c>
      <c r="AT723" s="9">
        <f t="shared" si="3316"/>
        <v>1.5809030307864163</v>
      </c>
      <c r="AU723" s="112">
        <f t="shared" si="3330"/>
        <v>22.840615810809922</v>
      </c>
      <c r="AV723" s="9">
        <f t="shared" si="3317"/>
        <v>2.1930822722898711</v>
      </c>
      <c r="AW723" s="112">
        <f t="shared" si="3330"/>
        <v>23.483070474720268</v>
      </c>
      <c r="AX723" s="9">
        <f t="shared" si="3318"/>
        <v>-3.9713935050888836</v>
      </c>
      <c r="AY723" s="279"/>
      <c r="AZ723" s="79"/>
      <c r="BA723" s="729"/>
      <c r="BB723" s="112">
        <f>BB722+BB721</f>
        <v>19.83249759948789</v>
      </c>
      <c r="BC723" s="613" t="str">
        <f>IF(ISERROR(BB723/#REF!),"NA",IF(OR(BB723/#REF!&gt;2,BB723/#REF!&lt;0.5),"NM",BB723/#REF!*100-100))</f>
        <v>NA</v>
      </c>
      <c r="BD723" s="112">
        <f>BD722+BD721</f>
        <v>18.020580729840106</v>
      </c>
      <c r="BE723" s="613">
        <f t="shared" si="3319"/>
        <v>-9.1361002846891637</v>
      </c>
      <c r="BF723" s="112">
        <f>BF722+BF721</f>
        <v>21.513646342799174</v>
      </c>
      <c r="BG723" s="613">
        <f t="shared" si="3319"/>
        <v>19.383757190327032</v>
      </c>
      <c r="BH723" s="112">
        <f>BH722+BH721</f>
        <v>22.524650174174866</v>
      </c>
      <c r="BI723" s="613">
        <f t="shared" si="3319"/>
        <v>4.699360653542044</v>
      </c>
      <c r="BJ723" s="112">
        <f>BJ722+BJ721</f>
        <v>21.681392795524623</v>
      </c>
      <c r="BK723" s="613">
        <f t="shared" si="3319"/>
        <v>-3.7437091014938915</v>
      </c>
      <c r="BL723" s="112">
        <f>BL722+BL721</f>
        <v>21.651760769832904</v>
      </c>
      <c r="BM723" s="613">
        <f t="shared" si="3319"/>
        <v>-0.13667030513757084</v>
      </c>
      <c r="BN723" s="112">
        <f>BN722+BN721</f>
        <v>21.696091546353038</v>
      </c>
      <c r="BO723" s="613">
        <f t="shared" si="3319"/>
        <v>0.20474444083964727</v>
      </c>
      <c r="BP723" s="112">
        <f>BP722+BP721</f>
        <v>21.159149958662887</v>
      </c>
      <c r="BQ723" s="9">
        <f t="shared" si="3319"/>
        <v>-2.4748309461314335</v>
      </c>
      <c r="BR723" s="112">
        <f>BR722+BR721</f>
        <v>20.811773345622914</v>
      </c>
      <c r="BS723" s="9">
        <f t="shared" si="3319"/>
        <v>-1.6417323650459394</v>
      </c>
      <c r="BT723" s="112">
        <f>BT722+BT721</f>
        <v>20.470267997585964</v>
      </c>
      <c r="BU723" s="9">
        <f t="shared" si="3324"/>
        <v>-1.6409238288613892</v>
      </c>
      <c r="BV723" s="43">
        <f t="shared" si="3325"/>
        <v>-1.1430356572529998</v>
      </c>
      <c r="BW723" s="176"/>
      <c r="BX723" s="176"/>
      <c r="BY723"/>
      <c r="BZ723"/>
      <c r="CA723"/>
      <c r="CB723"/>
      <c r="CC723"/>
      <c r="CD723"/>
    </row>
    <row r="724" spans="1:82" s="103" customFormat="1" ht="12.75" customHeight="1" x14ac:dyDescent="0.2">
      <c r="A724" s="80"/>
      <c r="B724" s="80" t="s">
        <v>324</v>
      </c>
      <c r="C724" s="112">
        <f>C667/C$668*100</f>
        <v>-14.628731819341667</v>
      </c>
      <c r="D724" s="754" t="str">
        <f>IF(ISERROR(C724/#REF!),"NA",IF(OR(C724/#REF!&gt;2,C724/#REF!&lt;0.5),"NM",C724/#REF!*100-100))</f>
        <v>NA</v>
      </c>
      <c r="E724" s="112">
        <f>E667/E$668*100</f>
        <v>-13.210560152636926</v>
      </c>
      <c r="F724" s="754" t="str">
        <f>IF(ISERROR(E724/#REF!),"NA",IF(OR(E724/#REF!&gt;2,E724/#REF!&lt;0.5),"NM",E724/#REF!*100-100))</f>
        <v>NA</v>
      </c>
      <c r="G724" s="112">
        <f>G667/G$668*100</f>
        <v>-11.052383586339698</v>
      </c>
      <c r="H724" s="9" t="str">
        <f>IF(ISERROR(G724/#REF!),"NA",IF(OR(G724/#REF!&gt;2,G724/#REF!&lt;0.5),"NM",G724/#REF!*100-100))</f>
        <v>NA</v>
      </c>
      <c r="I724" s="112">
        <f>I667/I$668*100</f>
        <v>-12.500487919122527</v>
      </c>
      <c r="J724" s="9" t="str">
        <f>IF(ISERROR(I724/#REF!),"NA",IF(OR(I724/#REF!&gt;2,I724/#REF!&lt;0.5),"NM",I724/#REF!*100-100))</f>
        <v>NA</v>
      </c>
      <c r="K724" s="112">
        <f>K667/K$668*100</f>
        <v>-11.713194488404968</v>
      </c>
      <c r="L724" s="9">
        <f t="shared" si="3308"/>
        <v>-19.930212454109409</v>
      </c>
      <c r="M724" s="112">
        <f>M667/M$668*100</f>
        <v>-9.6439888164026133</v>
      </c>
      <c r="N724" s="613">
        <f t="shared" si="3328"/>
        <v>-26.997881202807278</v>
      </c>
      <c r="O724" s="112">
        <f>O667/O$668*100</f>
        <v>-10.840024706609015</v>
      </c>
      <c r="P724" s="613">
        <f t="shared" si="3328"/>
        <v>-1.921385356124901</v>
      </c>
      <c r="Q724" s="112">
        <f>Q667/Q$668*100</f>
        <v>-14.554702495201532</v>
      </c>
      <c r="R724" s="9">
        <f t="shared" si="3328"/>
        <v>16.433075167702739</v>
      </c>
      <c r="S724" s="112">
        <f>S667/S$668*100</f>
        <v>-9.2684978114188539</v>
      </c>
      <c r="T724" s="9">
        <f t="shared" si="3328"/>
        <v>-20.871306110439363</v>
      </c>
      <c r="U724" s="112">
        <f>U667/U$668*100</f>
        <v>-8.5159918490298594</v>
      </c>
      <c r="V724" s="9">
        <f t="shared" si="3328"/>
        <v>-11.69637365665794</v>
      </c>
      <c r="W724" s="112">
        <f>W667/W$668*100</f>
        <v>-13.817809621289658</v>
      </c>
      <c r="X724" s="613">
        <f t="shared" si="3328"/>
        <v>27.470277930871603</v>
      </c>
      <c r="Y724" s="112">
        <f>Y667/Y$668*100</f>
        <v>-14.127352410415053</v>
      </c>
      <c r="Z724" s="613">
        <f t="shared" si="3328"/>
        <v>-2.9361650293255366</v>
      </c>
      <c r="AA724" s="112">
        <f>AA667/AA$668*100</f>
        <v>-14.959303957339321</v>
      </c>
      <c r="AB724" s="613">
        <f t="shared" si="3328"/>
        <v>61.399444243374091</v>
      </c>
      <c r="AC724" s="112">
        <f>AC667/AC$668*100</f>
        <v>-12.639146567717995</v>
      </c>
      <c r="AD724" s="613">
        <f t="shared" si="3326"/>
        <v>48.416611849597359</v>
      </c>
      <c r="AE724" s="112">
        <f>AE667/AE$668*100</f>
        <v>-12.91908806437192</v>
      </c>
      <c r="AF724" s="613">
        <f t="shared" si="3326"/>
        <v>-6.5040811933972691</v>
      </c>
      <c r="AG724" s="112">
        <f>AG667/AG$668*100</f>
        <v>-11.61726242371404</v>
      </c>
      <c r="AH724" s="9">
        <f t="shared" si="3309"/>
        <v>-17.767589522651889</v>
      </c>
      <c r="AI724" s="112">
        <f>AI667/AI$668*100</f>
        <v>-13.005780346820808</v>
      </c>
      <c r="AJ724" s="9">
        <f t="shared" si="3310"/>
        <v>-13.058920495830122</v>
      </c>
      <c r="AK724" s="112">
        <f>AK667/AK$668*100</f>
        <v>-9.7037793667007133</v>
      </c>
      <c r="AL724" s="9">
        <f t="shared" si="3311"/>
        <v>-23.224409854654169</v>
      </c>
      <c r="AM724" s="112">
        <f>AM667/AM$668*100</f>
        <v>-8.2708213117907263</v>
      </c>
      <c r="AN724" s="9">
        <f t="shared" si="3312"/>
        <v>-35.979836420498728</v>
      </c>
      <c r="AO724" s="112">
        <f>AO667/AO$668*100</f>
        <v>-13.561190738699015</v>
      </c>
      <c r="AP724" s="9">
        <f t="shared" si="3313"/>
        <v>16.733101518107048</v>
      </c>
      <c r="AQ724" s="112">
        <f t="shared" ref="AQ724:AW724" si="3331">AQ667/AQ$668*100</f>
        <v>-10.46763364781901</v>
      </c>
      <c r="AR724" s="9">
        <f t="shared" si="3315"/>
        <v>-19.515527952324945</v>
      </c>
      <c r="AS724" s="112">
        <f t="shared" si="3331"/>
        <v>-10.278181930681441</v>
      </c>
      <c r="AT724" s="9">
        <f t="shared" si="3316"/>
        <v>5.9193695803908781</v>
      </c>
      <c r="AU724" s="112">
        <f t="shared" si="3331"/>
        <v>-9.9108712184165633</v>
      </c>
      <c r="AV724" s="9">
        <f t="shared" si="3317"/>
        <v>19.829347591971455</v>
      </c>
      <c r="AW724" s="112">
        <f t="shared" si="3331"/>
        <v>-9.5823328196906488</v>
      </c>
      <c r="AX724" s="9">
        <f t="shared" si="3318"/>
        <v>-29.340033597890951</v>
      </c>
      <c r="AY724" s="279"/>
      <c r="AZ724" s="79"/>
      <c r="BA724" s="729"/>
      <c r="BB724" s="112">
        <f>BB667/BB$668*100</f>
        <v>-12.750986877200473</v>
      </c>
      <c r="BC724" s="613" t="str">
        <f>IF(ISERROR(BB724/#REF!),"NA",IF(OR(BB724/#REF!&gt;2,BB724/#REF!&lt;0.5),"NM",BB724/#REF!*100-100))</f>
        <v>NA</v>
      </c>
      <c r="BD724" s="112">
        <f>BD667/BD$668*100</f>
        <v>-11.673147953881212</v>
      </c>
      <c r="BE724" s="613">
        <f t="shared" si="3319"/>
        <v>-8.4529843352478196</v>
      </c>
      <c r="BF724" s="112">
        <f>BF667/BF$668*100</f>
        <v>-11.333774638899335</v>
      </c>
      <c r="BG724" s="613">
        <f t="shared" si="3319"/>
        <v>-2.907299010709778</v>
      </c>
      <c r="BH724" s="112">
        <f>BH667/BH$668*100</f>
        <v>-12.924366770974782</v>
      </c>
      <c r="BI724" s="613">
        <f t="shared" si="3319"/>
        <v>14.034089989898675</v>
      </c>
      <c r="BJ724" s="112">
        <f>BJ667/BJ$668*100</f>
        <v>-11.005385057771733</v>
      </c>
      <c r="BK724" s="613">
        <f t="shared" si="3319"/>
        <v>-14.847781304942913</v>
      </c>
      <c r="BL724" s="112">
        <f>BL667/BL$668*100</f>
        <v>-10.048128747115491</v>
      </c>
      <c r="BM724" s="613">
        <f t="shared" si="3319"/>
        <v>-8.6980719496066286</v>
      </c>
      <c r="BN724" s="112">
        <f>BN667/BN$668*100</f>
        <v>-9.6026811250722162</v>
      </c>
      <c r="BO724" s="613">
        <f t="shared" si="3319"/>
        <v>-4.4331400726841679</v>
      </c>
      <c r="BP724" s="112">
        <f>BP667/BP$668*100</f>
        <v>-9.5002851005786599</v>
      </c>
      <c r="BQ724" s="9">
        <f t="shared" si="3319"/>
        <v>-1.0663274470939683</v>
      </c>
      <c r="BR724" s="112">
        <f>BR667/BR$668*100</f>
        <v>-9.4499237592542986</v>
      </c>
      <c r="BS724" s="9">
        <f t="shared" si="3319"/>
        <v>-0.53010347364515553</v>
      </c>
      <c r="BT724" s="112">
        <f>BT667/BT$668*100</f>
        <v>-9.4086119583219112</v>
      </c>
      <c r="BU724" s="9">
        <f t="shared" si="3324"/>
        <v>-0.43716544159343584</v>
      </c>
      <c r="BV724" s="43">
        <f t="shared" si="3325"/>
        <v>-3.0865480406571</v>
      </c>
      <c r="BW724" s="176"/>
      <c r="BX724" s="176"/>
      <c r="BY724"/>
      <c r="BZ724"/>
      <c r="CA724"/>
      <c r="CB724"/>
      <c r="CC724"/>
      <c r="CD724"/>
    </row>
    <row r="725" spans="1:82" s="2" customFormat="1" ht="12.75" customHeight="1" x14ac:dyDescent="0.2">
      <c r="A725" s="41"/>
      <c r="B725" s="80" t="s">
        <v>564</v>
      </c>
      <c r="C725" s="75">
        <f>C724+C723+C720+C718</f>
        <v>100</v>
      </c>
      <c r="D725" s="226" t="str">
        <f>IF(ISERROR(C725/#REF!),"NA",IF(OR(C725/#REF!&gt;2,C725/#REF!&lt;0.5),"NM",C725/#REF!*100-100))</f>
        <v>NA</v>
      </c>
      <c r="E725" s="75">
        <f>E724+E723+E720+E718</f>
        <v>100</v>
      </c>
      <c r="F725" s="226" t="str">
        <f>IF(ISERROR(E725/#REF!),"NA",IF(OR(E725/#REF!&gt;2,E725/#REF!&lt;0.5),"NM",E725/#REF!*100-100))</f>
        <v>NA</v>
      </c>
      <c r="G725" s="75">
        <f>G724+G723+G720+G718</f>
        <v>100</v>
      </c>
      <c r="H725" s="9" t="str">
        <f>IF(ISERROR(G725/#REF!),"NA",IF(OR(G725/#REF!&gt;2,G725/#REF!&lt;0.5),"NM",G725/#REF!*100-100))</f>
        <v>NA</v>
      </c>
      <c r="I725" s="75">
        <f>I724+I723+I720+I718</f>
        <v>100</v>
      </c>
      <c r="J725" s="9" t="str">
        <f>IF(ISERROR(I725/#REF!),"NA",IF(OR(I725/#REF!&gt;2,I725/#REF!&lt;0.5),"NM",I725/#REF!*100-100))</f>
        <v>NA</v>
      </c>
      <c r="K725" s="75">
        <f>K724+K723+K720+K718</f>
        <v>100</v>
      </c>
      <c r="L725" s="9">
        <f t="shared" si="3308"/>
        <v>0</v>
      </c>
      <c r="M725" s="75">
        <f>M724+M723+M720+M718</f>
        <v>100</v>
      </c>
      <c r="N725" s="43"/>
      <c r="O725" s="75">
        <f>O724+O723+O720+O718</f>
        <v>100</v>
      </c>
      <c r="P725" s="43"/>
      <c r="Q725" s="75">
        <f>Q724+Q723+Q720+Q718</f>
        <v>100</v>
      </c>
      <c r="R725" s="43"/>
      <c r="S725" s="75">
        <f>S724+S723+S720+S718</f>
        <v>100</v>
      </c>
      <c r="T725" s="43"/>
      <c r="U725" s="75">
        <f>U724+U723+U720+U718</f>
        <v>100</v>
      </c>
      <c r="V725" s="43"/>
      <c r="W725" s="75">
        <f>W724+W723+W720+W718</f>
        <v>100</v>
      </c>
      <c r="X725" s="43"/>
      <c r="Y725" s="75">
        <f>Y724+Y723+Y720+Y718</f>
        <v>100</v>
      </c>
      <c r="Z725" s="43"/>
      <c r="AA725" s="75">
        <f>AA724+AA723+AA720+AA718</f>
        <v>100</v>
      </c>
      <c r="AB725" s="43"/>
      <c r="AC725" s="75">
        <f>AC724+AC723+AC720+AC718</f>
        <v>100.00000000000001</v>
      </c>
      <c r="AD725" s="43"/>
      <c r="AE725" s="75">
        <f>AE724+AE723+AE720+AE718</f>
        <v>99.999999999999986</v>
      </c>
      <c r="AF725" s="43"/>
      <c r="AG725" s="75">
        <f>AG724+AG723+AG720+AG718</f>
        <v>100</v>
      </c>
      <c r="AH725" s="9">
        <f t="shared" si="3309"/>
        <v>0</v>
      </c>
      <c r="AI725" s="75">
        <f>AI724+AI723+AI720+AI718</f>
        <v>100</v>
      </c>
      <c r="AJ725" s="9">
        <f t="shared" si="3310"/>
        <v>0</v>
      </c>
      <c r="AK725" s="75">
        <f>AK724+AK723+AK720+AK718</f>
        <v>100</v>
      </c>
      <c r="AL725" s="9">
        <f t="shared" si="3311"/>
        <v>-1.4210854715202004E-14</v>
      </c>
      <c r="AM725" s="75">
        <f>AM724+AM723+AM720+AM718</f>
        <v>100</v>
      </c>
      <c r="AN725" s="9">
        <f t="shared" si="3312"/>
        <v>2.8421709430404007E-14</v>
      </c>
      <c r="AO725" s="75">
        <f>AO724+AO723+AO720+AO718</f>
        <v>99.999999999999986</v>
      </c>
      <c r="AP725" s="9">
        <f t="shared" si="3313"/>
        <v>-1.4210854715202004E-14</v>
      </c>
      <c r="AQ725" s="75">
        <f t="shared" ref="AQ725:AW725" si="3332">AQ724+AQ723+AQ720+AQ718</f>
        <v>99.999999999999986</v>
      </c>
      <c r="AR725" s="9">
        <f t="shared" si="3315"/>
        <v>-1.4210854715202004E-14</v>
      </c>
      <c r="AS725" s="75">
        <f t="shared" si="3332"/>
        <v>99.999999999999986</v>
      </c>
      <c r="AT725" s="9">
        <f t="shared" si="3316"/>
        <v>-1.4210854715202004E-14</v>
      </c>
      <c r="AU725" s="75">
        <f t="shared" si="3332"/>
        <v>100</v>
      </c>
      <c r="AV725" s="9">
        <f t="shared" si="3317"/>
        <v>0</v>
      </c>
      <c r="AW725" s="75">
        <f t="shared" si="3332"/>
        <v>99.999999999999972</v>
      </c>
      <c r="AX725" s="9">
        <f t="shared" si="3318"/>
        <v>-1.4210854715202004E-14</v>
      </c>
      <c r="AY725" s="279"/>
      <c r="AZ725" s="15"/>
      <c r="BA725" s="40"/>
      <c r="BB725" s="75">
        <f>BB724+BB723+BB720+BB718</f>
        <v>99.999999999999986</v>
      </c>
      <c r="BC725" s="9" t="str">
        <f>IF(ISERROR(BB725/#REF!),"NA",IF(OR(BB725/#REF!&gt;2,BB725/#REF!&lt;0.5),"NM",BB725/#REF!*100-100))</f>
        <v>NA</v>
      </c>
      <c r="BD725" s="75">
        <f>BD724+BD723+BD720+BD718</f>
        <v>100</v>
      </c>
      <c r="BE725" s="9">
        <f t="shared" si="3319"/>
        <v>2.8421709430404007E-14</v>
      </c>
      <c r="BF725" s="75">
        <f>BF724+BF723+BF720+BF718</f>
        <v>99.999999999999943</v>
      </c>
      <c r="BG725" s="9">
        <f t="shared" si="3319"/>
        <v>-5.6843418860808015E-14</v>
      </c>
      <c r="BH725" s="75">
        <f>BH724+BH723+BH720+BH718</f>
        <v>99.999999999999972</v>
      </c>
      <c r="BI725" s="9">
        <f t="shared" si="3319"/>
        <v>2.8421709430404007E-14</v>
      </c>
      <c r="BJ725" s="75">
        <f>BJ724+BJ723+BJ720+BJ718</f>
        <v>99.999999999999943</v>
      </c>
      <c r="BK725" s="9">
        <f t="shared" si="3319"/>
        <v>-2.8421709430404007E-14</v>
      </c>
      <c r="BL725" s="75">
        <f>BL724+BL723+BL720+BL718</f>
        <v>99.999999999999943</v>
      </c>
      <c r="BM725" s="9">
        <f t="shared" si="3319"/>
        <v>0</v>
      </c>
      <c r="BN725" s="75">
        <f>BN724+BN723+BN720+BN718</f>
        <v>99.999999999999943</v>
      </c>
      <c r="BO725" s="9">
        <f t="shared" si="3319"/>
        <v>0</v>
      </c>
      <c r="BP725" s="75">
        <f>BP724+BP723+BP720+BP718</f>
        <v>99.999999999999972</v>
      </c>
      <c r="BQ725" s="9">
        <f t="shared" si="3319"/>
        <v>2.8421709430404007E-14</v>
      </c>
      <c r="BR725" s="75">
        <f>BR724+BR723+BR720+BR718</f>
        <v>100.00000000000003</v>
      </c>
      <c r="BS725" s="9">
        <f t="shared" si="3319"/>
        <v>7.1054273576010019E-14</v>
      </c>
      <c r="BT725" s="75">
        <f>BT724+BT723+BT720+BT718</f>
        <v>100.00000000000001</v>
      </c>
      <c r="BU725" s="9">
        <f t="shared" si="3324"/>
        <v>-1.4210854715202004E-14</v>
      </c>
      <c r="BV725" s="43">
        <f t="shared" si="3325"/>
        <v>2.2204460492503131E-14</v>
      </c>
      <c r="BW725" s="722"/>
      <c r="BX725" s="722"/>
      <c r="BY725"/>
      <c r="BZ725"/>
      <c r="CA725"/>
      <c r="CB725"/>
      <c r="CC725"/>
      <c r="CD725"/>
    </row>
    <row r="726" spans="1:82" s="2" customFormat="1" ht="12.75" customHeight="1" x14ac:dyDescent="0.2">
      <c r="A726" s="41"/>
      <c r="B726" s="42"/>
      <c r="C726" s="105"/>
      <c r="D726" s="40"/>
      <c r="E726" s="105"/>
      <c r="F726" s="40"/>
      <c r="G726" s="105"/>
      <c r="H726" s="40"/>
      <c r="I726" s="105"/>
      <c r="J726" s="40"/>
      <c r="K726" s="105"/>
      <c r="L726" s="40"/>
      <c r="M726" s="105"/>
      <c r="N726" s="9"/>
      <c r="O726" s="105"/>
      <c r="P726" s="9"/>
      <c r="Q726" s="105"/>
      <c r="R726" s="9"/>
      <c r="S726" s="105"/>
      <c r="T726" s="9"/>
      <c r="U726" s="105"/>
      <c r="V726" s="9"/>
      <c r="W726" s="105"/>
      <c r="X726" s="9"/>
      <c r="Y726" s="105"/>
      <c r="Z726" s="9"/>
      <c r="AA726" s="105"/>
      <c r="AB726" s="9"/>
      <c r="AC726" s="105"/>
      <c r="AD726" s="9"/>
      <c r="AE726" s="105"/>
      <c r="AF726" s="9"/>
      <c r="AG726" s="105"/>
      <c r="AH726" s="40"/>
      <c r="AI726" s="105"/>
      <c r="AJ726" s="40"/>
      <c r="AK726" s="105"/>
      <c r="AL726" s="40"/>
      <c r="AM726" s="105"/>
      <c r="AN726" s="40"/>
      <c r="AO726" s="105"/>
      <c r="AP726" s="40"/>
      <c r="AQ726" s="105"/>
      <c r="AR726" s="40"/>
      <c r="AS726" s="105"/>
      <c r="AT726" s="40"/>
      <c r="AU726" s="105"/>
      <c r="AV726" s="40"/>
      <c r="AW726" s="105"/>
      <c r="AX726" s="40"/>
      <c r="AY726" s="279"/>
      <c r="AZ726" s="15"/>
      <c r="BA726" s="40"/>
      <c r="BB726" s="105"/>
      <c r="BC726" s="40"/>
      <c r="BD726" s="943"/>
      <c r="BE726" s="40"/>
      <c r="BF726" s="105"/>
      <c r="BG726" s="40"/>
      <c r="BH726" s="105"/>
      <c r="BI726" s="40"/>
      <c r="BJ726" s="105"/>
      <c r="BK726" s="40"/>
      <c r="BL726" s="105"/>
      <c r="BM726" s="40"/>
      <c r="BN726" s="105"/>
      <c r="BO726" s="40"/>
      <c r="BP726" s="105"/>
      <c r="BQ726" s="40"/>
      <c r="BR726" s="105"/>
      <c r="BS726" s="40"/>
      <c r="BT726" s="105"/>
      <c r="BU726" s="40"/>
      <c r="BV726" s="722"/>
      <c r="BW726" s="722"/>
      <c r="BX726" s="722"/>
      <c r="BY726"/>
      <c r="BZ726"/>
      <c r="CA726"/>
      <c r="CB726"/>
      <c r="CC726"/>
      <c r="CD726"/>
    </row>
    <row r="727" spans="1:82" s="2" customFormat="1" ht="12.75" customHeight="1" x14ac:dyDescent="0.2">
      <c r="A727" s="41" t="s">
        <v>422</v>
      </c>
      <c r="B727" s="62" t="s">
        <v>269</v>
      </c>
      <c r="C727" s="166">
        <v>-56.4</v>
      </c>
      <c r="D727" s="9" t="str">
        <f>IF(ISERROR(C727/#REF!),"NA",IF(OR(C727/#REF!&gt;2,C727/#REF!&lt;0.5),"NM",C727/#REF!*100-100))</f>
        <v>NA</v>
      </c>
      <c r="E727" s="166">
        <v>-47.6</v>
      </c>
      <c r="F727" s="9" t="str">
        <f>IF(ISERROR(E727/#REF!),"NA",IF(OR(E727/#REF!&gt;2,E727/#REF!&lt;0.5),"NM",E727/#REF!*100-100))</f>
        <v>NA</v>
      </c>
      <c r="G727" s="166">
        <v>-22.8</v>
      </c>
      <c r="H727" s="9" t="str">
        <f>IF(ISERROR(G727/#REF!),"NA",IF(OR(G727/#REF!&gt;2,G727/#REF!&lt;0.5),"NM",G727/#REF!*100-100))</f>
        <v>NA</v>
      </c>
      <c r="I727" s="166">
        <v>-52.3</v>
      </c>
      <c r="J727" s="9" t="str">
        <f>IF(ISERROR(I727/#REF!),"NA",IF(OR(I727/#REF!&gt;2,I727/#REF!&lt;0.5),"NM",I727/#REF!*100-100))</f>
        <v>NA</v>
      </c>
      <c r="K727" s="166">
        <v>-22.9</v>
      </c>
      <c r="L727" s="9" t="str">
        <f t="shared" si="3308"/>
        <v>NM</v>
      </c>
      <c r="M727" s="166">
        <v>30.8</v>
      </c>
      <c r="N727" s="9" t="str">
        <f t="shared" ref="N727:AB731" si="3333">IF(ISERROR(M727/E727),"NA",IF(OR(M727/E727&gt;2,M727/E727&lt;0.5),"NM",M727/E727*100-100))</f>
        <v>NM</v>
      </c>
      <c r="O727" s="166">
        <v>-55.2</v>
      </c>
      <c r="P727" s="9" t="str">
        <f t="shared" si="3333"/>
        <v>NM</v>
      </c>
      <c r="Q727" s="166">
        <v>-53.2</v>
      </c>
      <c r="R727" s="9">
        <f t="shared" si="3333"/>
        <v>1.7208413001912106</v>
      </c>
      <c r="S727" s="166">
        <v>13.1</v>
      </c>
      <c r="T727" s="9" t="str">
        <f t="shared" si="3333"/>
        <v>NM</v>
      </c>
      <c r="U727" s="166">
        <v>-82.8</v>
      </c>
      <c r="V727" s="9" t="str">
        <f t="shared" si="3333"/>
        <v>NM</v>
      </c>
      <c r="W727" s="166">
        <v>-16.5</v>
      </c>
      <c r="X727" s="9" t="str">
        <f t="shared" si="3333"/>
        <v>NM</v>
      </c>
      <c r="Y727" s="166">
        <v>-47.6</v>
      </c>
      <c r="Z727" s="9">
        <f t="shared" si="3333"/>
        <v>-10.526315789473685</v>
      </c>
      <c r="AA727" s="166">
        <v>81.7</v>
      </c>
      <c r="AB727" s="9" t="str">
        <f t="shared" si="3333"/>
        <v>NM</v>
      </c>
      <c r="AC727" s="166">
        <v>-14.8</v>
      </c>
      <c r="AD727" s="9" t="str">
        <f t="shared" ref="AD727:AF731" si="3334">IF(ISERROR(AC727/U727),"NA",IF(OR(AC727/U727&gt;2,AC727/U727&lt;0.5),"NM",AC727/U727*100-100))</f>
        <v>NM</v>
      </c>
      <c r="AE727" s="166">
        <v>-27.5</v>
      </c>
      <c r="AF727" s="9">
        <f t="shared" si="3334"/>
        <v>66.666666666666686</v>
      </c>
      <c r="AG727" s="166">
        <v>-2</v>
      </c>
      <c r="AH727" s="9" t="str">
        <f>IF(ISERROR(AG727/Y727),"NA",IF(OR(AG727/Y727&gt;2,AG727/Y727&lt;0.5),"NM",AG727/Y727*100-100))</f>
        <v>NM</v>
      </c>
      <c r="AI727" s="166">
        <v>-21.6</v>
      </c>
      <c r="AJ727" s="9" t="str">
        <f t="shared" ref="AJ727:AJ731" si="3335">IF(ISERROR(AI727/AA727),"NA",IF(OR(AI727/AA727&gt;2,AI727/AA727&lt;0.5),"NM",AI727/AA727*100-100))</f>
        <v>NM</v>
      </c>
      <c r="AK727" s="166">
        <v>-74.099999999999994</v>
      </c>
      <c r="AL727" s="9" t="str">
        <f t="shared" ref="AL727:AL731" si="3336">IF(ISERROR(AK727/AC727),"NA",IF(OR(AK727/AC727&gt;2,AK727/AC727&lt;0.5),"NM",AK727/AC727*100-100))</f>
        <v>NM</v>
      </c>
      <c r="AM727" s="166">
        <v>436.5</v>
      </c>
      <c r="AN727" s="9" t="str">
        <f t="shared" ref="AN727:AN731" si="3337">IF(ISERROR(AM727/AE727),"NA",IF(OR(AM727/AE727&gt;2,AM727/AE727&lt;0.5),"NM",AM727/AE727*100-100))</f>
        <v>NM</v>
      </c>
      <c r="AO727" s="166">
        <v>-33.5</v>
      </c>
      <c r="AP727" s="9" t="str">
        <f t="shared" ref="AP727:AP731" si="3338">IF(ISERROR(AO727/AG727),"NA",IF(OR(AO727/AG727&gt;2,AO727/AG727&lt;0.5),"NM",AO727/AG727*100-100))</f>
        <v>NM</v>
      </c>
      <c r="AQ727" s="725">
        <f t="shared" ref="AQ727:AW727" si="3339">AQ735*AQ857/400</f>
        <v>-13.184635186041724</v>
      </c>
      <c r="AR727" s="9">
        <f t="shared" ref="AR727:AR731" si="3340">IF(ISERROR(AQ727/AI727),"NA",IF(OR(AQ727/AI727&gt;2,AQ727/AI727&lt;0.5),"NM",AQ727/AI727*100-100))</f>
        <v>-38.960022286843873</v>
      </c>
      <c r="AS727" s="725">
        <f t="shared" si="3339"/>
        <v>-13.441228233211259</v>
      </c>
      <c r="AT727" s="9" t="str">
        <f t="shared" ref="AT727:AT731" si="3341">IF(ISERROR(AS727/AK727),"NA",IF(OR(AS727/AK727&gt;2,AS727/AK727&lt;0.5),"NM",AS727/AK727*100-100))</f>
        <v>NM</v>
      </c>
      <c r="AU727" s="725">
        <f t="shared" si="3339"/>
        <v>-13.702824844800601</v>
      </c>
      <c r="AV727" s="9" t="str">
        <f t="shared" ref="AV727:AV731" si="3342">IF(ISERROR(AU727/AM727),"NA",IF(OR(AU727/AM727&gt;2,AU727/AM727&lt;0.5),"NM",AU727/AM727*100-100))</f>
        <v>NM</v>
      </c>
      <c r="AW727" s="725">
        <f t="shared" si="3339"/>
        <v>-13.969522590315933</v>
      </c>
      <c r="AX727" s="9" t="str">
        <f t="shared" ref="AX727:AX731" si="3343">IF(ISERROR(AW727/AO727),"NA",IF(OR(AW727/AO727&gt;2,AW727/AO727&lt;0.5),"NM",AW727/AO727*100-100))</f>
        <v>NM</v>
      </c>
      <c r="AY727" s="279"/>
      <c r="AZ727" s="15"/>
      <c r="BA727" s="9" t="str">
        <f>IF(ISERROR(#REF!/#REF!),"NA",IF(OR(#REF!/#REF!&gt;2,#REF!/#REF!&lt;0.5),"NM",#REF!/#REF!*100-100))</f>
        <v>NA</v>
      </c>
      <c r="BB727" s="725">
        <f>C727+E727+G727+I727</f>
        <v>-179.1</v>
      </c>
      <c r="BC727" s="9" t="str">
        <f>IF(ISERROR(BB727/#REF!),"NA",IF(OR(BB727/#REF!&gt;2,BB727/#REF!&lt;0.5),"NM",BB727/#REF!*100-100))</f>
        <v>NA</v>
      </c>
      <c r="BD727" s="961">
        <f>K727+M727+O727+Q727</f>
        <v>-100.5</v>
      </c>
      <c r="BE727" s="9">
        <f t="shared" ref="BE727:BS731" si="3344">IF(ISERROR(BD727/BB727),"NA",IF(OR(BD727/BB727&gt;2,BD727/BB727&lt;0.5),"NM",BD727/BB727*100-100))</f>
        <v>-43.886097152428803</v>
      </c>
      <c r="BF727" s="725">
        <f>S727+U727+W727+Y727</f>
        <v>-133.80000000000001</v>
      </c>
      <c r="BG727" s="9">
        <f t="shared" si="3344"/>
        <v>33.134328358208961</v>
      </c>
      <c r="BH727" s="725">
        <f>AA727+AC727+AE727+AG727</f>
        <v>37.400000000000006</v>
      </c>
      <c r="BI727" s="9" t="str">
        <f t="shared" si="3344"/>
        <v>NM</v>
      </c>
      <c r="BJ727" s="725">
        <f>AI727+AK727+AM727+AO727</f>
        <v>307.3</v>
      </c>
      <c r="BK727" s="9" t="str">
        <f t="shared" si="3344"/>
        <v>NM</v>
      </c>
      <c r="BL727" s="725">
        <f>AQ727+AS727+AU727+AW727</f>
        <v>-54.298210854369515</v>
      </c>
      <c r="BM727" s="9" t="str">
        <f t="shared" si="3344"/>
        <v>NM</v>
      </c>
      <c r="BN727" s="725">
        <f>BN735*BN857/100</f>
        <v>-58.633977554652596</v>
      </c>
      <c r="BO727" s="9">
        <f t="shared" si="3344"/>
        <v>7.985100488691657</v>
      </c>
      <c r="BP727" s="725">
        <f>BP735*BP857/100</f>
        <v>-63.316605590958325</v>
      </c>
      <c r="BQ727" s="9">
        <f t="shared" si="3344"/>
        <v>7.9862022526803003</v>
      </c>
      <c r="BR727" s="725">
        <f>BR735*BR857/100</f>
        <v>-68.373843870168514</v>
      </c>
      <c r="BS727" s="9">
        <f t="shared" si="3344"/>
        <v>7.987222675645711</v>
      </c>
      <c r="BT727" s="725">
        <f>BT735*BT857/100</f>
        <v>-73.835661211715518</v>
      </c>
      <c r="BU727" s="9">
        <f t="shared" ref="BU727:BU731" si="3345">IF(ISERROR(BT727/BR727),"NA",IF(OR(BT727/BR727&gt;2,BT727/BR727&lt;0.5),"NM",BT727/BR727*100-100))</f>
        <v>7.9881677442592718</v>
      </c>
      <c r="BV727" s="43" t="str">
        <f>IF(ISERROR(((BT727/BJ727)^0.2-1)*100),"NA",IF((((BT727/BJ727)^0.2-1)*100)&gt;100,"NM",IF((((BT727/BJ727)^0.2-1)*100)&lt;-50,"NM",((BT727/BJ727)^0.2-1)*100)))</f>
        <v>NM</v>
      </c>
      <c r="BW727" s="722"/>
      <c r="BX727" s="722"/>
      <c r="BY727"/>
      <c r="BZ727"/>
      <c r="CA727"/>
      <c r="CB727"/>
      <c r="CC727"/>
      <c r="CD727"/>
    </row>
    <row r="728" spans="1:82" s="2" customFormat="1" ht="12.75" customHeight="1" x14ac:dyDescent="0.2">
      <c r="A728" s="41" t="s">
        <v>423</v>
      </c>
      <c r="B728" s="62" t="s">
        <v>178</v>
      </c>
      <c r="C728" s="166">
        <v>0</v>
      </c>
      <c r="D728" s="9" t="str">
        <f>IF(ISERROR(C728/#REF!),"NA",IF(OR(C728/#REF!&gt;2,C728/#REF!&lt;0.5),"NM",C728/#REF!*100-100))</f>
        <v>NA</v>
      </c>
      <c r="E728" s="166">
        <v>0</v>
      </c>
      <c r="F728" s="9" t="str">
        <f>IF(ISERROR(E728/#REF!),"NA",IF(OR(E728/#REF!&gt;2,E728/#REF!&lt;0.5),"NM",E728/#REF!*100-100))</f>
        <v>NA</v>
      </c>
      <c r="G728" s="166">
        <v>0</v>
      </c>
      <c r="H728" s="9" t="str">
        <f>IF(ISERROR(G728/#REF!),"NA",IF(OR(G728/#REF!&gt;2,G728/#REF!&lt;0.5),"NM",G728/#REF!*100-100))</f>
        <v>NA</v>
      </c>
      <c r="I728" s="166">
        <v>0</v>
      </c>
      <c r="J728" s="9" t="str">
        <f>IF(ISERROR(I728/#REF!),"NA",IF(OR(I728/#REF!&gt;2,I728/#REF!&lt;0.5),"NM",I728/#REF!*100-100))</f>
        <v>NA</v>
      </c>
      <c r="K728" s="166">
        <v>0</v>
      </c>
      <c r="L728" s="9" t="str">
        <f t="shared" si="3308"/>
        <v>NA</v>
      </c>
      <c r="M728" s="166">
        <v>0</v>
      </c>
      <c r="N728" s="9" t="str">
        <f t="shared" si="3333"/>
        <v>NA</v>
      </c>
      <c r="O728" s="166">
        <v>0</v>
      </c>
      <c r="P728" s="9" t="str">
        <f t="shared" si="3333"/>
        <v>NA</v>
      </c>
      <c r="Q728" s="166">
        <v>0</v>
      </c>
      <c r="R728" s="9" t="str">
        <f t="shared" si="3333"/>
        <v>NA</v>
      </c>
      <c r="S728" s="166">
        <v>0</v>
      </c>
      <c r="T728" s="9" t="str">
        <f t="shared" si="3333"/>
        <v>NA</v>
      </c>
      <c r="U728" s="166">
        <v>0</v>
      </c>
      <c r="V728" s="9" t="str">
        <f t="shared" si="3333"/>
        <v>NA</v>
      </c>
      <c r="W728" s="166">
        <v>0</v>
      </c>
      <c r="X728" s="9" t="str">
        <f t="shared" si="3333"/>
        <v>NA</v>
      </c>
      <c r="Y728" s="166">
        <v>0</v>
      </c>
      <c r="Z728" s="9" t="str">
        <f t="shared" si="3333"/>
        <v>NA</v>
      </c>
      <c r="AA728" s="166">
        <v>0</v>
      </c>
      <c r="AB728" s="9" t="str">
        <f t="shared" si="3333"/>
        <v>NA</v>
      </c>
      <c r="AC728" s="166">
        <v>0</v>
      </c>
      <c r="AD728" s="9" t="str">
        <f t="shared" si="3334"/>
        <v>NA</v>
      </c>
      <c r="AE728" s="166">
        <v>0</v>
      </c>
      <c r="AF728" s="9" t="str">
        <f t="shared" si="3334"/>
        <v>NA</v>
      </c>
      <c r="AG728" s="166">
        <v>0</v>
      </c>
      <c r="AH728" s="9" t="str">
        <f>IF(ISERROR(AG728/Y728),"NA",IF(OR(AG728/Y728&gt;2,AG728/Y728&lt;0.5),"NM",AG728/Y728*100-100))</f>
        <v>NA</v>
      </c>
      <c r="AI728" s="166">
        <v>0</v>
      </c>
      <c r="AJ728" s="9" t="str">
        <f t="shared" si="3335"/>
        <v>NA</v>
      </c>
      <c r="AK728" s="166">
        <v>0</v>
      </c>
      <c r="AL728" s="9" t="str">
        <f t="shared" si="3336"/>
        <v>NA</v>
      </c>
      <c r="AM728" s="166">
        <v>0</v>
      </c>
      <c r="AN728" s="9" t="str">
        <f t="shared" si="3337"/>
        <v>NA</v>
      </c>
      <c r="AO728" s="166">
        <v>0</v>
      </c>
      <c r="AP728" s="9" t="str">
        <f t="shared" si="3338"/>
        <v>NA</v>
      </c>
      <c r="AQ728" s="166">
        <v>0</v>
      </c>
      <c r="AR728" s="9" t="str">
        <f t="shared" si="3340"/>
        <v>NA</v>
      </c>
      <c r="AS728" s="166">
        <v>0</v>
      </c>
      <c r="AT728" s="9" t="str">
        <f t="shared" si="3341"/>
        <v>NA</v>
      </c>
      <c r="AU728" s="166">
        <v>0</v>
      </c>
      <c r="AV728" s="9" t="str">
        <f t="shared" si="3342"/>
        <v>NA</v>
      </c>
      <c r="AW728" s="166">
        <v>0</v>
      </c>
      <c r="AX728" s="9" t="str">
        <f t="shared" si="3343"/>
        <v>NA</v>
      </c>
      <c r="AY728" s="286"/>
      <c r="AZ728" s="92"/>
      <c r="BA728" s="9" t="str">
        <f>IF(ISERROR(#REF!/#REF!),"NA",IF(OR(#REF!/#REF!&gt;2,#REF!/#REF!&lt;0.5),"NM",#REF!/#REF!*100-100))</f>
        <v>NA</v>
      </c>
      <c r="BB728" s="725">
        <f>C728+E728+G728+I728</f>
        <v>0</v>
      </c>
      <c r="BC728" s="9" t="str">
        <f>IF(ISERROR(BB728/#REF!),"NA",IF(OR(BB728/#REF!&gt;2,BB728/#REF!&lt;0.5),"NM",BB728/#REF!*100-100))</f>
        <v>NA</v>
      </c>
      <c r="BD728" s="961">
        <f>K728+M728+O728+Q728</f>
        <v>0</v>
      </c>
      <c r="BE728" s="9" t="str">
        <f t="shared" si="3344"/>
        <v>NA</v>
      </c>
      <c r="BF728" s="725">
        <f>S728+U728+W728+Y728</f>
        <v>0</v>
      </c>
      <c r="BG728" s="9" t="str">
        <f t="shared" si="3344"/>
        <v>NA</v>
      </c>
      <c r="BH728" s="725">
        <f>AA728+AC728+AE728+AG728</f>
        <v>0</v>
      </c>
      <c r="BI728" s="9" t="str">
        <f t="shared" si="3344"/>
        <v>NA</v>
      </c>
      <c r="BJ728" s="725">
        <f>AI728+AK728+AM728+AO728</f>
        <v>0</v>
      </c>
      <c r="BK728" s="9" t="str">
        <f t="shared" si="3344"/>
        <v>NA</v>
      </c>
      <c r="BL728" s="725">
        <f>AQ728+AS728+AU728+AW728</f>
        <v>0</v>
      </c>
      <c r="BM728" s="9" t="str">
        <f t="shared" si="3344"/>
        <v>NA</v>
      </c>
      <c r="BN728" s="725">
        <v>0</v>
      </c>
      <c r="BO728" s="9" t="str">
        <f t="shared" si="3344"/>
        <v>NA</v>
      </c>
      <c r="BP728" s="725">
        <v>0</v>
      </c>
      <c r="BQ728" s="9" t="str">
        <f t="shared" si="3344"/>
        <v>NA</v>
      </c>
      <c r="BR728" s="725">
        <v>0</v>
      </c>
      <c r="BS728" s="9" t="str">
        <f t="shared" si="3344"/>
        <v>NA</v>
      </c>
      <c r="BT728" s="725">
        <v>0</v>
      </c>
      <c r="BU728" s="9" t="str">
        <f t="shared" si="3345"/>
        <v>NA</v>
      </c>
      <c r="BV728" s="43" t="str">
        <f>IF(ISERROR(((BT728/BJ728)^0.2-1)*100),"NA",IF((((BT728/BJ728)^0.2-1)*100)&gt;100,"NM",IF((((BT728/BJ728)^0.2-1)*100)&lt;-50,"NM",((BT728/BJ728)^0.2-1)*100)))</f>
        <v>NA</v>
      </c>
      <c r="BW728" s="722"/>
      <c r="BX728" s="722"/>
      <c r="BY728"/>
      <c r="BZ728"/>
      <c r="CA728"/>
      <c r="CB728"/>
      <c r="CC728"/>
      <c r="CD728"/>
    </row>
    <row r="729" spans="1:82" s="2" customFormat="1" ht="12.75" customHeight="1" x14ac:dyDescent="0.2">
      <c r="A729" s="41"/>
      <c r="B729" s="62" t="s">
        <v>348</v>
      </c>
      <c r="C729" s="166">
        <v>1.4</v>
      </c>
      <c r="D729" s="9" t="str">
        <f>IF(ISERROR(C729/#REF!),"NA",IF(OR(C729/#REF!&gt;2,C729/#REF!&lt;0.5),"NM",C729/#REF!*100-100))</f>
        <v>NA</v>
      </c>
      <c r="E729" s="166">
        <v>-1.5</v>
      </c>
      <c r="F729" s="9" t="str">
        <f>IF(ISERROR(E729/#REF!),"NA",IF(OR(E729/#REF!&gt;2,E729/#REF!&lt;0.5),"NM",E729/#REF!*100-100))</f>
        <v>NA</v>
      </c>
      <c r="G729" s="166">
        <v>-0.7</v>
      </c>
      <c r="H729" s="9" t="str">
        <f>IF(ISERROR(G729/#REF!),"NA",IF(OR(G729/#REF!&gt;2,G729/#REF!&lt;0.5),"NM",G729/#REF!*100-100))</f>
        <v>NA</v>
      </c>
      <c r="I729" s="166">
        <v>-0.3</v>
      </c>
      <c r="J729" s="9" t="str">
        <f>IF(ISERROR(I729/#REF!),"NA",IF(OR(I729/#REF!&gt;2,I729/#REF!&lt;0.5),"NM",I729/#REF!*100-100))</f>
        <v>NA</v>
      </c>
      <c r="K729" s="166">
        <v>-0.5</v>
      </c>
      <c r="L729" s="9" t="str">
        <f t="shared" si="3308"/>
        <v>NM</v>
      </c>
      <c r="M729" s="166">
        <v>-47.6</v>
      </c>
      <c r="N729" s="9" t="str">
        <f t="shared" si="3333"/>
        <v>NM</v>
      </c>
      <c r="O729" s="166">
        <v>-57.8</v>
      </c>
      <c r="P729" s="9" t="str">
        <f t="shared" si="3333"/>
        <v>NM</v>
      </c>
      <c r="Q729" s="166">
        <v>-0.4</v>
      </c>
      <c r="R729" s="9">
        <f t="shared" si="3333"/>
        <v>33.333333333333343</v>
      </c>
      <c r="S729" s="166">
        <v>74.7</v>
      </c>
      <c r="T729" s="9" t="str">
        <f t="shared" si="3333"/>
        <v>NM</v>
      </c>
      <c r="U729" s="166">
        <v>0</v>
      </c>
      <c r="V729" s="9" t="str">
        <f t="shared" si="3333"/>
        <v>NM</v>
      </c>
      <c r="W729" s="166">
        <v>-0.1</v>
      </c>
      <c r="X729" s="9" t="str">
        <f t="shared" si="3333"/>
        <v>NM</v>
      </c>
      <c r="Y729" s="166">
        <v>-2</v>
      </c>
      <c r="Z729" s="9" t="str">
        <f t="shared" si="3333"/>
        <v>NM</v>
      </c>
      <c r="AA729" s="166">
        <v>0</v>
      </c>
      <c r="AB729" s="9" t="str">
        <f t="shared" si="3333"/>
        <v>NM</v>
      </c>
      <c r="AC729" s="166">
        <v>0</v>
      </c>
      <c r="AD729" s="9" t="str">
        <f t="shared" si="3334"/>
        <v>NA</v>
      </c>
      <c r="AE729" s="166">
        <v>0</v>
      </c>
      <c r="AF729" s="9" t="str">
        <f t="shared" si="3334"/>
        <v>NM</v>
      </c>
      <c r="AG729" s="166">
        <v>-52</v>
      </c>
      <c r="AH729" s="9" t="str">
        <f t="shared" ref="AH729:AH731" si="3346">IF(ISERROR(AG729/Y729),"NA",IF(OR(AG729/Y729&gt;2,AG729/Y729&lt;0.5),"NM",AG729/Y729*100-100))</f>
        <v>NM</v>
      </c>
      <c r="AI729" s="166">
        <v>0</v>
      </c>
      <c r="AJ729" s="9" t="str">
        <f t="shared" si="3335"/>
        <v>NA</v>
      </c>
      <c r="AK729" s="166">
        <v>0</v>
      </c>
      <c r="AL729" s="9" t="str">
        <f t="shared" si="3336"/>
        <v>NA</v>
      </c>
      <c r="AM729" s="166">
        <v>0</v>
      </c>
      <c r="AN729" s="9" t="str">
        <f t="shared" si="3337"/>
        <v>NA</v>
      </c>
      <c r="AO729" s="166">
        <v>524.5</v>
      </c>
      <c r="AP729" s="9" t="str">
        <f t="shared" si="3338"/>
        <v>NM</v>
      </c>
      <c r="AQ729" s="166">
        <v>0</v>
      </c>
      <c r="AR729" s="9" t="str">
        <f t="shared" si="3340"/>
        <v>NA</v>
      </c>
      <c r="AS729" s="166">
        <v>0</v>
      </c>
      <c r="AT729" s="9" t="str">
        <f t="shared" si="3341"/>
        <v>NA</v>
      </c>
      <c r="AU729" s="166">
        <v>0</v>
      </c>
      <c r="AV729" s="9" t="str">
        <f t="shared" si="3342"/>
        <v>NA</v>
      </c>
      <c r="AW729" s="166">
        <v>0</v>
      </c>
      <c r="AX729" s="9" t="str">
        <f t="shared" si="3343"/>
        <v>NM</v>
      </c>
      <c r="AY729" s="286"/>
      <c r="AZ729" s="92"/>
      <c r="BA729" s="9" t="str">
        <f>IF(ISERROR(#REF!/#REF!),"NA",IF(OR(#REF!/#REF!&gt;2,#REF!/#REF!&lt;0.5),"NM",#REF!/#REF!*100-100))</f>
        <v>NA</v>
      </c>
      <c r="BB729" s="725">
        <f>C729+E729+G729+I729</f>
        <v>-1.1000000000000001</v>
      </c>
      <c r="BC729" s="9" t="str">
        <f>IF(ISERROR(BB729/#REF!),"NA",IF(OR(BB729/#REF!&gt;2,BB729/#REF!&lt;0.5),"NM",BB729/#REF!*100-100))</f>
        <v>NA</v>
      </c>
      <c r="BD729" s="961">
        <f>K729+M729+O729+Q729</f>
        <v>-106.30000000000001</v>
      </c>
      <c r="BE729" s="9" t="str">
        <f t="shared" si="3344"/>
        <v>NM</v>
      </c>
      <c r="BF729" s="725">
        <f>+S729+U729+W729+Y729</f>
        <v>72.600000000000009</v>
      </c>
      <c r="BG729" s="9" t="str">
        <f t="shared" si="3344"/>
        <v>NM</v>
      </c>
      <c r="BH729" s="725">
        <f>+AA729+AC729+AE729+AG729</f>
        <v>-52</v>
      </c>
      <c r="BI729" s="9" t="str">
        <f t="shared" si="3344"/>
        <v>NM</v>
      </c>
      <c r="BJ729" s="725">
        <f>+AI729+AK729+AM729+AO729</f>
        <v>524.5</v>
      </c>
      <c r="BK729" s="9" t="str">
        <f t="shared" si="3344"/>
        <v>NM</v>
      </c>
      <c r="BL729" s="725">
        <f>+AQ729+AS729+AU729+AW729</f>
        <v>0</v>
      </c>
      <c r="BM729" s="9" t="str">
        <f t="shared" si="3344"/>
        <v>NM</v>
      </c>
      <c r="BN729" s="166">
        <v>0</v>
      </c>
      <c r="BO729" s="9" t="str">
        <f t="shared" si="3344"/>
        <v>NA</v>
      </c>
      <c r="BP729" s="166">
        <v>0</v>
      </c>
      <c r="BQ729" s="9" t="str">
        <f t="shared" si="3344"/>
        <v>NA</v>
      </c>
      <c r="BR729" s="166">
        <v>0</v>
      </c>
      <c r="BS729" s="9" t="str">
        <f t="shared" si="3344"/>
        <v>NA</v>
      </c>
      <c r="BT729" s="166">
        <v>0</v>
      </c>
      <c r="BU729" s="9" t="str">
        <f t="shared" si="3345"/>
        <v>NA</v>
      </c>
      <c r="BV729" s="43" t="str">
        <f>IF(ISERROR(((BT729/BJ729)^0.2-1)*100),"NA",IF((((BT729/BJ729)^0.2-1)*100)&gt;100,"NM",IF((((BT729/BJ729)^0.2-1)*100)&lt;-50,"NM",((BT729/BJ729)^0.2-1)*100)))</f>
        <v>NM</v>
      </c>
      <c r="BW729" s="722"/>
      <c r="BX729" s="722"/>
      <c r="BY729"/>
      <c r="BZ729"/>
      <c r="CA729"/>
      <c r="CB729"/>
      <c r="CC729"/>
      <c r="CD729"/>
    </row>
    <row r="730" spans="1:82" s="2" customFormat="1" ht="12.75" customHeight="1" x14ac:dyDescent="0.2">
      <c r="A730" s="41"/>
      <c r="B730" s="62" t="s">
        <v>482</v>
      </c>
      <c r="C730" s="725">
        <f>C727+C728+C729</f>
        <v>-55</v>
      </c>
      <c r="D730" s="9" t="str">
        <f>IF(ISERROR(C730/#REF!),"NA",IF(OR(C730/#REF!&gt;2,C730/#REF!&lt;0.5),"NM",C730/#REF!*100-100))</f>
        <v>NA</v>
      </c>
      <c r="E730" s="725">
        <f>E727+E728+E729</f>
        <v>-49.1</v>
      </c>
      <c r="F730" s="9" t="str">
        <f>IF(ISERROR(E730/#REF!),"NA",IF(OR(E730/#REF!&gt;2,E730/#REF!&lt;0.5),"NM",E730/#REF!*100-100))</f>
        <v>NA</v>
      </c>
      <c r="G730" s="725">
        <f>G727+G728+G729</f>
        <v>-23.5</v>
      </c>
      <c r="H730" s="9" t="str">
        <f>IF(ISERROR(G730/#REF!),"NA",IF(OR(G730/#REF!&gt;2,G730/#REF!&lt;0.5),"NM",G730/#REF!*100-100))</f>
        <v>NA</v>
      </c>
      <c r="I730" s="725">
        <f>I727+I728+I729</f>
        <v>-52.599999999999994</v>
      </c>
      <c r="J730" s="9" t="str">
        <f>IF(ISERROR(I730/#REF!),"NA",IF(OR(I730/#REF!&gt;2,I730/#REF!&lt;0.5),"NM",I730/#REF!*100-100))</f>
        <v>NA</v>
      </c>
      <c r="K730" s="725">
        <f>K727+K728+K729</f>
        <v>-23.4</v>
      </c>
      <c r="L730" s="9" t="str">
        <f t="shared" si="3308"/>
        <v>NM</v>
      </c>
      <c r="M730" s="725">
        <f>M727+M728+M729</f>
        <v>-16.8</v>
      </c>
      <c r="N730" s="9" t="str">
        <f t="shared" si="3333"/>
        <v>NM</v>
      </c>
      <c r="O730" s="725">
        <f>O727+O728+O729</f>
        <v>-113</v>
      </c>
      <c r="P730" s="9" t="str">
        <f t="shared" si="3333"/>
        <v>NM</v>
      </c>
      <c r="Q730" s="725">
        <f>Q727+Q728+Q729</f>
        <v>-53.6</v>
      </c>
      <c r="R730" s="9">
        <f t="shared" si="3333"/>
        <v>1.9011406844106489</v>
      </c>
      <c r="S730" s="725">
        <f>S727+S728+S729</f>
        <v>87.8</v>
      </c>
      <c r="T730" s="9" t="str">
        <f t="shared" si="3333"/>
        <v>NM</v>
      </c>
      <c r="U730" s="725">
        <f>U727+U728+U729</f>
        <v>-82.8</v>
      </c>
      <c r="V730" s="9" t="str">
        <f t="shared" si="3333"/>
        <v>NM</v>
      </c>
      <c r="W730" s="725">
        <f t="shared" ref="W730:Y730" si="3347">W727+W728+W729</f>
        <v>-16.600000000000001</v>
      </c>
      <c r="X730" s="9" t="str">
        <f t="shared" si="3333"/>
        <v>NM</v>
      </c>
      <c r="Y730" s="725">
        <f t="shared" si="3347"/>
        <v>-49.6</v>
      </c>
      <c r="Z730" s="9">
        <f t="shared" si="3333"/>
        <v>-7.4626865671641838</v>
      </c>
      <c r="AA730" s="725">
        <f t="shared" ref="AA730:AC730" si="3348">AA727+AA728+AA729</f>
        <v>81.7</v>
      </c>
      <c r="AB730" s="9">
        <f t="shared" si="3333"/>
        <v>-6.9476082004555764</v>
      </c>
      <c r="AC730" s="725">
        <f t="shared" si="3348"/>
        <v>-14.8</v>
      </c>
      <c r="AD730" s="9" t="str">
        <f t="shared" si="3334"/>
        <v>NM</v>
      </c>
      <c r="AE730" s="725">
        <f t="shared" ref="AE730:AG730" si="3349">AE727+AE728+AE729</f>
        <v>-27.5</v>
      </c>
      <c r="AF730" s="9">
        <f t="shared" si="3334"/>
        <v>65.662650602409627</v>
      </c>
      <c r="AG730" s="725">
        <f t="shared" si="3349"/>
        <v>-54</v>
      </c>
      <c r="AH730" s="9">
        <f t="shared" si="3346"/>
        <v>8.8709677419354733</v>
      </c>
      <c r="AI730" s="725">
        <f t="shared" ref="AI730:AK730" si="3350">AI727+AI728+AI729</f>
        <v>-21.6</v>
      </c>
      <c r="AJ730" s="9" t="str">
        <f t="shared" si="3335"/>
        <v>NM</v>
      </c>
      <c r="AK730" s="725">
        <f t="shared" si="3350"/>
        <v>-74.099999999999994</v>
      </c>
      <c r="AL730" s="9" t="str">
        <f t="shared" si="3336"/>
        <v>NM</v>
      </c>
      <c r="AM730" s="725">
        <f t="shared" ref="AM730:AO730" si="3351">AM727+AM728+AM729</f>
        <v>436.5</v>
      </c>
      <c r="AN730" s="9" t="str">
        <f t="shared" si="3337"/>
        <v>NM</v>
      </c>
      <c r="AO730" s="725">
        <f t="shared" si="3351"/>
        <v>491</v>
      </c>
      <c r="AP730" s="9" t="str">
        <f t="shared" si="3338"/>
        <v>NM</v>
      </c>
      <c r="AQ730" s="725">
        <f t="shared" ref="AQ730:AW730" si="3352">AQ727+AQ728+AQ729</f>
        <v>-13.184635186041724</v>
      </c>
      <c r="AR730" s="9">
        <f t="shared" si="3340"/>
        <v>-38.960022286843873</v>
      </c>
      <c r="AS730" s="725">
        <f t="shared" si="3352"/>
        <v>-13.441228233211259</v>
      </c>
      <c r="AT730" s="9" t="str">
        <f t="shared" si="3341"/>
        <v>NM</v>
      </c>
      <c r="AU730" s="725">
        <f t="shared" si="3352"/>
        <v>-13.702824844800601</v>
      </c>
      <c r="AV730" s="9" t="str">
        <f t="shared" si="3342"/>
        <v>NM</v>
      </c>
      <c r="AW730" s="725">
        <f t="shared" si="3352"/>
        <v>-13.969522590315933</v>
      </c>
      <c r="AX730" s="9" t="str">
        <f t="shared" si="3343"/>
        <v>NM</v>
      </c>
      <c r="AY730" s="286"/>
      <c r="AZ730" s="92"/>
      <c r="BA730" s="9"/>
      <c r="BB730" s="725">
        <f>BB727+BB728+BB729</f>
        <v>-180.2</v>
      </c>
      <c r="BC730" s="9" t="str">
        <f>IF(ISERROR(BB730/#REF!),"NA",IF(OR(BB730/#REF!&gt;2,BB730/#REF!&lt;0.5),"NM",BB730/#REF!*100-100))</f>
        <v>NA</v>
      </c>
      <c r="BD730" s="961">
        <f>BD727+BD728+BD729</f>
        <v>-206.8</v>
      </c>
      <c r="BE730" s="9">
        <f t="shared" si="3344"/>
        <v>14.761376248612663</v>
      </c>
      <c r="BF730" s="725">
        <f>BF727+BF728+BF729</f>
        <v>-61.2</v>
      </c>
      <c r="BG730" s="9" t="str">
        <f t="shared" si="3344"/>
        <v>NM</v>
      </c>
      <c r="BH730" s="725">
        <f>BH727+BH728+BH729</f>
        <v>-14.599999999999994</v>
      </c>
      <c r="BI730" s="9" t="str">
        <f t="shared" si="3344"/>
        <v>NM</v>
      </c>
      <c r="BJ730" s="725">
        <f>BJ727+BJ728+BJ729</f>
        <v>831.8</v>
      </c>
      <c r="BK730" s="9" t="str">
        <f t="shared" si="3344"/>
        <v>NM</v>
      </c>
      <c r="BL730" s="725">
        <f>BL727+BL728+BL729</f>
        <v>-54.298210854369515</v>
      </c>
      <c r="BM730" s="9" t="str">
        <f t="shared" si="3344"/>
        <v>NM</v>
      </c>
      <c r="BN730" s="725">
        <f>BN727+BN728+BN729</f>
        <v>-58.633977554652596</v>
      </c>
      <c r="BO730" s="9">
        <f t="shared" si="3344"/>
        <v>7.985100488691657</v>
      </c>
      <c r="BP730" s="725">
        <f>BP727+BP728+BP729</f>
        <v>-63.316605590958325</v>
      </c>
      <c r="BQ730" s="9">
        <f t="shared" si="3344"/>
        <v>7.9862022526803003</v>
      </c>
      <c r="BR730" s="725">
        <f>BR727+BR728+BR729</f>
        <v>-68.373843870168514</v>
      </c>
      <c r="BS730" s="9">
        <f t="shared" si="3344"/>
        <v>7.987222675645711</v>
      </c>
      <c r="BT730" s="725">
        <f>BT727+BT728+BT729</f>
        <v>-73.835661211715518</v>
      </c>
      <c r="BU730" s="9">
        <f t="shared" si="3345"/>
        <v>7.9881677442592718</v>
      </c>
      <c r="BV730" s="43" t="str">
        <f>IF(ISERROR(((BT730/BJ730)^0.2-1)*100),"NA",IF((((BT730/BJ730)^0.2-1)*100)&gt;100,"NM",IF((((BT730/BJ730)^0.2-1)*100)&lt;-50,"NM",((BT730/BJ730)^0.2-1)*100)))</f>
        <v>NM</v>
      </c>
      <c r="BW730" s="722"/>
      <c r="BX730" s="722"/>
      <c r="BY730"/>
      <c r="BZ730"/>
      <c r="CA730"/>
      <c r="CB730"/>
      <c r="CC730"/>
      <c r="CD730"/>
    </row>
    <row r="731" spans="1:82" s="2" customFormat="1" ht="12.75" customHeight="1" x14ac:dyDescent="0.2">
      <c r="A731" s="41" t="s">
        <v>315</v>
      </c>
      <c r="B731" s="67" t="s">
        <v>179</v>
      </c>
      <c r="C731" s="708">
        <f>+C707+C730</f>
        <v>178.30000000000013</v>
      </c>
      <c r="D731" s="705" t="str">
        <f>IF(ISERROR(C731/#REF!),"NA",IF(OR(C731/#REF!&gt;2,C731/#REF!&lt;0.5),"NM",C731/#REF!*100-100))</f>
        <v>NA</v>
      </c>
      <c r="E731" s="708">
        <f>+E707+E730</f>
        <v>222.29999999999998</v>
      </c>
      <c r="F731" s="705" t="str">
        <f>IF(ISERROR(E731/#REF!),"NA",IF(OR(E731/#REF!&gt;2,E731/#REF!&lt;0.5),"NM",E731/#REF!*100-100))</f>
        <v>NA</v>
      </c>
      <c r="G731" s="708">
        <f>+G707+G730</f>
        <v>245.7</v>
      </c>
      <c r="H731" s="9" t="str">
        <f>IF(ISERROR(G731/#REF!),"NA",IF(OR(G731/#REF!&gt;2,G731/#REF!&lt;0.5),"NM",G731/#REF!*100-100))</f>
        <v>NA</v>
      </c>
      <c r="I731" s="708">
        <f>+I707+I730</f>
        <v>233.4</v>
      </c>
      <c r="J731" s="9" t="str">
        <f>IF(ISERROR(I731/#REF!),"NA",IF(OR(I731/#REF!&gt;2,I731/#REF!&lt;0.5),"NM",I731/#REF!*100-100))</f>
        <v>NA</v>
      </c>
      <c r="K731" s="708">
        <f>+K707+K730</f>
        <v>293.60000000000002</v>
      </c>
      <c r="L731" s="9">
        <f t="shared" si="3308"/>
        <v>64.666292765002709</v>
      </c>
      <c r="M731" s="708">
        <f>+M707+M730</f>
        <v>306.2</v>
      </c>
      <c r="N731" s="9">
        <f t="shared" si="3333"/>
        <v>37.741790373369327</v>
      </c>
      <c r="O731" s="708">
        <f>+O707+O730</f>
        <v>268.37692307692311</v>
      </c>
      <c r="P731" s="9">
        <f t="shared" si="3333"/>
        <v>9.2295169218246258</v>
      </c>
      <c r="Q731" s="708">
        <f>+Q707+Q730</f>
        <v>273.6307692307692</v>
      </c>
      <c r="R731" s="9">
        <f t="shared" si="3333"/>
        <v>17.236833432206168</v>
      </c>
      <c r="S731" s="708">
        <f>+S707+S730</f>
        <v>420.6615384615385</v>
      </c>
      <c r="T731" s="9">
        <f t="shared" si="3333"/>
        <v>43.277090756654815</v>
      </c>
      <c r="U731" s="708">
        <f>+U707+U730</f>
        <v>239.48461538461532</v>
      </c>
      <c r="V731" s="9">
        <f t="shared" si="3333"/>
        <v>-21.788172637290884</v>
      </c>
      <c r="W731" s="708">
        <f>+W707+W730</f>
        <v>303.20000000000005</v>
      </c>
      <c r="X731" s="9">
        <f t="shared" si="3333"/>
        <v>12.97543638396057</v>
      </c>
      <c r="Y731" s="708">
        <f>+Y707+Y730</f>
        <v>253.6</v>
      </c>
      <c r="Z731" s="9">
        <f t="shared" si="3333"/>
        <v>-7.3203643314966769</v>
      </c>
      <c r="AA731" s="708">
        <f>+AA707+AA730</f>
        <v>367.99999999999994</v>
      </c>
      <c r="AB731" s="9">
        <f t="shared" si="3333"/>
        <v>-12.518743371246771</v>
      </c>
      <c r="AC731" s="708">
        <f>+AC707+AC730</f>
        <v>322.3</v>
      </c>
      <c r="AD731" s="9">
        <f t="shared" si="3334"/>
        <v>34.580670028587065</v>
      </c>
      <c r="AE731" s="708">
        <f>+AE707+AE730</f>
        <v>308.20000000000005</v>
      </c>
      <c r="AF731" s="9">
        <f t="shared" si="3334"/>
        <v>1.6490765171504052</v>
      </c>
      <c r="AG731" s="708">
        <f>+AG707+AG730</f>
        <v>318.00000000000006</v>
      </c>
      <c r="AH731" s="9">
        <f t="shared" si="3346"/>
        <v>25.394321766561532</v>
      </c>
      <c r="AI731" s="708">
        <f>+AI707+AI730</f>
        <v>348.9</v>
      </c>
      <c r="AJ731" s="9">
        <f t="shared" si="3335"/>
        <v>-5.1902173913043441</v>
      </c>
      <c r="AK731" s="708">
        <f>+AK707+AK730</f>
        <v>309.5</v>
      </c>
      <c r="AL731" s="9">
        <f t="shared" si="3336"/>
        <v>-3.9714551659944135</v>
      </c>
      <c r="AM731" s="708">
        <f>+AM707+AM730</f>
        <v>810.19999999999993</v>
      </c>
      <c r="AN731" s="9" t="str">
        <f t="shared" si="3337"/>
        <v>NM</v>
      </c>
      <c r="AO731" s="708">
        <f>+AO707+AO730</f>
        <v>841.80000000000007</v>
      </c>
      <c r="AP731" s="9" t="str">
        <f t="shared" si="3338"/>
        <v>NM</v>
      </c>
      <c r="AQ731" s="708">
        <f t="shared" ref="AQ731:AW731" si="3353">+AQ707+AQ730</f>
        <v>385.3315127143195</v>
      </c>
      <c r="AR731" s="9">
        <f t="shared" si="3340"/>
        <v>10.441820783697196</v>
      </c>
      <c r="AS731" s="708">
        <f t="shared" si="3353"/>
        <v>392.42053478040253</v>
      </c>
      <c r="AT731" s="9">
        <f t="shared" si="3341"/>
        <v>26.791772142294846</v>
      </c>
      <c r="AU731" s="708">
        <f t="shared" si="3353"/>
        <v>407.20074125233941</v>
      </c>
      <c r="AV731" s="9">
        <f t="shared" si="3342"/>
        <v>-49.740713249526117</v>
      </c>
      <c r="AW731" s="708">
        <f t="shared" si="3353"/>
        <v>421.36507885339699</v>
      </c>
      <c r="AX731" s="9">
        <f t="shared" si="3343"/>
        <v>-49.944751858707889</v>
      </c>
      <c r="AY731" s="285"/>
      <c r="AZ731" s="79"/>
      <c r="BA731" s="9" t="str">
        <f>IF(ISERROR(#REF!/#REF!),"NA",IF(OR(#REF!/#REF!&gt;2,#REF!/#REF!&lt;0.5),"NM",#REF!/#REF!*100-100))</f>
        <v>NA</v>
      </c>
      <c r="BB731" s="708">
        <f>BB707+BB730</f>
        <v>879.7</v>
      </c>
      <c r="BC731" s="9" t="str">
        <f>IF(ISERROR(BB731/#REF!),"NA",IF(OR(BB731/#REF!&gt;2,BB731/#REF!&lt;0.5),"NM",BB731/#REF!*100-100))</f>
        <v>NA</v>
      </c>
      <c r="BD731" s="944">
        <f>BD707+BD730</f>
        <v>1141.8076923076924</v>
      </c>
      <c r="BE731" s="9">
        <f t="shared" si="3344"/>
        <v>29.795122463077462</v>
      </c>
      <c r="BF731" s="708">
        <f>BF707+BF730</f>
        <v>1216.9461538461542</v>
      </c>
      <c r="BG731" s="9">
        <f t="shared" si="3344"/>
        <v>6.5806582005591991</v>
      </c>
      <c r="BH731" s="708">
        <f>BH707+BH730</f>
        <v>1316.5000000000009</v>
      </c>
      <c r="BI731" s="9">
        <f t="shared" si="3344"/>
        <v>8.1806286859288804</v>
      </c>
      <c r="BJ731" s="708">
        <f>BJ707+BJ730</f>
        <v>2310.4000000000005</v>
      </c>
      <c r="BK731" s="9">
        <f t="shared" si="3344"/>
        <v>75.495632358526308</v>
      </c>
      <c r="BL731" s="708">
        <f>BL707+BL730</f>
        <v>1606.3178676004586</v>
      </c>
      <c r="BM731" s="9">
        <f t="shared" si="3344"/>
        <v>-30.474469026988487</v>
      </c>
      <c r="BN731" s="708">
        <f>BN707+BN730</f>
        <v>1684.9258405600249</v>
      </c>
      <c r="BO731" s="9">
        <f t="shared" si="3344"/>
        <v>4.8936748164914547</v>
      </c>
      <c r="BP731" s="708">
        <f>BP707+BP730</f>
        <v>1769.0015292388971</v>
      </c>
      <c r="BQ731" s="9">
        <f t="shared" si="3344"/>
        <v>4.9898747265296777</v>
      </c>
      <c r="BR731" s="708">
        <f>BR707+BR730</f>
        <v>1847.1765009373312</v>
      </c>
      <c r="BS731" s="9">
        <f t="shared" si="3344"/>
        <v>4.4191579490645552</v>
      </c>
      <c r="BT731" s="708">
        <f>BT707+BT730</f>
        <v>1927.2069968015803</v>
      </c>
      <c r="BU731" s="9">
        <f t="shared" si="3345"/>
        <v>4.3325852090278545</v>
      </c>
      <c r="BV731" s="43">
        <f>IF(ISERROR(((BT731/BJ731)^0.2-1)*100),"NA",IF((((BT731/BJ731)^0.2-1)*100)&gt;100,"NM",IF((((BT731/BJ731)^0.2-1)*100)&lt;-50,"NM",((BT731/BJ731)^0.2-1)*100)))</f>
        <v>-3.5619905681000152</v>
      </c>
      <c r="BW731" s="722"/>
      <c r="BX731" s="722"/>
      <c r="BY731"/>
      <c r="BZ731"/>
      <c r="CA731"/>
      <c r="CB731"/>
      <c r="CC731"/>
      <c r="CD731"/>
    </row>
    <row r="732" spans="1:82" s="2" customFormat="1" ht="12.75" customHeight="1" x14ac:dyDescent="0.2">
      <c r="A732" s="41"/>
      <c r="B732" s="67"/>
      <c r="C732" s="708"/>
      <c r="D732" s="9"/>
      <c r="E732" s="708"/>
      <c r="F732" s="9"/>
      <c r="G732" s="708"/>
      <c r="H732" s="9"/>
      <c r="I732" s="708"/>
      <c r="J732" s="9"/>
      <c r="K732" s="708"/>
      <c r="L732" s="9"/>
      <c r="M732" s="708"/>
      <c r="N732" s="9"/>
      <c r="O732" s="708"/>
      <c r="P732" s="9"/>
      <c r="Q732" s="708"/>
      <c r="R732" s="9"/>
      <c r="S732" s="708"/>
      <c r="T732" s="9"/>
      <c r="U732" s="708"/>
      <c r="V732" s="9"/>
      <c r="W732" s="708"/>
      <c r="X732" s="9"/>
      <c r="Y732" s="708"/>
      <c r="Z732" s="9"/>
      <c r="AA732" s="708"/>
      <c r="AB732" s="9"/>
      <c r="AC732" s="708"/>
      <c r="AD732" s="9"/>
      <c r="AE732" s="708"/>
      <c r="AF732" s="9"/>
      <c r="AG732" s="708"/>
      <c r="AH732" s="9"/>
      <c r="AI732" s="708"/>
      <c r="AJ732" s="9"/>
      <c r="AK732" s="708"/>
      <c r="AL732" s="9"/>
      <c r="AM732" s="708"/>
      <c r="AN732" s="9"/>
      <c r="AO732" s="708"/>
      <c r="AP732" s="9"/>
      <c r="AQ732" s="708"/>
      <c r="AR732" s="9"/>
      <c r="AS732" s="708"/>
      <c r="AT732" s="9"/>
      <c r="AU732" s="708"/>
      <c r="AV732" s="9"/>
      <c r="AW732" s="708"/>
      <c r="AX732" s="9"/>
      <c r="AY732" s="285"/>
      <c r="AZ732" s="79"/>
      <c r="BA732" s="9"/>
      <c r="BB732" s="708"/>
      <c r="BC732" s="9"/>
      <c r="BD732" s="944"/>
      <c r="BE732" s="9"/>
      <c r="BF732" s="708"/>
      <c r="BG732" s="9"/>
      <c r="BH732" s="708"/>
      <c r="BI732" s="9"/>
      <c r="BJ732" s="708"/>
      <c r="BK732" s="9"/>
      <c r="BL732" s="708"/>
      <c r="BM732" s="9"/>
      <c r="BN732" s="708"/>
      <c r="BO732" s="9"/>
      <c r="BP732" s="708"/>
      <c r="BQ732" s="9"/>
      <c r="BR732" s="708"/>
      <c r="BS732" s="9"/>
      <c r="BT732" s="708"/>
      <c r="BU732" s="9"/>
      <c r="BV732" s="722"/>
      <c r="BW732" s="722"/>
      <c r="BX732" s="722"/>
      <c r="BY732"/>
      <c r="BZ732"/>
      <c r="CA732"/>
      <c r="CB732"/>
      <c r="CC732"/>
      <c r="CD732"/>
    </row>
    <row r="733" spans="1:82" s="2" customFormat="1" ht="12.75" customHeight="1" x14ac:dyDescent="0.2">
      <c r="A733" s="41"/>
      <c r="B733" s="62" t="s">
        <v>17</v>
      </c>
      <c r="C733" s="725">
        <f>C731+C711</f>
        <v>178.30000000000013</v>
      </c>
      <c r="D733" s="743" t="str">
        <f>IF(ISERROR(C733/#REF!),"NA",IF(OR(C733/#REF!&gt;2,C733/#REF!&lt;0.5),"NM",C733/#REF!*100-100))</f>
        <v>NA</v>
      </c>
      <c r="E733" s="725">
        <f>E731+E711</f>
        <v>222.29999999999998</v>
      </c>
      <c r="F733" s="743" t="str">
        <f>IF(ISERROR(E733/#REF!),"NA",IF(OR(E733/#REF!&gt;2,E733/#REF!&lt;0.5),"NM",E733/#REF!*100-100))</f>
        <v>NA</v>
      </c>
      <c r="G733" s="725">
        <f>G731+G711</f>
        <v>245.7</v>
      </c>
      <c r="H733" s="9" t="str">
        <f>IF(ISERROR(G733/#REF!),"NA",IF(OR(G733/#REF!&gt;2,G733/#REF!&lt;0.5),"NM",G733/#REF!*100-100))</f>
        <v>NA</v>
      </c>
      <c r="I733" s="725">
        <f>I731+I711</f>
        <v>233.4</v>
      </c>
      <c r="J733" s="9" t="str">
        <f>IF(ISERROR(I733/#REF!),"NA",IF(OR(I733/#REF!&gt;2,I733/#REF!&lt;0.5),"NM",I733/#REF!*100-100))</f>
        <v>NA</v>
      </c>
      <c r="K733" s="725">
        <f>K731+K711</f>
        <v>293.60000000000002</v>
      </c>
      <c r="L733" s="9">
        <f t="shared" si="3308"/>
        <v>64.666292765002709</v>
      </c>
      <c r="M733" s="725">
        <f>M731+M711</f>
        <v>306.2</v>
      </c>
      <c r="N733" s="9">
        <f t="shared" ref="N733:AB733" si="3354">IF(ISERROR(M733/E733),"NA",IF(OR(M733/E733&gt;2,M733/E733&lt;0.5),"NM",M733/E733*100-100))</f>
        <v>37.741790373369327</v>
      </c>
      <c r="O733" s="725">
        <f>O731+O711</f>
        <v>268.37692307692311</v>
      </c>
      <c r="P733" s="9">
        <f t="shared" si="3354"/>
        <v>9.2295169218246258</v>
      </c>
      <c r="Q733" s="725">
        <f>Q731+Q711</f>
        <v>273.6307692307692</v>
      </c>
      <c r="R733" s="9">
        <f t="shared" si="3354"/>
        <v>17.236833432206168</v>
      </c>
      <c r="S733" s="725">
        <f>S731+S711</f>
        <v>420.6615384615385</v>
      </c>
      <c r="T733" s="9">
        <f t="shared" si="3354"/>
        <v>43.277090756654815</v>
      </c>
      <c r="U733" s="725">
        <f>U731+U711</f>
        <v>239.48461538461532</v>
      </c>
      <c r="V733" s="9">
        <f t="shared" si="3354"/>
        <v>-21.788172637290884</v>
      </c>
      <c r="W733" s="725">
        <f>W731+W711</f>
        <v>303.20000000000005</v>
      </c>
      <c r="X733" s="9">
        <f t="shared" si="3354"/>
        <v>12.97543638396057</v>
      </c>
      <c r="Y733" s="725">
        <f>Y731+Y711</f>
        <v>253.6</v>
      </c>
      <c r="Z733" s="9">
        <f t="shared" si="3354"/>
        <v>-7.3203643314966769</v>
      </c>
      <c r="AA733" s="725">
        <f>AA731+AA711</f>
        <v>367.99999999999994</v>
      </c>
      <c r="AB733" s="9">
        <f t="shared" si="3354"/>
        <v>-12.518743371246771</v>
      </c>
      <c r="AC733" s="725">
        <f>AC731+AC711</f>
        <v>322.3</v>
      </c>
      <c r="AD733" s="9">
        <f t="shared" ref="AD733:AF733" si="3355">IF(ISERROR(AC733/U733),"NA",IF(OR(AC733/U733&gt;2,AC733/U733&lt;0.5),"NM",AC733/U733*100-100))</f>
        <v>34.580670028587065</v>
      </c>
      <c r="AE733" s="725">
        <f>AE731+AE711</f>
        <v>308.20000000000005</v>
      </c>
      <c r="AF733" s="9">
        <f t="shared" si="3355"/>
        <v>1.6490765171504052</v>
      </c>
      <c r="AG733" s="725">
        <f>AG731+AG711</f>
        <v>318.00000000000006</v>
      </c>
      <c r="AH733" s="9">
        <f>IF(ISERROR(AG733/Y733),"NA",IF(OR(AG733/Y733&gt;2,AG733/Y733&lt;0.5),"NM",AG733/Y733*100-100))</f>
        <v>25.394321766561532</v>
      </c>
      <c r="AI733" s="725">
        <f>AI731+AI711</f>
        <v>348.9</v>
      </c>
      <c r="AJ733" s="9">
        <f t="shared" ref="AJ733" si="3356">IF(ISERROR(AI733/AA733),"NA",IF(OR(AI733/AA733&gt;2,AI733/AA733&lt;0.5),"NM",AI733/AA733*100-100))</f>
        <v>-5.1902173913043441</v>
      </c>
      <c r="AK733" s="725">
        <f>AK731+AK711</f>
        <v>309.5</v>
      </c>
      <c r="AL733" s="9">
        <f t="shared" ref="AL733" si="3357">IF(ISERROR(AK733/AC733),"NA",IF(OR(AK733/AC733&gt;2,AK733/AC733&lt;0.5),"NM",AK733/AC733*100-100))</f>
        <v>-3.9714551659944135</v>
      </c>
      <c r="AM733" s="725">
        <f>AM731+AM711</f>
        <v>810.19999999999993</v>
      </c>
      <c r="AN733" s="9" t="str">
        <f t="shared" ref="AN733" si="3358">IF(ISERROR(AM733/AE733),"NA",IF(OR(AM733/AE733&gt;2,AM733/AE733&lt;0.5),"NM",AM733/AE733*100-100))</f>
        <v>NM</v>
      </c>
      <c r="AO733" s="725">
        <f>AO731+AO711</f>
        <v>841.80000000000007</v>
      </c>
      <c r="AP733" s="9" t="str">
        <f t="shared" ref="AP733" si="3359">IF(ISERROR(AO733/AG733),"NA",IF(OR(AO733/AG733&gt;2,AO733/AG733&lt;0.5),"NM",AO733/AG733*100-100))</f>
        <v>NM</v>
      </c>
      <c r="AQ733" s="725">
        <f t="shared" ref="AQ733:AW733" si="3360">AQ731+AQ711</f>
        <v>385.3315127143195</v>
      </c>
      <c r="AR733" s="9">
        <f t="shared" ref="AR733" si="3361">IF(ISERROR(AQ733/AI733),"NA",IF(OR(AQ733/AI733&gt;2,AQ733/AI733&lt;0.5),"NM",AQ733/AI733*100-100))</f>
        <v>10.441820783697196</v>
      </c>
      <c r="AS733" s="725">
        <f t="shared" si="3360"/>
        <v>392.42053478040253</v>
      </c>
      <c r="AT733" s="9">
        <f t="shared" ref="AT733" si="3362">IF(ISERROR(AS733/AK733),"NA",IF(OR(AS733/AK733&gt;2,AS733/AK733&lt;0.5),"NM",AS733/AK733*100-100))</f>
        <v>26.791772142294846</v>
      </c>
      <c r="AU733" s="725">
        <f t="shared" si="3360"/>
        <v>407.20074125233941</v>
      </c>
      <c r="AV733" s="9">
        <f t="shared" ref="AV733" si="3363">IF(ISERROR(AU733/AM733),"NA",IF(OR(AU733/AM733&gt;2,AU733/AM733&lt;0.5),"NM",AU733/AM733*100-100))</f>
        <v>-49.740713249526117</v>
      </c>
      <c r="AW733" s="725">
        <f t="shared" si="3360"/>
        <v>421.36507885339699</v>
      </c>
      <c r="AX733" s="9">
        <f t="shared" ref="AX733" si="3364">IF(ISERROR(AW733/AO733),"NA",IF(OR(AW733/AO733&gt;2,AW733/AO733&lt;0.5),"NM",AW733/AO733*100-100))</f>
        <v>-49.944751858707889</v>
      </c>
      <c r="AY733" s="279"/>
      <c r="AZ733" s="15"/>
      <c r="BA733" s="650"/>
      <c r="BB733" s="650">
        <f>BB731+BB711</f>
        <v>879.7</v>
      </c>
      <c r="BC733" s="9" t="str">
        <f>IF(ISERROR(BB733/#REF!),"NA",IF(OR(BB733/#REF!&gt;2,BB733/#REF!&lt;0.5),"NM",BB733/#REF!*100-100))</f>
        <v>NA</v>
      </c>
      <c r="BD733" s="938">
        <f>BD731+BD711</f>
        <v>1141.8076923076924</v>
      </c>
      <c r="BE733" s="9">
        <f t="shared" ref="BE733:BS733" si="3365">IF(ISERROR(BD733/BB733),"NA",IF(OR(BD733/BB733&gt;2,BD733/BB733&lt;0.5),"NM",BD733/BB733*100-100))</f>
        <v>29.795122463077462</v>
      </c>
      <c r="BF733" s="650">
        <f>BF731+BF711</f>
        <v>1216.9461538461542</v>
      </c>
      <c r="BG733" s="9">
        <f t="shared" si="3365"/>
        <v>6.5806582005591991</v>
      </c>
      <c r="BH733" s="650">
        <f>BH731+BH711</f>
        <v>1316.5000000000009</v>
      </c>
      <c r="BI733" s="9">
        <f t="shared" si="3365"/>
        <v>8.1806286859288804</v>
      </c>
      <c r="BJ733" s="650">
        <f>BJ731+BJ711</f>
        <v>2310.4000000000005</v>
      </c>
      <c r="BK733" s="9">
        <f t="shared" si="3365"/>
        <v>75.495632358526308</v>
      </c>
      <c r="BL733" s="650">
        <f>BL731+BL711</f>
        <v>1606.3178676004586</v>
      </c>
      <c r="BM733" s="9">
        <f t="shared" si="3365"/>
        <v>-30.474469026988487</v>
      </c>
      <c r="BN733" s="650">
        <f>BN731+BN711</f>
        <v>1684.9258405600249</v>
      </c>
      <c r="BO733" s="9">
        <f t="shared" si="3365"/>
        <v>4.8936748164914547</v>
      </c>
      <c r="BP733" s="650">
        <f>BP731+BP711</f>
        <v>1769.0015292388971</v>
      </c>
      <c r="BQ733" s="9">
        <f t="shared" si="3365"/>
        <v>4.9898747265296777</v>
      </c>
      <c r="BR733" s="650">
        <f>BR731+BR711</f>
        <v>1847.1765009373312</v>
      </c>
      <c r="BS733" s="9">
        <f t="shared" si="3365"/>
        <v>4.4191579490645552</v>
      </c>
      <c r="BT733" s="650">
        <f>BT731+BT711</f>
        <v>1927.2069968015803</v>
      </c>
      <c r="BU733" s="9">
        <f t="shared" ref="BU733" si="3366">IF(ISERROR(BT733/BR733),"NA",IF(OR(BT733/BR733&gt;2,BT733/BR733&lt;0.5),"NM",BT733/BR733*100-100))</f>
        <v>4.3325852090278545</v>
      </c>
      <c r="BV733" s="43">
        <f>IF(ISERROR(((BT733/BJ733)^0.2-1)*100),"NA",IF((((BT733/BJ733)^0.2-1)*100)&gt;100,"NM",IF((((BT733/BJ733)^0.2-1)*100)&lt;-50,"NM",((BT733/BJ733)^0.2-1)*100)))</f>
        <v>-3.5619905681000152</v>
      </c>
      <c r="BW733" s="722"/>
      <c r="BX733" s="722"/>
      <c r="BY733"/>
      <c r="BZ733"/>
      <c r="CA733"/>
      <c r="CB733"/>
      <c r="CC733"/>
      <c r="CD733"/>
    </row>
    <row r="734" spans="1:82" s="2" customFormat="1" ht="12.75" customHeight="1" x14ac:dyDescent="0.2">
      <c r="A734" s="41"/>
      <c r="B734" s="62"/>
      <c r="C734" s="79"/>
      <c r="D734" s="9"/>
      <c r="E734" s="79"/>
      <c r="F734" s="9"/>
      <c r="G734" s="79"/>
      <c r="H734" s="9"/>
      <c r="I734" s="79"/>
      <c r="J734" s="9"/>
      <c r="K734" s="79"/>
      <c r="L734" s="9"/>
      <c r="M734" s="79"/>
      <c r="N734" s="9"/>
      <c r="O734" s="79"/>
      <c r="P734" s="9"/>
      <c r="Q734" s="79"/>
      <c r="R734" s="9"/>
      <c r="S734" s="79"/>
      <c r="T734" s="9"/>
      <c r="U734" s="79"/>
      <c r="V734" s="9"/>
      <c r="W734" s="79"/>
      <c r="X734" s="9"/>
      <c r="Y734" s="79"/>
      <c r="Z734" s="9"/>
      <c r="AA734" s="79"/>
      <c r="AB734" s="9"/>
      <c r="AC734" s="79"/>
      <c r="AD734" s="9"/>
      <c r="AE734" s="79"/>
      <c r="AF734" s="9"/>
      <c r="AG734" s="79"/>
      <c r="AH734" s="9"/>
      <c r="AI734" s="79"/>
      <c r="AJ734" s="9"/>
      <c r="AK734" s="79"/>
      <c r="AL734" s="9"/>
      <c r="AM734" s="79"/>
      <c r="AN734" s="9"/>
      <c r="AO734" s="79"/>
      <c r="AP734" s="9"/>
      <c r="AQ734" s="79"/>
      <c r="AR734" s="9"/>
      <c r="AS734" s="79"/>
      <c r="AT734" s="9"/>
      <c r="AU734" s="79"/>
      <c r="AV734" s="9"/>
      <c r="AW734" s="79"/>
      <c r="AX734" s="9"/>
      <c r="AY734" s="285"/>
      <c r="AZ734" s="79"/>
      <c r="BA734" s="9"/>
      <c r="BB734" s="79"/>
      <c r="BC734" s="9"/>
      <c r="BD734" s="959"/>
      <c r="BE734" s="9"/>
      <c r="BF734" s="79"/>
      <c r="BG734" s="9"/>
      <c r="BH734" s="79"/>
      <c r="BI734" s="9"/>
      <c r="BJ734" s="79"/>
      <c r="BK734" s="9"/>
      <c r="BL734" s="79"/>
      <c r="BM734" s="9"/>
      <c r="BN734" s="79"/>
      <c r="BO734" s="9"/>
      <c r="BP734" s="79"/>
      <c r="BQ734" s="9"/>
      <c r="BR734" s="79"/>
      <c r="BS734" s="9"/>
      <c r="BT734" s="79"/>
      <c r="BU734" s="9"/>
      <c r="BV734" s="722"/>
      <c r="BW734" s="722"/>
      <c r="BX734" s="722"/>
      <c r="BY734"/>
      <c r="BZ734"/>
      <c r="CA734"/>
      <c r="CB734"/>
      <c r="CC734"/>
      <c r="CD734"/>
    </row>
    <row r="735" spans="1:82" s="2" customFormat="1" ht="12.75" customHeight="1" x14ac:dyDescent="0.2">
      <c r="A735" s="41"/>
      <c r="B735" s="62" t="s">
        <v>244</v>
      </c>
      <c r="C735" s="726">
        <f>+C727/C857*400</f>
        <v>-0.32207038722682546</v>
      </c>
      <c r="D735" s="9" t="str">
        <f>IF(ISERROR(C735/#REF!),"NA",IF(OR(C735/#REF!&gt;2,C735/#REF!&lt;0.5),"NM",C735/#REF!*100-100))</f>
        <v>NA</v>
      </c>
      <c r="E735" s="726">
        <f>+E727/E857*400</f>
        <v>-0.28090467830217908</v>
      </c>
      <c r="F735" s="9" t="str">
        <f>IF(ISERROR(E735/#REF!),"NA",IF(OR(E735/#REF!&gt;2,E735/#REF!&lt;0.5),"NM",E735/#REF!*100-100))</f>
        <v>NA</v>
      </c>
      <c r="G735" s="726">
        <f>+G727/G857*400</f>
        <v>-0.13561217297689537</v>
      </c>
      <c r="H735" s="9" t="str">
        <f>IF(ISERROR(G735/#REF!),"NA",IF(OR(G735/#REF!&gt;2,G735/#REF!&lt;0.5),"NM",G735/#REF!*100-100))</f>
        <v>NA</v>
      </c>
      <c r="I735" s="726">
        <f>+I727/I857*400</f>
        <v>-0.31251820657572965</v>
      </c>
      <c r="J735" s="9" t="str">
        <f>IF(ISERROR(I735/#REF!),"NA",IF(OR(I735/#REF!&gt;2,I735/#REF!&lt;0.5),"NM",I735/#REF!*100-100))</f>
        <v>NA</v>
      </c>
      <c r="K735" s="726">
        <f>+K727/K857*400</f>
        <v>-0.13378336733904003</v>
      </c>
      <c r="L735" s="9" t="str">
        <f t="shared" si="3308"/>
        <v>NM</v>
      </c>
      <c r="M735" s="726">
        <f>+M727/M857*400</f>
        <v>0.17799918513360058</v>
      </c>
      <c r="N735" s="9" t="str">
        <f t="shared" ref="N735:AB736" si="3367">IF(ISERROR(M735/E735),"NA",IF(OR(M735/E735&gt;2,M735/E735&lt;0.5),"NM",M735/E735*100-100))</f>
        <v>NM</v>
      </c>
      <c r="O735" s="726">
        <f>+O727/O857*400</f>
        <v>-0.32245345016429355</v>
      </c>
      <c r="P735" s="9" t="str">
        <f t="shared" si="3367"/>
        <v>NM</v>
      </c>
      <c r="Q735" s="726">
        <f>+Q727/Q857*400</f>
        <v>-0.31072860601423397</v>
      </c>
      <c r="R735" s="9">
        <f t="shared" si="3367"/>
        <v>-0.57263881714425224</v>
      </c>
      <c r="S735" s="726">
        <f>+S727/S857*400</f>
        <v>7.6062737242435452E-2</v>
      </c>
      <c r="T735" s="9" t="str">
        <f t="shared" si="3367"/>
        <v>NM</v>
      </c>
      <c r="U735" s="726">
        <f>+U727/U857*400</f>
        <v>-0.48813559322033895</v>
      </c>
      <c r="V735" s="9" t="str">
        <f t="shared" si="3367"/>
        <v>NM</v>
      </c>
      <c r="W735" s="726">
        <f>+W727/W857*400</f>
        <v>-9.559523240504568E-2</v>
      </c>
      <c r="X735" s="9" t="str">
        <f t="shared" si="3367"/>
        <v>NM</v>
      </c>
      <c r="Y735" s="726">
        <f>+Y727/Y857*400</f>
        <v>-0.27619019988975602</v>
      </c>
      <c r="Z735" s="9">
        <f t="shared" si="3367"/>
        <v>-11.115296582283705</v>
      </c>
      <c r="AA735" s="726">
        <f>+AA727/AA857*400</f>
        <v>0.44492004236815097</v>
      </c>
      <c r="AB735" s="9" t="str">
        <f t="shared" si="3367"/>
        <v>NM</v>
      </c>
      <c r="AC735" s="726">
        <f>+AC727/AC857*400</f>
        <v>-7.7215947701847323E-2</v>
      </c>
      <c r="AD735" s="9" t="str">
        <f t="shared" ref="AD735:AF736" si="3368">IF(ISERROR(AC735/U735),"NA",IF(OR(AC735/U735&gt;2,AC735/U735&lt;0.5),"NM",AC735/U735*100-100))</f>
        <v>NM</v>
      </c>
      <c r="AE735" s="726">
        <f>+AE727/AE857*400</f>
        <v>-0.14129682223446793</v>
      </c>
      <c r="AF735" s="9">
        <f t="shared" si="3368"/>
        <v>47.807394448062496</v>
      </c>
      <c r="AG735" s="726">
        <f>+AG727/AG857*400</f>
        <v>-1.0643917067920165E-2</v>
      </c>
      <c r="AH735" s="9" t="str">
        <f>IF(ISERROR(AG735/Y735),"NA",IF(OR(AG735/Y735&gt;2,AG735/Y735&lt;0.5),"NM",AG735/Y735*100-100))</f>
        <v>NM</v>
      </c>
      <c r="AI735" s="726">
        <f>+AI727/AI857*400</f>
        <v>-0.1116901013354982</v>
      </c>
      <c r="AJ735" s="9" t="str">
        <f t="shared" ref="AJ735:AJ736" si="3369">IF(ISERROR(AI735/AA735),"NA",IF(OR(AI735/AA735&gt;2,AI735/AA735&lt;0.5),"NM",AI735/AA735*100-100))</f>
        <v>NM</v>
      </c>
      <c r="AK735" s="726">
        <f>+AK727/AK857*400</f>
        <v>-0.37550168240969717</v>
      </c>
      <c r="AL735" s="9" t="str">
        <f t="shared" ref="AL735:AL736" si="3370">IF(ISERROR(AK735/AC735),"NA",IF(OR(AK735/AC735&gt;2,AK735/AC735&lt;0.5),"NM",AK735/AC735*100-100))</f>
        <v>NM</v>
      </c>
      <c r="AM735" s="726">
        <f>+AM727/AM857*400</f>
        <v>2.1489124976615503</v>
      </c>
      <c r="AN735" s="9" t="str">
        <f t="shared" ref="AN735:AN736" si="3371">IF(ISERROR(AM735/AE735),"NA",IF(OR(AM735/AE735&gt;2,AM735/AE735&lt;0.5),"NM",AM735/AE735*100-100))</f>
        <v>NM</v>
      </c>
      <c r="AO735" s="726">
        <f>+AO727/AO857*400</f>
        <v>-0.16288189118031027</v>
      </c>
      <c r="AP735" s="9" t="str">
        <f t="shared" ref="AP735:AP736" si="3372">IF(ISERROR(AO735/AG735),"NA",IF(OR(AO735/AG735&gt;2,AO735/AG735&lt;0.5),"NM",AO735/AG735*100-100))</f>
        <v>NM</v>
      </c>
      <c r="AQ735" s="652">
        <f>AO735+0.1</f>
        <v>-6.2881891180310262E-2</v>
      </c>
      <c r="AR735" s="9">
        <f t="shared" ref="AR735:AR736" si="3373">IF(ISERROR(AQ735/AI735),"NA",IF(OR(AQ735/AI735&gt;2,AQ735/AI735&lt;0.5),"NM",AQ735/AI735*100-100))</f>
        <v>-43.699673983262244</v>
      </c>
      <c r="AS735" s="652">
        <f t="shared" ref="AS735" si="3374">AQ735</f>
        <v>-6.2881891180310262E-2</v>
      </c>
      <c r="AT735" s="9" t="str">
        <f t="shared" ref="AT735:AT736" si="3375">IF(ISERROR(AS735/AK735),"NA",IF(OR(AS735/AK735&gt;2,AS735/AK735&lt;0.5),"NM",AS735/AK735*100-100))</f>
        <v>NM</v>
      </c>
      <c r="AU735" s="652">
        <f t="shared" ref="AU735" si="3376">AS735</f>
        <v>-6.2881891180310262E-2</v>
      </c>
      <c r="AV735" s="9" t="str">
        <f t="shared" ref="AV735:AV736" si="3377">IF(ISERROR(AU735/AM735),"NA",IF(OR(AU735/AM735&gt;2,AU735/AM735&lt;0.5),"NM",AU735/AM735*100-100))</f>
        <v>NM</v>
      </c>
      <c r="AW735" s="652">
        <f t="shared" ref="AW735" si="3378">AU735</f>
        <v>-6.2881891180310262E-2</v>
      </c>
      <c r="AX735" s="9" t="str">
        <f t="shared" ref="AX735:AX736" si="3379">IF(ISERROR(AW735/AO735),"NA",IF(OR(AW735/AO735&gt;2,AW735/AO735&lt;0.5),"NM",AW735/AO735*100-100))</f>
        <v>NM</v>
      </c>
      <c r="AY735" s="294"/>
      <c r="AZ735" s="167"/>
      <c r="BA735" s="9" t="str">
        <f>IF(ISERROR(#REF!/#REF!),"NA",IF(OR(#REF!/#REF!&gt;2,#REF!/#REF!&lt;0.5),"NM",#REF!/#REF!*100-100))</f>
        <v>NA</v>
      </c>
      <c r="BB735" s="726">
        <f>+BB727/BB857*100</f>
        <v>-0.26396462785556374</v>
      </c>
      <c r="BC735" s="9" t="str">
        <f>IF(ISERROR(BB735/#REF!),"NA",IF(OR(BB735/#REF!&gt;2,BB735/#REF!&lt;0.5),"NM",BB735/#REF!*100-100))</f>
        <v>NA</v>
      </c>
      <c r="BD735" s="963">
        <f>+BD727/BD857*100</f>
        <v>-0.14556546752586502</v>
      </c>
      <c r="BE735" s="9">
        <f t="shared" ref="BE735:BS736" si="3380">IF(ISERROR(BD735/BB735),"NA",IF(OR(BD735/BB735&gt;2,BD735/BB735&lt;0.5),"NM",BD735/BB735*100-100))</f>
        <v>-44.854176596147731</v>
      </c>
      <c r="BF735" s="726">
        <f>+BF727/BF857*100</f>
        <v>-0.19408744088891469</v>
      </c>
      <c r="BG735" s="9">
        <f t="shared" si="3380"/>
        <v>33.333436966722871</v>
      </c>
      <c r="BH735" s="726">
        <f>+BH727/BH857*100</f>
        <v>4.9760312292526782E-2</v>
      </c>
      <c r="BI735" s="9" t="str">
        <f t="shared" si="3380"/>
        <v>NM</v>
      </c>
      <c r="BJ735" s="726">
        <f>+BJ727/BJ857*100</f>
        <v>0.37353436686350255</v>
      </c>
      <c r="BK735" s="9" t="str">
        <f t="shared" si="3380"/>
        <v>NM</v>
      </c>
      <c r="BL735" s="726">
        <f>+BL727/BL857*100</f>
        <v>-6.1103988417559554E-2</v>
      </c>
      <c r="BM735" s="9" t="str">
        <f t="shared" si="3380"/>
        <v>NM</v>
      </c>
      <c r="BN735" s="652">
        <f>BL735</f>
        <v>-6.1103988417559554E-2</v>
      </c>
      <c r="BO735" s="9">
        <f t="shared" si="3380"/>
        <v>0</v>
      </c>
      <c r="BP735" s="652">
        <f>BN735</f>
        <v>-6.1103988417559554E-2</v>
      </c>
      <c r="BQ735" s="9">
        <f t="shared" si="3380"/>
        <v>0</v>
      </c>
      <c r="BR735" s="652">
        <f>BP735</f>
        <v>-6.1103988417559554E-2</v>
      </c>
      <c r="BS735" s="9">
        <f t="shared" si="3380"/>
        <v>0</v>
      </c>
      <c r="BT735" s="652">
        <f>BR735</f>
        <v>-6.1103988417559554E-2</v>
      </c>
      <c r="BU735" s="9">
        <f t="shared" ref="BU735:BU736" si="3381">IF(ISERROR(BT735/BR735),"NA",IF(OR(BT735/BR735&gt;2,BT735/BR735&lt;0.5),"NM",BT735/BR735*100-100))</f>
        <v>0</v>
      </c>
      <c r="BV735" s="43" t="str">
        <f>IF(ISERROR(((BT735/BJ735)^0.2-1)*100),"NA",IF((((BT735/BJ735)^0.2-1)*100)&gt;100,"NM",IF((((BT735/BJ735)^0.2-1)*100)&lt;-50,"NM",((BT735/BJ735)^0.2-1)*100)))</f>
        <v>NM</v>
      </c>
      <c r="BW735" s="722"/>
      <c r="BX735" s="722"/>
      <c r="BY735"/>
      <c r="BZ735"/>
      <c r="CA735"/>
      <c r="CB735"/>
      <c r="CC735"/>
      <c r="CD735"/>
    </row>
    <row r="736" spans="1:82" s="2" customFormat="1" ht="12.75" customHeight="1" x14ac:dyDescent="0.2">
      <c r="A736" s="41"/>
      <c r="B736" s="62" t="s">
        <v>428</v>
      </c>
      <c r="C736" s="726">
        <f>C727/C707*100</f>
        <v>-24.174882126017987</v>
      </c>
      <c r="D736" s="744" t="str">
        <f>IF(ISERROR(C736/#REF!),"NA",IF(OR(C736/#REF!&gt;2,C736/#REF!&lt;0.5),"NM",C736/#REF!*100-100))</f>
        <v>NA</v>
      </c>
      <c r="E736" s="726">
        <f>E727/E707*100</f>
        <v>-17.538688282977159</v>
      </c>
      <c r="F736" s="744" t="str">
        <f>IF(ISERROR(E736/#REF!),"NA",IF(OR(E736/#REF!&gt;2,E736/#REF!&lt;0.5),"NM",E736/#REF!*100-100))</f>
        <v>NA</v>
      </c>
      <c r="G736" s="726">
        <f>G727/G707*100</f>
        <v>-8.4695393759286777</v>
      </c>
      <c r="H736" s="9" t="str">
        <f>IF(ISERROR(G736/#REF!),"NA",IF(OR(G736/#REF!&gt;2,G736/#REF!&lt;0.5),"NM",G736/#REF!*100-100))</f>
        <v>NA</v>
      </c>
      <c r="I736" s="726">
        <f>I727/I707*100</f>
        <v>-18.286713286713287</v>
      </c>
      <c r="J736" s="9" t="str">
        <f>IF(ISERROR(I736/#REF!),"NA",IF(OR(I736/#REF!&gt;2,I736/#REF!&lt;0.5),"NM",I736/#REF!*100-100))</f>
        <v>NA</v>
      </c>
      <c r="K736" s="726">
        <f>K727/K707*100</f>
        <v>-7.2239747634069404</v>
      </c>
      <c r="L736" s="9" t="str">
        <f t="shared" si="3308"/>
        <v>NM</v>
      </c>
      <c r="M736" s="726">
        <f>M727/M707*100</f>
        <v>9.5356037151702786</v>
      </c>
      <c r="N736" s="9" t="str">
        <f t="shared" si="3367"/>
        <v>NM</v>
      </c>
      <c r="O736" s="726">
        <f>O727/O707*100</f>
        <v>-14.473869985276025</v>
      </c>
      <c r="P736" s="9">
        <f t="shared" si="3367"/>
        <v>70.893236843697622</v>
      </c>
      <c r="Q736" s="726">
        <f>Q727/Q707*100</f>
        <v>-16.257639868359192</v>
      </c>
      <c r="R736" s="9">
        <f t="shared" si="3367"/>
        <v>-11.095889056391414</v>
      </c>
      <c r="S736" s="726">
        <f>S727/S707*100</f>
        <v>3.9355703457200955</v>
      </c>
      <c r="T736" s="9" t="str">
        <f t="shared" si="3367"/>
        <v>NM</v>
      </c>
      <c r="U736" s="726">
        <f>U727/U707*100</f>
        <v>-25.691576962551022</v>
      </c>
      <c r="V736" s="9" t="str">
        <f t="shared" si="3367"/>
        <v>NM</v>
      </c>
      <c r="W736" s="726">
        <f>W727/W707*100</f>
        <v>-5.159474671669793</v>
      </c>
      <c r="X736" s="9" t="str">
        <f t="shared" si="3367"/>
        <v>NM</v>
      </c>
      <c r="Y736" s="726">
        <f>Y727/Y707*100</f>
        <v>-15.69920844327177</v>
      </c>
      <c r="Z736" s="9">
        <f t="shared" si="3367"/>
        <v>-3.4348861803381965</v>
      </c>
      <c r="AA736" s="726">
        <f>AA727/AA707*100</f>
        <v>28.536500174641986</v>
      </c>
      <c r="AB736" s="9" t="str">
        <f t="shared" si="3367"/>
        <v>NM</v>
      </c>
      <c r="AC736" s="726">
        <f>AC727/AC707*100</f>
        <v>-4.3903886087214472</v>
      </c>
      <c r="AD736" s="9" t="str">
        <f t="shared" si="3368"/>
        <v>NM</v>
      </c>
      <c r="AE736" s="726">
        <f>AE727/AE707*100</f>
        <v>-8.1918379505510863</v>
      </c>
      <c r="AF736" s="9">
        <f t="shared" si="3368"/>
        <v>58.772713732499255</v>
      </c>
      <c r="AG736" s="726">
        <f>AG727/AG707*100</f>
        <v>-0.5376344086021505</v>
      </c>
      <c r="AH736" s="9" t="str">
        <f>IF(ISERROR(AG736/Y736),"NA",IF(OR(AG736/Y736&gt;2,AG736/Y736&lt;0.5),"NM",AG736/Y736*100-100))</f>
        <v>NM</v>
      </c>
      <c r="AI736" s="726">
        <f>AI727/AI707*100</f>
        <v>-5.8299595141700413</v>
      </c>
      <c r="AJ736" s="9" t="str">
        <f t="shared" si="3369"/>
        <v>NM</v>
      </c>
      <c r="AK736" s="726">
        <f>AK727/AK707*100</f>
        <v>-19.316996871741395</v>
      </c>
      <c r="AL736" s="9" t="str">
        <f t="shared" si="3370"/>
        <v>NM</v>
      </c>
      <c r="AM736" s="726">
        <f>AM727/AM707*100</f>
        <v>116.80492373561681</v>
      </c>
      <c r="AN736" s="9" t="str">
        <f t="shared" si="3371"/>
        <v>NM</v>
      </c>
      <c r="AO736" s="726">
        <f>AO727/AO707*100</f>
        <v>-9.5496009122006829</v>
      </c>
      <c r="AP736" s="9" t="str">
        <f t="shared" si="3372"/>
        <v>NM</v>
      </c>
      <c r="AQ736" s="726">
        <f t="shared" ref="AQ736:AW736" si="3382">AQ727/AQ707*100</f>
        <v>-3.3084318553982923</v>
      </c>
      <c r="AR736" s="9">
        <f t="shared" si="3373"/>
        <v>-43.251203591432073</v>
      </c>
      <c r="AS736" s="726">
        <f t="shared" si="3382"/>
        <v>-3.3117749584013909</v>
      </c>
      <c r="AT736" s="9" t="str">
        <f t="shared" si="3375"/>
        <v>NM</v>
      </c>
      <c r="AU736" s="726">
        <f t="shared" si="3382"/>
        <v>-3.2555734730073866</v>
      </c>
      <c r="AV736" s="9" t="str">
        <f t="shared" si="3377"/>
        <v>NM</v>
      </c>
      <c r="AW736" s="726">
        <f t="shared" si="3382"/>
        <v>-3.2089162092763579</v>
      </c>
      <c r="AX736" s="9" t="str">
        <f t="shared" si="3379"/>
        <v>NM</v>
      </c>
      <c r="AY736" s="282"/>
      <c r="AZ736" s="59"/>
      <c r="BA736" s="9" t="str">
        <f>IF(ISERROR(#REF!/#REF!),"NA",IF(OR(#REF!/#REF!&gt;2,#REF!/#REF!&lt;0.5),"NM",#REF!/#REF!*100-100))</f>
        <v>NA</v>
      </c>
      <c r="BB736" s="726">
        <f>BB727/BB709*100</f>
        <v>-16.81532250492911</v>
      </c>
      <c r="BC736" s="9" t="str">
        <f>IF(ISERROR(BB736/#REF!),"NA",IF(OR(BB736/#REF!&gt;2,BB736/#REF!&lt;0.5),"NM",BB736/#REF!*100-100))</f>
        <v>NA</v>
      </c>
      <c r="BD736" s="963">
        <f>BD727/BD709*100</f>
        <v>-8.0194209321310854</v>
      </c>
      <c r="BE736" s="9" t="str">
        <f t="shared" si="3380"/>
        <v>NM</v>
      </c>
      <c r="BF736" s="726">
        <f>BF727/BF709*100</f>
        <v>-10.585893994997351</v>
      </c>
      <c r="BG736" s="9">
        <f t="shared" si="3380"/>
        <v>32.003221736164051</v>
      </c>
      <c r="BH736" s="726">
        <f>BH727/BH709*100</f>
        <v>2.7758192006531326</v>
      </c>
      <c r="BI736" s="9" t="str">
        <f t="shared" si="3380"/>
        <v>NM</v>
      </c>
      <c r="BJ736" s="726">
        <f>BJ727/BJ709*100</f>
        <v>20.432860134977883</v>
      </c>
      <c r="BK736" s="9" t="str">
        <f t="shared" si="3380"/>
        <v>NM</v>
      </c>
      <c r="BL736" s="726">
        <f>BL727/BL709*100</f>
        <v>-3.2697630451038977</v>
      </c>
      <c r="BM736" s="9" t="str">
        <f t="shared" si="3380"/>
        <v>NM</v>
      </c>
      <c r="BN736" s="726">
        <f>BN727/BN709*100</f>
        <v>-3.3628887833658556</v>
      </c>
      <c r="BO736" s="9">
        <f t="shared" si="3380"/>
        <v>2.8480882858286378</v>
      </c>
      <c r="BP736" s="726">
        <f>BP727/BP709*100</f>
        <v>-3.4555465225932371</v>
      </c>
      <c r="BQ736" s="9">
        <f t="shared" si="3380"/>
        <v>2.7553019203520108</v>
      </c>
      <c r="BR736" s="726">
        <f>BR727/BR709*100</f>
        <v>-3.5694099116481137</v>
      </c>
      <c r="BS736" s="9">
        <f t="shared" si="3380"/>
        <v>3.2950906118730785</v>
      </c>
      <c r="BT736" s="726">
        <f>BT727/BT709*100</f>
        <v>-3.68985942983455</v>
      </c>
      <c r="BU736" s="9">
        <f t="shared" si="3381"/>
        <v>3.3744938566280069</v>
      </c>
      <c r="BV736" s="43" t="str">
        <f>IF(ISERROR(((BT736/BJ736)^0.2-1)*100),"NA",IF((((BT736/BJ736)^0.2-1)*100)&gt;100,"NM",IF((((BT736/BJ736)^0.2-1)*100)&lt;-50,"NM",((BT736/BJ736)^0.2-1)*100)))</f>
        <v>NM</v>
      </c>
      <c r="BW736" s="722"/>
      <c r="BX736" s="722"/>
      <c r="BY736"/>
      <c r="BZ736"/>
      <c r="CA736"/>
      <c r="CB736"/>
      <c r="CC736"/>
      <c r="CD736"/>
    </row>
    <row r="737" spans="1:82" s="2" customFormat="1" ht="12.75" customHeight="1" x14ac:dyDescent="0.2">
      <c r="A737" s="41"/>
      <c r="B737" s="62"/>
      <c r="C737" s="726"/>
      <c r="D737" s="9"/>
      <c r="E737" s="726"/>
      <c r="F737" s="9"/>
      <c r="G737" s="726"/>
      <c r="H737" s="9"/>
      <c r="I737" s="726"/>
      <c r="J737" s="9"/>
      <c r="K737" s="726"/>
      <c r="L737" s="9"/>
      <c r="M737" s="726"/>
      <c r="N737" s="9"/>
      <c r="O737" s="726"/>
      <c r="P737" s="9"/>
      <c r="Q737" s="726"/>
      <c r="R737" s="9"/>
      <c r="S737" s="726"/>
      <c r="T737" s="9"/>
      <c r="U737" s="726"/>
      <c r="V737" s="9"/>
      <c r="W737" s="726"/>
      <c r="X737" s="9"/>
      <c r="Y737" s="726"/>
      <c r="Z737" s="9"/>
      <c r="AA737" s="726"/>
      <c r="AB737" s="9"/>
      <c r="AC737" s="726"/>
      <c r="AD737" s="9"/>
      <c r="AE737" s="726"/>
      <c r="AF737" s="9"/>
      <c r="AG737" s="726"/>
      <c r="AH737" s="9"/>
      <c r="AI737" s="726"/>
      <c r="AJ737" s="9"/>
      <c r="AK737" s="726"/>
      <c r="AL737" s="9"/>
      <c r="AM737" s="726"/>
      <c r="AN737" s="9"/>
      <c r="AO737" s="726"/>
      <c r="AP737" s="9"/>
      <c r="AQ737" s="652"/>
      <c r="AR737" s="9"/>
      <c r="AS737" s="652"/>
      <c r="AT737" s="9"/>
      <c r="AU737" s="652"/>
      <c r="AV737" s="9"/>
      <c r="AW737" s="652"/>
      <c r="AX737" s="9"/>
      <c r="AY737" s="294"/>
      <c r="AZ737" s="167"/>
      <c r="BA737" s="9"/>
      <c r="BB737" s="726"/>
      <c r="BC737" s="9"/>
      <c r="BD737" s="963"/>
      <c r="BE737" s="9"/>
      <c r="BF737" s="726"/>
      <c r="BG737" s="9"/>
      <c r="BH737" s="726"/>
      <c r="BI737" s="9"/>
      <c r="BJ737" s="726"/>
      <c r="BK737" s="9"/>
      <c r="BL737" s="726"/>
      <c r="BM737" s="9"/>
      <c r="BN737" s="652"/>
      <c r="BO737" s="9"/>
      <c r="BP737" s="652"/>
      <c r="BQ737" s="9"/>
      <c r="BR737" s="652"/>
      <c r="BS737" s="9"/>
      <c r="BT737" s="652"/>
      <c r="BU737" s="9"/>
      <c r="BV737" s="43"/>
      <c r="BW737" s="722"/>
      <c r="BX737" s="722"/>
      <c r="BY737"/>
      <c r="BZ737"/>
      <c r="CA737"/>
      <c r="CB737"/>
      <c r="CC737"/>
      <c r="CD737"/>
    </row>
    <row r="738" spans="1:82" ht="12.75" customHeight="1" x14ac:dyDescent="0.2">
      <c r="B738" s="42" t="s">
        <v>562</v>
      </c>
      <c r="C738" s="52">
        <f>C709/C613*100</f>
        <v>9.9671461552122231</v>
      </c>
      <c r="D738" s="774" t="str">
        <f>IF(ISERROR(C738/#REF!),"NA",IF(OR(C738/#REF!&gt;2,C738/#REF!&lt;0.5),"NM",C738/#REF!*100-100))</f>
        <v>NA</v>
      </c>
      <c r="E738" s="52">
        <f>E709/E613*100</f>
        <v>11.80367359229148</v>
      </c>
      <c r="F738" s="774" t="str">
        <f>IF(ISERROR(E738/#REF!),"NA",IF(OR(E738/#REF!&gt;2,E738/#REF!&lt;0.5),"NM",E738/#REF!*100-100))</f>
        <v>NA</v>
      </c>
      <c r="G738" s="52">
        <f>G709/G613*100</f>
        <v>11.9926120012027</v>
      </c>
      <c r="H738" s="9" t="str">
        <f>IF(ISERROR(G738/#REF!),"NA",IF(OR(G738/#REF!&gt;2,G738/#REF!&lt;0.5),"NM",G738/#REF!*100-100))</f>
        <v>NA</v>
      </c>
      <c r="I738" s="52">
        <f>I709/I613*100</f>
        <v>10.422719349215571</v>
      </c>
      <c r="J738" s="9" t="str">
        <f>IF(ISERROR(I738/#REF!),"NA",IF(OR(I738/#REF!&gt;2,I738/#REF!&lt;0.5),"NM",I738/#REF!*100-100))</f>
        <v>NA</v>
      </c>
      <c r="K738" s="52">
        <f>K709/K613*100</f>
        <v>11.686243280907824</v>
      </c>
      <c r="L738" s="9">
        <f t="shared" si="3308"/>
        <v>17.24763637379408</v>
      </c>
      <c r="M738" s="52">
        <f>M709/M613*100</f>
        <v>12.065863579474343</v>
      </c>
      <c r="N738" s="9">
        <f t="shared" ref="N738:AB738" si="3383">IF(ISERROR(M738/E738),"NA",IF(OR(M738/E738&gt;2,M738/E738&lt;0.5),"NM",M738/E738*100-100))</f>
        <v>2.2212575189650181</v>
      </c>
      <c r="O738" s="52">
        <f>O709/O613*100</f>
        <v>12.853572883956183</v>
      </c>
      <c r="P738" s="9">
        <f t="shared" si="3383"/>
        <v>7.1790939510687082</v>
      </c>
      <c r="Q738" s="52">
        <f>Q709/Q613*100</f>
        <v>10.801666808929999</v>
      </c>
      <c r="R738" s="9">
        <f t="shared" si="3383"/>
        <v>3.6357830141799781</v>
      </c>
      <c r="S738" s="52">
        <f>S709/S613*100</f>
        <v>12.537571837353017</v>
      </c>
      <c r="T738" s="9">
        <f t="shared" si="3383"/>
        <v>7.2848779199730984</v>
      </c>
      <c r="U738" s="52">
        <f>U709/U613*100</f>
        <v>9.5106898831827174</v>
      </c>
      <c r="V738" s="9">
        <f t="shared" si="3383"/>
        <v>-21.176882031372529</v>
      </c>
      <c r="W738" s="52">
        <f>W709/W613*100</f>
        <v>9.6800000000000033</v>
      </c>
      <c r="X738" s="9">
        <f t="shared" si="3383"/>
        <v>-24.690200247103505</v>
      </c>
      <c r="Y738" s="52">
        <f>Y709/Y613*100</f>
        <v>10.484456585635742</v>
      </c>
      <c r="Z738" s="9">
        <f t="shared" si="3383"/>
        <v>-2.9366784673640467</v>
      </c>
      <c r="AA738" s="52">
        <f>AA709/AA613*100</f>
        <v>9.7450559923755051</v>
      </c>
      <c r="AB738" s="9">
        <f t="shared" si="3383"/>
        <v>-22.273179218465629</v>
      </c>
      <c r="AC738" s="52">
        <f>AC709/AC613*100</f>
        <v>11.106352134949923</v>
      </c>
      <c r="AD738" s="9">
        <f t="shared" ref="AD738:AF738" si="3384">IF(ISERROR(AC738/U738),"NA",IF(OR(AC738/U738&gt;2,AC738/U738&lt;0.5),"NM",AC738/U738*100-100))</f>
        <v>16.777565785093415</v>
      </c>
      <c r="AE738" s="52">
        <f>AE709/AE613*100</f>
        <v>12.643902785673678</v>
      </c>
      <c r="AF738" s="9">
        <f t="shared" si="3384"/>
        <v>30.618830430513157</v>
      </c>
      <c r="AG738" s="52">
        <f>AG709/AG613*100</f>
        <v>10.243495199666066</v>
      </c>
      <c r="AH738" s="9">
        <f>IF(ISERROR(AG738/Y738),"NA",IF(OR(AG738/Y738&gt;2,AG738/Y738&lt;0.5),"NM",AG738/Y738*100-100))</f>
        <v>-2.2982725332641962</v>
      </c>
      <c r="AI738" s="52">
        <f>AI709/AI613*100</f>
        <v>11.451992140947596</v>
      </c>
      <c r="AJ738" s="9">
        <f t="shared" ref="AJ738" si="3385">IF(ISERROR(AI738/AA738),"NA",IF(OR(AI738/AA738&gt;2,AI738/AA738&lt;0.5),"NM",AI738/AA738*100-100))</f>
        <v>17.515919353440253</v>
      </c>
      <c r="AK738" s="52">
        <f>AK709/AK613*100</f>
        <v>11.492325356538553</v>
      </c>
      <c r="AL738" s="9">
        <f t="shared" ref="AL738" si="3386">IF(ISERROR(AK738/AC738),"NA",IF(OR(AK738/AC738&gt;2,AK738/AC738&lt;0.5),"NM",AK738/AC738*100-100))</f>
        <v>3.4752474700854776</v>
      </c>
      <c r="AM738" s="52">
        <f>AM709/AM613*100</f>
        <v>10.488411844552811</v>
      </c>
      <c r="AN738" s="9">
        <f t="shared" ref="AN738" si="3387">IF(ISERROR(AM738/AE738),"NA",IF(OR(AM738/AE738&gt;2,AM738/AE738&lt;0.5),"NM",AM738/AE738*100-100))</f>
        <v>-17.047670941943423</v>
      </c>
      <c r="AO738" s="52">
        <f>AO709/AO613*100</f>
        <v>10.594986408939899</v>
      </c>
      <c r="AP738" s="9">
        <f t="shared" ref="AP738" si="3388">IF(ISERROR(AO738/AG738),"NA",IF(OR(AO738/AG738&gt;2,AO738/AG738&lt;0.5),"NM",AO738/AG738*100-100))</f>
        <v>3.4313601209603917</v>
      </c>
      <c r="AQ738" s="52">
        <f t="shared" ref="AQ738:AW738" si="3389">AQ709/AQ613*100</f>
        <v>11.936914800054092</v>
      </c>
      <c r="AR738" s="9">
        <f t="shared" ref="AR738" si="3390">IF(ISERROR(AQ738/AI738),"NA",IF(OR(AQ738/AI738&gt;2,AQ738/AI738&lt;0.5),"NM",AQ738/AI738*100-100))</f>
        <v>4.2343956679171413</v>
      </c>
      <c r="AS738" s="52">
        <f t="shared" si="3389"/>
        <v>12.039392451936225</v>
      </c>
      <c r="AT738" s="9">
        <f t="shared" ref="AT738" si="3391">IF(ISERROR(AS738/AK738),"NA",IF(OR(AS738/AK738&gt;2,AS738/AK738&lt;0.5),"NM",AS738/AK738*100-100))</f>
        <v>4.7602820005998154</v>
      </c>
      <c r="AU738" s="52">
        <f t="shared" si="3389"/>
        <v>12.31716915257376</v>
      </c>
      <c r="AV738" s="9">
        <f t="shared" ref="AV738" si="3392">IF(ISERROR(AU738/AM738),"NA",IF(OR(AU738/AM738&gt;2,AU738/AM738&lt;0.5),"NM",AU738/AM738*100-100))</f>
        <v>17.435979203760184</v>
      </c>
      <c r="AW738" s="52">
        <f t="shared" si="3389"/>
        <v>12.609651775399508</v>
      </c>
      <c r="AX738" s="9">
        <f t="shared" ref="AX738" si="3393">IF(ISERROR(AW738/AO738),"NA",IF(OR(AW738/AO738&gt;2,AW738/AO738&lt;0.5),"NM",AW738/AO738*100-100))</f>
        <v>19.015270890387015</v>
      </c>
      <c r="BB738" s="52">
        <f>BB709/BB613*100</f>
        <v>11.027249761875185</v>
      </c>
      <c r="BC738" s="9" t="str">
        <f>IF(ISERROR(BB738/#REF!),"NA",IF(OR(BB738/#REF!&gt;2,BB738/#REF!&lt;0.5),"NM",BB738/#REF!*100-100))</f>
        <v>NA</v>
      </c>
      <c r="BD738" s="968">
        <f>BD709/BD613*100</f>
        <v>11.812239073912682</v>
      </c>
      <c r="BE738" s="9">
        <f t="shared" ref="BE738:BS738" si="3394">IF(ISERROR(BD738/BB738),"NA",IF(OR(BD738/BB738&gt;2,BD738/BB738&lt;0.5),"NM",BD738/BB738*100-100))</f>
        <v>7.1186318346707225</v>
      </c>
      <c r="BF738" s="52">
        <f>BF709/BF613*100</f>
        <v>10.427480169999539</v>
      </c>
      <c r="BG738" s="9">
        <f t="shared" si="3394"/>
        <v>-11.723085650809267</v>
      </c>
      <c r="BH738" s="52">
        <f>BH709/BH613*100</f>
        <v>10.882400452305959</v>
      </c>
      <c r="BI738" s="9">
        <f t="shared" si="3394"/>
        <v>4.3627058013042443</v>
      </c>
      <c r="BJ738" s="52">
        <f>BJ709/BJ613*100</f>
        <v>10.974933411172334</v>
      </c>
      <c r="BK738" s="9">
        <f t="shared" si="3394"/>
        <v>0.85029915294808234</v>
      </c>
      <c r="BL738" s="52">
        <f>BL709/BL613*100</f>
        <v>12.229083279130373</v>
      </c>
      <c r="BM738" s="9">
        <f t="shared" si="3394"/>
        <v>11.427402982521357</v>
      </c>
      <c r="BN738" s="52">
        <f>BN709/BN613*100</f>
        <v>12.240864270898518</v>
      </c>
      <c r="BO738" s="9">
        <f t="shared" si="3394"/>
        <v>9.6335853630577617E-2</v>
      </c>
      <c r="BP738" s="52">
        <f>BP709/BP613*100</f>
        <v>12.241415421734331</v>
      </c>
      <c r="BQ738" s="9">
        <f t="shared" si="3394"/>
        <v>4.5025483790652743E-3</v>
      </c>
      <c r="BR738" s="52">
        <f>BR709/BR613*100</f>
        <v>12.178538044783657</v>
      </c>
      <c r="BS738" s="9">
        <f t="shared" si="3394"/>
        <v>-0.51364466268366016</v>
      </c>
      <c r="BT738" s="52">
        <f>BT709/BT613*100</f>
        <v>12.102264158311643</v>
      </c>
      <c r="BU738" s="9">
        <f t="shared" ref="BU738" si="3395">IF(ISERROR(BT738/BR738),"NA",IF(OR(BT738/BR738&gt;2,BT738/BR738&lt;0.5),"NM",BT738/BR738*100-100))</f>
        <v>-0.62629755880003302</v>
      </c>
      <c r="BV738" s="43">
        <f>IF(ISERROR(((BT738/BJ738)^0.2-1)*100),"NA",IF((((BT738/BJ738)^0.2-1)*100)&gt;100,"NM",IF((((BT738/BJ738)^0.2-1)*100)&lt;-50,"NM",((BT738/BJ738)^0.2-1)*100)))</f>
        <v>1.9748198698492425</v>
      </c>
    </row>
    <row r="739" spans="1:82" s="2" customFormat="1" ht="12.75" hidden="1" customHeight="1" outlineLevel="1" x14ac:dyDescent="0.2">
      <c r="A739" s="41"/>
      <c r="B739" s="80" t="s">
        <v>311</v>
      </c>
      <c r="C739" s="15"/>
      <c r="D739" s="40"/>
      <c r="E739" s="15"/>
      <c r="F739" s="40"/>
      <c r="G739" s="15"/>
      <c r="H739" s="40"/>
      <c r="I739" s="15"/>
      <c r="J739" s="40"/>
      <c r="K739" s="15"/>
      <c r="L739" s="40"/>
      <c r="M739" s="15"/>
      <c r="N739" s="40"/>
      <c r="O739" s="15"/>
      <c r="P739" s="40"/>
      <c r="Q739" s="15"/>
      <c r="R739" s="40"/>
      <c r="S739" s="15"/>
      <c r="T739" s="40"/>
      <c r="U739" s="15"/>
      <c r="V739" s="40"/>
      <c r="W739" s="15"/>
      <c r="X739" s="40"/>
      <c r="Y739" s="15"/>
      <c r="Z739" s="40"/>
      <c r="AA739" s="15"/>
      <c r="AB739" s="40"/>
      <c r="AC739" s="15"/>
      <c r="AD739" s="40"/>
      <c r="AE739" s="15"/>
      <c r="AF739" s="40"/>
      <c r="AG739" s="15"/>
      <c r="AH739" s="40"/>
      <c r="AI739" s="15"/>
      <c r="AJ739" s="40"/>
      <c r="AK739" s="15"/>
      <c r="AL739" s="40"/>
      <c r="AM739" s="15"/>
      <c r="AN739" s="40"/>
      <c r="AO739" s="15"/>
      <c r="AP739" s="40"/>
      <c r="AQ739" s="15"/>
      <c r="AR739" s="40"/>
      <c r="AS739" s="15"/>
      <c r="AT739" s="40"/>
      <c r="AU739" s="15"/>
      <c r="AV739" s="40"/>
      <c r="AW739" s="15"/>
      <c r="AX739" s="40"/>
      <c r="AY739" s="279"/>
      <c r="AZ739" s="15"/>
      <c r="BA739" s="40"/>
      <c r="BB739" s="15"/>
      <c r="BC739" s="40"/>
      <c r="BD739" s="924"/>
      <c r="BE739" s="40"/>
      <c r="BF739" s="15"/>
      <c r="BG739" s="40"/>
      <c r="BH739" s="15"/>
      <c r="BI739" s="40"/>
      <c r="BJ739" s="15"/>
      <c r="BK739" s="40"/>
      <c r="BL739" s="15"/>
      <c r="BM739" s="40"/>
      <c r="BN739" s="15"/>
      <c r="BO739" s="40"/>
      <c r="BP739" s="15"/>
      <c r="BQ739" s="40"/>
      <c r="BR739" s="15"/>
      <c r="BS739" s="40"/>
      <c r="BT739" s="15"/>
      <c r="BU739" s="40"/>
      <c r="BV739" s="722"/>
      <c r="BW739" s="722"/>
      <c r="BX739" s="722"/>
      <c r="BY739"/>
      <c r="BZ739"/>
      <c r="CA739"/>
      <c r="CB739"/>
      <c r="CC739"/>
      <c r="CD739"/>
    </row>
    <row r="740" spans="1:82" s="2" customFormat="1" ht="12.75" hidden="1" customHeight="1" outlineLevel="1" x14ac:dyDescent="0.2">
      <c r="A740" s="41"/>
      <c r="B740" s="42"/>
      <c r="C740" s="726"/>
      <c r="D740" s="9"/>
      <c r="E740" s="726"/>
      <c r="F740" s="9"/>
      <c r="G740" s="726"/>
      <c r="H740" s="9"/>
      <c r="I740" s="726"/>
      <c r="J740" s="9"/>
      <c r="K740" s="726"/>
      <c r="L740" s="9"/>
      <c r="M740" s="726"/>
      <c r="N740" s="9"/>
      <c r="O740" s="726"/>
      <c r="P740" s="9"/>
      <c r="Q740" s="726"/>
      <c r="R740" s="9"/>
      <c r="S740" s="726"/>
      <c r="T740" s="9"/>
      <c r="U740" s="726"/>
      <c r="V740" s="9"/>
      <c r="W740" s="726"/>
      <c r="X740" s="9" t="str">
        <f t="shared" ref="X740:X751" si="3396">IF(ISERROR(W740/O740),"NA",IF(OR(W740/O740&gt;2,W740/O740&lt;0.5),"NM",W740/O740*100-100))</f>
        <v>NA</v>
      </c>
      <c r="Y740" s="726"/>
      <c r="Z740" s="9"/>
      <c r="AA740" s="726"/>
      <c r="AB740" s="9"/>
      <c r="AC740" s="726"/>
      <c r="AD740" s="9"/>
      <c r="AE740" s="726"/>
      <c r="AF740" s="9"/>
      <c r="AG740" s="726"/>
      <c r="AH740" s="9"/>
      <c r="AI740" s="726"/>
      <c r="AJ740" s="9"/>
      <c r="AK740" s="726"/>
      <c r="AL740" s="9"/>
      <c r="AM740" s="726"/>
      <c r="AN740" s="9"/>
      <c r="AO740" s="726"/>
      <c r="AP740" s="9"/>
      <c r="AQ740" s="726"/>
      <c r="AR740" s="9"/>
      <c r="AS740" s="726"/>
      <c r="AT740" s="9"/>
      <c r="AU740" s="726"/>
      <c r="AV740" s="9"/>
      <c r="AW740" s="726"/>
      <c r="AX740" s="9"/>
      <c r="AY740" s="286"/>
      <c r="AZ740" s="92"/>
      <c r="BA740" s="9"/>
      <c r="BB740" s="726"/>
      <c r="BC740" s="9"/>
      <c r="BD740" s="963"/>
      <c r="BE740" s="9"/>
      <c r="BF740" s="726"/>
      <c r="BG740" s="9"/>
      <c r="BH740" s="726"/>
      <c r="BI740" s="9"/>
      <c r="BJ740" s="726"/>
      <c r="BK740" s="9"/>
      <c r="BL740" s="726"/>
      <c r="BM740" s="9"/>
      <c r="BN740" s="726"/>
      <c r="BO740" s="9"/>
      <c r="BP740" s="726"/>
      <c r="BQ740" s="9"/>
      <c r="BR740" s="726"/>
      <c r="BS740" s="9"/>
      <c r="BT740" s="726"/>
      <c r="BU740" s="9"/>
      <c r="BV740" s="43"/>
      <c r="BW740" s="722"/>
      <c r="BX740" s="722"/>
      <c r="BY740"/>
      <c r="BZ740"/>
      <c r="CA740"/>
      <c r="CB740"/>
      <c r="CC740"/>
      <c r="CD740"/>
    </row>
    <row r="741" spans="1:82" s="2" customFormat="1" ht="12.75" hidden="1" customHeight="1" outlineLevel="1" x14ac:dyDescent="0.2">
      <c r="A741" s="41"/>
      <c r="B741" s="5" t="s">
        <v>453</v>
      </c>
      <c r="C741" s="726"/>
      <c r="D741" s="9"/>
      <c r="E741" s="726"/>
      <c r="F741" s="9"/>
      <c r="G741" s="726"/>
      <c r="H741" s="9"/>
      <c r="I741" s="726"/>
      <c r="J741" s="9"/>
      <c r="K741" s="726"/>
      <c r="L741" s="9"/>
      <c r="M741" s="726"/>
      <c r="N741" s="9"/>
      <c r="O741" s="726"/>
      <c r="P741" s="9"/>
      <c r="Q741" s="726"/>
      <c r="R741" s="9"/>
      <c r="S741" s="726"/>
      <c r="T741" s="9"/>
      <c r="U741" s="726"/>
      <c r="V741" s="9"/>
      <c r="W741" s="726"/>
      <c r="X741" s="9" t="str">
        <f t="shared" si="3396"/>
        <v>NA</v>
      </c>
      <c r="Y741" s="726"/>
      <c r="Z741" s="9"/>
      <c r="AA741" s="726"/>
      <c r="AB741" s="9"/>
      <c r="AC741" s="726"/>
      <c r="AD741" s="9"/>
      <c r="AE741" s="726"/>
      <c r="AF741" s="9"/>
      <c r="AG741" s="726"/>
      <c r="AH741" s="9"/>
      <c r="AI741" s="726"/>
      <c r="AJ741" s="9"/>
      <c r="AK741" s="726"/>
      <c r="AL741" s="9"/>
      <c r="AM741" s="726"/>
      <c r="AN741" s="9"/>
      <c r="AO741" s="726"/>
      <c r="AP741" s="9"/>
      <c r="AQ741" s="726"/>
      <c r="AR741" s="9"/>
      <c r="AS741" s="726"/>
      <c r="AT741" s="9"/>
      <c r="AU741" s="726"/>
      <c r="AV741" s="9"/>
      <c r="AW741" s="726"/>
      <c r="AX741" s="9"/>
      <c r="AY741" s="286"/>
      <c r="AZ741" s="92"/>
      <c r="BA741" s="9"/>
      <c r="BB741" s="726"/>
      <c r="BC741" s="9"/>
      <c r="BD741" s="963"/>
      <c r="BE741" s="9"/>
      <c r="BF741" s="726"/>
      <c r="BG741" s="9"/>
      <c r="BH741" s="726"/>
      <c r="BI741" s="9"/>
      <c r="BJ741" s="726"/>
      <c r="BK741" s="9"/>
      <c r="BL741" s="726"/>
      <c r="BM741" s="9"/>
      <c r="BN741" s="726"/>
      <c r="BO741" s="9"/>
      <c r="BP741" s="726"/>
      <c r="BQ741" s="9"/>
      <c r="BR741" s="726"/>
      <c r="BS741" s="9"/>
      <c r="BT741" s="726"/>
      <c r="BU741" s="9"/>
      <c r="BV741" s="43"/>
      <c r="BW741" s="722"/>
      <c r="BX741" s="722"/>
      <c r="BY741"/>
      <c r="BZ741"/>
      <c r="CA741"/>
      <c r="CB741"/>
      <c r="CC741"/>
      <c r="CD741"/>
    </row>
    <row r="742" spans="1:82" s="2" customFormat="1" ht="12.75" hidden="1" customHeight="1" outlineLevel="1" x14ac:dyDescent="0.2">
      <c r="A742" s="41"/>
      <c r="B742" s="5" t="s">
        <v>456</v>
      </c>
      <c r="C742" s="726"/>
      <c r="D742" s="9"/>
      <c r="E742" s="726"/>
      <c r="F742" s="9"/>
      <c r="G742" s="726"/>
      <c r="H742" s="9"/>
      <c r="I742" s="726"/>
      <c r="J742" s="9"/>
      <c r="K742" s="726"/>
      <c r="L742" s="9"/>
      <c r="M742" s="726"/>
      <c r="N742" s="9"/>
      <c r="O742" s="726"/>
      <c r="P742" s="9"/>
      <c r="Q742" s="726"/>
      <c r="R742" s="9"/>
      <c r="S742" s="726"/>
      <c r="T742" s="9"/>
      <c r="U742" s="726"/>
      <c r="V742" s="9"/>
      <c r="W742" s="726"/>
      <c r="X742" s="9" t="str">
        <f t="shared" si="3396"/>
        <v>NA</v>
      </c>
      <c r="Y742" s="726"/>
      <c r="Z742" s="9"/>
      <c r="AA742" s="726"/>
      <c r="AB742" s="9"/>
      <c r="AC742" s="726"/>
      <c r="AD742" s="9"/>
      <c r="AE742" s="726"/>
      <c r="AF742" s="9"/>
      <c r="AG742" s="726"/>
      <c r="AH742" s="9"/>
      <c r="AI742" s="726"/>
      <c r="AJ742" s="9"/>
      <c r="AK742" s="726"/>
      <c r="AL742" s="9"/>
      <c r="AM742" s="726"/>
      <c r="AN742" s="9"/>
      <c r="AO742" s="726"/>
      <c r="AP742" s="9"/>
      <c r="AQ742" s="726"/>
      <c r="AR742" s="9"/>
      <c r="AS742" s="726"/>
      <c r="AT742" s="9"/>
      <c r="AU742" s="726"/>
      <c r="AV742" s="9"/>
      <c r="AW742" s="726"/>
      <c r="AX742" s="9"/>
      <c r="AY742" s="279"/>
      <c r="AZ742" s="15"/>
      <c r="BA742" s="9"/>
      <c r="BB742" s="726"/>
      <c r="BC742" s="9"/>
      <c r="BD742" s="963"/>
      <c r="BE742" s="9"/>
      <c r="BF742" s="726"/>
      <c r="BG742" s="9"/>
      <c r="BH742" s="726"/>
      <c r="BI742" s="9"/>
      <c r="BJ742" s="726"/>
      <c r="BK742" s="9"/>
      <c r="BL742" s="726"/>
      <c r="BM742" s="9"/>
      <c r="BN742" s="726"/>
      <c r="BO742" s="9"/>
      <c r="BP742" s="726"/>
      <c r="BQ742" s="9"/>
      <c r="BR742" s="726"/>
      <c r="BS742" s="9"/>
      <c r="BT742" s="726"/>
      <c r="BU742" s="9"/>
      <c r="BV742" s="43"/>
      <c r="BW742" s="722"/>
      <c r="BX742" s="722"/>
      <c r="BY742"/>
      <c r="BZ742"/>
      <c r="CA742"/>
      <c r="CB742"/>
      <c r="CC742"/>
      <c r="CD742"/>
    </row>
    <row r="743" spans="1:82" s="2" customFormat="1" ht="12.75" hidden="1" customHeight="1" outlineLevel="1" x14ac:dyDescent="0.2">
      <c r="A743" s="41"/>
      <c r="B743" s="5" t="s">
        <v>457</v>
      </c>
      <c r="C743" s="726"/>
      <c r="D743" s="9"/>
      <c r="E743" s="726"/>
      <c r="F743" s="9"/>
      <c r="G743" s="726"/>
      <c r="H743" s="9"/>
      <c r="I743" s="726"/>
      <c r="J743" s="9"/>
      <c r="K743" s="726"/>
      <c r="L743" s="9"/>
      <c r="M743" s="726"/>
      <c r="N743" s="9"/>
      <c r="O743" s="726"/>
      <c r="P743" s="9"/>
      <c r="Q743" s="726"/>
      <c r="R743" s="9"/>
      <c r="S743" s="726"/>
      <c r="T743" s="9"/>
      <c r="U743" s="726"/>
      <c r="V743" s="9"/>
      <c r="W743" s="726"/>
      <c r="X743" s="9" t="str">
        <f t="shared" si="3396"/>
        <v>NA</v>
      </c>
      <c r="Y743" s="726"/>
      <c r="Z743" s="9"/>
      <c r="AA743" s="726"/>
      <c r="AB743" s="9"/>
      <c r="AC743" s="726"/>
      <c r="AD743" s="9"/>
      <c r="AE743" s="726"/>
      <c r="AF743" s="9"/>
      <c r="AG743" s="726"/>
      <c r="AH743" s="9"/>
      <c r="AI743" s="726"/>
      <c r="AJ743" s="9"/>
      <c r="AK743" s="726"/>
      <c r="AL743" s="9"/>
      <c r="AM743" s="726"/>
      <c r="AN743" s="9"/>
      <c r="AO743" s="726"/>
      <c r="AP743" s="9"/>
      <c r="AQ743" s="726"/>
      <c r="AR743" s="9"/>
      <c r="AS743" s="726"/>
      <c r="AT743" s="9"/>
      <c r="AU743" s="726"/>
      <c r="AV743" s="9"/>
      <c r="AW743" s="726"/>
      <c r="AX743" s="9"/>
      <c r="AY743" s="286"/>
      <c r="AZ743" s="92"/>
      <c r="BA743" s="9"/>
      <c r="BB743" s="726"/>
      <c r="BC743" s="9"/>
      <c r="BD743" s="963"/>
      <c r="BE743" s="9"/>
      <c r="BF743" s="726"/>
      <c r="BG743" s="9"/>
      <c r="BH743" s="726"/>
      <c r="BI743" s="9"/>
      <c r="BJ743" s="726"/>
      <c r="BK743" s="9"/>
      <c r="BL743" s="726"/>
      <c r="BM743" s="9"/>
      <c r="BN743" s="726"/>
      <c r="BO743" s="9"/>
      <c r="BP743" s="726"/>
      <c r="BQ743" s="9"/>
      <c r="BR743" s="726"/>
      <c r="BS743" s="9"/>
      <c r="BT743" s="726"/>
      <c r="BU743" s="9"/>
      <c r="BV743" s="43"/>
      <c r="BW743" s="722"/>
      <c r="BX743" s="722"/>
      <c r="BY743"/>
      <c r="BZ743"/>
      <c r="CA743"/>
      <c r="CB743"/>
      <c r="CC743"/>
      <c r="CD743"/>
    </row>
    <row r="744" spans="1:82" s="2" customFormat="1" ht="12.75" hidden="1" customHeight="1" outlineLevel="1" x14ac:dyDescent="0.2">
      <c r="A744" s="41"/>
      <c r="B744" s="5" t="s">
        <v>312</v>
      </c>
      <c r="C744" s="726"/>
      <c r="D744" s="9"/>
      <c r="E744" s="726"/>
      <c r="F744" s="9"/>
      <c r="G744" s="726"/>
      <c r="H744" s="9"/>
      <c r="I744" s="726"/>
      <c r="J744" s="9"/>
      <c r="K744" s="726"/>
      <c r="L744" s="9"/>
      <c r="M744" s="726"/>
      <c r="N744" s="9"/>
      <c r="O744" s="726"/>
      <c r="P744" s="9"/>
      <c r="Q744" s="726"/>
      <c r="R744" s="9"/>
      <c r="S744" s="726"/>
      <c r="T744" s="9"/>
      <c r="U744" s="726"/>
      <c r="V744" s="9"/>
      <c r="W744" s="726"/>
      <c r="X744" s="9" t="str">
        <f t="shared" si="3396"/>
        <v>NA</v>
      </c>
      <c r="Y744" s="726"/>
      <c r="Z744" s="9"/>
      <c r="AA744" s="726"/>
      <c r="AB744" s="9"/>
      <c r="AC744" s="726"/>
      <c r="AD744" s="9"/>
      <c r="AE744" s="726"/>
      <c r="AF744" s="9"/>
      <c r="AG744" s="726"/>
      <c r="AH744" s="9"/>
      <c r="AI744" s="726"/>
      <c r="AJ744" s="9"/>
      <c r="AK744" s="726"/>
      <c r="AL744" s="9"/>
      <c r="AM744" s="726"/>
      <c r="AN744" s="9"/>
      <c r="AO744" s="726"/>
      <c r="AP744" s="9"/>
      <c r="AQ744" s="726"/>
      <c r="AR744" s="9"/>
      <c r="AS744" s="726"/>
      <c r="AT744" s="9"/>
      <c r="AU744" s="726"/>
      <c r="AV744" s="9"/>
      <c r="AW744" s="726"/>
      <c r="AX744" s="9"/>
      <c r="AY744" s="286"/>
      <c r="AZ744" s="92"/>
      <c r="BA744" s="9"/>
      <c r="BB744" s="726"/>
      <c r="BC744" s="9"/>
      <c r="BD744" s="963"/>
      <c r="BE744" s="9"/>
      <c r="BF744" s="726"/>
      <c r="BG744" s="9"/>
      <c r="BH744" s="726"/>
      <c r="BI744" s="9"/>
      <c r="BJ744" s="726"/>
      <c r="BK744" s="9"/>
      <c r="BL744" s="726"/>
      <c r="BM744" s="9"/>
      <c r="BN744" s="726"/>
      <c r="BO744" s="9"/>
      <c r="BP744" s="726"/>
      <c r="BQ744" s="9"/>
      <c r="BR744" s="726"/>
      <c r="BS744" s="9"/>
      <c r="BT744" s="726"/>
      <c r="BU744" s="9"/>
      <c r="BV744" s="43"/>
      <c r="BW744" s="722"/>
      <c r="BX744" s="722"/>
      <c r="BY744"/>
      <c r="BZ744"/>
      <c r="CA744"/>
      <c r="CB744"/>
      <c r="CC744"/>
      <c r="CD744"/>
    </row>
    <row r="745" spans="1:82" s="2" customFormat="1" ht="12.75" hidden="1" customHeight="1" outlineLevel="1" x14ac:dyDescent="0.2">
      <c r="A745" s="41"/>
      <c r="B745" s="5" t="s">
        <v>455</v>
      </c>
      <c r="C745" s="726"/>
      <c r="D745" s="9"/>
      <c r="E745" s="726"/>
      <c r="F745" s="9"/>
      <c r="G745" s="726"/>
      <c r="H745" s="9"/>
      <c r="I745" s="726"/>
      <c r="J745" s="9"/>
      <c r="K745" s="726"/>
      <c r="L745" s="9"/>
      <c r="M745" s="726"/>
      <c r="N745" s="9"/>
      <c r="O745" s="726"/>
      <c r="P745" s="9"/>
      <c r="Q745" s="726"/>
      <c r="R745" s="9"/>
      <c r="S745" s="726"/>
      <c r="T745" s="9"/>
      <c r="U745" s="726"/>
      <c r="V745" s="9"/>
      <c r="W745" s="726"/>
      <c r="X745" s="9" t="str">
        <f t="shared" si="3396"/>
        <v>NA</v>
      </c>
      <c r="Y745" s="726"/>
      <c r="Z745" s="9"/>
      <c r="AA745" s="726"/>
      <c r="AB745" s="9"/>
      <c r="AC745" s="726"/>
      <c r="AD745" s="9"/>
      <c r="AE745" s="726"/>
      <c r="AF745" s="9"/>
      <c r="AG745" s="726"/>
      <c r="AH745" s="9"/>
      <c r="AI745" s="726"/>
      <c r="AJ745" s="9"/>
      <c r="AK745" s="726"/>
      <c r="AL745" s="9"/>
      <c r="AM745" s="726"/>
      <c r="AN745" s="9"/>
      <c r="AO745" s="726"/>
      <c r="AP745" s="9"/>
      <c r="AQ745" s="726"/>
      <c r="AR745" s="9"/>
      <c r="AS745" s="726"/>
      <c r="AT745" s="9"/>
      <c r="AU745" s="726"/>
      <c r="AV745" s="9"/>
      <c r="AW745" s="726"/>
      <c r="AX745" s="9"/>
      <c r="AY745" s="286"/>
      <c r="AZ745" s="92"/>
      <c r="BA745" s="9"/>
      <c r="BB745" s="726"/>
      <c r="BC745" s="9"/>
      <c r="BD745" s="963"/>
      <c r="BE745" s="9"/>
      <c r="BF745" s="726"/>
      <c r="BG745" s="9"/>
      <c r="BH745" s="726"/>
      <c r="BI745" s="9"/>
      <c r="BJ745" s="726"/>
      <c r="BK745" s="9"/>
      <c r="BL745" s="726"/>
      <c r="BM745" s="9"/>
      <c r="BN745" s="726"/>
      <c r="BO745" s="9"/>
      <c r="BP745" s="726"/>
      <c r="BQ745" s="9"/>
      <c r="BR745" s="726"/>
      <c r="BS745" s="9"/>
      <c r="BT745" s="726"/>
      <c r="BU745" s="9"/>
      <c r="BV745" s="43"/>
      <c r="BW745" s="722"/>
      <c r="BX745" s="722"/>
      <c r="BY745"/>
      <c r="BZ745"/>
      <c r="CA745"/>
      <c r="CB745"/>
      <c r="CC745"/>
      <c r="CD745"/>
    </row>
    <row r="746" spans="1:82" s="2" customFormat="1" ht="12.75" hidden="1" customHeight="1" outlineLevel="1" x14ac:dyDescent="0.2">
      <c r="A746" s="41"/>
      <c r="B746" s="5" t="s">
        <v>454</v>
      </c>
      <c r="C746" s="726"/>
      <c r="D746" s="9"/>
      <c r="E746" s="726"/>
      <c r="F746" s="9"/>
      <c r="G746" s="726"/>
      <c r="H746" s="9"/>
      <c r="I746" s="726"/>
      <c r="J746" s="9"/>
      <c r="K746" s="726"/>
      <c r="L746" s="9"/>
      <c r="M746" s="726"/>
      <c r="N746" s="9"/>
      <c r="O746" s="726"/>
      <c r="P746" s="9"/>
      <c r="Q746" s="726"/>
      <c r="R746" s="9"/>
      <c r="S746" s="726"/>
      <c r="T746" s="9"/>
      <c r="U746" s="726"/>
      <c r="V746" s="9"/>
      <c r="W746" s="726"/>
      <c r="X746" s="9" t="str">
        <f t="shared" si="3396"/>
        <v>NA</v>
      </c>
      <c r="Y746" s="726"/>
      <c r="Z746" s="9"/>
      <c r="AA746" s="726"/>
      <c r="AB746" s="9"/>
      <c r="AC746" s="726"/>
      <c r="AD746" s="9"/>
      <c r="AE746" s="726"/>
      <c r="AF746" s="9"/>
      <c r="AG746" s="726"/>
      <c r="AH746" s="9"/>
      <c r="AI746" s="726"/>
      <c r="AJ746" s="9"/>
      <c r="AK746" s="726"/>
      <c r="AL746" s="9"/>
      <c r="AM746" s="726"/>
      <c r="AN746" s="9"/>
      <c r="AO746" s="726"/>
      <c r="AP746" s="9"/>
      <c r="AQ746" s="726"/>
      <c r="AR746" s="9"/>
      <c r="AS746" s="726"/>
      <c r="AT746" s="9"/>
      <c r="AU746" s="726"/>
      <c r="AV746" s="9"/>
      <c r="AW746" s="726"/>
      <c r="AX746" s="9"/>
      <c r="AY746" s="286"/>
      <c r="AZ746" s="92"/>
      <c r="BA746" s="9"/>
      <c r="BB746" s="726"/>
      <c r="BC746" s="9"/>
      <c r="BD746" s="963"/>
      <c r="BE746" s="9"/>
      <c r="BF746" s="726"/>
      <c r="BG746" s="9"/>
      <c r="BH746" s="726"/>
      <c r="BI746" s="9"/>
      <c r="BJ746" s="726"/>
      <c r="BK746" s="9"/>
      <c r="BL746" s="726"/>
      <c r="BM746" s="9"/>
      <c r="BN746" s="726"/>
      <c r="BO746" s="9"/>
      <c r="BP746" s="726"/>
      <c r="BQ746" s="9"/>
      <c r="BR746" s="726"/>
      <c r="BS746" s="9"/>
      <c r="BT746" s="726"/>
      <c r="BU746" s="9"/>
      <c r="BV746" s="43"/>
      <c r="BW746" s="722"/>
      <c r="BX746" s="722"/>
      <c r="BY746"/>
      <c r="BZ746"/>
      <c r="CA746"/>
      <c r="CB746"/>
      <c r="CC746"/>
      <c r="CD746"/>
    </row>
    <row r="747" spans="1:82" s="2" customFormat="1" ht="12.75" hidden="1" customHeight="1" outlineLevel="1" x14ac:dyDescent="0.2">
      <c r="A747" s="41"/>
      <c r="B747" s="5" t="s">
        <v>459</v>
      </c>
      <c r="C747" s="726"/>
      <c r="D747" s="9"/>
      <c r="E747" s="726"/>
      <c r="F747" s="9"/>
      <c r="G747" s="726"/>
      <c r="H747" s="9"/>
      <c r="I747" s="726"/>
      <c r="J747" s="9"/>
      <c r="K747" s="726"/>
      <c r="L747" s="9"/>
      <c r="M747" s="726"/>
      <c r="N747" s="9"/>
      <c r="O747" s="726"/>
      <c r="P747" s="9"/>
      <c r="Q747" s="726"/>
      <c r="R747" s="9"/>
      <c r="S747" s="726"/>
      <c r="T747" s="9"/>
      <c r="U747" s="726"/>
      <c r="V747" s="9"/>
      <c r="W747" s="726"/>
      <c r="X747" s="9" t="str">
        <f t="shared" si="3396"/>
        <v>NA</v>
      </c>
      <c r="Y747" s="726"/>
      <c r="Z747" s="9"/>
      <c r="AA747" s="726"/>
      <c r="AB747" s="9"/>
      <c r="AC747" s="726"/>
      <c r="AD747" s="9"/>
      <c r="AE747" s="726"/>
      <c r="AF747" s="9"/>
      <c r="AG747" s="726"/>
      <c r="AH747" s="9"/>
      <c r="AI747" s="726"/>
      <c r="AJ747" s="9"/>
      <c r="AK747" s="726"/>
      <c r="AL747" s="9"/>
      <c r="AM747" s="726"/>
      <c r="AN747" s="9"/>
      <c r="AO747" s="726"/>
      <c r="AP747" s="9"/>
      <c r="AQ747" s="726"/>
      <c r="AR747" s="9"/>
      <c r="AS747" s="726"/>
      <c r="AT747" s="9"/>
      <c r="AU747" s="726"/>
      <c r="AV747" s="9"/>
      <c r="AW747" s="726"/>
      <c r="AX747" s="9"/>
      <c r="AY747" s="279"/>
      <c r="AZ747" s="15"/>
      <c r="BA747" s="9"/>
      <c r="BB747" s="726"/>
      <c r="BC747" s="9"/>
      <c r="BD747" s="963"/>
      <c r="BE747" s="9"/>
      <c r="BF747" s="726"/>
      <c r="BG747" s="9"/>
      <c r="BH747" s="726"/>
      <c r="BI747" s="9"/>
      <c r="BJ747" s="726"/>
      <c r="BK747" s="9"/>
      <c r="BL747" s="726"/>
      <c r="BM747" s="9"/>
      <c r="BN747" s="726"/>
      <c r="BO747" s="9"/>
      <c r="BP747" s="726"/>
      <c r="BQ747" s="9"/>
      <c r="BR747" s="726"/>
      <c r="BS747" s="9"/>
      <c r="BT747" s="726"/>
      <c r="BU747" s="9"/>
      <c r="BV747" s="43"/>
      <c r="BW747" s="722"/>
      <c r="BX747" s="722"/>
      <c r="BY747"/>
      <c r="BZ747"/>
      <c r="CA747"/>
      <c r="CB747"/>
      <c r="CC747"/>
      <c r="CD747"/>
    </row>
    <row r="748" spans="1:82" s="2" customFormat="1" ht="12.75" hidden="1" customHeight="1" outlineLevel="1" collapsed="1" x14ac:dyDescent="0.2">
      <c r="A748" s="41"/>
      <c r="B748" s="62"/>
      <c r="C748" s="726"/>
      <c r="D748" s="9"/>
      <c r="E748" s="726"/>
      <c r="F748" s="9"/>
      <c r="G748" s="726"/>
      <c r="H748" s="9"/>
      <c r="I748" s="726"/>
      <c r="J748" s="9"/>
      <c r="K748" s="726"/>
      <c r="L748" s="9"/>
      <c r="M748" s="726"/>
      <c r="N748" s="9"/>
      <c r="O748" s="726"/>
      <c r="P748" s="9"/>
      <c r="Q748" s="726"/>
      <c r="R748" s="9"/>
      <c r="S748" s="726"/>
      <c r="T748" s="9"/>
      <c r="U748" s="726"/>
      <c r="V748" s="9"/>
      <c r="W748" s="726"/>
      <c r="X748" s="9" t="str">
        <f t="shared" si="3396"/>
        <v>NA</v>
      </c>
      <c r="Y748" s="726"/>
      <c r="Z748" s="9"/>
      <c r="AA748" s="726"/>
      <c r="AB748" s="9"/>
      <c r="AC748" s="726"/>
      <c r="AD748" s="9"/>
      <c r="AE748" s="726"/>
      <c r="AF748" s="9"/>
      <c r="AG748" s="726"/>
      <c r="AH748" s="9"/>
      <c r="AI748" s="726"/>
      <c r="AJ748" s="9"/>
      <c r="AK748" s="726"/>
      <c r="AL748" s="9"/>
      <c r="AM748" s="726"/>
      <c r="AN748" s="9"/>
      <c r="AO748" s="726"/>
      <c r="AP748" s="9"/>
      <c r="AQ748" s="726"/>
      <c r="AR748" s="9"/>
      <c r="AS748" s="726"/>
      <c r="AT748" s="9"/>
      <c r="AU748" s="726"/>
      <c r="AV748" s="9"/>
      <c r="AW748" s="726"/>
      <c r="AX748" s="9"/>
      <c r="AY748" s="286"/>
      <c r="AZ748" s="92"/>
      <c r="BA748" s="9"/>
      <c r="BB748" s="726"/>
      <c r="BC748" s="9"/>
      <c r="BD748" s="963"/>
      <c r="BE748" s="9"/>
      <c r="BF748" s="726"/>
      <c r="BG748" s="9"/>
      <c r="BH748" s="726"/>
      <c r="BI748" s="9"/>
      <c r="BJ748" s="726"/>
      <c r="BK748" s="9"/>
      <c r="BL748" s="726"/>
      <c r="BM748" s="9"/>
      <c r="BN748" s="726"/>
      <c r="BO748" s="9"/>
      <c r="BP748" s="726"/>
      <c r="BQ748" s="9"/>
      <c r="BR748" s="726"/>
      <c r="BS748" s="9"/>
      <c r="BT748" s="726"/>
      <c r="BU748" s="9"/>
      <c r="BV748" s="43"/>
      <c r="BW748" s="722"/>
      <c r="BX748" s="722"/>
      <c r="BY748"/>
      <c r="BZ748"/>
      <c r="CA748"/>
      <c r="CB748"/>
      <c r="CC748"/>
      <c r="CD748"/>
    </row>
    <row r="749" spans="1:82" s="2" customFormat="1" ht="12.75" hidden="1" customHeight="1" outlineLevel="1" x14ac:dyDescent="0.2">
      <c r="A749" s="41"/>
      <c r="B749" s="42"/>
      <c r="C749" s="726"/>
      <c r="D749" s="9"/>
      <c r="E749" s="726"/>
      <c r="F749" s="9"/>
      <c r="G749" s="726"/>
      <c r="H749" s="9"/>
      <c r="I749" s="726"/>
      <c r="J749" s="9"/>
      <c r="K749" s="726"/>
      <c r="L749" s="9"/>
      <c r="M749" s="726"/>
      <c r="N749" s="9"/>
      <c r="O749" s="726"/>
      <c r="P749" s="9"/>
      <c r="Q749" s="726"/>
      <c r="R749" s="9"/>
      <c r="S749" s="726"/>
      <c r="T749" s="9"/>
      <c r="U749" s="726"/>
      <c r="V749" s="9"/>
      <c r="W749" s="726"/>
      <c r="X749" s="9" t="str">
        <f t="shared" si="3396"/>
        <v>NA</v>
      </c>
      <c r="Y749" s="726"/>
      <c r="Z749" s="9"/>
      <c r="AA749" s="726"/>
      <c r="AB749" s="9"/>
      <c r="AC749" s="726"/>
      <c r="AD749" s="9"/>
      <c r="AE749" s="726"/>
      <c r="AF749" s="9"/>
      <c r="AG749" s="726"/>
      <c r="AH749" s="9"/>
      <c r="AI749" s="726"/>
      <c r="AJ749" s="9"/>
      <c r="AK749" s="726"/>
      <c r="AL749" s="9"/>
      <c r="AM749" s="726"/>
      <c r="AN749" s="9"/>
      <c r="AO749" s="726"/>
      <c r="AP749" s="9"/>
      <c r="AQ749" s="726"/>
      <c r="AR749" s="9"/>
      <c r="AS749" s="726"/>
      <c r="AT749" s="9"/>
      <c r="AU749" s="726"/>
      <c r="AV749" s="9"/>
      <c r="AW749" s="726"/>
      <c r="AX749" s="9"/>
      <c r="AY749" s="286"/>
      <c r="AZ749" s="92"/>
      <c r="BA749" s="9"/>
      <c r="BB749" s="726"/>
      <c r="BC749" s="9"/>
      <c r="BD749" s="963"/>
      <c r="BE749" s="9"/>
      <c r="BF749" s="726"/>
      <c r="BG749" s="9"/>
      <c r="BH749" s="726"/>
      <c r="BI749" s="9"/>
      <c r="BJ749" s="726"/>
      <c r="BK749" s="9"/>
      <c r="BL749" s="726"/>
      <c r="BM749" s="9"/>
      <c r="BN749" s="726"/>
      <c r="BO749" s="9"/>
      <c r="BP749" s="726"/>
      <c r="BQ749" s="9"/>
      <c r="BR749" s="726"/>
      <c r="BS749" s="9"/>
      <c r="BT749" s="726"/>
      <c r="BU749" s="9"/>
      <c r="BV749" s="43"/>
      <c r="BW749" s="722"/>
      <c r="BX749" s="722"/>
      <c r="BY749"/>
      <c r="BZ749"/>
      <c r="CA749"/>
      <c r="CB749"/>
      <c r="CC749"/>
      <c r="CD749"/>
    </row>
    <row r="750" spans="1:82" s="2" customFormat="1" ht="12.75" hidden="1" customHeight="1" outlineLevel="1" x14ac:dyDescent="0.2">
      <c r="A750" s="41"/>
      <c r="B750" s="42"/>
      <c r="C750" s="726"/>
      <c r="D750" s="9"/>
      <c r="E750" s="726"/>
      <c r="F750" s="9"/>
      <c r="G750" s="726"/>
      <c r="H750" s="9"/>
      <c r="I750" s="726"/>
      <c r="J750" s="9"/>
      <c r="K750" s="726"/>
      <c r="L750" s="9"/>
      <c r="M750" s="726"/>
      <c r="N750" s="9"/>
      <c r="O750" s="726"/>
      <c r="P750" s="9"/>
      <c r="Q750" s="726"/>
      <c r="R750" s="9"/>
      <c r="S750" s="726"/>
      <c r="T750" s="9"/>
      <c r="U750" s="726"/>
      <c r="V750" s="9"/>
      <c r="W750" s="726"/>
      <c r="X750" s="9" t="str">
        <f t="shared" si="3396"/>
        <v>NA</v>
      </c>
      <c r="Y750" s="726"/>
      <c r="Z750" s="9"/>
      <c r="AA750" s="726"/>
      <c r="AB750" s="9"/>
      <c r="AC750" s="726"/>
      <c r="AD750" s="9"/>
      <c r="AE750" s="726"/>
      <c r="AF750" s="9"/>
      <c r="AG750" s="726"/>
      <c r="AH750" s="9"/>
      <c r="AI750" s="726"/>
      <c r="AJ750" s="9"/>
      <c r="AK750" s="726"/>
      <c r="AL750" s="9"/>
      <c r="AM750" s="726"/>
      <c r="AN750" s="9"/>
      <c r="AO750" s="726"/>
      <c r="AP750" s="9"/>
      <c r="AQ750" s="726"/>
      <c r="AR750" s="9"/>
      <c r="AS750" s="726"/>
      <c r="AT750" s="9"/>
      <c r="AU750" s="726"/>
      <c r="AV750" s="9"/>
      <c r="AW750" s="726"/>
      <c r="AX750" s="9"/>
      <c r="AY750" s="279"/>
      <c r="AZ750" s="15"/>
      <c r="BA750" s="9"/>
      <c r="BB750" s="726"/>
      <c r="BC750" s="9"/>
      <c r="BD750" s="963"/>
      <c r="BE750" s="9"/>
      <c r="BF750" s="726"/>
      <c r="BG750" s="9"/>
      <c r="BH750" s="726"/>
      <c r="BI750" s="9"/>
      <c r="BJ750" s="726"/>
      <c r="BK750" s="9"/>
      <c r="BL750" s="726"/>
      <c r="BM750" s="9"/>
      <c r="BN750" s="726"/>
      <c r="BO750" s="9"/>
      <c r="BP750" s="726"/>
      <c r="BQ750" s="9"/>
      <c r="BR750" s="726"/>
      <c r="BS750" s="9"/>
      <c r="BT750" s="726"/>
      <c r="BU750" s="9"/>
      <c r="BV750" s="43"/>
      <c r="BW750" s="722"/>
      <c r="BX750" s="722"/>
      <c r="BY750"/>
      <c r="BZ750"/>
      <c r="CA750"/>
      <c r="CB750"/>
      <c r="CC750"/>
      <c r="CD750"/>
    </row>
    <row r="751" spans="1:82" s="2" customFormat="1" ht="12.75" hidden="1" customHeight="1" outlineLevel="1" x14ac:dyDescent="0.2">
      <c r="A751" s="41"/>
      <c r="B751" s="5" t="s">
        <v>28</v>
      </c>
      <c r="C751" s="726"/>
      <c r="D751" s="9"/>
      <c r="E751" s="726"/>
      <c r="F751" s="9"/>
      <c r="G751" s="726"/>
      <c r="H751" s="9"/>
      <c r="I751" s="726"/>
      <c r="J751" s="9"/>
      <c r="K751" s="726"/>
      <c r="L751" s="9"/>
      <c r="M751" s="726"/>
      <c r="N751" s="9"/>
      <c r="O751" s="726"/>
      <c r="P751" s="9"/>
      <c r="Q751" s="726"/>
      <c r="R751" s="9"/>
      <c r="S751" s="726"/>
      <c r="T751" s="9"/>
      <c r="U751" s="726"/>
      <c r="V751" s="9"/>
      <c r="W751" s="726"/>
      <c r="X751" s="9" t="str">
        <f t="shared" si="3396"/>
        <v>NA</v>
      </c>
      <c r="Y751" s="726"/>
      <c r="Z751" s="9"/>
      <c r="AA751" s="726"/>
      <c r="AB751" s="9"/>
      <c r="AC751" s="726"/>
      <c r="AD751" s="9"/>
      <c r="AE751" s="726"/>
      <c r="AF751" s="9"/>
      <c r="AG751" s="726"/>
      <c r="AH751" s="9"/>
      <c r="AI751" s="726"/>
      <c r="AJ751" s="9"/>
      <c r="AK751" s="726"/>
      <c r="AL751" s="9"/>
      <c r="AM751" s="726"/>
      <c r="AN751" s="9"/>
      <c r="AO751" s="726"/>
      <c r="AP751" s="9"/>
      <c r="AQ751" s="726"/>
      <c r="AR751" s="9"/>
      <c r="AS751" s="726"/>
      <c r="AT751" s="9"/>
      <c r="AU751" s="726"/>
      <c r="AV751" s="9"/>
      <c r="AW751" s="726"/>
      <c r="AX751" s="9"/>
      <c r="AY751" s="286"/>
      <c r="AZ751" s="92"/>
      <c r="BA751" s="9"/>
      <c r="BB751" s="726"/>
      <c r="BC751" s="9"/>
      <c r="BD751" s="963"/>
      <c r="BE751" s="9"/>
      <c r="BF751" s="726"/>
      <c r="BG751" s="9"/>
      <c r="BH751" s="726"/>
      <c r="BI751" s="9"/>
      <c r="BJ751" s="726"/>
      <c r="BK751" s="9"/>
      <c r="BL751" s="726"/>
      <c r="BM751" s="9"/>
      <c r="BN751" s="726"/>
      <c r="BO751" s="9"/>
      <c r="BP751" s="726"/>
      <c r="BQ751" s="9"/>
      <c r="BR751" s="726"/>
      <c r="BS751" s="9"/>
      <c r="BT751" s="726"/>
      <c r="BU751" s="9"/>
      <c r="BV751" s="43"/>
      <c r="BW751" s="722"/>
      <c r="BX751" s="722"/>
      <c r="BY751"/>
      <c r="BZ751"/>
      <c r="CA751"/>
      <c r="CB751"/>
      <c r="CC751"/>
      <c r="CD751"/>
    </row>
    <row r="752" spans="1:82" s="2" customFormat="1" ht="12.75" hidden="1" customHeight="1" outlineLevel="2" x14ac:dyDescent="0.2">
      <c r="A752" s="41"/>
      <c r="B752" s="5" t="s">
        <v>29</v>
      </c>
      <c r="C752" s="726"/>
      <c r="D752" s="9"/>
      <c r="E752" s="726"/>
      <c r="F752" s="9"/>
      <c r="G752" s="726"/>
      <c r="H752" s="9"/>
      <c r="I752" s="726"/>
      <c r="J752" s="9"/>
      <c r="K752" s="726"/>
      <c r="L752" s="9"/>
      <c r="M752" s="726"/>
      <c r="N752" s="9"/>
      <c r="O752" s="726"/>
      <c r="P752" s="9"/>
      <c r="Q752" s="726"/>
      <c r="R752" s="9"/>
      <c r="S752" s="726"/>
      <c r="T752" s="9"/>
      <c r="U752" s="726"/>
      <c r="V752" s="9"/>
      <c r="W752" s="726"/>
      <c r="X752" s="9"/>
      <c r="Y752" s="726"/>
      <c r="Z752" s="9"/>
      <c r="AA752" s="726"/>
      <c r="AB752" s="9"/>
      <c r="AC752" s="726"/>
      <c r="AD752" s="9"/>
      <c r="AE752" s="726"/>
      <c r="AF752" s="9"/>
      <c r="AG752" s="726"/>
      <c r="AH752" s="9"/>
      <c r="AI752" s="726"/>
      <c r="AJ752" s="9"/>
      <c r="AK752" s="726"/>
      <c r="AL752" s="9"/>
      <c r="AM752" s="726"/>
      <c r="AN752" s="9"/>
      <c r="AO752" s="726"/>
      <c r="AP752" s="9"/>
      <c r="AQ752" s="726"/>
      <c r="AR752" s="9"/>
      <c r="AS752" s="726"/>
      <c r="AT752" s="9"/>
      <c r="AU752" s="726"/>
      <c r="AV752" s="9"/>
      <c r="AW752" s="726"/>
      <c r="AX752" s="9"/>
      <c r="AY752" s="286"/>
      <c r="AZ752" s="92"/>
      <c r="BA752" s="9"/>
      <c r="BB752" s="726"/>
      <c r="BC752" s="9"/>
      <c r="BD752" s="963"/>
      <c r="BE752" s="9"/>
      <c r="BF752" s="726"/>
      <c r="BG752" s="9"/>
      <c r="BH752" s="726"/>
      <c r="BI752" s="9"/>
      <c r="BJ752" s="726"/>
      <c r="BK752" s="9"/>
      <c r="BL752" s="726"/>
      <c r="BM752" s="9"/>
      <c r="BN752" s="726"/>
      <c r="BO752" s="9"/>
      <c r="BP752" s="726"/>
      <c r="BQ752" s="9"/>
      <c r="BR752" s="726"/>
      <c r="BS752" s="9"/>
      <c r="BT752" s="726"/>
      <c r="BU752" s="9"/>
      <c r="BV752" s="43"/>
      <c r="BW752" s="722"/>
      <c r="BX752" s="722"/>
      <c r="BY752"/>
      <c r="BZ752"/>
      <c r="CA752"/>
      <c r="CB752"/>
      <c r="CC752"/>
      <c r="CD752"/>
    </row>
    <row r="753" spans="1:82" s="2" customFormat="1" ht="12.75" hidden="1" customHeight="1" outlineLevel="1" x14ac:dyDescent="0.2">
      <c r="A753" s="41"/>
      <c r="B753" s="5" t="s">
        <v>442</v>
      </c>
      <c r="C753" s="726"/>
      <c r="D753" s="9"/>
      <c r="E753" s="726"/>
      <c r="F753" s="9"/>
      <c r="G753" s="726"/>
      <c r="H753" s="9"/>
      <c r="I753" s="726"/>
      <c r="J753" s="9"/>
      <c r="K753" s="726"/>
      <c r="L753" s="9"/>
      <c r="M753" s="726"/>
      <c r="N753" s="9"/>
      <c r="O753" s="726"/>
      <c r="P753" s="9"/>
      <c r="Q753" s="726"/>
      <c r="R753" s="9"/>
      <c r="S753" s="726"/>
      <c r="T753" s="9"/>
      <c r="U753" s="726"/>
      <c r="V753" s="9"/>
      <c r="W753" s="726"/>
      <c r="X753" s="9" t="str">
        <f>IF(ISERROR(W753/O753),"NA",IF(OR(W753/O753&gt;2,W753/O753&lt;0.5),"NM",W753/O753*100-100))</f>
        <v>NA</v>
      </c>
      <c r="Y753" s="726"/>
      <c r="Z753" s="9"/>
      <c r="AA753" s="726"/>
      <c r="AB753" s="9"/>
      <c r="AC753" s="726"/>
      <c r="AD753" s="9"/>
      <c r="AE753" s="726"/>
      <c r="AF753" s="9"/>
      <c r="AG753" s="726"/>
      <c r="AH753" s="9"/>
      <c r="AI753" s="726"/>
      <c r="AJ753" s="9"/>
      <c r="AK753" s="726"/>
      <c r="AL753" s="9"/>
      <c r="AM753" s="726"/>
      <c r="AN753" s="9"/>
      <c r="AO753" s="726"/>
      <c r="AP753" s="9"/>
      <c r="AQ753" s="726"/>
      <c r="AR753" s="9"/>
      <c r="AS753" s="726"/>
      <c r="AT753" s="9"/>
      <c r="AU753" s="726"/>
      <c r="AV753" s="9"/>
      <c r="AW753" s="726"/>
      <c r="AX753" s="9"/>
      <c r="AY753" s="286"/>
      <c r="AZ753" s="92"/>
      <c r="BA753" s="9"/>
      <c r="BB753" s="726"/>
      <c r="BC753" s="9"/>
      <c r="BD753" s="963"/>
      <c r="BE753" s="9"/>
      <c r="BF753" s="726"/>
      <c r="BG753" s="9"/>
      <c r="BH753" s="726"/>
      <c r="BI753" s="9"/>
      <c r="BJ753" s="726"/>
      <c r="BK753" s="9"/>
      <c r="BL753" s="726"/>
      <c r="BM753" s="9"/>
      <c r="BN753" s="726"/>
      <c r="BO753" s="9"/>
      <c r="BP753" s="726"/>
      <c r="BQ753" s="9"/>
      <c r="BR753" s="726"/>
      <c r="BS753" s="9"/>
      <c r="BT753" s="726"/>
      <c r="BU753" s="9"/>
      <c r="BV753" s="43"/>
      <c r="BW753" s="722"/>
      <c r="BX753" s="722"/>
      <c r="BY753"/>
      <c r="BZ753"/>
      <c r="CA753"/>
      <c r="CB753"/>
      <c r="CC753"/>
      <c r="CD753"/>
    </row>
    <row r="754" spans="1:82" s="2" customFormat="1" ht="12.75" hidden="1" customHeight="1" outlineLevel="1" x14ac:dyDescent="0.2">
      <c r="A754" s="41"/>
      <c r="B754" s="42" t="s">
        <v>324</v>
      </c>
      <c r="C754" s="726"/>
      <c r="D754" s="9"/>
      <c r="E754" s="726"/>
      <c r="F754" s="9"/>
      <c r="G754" s="726"/>
      <c r="H754" s="9"/>
      <c r="I754" s="726"/>
      <c r="J754" s="9"/>
      <c r="K754" s="726"/>
      <c r="L754" s="9"/>
      <c r="M754" s="726"/>
      <c r="N754" s="9"/>
      <c r="O754" s="726"/>
      <c r="P754" s="9"/>
      <c r="Q754" s="726"/>
      <c r="R754" s="9"/>
      <c r="S754" s="726"/>
      <c r="T754" s="9"/>
      <c r="U754" s="726"/>
      <c r="V754" s="9"/>
      <c r="W754" s="726"/>
      <c r="X754" s="9" t="str">
        <f>IF(ISERROR(W754/O754),"NA",IF(OR(W754/O754&gt;2,W754/O754&lt;0.5),"NM",W754/O754*100-100))</f>
        <v>NA</v>
      </c>
      <c r="Y754" s="726"/>
      <c r="Z754" s="9"/>
      <c r="AA754" s="726"/>
      <c r="AB754" s="9"/>
      <c r="AC754" s="726"/>
      <c r="AD754" s="9"/>
      <c r="AE754" s="726"/>
      <c r="AF754" s="9"/>
      <c r="AG754" s="726"/>
      <c r="AH754" s="9"/>
      <c r="AI754" s="726"/>
      <c r="AJ754" s="9"/>
      <c r="AK754" s="726"/>
      <c r="AL754" s="9"/>
      <c r="AM754" s="726"/>
      <c r="AN754" s="9"/>
      <c r="AO754" s="726"/>
      <c r="AP754" s="9"/>
      <c r="AQ754" s="726"/>
      <c r="AR754" s="9"/>
      <c r="AS754" s="726"/>
      <c r="AT754" s="9"/>
      <c r="AU754" s="726"/>
      <c r="AV754" s="9"/>
      <c r="AW754" s="726"/>
      <c r="AX754" s="9"/>
      <c r="AY754" s="286"/>
      <c r="AZ754" s="92"/>
      <c r="BA754" s="9"/>
      <c r="BB754" s="726"/>
      <c r="BC754" s="9"/>
      <c r="BD754" s="963"/>
      <c r="BE754" s="9"/>
      <c r="BF754" s="726"/>
      <c r="BG754" s="9"/>
      <c r="BH754" s="726"/>
      <c r="BI754" s="9"/>
      <c r="BJ754" s="726"/>
      <c r="BK754" s="9"/>
      <c r="BL754" s="726"/>
      <c r="BM754" s="9"/>
      <c r="BN754" s="726"/>
      <c r="BO754" s="9"/>
      <c r="BP754" s="726"/>
      <c r="BQ754" s="9"/>
      <c r="BR754" s="726"/>
      <c r="BS754" s="9"/>
      <c r="BT754" s="726"/>
      <c r="BU754" s="9"/>
      <c r="BV754" s="43"/>
      <c r="BW754" s="43"/>
      <c r="BX754" s="43"/>
      <c r="BY754"/>
      <c r="BZ754"/>
      <c r="CA754"/>
      <c r="CB754"/>
      <c r="CC754"/>
      <c r="CD754"/>
    </row>
    <row r="755" spans="1:82" s="2" customFormat="1" ht="12.75" hidden="1" customHeight="1" outlineLevel="1" x14ac:dyDescent="0.2">
      <c r="A755" s="66"/>
      <c r="B755" s="80" t="s">
        <v>327</v>
      </c>
      <c r="C755" s="724"/>
      <c r="D755" s="9"/>
      <c r="E755" s="724"/>
      <c r="F755" s="9"/>
      <c r="G755" s="724"/>
      <c r="H755" s="9"/>
      <c r="I755" s="724"/>
      <c r="J755" s="9"/>
      <c r="K755" s="724"/>
      <c r="L755" s="9"/>
      <c r="M755" s="724"/>
      <c r="N755" s="9"/>
      <c r="O755" s="724"/>
      <c r="P755" s="9"/>
      <c r="Q755" s="724"/>
      <c r="R755" s="9"/>
      <c r="S755" s="724"/>
      <c r="T755" s="9"/>
      <c r="U755" s="724"/>
      <c r="V755" s="9"/>
      <c r="W755" s="724"/>
      <c r="X755" s="9" t="str">
        <f>IF(ISERROR(W755/O755),"NA",IF(OR(W755/O755&gt;2,W755/O755&lt;0.5),"NM",W755/O755*100-100))</f>
        <v>NA</v>
      </c>
      <c r="Y755" s="724"/>
      <c r="Z755" s="9"/>
      <c r="AA755" s="724"/>
      <c r="AB755" s="9"/>
      <c r="AC755" s="724"/>
      <c r="AD755" s="9"/>
      <c r="AE755" s="724"/>
      <c r="AF755" s="9"/>
      <c r="AG755" s="724"/>
      <c r="AH755" s="9"/>
      <c r="AI755" s="724"/>
      <c r="AJ755" s="9"/>
      <c r="AK755" s="724"/>
      <c r="AL755" s="9"/>
      <c r="AM755" s="724"/>
      <c r="AN755" s="9"/>
      <c r="AO755" s="724"/>
      <c r="AP755" s="9"/>
      <c r="AQ755" s="724"/>
      <c r="AR755" s="9"/>
      <c r="AS755" s="724"/>
      <c r="AT755" s="9"/>
      <c r="AU755" s="724"/>
      <c r="AV755" s="9"/>
      <c r="AW755" s="724"/>
      <c r="AX755" s="9"/>
      <c r="AY755" s="293"/>
      <c r="AZ755" s="165"/>
      <c r="BA755" s="9"/>
      <c r="BB755" s="724"/>
      <c r="BC755" s="9"/>
      <c r="BD755" s="965"/>
      <c r="BE755" s="9"/>
      <c r="BF755" s="724"/>
      <c r="BG755" s="9"/>
      <c r="BH755" s="724"/>
      <c r="BI755" s="9"/>
      <c r="BJ755" s="724"/>
      <c r="BK755" s="9"/>
      <c r="BL755" s="724"/>
      <c r="BM755" s="9"/>
      <c r="BN755" s="724"/>
      <c r="BO755" s="9"/>
      <c r="BP755" s="724"/>
      <c r="BQ755" s="9"/>
      <c r="BR755" s="724"/>
      <c r="BS755" s="9"/>
      <c r="BT755" s="724"/>
      <c r="BU755" s="9"/>
      <c r="BV755" s="43"/>
      <c r="BW755" s="722"/>
      <c r="BX755" s="722"/>
      <c r="BY755"/>
      <c r="BZ755"/>
      <c r="CA755"/>
      <c r="CB755"/>
      <c r="CC755"/>
      <c r="CD755"/>
    </row>
    <row r="756" spans="1:82" s="2" customFormat="1" ht="12.75" hidden="1" customHeight="1" outlineLevel="1" x14ac:dyDescent="0.2">
      <c r="A756" s="41"/>
      <c r="B756" s="42"/>
      <c r="C756" s="15"/>
      <c r="D756" s="40"/>
      <c r="E756" s="15"/>
      <c r="F756" s="40"/>
      <c r="G756" s="15"/>
      <c r="H756" s="40"/>
      <c r="I756" s="15"/>
      <c r="J756" s="40"/>
      <c r="K756" s="15"/>
      <c r="L756" s="40"/>
      <c r="M756" s="15"/>
      <c r="N756" s="40"/>
      <c r="O756" s="15"/>
      <c r="P756" s="40"/>
      <c r="Q756" s="15"/>
      <c r="R756" s="40"/>
      <c r="S756" s="15"/>
      <c r="T756" s="40"/>
      <c r="U756" s="15"/>
      <c r="V756" s="40"/>
      <c r="W756" s="15"/>
      <c r="X756" s="40"/>
      <c r="Y756" s="15"/>
      <c r="Z756" s="40"/>
      <c r="AA756" s="15"/>
      <c r="AB756" s="40"/>
      <c r="AC756" s="15"/>
      <c r="AD756" s="40"/>
      <c r="AE756" s="15"/>
      <c r="AF756" s="40"/>
      <c r="AG756" s="15"/>
      <c r="AH756" s="40"/>
      <c r="AI756" s="15"/>
      <c r="AJ756" s="40"/>
      <c r="AK756" s="15"/>
      <c r="AL756" s="40"/>
      <c r="AM756" s="15"/>
      <c r="AN756" s="40"/>
      <c r="AO756" s="15"/>
      <c r="AP756" s="40"/>
      <c r="AQ756" s="15"/>
      <c r="AR756" s="40"/>
      <c r="AS756" s="15"/>
      <c r="AT756" s="40"/>
      <c r="AU756" s="15"/>
      <c r="AV756" s="40"/>
      <c r="AW756" s="15"/>
      <c r="AX756" s="40"/>
      <c r="AY756" s="279"/>
      <c r="AZ756" s="15"/>
      <c r="BA756" s="40"/>
      <c r="BB756" s="15"/>
      <c r="BC756" s="40"/>
      <c r="BD756" s="924"/>
      <c r="BE756" s="40"/>
      <c r="BF756" s="15"/>
      <c r="BG756" s="40"/>
      <c r="BH756" s="15"/>
      <c r="BI756" s="40"/>
      <c r="BJ756" s="15"/>
      <c r="BK756" s="40"/>
      <c r="BL756" s="15"/>
      <c r="BM756" s="40"/>
      <c r="BN756" s="15"/>
      <c r="BO756" s="40"/>
      <c r="BP756" s="15"/>
      <c r="BQ756" s="40"/>
      <c r="BR756" s="15"/>
      <c r="BS756" s="40"/>
      <c r="BT756" s="15"/>
      <c r="BU756" s="40"/>
      <c r="BV756" s="722"/>
      <c r="BW756" s="722"/>
      <c r="BX756" s="722"/>
      <c r="BY756"/>
      <c r="BZ756"/>
      <c r="CA756"/>
      <c r="CB756"/>
      <c r="CC756"/>
      <c r="CD756"/>
    </row>
    <row r="757" spans="1:82" s="2" customFormat="1" ht="12.75" hidden="1" customHeight="1" outlineLevel="1" x14ac:dyDescent="0.2">
      <c r="A757" s="41"/>
      <c r="B757" s="80" t="s">
        <v>103</v>
      </c>
      <c r="C757" s="15"/>
      <c r="D757" s="40"/>
      <c r="E757" s="15"/>
      <c r="F757" s="40"/>
      <c r="G757" s="15"/>
      <c r="H757" s="40"/>
      <c r="I757" s="15"/>
      <c r="J757" s="40"/>
      <c r="K757" s="15"/>
      <c r="L757" s="40"/>
      <c r="M757" s="15"/>
      <c r="N757" s="40"/>
      <c r="O757" s="15"/>
      <c r="P757" s="40"/>
      <c r="Q757" s="15"/>
      <c r="R757" s="40"/>
      <c r="S757" s="15"/>
      <c r="T757" s="40"/>
      <c r="U757" s="15"/>
      <c r="V757" s="40"/>
      <c r="W757" s="15"/>
      <c r="X757" s="40"/>
      <c r="Y757" s="15"/>
      <c r="Z757" s="40"/>
      <c r="AA757" s="15"/>
      <c r="AB757" s="40"/>
      <c r="AC757" s="15"/>
      <c r="AD757" s="40"/>
      <c r="AE757" s="15"/>
      <c r="AF757" s="40"/>
      <c r="AG757" s="15"/>
      <c r="AH757" s="40"/>
      <c r="AI757" s="15"/>
      <c r="AJ757" s="40"/>
      <c r="AK757" s="15"/>
      <c r="AL757" s="40"/>
      <c r="AM757" s="15"/>
      <c r="AN757" s="40"/>
      <c r="AO757" s="15"/>
      <c r="AP757" s="40"/>
      <c r="AQ757" s="15"/>
      <c r="AR757" s="40"/>
      <c r="AS757" s="15"/>
      <c r="AT757" s="40"/>
      <c r="AU757" s="15"/>
      <c r="AV757" s="40"/>
      <c r="AW757" s="15"/>
      <c r="AX757" s="40"/>
      <c r="AY757" s="279"/>
      <c r="AZ757" s="15"/>
      <c r="BA757" s="40"/>
      <c r="BB757" s="15"/>
      <c r="BC757" s="40"/>
      <c r="BD757" s="924"/>
      <c r="BE757" s="40"/>
      <c r="BF757" s="15"/>
      <c r="BG757" s="40"/>
      <c r="BH757" s="15"/>
      <c r="BI757" s="40"/>
      <c r="BJ757" s="15"/>
      <c r="BK757" s="40"/>
      <c r="BL757" s="15"/>
      <c r="BM757" s="40"/>
      <c r="BN757" s="15"/>
      <c r="BO757" s="40"/>
      <c r="BP757" s="15"/>
      <c r="BQ757" s="40"/>
      <c r="BR757" s="15"/>
      <c r="BS757" s="40"/>
      <c r="BT757" s="15"/>
      <c r="BU757" s="40"/>
      <c r="BV757" s="722"/>
      <c r="BW757" s="722"/>
      <c r="BX757" s="722"/>
      <c r="BY757"/>
      <c r="BZ757"/>
      <c r="CA757"/>
      <c r="CB757"/>
      <c r="CC757"/>
      <c r="CD757"/>
    </row>
    <row r="758" spans="1:82" s="2" customFormat="1" ht="12.75" hidden="1" customHeight="1" outlineLevel="1" x14ac:dyDescent="0.2">
      <c r="A758" s="42" t="s">
        <v>176</v>
      </c>
      <c r="B758" s="17">
        <f>+B740</f>
        <v>0</v>
      </c>
      <c r="C758" s="725"/>
      <c r="D758" s="9"/>
      <c r="E758" s="725"/>
      <c r="F758" s="9"/>
      <c r="G758" s="725"/>
      <c r="H758" s="9"/>
      <c r="I758" s="725"/>
      <c r="J758" s="9"/>
      <c r="K758" s="725"/>
      <c r="L758" s="9"/>
      <c r="M758" s="725"/>
      <c r="N758" s="9"/>
      <c r="O758" s="725"/>
      <c r="P758" s="9"/>
      <c r="Q758" s="725"/>
      <c r="R758" s="9"/>
      <c r="S758" s="725"/>
      <c r="T758" s="9"/>
      <c r="U758" s="725"/>
      <c r="V758" s="9"/>
      <c r="W758" s="725"/>
      <c r="X758" s="9" t="str">
        <f t="shared" ref="X758:X771" si="3397">IF(ISERROR(W758/O758),"NA",IF(OR(W758/O758&gt;2,W758/O758&lt;0.5),"NM",W758/O758*100-100))</f>
        <v>NA</v>
      </c>
      <c r="Y758" s="725"/>
      <c r="Z758" s="9"/>
      <c r="AA758" s="725"/>
      <c r="AB758" s="9"/>
      <c r="AC758" s="725"/>
      <c r="AD758" s="9"/>
      <c r="AE758" s="725"/>
      <c r="AF758" s="9"/>
      <c r="AG758" s="725"/>
      <c r="AH758" s="9"/>
      <c r="AI758" s="725"/>
      <c r="AJ758" s="9"/>
      <c r="AK758" s="725"/>
      <c r="AL758" s="9"/>
      <c r="AM758" s="725"/>
      <c r="AN758" s="9"/>
      <c r="AO758" s="725"/>
      <c r="AP758" s="9"/>
      <c r="AQ758" s="725"/>
      <c r="AR758" s="9"/>
      <c r="AS758" s="725"/>
      <c r="AT758" s="9"/>
      <c r="AU758" s="725"/>
      <c r="AV758" s="9"/>
      <c r="AW758" s="725"/>
      <c r="AX758" s="9"/>
      <c r="AY758" s="279"/>
      <c r="AZ758" s="15"/>
      <c r="BA758" s="9"/>
      <c r="BB758" s="725"/>
      <c r="BC758" s="9"/>
      <c r="BD758" s="961"/>
      <c r="BE758" s="9"/>
      <c r="BF758" s="725"/>
      <c r="BG758" s="9"/>
      <c r="BH758" s="725"/>
      <c r="BI758" s="9"/>
      <c r="BJ758" s="725"/>
      <c r="BK758" s="9"/>
      <c r="BL758" s="725"/>
      <c r="BM758" s="9"/>
      <c r="BN758" s="725"/>
      <c r="BO758" s="9"/>
      <c r="BP758" s="725"/>
      <c r="BQ758" s="9"/>
      <c r="BR758" s="725"/>
      <c r="BS758" s="9"/>
      <c r="BT758" s="725"/>
      <c r="BU758" s="9"/>
      <c r="BV758" s="43"/>
      <c r="BW758" s="722"/>
      <c r="BX758" s="725"/>
      <c r="BY758"/>
      <c r="BZ758"/>
      <c r="CA758"/>
      <c r="CB758"/>
      <c r="CC758"/>
      <c r="CD758"/>
    </row>
    <row r="759" spans="1:82" s="2" customFormat="1" ht="12.75" hidden="1" customHeight="1" outlineLevel="1" x14ac:dyDescent="0.2">
      <c r="A759" s="42"/>
      <c r="B759" s="5" t="s">
        <v>556</v>
      </c>
      <c r="C759" s="725"/>
      <c r="D759" s="9"/>
      <c r="E759" s="725"/>
      <c r="F759" s="9"/>
      <c r="G759" s="725"/>
      <c r="H759" s="9"/>
      <c r="I759" s="725"/>
      <c r="J759" s="9"/>
      <c r="K759" s="725"/>
      <c r="L759" s="9"/>
      <c r="M759" s="725"/>
      <c r="N759" s="9"/>
      <c r="O759" s="725"/>
      <c r="P759" s="9"/>
      <c r="Q759" s="725"/>
      <c r="R759" s="9"/>
      <c r="S759" s="725"/>
      <c r="T759" s="9"/>
      <c r="U759" s="725"/>
      <c r="V759" s="9"/>
      <c r="W759" s="725"/>
      <c r="X759" s="9"/>
      <c r="Y759" s="725"/>
      <c r="Z759" s="9"/>
      <c r="AA759" s="725"/>
      <c r="AB759" s="9"/>
      <c r="AC759" s="725"/>
      <c r="AD759" s="9"/>
      <c r="AE759" s="725"/>
      <c r="AF759" s="9"/>
      <c r="AG759" s="725"/>
      <c r="AH759" s="9"/>
      <c r="AI759" s="725"/>
      <c r="AJ759" s="9"/>
      <c r="AK759" s="725"/>
      <c r="AL759" s="9"/>
      <c r="AM759" s="725"/>
      <c r="AN759" s="9"/>
      <c r="AO759" s="725"/>
      <c r="AP759" s="9"/>
      <c r="AQ759" s="725"/>
      <c r="AR759" s="9"/>
      <c r="AS759" s="725"/>
      <c r="AT759" s="9"/>
      <c r="AU759" s="725"/>
      <c r="AV759" s="9"/>
      <c r="AW759" s="725"/>
      <c r="AX759" s="9"/>
      <c r="AY759" s="279"/>
      <c r="AZ759" s="15"/>
      <c r="BA759" s="9"/>
      <c r="BB759" s="725"/>
      <c r="BC759" s="9"/>
      <c r="BD759" s="961"/>
      <c r="BE759" s="9"/>
      <c r="BF759" s="725"/>
      <c r="BG759" s="9"/>
      <c r="BH759" s="725"/>
      <c r="BI759" s="9"/>
      <c r="BJ759" s="725"/>
      <c r="BK759" s="9"/>
      <c r="BL759" s="725"/>
      <c r="BM759" s="9"/>
      <c r="BN759" s="725"/>
      <c r="BO759" s="9"/>
      <c r="BP759" s="725"/>
      <c r="BQ759" s="9"/>
      <c r="BR759" s="725"/>
      <c r="BS759" s="9"/>
      <c r="BT759" s="725"/>
      <c r="BU759" s="9"/>
      <c r="BV759" s="43"/>
      <c r="BW759" s="722"/>
      <c r="BX759" s="725"/>
      <c r="BY759"/>
      <c r="BZ759"/>
      <c r="CA759"/>
      <c r="CB759"/>
      <c r="CC759"/>
      <c r="CD759"/>
    </row>
    <row r="760" spans="1:82" s="2" customFormat="1" ht="12.75" hidden="1" customHeight="1" outlineLevel="1" x14ac:dyDescent="0.2">
      <c r="A760" s="42"/>
      <c r="B760" s="5" t="s">
        <v>557</v>
      </c>
      <c r="C760" s="725"/>
      <c r="D760" s="9"/>
      <c r="E760" s="725"/>
      <c r="F760" s="9"/>
      <c r="G760" s="725"/>
      <c r="H760" s="9"/>
      <c r="I760" s="725"/>
      <c r="J760" s="9"/>
      <c r="K760" s="725"/>
      <c r="L760" s="9"/>
      <c r="M760" s="725"/>
      <c r="N760" s="9"/>
      <c r="O760" s="725"/>
      <c r="P760" s="9"/>
      <c r="Q760" s="725"/>
      <c r="R760" s="9"/>
      <c r="S760" s="725"/>
      <c r="T760" s="9"/>
      <c r="U760" s="725"/>
      <c r="V760" s="9"/>
      <c r="W760" s="725"/>
      <c r="X760" s="9"/>
      <c r="Y760" s="725"/>
      <c r="Z760" s="9"/>
      <c r="AA760" s="725"/>
      <c r="AB760" s="9"/>
      <c r="AC760" s="725"/>
      <c r="AD760" s="9"/>
      <c r="AE760" s="725"/>
      <c r="AF760" s="9"/>
      <c r="AG760" s="725"/>
      <c r="AH760" s="9"/>
      <c r="AI760" s="725"/>
      <c r="AJ760" s="9"/>
      <c r="AK760" s="725"/>
      <c r="AL760" s="9"/>
      <c r="AM760" s="725"/>
      <c r="AN760" s="9"/>
      <c r="AO760" s="725"/>
      <c r="AP760" s="9"/>
      <c r="AQ760" s="725"/>
      <c r="AR760" s="9"/>
      <c r="AS760" s="725"/>
      <c r="AT760" s="9"/>
      <c r="AU760" s="725"/>
      <c r="AV760" s="9"/>
      <c r="AW760" s="725"/>
      <c r="AX760" s="9"/>
      <c r="AY760" s="279"/>
      <c r="AZ760" s="15"/>
      <c r="BA760" s="9"/>
      <c r="BB760" s="725"/>
      <c r="BC760" s="9"/>
      <c r="BD760" s="961"/>
      <c r="BE760" s="9"/>
      <c r="BF760" s="725"/>
      <c r="BG760" s="9"/>
      <c r="BH760" s="725"/>
      <c r="BI760" s="9"/>
      <c r="BJ760" s="725"/>
      <c r="BK760" s="9"/>
      <c r="BL760" s="725"/>
      <c r="BM760" s="9"/>
      <c r="BN760" s="725"/>
      <c r="BO760" s="9"/>
      <c r="BP760" s="725"/>
      <c r="BQ760" s="9"/>
      <c r="BR760" s="725"/>
      <c r="BS760" s="9"/>
      <c r="BT760" s="725"/>
      <c r="BU760" s="9"/>
      <c r="BV760" s="43"/>
      <c r="BW760" s="722"/>
      <c r="BX760" s="725"/>
      <c r="BY760"/>
      <c r="BZ760"/>
      <c r="CA760"/>
      <c r="CB760"/>
      <c r="CC760"/>
      <c r="CD760"/>
    </row>
    <row r="761" spans="1:82" s="2" customFormat="1" ht="12.75" hidden="1" customHeight="1" outlineLevel="2" x14ac:dyDescent="0.2">
      <c r="A761" s="42"/>
      <c r="B761" s="5" t="s">
        <v>453</v>
      </c>
      <c r="C761" s="725"/>
      <c r="D761" s="9"/>
      <c r="E761" s="725"/>
      <c r="F761" s="9"/>
      <c r="G761" s="725"/>
      <c r="H761" s="9"/>
      <c r="I761" s="725"/>
      <c r="J761" s="9"/>
      <c r="K761" s="725"/>
      <c r="L761" s="9"/>
      <c r="M761" s="725"/>
      <c r="N761" s="9"/>
      <c r="O761" s="725"/>
      <c r="P761" s="9"/>
      <c r="Q761" s="725"/>
      <c r="R761" s="9"/>
      <c r="S761" s="725"/>
      <c r="T761" s="9"/>
      <c r="U761" s="725"/>
      <c r="V761" s="9"/>
      <c r="W761" s="725"/>
      <c r="X761" s="9" t="str">
        <f t="shared" si="3397"/>
        <v>NA</v>
      </c>
      <c r="Y761" s="725"/>
      <c r="Z761" s="9"/>
      <c r="AA761" s="725"/>
      <c r="AB761" s="9"/>
      <c r="AC761" s="725"/>
      <c r="AD761" s="9"/>
      <c r="AE761" s="725"/>
      <c r="AF761" s="9"/>
      <c r="AG761" s="725"/>
      <c r="AH761" s="9"/>
      <c r="AI761" s="725"/>
      <c r="AJ761" s="9"/>
      <c r="AK761" s="725"/>
      <c r="AL761" s="9"/>
      <c r="AM761" s="725"/>
      <c r="AN761" s="9"/>
      <c r="AO761" s="725"/>
      <c r="AP761" s="9"/>
      <c r="AQ761" s="725"/>
      <c r="AR761" s="9"/>
      <c r="AS761" s="725"/>
      <c r="AT761" s="9"/>
      <c r="AU761" s="725"/>
      <c r="AV761" s="9"/>
      <c r="AW761" s="725"/>
      <c r="AX761" s="9"/>
      <c r="AY761" s="279"/>
      <c r="AZ761" s="15"/>
      <c r="BA761" s="9"/>
      <c r="BB761" s="725"/>
      <c r="BC761" s="9"/>
      <c r="BD761" s="961"/>
      <c r="BE761" s="9"/>
      <c r="BF761" s="725"/>
      <c r="BG761" s="9"/>
      <c r="BH761" s="725"/>
      <c r="BI761" s="9"/>
      <c r="BJ761" s="725"/>
      <c r="BK761" s="9"/>
      <c r="BL761" s="725"/>
      <c r="BM761" s="9"/>
      <c r="BN761" s="725"/>
      <c r="BO761" s="9"/>
      <c r="BP761" s="725"/>
      <c r="BQ761" s="9"/>
      <c r="BR761" s="725"/>
      <c r="BS761" s="9"/>
      <c r="BT761" s="725"/>
      <c r="BU761" s="9"/>
      <c r="BV761" s="43"/>
      <c r="BW761" s="722"/>
      <c r="BX761" s="725"/>
      <c r="BY761"/>
      <c r="BZ761"/>
      <c r="CA761"/>
      <c r="CB761"/>
      <c r="CC761"/>
      <c r="CD761"/>
    </row>
    <row r="762" spans="1:82" s="2" customFormat="1" ht="12.75" hidden="1" customHeight="1" outlineLevel="2" x14ac:dyDescent="0.2">
      <c r="A762" s="42"/>
      <c r="B762" s="5" t="s">
        <v>456</v>
      </c>
      <c r="C762" s="725"/>
      <c r="D762" s="9"/>
      <c r="E762" s="725"/>
      <c r="F762" s="9"/>
      <c r="G762" s="725"/>
      <c r="H762" s="9"/>
      <c r="I762" s="725"/>
      <c r="J762" s="9"/>
      <c r="K762" s="725"/>
      <c r="L762" s="9"/>
      <c r="M762" s="725"/>
      <c r="N762" s="9"/>
      <c r="O762" s="725"/>
      <c r="P762" s="9"/>
      <c r="Q762" s="725"/>
      <c r="R762" s="9"/>
      <c r="S762" s="725"/>
      <c r="T762" s="9"/>
      <c r="U762" s="725"/>
      <c r="V762" s="9"/>
      <c r="W762" s="725"/>
      <c r="X762" s="9" t="str">
        <f t="shared" si="3397"/>
        <v>NA</v>
      </c>
      <c r="Y762" s="725"/>
      <c r="Z762" s="9"/>
      <c r="AA762" s="725"/>
      <c r="AB762" s="9"/>
      <c r="AC762" s="725"/>
      <c r="AD762" s="9"/>
      <c r="AE762" s="725"/>
      <c r="AF762" s="9"/>
      <c r="AG762" s="725"/>
      <c r="AH762" s="9"/>
      <c r="AI762" s="725"/>
      <c r="AJ762" s="9"/>
      <c r="AK762" s="725"/>
      <c r="AL762" s="9"/>
      <c r="AM762" s="725"/>
      <c r="AN762" s="9"/>
      <c r="AO762" s="725"/>
      <c r="AP762" s="9"/>
      <c r="AQ762" s="725"/>
      <c r="AR762" s="9"/>
      <c r="AS762" s="725"/>
      <c r="AT762" s="9"/>
      <c r="AU762" s="725"/>
      <c r="AV762" s="9"/>
      <c r="AW762" s="725"/>
      <c r="AX762" s="9"/>
      <c r="AY762" s="279"/>
      <c r="AZ762" s="15"/>
      <c r="BA762" s="9"/>
      <c r="BB762" s="725"/>
      <c r="BC762" s="9"/>
      <c r="BD762" s="961"/>
      <c r="BE762" s="9"/>
      <c r="BF762" s="725"/>
      <c r="BG762" s="9"/>
      <c r="BH762" s="725"/>
      <c r="BI762" s="9"/>
      <c r="BJ762" s="725"/>
      <c r="BK762" s="9"/>
      <c r="BL762" s="725"/>
      <c r="BM762" s="9"/>
      <c r="BN762" s="725"/>
      <c r="BO762" s="9"/>
      <c r="BP762" s="725"/>
      <c r="BQ762" s="9"/>
      <c r="BR762" s="725"/>
      <c r="BS762" s="9"/>
      <c r="BT762" s="725"/>
      <c r="BU762" s="9"/>
      <c r="BV762" s="43"/>
      <c r="BW762" s="722"/>
      <c r="BX762" s="725"/>
      <c r="BY762"/>
      <c r="BZ762"/>
      <c r="CA762"/>
      <c r="CB762"/>
      <c r="CC762"/>
      <c r="CD762"/>
    </row>
    <row r="763" spans="1:82" s="2" customFormat="1" ht="12.75" hidden="1" customHeight="1" outlineLevel="2" x14ac:dyDescent="0.2">
      <c r="A763" s="42"/>
      <c r="B763" s="5" t="s">
        <v>457</v>
      </c>
      <c r="C763" s="725"/>
      <c r="D763" s="9"/>
      <c r="E763" s="725"/>
      <c r="F763" s="9"/>
      <c r="G763" s="725"/>
      <c r="H763" s="9"/>
      <c r="I763" s="725"/>
      <c r="J763" s="9"/>
      <c r="K763" s="725"/>
      <c r="L763" s="9"/>
      <c r="M763" s="725"/>
      <c r="N763" s="9"/>
      <c r="O763" s="725"/>
      <c r="P763" s="9"/>
      <c r="Q763" s="725"/>
      <c r="R763" s="9"/>
      <c r="S763" s="725"/>
      <c r="T763" s="9"/>
      <c r="U763" s="725"/>
      <c r="V763" s="9"/>
      <c r="W763" s="725"/>
      <c r="X763" s="9" t="str">
        <f t="shared" si="3397"/>
        <v>NA</v>
      </c>
      <c r="Y763" s="725"/>
      <c r="Z763" s="9"/>
      <c r="AA763" s="725"/>
      <c r="AB763" s="9"/>
      <c r="AC763" s="725"/>
      <c r="AD763" s="9"/>
      <c r="AE763" s="725"/>
      <c r="AF763" s="9"/>
      <c r="AG763" s="725"/>
      <c r="AH763" s="9"/>
      <c r="AI763" s="725"/>
      <c r="AJ763" s="9"/>
      <c r="AK763" s="725"/>
      <c r="AL763" s="9"/>
      <c r="AM763" s="725"/>
      <c r="AN763" s="9"/>
      <c r="AO763" s="725"/>
      <c r="AP763" s="9"/>
      <c r="AQ763" s="725"/>
      <c r="AR763" s="9"/>
      <c r="AS763" s="725"/>
      <c r="AT763" s="9"/>
      <c r="AU763" s="725"/>
      <c r="AV763" s="9"/>
      <c r="AW763" s="725"/>
      <c r="AX763" s="9"/>
      <c r="AY763" s="279"/>
      <c r="AZ763" s="15"/>
      <c r="BA763" s="9"/>
      <c r="BB763" s="725"/>
      <c r="BC763" s="9"/>
      <c r="BD763" s="961"/>
      <c r="BE763" s="9"/>
      <c r="BF763" s="725"/>
      <c r="BG763" s="9"/>
      <c r="BH763" s="725"/>
      <c r="BI763" s="9"/>
      <c r="BJ763" s="725"/>
      <c r="BK763" s="9"/>
      <c r="BL763" s="725"/>
      <c r="BM763" s="9"/>
      <c r="BN763" s="725"/>
      <c r="BO763" s="9"/>
      <c r="BP763" s="725"/>
      <c r="BQ763" s="9"/>
      <c r="BR763" s="725"/>
      <c r="BS763" s="9"/>
      <c r="BT763" s="725"/>
      <c r="BU763" s="9"/>
      <c r="BV763" s="43"/>
      <c r="BW763" s="722"/>
      <c r="BX763" s="725"/>
      <c r="BY763"/>
      <c r="BZ763"/>
      <c r="CA763"/>
      <c r="CB763"/>
      <c r="CC763"/>
      <c r="CD763"/>
    </row>
    <row r="764" spans="1:82" s="2" customFormat="1" ht="12.75" hidden="1" customHeight="1" outlineLevel="2" x14ac:dyDescent="0.2">
      <c r="A764" s="42"/>
      <c r="B764" s="5" t="s">
        <v>312</v>
      </c>
      <c r="C764" s="725"/>
      <c r="D764" s="9"/>
      <c r="E764" s="725"/>
      <c r="F764" s="9"/>
      <c r="G764" s="725"/>
      <c r="H764" s="9"/>
      <c r="I764" s="725"/>
      <c r="J764" s="9"/>
      <c r="K764" s="725"/>
      <c r="L764" s="9"/>
      <c r="M764" s="725"/>
      <c r="N764" s="9"/>
      <c r="O764" s="725"/>
      <c r="P764" s="9"/>
      <c r="Q764" s="725"/>
      <c r="R764" s="9"/>
      <c r="S764" s="725"/>
      <c r="T764" s="9"/>
      <c r="U764" s="725"/>
      <c r="V764" s="9"/>
      <c r="W764" s="725"/>
      <c r="X764" s="9" t="str">
        <f t="shared" si="3397"/>
        <v>NA</v>
      </c>
      <c r="Y764" s="725"/>
      <c r="Z764" s="9"/>
      <c r="AA764" s="725"/>
      <c r="AB764" s="9"/>
      <c r="AC764" s="725"/>
      <c r="AD764" s="9"/>
      <c r="AE764" s="725"/>
      <c r="AF764" s="9"/>
      <c r="AG764" s="725"/>
      <c r="AH764" s="9"/>
      <c r="AI764" s="725"/>
      <c r="AJ764" s="9"/>
      <c r="AK764" s="725"/>
      <c r="AL764" s="9"/>
      <c r="AM764" s="725"/>
      <c r="AN764" s="9"/>
      <c r="AO764" s="725"/>
      <c r="AP764" s="9"/>
      <c r="AQ764" s="725"/>
      <c r="AR764" s="9"/>
      <c r="AS764" s="725"/>
      <c r="AT764" s="9"/>
      <c r="AU764" s="725"/>
      <c r="AV764" s="9"/>
      <c r="AW764" s="725"/>
      <c r="AX764" s="9"/>
      <c r="AY764" s="279"/>
      <c r="AZ764" s="15"/>
      <c r="BA764" s="9"/>
      <c r="BB764" s="725"/>
      <c r="BC764" s="9"/>
      <c r="BD764" s="961"/>
      <c r="BE764" s="9"/>
      <c r="BF764" s="725"/>
      <c r="BG764" s="9"/>
      <c r="BH764" s="725"/>
      <c r="BI764" s="9"/>
      <c r="BJ764" s="725"/>
      <c r="BK764" s="9"/>
      <c r="BL764" s="725"/>
      <c r="BM764" s="9"/>
      <c r="BN764" s="725"/>
      <c r="BO764" s="9"/>
      <c r="BP764" s="725"/>
      <c r="BQ764" s="9"/>
      <c r="BR764" s="725"/>
      <c r="BS764" s="9"/>
      <c r="BT764" s="725"/>
      <c r="BU764" s="9"/>
      <c r="BV764" s="43"/>
      <c r="BW764" s="722"/>
      <c r="BX764" s="725"/>
      <c r="BY764"/>
      <c r="BZ764"/>
      <c r="CA764"/>
      <c r="CB764"/>
      <c r="CC764"/>
      <c r="CD764"/>
    </row>
    <row r="765" spans="1:82" s="2" customFormat="1" ht="12.75" hidden="1" customHeight="1" outlineLevel="2" x14ac:dyDescent="0.2">
      <c r="A765" s="42"/>
      <c r="B765" s="5" t="s">
        <v>455</v>
      </c>
      <c r="C765" s="725"/>
      <c r="D765" s="9"/>
      <c r="E765" s="725"/>
      <c r="F765" s="9"/>
      <c r="G765" s="725"/>
      <c r="H765" s="9"/>
      <c r="I765" s="725"/>
      <c r="J765" s="9"/>
      <c r="K765" s="725"/>
      <c r="L765" s="9"/>
      <c r="M765" s="725"/>
      <c r="N765" s="9"/>
      <c r="O765" s="725"/>
      <c r="P765" s="9"/>
      <c r="Q765" s="725"/>
      <c r="R765" s="9"/>
      <c r="S765" s="725"/>
      <c r="T765" s="9"/>
      <c r="U765" s="725"/>
      <c r="V765" s="9"/>
      <c r="W765" s="725"/>
      <c r="X765" s="9" t="str">
        <f t="shared" si="3397"/>
        <v>NA</v>
      </c>
      <c r="Y765" s="725"/>
      <c r="Z765" s="9"/>
      <c r="AA765" s="725"/>
      <c r="AB765" s="9"/>
      <c r="AC765" s="725"/>
      <c r="AD765" s="9"/>
      <c r="AE765" s="725"/>
      <c r="AF765" s="9"/>
      <c r="AG765" s="725"/>
      <c r="AH765" s="9"/>
      <c r="AI765" s="725"/>
      <c r="AJ765" s="9"/>
      <c r="AK765" s="725"/>
      <c r="AL765" s="9"/>
      <c r="AM765" s="725"/>
      <c r="AN765" s="9"/>
      <c r="AO765" s="725"/>
      <c r="AP765" s="9"/>
      <c r="AQ765" s="725"/>
      <c r="AR765" s="9"/>
      <c r="AS765" s="725"/>
      <c r="AT765" s="9"/>
      <c r="AU765" s="725"/>
      <c r="AV765" s="9"/>
      <c r="AW765" s="725"/>
      <c r="AX765" s="9"/>
      <c r="AY765" s="279"/>
      <c r="AZ765" s="15"/>
      <c r="BA765" s="9"/>
      <c r="BB765" s="725"/>
      <c r="BC765" s="9"/>
      <c r="BD765" s="961"/>
      <c r="BE765" s="9"/>
      <c r="BF765" s="725"/>
      <c r="BG765" s="9"/>
      <c r="BH765" s="725"/>
      <c r="BI765" s="9"/>
      <c r="BJ765" s="725"/>
      <c r="BK765" s="9"/>
      <c r="BL765" s="725"/>
      <c r="BM765" s="9"/>
      <c r="BN765" s="725"/>
      <c r="BO765" s="9"/>
      <c r="BP765" s="725"/>
      <c r="BQ765" s="9"/>
      <c r="BR765" s="725"/>
      <c r="BS765" s="9"/>
      <c r="BT765" s="725"/>
      <c r="BU765" s="9"/>
      <c r="BV765" s="43"/>
      <c r="BW765" s="722"/>
      <c r="BX765" s="725"/>
      <c r="BY765"/>
      <c r="BZ765"/>
      <c r="CA765"/>
      <c r="CB765"/>
      <c r="CC765"/>
      <c r="CD765"/>
    </row>
    <row r="766" spans="1:82" s="2" customFormat="1" ht="12.75" hidden="1" customHeight="1" outlineLevel="2" x14ac:dyDescent="0.2">
      <c r="A766" s="42"/>
      <c r="B766" s="5" t="s">
        <v>454</v>
      </c>
      <c r="C766" s="725"/>
      <c r="D766" s="9"/>
      <c r="E766" s="725"/>
      <c r="F766" s="9"/>
      <c r="G766" s="725"/>
      <c r="H766" s="9"/>
      <c r="I766" s="725"/>
      <c r="J766" s="9"/>
      <c r="K766" s="725"/>
      <c r="L766" s="9"/>
      <c r="M766" s="725"/>
      <c r="N766" s="9"/>
      <c r="O766" s="725"/>
      <c r="P766" s="9"/>
      <c r="Q766" s="725"/>
      <c r="R766" s="9"/>
      <c r="S766" s="725"/>
      <c r="T766" s="9"/>
      <c r="U766" s="725"/>
      <c r="V766" s="9"/>
      <c r="W766" s="725"/>
      <c r="X766" s="9" t="str">
        <f t="shared" si="3397"/>
        <v>NA</v>
      </c>
      <c r="Y766" s="725"/>
      <c r="Z766" s="9"/>
      <c r="AA766" s="725"/>
      <c r="AB766" s="9"/>
      <c r="AC766" s="725"/>
      <c r="AD766" s="9"/>
      <c r="AE766" s="725"/>
      <c r="AF766" s="9"/>
      <c r="AG766" s="725"/>
      <c r="AH766" s="9"/>
      <c r="AI766" s="725"/>
      <c r="AJ766" s="9"/>
      <c r="AK766" s="725"/>
      <c r="AL766" s="9"/>
      <c r="AM766" s="725"/>
      <c r="AN766" s="9"/>
      <c r="AO766" s="725"/>
      <c r="AP766" s="9"/>
      <c r="AQ766" s="725"/>
      <c r="AR766" s="9"/>
      <c r="AS766" s="725"/>
      <c r="AT766" s="9"/>
      <c r="AU766" s="725"/>
      <c r="AV766" s="9"/>
      <c r="AW766" s="725"/>
      <c r="AX766" s="9"/>
      <c r="AY766" s="279"/>
      <c r="AZ766" s="15"/>
      <c r="BA766" s="9"/>
      <c r="BB766" s="725"/>
      <c r="BC766" s="9"/>
      <c r="BD766" s="961"/>
      <c r="BE766" s="9"/>
      <c r="BF766" s="725"/>
      <c r="BG766" s="9"/>
      <c r="BH766" s="725"/>
      <c r="BI766" s="9"/>
      <c r="BJ766" s="725"/>
      <c r="BK766" s="9"/>
      <c r="BL766" s="725"/>
      <c r="BM766" s="9"/>
      <c r="BN766" s="725"/>
      <c r="BO766" s="9"/>
      <c r="BP766" s="725"/>
      <c r="BQ766" s="9"/>
      <c r="BR766" s="725"/>
      <c r="BS766" s="9"/>
      <c r="BT766" s="725"/>
      <c r="BU766" s="9"/>
      <c r="BV766" s="43"/>
      <c r="BW766" s="722"/>
      <c r="BX766" s="725"/>
      <c r="BY766"/>
      <c r="BZ766"/>
      <c r="CA766"/>
      <c r="CB766"/>
      <c r="CC766"/>
      <c r="CD766"/>
    </row>
    <row r="767" spans="1:82" s="2" customFormat="1" ht="12.75" hidden="1" customHeight="1" outlineLevel="2" x14ac:dyDescent="0.2">
      <c r="A767" s="42"/>
      <c r="B767" s="5" t="s">
        <v>459</v>
      </c>
      <c r="C767" s="725"/>
      <c r="D767" s="9"/>
      <c r="E767" s="725"/>
      <c r="F767" s="9"/>
      <c r="G767" s="725"/>
      <c r="H767" s="9"/>
      <c r="I767" s="725"/>
      <c r="J767" s="9"/>
      <c r="K767" s="725"/>
      <c r="L767" s="9"/>
      <c r="M767" s="725"/>
      <c r="N767" s="9"/>
      <c r="O767" s="725"/>
      <c r="P767" s="9"/>
      <c r="Q767" s="725"/>
      <c r="R767" s="9"/>
      <c r="S767" s="725"/>
      <c r="T767" s="9"/>
      <c r="U767" s="725"/>
      <c r="V767" s="9"/>
      <c r="W767" s="725"/>
      <c r="X767" s="9" t="str">
        <f t="shared" si="3397"/>
        <v>NA</v>
      </c>
      <c r="Y767" s="725"/>
      <c r="Z767" s="9"/>
      <c r="AA767" s="725"/>
      <c r="AB767" s="9"/>
      <c r="AC767" s="725"/>
      <c r="AD767" s="9"/>
      <c r="AE767" s="725"/>
      <c r="AF767" s="9"/>
      <c r="AG767" s="725"/>
      <c r="AH767" s="9"/>
      <c r="AI767" s="725"/>
      <c r="AJ767" s="9"/>
      <c r="AK767" s="725"/>
      <c r="AL767" s="9"/>
      <c r="AM767" s="725"/>
      <c r="AN767" s="9"/>
      <c r="AO767" s="725"/>
      <c r="AP767" s="9"/>
      <c r="AQ767" s="725"/>
      <c r="AR767" s="9"/>
      <c r="AS767" s="725"/>
      <c r="AT767" s="9"/>
      <c r="AU767" s="725"/>
      <c r="AV767" s="9"/>
      <c r="AW767" s="725"/>
      <c r="AX767" s="9"/>
      <c r="AY767" s="279"/>
      <c r="AZ767" s="15"/>
      <c r="BA767" s="9"/>
      <c r="BB767" s="725"/>
      <c r="BC767" s="9"/>
      <c r="BD767" s="961"/>
      <c r="BE767" s="9"/>
      <c r="BF767" s="725"/>
      <c r="BG767" s="9"/>
      <c r="BH767" s="725"/>
      <c r="BI767" s="9"/>
      <c r="BJ767" s="725"/>
      <c r="BK767" s="9"/>
      <c r="BL767" s="725"/>
      <c r="BM767" s="9"/>
      <c r="BN767" s="725"/>
      <c r="BO767" s="9"/>
      <c r="BP767" s="725"/>
      <c r="BQ767" s="9"/>
      <c r="BR767" s="725"/>
      <c r="BS767" s="9"/>
      <c r="BT767" s="725"/>
      <c r="BU767" s="9"/>
      <c r="BV767" s="722"/>
      <c r="BW767" s="722"/>
      <c r="BX767" s="725"/>
      <c r="BY767"/>
      <c r="BZ767"/>
      <c r="CA767"/>
      <c r="CB767"/>
      <c r="CC767"/>
      <c r="CD767"/>
    </row>
    <row r="768" spans="1:82" s="2" customFormat="1" ht="12.75" hidden="1" customHeight="1" outlineLevel="1" x14ac:dyDescent="0.2">
      <c r="A768" s="42"/>
      <c r="B768" s="17">
        <f>+B748</f>
        <v>0</v>
      </c>
      <c r="C768" s="725"/>
      <c r="D768" s="9"/>
      <c r="E768" s="725"/>
      <c r="F768" s="9"/>
      <c r="G768" s="725"/>
      <c r="H768" s="9"/>
      <c r="I768" s="725"/>
      <c r="J768" s="9"/>
      <c r="K768" s="725"/>
      <c r="L768" s="9"/>
      <c r="M768" s="725"/>
      <c r="N768" s="9"/>
      <c r="O768" s="725"/>
      <c r="P768" s="9"/>
      <c r="Q768" s="725"/>
      <c r="R768" s="9"/>
      <c r="S768" s="725"/>
      <c r="T768" s="9"/>
      <c r="U768" s="725"/>
      <c r="V768" s="9"/>
      <c r="W768" s="725"/>
      <c r="X768" s="9" t="str">
        <f t="shared" si="3397"/>
        <v>NA</v>
      </c>
      <c r="Y768" s="725"/>
      <c r="Z768" s="9"/>
      <c r="AA768" s="725"/>
      <c r="AB768" s="9"/>
      <c r="AC768" s="725"/>
      <c r="AD768" s="9"/>
      <c r="AE768" s="725"/>
      <c r="AF768" s="9"/>
      <c r="AG768" s="725"/>
      <c r="AH768" s="9"/>
      <c r="AI768" s="725"/>
      <c r="AJ768" s="9"/>
      <c r="AK768" s="725"/>
      <c r="AL768" s="9"/>
      <c r="AM768" s="725"/>
      <c r="AN768" s="9"/>
      <c r="AO768" s="725"/>
      <c r="AP768" s="9"/>
      <c r="AQ768" s="725"/>
      <c r="AR768" s="9"/>
      <c r="AS768" s="725"/>
      <c r="AT768" s="9"/>
      <c r="AU768" s="725"/>
      <c r="AV768" s="9"/>
      <c r="AW768" s="725"/>
      <c r="AX768" s="9"/>
      <c r="AY768" s="279"/>
      <c r="AZ768" s="15"/>
      <c r="BA768" s="9"/>
      <c r="BB768" s="725"/>
      <c r="BC768" s="9"/>
      <c r="BD768" s="961"/>
      <c r="BE768" s="9"/>
      <c r="BF768" s="725"/>
      <c r="BG768" s="9"/>
      <c r="BH768" s="725"/>
      <c r="BI768" s="9"/>
      <c r="BJ768" s="725"/>
      <c r="BK768" s="9"/>
      <c r="BL768" s="725"/>
      <c r="BM768" s="9"/>
      <c r="BN768" s="725"/>
      <c r="BO768" s="9"/>
      <c r="BP768" s="725"/>
      <c r="BQ768" s="9"/>
      <c r="BR768" s="725"/>
      <c r="BS768" s="9"/>
      <c r="BT768" s="725"/>
      <c r="BU768" s="9"/>
      <c r="BV768" s="43"/>
      <c r="BW768" s="722"/>
      <c r="BX768" s="725"/>
      <c r="BY768"/>
      <c r="BZ768"/>
      <c r="CA768"/>
      <c r="CB768"/>
      <c r="CC768"/>
      <c r="CD768"/>
    </row>
    <row r="769" spans="1:82" s="2" customFormat="1" ht="12.75" hidden="1" customHeight="1" outlineLevel="1" x14ac:dyDescent="0.2">
      <c r="A769" s="42" t="s">
        <v>175</v>
      </c>
      <c r="B769" s="17">
        <f>+B749</f>
        <v>0</v>
      </c>
      <c r="C769" s="725"/>
      <c r="D769" s="9"/>
      <c r="E769" s="725"/>
      <c r="F769" s="9"/>
      <c r="G769" s="725"/>
      <c r="H769" s="9"/>
      <c r="I769" s="725"/>
      <c r="J769" s="9"/>
      <c r="K769" s="725"/>
      <c r="L769" s="9"/>
      <c r="M769" s="725"/>
      <c r="N769" s="9"/>
      <c r="O769" s="725"/>
      <c r="P769" s="9"/>
      <c r="Q769" s="725"/>
      <c r="R769" s="9"/>
      <c r="S769" s="725"/>
      <c r="T769" s="9"/>
      <c r="U769" s="725"/>
      <c r="V769" s="9"/>
      <c r="W769" s="725"/>
      <c r="X769" s="9" t="str">
        <f t="shared" si="3397"/>
        <v>NA</v>
      </c>
      <c r="Y769" s="725"/>
      <c r="Z769" s="9"/>
      <c r="AA769" s="725"/>
      <c r="AB769" s="9"/>
      <c r="AC769" s="725"/>
      <c r="AD769" s="9"/>
      <c r="AE769" s="725"/>
      <c r="AF769" s="9"/>
      <c r="AG769" s="725"/>
      <c r="AH769" s="9"/>
      <c r="AI769" s="725"/>
      <c r="AJ769" s="9"/>
      <c r="AK769" s="725"/>
      <c r="AL769" s="9"/>
      <c r="AM769" s="725"/>
      <c r="AN769" s="9"/>
      <c r="AO769" s="725"/>
      <c r="AP769" s="9"/>
      <c r="AQ769" s="725"/>
      <c r="AR769" s="9"/>
      <c r="AS769" s="725"/>
      <c r="AT769" s="9"/>
      <c r="AU769" s="725"/>
      <c r="AV769" s="9"/>
      <c r="AW769" s="725"/>
      <c r="AX769" s="9"/>
      <c r="AY769" s="279"/>
      <c r="AZ769" s="15"/>
      <c r="BA769" s="9"/>
      <c r="BB769" s="725"/>
      <c r="BC769" s="9"/>
      <c r="BD769" s="961"/>
      <c r="BE769" s="9"/>
      <c r="BF769" s="725"/>
      <c r="BG769" s="9"/>
      <c r="BH769" s="725"/>
      <c r="BI769" s="9"/>
      <c r="BJ769" s="725"/>
      <c r="BK769" s="9"/>
      <c r="BL769" s="725"/>
      <c r="BM769" s="9"/>
      <c r="BN769" s="725"/>
      <c r="BO769" s="9"/>
      <c r="BP769" s="725"/>
      <c r="BQ769" s="9"/>
      <c r="BR769" s="725"/>
      <c r="BS769" s="9"/>
      <c r="BT769" s="725"/>
      <c r="BU769" s="9"/>
      <c r="BV769" s="43"/>
      <c r="BW769" s="722"/>
      <c r="BX769" s="725"/>
      <c r="BY769"/>
      <c r="BZ769"/>
      <c r="CA769"/>
      <c r="CB769"/>
      <c r="CC769"/>
      <c r="CD769"/>
    </row>
    <row r="770" spans="1:82" s="2" customFormat="1" ht="12.75" hidden="1" customHeight="1" outlineLevel="1" x14ac:dyDescent="0.2">
      <c r="A770" s="42" t="s">
        <v>122</v>
      </c>
      <c r="B770" s="17">
        <f>+B750</f>
        <v>0</v>
      </c>
      <c r="C770" s="725"/>
      <c r="D770" s="9"/>
      <c r="E770" s="725"/>
      <c r="F770" s="9"/>
      <c r="G770" s="725"/>
      <c r="H770" s="9"/>
      <c r="I770" s="725"/>
      <c r="J770" s="9"/>
      <c r="K770" s="725"/>
      <c r="L770" s="9"/>
      <c r="M770" s="725"/>
      <c r="N770" s="9"/>
      <c r="O770" s="725"/>
      <c r="P770" s="9"/>
      <c r="Q770" s="725"/>
      <c r="R770" s="9"/>
      <c r="S770" s="725"/>
      <c r="T770" s="9"/>
      <c r="U770" s="725"/>
      <c r="V770" s="9"/>
      <c r="W770" s="725"/>
      <c r="X770" s="9" t="str">
        <f t="shared" si="3397"/>
        <v>NA</v>
      </c>
      <c r="Y770" s="725"/>
      <c r="Z770" s="9"/>
      <c r="AA770" s="725"/>
      <c r="AB770" s="9"/>
      <c r="AC770" s="725"/>
      <c r="AD770" s="9"/>
      <c r="AE770" s="725"/>
      <c r="AF770" s="9"/>
      <c r="AG770" s="725"/>
      <c r="AH770" s="9"/>
      <c r="AI770" s="725"/>
      <c r="AJ770" s="9"/>
      <c r="AK770" s="725"/>
      <c r="AL770" s="9"/>
      <c r="AM770" s="725"/>
      <c r="AN770" s="9"/>
      <c r="AO770" s="725"/>
      <c r="AP770" s="9"/>
      <c r="AQ770" s="725"/>
      <c r="AR770" s="9"/>
      <c r="AS770" s="725"/>
      <c r="AT770" s="9"/>
      <c r="AU770" s="725"/>
      <c r="AV770" s="9"/>
      <c r="AW770" s="725"/>
      <c r="AX770" s="9"/>
      <c r="AY770" s="279"/>
      <c r="AZ770" s="15"/>
      <c r="BA770" s="9"/>
      <c r="BB770" s="725"/>
      <c r="BC770" s="9"/>
      <c r="BD770" s="961"/>
      <c r="BE770" s="9"/>
      <c r="BF770" s="725"/>
      <c r="BG770" s="9"/>
      <c r="BH770" s="725"/>
      <c r="BI770" s="9"/>
      <c r="BJ770" s="725"/>
      <c r="BK770" s="9"/>
      <c r="BL770" s="725"/>
      <c r="BM770" s="9"/>
      <c r="BN770" s="725"/>
      <c r="BO770" s="9"/>
      <c r="BP770" s="725"/>
      <c r="BQ770" s="9"/>
      <c r="BR770" s="725"/>
      <c r="BS770" s="9"/>
      <c r="BT770" s="725"/>
      <c r="BU770" s="9"/>
      <c r="BV770" s="43"/>
      <c r="BW770" s="722"/>
      <c r="BX770" s="725"/>
      <c r="BY770"/>
      <c r="BZ770"/>
      <c r="CA770"/>
      <c r="CB770"/>
      <c r="CC770"/>
      <c r="CD770"/>
    </row>
    <row r="771" spans="1:82" s="2" customFormat="1" ht="12.75" hidden="1" customHeight="1" outlineLevel="1" x14ac:dyDescent="0.2">
      <c r="A771" s="42" t="s">
        <v>251</v>
      </c>
      <c r="B771" s="5" t="s">
        <v>28</v>
      </c>
      <c r="C771" s="725"/>
      <c r="D771" s="9"/>
      <c r="E771" s="725"/>
      <c r="F771" s="9"/>
      <c r="G771" s="725"/>
      <c r="H771" s="9"/>
      <c r="I771" s="725"/>
      <c r="J771" s="9"/>
      <c r="K771" s="725"/>
      <c r="L771" s="9"/>
      <c r="M771" s="725"/>
      <c r="N771" s="9"/>
      <c r="O771" s="725"/>
      <c r="P771" s="9"/>
      <c r="Q771" s="725"/>
      <c r="R771" s="9"/>
      <c r="S771" s="725"/>
      <c r="T771" s="9"/>
      <c r="U771" s="725"/>
      <c r="V771" s="9"/>
      <c r="W771" s="725"/>
      <c r="X771" s="9" t="str">
        <f t="shared" si="3397"/>
        <v>NA</v>
      </c>
      <c r="Y771" s="725"/>
      <c r="Z771" s="9"/>
      <c r="AA771" s="725"/>
      <c r="AB771" s="9"/>
      <c r="AC771" s="725"/>
      <c r="AD771" s="9"/>
      <c r="AE771" s="725"/>
      <c r="AF771" s="9"/>
      <c r="AG771" s="725"/>
      <c r="AH771" s="9"/>
      <c r="AI771" s="725"/>
      <c r="AJ771" s="9"/>
      <c r="AK771" s="725"/>
      <c r="AL771" s="9"/>
      <c r="AM771" s="725"/>
      <c r="AN771" s="9"/>
      <c r="AO771" s="725"/>
      <c r="AP771" s="9"/>
      <c r="AQ771" s="725"/>
      <c r="AR771" s="9"/>
      <c r="AS771" s="725"/>
      <c r="AT771" s="9"/>
      <c r="AU771" s="725"/>
      <c r="AV771" s="9"/>
      <c r="AW771" s="725"/>
      <c r="AX771" s="9"/>
      <c r="AY771" s="279"/>
      <c r="AZ771" s="15"/>
      <c r="BA771" s="9"/>
      <c r="BB771" s="725"/>
      <c r="BC771" s="9"/>
      <c r="BD771" s="961"/>
      <c r="BE771" s="9"/>
      <c r="BF771" s="725"/>
      <c r="BG771" s="9"/>
      <c r="BH771" s="725"/>
      <c r="BI771" s="9"/>
      <c r="BJ771" s="725"/>
      <c r="BK771" s="9"/>
      <c r="BL771" s="725"/>
      <c r="BM771" s="9"/>
      <c r="BN771" s="725"/>
      <c r="BO771" s="9"/>
      <c r="BP771" s="725"/>
      <c r="BQ771" s="9"/>
      <c r="BR771" s="725"/>
      <c r="BS771" s="9"/>
      <c r="BT771" s="725"/>
      <c r="BU771" s="9"/>
      <c r="BV771" s="43"/>
      <c r="BW771" s="722"/>
      <c r="BX771" s="725"/>
      <c r="BY771"/>
      <c r="BZ771"/>
      <c r="CA771"/>
      <c r="CB771"/>
      <c r="CC771"/>
      <c r="CD771"/>
    </row>
    <row r="772" spans="1:82" s="2" customFormat="1" ht="12.75" hidden="1" customHeight="1" outlineLevel="2" x14ac:dyDescent="0.2">
      <c r="A772" s="42"/>
      <c r="B772" s="5" t="s">
        <v>29</v>
      </c>
      <c r="C772" s="725"/>
      <c r="D772" s="9"/>
      <c r="E772" s="725"/>
      <c r="F772" s="9"/>
      <c r="G772" s="725"/>
      <c r="H772" s="9"/>
      <c r="I772" s="725"/>
      <c r="J772" s="9"/>
      <c r="K772" s="725"/>
      <c r="L772" s="9"/>
      <c r="M772" s="725"/>
      <c r="N772" s="9"/>
      <c r="O772" s="725"/>
      <c r="P772" s="9"/>
      <c r="Q772" s="725"/>
      <c r="R772" s="9"/>
      <c r="S772" s="725"/>
      <c r="T772" s="9"/>
      <c r="U772" s="725"/>
      <c r="V772" s="9"/>
      <c r="W772" s="725"/>
      <c r="X772" s="9"/>
      <c r="Y772" s="725"/>
      <c r="Z772" s="9"/>
      <c r="AA772" s="725"/>
      <c r="AB772" s="9"/>
      <c r="AC772" s="725"/>
      <c r="AD772" s="9"/>
      <c r="AE772" s="725"/>
      <c r="AF772" s="9"/>
      <c r="AG772" s="725"/>
      <c r="AH772" s="9"/>
      <c r="AI772" s="725"/>
      <c r="AJ772" s="9"/>
      <c r="AK772" s="725"/>
      <c r="AL772" s="9"/>
      <c r="AM772" s="725"/>
      <c r="AN772" s="9"/>
      <c r="AO772" s="725"/>
      <c r="AP772" s="9"/>
      <c r="AQ772" s="725"/>
      <c r="AR772" s="9"/>
      <c r="AS772" s="725"/>
      <c r="AT772" s="9"/>
      <c r="AU772" s="725"/>
      <c r="AV772" s="9"/>
      <c r="AW772" s="725"/>
      <c r="AX772" s="9"/>
      <c r="AY772" s="279"/>
      <c r="AZ772" s="15"/>
      <c r="BA772" s="9"/>
      <c r="BB772" s="725"/>
      <c r="BC772" s="9"/>
      <c r="BD772" s="961"/>
      <c r="BE772" s="9"/>
      <c r="BF772" s="725"/>
      <c r="BG772" s="9"/>
      <c r="BH772" s="725"/>
      <c r="BI772" s="9"/>
      <c r="BJ772" s="725"/>
      <c r="BK772" s="9"/>
      <c r="BL772" s="725"/>
      <c r="BM772" s="9"/>
      <c r="BN772" s="725"/>
      <c r="BO772" s="9"/>
      <c r="BP772" s="725"/>
      <c r="BQ772" s="9"/>
      <c r="BR772" s="725"/>
      <c r="BS772" s="9"/>
      <c r="BT772" s="725"/>
      <c r="BU772" s="9"/>
      <c r="BV772" s="43"/>
      <c r="BW772" s="722"/>
      <c r="BX772" s="725"/>
      <c r="BY772"/>
      <c r="BZ772"/>
      <c r="CA772"/>
      <c r="CB772"/>
      <c r="CC772"/>
      <c r="CD772"/>
    </row>
    <row r="773" spans="1:82" s="2" customFormat="1" ht="12.75" hidden="1" customHeight="1" outlineLevel="1" x14ac:dyDescent="0.2">
      <c r="A773" s="42" t="s">
        <v>252</v>
      </c>
      <c r="B773" s="5" t="s">
        <v>442</v>
      </c>
      <c r="C773" s="725"/>
      <c r="D773" s="9"/>
      <c r="E773" s="725"/>
      <c r="F773" s="9"/>
      <c r="G773" s="725"/>
      <c r="H773" s="9"/>
      <c r="I773" s="725"/>
      <c r="J773" s="9"/>
      <c r="K773" s="725"/>
      <c r="L773" s="9"/>
      <c r="M773" s="725"/>
      <c r="N773" s="9"/>
      <c r="O773" s="725"/>
      <c r="P773" s="9"/>
      <c r="Q773" s="725"/>
      <c r="R773" s="9"/>
      <c r="S773" s="725"/>
      <c r="T773" s="9"/>
      <c r="U773" s="725"/>
      <c r="V773" s="9"/>
      <c r="W773" s="725"/>
      <c r="X773" s="9" t="str">
        <f>IF(ISERROR(W773/O773),"NA",IF(OR(W773/O773&gt;2,W773/O773&lt;0.5),"NM",W773/O773*100-100))</f>
        <v>NA</v>
      </c>
      <c r="Y773" s="725"/>
      <c r="Z773" s="9"/>
      <c r="AA773" s="725"/>
      <c r="AB773" s="9"/>
      <c r="AC773" s="725"/>
      <c r="AD773" s="9"/>
      <c r="AE773" s="725"/>
      <c r="AF773" s="9"/>
      <c r="AG773" s="725"/>
      <c r="AH773" s="9"/>
      <c r="AI773" s="725"/>
      <c r="AJ773" s="9"/>
      <c r="AK773" s="725"/>
      <c r="AL773" s="9"/>
      <c r="AM773" s="725"/>
      <c r="AN773" s="9"/>
      <c r="AO773" s="725"/>
      <c r="AP773" s="9"/>
      <c r="AQ773" s="725"/>
      <c r="AR773" s="9"/>
      <c r="AS773" s="725"/>
      <c r="AT773" s="9"/>
      <c r="AU773" s="725"/>
      <c r="AV773" s="9"/>
      <c r="AW773" s="725"/>
      <c r="AX773" s="9"/>
      <c r="AY773" s="279"/>
      <c r="AZ773" s="15"/>
      <c r="BA773" s="9"/>
      <c r="BB773" s="725"/>
      <c r="BC773" s="9"/>
      <c r="BD773" s="961"/>
      <c r="BE773" s="9"/>
      <c r="BF773" s="725"/>
      <c r="BG773" s="9"/>
      <c r="BH773" s="725"/>
      <c r="BI773" s="9"/>
      <c r="BJ773" s="725"/>
      <c r="BK773" s="9"/>
      <c r="BL773" s="725"/>
      <c r="BM773" s="9"/>
      <c r="BN773" s="725"/>
      <c r="BO773" s="9"/>
      <c r="BP773" s="725"/>
      <c r="BQ773" s="9"/>
      <c r="BR773" s="725"/>
      <c r="BS773" s="9"/>
      <c r="BT773" s="725"/>
      <c r="BU773" s="9"/>
      <c r="BV773" s="43"/>
      <c r="BW773" s="722"/>
      <c r="BX773" s="725"/>
      <c r="BY773"/>
      <c r="BZ773"/>
      <c r="CA773"/>
      <c r="CB773"/>
      <c r="CC773"/>
      <c r="CD773"/>
    </row>
    <row r="774" spans="1:82" s="2" customFormat="1" ht="12.75" hidden="1" customHeight="1" outlineLevel="1" x14ac:dyDescent="0.2">
      <c r="A774" s="42" t="s">
        <v>364</v>
      </c>
      <c r="B774" s="17" t="s">
        <v>324</v>
      </c>
      <c r="C774" s="725"/>
      <c r="D774" s="9"/>
      <c r="E774" s="725"/>
      <c r="F774" s="9"/>
      <c r="G774" s="725"/>
      <c r="H774" s="9"/>
      <c r="I774" s="725"/>
      <c r="J774" s="9"/>
      <c r="K774" s="725"/>
      <c r="L774" s="9"/>
      <c r="M774" s="725"/>
      <c r="N774" s="9"/>
      <c r="O774" s="725"/>
      <c r="P774" s="9"/>
      <c r="Q774" s="725"/>
      <c r="R774" s="9"/>
      <c r="S774" s="725"/>
      <c r="T774" s="9"/>
      <c r="U774" s="725"/>
      <c r="V774" s="9"/>
      <c r="W774" s="725"/>
      <c r="X774" s="9" t="str">
        <f>IF(ISERROR(W774/O774),"NA",IF(OR(W774/O774&gt;2,W774/O774&lt;0.5),"NM",W774/O774*100-100))</f>
        <v>NA</v>
      </c>
      <c r="Y774" s="725"/>
      <c r="Z774" s="9"/>
      <c r="AA774" s="725"/>
      <c r="AB774" s="9"/>
      <c r="AC774" s="725"/>
      <c r="AD774" s="9"/>
      <c r="AE774" s="725"/>
      <c r="AF774" s="9"/>
      <c r="AG774" s="725"/>
      <c r="AH774" s="9"/>
      <c r="AI774" s="725"/>
      <c r="AJ774" s="9"/>
      <c r="AK774" s="725"/>
      <c r="AL774" s="9"/>
      <c r="AM774" s="725"/>
      <c r="AN774" s="9"/>
      <c r="AO774" s="725"/>
      <c r="AP774" s="9"/>
      <c r="AQ774" s="725"/>
      <c r="AR774" s="9"/>
      <c r="AS774" s="725"/>
      <c r="AT774" s="9"/>
      <c r="AU774" s="725"/>
      <c r="AV774" s="9"/>
      <c r="AW774" s="725"/>
      <c r="AX774" s="9"/>
      <c r="AY774" s="279"/>
      <c r="AZ774" s="15"/>
      <c r="BA774" s="9"/>
      <c r="BB774" s="725"/>
      <c r="BC774" s="9"/>
      <c r="BD774" s="961"/>
      <c r="BE774" s="9"/>
      <c r="BF774" s="725"/>
      <c r="BG774" s="9"/>
      <c r="BH774" s="725"/>
      <c r="BI774" s="9"/>
      <c r="BJ774" s="725"/>
      <c r="BK774" s="9"/>
      <c r="BL774" s="725"/>
      <c r="BM774" s="9"/>
      <c r="BN774" s="725"/>
      <c r="BO774" s="9"/>
      <c r="BP774" s="725"/>
      <c r="BQ774" s="9"/>
      <c r="BR774" s="725"/>
      <c r="BS774" s="9"/>
      <c r="BT774" s="725"/>
      <c r="BU774" s="9"/>
      <c r="BV774" s="43"/>
      <c r="BW774" s="722"/>
      <c r="BX774" s="725"/>
      <c r="BY774"/>
      <c r="BZ774"/>
      <c r="CA774"/>
      <c r="CB774"/>
      <c r="CC774"/>
      <c r="CD774"/>
    </row>
    <row r="775" spans="1:82" s="2" customFormat="1" ht="12.75" hidden="1" customHeight="1" outlineLevel="1" x14ac:dyDescent="0.2">
      <c r="A775" s="41"/>
      <c r="B775" s="80" t="s">
        <v>296</v>
      </c>
      <c r="C775" s="79"/>
      <c r="D775" s="100"/>
      <c r="E775" s="79"/>
      <c r="F775" s="100"/>
      <c r="G775" s="79"/>
      <c r="H775" s="100"/>
      <c r="I775" s="79"/>
      <c r="J775" s="100"/>
      <c r="K775" s="79"/>
      <c r="L775" s="100"/>
      <c r="M775" s="79"/>
      <c r="N775" s="100"/>
      <c r="O775" s="79"/>
      <c r="P775" s="100"/>
      <c r="Q775" s="79"/>
      <c r="R775" s="100"/>
      <c r="S775" s="79"/>
      <c r="T775" s="100"/>
      <c r="U775" s="79"/>
      <c r="V775" s="100"/>
      <c r="W775" s="79"/>
      <c r="X775" s="100"/>
      <c r="Y775" s="79"/>
      <c r="Z775" s="100"/>
      <c r="AA775" s="79"/>
      <c r="AB775" s="100"/>
      <c r="AC775" s="79"/>
      <c r="AD775" s="100"/>
      <c r="AE775" s="79"/>
      <c r="AF775" s="100"/>
      <c r="AG775" s="79"/>
      <c r="AH775" s="100"/>
      <c r="AI775" s="79"/>
      <c r="AJ775" s="100"/>
      <c r="AK775" s="79"/>
      <c r="AL775" s="100"/>
      <c r="AM775" s="79"/>
      <c r="AN775" s="100"/>
      <c r="AO775" s="79"/>
      <c r="AP775" s="100"/>
      <c r="AQ775" s="79"/>
      <c r="AR775" s="100"/>
      <c r="AS775" s="79"/>
      <c r="AT775" s="100"/>
      <c r="AU775" s="79"/>
      <c r="AV775" s="100"/>
      <c r="AW775" s="79"/>
      <c r="AX775" s="100"/>
      <c r="AY775" s="279"/>
      <c r="AZ775" s="15"/>
      <c r="BA775" s="100"/>
      <c r="BB775" s="79"/>
      <c r="BC775" s="9"/>
      <c r="BD775" s="959"/>
      <c r="BE775" s="9"/>
      <c r="BF775" s="79"/>
      <c r="BG775" s="9"/>
      <c r="BH775" s="79"/>
      <c r="BI775" s="9"/>
      <c r="BJ775" s="79"/>
      <c r="BK775" s="9"/>
      <c r="BL775" s="79"/>
      <c r="BM775" s="9"/>
      <c r="BN775" s="79"/>
      <c r="BO775" s="9"/>
      <c r="BP775" s="79"/>
      <c r="BQ775" s="9"/>
      <c r="BR775" s="79"/>
      <c r="BS775" s="9"/>
      <c r="BT775" s="79"/>
      <c r="BU775" s="9"/>
      <c r="BV775" s="43"/>
      <c r="BW775" s="722"/>
      <c r="BX775" s="79"/>
      <c r="BY775"/>
      <c r="BZ775"/>
      <c r="CA775"/>
      <c r="CB775"/>
      <c r="CC775"/>
      <c r="CD775"/>
    </row>
    <row r="776" spans="1:82" s="2" customFormat="1" ht="12.75" hidden="1" customHeight="1" outlineLevel="1" x14ac:dyDescent="0.2">
      <c r="A776" s="41"/>
      <c r="B776" s="42"/>
      <c r="C776" s="15"/>
      <c r="D776" s="40"/>
      <c r="E776" s="15"/>
      <c r="F776" s="40"/>
      <c r="G776" s="15"/>
      <c r="H776" s="40"/>
      <c r="I776" s="15"/>
      <c r="J776" s="40"/>
      <c r="K776" s="15"/>
      <c r="L776" s="40"/>
      <c r="M776" s="15"/>
      <c r="N776" s="40"/>
      <c r="O776" s="15"/>
      <c r="P776" s="40"/>
      <c r="Q776" s="15"/>
      <c r="R776" s="40"/>
      <c r="S776" s="15"/>
      <c r="T776" s="40"/>
      <c r="U776" s="15"/>
      <c r="V776" s="40"/>
      <c r="W776" s="15"/>
      <c r="X776" s="40"/>
      <c r="Y776" s="15"/>
      <c r="Z776" s="40"/>
      <c r="AA776" s="15"/>
      <c r="AB776" s="40"/>
      <c r="AC776" s="15"/>
      <c r="AD776" s="40"/>
      <c r="AE776" s="15"/>
      <c r="AF776" s="40"/>
      <c r="AG776" s="15"/>
      <c r="AH776" s="40"/>
      <c r="AI776" s="15"/>
      <c r="AJ776" s="40"/>
      <c r="AK776" s="15"/>
      <c r="AL776" s="40"/>
      <c r="AM776" s="15"/>
      <c r="AN776" s="40"/>
      <c r="AO776" s="15"/>
      <c r="AP776" s="40"/>
      <c r="AQ776" s="15"/>
      <c r="AR776" s="40"/>
      <c r="AS776" s="15"/>
      <c r="AT776" s="40"/>
      <c r="AU776" s="15"/>
      <c r="AV776" s="40"/>
      <c r="AW776" s="15"/>
      <c r="AX776" s="40"/>
      <c r="AY776" s="279"/>
      <c r="AZ776" s="15"/>
      <c r="BA776" s="40"/>
      <c r="BB776" s="15"/>
      <c r="BC776" s="40"/>
      <c r="BD776" s="924"/>
      <c r="BE776" s="40"/>
      <c r="BF776" s="15"/>
      <c r="BG776" s="40"/>
      <c r="BH776" s="15"/>
      <c r="BI776" s="40"/>
      <c r="BJ776" s="15"/>
      <c r="BK776" s="40"/>
      <c r="BL776" s="15"/>
      <c r="BM776" s="40"/>
      <c r="BN776" s="15"/>
      <c r="BO776" s="40"/>
      <c r="BP776" s="15"/>
      <c r="BQ776" s="40"/>
      <c r="BR776" s="15"/>
      <c r="BS776" s="40"/>
      <c r="BT776" s="15"/>
      <c r="BU776" s="40"/>
      <c r="BV776" s="722"/>
      <c r="BW776" s="722"/>
      <c r="BX776" s="722"/>
      <c r="BY776"/>
      <c r="BZ776"/>
      <c r="CA776"/>
      <c r="CB776"/>
      <c r="CC776"/>
      <c r="CD776"/>
    </row>
    <row r="777" spans="1:82" s="2" customFormat="1" ht="12.75" hidden="1" customHeight="1" outlineLevel="1" x14ac:dyDescent="0.2">
      <c r="A777" s="41"/>
      <c r="B777" s="80">
        <f>+B740</f>
        <v>0</v>
      </c>
      <c r="C777" s="15"/>
      <c r="D777" s="40"/>
      <c r="E777" s="15"/>
      <c r="F777" s="40"/>
      <c r="G777" s="15"/>
      <c r="H777" s="40"/>
      <c r="I777" s="15"/>
      <c r="J777" s="40"/>
      <c r="K777" s="15"/>
      <c r="L777" s="40"/>
      <c r="M777" s="15"/>
      <c r="N777" s="40"/>
      <c r="O777" s="15"/>
      <c r="P777" s="40"/>
      <c r="Q777" s="15"/>
      <c r="R777" s="40"/>
      <c r="S777" s="15"/>
      <c r="T777" s="40"/>
      <c r="U777" s="15"/>
      <c r="V777" s="40"/>
      <c r="W777" s="15"/>
      <c r="X777" s="40"/>
      <c r="Y777" s="15"/>
      <c r="Z777" s="40"/>
      <c r="AA777" s="15"/>
      <c r="AB777" s="40"/>
      <c r="AC777" s="15"/>
      <c r="AD777" s="40"/>
      <c r="AE777" s="15"/>
      <c r="AF777" s="40"/>
      <c r="AG777" s="15"/>
      <c r="AH777" s="40"/>
      <c r="AI777" s="15"/>
      <c r="AJ777" s="40"/>
      <c r="AK777" s="15"/>
      <c r="AL777" s="40"/>
      <c r="AM777" s="15"/>
      <c r="AN777" s="40"/>
      <c r="AO777" s="15"/>
      <c r="AP777" s="40"/>
      <c r="AQ777" s="15"/>
      <c r="AR777" s="40"/>
      <c r="AS777" s="15"/>
      <c r="AT777" s="40"/>
      <c r="AU777" s="15"/>
      <c r="AV777" s="40"/>
      <c r="AW777" s="15"/>
      <c r="AX777" s="40"/>
      <c r="AY777" s="279"/>
      <c r="AZ777" s="15"/>
      <c r="BA777" s="40"/>
      <c r="BB777" s="15"/>
      <c r="BC777" s="40"/>
      <c r="BD777" s="924"/>
      <c r="BE777" s="40"/>
      <c r="BF777" s="15"/>
      <c r="BG777" s="40"/>
      <c r="BH777" s="15"/>
      <c r="BI777" s="40"/>
      <c r="BJ777" s="15"/>
      <c r="BK777" s="40"/>
      <c r="BL777" s="15"/>
      <c r="BM777" s="40"/>
      <c r="BN777" s="15"/>
      <c r="BO777" s="40"/>
      <c r="BP777" s="15"/>
      <c r="BQ777" s="40"/>
      <c r="BR777" s="15"/>
      <c r="BS777" s="40"/>
      <c r="BT777" s="15"/>
      <c r="BU777" s="40"/>
      <c r="BV777" s="722"/>
      <c r="BW777" s="722"/>
      <c r="BX777" s="722"/>
      <c r="BY777"/>
      <c r="BZ777"/>
      <c r="CA777"/>
      <c r="CB777"/>
      <c r="CC777"/>
      <c r="CD777"/>
    </row>
    <row r="778" spans="1:82" s="2" customFormat="1" ht="12.75" hidden="1" customHeight="1" outlineLevel="1" x14ac:dyDescent="0.2">
      <c r="A778" s="42"/>
      <c r="B778" s="42" t="s">
        <v>487</v>
      </c>
      <c r="C778" s="15"/>
      <c r="D778" s="9"/>
      <c r="E778" s="15"/>
      <c r="F778" s="9"/>
      <c r="G778" s="15"/>
      <c r="H778" s="9"/>
      <c r="I778" s="15"/>
      <c r="J778" s="9"/>
      <c r="K778" s="15"/>
      <c r="L778" s="9"/>
      <c r="M778" s="15"/>
      <c r="N778" s="9"/>
      <c r="O778" s="15"/>
      <c r="P778" s="9"/>
      <c r="Q778" s="15"/>
      <c r="R778" s="9"/>
      <c r="S778" s="15"/>
      <c r="T778" s="9"/>
      <c r="U778" s="15"/>
      <c r="V778" s="9"/>
      <c r="W778" s="15"/>
      <c r="X778" s="9" t="str">
        <f t="shared" ref="X778:X787" si="3398">IF(ISERROR(W778/O778),"NA",IF(OR(W778/O778&gt;2,W778/O778&lt;0.5),"NM",W778/O778*100-100))</f>
        <v>NA</v>
      </c>
      <c r="Y778" s="15"/>
      <c r="Z778" s="9"/>
      <c r="AA778" s="15"/>
      <c r="AB778" s="9"/>
      <c r="AC778" s="15"/>
      <c r="AD778" s="9"/>
      <c r="AE778" s="15"/>
      <c r="AF778" s="9"/>
      <c r="AG778" s="15"/>
      <c r="AH778" s="9"/>
      <c r="AI778" s="15"/>
      <c r="AJ778" s="9"/>
      <c r="AK778" s="15"/>
      <c r="AL778" s="9"/>
      <c r="AM778" s="15"/>
      <c r="AN778" s="9"/>
      <c r="AO778" s="15"/>
      <c r="AP778" s="9"/>
      <c r="AQ778" s="15"/>
      <c r="AR778" s="9"/>
      <c r="AS778" s="15"/>
      <c r="AT778" s="9"/>
      <c r="AU778" s="15"/>
      <c r="AV778" s="9"/>
      <c r="AW778" s="15"/>
      <c r="AX778" s="9"/>
      <c r="AY778" s="279"/>
      <c r="AZ778" s="15"/>
      <c r="BA778" s="9"/>
      <c r="BB778" s="15"/>
      <c r="BC778" s="9"/>
      <c r="BD778" s="924"/>
      <c r="BE778" s="9"/>
      <c r="BF778" s="15"/>
      <c r="BG778" s="9"/>
      <c r="BH778" s="15"/>
      <c r="BI778" s="9"/>
      <c r="BJ778" s="15"/>
      <c r="BK778" s="9"/>
      <c r="BL778" s="15"/>
      <c r="BM778" s="9"/>
      <c r="BN778" s="15"/>
      <c r="BO778" s="9"/>
      <c r="BP778" s="15"/>
      <c r="BQ778" s="9"/>
      <c r="BR778" s="15"/>
      <c r="BS778" s="9"/>
      <c r="BT778" s="15"/>
      <c r="BU778" s="9"/>
      <c r="BV778" s="722"/>
      <c r="BW778" s="722"/>
      <c r="BX778" s="722"/>
      <c r="BY778"/>
      <c r="BZ778"/>
      <c r="CA778"/>
      <c r="CB778"/>
      <c r="CC778"/>
      <c r="CD778"/>
    </row>
    <row r="779" spans="1:82" s="2" customFormat="1" ht="12.75" hidden="1" customHeight="1" outlineLevel="1" x14ac:dyDescent="0.2">
      <c r="A779" s="42"/>
      <c r="B779" s="5" t="s">
        <v>453</v>
      </c>
      <c r="C779" s="15"/>
      <c r="D779" s="9"/>
      <c r="E779" s="15"/>
      <c r="F779" s="9"/>
      <c r="G779" s="15"/>
      <c r="H779" s="9"/>
      <c r="I779" s="15"/>
      <c r="J779" s="9"/>
      <c r="K779" s="15"/>
      <c r="L779" s="9"/>
      <c r="M779" s="15"/>
      <c r="N779" s="9"/>
      <c r="O779" s="15"/>
      <c r="P779" s="9"/>
      <c r="Q779" s="15"/>
      <c r="R779" s="9"/>
      <c r="S779" s="15"/>
      <c r="T779" s="9"/>
      <c r="U779" s="15"/>
      <c r="V779" s="9"/>
      <c r="W779" s="15"/>
      <c r="X779" s="9" t="str">
        <f t="shared" si="3398"/>
        <v>NA</v>
      </c>
      <c r="Y779" s="15"/>
      <c r="Z779" s="9"/>
      <c r="AA779" s="15"/>
      <c r="AB779" s="9"/>
      <c r="AC779" s="15"/>
      <c r="AD779" s="9"/>
      <c r="AE779" s="15"/>
      <c r="AF779" s="9"/>
      <c r="AG779" s="15"/>
      <c r="AH779" s="9"/>
      <c r="AI779" s="15"/>
      <c r="AJ779" s="9"/>
      <c r="AK779" s="15"/>
      <c r="AL779" s="9"/>
      <c r="AM779" s="15"/>
      <c r="AN779" s="9"/>
      <c r="AO779" s="15"/>
      <c r="AP779" s="9"/>
      <c r="AQ779" s="15"/>
      <c r="AR779" s="9"/>
      <c r="AS779" s="15"/>
      <c r="AT779" s="9"/>
      <c r="AU779" s="15"/>
      <c r="AV779" s="9"/>
      <c r="AW779" s="15"/>
      <c r="AX779" s="9"/>
      <c r="AY779" s="279"/>
      <c r="AZ779" s="15"/>
      <c r="BA779" s="9"/>
      <c r="BB779" s="15"/>
      <c r="BC779" s="9"/>
      <c r="BD779" s="924"/>
      <c r="BE779" s="9"/>
      <c r="BF779" s="15"/>
      <c r="BG779" s="9"/>
      <c r="BH779" s="15"/>
      <c r="BI779" s="9"/>
      <c r="BJ779" s="15"/>
      <c r="BK779" s="9"/>
      <c r="BL779" s="15"/>
      <c r="BM779" s="9"/>
      <c r="BN779" s="15"/>
      <c r="BO779" s="9"/>
      <c r="BP779" s="15"/>
      <c r="BQ779" s="9"/>
      <c r="BR779" s="15"/>
      <c r="BS779" s="9"/>
      <c r="BT779" s="15"/>
      <c r="BU779" s="9"/>
      <c r="BV779" s="722"/>
      <c r="BW779" s="722"/>
      <c r="BX779" s="722"/>
      <c r="BY779"/>
      <c r="BZ779"/>
      <c r="CA779"/>
      <c r="CB779"/>
      <c r="CC779"/>
      <c r="CD779"/>
    </row>
    <row r="780" spans="1:82" s="2" customFormat="1" ht="12.75" hidden="1" customHeight="1" outlineLevel="1" x14ac:dyDescent="0.2">
      <c r="A780" s="42"/>
      <c r="B780" s="5" t="s">
        <v>454</v>
      </c>
      <c r="C780" s="15"/>
      <c r="D780" s="9"/>
      <c r="E780" s="15"/>
      <c r="F780" s="9"/>
      <c r="G780" s="15"/>
      <c r="H780" s="9"/>
      <c r="I780" s="15"/>
      <c r="J780" s="9"/>
      <c r="K780" s="15"/>
      <c r="L780" s="9"/>
      <c r="M780" s="15"/>
      <c r="N780" s="9"/>
      <c r="O780" s="15"/>
      <c r="P780" s="9"/>
      <c r="Q780" s="15"/>
      <c r="R780" s="9"/>
      <c r="S780" s="15"/>
      <c r="T780" s="9"/>
      <c r="U780" s="15"/>
      <c r="V780" s="9"/>
      <c r="W780" s="15"/>
      <c r="X780" s="9" t="str">
        <f t="shared" si="3398"/>
        <v>NA</v>
      </c>
      <c r="Y780" s="15"/>
      <c r="Z780" s="9"/>
      <c r="AA780" s="15"/>
      <c r="AB780" s="9"/>
      <c r="AC780" s="15"/>
      <c r="AD780" s="9"/>
      <c r="AE780" s="15"/>
      <c r="AF780" s="9"/>
      <c r="AG780" s="15"/>
      <c r="AH780" s="9"/>
      <c r="AI780" s="15"/>
      <c r="AJ780" s="9"/>
      <c r="AK780" s="15"/>
      <c r="AL780" s="9"/>
      <c r="AM780" s="15"/>
      <c r="AN780" s="9"/>
      <c r="AO780" s="15"/>
      <c r="AP780" s="9"/>
      <c r="AQ780" s="15"/>
      <c r="AR780" s="9"/>
      <c r="AS780" s="15"/>
      <c r="AT780" s="9"/>
      <c r="AU780" s="15"/>
      <c r="AV780" s="9"/>
      <c r="AW780" s="15"/>
      <c r="AX780" s="9"/>
      <c r="AY780" s="279"/>
      <c r="AZ780" s="15"/>
      <c r="BA780" s="9"/>
      <c r="BB780" s="15"/>
      <c r="BC780" s="9"/>
      <c r="BD780" s="924"/>
      <c r="BE780" s="9"/>
      <c r="BF780" s="15"/>
      <c r="BG780" s="9"/>
      <c r="BH780" s="15"/>
      <c r="BI780" s="9"/>
      <c r="BJ780" s="15"/>
      <c r="BK780" s="9"/>
      <c r="BL780" s="15"/>
      <c r="BM780" s="9"/>
      <c r="BN780" s="15"/>
      <c r="BO780" s="9"/>
      <c r="BP780" s="15"/>
      <c r="BQ780" s="9"/>
      <c r="BR780" s="15"/>
      <c r="BS780" s="9"/>
      <c r="BT780" s="15"/>
      <c r="BU780" s="9"/>
      <c r="BV780" s="722"/>
      <c r="BW780" s="722"/>
      <c r="BX780" s="722"/>
      <c r="BY780"/>
      <c r="BZ780"/>
      <c r="CA780"/>
      <c r="CB780"/>
      <c r="CC780"/>
      <c r="CD780"/>
    </row>
    <row r="781" spans="1:82" s="2" customFormat="1" ht="12.75" hidden="1" customHeight="1" outlineLevel="1" x14ac:dyDescent="0.2">
      <c r="A781" s="42"/>
      <c r="B781" s="5" t="s">
        <v>455</v>
      </c>
      <c r="C781" s="15"/>
      <c r="D781" s="9"/>
      <c r="E781" s="15"/>
      <c r="F781" s="9"/>
      <c r="G781" s="15"/>
      <c r="H781" s="9"/>
      <c r="I781" s="15"/>
      <c r="J781" s="9"/>
      <c r="K781" s="15"/>
      <c r="L781" s="9"/>
      <c r="M781" s="15"/>
      <c r="N781" s="9"/>
      <c r="O781" s="15"/>
      <c r="P781" s="9"/>
      <c r="Q781" s="15"/>
      <c r="R781" s="9"/>
      <c r="S781" s="15"/>
      <c r="T781" s="9"/>
      <c r="U781" s="15"/>
      <c r="V781" s="9"/>
      <c r="W781" s="15"/>
      <c r="X781" s="9" t="str">
        <f t="shared" si="3398"/>
        <v>NA</v>
      </c>
      <c r="Y781" s="15"/>
      <c r="Z781" s="9"/>
      <c r="AA781" s="15"/>
      <c r="AB781" s="9"/>
      <c r="AC781" s="15"/>
      <c r="AD781" s="9"/>
      <c r="AE781" s="15"/>
      <c r="AF781" s="9"/>
      <c r="AG781" s="15"/>
      <c r="AH781" s="9"/>
      <c r="AI781" s="15"/>
      <c r="AJ781" s="9"/>
      <c r="AK781" s="15"/>
      <c r="AL781" s="9"/>
      <c r="AM781" s="15"/>
      <c r="AN781" s="9"/>
      <c r="AO781" s="15"/>
      <c r="AP781" s="9"/>
      <c r="AQ781" s="15"/>
      <c r="AR781" s="9"/>
      <c r="AS781" s="15"/>
      <c r="AT781" s="9"/>
      <c r="AU781" s="15"/>
      <c r="AV781" s="9"/>
      <c r="AW781" s="15"/>
      <c r="AX781" s="9"/>
      <c r="AY781" s="279"/>
      <c r="AZ781" s="15"/>
      <c r="BA781" s="9"/>
      <c r="BB781" s="15"/>
      <c r="BC781" s="9"/>
      <c r="BD781" s="924"/>
      <c r="BE781" s="9"/>
      <c r="BF781" s="15"/>
      <c r="BG781" s="9"/>
      <c r="BH781" s="15"/>
      <c r="BI781" s="9"/>
      <c r="BJ781" s="15"/>
      <c r="BK781" s="9"/>
      <c r="BL781" s="15"/>
      <c r="BM781" s="9"/>
      <c r="BN781" s="15"/>
      <c r="BO781" s="9"/>
      <c r="BP781" s="15"/>
      <c r="BQ781" s="9"/>
      <c r="BR781" s="15"/>
      <c r="BS781" s="9"/>
      <c r="BT781" s="15"/>
      <c r="BU781" s="9"/>
      <c r="BV781" s="722"/>
      <c r="BW781" s="722"/>
      <c r="BX781" s="722"/>
      <c r="BY781"/>
      <c r="BZ781"/>
      <c r="CA781"/>
      <c r="CB781"/>
      <c r="CC781"/>
      <c r="CD781"/>
    </row>
    <row r="782" spans="1:82" s="2" customFormat="1" ht="12.75" hidden="1" customHeight="1" outlineLevel="1" x14ac:dyDescent="0.2">
      <c r="A782" s="42"/>
      <c r="B782" s="42" t="s">
        <v>488</v>
      </c>
      <c r="C782" s="15"/>
      <c r="D782" s="9"/>
      <c r="E782" s="15"/>
      <c r="F782" s="9"/>
      <c r="G782" s="15"/>
      <c r="H782" s="9"/>
      <c r="I782" s="15"/>
      <c r="J782" s="9"/>
      <c r="K782" s="15"/>
      <c r="L782" s="9"/>
      <c r="M782" s="15"/>
      <c r="N782" s="9"/>
      <c r="O782" s="15"/>
      <c r="P782" s="9"/>
      <c r="Q782" s="15"/>
      <c r="R782" s="9"/>
      <c r="S782" s="15"/>
      <c r="T782" s="9"/>
      <c r="U782" s="15"/>
      <c r="V782" s="9"/>
      <c r="W782" s="15"/>
      <c r="X782" s="9" t="str">
        <f t="shared" si="3398"/>
        <v>NA</v>
      </c>
      <c r="Y782" s="15"/>
      <c r="Z782" s="9"/>
      <c r="AA782" s="15"/>
      <c r="AB782" s="9"/>
      <c r="AC782" s="15"/>
      <c r="AD782" s="9"/>
      <c r="AE782" s="15"/>
      <c r="AF782" s="9"/>
      <c r="AG782" s="15"/>
      <c r="AH782" s="9"/>
      <c r="AI782" s="15"/>
      <c r="AJ782" s="9"/>
      <c r="AK782" s="15"/>
      <c r="AL782" s="9"/>
      <c r="AM782" s="15"/>
      <c r="AN782" s="9"/>
      <c r="AO782" s="15"/>
      <c r="AP782" s="9"/>
      <c r="AQ782" s="15"/>
      <c r="AR782" s="9"/>
      <c r="AS782" s="15"/>
      <c r="AT782" s="9"/>
      <c r="AU782" s="15"/>
      <c r="AV782" s="9"/>
      <c r="AW782" s="15"/>
      <c r="AX782" s="9"/>
      <c r="AY782" s="279"/>
      <c r="AZ782" s="15"/>
      <c r="BA782" s="9"/>
      <c r="BB782" s="15"/>
      <c r="BC782" s="9"/>
      <c r="BD782" s="924"/>
      <c r="BE782" s="9"/>
      <c r="BF782" s="15"/>
      <c r="BG782" s="9"/>
      <c r="BH782" s="15"/>
      <c r="BI782" s="9"/>
      <c r="BJ782" s="15"/>
      <c r="BK782" s="9"/>
      <c r="BL782" s="15"/>
      <c r="BM782" s="9"/>
      <c r="BN782" s="15"/>
      <c r="BO782" s="9"/>
      <c r="BP782" s="15"/>
      <c r="BQ782" s="9"/>
      <c r="BR782" s="15"/>
      <c r="BS782" s="9"/>
      <c r="BT782" s="15"/>
      <c r="BU782" s="9"/>
      <c r="BV782" s="722"/>
      <c r="BW782" s="722"/>
      <c r="BX782" s="722"/>
      <c r="BY782"/>
      <c r="BZ782"/>
      <c r="CA782"/>
      <c r="CB782"/>
      <c r="CC782"/>
      <c r="CD782"/>
    </row>
    <row r="783" spans="1:82" s="2" customFormat="1" ht="12.75" hidden="1" customHeight="1" outlineLevel="1" x14ac:dyDescent="0.2">
      <c r="A783" s="42"/>
      <c r="B783" s="5" t="s">
        <v>456</v>
      </c>
      <c r="C783" s="15"/>
      <c r="D783" s="9"/>
      <c r="E783" s="15"/>
      <c r="F783" s="9"/>
      <c r="G783" s="15"/>
      <c r="H783" s="9"/>
      <c r="I783" s="15"/>
      <c r="J783" s="9"/>
      <c r="K783" s="15"/>
      <c r="L783" s="9"/>
      <c r="M783" s="15"/>
      <c r="N783" s="9"/>
      <c r="O783" s="15"/>
      <c r="P783" s="9"/>
      <c r="Q783" s="15"/>
      <c r="R783" s="9"/>
      <c r="S783" s="15"/>
      <c r="T783" s="9"/>
      <c r="U783" s="15"/>
      <c r="V783" s="9"/>
      <c r="W783" s="15"/>
      <c r="X783" s="9" t="str">
        <f t="shared" si="3398"/>
        <v>NA</v>
      </c>
      <c r="Y783" s="15"/>
      <c r="Z783" s="9"/>
      <c r="AA783" s="15"/>
      <c r="AB783" s="9"/>
      <c r="AC783" s="15"/>
      <c r="AD783" s="9"/>
      <c r="AE783" s="15"/>
      <c r="AF783" s="9"/>
      <c r="AG783" s="15"/>
      <c r="AH783" s="9"/>
      <c r="AI783" s="15"/>
      <c r="AJ783" s="9"/>
      <c r="AK783" s="15"/>
      <c r="AL783" s="9"/>
      <c r="AM783" s="15"/>
      <c r="AN783" s="9"/>
      <c r="AO783" s="15"/>
      <c r="AP783" s="9"/>
      <c r="AQ783" s="15"/>
      <c r="AR783" s="9"/>
      <c r="AS783" s="15"/>
      <c r="AT783" s="9"/>
      <c r="AU783" s="15"/>
      <c r="AV783" s="9"/>
      <c r="AW783" s="15"/>
      <c r="AX783" s="9"/>
      <c r="AY783" s="279"/>
      <c r="AZ783" s="15"/>
      <c r="BA783" s="9"/>
      <c r="BB783" s="15"/>
      <c r="BC783" s="9"/>
      <c r="BD783" s="924"/>
      <c r="BE783" s="9"/>
      <c r="BF783" s="15"/>
      <c r="BG783" s="9"/>
      <c r="BH783" s="15"/>
      <c r="BI783" s="9"/>
      <c r="BJ783" s="15"/>
      <c r="BK783" s="9"/>
      <c r="BL783" s="15"/>
      <c r="BM783" s="9"/>
      <c r="BN783" s="15"/>
      <c r="BO783" s="9"/>
      <c r="BP783" s="15"/>
      <c r="BQ783" s="9"/>
      <c r="BR783" s="15"/>
      <c r="BS783" s="9"/>
      <c r="BT783" s="15"/>
      <c r="BU783" s="9"/>
      <c r="BV783" s="722"/>
      <c r="BW783" s="722"/>
      <c r="BX783" s="722"/>
      <c r="BY783"/>
      <c r="BZ783"/>
      <c r="CA783"/>
      <c r="CB783"/>
      <c r="CC783"/>
      <c r="CD783"/>
    </row>
    <row r="784" spans="1:82" s="2" customFormat="1" ht="12.75" hidden="1" customHeight="1" outlineLevel="1" x14ac:dyDescent="0.2">
      <c r="A784" s="42"/>
      <c r="B784" s="5" t="s">
        <v>457</v>
      </c>
      <c r="C784" s="15"/>
      <c r="D784" s="9"/>
      <c r="E784" s="15"/>
      <c r="F784" s="9"/>
      <c r="G784" s="15"/>
      <c r="H784" s="9"/>
      <c r="I784" s="15"/>
      <c r="J784" s="9"/>
      <c r="K784" s="15"/>
      <c r="L784" s="9"/>
      <c r="M784" s="15"/>
      <c r="N784" s="9"/>
      <c r="O784" s="15"/>
      <c r="P784" s="9"/>
      <c r="Q784" s="15"/>
      <c r="R784" s="9"/>
      <c r="S784" s="15"/>
      <c r="T784" s="9"/>
      <c r="U784" s="15"/>
      <c r="V784" s="9"/>
      <c r="W784" s="15"/>
      <c r="X784" s="9" t="str">
        <f t="shared" si="3398"/>
        <v>NA</v>
      </c>
      <c r="Y784" s="15"/>
      <c r="Z784" s="9"/>
      <c r="AA784" s="15"/>
      <c r="AB784" s="9"/>
      <c r="AC784" s="15"/>
      <c r="AD784" s="9"/>
      <c r="AE784" s="15"/>
      <c r="AF784" s="9"/>
      <c r="AG784" s="15"/>
      <c r="AH784" s="9"/>
      <c r="AI784" s="15"/>
      <c r="AJ784" s="9"/>
      <c r="AK784" s="15"/>
      <c r="AL784" s="9"/>
      <c r="AM784" s="15"/>
      <c r="AN784" s="9"/>
      <c r="AO784" s="15"/>
      <c r="AP784" s="9"/>
      <c r="AQ784" s="15"/>
      <c r="AR784" s="9"/>
      <c r="AS784" s="15"/>
      <c r="AT784" s="9"/>
      <c r="AU784" s="15"/>
      <c r="AV784" s="9"/>
      <c r="AW784" s="15"/>
      <c r="AX784" s="9"/>
      <c r="AY784" s="279"/>
      <c r="AZ784" s="15"/>
      <c r="BA784" s="9"/>
      <c r="BB784" s="15"/>
      <c r="BC784" s="9"/>
      <c r="BD784" s="924"/>
      <c r="BE784" s="9"/>
      <c r="BF784" s="15"/>
      <c r="BG784" s="9"/>
      <c r="BH784" s="15"/>
      <c r="BI784" s="9"/>
      <c r="BJ784" s="15"/>
      <c r="BK784" s="9"/>
      <c r="BL784" s="15"/>
      <c r="BM784" s="9"/>
      <c r="BN784" s="15"/>
      <c r="BO784" s="9"/>
      <c r="BP784" s="15"/>
      <c r="BQ784" s="9"/>
      <c r="BR784" s="15"/>
      <c r="BS784" s="9"/>
      <c r="BT784" s="15"/>
      <c r="BU784" s="9"/>
      <c r="BV784" s="722"/>
      <c r="BW784" s="722"/>
      <c r="BX784" s="722"/>
      <c r="BY784"/>
      <c r="BZ784"/>
      <c r="CA784"/>
      <c r="CB784"/>
      <c r="CC784"/>
      <c r="CD784"/>
    </row>
    <row r="785" spans="1:82" s="2" customFormat="1" ht="12.75" hidden="1" customHeight="1" outlineLevel="1" x14ac:dyDescent="0.2">
      <c r="A785" s="42"/>
      <c r="B785" s="5" t="s">
        <v>312</v>
      </c>
      <c r="C785" s="15"/>
      <c r="D785" s="9"/>
      <c r="E785" s="15"/>
      <c r="F785" s="9"/>
      <c r="G785" s="15"/>
      <c r="H785" s="9"/>
      <c r="I785" s="15"/>
      <c r="J785" s="9"/>
      <c r="K785" s="15"/>
      <c r="L785" s="9"/>
      <c r="M785" s="15"/>
      <c r="N785" s="9"/>
      <c r="O785" s="15"/>
      <c r="P785" s="9"/>
      <c r="Q785" s="15"/>
      <c r="R785" s="9"/>
      <c r="S785" s="15"/>
      <c r="T785" s="9"/>
      <c r="U785" s="15"/>
      <c r="V785" s="9"/>
      <c r="W785" s="15"/>
      <c r="X785" s="9" t="str">
        <f t="shared" si="3398"/>
        <v>NA</v>
      </c>
      <c r="Y785" s="15"/>
      <c r="Z785" s="9"/>
      <c r="AA785" s="15"/>
      <c r="AB785" s="9"/>
      <c r="AC785" s="15"/>
      <c r="AD785" s="9"/>
      <c r="AE785" s="15"/>
      <c r="AF785" s="9"/>
      <c r="AG785" s="15"/>
      <c r="AH785" s="9"/>
      <c r="AI785" s="15"/>
      <c r="AJ785" s="9"/>
      <c r="AK785" s="15"/>
      <c r="AL785" s="9"/>
      <c r="AM785" s="15"/>
      <c r="AN785" s="9"/>
      <c r="AO785" s="15"/>
      <c r="AP785" s="9"/>
      <c r="AQ785" s="15"/>
      <c r="AR785" s="9"/>
      <c r="AS785" s="15"/>
      <c r="AT785" s="9"/>
      <c r="AU785" s="15"/>
      <c r="AV785" s="9"/>
      <c r="AW785" s="15"/>
      <c r="AX785" s="9"/>
      <c r="AY785" s="279"/>
      <c r="AZ785" s="15"/>
      <c r="BA785" s="9"/>
      <c r="BB785" s="15"/>
      <c r="BC785" s="9"/>
      <c r="BD785" s="924"/>
      <c r="BE785" s="9"/>
      <c r="BF785" s="15"/>
      <c r="BG785" s="9"/>
      <c r="BH785" s="15"/>
      <c r="BI785" s="9"/>
      <c r="BJ785" s="15"/>
      <c r="BK785" s="9"/>
      <c r="BL785" s="15"/>
      <c r="BM785" s="9"/>
      <c r="BN785" s="15"/>
      <c r="BO785" s="9"/>
      <c r="BP785" s="15"/>
      <c r="BQ785" s="9"/>
      <c r="BR785" s="15"/>
      <c r="BS785" s="9"/>
      <c r="BT785" s="15"/>
      <c r="BU785" s="9"/>
      <c r="BV785" s="722"/>
      <c r="BW785" s="722"/>
      <c r="BX785" s="722"/>
      <c r="BY785"/>
      <c r="BZ785"/>
      <c r="CA785"/>
      <c r="CB785"/>
      <c r="CC785"/>
      <c r="CD785"/>
    </row>
    <row r="786" spans="1:82" s="2" customFormat="1" ht="12.75" hidden="1" customHeight="1" outlineLevel="1" x14ac:dyDescent="0.2">
      <c r="A786" s="42"/>
      <c r="B786" s="5" t="s">
        <v>459</v>
      </c>
      <c r="C786" s="15"/>
      <c r="D786" s="9"/>
      <c r="E786" s="15"/>
      <c r="F786" s="9"/>
      <c r="G786" s="15"/>
      <c r="H786" s="9"/>
      <c r="I786" s="15"/>
      <c r="J786" s="9"/>
      <c r="K786" s="15"/>
      <c r="L786" s="9"/>
      <c r="M786" s="15"/>
      <c r="N786" s="9"/>
      <c r="O786" s="15"/>
      <c r="P786" s="9"/>
      <c r="Q786" s="15"/>
      <c r="R786" s="9"/>
      <c r="S786" s="15"/>
      <c r="T786" s="9"/>
      <c r="U786" s="15"/>
      <c r="V786" s="9"/>
      <c r="W786" s="15"/>
      <c r="X786" s="9" t="str">
        <f t="shared" si="3398"/>
        <v>NA</v>
      </c>
      <c r="Y786" s="15"/>
      <c r="Z786" s="9"/>
      <c r="AA786" s="15"/>
      <c r="AB786" s="9"/>
      <c r="AC786" s="15"/>
      <c r="AD786" s="9"/>
      <c r="AE786" s="15"/>
      <c r="AF786" s="9"/>
      <c r="AG786" s="15"/>
      <c r="AH786" s="9"/>
      <c r="AI786" s="15"/>
      <c r="AJ786" s="9"/>
      <c r="AK786" s="15"/>
      <c r="AL786" s="9"/>
      <c r="AM786" s="15"/>
      <c r="AN786" s="9"/>
      <c r="AO786" s="15"/>
      <c r="AP786" s="9"/>
      <c r="AQ786" s="15"/>
      <c r="AR786" s="9"/>
      <c r="AS786" s="15"/>
      <c r="AT786" s="9"/>
      <c r="AU786" s="15"/>
      <c r="AV786" s="9"/>
      <c r="AW786" s="15"/>
      <c r="AX786" s="9"/>
      <c r="AY786" s="279"/>
      <c r="AZ786" s="15"/>
      <c r="BA786" s="9"/>
      <c r="BB786" s="15"/>
      <c r="BC786" s="9"/>
      <c r="BD786" s="924"/>
      <c r="BE786" s="9"/>
      <c r="BF786" s="15"/>
      <c r="BG786" s="9"/>
      <c r="BH786" s="15"/>
      <c r="BI786" s="9"/>
      <c r="BJ786" s="15"/>
      <c r="BK786" s="9"/>
      <c r="BL786" s="15"/>
      <c r="BM786" s="9"/>
      <c r="BN786" s="15"/>
      <c r="BO786" s="9"/>
      <c r="BP786" s="15"/>
      <c r="BQ786" s="9"/>
      <c r="BR786" s="15"/>
      <c r="BS786" s="9"/>
      <c r="BT786" s="15"/>
      <c r="BU786" s="9"/>
      <c r="BV786" s="722"/>
      <c r="BW786" s="722"/>
      <c r="BX786" s="722"/>
      <c r="BY786"/>
      <c r="BZ786"/>
      <c r="CA786"/>
      <c r="CB786"/>
      <c r="CC786"/>
      <c r="CD786"/>
    </row>
    <row r="787" spans="1:82" s="2" customFormat="1" ht="12.75" hidden="1" customHeight="1" outlineLevel="1" x14ac:dyDescent="0.2">
      <c r="A787" s="42"/>
      <c r="B787" s="42" t="s">
        <v>196</v>
      </c>
      <c r="C787" s="15"/>
      <c r="D787" s="9"/>
      <c r="E787" s="15"/>
      <c r="F787" s="9"/>
      <c r="G787" s="15"/>
      <c r="H787" s="9"/>
      <c r="I787" s="15"/>
      <c r="J787" s="9"/>
      <c r="K787" s="15"/>
      <c r="L787" s="9"/>
      <c r="M787" s="15"/>
      <c r="N787" s="9"/>
      <c r="O787" s="15"/>
      <c r="P787" s="9"/>
      <c r="Q787" s="15"/>
      <c r="R787" s="9"/>
      <c r="S787" s="15"/>
      <c r="T787" s="9"/>
      <c r="U787" s="15"/>
      <c r="V787" s="9"/>
      <c r="W787" s="15"/>
      <c r="X787" s="9" t="str">
        <f t="shared" si="3398"/>
        <v>NA</v>
      </c>
      <c r="Y787" s="15"/>
      <c r="Z787" s="9"/>
      <c r="AA787" s="15"/>
      <c r="AB787" s="9"/>
      <c r="AC787" s="15"/>
      <c r="AD787" s="9"/>
      <c r="AE787" s="15"/>
      <c r="AF787" s="9"/>
      <c r="AG787" s="15"/>
      <c r="AH787" s="9"/>
      <c r="AI787" s="15"/>
      <c r="AJ787" s="9"/>
      <c r="AK787" s="15"/>
      <c r="AL787" s="9"/>
      <c r="AM787" s="15"/>
      <c r="AN787" s="9"/>
      <c r="AO787" s="15"/>
      <c r="AP787" s="9"/>
      <c r="AQ787" s="15"/>
      <c r="AR787" s="9"/>
      <c r="AS787" s="15"/>
      <c r="AT787" s="9"/>
      <c r="AU787" s="15"/>
      <c r="AV787" s="9"/>
      <c r="AW787" s="15"/>
      <c r="AX787" s="9"/>
      <c r="AY787" s="279"/>
      <c r="AZ787" s="15"/>
      <c r="BA787" s="9"/>
      <c r="BB787" s="15"/>
      <c r="BC787" s="9"/>
      <c r="BD787" s="924"/>
      <c r="BE787" s="9"/>
      <c r="BF787" s="15"/>
      <c r="BG787" s="9"/>
      <c r="BH787" s="15"/>
      <c r="BI787" s="9"/>
      <c r="BJ787" s="15"/>
      <c r="BK787" s="9"/>
      <c r="BL787" s="15"/>
      <c r="BM787" s="9"/>
      <c r="BN787" s="15"/>
      <c r="BO787" s="9"/>
      <c r="BP787" s="15"/>
      <c r="BQ787" s="9"/>
      <c r="BR787" s="15"/>
      <c r="BS787" s="9"/>
      <c r="BT787" s="15"/>
      <c r="BU787" s="9"/>
      <c r="BV787" s="722"/>
      <c r="BW787" s="722"/>
      <c r="BX787" s="722"/>
      <c r="BY787"/>
      <c r="BZ787"/>
      <c r="CA787"/>
      <c r="CB787"/>
      <c r="CC787"/>
      <c r="CD787"/>
    </row>
    <row r="788" spans="1:82" s="2" customFormat="1" ht="12.75" hidden="1" customHeight="1" outlineLevel="1" x14ac:dyDescent="0.2">
      <c r="A788" s="42"/>
      <c r="B788" s="42"/>
      <c r="C788" s="15"/>
      <c r="D788" s="9"/>
      <c r="E788" s="15"/>
      <c r="F788" s="9"/>
      <c r="G788" s="15"/>
      <c r="H788" s="9"/>
      <c r="I788" s="15"/>
      <c r="J788" s="9"/>
      <c r="K788" s="15"/>
      <c r="L788" s="9"/>
      <c r="M788" s="15"/>
      <c r="N788" s="9"/>
      <c r="O788" s="15"/>
      <c r="P788" s="9"/>
      <c r="Q788" s="15"/>
      <c r="R788" s="9"/>
      <c r="S788" s="15"/>
      <c r="T788" s="9"/>
      <c r="U788" s="15"/>
      <c r="V788" s="9"/>
      <c r="W788" s="15"/>
      <c r="X788" s="9"/>
      <c r="Y788" s="15"/>
      <c r="Z788" s="9"/>
      <c r="AA788" s="15"/>
      <c r="AB788" s="9"/>
      <c r="AC788" s="15"/>
      <c r="AD788" s="9"/>
      <c r="AE788" s="15"/>
      <c r="AF788" s="9"/>
      <c r="AG788" s="15"/>
      <c r="AH788" s="9"/>
      <c r="AI788" s="15"/>
      <c r="AJ788" s="9"/>
      <c r="AK788" s="15"/>
      <c r="AL788" s="9"/>
      <c r="AM788" s="15"/>
      <c r="AN788" s="9"/>
      <c r="AO788" s="15"/>
      <c r="AP788" s="9"/>
      <c r="AQ788" s="15"/>
      <c r="AR788" s="9"/>
      <c r="AS788" s="15"/>
      <c r="AT788" s="9"/>
      <c r="AU788" s="15"/>
      <c r="AV788" s="9"/>
      <c r="AW788" s="15"/>
      <c r="AX788" s="9"/>
      <c r="AY788" s="279"/>
      <c r="AZ788" s="15"/>
      <c r="BA788" s="9"/>
      <c r="BB788" s="15"/>
      <c r="BC788" s="9"/>
      <c r="BD788" s="924"/>
      <c r="BE788" s="9"/>
      <c r="BF788" s="15"/>
      <c r="BG788" s="9"/>
      <c r="BH788" s="15"/>
      <c r="BI788" s="9"/>
      <c r="BJ788" s="15"/>
      <c r="BK788" s="9"/>
      <c r="BL788" s="15"/>
      <c r="BM788" s="9"/>
      <c r="BN788" s="15"/>
      <c r="BO788" s="9"/>
      <c r="BP788" s="15"/>
      <c r="BQ788" s="9"/>
      <c r="BR788" s="15"/>
      <c r="BS788" s="9"/>
      <c r="BT788" s="15"/>
      <c r="BU788" s="9"/>
      <c r="BV788" s="722"/>
      <c r="BW788" s="722"/>
      <c r="BX788" s="722"/>
      <c r="BY788"/>
      <c r="BZ788"/>
      <c r="CA788"/>
      <c r="CB788"/>
      <c r="CC788"/>
      <c r="CD788"/>
    </row>
    <row r="789" spans="1:82" s="2" customFormat="1" ht="12.75" hidden="1" customHeight="1" outlineLevel="1" x14ac:dyDescent="0.2">
      <c r="A789" s="42"/>
      <c r="B789" s="5" t="s">
        <v>140</v>
      </c>
      <c r="C789" s="725"/>
      <c r="D789" s="9"/>
      <c r="E789" s="725"/>
      <c r="F789" s="9"/>
      <c r="G789" s="725"/>
      <c r="H789" s="9"/>
      <c r="I789" s="725"/>
      <c r="J789" s="9"/>
      <c r="K789" s="725"/>
      <c r="L789" s="9"/>
      <c r="M789" s="725"/>
      <c r="N789" s="9"/>
      <c r="O789" s="725"/>
      <c r="P789" s="9"/>
      <c r="Q789" s="725"/>
      <c r="R789" s="9"/>
      <c r="S789" s="725"/>
      <c r="T789" s="9"/>
      <c r="U789" s="725"/>
      <c r="V789" s="9"/>
      <c r="W789" s="725"/>
      <c r="X789" s="9" t="str">
        <f>IF(ISERROR(W789/O789),"NA",IF(OR(W789/O789&gt;2,W789/O789&lt;0.5),"NM",W789/O789*100-100))</f>
        <v>NA</v>
      </c>
      <c r="Y789" s="725"/>
      <c r="Z789" s="9"/>
      <c r="AA789" s="725"/>
      <c r="AB789" s="9"/>
      <c r="AC789" s="725"/>
      <c r="AD789" s="9"/>
      <c r="AE789" s="725"/>
      <c r="AF789" s="9"/>
      <c r="AG789" s="725"/>
      <c r="AH789" s="9"/>
      <c r="AI789" s="725"/>
      <c r="AJ789" s="9"/>
      <c r="AK789" s="725"/>
      <c r="AL789" s="9"/>
      <c r="AM789" s="725"/>
      <c r="AN789" s="9"/>
      <c r="AO789" s="725"/>
      <c r="AP789" s="9"/>
      <c r="AQ789" s="725"/>
      <c r="AR789" s="9"/>
      <c r="AS789" s="725"/>
      <c r="AT789" s="9"/>
      <c r="AU789" s="725"/>
      <c r="AV789" s="9"/>
      <c r="AW789" s="725"/>
      <c r="AX789" s="9"/>
      <c r="AY789" s="279"/>
      <c r="AZ789" s="15"/>
      <c r="BA789" s="9"/>
      <c r="BB789" s="725"/>
      <c r="BC789" s="9"/>
      <c r="BD789" s="961"/>
      <c r="BE789" s="9"/>
      <c r="BF789" s="725"/>
      <c r="BG789" s="9"/>
      <c r="BH789" s="725"/>
      <c r="BI789" s="9"/>
      <c r="BJ789" s="725"/>
      <c r="BK789" s="9"/>
      <c r="BL789" s="725"/>
      <c r="BM789" s="9"/>
      <c r="BN789" s="725"/>
      <c r="BO789" s="9"/>
      <c r="BP789" s="725"/>
      <c r="BQ789" s="9"/>
      <c r="BR789" s="725"/>
      <c r="BS789" s="9"/>
      <c r="BT789" s="725"/>
      <c r="BU789" s="9"/>
      <c r="BV789" s="722"/>
      <c r="BW789" s="722"/>
      <c r="BX789" s="722"/>
      <c r="BY789"/>
      <c r="BZ789"/>
      <c r="CA789"/>
      <c r="CB789"/>
      <c r="CC789"/>
      <c r="CD789"/>
    </row>
    <row r="790" spans="1:82" s="2" customFormat="1" ht="12.75" hidden="1" customHeight="1" outlineLevel="1" x14ac:dyDescent="0.2">
      <c r="A790" s="42"/>
      <c r="B790" s="5" t="s">
        <v>152</v>
      </c>
      <c r="C790" s="725"/>
      <c r="D790" s="9"/>
      <c r="E790" s="725"/>
      <c r="F790" s="9"/>
      <c r="G790" s="725"/>
      <c r="H790" s="9"/>
      <c r="I790" s="725"/>
      <c r="J790" s="9"/>
      <c r="K790" s="725"/>
      <c r="L790" s="9"/>
      <c r="M790" s="725"/>
      <c r="N790" s="9"/>
      <c r="O790" s="725"/>
      <c r="P790" s="9"/>
      <c r="Q790" s="725"/>
      <c r="R790" s="9"/>
      <c r="S790" s="725"/>
      <c r="T790" s="9"/>
      <c r="U790" s="725"/>
      <c r="V790" s="9"/>
      <c r="W790" s="725"/>
      <c r="X790" s="9" t="str">
        <f>IF(ISERROR(W790/O790),"NA",IF(OR(W790/O790&gt;2,W790/O790&lt;0.5),"NM",W790/O790*100-100))</f>
        <v>NA</v>
      </c>
      <c r="Y790" s="725"/>
      <c r="Z790" s="9"/>
      <c r="AA790" s="725"/>
      <c r="AB790" s="9"/>
      <c r="AC790" s="725"/>
      <c r="AD790" s="9"/>
      <c r="AE790" s="725"/>
      <c r="AF790" s="9"/>
      <c r="AG790" s="725"/>
      <c r="AH790" s="9"/>
      <c r="AI790" s="725"/>
      <c r="AJ790" s="9"/>
      <c r="AK790" s="725"/>
      <c r="AL790" s="9"/>
      <c r="AM790" s="725"/>
      <c r="AN790" s="9"/>
      <c r="AO790" s="725"/>
      <c r="AP790" s="9"/>
      <c r="AQ790" s="725"/>
      <c r="AR790" s="9"/>
      <c r="AS790" s="725"/>
      <c r="AT790" s="9"/>
      <c r="AU790" s="725"/>
      <c r="AV790" s="9"/>
      <c r="AW790" s="725"/>
      <c r="AX790" s="9"/>
      <c r="AY790" s="279"/>
      <c r="AZ790" s="15"/>
      <c r="BA790" s="9"/>
      <c r="BB790" s="725"/>
      <c r="BC790" s="9"/>
      <c r="BD790" s="961"/>
      <c r="BE790" s="9"/>
      <c r="BF790" s="725"/>
      <c r="BG790" s="9"/>
      <c r="BH790" s="725"/>
      <c r="BI790" s="9"/>
      <c r="BJ790" s="725"/>
      <c r="BK790" s="9"/>
      <c r="BL790" s="725"/>
      <c r="BM790" s="9"/>
      <c r="BN790" s="725"/>
      <c r="BO790" s="9"/>
      <c r="BP790" s="725"/>
      <c r="BQ790" s="9"/>
      <c r="BR790" s="725"/>
      <c r="BS790" s="9"/>
      <c r="BT790" s="725"/>
      <c r="BU790" s="9"/>
      <c r="BV790" s="722"/>
      <c r="BW790" s="722"/>
      <c r="BX790" s="722"/>
      <c r="BY790"/>
      <c r="BZ790"/>
      <c r="CA790"/>
      <c r="CB790"/>
      <c r="CC790"/>
      <c r="CD790"/>
    </row>
    <row r="791" spans="1:82" s="2" customFormat="1" ht="12.75" hidden="1" customHeight="1" outlineLevel="1" x14ac:dyDescent="0.2">
      <c r="A791" s="42"/>
      <c r="B791" s="42" t="s">
        <v>296</v>
      </c>
      <c r="C791" s="15"/>
      <c r="D791" s="100"/>
      <c r="E791" s="15"/>
      <c r="F791" s="100"/>
      <c r="G791" s="15"/>
      <c r="H791" s="100"/>
      <c r="I791" s="15"/>
      <c r="J791" s="100"/>
      <c r="K791" s="15"/>
      <c r="L791" s="100"/>
      <c r="M791" s="15"/>
      <c r="N791" s="100"/>
      <c r="O791" s="15"/>
      <c r="P791" s="100"/>
      <c r="Q791" s="15"/>
      <c r="R791" s="100"/>
      <c r="S791" s="15"/>
      <c r="T791" s="100"/>
      <c r="U791" s="15"/>
      <c r="V791" s="100"/>
      <c r="W791" s="15"/>
      <c r="X791" s="100"/>
      <c r="Y791" s="15"/>
      <c r="Z791" s="100"/>
      <c r="AA791" s="15"/>
      <c r="AB791" s="100"/>
      <c r="AC791" s="15"/>
      <c r="AD791" s="100"/>
      <c r="AE791" s="15"/>
      <c r="AF791" s="100"/>
      <c r="AG791" s="15"/>
      <c r="AH791" s="100"/>
      <c r="AI791" s="15"/>
      <c r="AJ791" s="100"/>
      <c r="AK791" s="15"/>
      <c r="AL791" s="100"/>
      <c r="AM791" s="15"/>
      <c r="AN791" s="100"/>
      <c r="AO791" s="15"/>
      <c r="AP791" s="100"/>
      <c r="AQ791" s="15"/>
      <c r="AR791" s="100"/>
      <c r="AS791" s="15"/>
      <c r="AT791" s="100"/>
      <c r="AU791" s="15"/>
      <c r="AV791" s="100"/>
      <c r="AW791" s="15"/>
      <c r="AX791" s="100"/>
      <c r="AY791" s="279"/>
      <c r="AZ791" s="15"/>
      <c r="BA791" s="100"/>
      <c r="BB791" s="15"/>
      <c r="BC791" s="100"/>
      <c r="BD791" s="924"/>
      <c r="BE791" s="100"/>
      <c r="BF791" s="15"/>
      <c r="BG791" s="100"/>
      <c r="BH791" s="15"/>
      <c r="BI791" s="100"/>
      <c r="BJ791" s="15"/>
      <c r="BK791" s="100"/>
      <c r="BL791" s="15"/>
      <c r="BM791" s="100"/>
      <c r="BN791" s="15"/>
      <c r="BO791" s="100"/>
      <c r="BP791" s="15"/>
      <c r="BQ791" s="100"/>
      <c r="BR791" s="15"/>
      <c r="BS791" s="100"/>
      <c r="BT791" s="15"/>
      <c r="BU791" s="100"/>
      <c r="BV791" s="722"/>
      <c r="BW791" s="722"/>
      <c r="BX791" s="722"/>
      <c r="BY791"/>
      <c r="BZ791"/>
      <c r="CA791"/>
      <c r="CB791"/>
      <c r="CC791"/>
      <c r="CD791"/>
    </row>
    <row r="792" spans="1:82" s="2" customFormat="1" ht="12.75" hidden="1" customHeight="1" outlineLevel="1" x14ac:dyDescent="0.2">
      <c r="A792" s="42"/>
      <c r="B792" s="42"/>
      <c r="C792" s="15"/>
      <c r="D792" s="40"/>
      <c r="E792" s="15"/>
      <c r="F792" s="40"/>
      <c r="G792" s="15"/>
      <c r="H792" s="40"/>
      <c r="I792" s="15"/>
      <c r="J792" s="40"/>
      <c r="K792" s="15"/>
      <c r="L792" s="40"/>
      <c r="M792" s="15"/>
      <c r="N792" s="40"/>
      <c r="O792" s="15"/>
      <c r="P792" s="40"/>
      <c r="Q792" s="15"/>
      <c r="R792" s="40"/>
      <c r="S792" s="15"/>
      <c r="T792" s="40"/>
      <c r="U792" s="15"/>
      <c r="V792" s="40"/>
      <c r="W792" s="15"/>
      <c r="X792" s="40"/>
      <c r="Y792" s="15"/>
      <c r="Z792" s="40"/>
      <c r="AA792" s="15"/>
      <c r="AB792" s="40"/>
      <c r="AC792" s="15"/>
      <c r="AD792" s="40"/>
      <c r="AE792" s="15"/>
      <c r="AF792" s="40"/>
      <c r="AG792" s="15"/>
      <c r="AH792" s="40"/>
      <c r="AI792" s="15"/>
      <c r="AJ792" s="40"/>
      <c r="AK792" s="15"/>
      <c r="AL792" s="40"/>
      <c r="AM792" s="15"/>
      <c r="AN792" s="40"/>
      <c r="AO792" s="15"/>
      <c r="AP792" s="40"/>
      <c r="AQ792" s="15"/>
      <c r="AR792" s="40"/>
      <c r="AS792" s="15"/>
      <c r="AT792" s="40"/>
      <c r="AU792" s="15"/>
      <c r="AV792" s="40"/>
      <c r="AW792" s="15"/>
      <c r="AX792" s="40"/>
      <c r="AY792" s="279"/>
      <c r="AZ792" s="15"/>
      <c r="BA792" s="40"/>
      <c r="BB792" s="15"/>
      <c r="BC792" s="40"/>
      <c r="BD792" s="924"/>
      <c r="BE792" s="40"/>
      <c r="BF792" s="15"/>
      <c r="BG792" s="40"/>
      <c r="BH792" s="15"/>
      <c r="BI792" s="40"/>
      <c r="BJ792" s="15"/>
      <c r="BK792" s="40"/>
      <c r="BL792" s="15"/>
      <c r="BM792" s="40"/>
      <c r="BN792" s="15"/>
      <c r="BO792" s="40"/>
      <c r="BP792" s="15"/>
      <c r="BQ792" s="40"/>
      <c r="BR792" s="15"/>
      <c r="BS792" s="40"/>
      <c r="BT792" s="15"/>
      <c r="BU792" s="40"/>
      <c r="BV792" s="722"/>
      <c r="BW792" s="722"/>
      <c r="BX792" s="722"/>
      <c r="BY792"/>
      <c r="BZ792"/>
      <c r="CA792"/>
      <c r="CB792"/>
      <c r="CC792"/>
      <c r="CD792"/>
    </row>
    <row r="793" spans="1:82" s="2" customFormat="1" ht="12.75" hidden="1" customHeight="1" outlineLevel="1" x14ac:dyDescent="0.2">
      <c r="A793" s="42"/>
      <c r="B793" s="42" t="s">
        <v>141</v>
      </c>
      <c r="C793" s="99"/>
      <c r="D793" s="9"/>
      <c r="E793" s="99"/>
      <c r="F793" s="9"/>
      <c r="G793" s="99"/>
      <c r="H793" s="9"/>
      <c r="I793" s="99"/>
      <c r="J793" s="9"/>
      <c r="K793" s="99"/>
      <c r="L793" s="9"/>
      <c r="M793" s="99"/>
      <c r="N793" s="9"/>
      <c r="O793" s="99"/>
      <c r="P793" s="9"/>
      <c r="Q793" s="99"/>
      <c r="R793" s="9"/>
      <c r="S793" s="99"/>
      <c r="T793" s="9"/>
      <c r="U793" s="99"/>
      <c r="V793" s="9"/>
      <c r="W793" s="99"/>
      <c r="X793" s="9" t="str">
        <f>IF(ISERROR(W793/O793),"NA",IF(OR(W793/O793&gt;2,W793/O793&lt;0.5),"NM",W793/O793*100-100))</f>
        <v>NA</v>
      </c>
      <c r="Y793" s="99"/>
      <c r="Z793" s="9"/>
      <c r="AA793" s="99"/>
      <c r="AB793" s="9"/>
      <c r="AC793" s="99"/>
      <c r="AD793" s="9"/>
      <c r="AE793" s="99"/>
      <c r="AF793" s="9"/>
      <c r="AG793" s="99"/>
      <c r="AH793" s="9"/>
      <c r="AI793" s="99"/>
      <c r="AJ793" s="9"/>
      <c r="AK793" s="99"/>
      <c r="AL793" s="9"/>
      <c r="AM793" s="99"/>
      <c r="AN793" s="9"/>
      <c r="AO793" s="99"/>
      <c r="AP793" s="9"/>
      <c r="AQ793" s="99"/>
      <c r="AR793" s="9"/>
      <c r="AS793" s="99"/>
      <c r="AT793" s="9"/>
      <c r="AU793" s="99"/>
      <c r="AV793" s="9"/>
      <c r="AW793" s="99"/>
      <c r="AX793" s="9"/>
      <c r="AY793" s="279"/>
      <c r="AZ793" s="15"/>
      <c r="BA793" s="9"/>
      <c r="BB793" s="99"/>
      <c r="BC793" s="9"/>
      <c r="BD793" s="849"/>
      <c r="BE793" s="9"/>
      <c r="BF793" s="99"/>
      <c r="BG793" s="9"/>
      <c r="BH793" s="99"/>
      <c r="BI793" s="9"/>
      <c r="BJ793" s="99"/>
      <c r="BK793" s="9"/>
      <c r="BL793" s="99"/>
      <c r="BM793" s="9"/>
      <c r="BN793" s="99"/>
      <c r="BO793" s="9"/>
      <c r="BP793" s="99"/>
      <c r="BQ793" s="9"/>
      <c r="BR793" s="99"/>
      <c r="BS793" s="9"/>
      <c r="BT793" s="99"/>
      <c r="BU793" s="9"/>
      <c r="BV793" s="722"/>
      <c r="BW793" s="722"/>
      <c r="BX793" s="722"/>
      <c r="BY793"/>
      <c r="BZ793"/>
      <c r="CA793"/>
      <c r="CB793"/>
      <c r="CC793"/>
      <c r="CD793"/>
    </row>
    <row r="794" spans="1:82" s="2" customFormat="1" ht="12.75" hidden="1" customHeight="1" outlineLevel="1" x14ac:dyDescent="0.2">
      <c r="A794" s="42"/>
      <c r="B794" s="42" t="s">
        <v>142</v>
      </c>
      <c r="C794" s="99"/>
      <c r="D794" s="9"/>
      <c r="E794" s="99"/>
      <c r="F794" s="9"/>
      <c r="G794" s="99"/>
      <c r="H794" s="9"/>
      <c r="I794" s="99"/>
      <c r="J794" s="9"/>
      <c r="K794" s="99"/>
      <c r="L794" s="9"/>
      <c r="M794" s="99"/>
      <c r="N794" s="9"/>
      <c r="O794" s="99"/>
      <c r="P794" s="9"/>
      <c r="Q794" s="99"/>
      <c r="R794" s="9"/>
      <c r="S794" s="99"/>
      <c r="T794" s="9"/>
      <c r="U794" s="99"/>
      <c r="V794" s="9"/>
      <c r="W794" s="99"/>
      <c r="X794" s="9" t="str">
        <f>IF(ISERROR(W794/O794),"NA",IF(OR(W794/O794&gt;2,W794/O794&lt;0.5),"NM",W794/O794*100-100))</f>
        <v>NA</v>
      </c>
      <c r="Y794" s="99"/>
      <c r="Z794" s="9"/>
      <c r="AA794" s="99"/>
      <c r="AB794" s="9"/>
      <c r="AC794" s="99"/>
      <c r="AD794" s="9"/>
      <c r="AE794" s="99"/>
      <c r="AF794" s="9"/>
      <c r="AG794" s="99"/>
      <c r="AH794" s="9"/>
      <c r="AI794" s="99"/>
      <c r="AJ794" s="9"/>
      <c r="AK794" s="99"/>
      <c r="AL794" s="9"/>
      <c r="AM794" s="99"/>
      <c r="AN794" s="9"/>
      <c r="AO794" s="99"/>
      <c r="AP794" s="9"/>
      <c r="AQ794" s="99"/>
      <c r="AR794" s="9"/>
      <c r="AS794" s="99"/>
      <c r="AT794" s="9"/>
      <c r="AU794" s="99"/>
      <c r="AV794" s="9"/>
      <c r="AW794" s="99"/>
      <c r="AX794" s="9"/>
      <c r="AY794" s="279"/>
      <c r="AZ794" s="15"/>
      <c r="BA794" s="9"/>
      <c r="BB794" s="99"/>
      <c r="BC794" s="9"/>
      <c r="BD794" s="849"/>
      <c r="BE794" s="9"/>
      <c r="BF794" s="99"/>
      <c r="BG794" s="9"/>
      <c r="BH794" s="99"/>
      <c r="BI794" s="9"/>
      <c r="BJ794" s="99"/>
      <c r="BK794" s="9"/>
      <c r="BL794" s="99"/>
      <c r="BM794" s="9"/>
      <c r="BN794" s="99"/>
      <c r="BO794" s="9"/>
      <c r="BP794" s="99"/>
      <c r="BQ794" s="9"/>
      <c r="BR794" s="99"/>
      <c r="BS794" s="9"/>
      <c r="BT794" s="99"/>
      <c r="BU794" s="9"/>
      <c r="BV794" s="722"/>
      <c r="BW794" s="722"/>
      <c r="BX794" s="722"/>
      <c r="BY794"/>
      <c r="BZ794"/>
      <c r="CA794"/>
      <c r="CB794"/>
      <c r="CC794"/>
      <c r="CD794"/>
    </row>
    <row r="795" spans="1:82" s="2" customFormat="1" ht="12.75" hidden="1" customHeight="1" outlineLevel="1" x14ac:dyDescent="0.2">
      <c r="A795" s="42"/>
      <c r="B795" s="42" t="s">
        <v>296</v>
      </c>
      <c r="C795" s="99"/>
      <c r="D795" s="9"/>
      <c r="E795" s="99"/>
      <c r="F795" s="9"/>
      <c r="G795" s="99"/>
      <c r="H795" s="9"/>
      <c r="I795" s="99"/>
      <c r="J795" s="9"/>
      <c r="K795" s="99"/>
      <c r="L795" s="9"/>
      <c r="M795" s="99"/>
      <c r="N795" s="9"/>
      <c r="O795" s="99"/>
      <c r="P795" s="9"/>
      <c r="Q795" s="99"/>
      <c r="R795" s="9"/>
      <c r="S795" s="99"/>
      <c r="T795" s="9"/>
      <c r="U795" s="99"/>
      <c r="V795" s="9"/>
      <c r="W795" s="99"/>
      <c r="X795" s="9" t="str">
        <f>IF(ISERROR(W795/O795),"NA",IF(OR(W795/O795&gt;2,W795/O795&lt;0.5),"NM",W795/O795*100-100))</f>
        <v>NA</v>
      </c>
      <c r="Y795" s="99"/>
      <c r="Z795" s="9"/>
      <c r="AA795" s="99"/>
      <c r="AB795" s="9"/>
      <c r="AC795" s="99"/>
      <c r="AD795" s="9"/>
      <c r="AE795" s="99"/>
      <c r="AF795" s="9"/>
      <c r="AG795" s="99"/>
      <c r="AH795" s="9"/>
      <c r="AI795" s="99"/>
      <c r="AJ795" s="9"/>
      <c r="AK795" s="99"/>
      <c r="AL795" s="9"/>
      <c r="AM795" s="99"/>
      <c r="AN795" s="9"/>
      <c r="AO795" s="99"/>
      <c r="AP795" s="9"/>
      <c r="AQ795" s="99"/>
      <c r="AR795" s="9"/>
      <c r="AS795" s="99"/>
      <c r="AT795" s="9"/>
      <c r="AU795" s="99"/>
      <c r="AV795" s="9"/>
      <c r="AW795" s="99"/>
      <c r="AX795" s="9"/>
      <c r="AY795" s="279"/>
      <c r="AZ795" s="15"/>
      <c r="BA795" s="9"/>
      <c r="BB795" s="99"/>
      <c r="BC795" s="9"/>
      <c r="BD795" s="849"/>
      <c r="BE795" s="9"/>
      <c r="BF795" s="99"/>
      <c r="BG795" s="9"/>
      <c r="BH795" s="99"/>
      <c r="BI795" s="9"/>
      <c r="BJ795" s="99"/>
      <c r="BK795" s="9"/>
      <c r="BL795" s="99"/>
      <c r="BM795" s="9"/>
      <c r="BN795" s="99"/>
      <c r="BO795" s="9"/>
      <c r="BP795" s="99"/>
      <c r="BQ795" s="9"/>
      <c r="BR795" s="99"/>
      <c r="BS795" s="9"/>
      <c r="BT795" s="99"/>
      <c r="BU795" s="9"/>
      <c r="BV795" s="722"/>
      <c r="BW795" s="722"/>
      <c r="BX795" s="722"/>
      <c r="BY795"/>
      <c r="BZ795"/>
      <c r="CA795"/>
      <c r="CB795"/>
      <c r="CC795"/>
      <c r="CD795"/>
    </row>
    <row r="796" spans="1:82" s="2" customFormat="1" ht="12.75" hidden="1" customHeight="1" outlineLevel="1" x14ac:dyDescent="0.2">
      <c r="A796" s="42"/>
      <c r="B796" s="67" t="s">
        <v>197</v>
      </c>
      <c r="C796" s="99"/>
      <c r="D796" s="9"/>
      <c r="E796" s="99"/>
      <c r="F796" s="9"/>
      <c r="G796" s="99"/>
      <c r="H796" s="9"/>
      <c r="I796" s="99"/>
      <c r="J796" s="9"/>
      <c r="K796" s="99"/>
      <c r="L796" s="9"/>
      <c r="M796" s="99"/>
      <c r="N796" s="9"/>
      <c r="O796" s="99"/>
      <c r="P796" s="9"/>
      <c r="Q796" s="99"/>
      <c r="R796" s="9"/>
      <c r="S796" s="99"/>
      <c r="T796" s="9"/>
      <c r="U796" s="99"/>
      <c r="V796" s="9"/>
      <c r="W796" s="99"/>
      <c r="X796" s="9" t="str">
        <f>IF(ISERROR(W796/O796),"NA",IF(OR(W796/O796&gt;2,W796/O796&lt;0.5),"NM",W796/O796*100-100))</f>
        <v>NA</v>
      </c>
      <c r="Y796" s="99"/>
      <c r="Z796" s="9"/>
      <c r="AA796" s="99"/>
      <c r="AB796" s="9"/>
      <c r="AC796" s="99"/>
      <c r="AD796" s="9"/>
      <c r="AE796" s="99"/>
      <c r="AF796" s="9"/>
      <c r="AG796" s="99"/>
      <c r="AH796" s="9"/>
      <c r="AI796" s="99"/>
      <c r="AJ796" s="9"/>
      <c r="AK796" s="99"/>
      <c r="AL796" s="9"/>
      <c r="AM796" s="99"/>
      <c r="AN796" s="9"/>
      <c r="AO796" s="99"/>
      <c r="AP796" s="9"/>
      <c r="AQ796" s="99"/>
      <c r="AR796" s="9"/>
      <c r="AS796" s="99"/>
      <c r="AT796" s="9"/>
      <c r="AU796" s="99"/>
      <c r="AV796" s="9"/>
      <c r="AW796" s="99"/>
      <c r="AX796" s="9"/>
      <c r="AY796" s="279"/>
      <c r="AZ796" s="15"/>
      <c r="BA796" s="9"/>
      <c r="BB796" s="99"/>
      <c r="BC796" s="9"/>
      <c r="BD796" s="849"/>
      <c r="BE796" s="9"/>
      <c r="BF796" s="99"/>
      <c r="BG796" s="9"/>
      <c r="BH796" s="99"/>
      <c r="BI796" s="9"/>
      <c r="BJ796" s="99"/>
      <c r="BK796" s="9"/>
      <c r="BL796" s="99"/>
      <c r="BM796" s="9"/>
      <c r="BN796" s="99"/>
      <c r="BO796" s="9"/>
      <c r="BP796" s="99"/>
      <c r="BQ796" s="9"/>
      <c r="BR796" s="99"/>
      <c r="BS796" s="9"/>
      <c r="BT796" s="99"/>
      <c r="BU796" s="9"/>
      <c r="BV796" s="722"/>
      <c r="BW796" s="722"/>
      <c r="BX796" s="722"/>
      <c r="BY796"/>
      <c r="BZ796"/>
      <c r="CA796"/>
      <c r="CB796"/>
      <c r="CC796"/>
      <c r="CD796"/>
    </row>
    <row r="797" spans="1:82" s="2" customFormat="1" ht="12.75" hidden="1" customHeight="1" outlineLevel="1" x14ac:dyDescent="0.2">
      <c r="A797" s="42"/>
      <c r="B797" s="42"/>
      <c r="C797" s="15"/>
      <c r="D797" s="40"/>
      <c r="E797" s="15"/>
      <c r="F797" s="40"/>
      <c r="G797" s="15"/>
      <c r="H797" s="40"/>
      <c r="I797" s="15"/>
      <c r="J797" s="40"/>
      <c r="K797" s="15"/>
      <c r="L797" s="40"/>
      <c r="M797" s="15"/>
      <c r="N797" s="40"/>
      <c r="O797" s="15"/>
      <c r="P797" s="40"/>
      <c r="Q797" s="15"/>
      <c r="R797" s="40"/>
      <c r="S797" s="15"/>
      <c r="T797" s="40"/>
      <c r="U797" s="15"/>
      <c r="V797" s="40"/>
      <c r="W797" s="15"/>
      <c r="X797" s="40"/>
      <c r="Y797" s="15"/>
      <c r="Z797" s="40"/>
      <c r="AA797" s="15"/>
      <c r="AB797" s="40"/>
      <c r="AC797" s="15"/>
      <c r="AD797" s="40"/>
      <c r="AE797" s="15"/>
      <c r="AF797" s="40"/>
      <c r="AG797" s="15"/>
      <c r="AH797" s="40"/>
      <c r="AI797" s="15"/>
      <c r="AJ797" s="40"/>
      <c r="AK797" s="15"/>
      <c r="AL797" s="40"/>
      <c r="AM797" s="15"/>
      <c r="AN797" s="40"/>
      <c r="AO797" s="15"/>
      <c r="AP797" s="40"/>
      <c r="AQ797" s="15"/>
      <c r="AR797" s="40"/>
      <c r="AS797" s="15"/>
      <c r="AT797" s="40"/>
      <c r="AU797" s="15"/>
      <c r="AV797" s="40"/>
      <c r="AW797" s="15"/>
      <c r="AX797" s="40"/>
      <c r="AY797" s="279"/>
      <c r="AZ797" s="15"/>
      <c r="BA797" s="40"/>
      <c r="BB797" s="15"/>
      <c r="BC797" s="40"/>
      <c r="BD797" s="924"/>
      <c r="BE797" s="40"/>
      <c r="BF797" s="15"/>
      <c r="BG797" s="40"/>
      <c r="BH797" s="15"/>
      <c r="BI797" s="40"/>
      <c r="BJ797" s="15"/>
      <c r="BK797" s="40"/>
      <c r="BL797" s="15"/>
      <c r="BM797" s="40"/>
      <c r="BN797" s="15"/>
      <c r="BO797" s="40"/>
      <c r="BP797" s="15"/>
      <c r="BQ797" s="40"/>
      <c r="BR797" s="15"/>
      <c r="BS797" s="40"/>
      <c r="BT797" s="15"/>
      <c r="BU797" s="40"/>
      <c r="BV797" s="722"/>
      <c r="BW797" s="722"/>
      <c r="BX797" s="722"/>
      <c r="BY797"/>
      <c r="BZ797"/>
      <c r="CA797"/>
      <c r="CB797"/>
      <c r="CC797"/>
      <c r="CD797"/>
    </row>
    <row r="798" spans="1:82" s="2" customFormat="1" ht="12.75" hidden="1" customHeight="1" outlineLevel="1" x14ac:dyDescent="0.2">
      <c r="A798" s="41"/>
      <c r="B798" s="80">
        <f>+B749</f>
        <v>0</v>
      </c>
      <c r="C798" s="15"/>
      <c r="D798" s="40"/>
      <c r="E798" s="15"/>
      <c r="F798" s="40"/>
      <c r="G798" s="15"/>
      <c r="H798" s="40"/>
      <c r="I798" s="15"/>
      <c r="J798" s="40"/>
      <c r="K798" s="15"/>
      <c r="L798" s="40"/>
      <c r="M798" s="15"/>
      <c r="N798" s="40"/>
      <c r="O798" s="15"/>
      <c r="P798" s="40"/>
      <c r="Q798" s="15"/>
      <c r="R798" s="40"/>
      <c r="S798" s="15"/>
      <c r="T798" s="40"/>
      <c r="U798" s="15"/>
      <c r="V798" s="40"/>
      <c r="W798" s="15"/>
      <c r="X798" s="40"/>
      <c r="Y798" s="15"/>
      <c r="Z798" s="40"/>
      <c r="AA798" s="15"/>
      <c r="AB798" s="40"/>
      <c r="AC798" s="15"/>
      <c r="AD798" s="40"/>
      <c r="AE798" s="15"/>
      <c r="AF798" s="40"/>
      <c r="AG798" s="15"/>
      <c r="AH798" s="40"/>
      <c r="AI798" s="15"/>
      <c r="AJ798" s="40"/>
      <c r="AK798" s="15"/>
      <c r="AL798" s="40"/>
      <c r="AM798" s="15"/>
      <c r="AN798" s="40"/>
      <c r="AO798" s="15"/>
      <c r="AP798" s="40"/>
      <c r="AQ798" s="15"/>
      <c r="AR798" s="40"/>
      <c r="AS798" s="15"/>
      <c r="AT798" s="40"/>
      <c r="AU798" s="15"/>
      <c r="AV798" s="40"/>
      <c r="AW798" s="15"/>
      <c r="AX798" s="40"/>
      <c r="AY798" s="279"/>
      <c r="AZ798" s="15"/>
      <c r="BA798" s="40"/>
      <c r="BB798" s="15"/>
      <c r="BC798" s="40"/>
      <c r="BD798" s="924"/>
      <c r="BE798" s="40"/>
      <c r="BF798" s="15"/>
      <c r="BG798" s="40"/>
      <c r="BH798" s="15"/>
      <c r="BI798" s="40"/>
      <c r="BJ798" s="15"/>
      <c r="BK798" s="40"/>
      <c r="BL798" s="15"/>
      <c r="BM798" s="40"/>
      <c r="BN798" s="15"/>
      <c r="BO798" s="40"/>
      <c r="BP798" s="15"/>
      <c r="BQ798" s="40"/>
      <c r="BR798" s="15"/>
      <c r="BS798" s="40"/>
      <c r="BT798" s="15"/>
      <c r="BU798" s="40"/>
      <c r="BV798" s="722"/>
      <c r="BW798" s="722"/>
      <c r="BX798" s="722"/>
      <c r="BY798"/>
      <c r="BZ798"/>
      <c r="CA798"/>
      <c r="CB798"/>
      <c r="CC798"/>
      <c r="CD798"/>
    </row>
    <row r="799" spans="1:82" s="2" customFormat="1" ht="12.75" hidden="1" customHeight="1" outlineLevel="1" x14ac:dyDescent="0.2">
      <c r="A799" s="42"/>
      <c r="B799" s="42" t="s">
        <v>464</v>
      </c>
      <c r="C799" s="99"/>
      <c r="D799" s="9"/>
      <c r="E799" s="99"/>
      <c r="F799" s="9"/>
      <c r="G799" s="99"/>
      <c r="H799" s="9"/>
      <c r="I799" s="99"/>
      <c r="J799" s="9"/>
      <c r="K799" s="99"/>
      <c r="L799" s="9"/>
      <c r="M799" s="99"/>
      <c r="N799" s="9"/>
      <c r="O799" s="99"/>
      <c r="P799" s="9"/>
      <c r="Q799" s="99"/>
      <c r="R799" s="9"/>
      <c r="S799" s="99"/>
      <c r="T799" s="9"/>
      <c r="U799" s="99"/>
      <c r="V799" s="9"/>
      <c r="W799" s="99"/>
      <c r="X799" s="9" t="str">
        <f>IF(ISERROR(W799/O799),"NA",IF(OR(W799/O799&gt;2,W799/O799&lt;0.5),"NM",W799/O799*100-100))</f>
        <v>NA</v>
      </c>
      <c r="Y799" s="99"/>
      <c r="Z799" s="9"/>
      <c r="AA799" s="99"/>
      <c r="AB799" s="9"/>
      <c r="AC799" s="99"/>
      <c r="AD799" s="9"/>
      <c r="AE799" s="99"/>
      <c r="AF799" s="9"/>
      <c r="AG799" s="99"/>
      <c r="AH799" s="9"/>
      <c r="AI799" s="99"/>
      <c r="AJ799" s="9"/>
      <c r="AK799" s="99"/>
      <c r="AL799" s="9"/>
      <c r="AM799" s="99"/>
      <c r="AN799" s="9"/>
      <c r="AO799" s="99"/>
      <c r="AP799" s="9"/>
      <c r="AQ799" s="99"/>
      <c r="AR799" s="9"/>
      <c r="AS799" s="99"/>
      <c r="AT799" s="9"/>
      <c r="AU799" s="99"/>
      <c r="AV799" s="9"/>
      <c r="AW799" s="99"/>
      <c r="AX799" s="9"/>
      <c r="AY799" s="279"/>
      <c r="AZ799" s="15"/>
      <c r="BA799" s="9"/>
      <c r="BB799" s="99"/>
      <c r="BC799" s="9"/>
      <c r="BD799" s="849"/>
      <c r="BE799" s="9"/>
      <c r="BF799" s="99"/>
      <c r="BG799" s="9"/>
      <c r="BH799" s="99"/>
      <c r="BI799" s="9"/>
      <c r="BJ799" s="99"/>
      <c r="BK799" s="9"/>
      <c r="BL799" s="99"/>
      <c r="BM799" s="9"/>
      <c r="BN799" s="99"/>
      <c r="BO799" s="9"/>
      <c r="BP799" s="99"/>
      <c r="BQ799" s="9"/>
      <c r="BR799" s="99"/>
      <c r="BS799" s="9"/>
      <c r="BT799" s="99"/>
      <c r="BU799" s="9"/>
      <c r="BV799" s="722"/>
      <c r="BW799" s="722"/>
      <c r="BX799" s="722"/>
      <c r="BY799"/>
      <c r="BZ799"/>
      <c r="CA799"/>
      <c r="CB799"/>
      <c r="CC799"/>
      <c r="CD799"/>
    </row>
    <row r="800" spans="1:82" s="2" customFormat="1" ht="12.75" hidden="1" customHeight="1" outlineLevel="1" x14ac:dyDescent="0.2">
      <c r="A800" s="42"/>
      <c r="B800" s="42"/>
      <c r="C800" s="15"/>
      <c r="D800" s="40"/>
      <c r="E800" s="15"/>
      <c r="F800" s="40"/>
      <c r="G800" s="15"/>
      <c r="H800" s="40"/>
      <c r="I800" s="15"/>
      <c r="J800" s="40"/>
      <c r="K800" s="15"/>
      <c r="L800" s="40"/>
      <c r="M800" s="15"/>
      <c r="N800" s="40"/>
      <c r="O800" s="15"/>
      <c r="P800" s="40"/>
      <c r="Q800" s="15"/>
      <c r="R800" s="40"/>
      <c r="S800" s="15"/>
      <c r="T800" s="40"/>
      <c r="U800" s="15"/>
      <c r="V800" s="40"/>
      <c r="W800" s="15"/>
      <c r="X800" s="40"/>
      <c r="Y800" s="15"/>
      <c r="Z800" s="40"/>
      <c r="AA800" s="15"/>
      <c r="AB800" s="40"/>
      <c r="AC800" s="15"/>
      <c r="AD800" s="40"/>
      <c r="AE800" s="15"/>
      <c r="AF800" s="40"/>
      <c r="AG800" s="15"/>
      <c r="AH800" s="40"/>
      <c r="AI800" s="15"/>
      <c r="AJ800" s="40"/>
      <c r="AK800" s="15"/>
      <c r="AL800" s="40"/>
      <c r="AM800" s="15"/>
      <c r="AN800" s="40"/>
      <c r="AO800" s="15"/>
      <c r="AP800" s="40"/>
      <c r="AQ800" s="15"/>
      <c r="AR800" s="40"/>
      <c r="AS800" s="15"/>
      <c r="AT800" s="40"/>
      <c r="AU800" s="15"/>
      <c r="AV800" s="40"/>
      <c r="AW800" s="15"/>
      <c r="AX800" s="40"/>
      <c r="AY800" s="279"/>
      <c r="AZ800" s="15"/>
      <c r="BA800" s="40"/>
      <c r="BB800" s="15"/>
      <c r="BC800" s="40"/>
      <c r="BD800" s="924"/>
      <c r="BE800" s="40"/>
      <c r="BF800" s="15"/>
      <c r="BG800" s="40"/>
      <c r="BH800" s="15"/>
      <c r="BI800" s="40"/>
      <c r="BJ800" s="15"/>
      <c r="BK800" s="40"/>
      <c r="BL800" s="15"/>
      <c r="BM800" s="40"/>
      <c r="BN800" s="15"/>
      <c r="BO800" s="40"/>
      <c r="BP800" s="15"/>
      <c r="BQ800" s="40"/>
      <c r="BR800" s="15"/>
      <c r="BS800" s="40"/>
      <c r="BT800" s="15"/>
      <c r="BU800" s="40"/>
      <c r="BV800" s="722"/>
      <c r="BW800" s="722"/>
      <c r="BX800" s="722"/>
      <c r="BY800"/>
      <c r="BZ800"/>
      <c r="CA800"/>
      <c r="CB800"/>
      <c r="CC800"/>
      <c r="CD800"/>
    </row>
    <row r="801" spans="1:82" s="2" customFormat="1" ht="12.75" hidden="1" customHeight="1" outlineLevel="1" x14ac:dyDescent="0.2">
      <c r="A801" s="41"/>
      <c r="B801" s="80">
        <f>+B770</f>
        <v>0</v>
      </c>
      <c r="C801" s="15"/>
      <c r="D801" s="40"/>
      <c r="E801" s="15"/>
      <c r="F801" s="40"/>
      <c r="G801" s="15"/>
      <c r="H801" s="40"/>
      <c r="I801" s="15"/>
      <c r="J801" s="40"/>
      <c r="K801" s="15"/>
      <c r="L801" s="40"/>
      <c r="M801" s="15"/>
      <c r="N801" s="40"/>
      <c r="O801" s="15"/>
      <c r="P801" s="40"/>
      <c r="Q801" s="15"/>
      <c r="R801" s="40"/>
      <c r="S801" s="15"/>
      <c r="T801" s="40"/>
      <c r="U801" s="15"/>
      <c r="V801" s="40"/>
      <c r="W801" s="15"/>
      <c r="X801" s="40"/>
      <c r="Y801" s="15"/>
      <c r="Z801" s="40"/>
      <c r="AA801" s="15"/>
      <c r="AB801" s="40"/>
      <c r="AC801" s="15"/>
      <c r="AD801" s="40"/>
      <c r="AE801" s="15"/>
      <c r="AF801" s="40"/>
      <c r="AG801" s="15"/>
      <c r="AH801" s="40"/>
      <c r="AI801" s="15"/>
      <c r="AJ801" s="40"/>
      <c r="AK801" s="15"/>
      <c r="AL801" s="40"/>
      <c r="AM801" s="15"/>
      <c r="AN801" s="40"/>
      <c r="AO801" s="15"/>
      <c r="AP801" s="40"/>
      <c r="AQ801" s="15"/>
      <c r="AR801" s="40"/>
      <c r="AS801" s="15"/>
      <c r="AT801" s="40"/>
      <c r="AU801" s="15"/>
      <c r="AV801" s="40"/>
      <c r="AW801" s="15"/>
      <c r="AX801" s="40"/>
      <c r="AY801" s="279"/>
      <c r="AZ801" s="15"/>
      <c r="BA801" s="40"/>
      <c r="BB801" s="15"/>
      <c r="BC801" s="40"/>
      <c r="BD801" s="924"/>
      <c r="BE801" s="40"/>
      <c r="BF801" s="15"/>
      <c r="BG801" s="40"/>
      <c r="BH801" s="15"/>
      <c r="BI801" s="40"/>
      <c r="BJ801" s="15"/>
      <c r="BK801" s="40"/>
      <c r="BL801" s="15"/>
      <c r="BM801" s="40"/>
      <c r="BN801" s="15"/>
      <c r="BO801" s="40"/>
      <c r="BP801" s="15"/>
      <c r="BQ801" s="40"/>
      <c r="BR801" s="15"/>
      <c r="BS801" s="40"/>
      <c r="BT801" s="15"/>
      <c r="BU801" s="40"/>
      <c r="BV801" s="722"/>
      <c r="BW801" s="722"/>
      <c r="BX801" s="722"/>
      <c r="BY801"/>
      <c r="BZ801"/>
      <c r="CA801"/>
      <c r="CB801"/>
      <c r="CC801"/>
      <c r="CD801"/>
    </row>
    <row r="802" spans="1:82" s="2" customFormat="1" ht="12.75" hidden="1" customHeight="1" outlineLevel="1" x14ac:dyDescent="0.2">
      <c r="A802" s="42" t="s">
        <v>20</v>
      </c>
      <c r="B802" s="42" t="s">
        <v>323</v>
      </c>
      <c r="C802" s="15"/>
      <c r="D802" s="100"/>
      <c r="E802" s="15"/>
      <c r="F802" s="100"/>
      <c r="G802" s="15"/>
      <c r="H802" s="100"/>
      <c r="I802" s="15"/>
      <c r="J802" s="100"/>
      <c r="K802" s="15"/>
      <c r="L802" s="100"/>
      <c r="M802" s="15"/>
      <c r="N802" s="100"/>
      <c r="O802" s="15"/>
      <c r="P802" s="100"/>
      <c r="Q802" s="15"/>
      <c r="R802" s="100"/>
      <c r="S802" s="15"/>
      <c r="T802" s="100"/>
      <c r="U802" s="15"/>
      <c r="V802" s="100"/>
      <c r="W802" s="15"/>
      <c r="X802" s="100" t="str">
        <f>IF(ISERROR(W802/O802),"NA",IF(OR(W802/O802&gt;2,W802/O802&lt;0.5),"NM",W802/O802*100-100))</f>
        <v>NA</v>
      </c>
      <c r="Y802" s="15"/>
      <c r="Z802" s="100"/>
      <c r="AA802" s="15"/>
      <c r="AB802" s="100"/>
      <c r="AC802" s="15"/>
      <c r="AD802" s="100"/>
      <c r="AE802" s="15"/>
      <c r="AF802" s="100"/>
      <c r="AG802" s="15"/>
      <c r="AH802" s="100"/>
      <c r="AI802" s="15"/>
      <c r="AJ802" s="100"/>
      <c r="AK802" s="15"/>
      <c r="AL802" s="100"/>
      <c r="AM802" s="15"/>
      <c r="AN802" s="100"/>
      <c r="AO802" s="15"/>
      <c r="AP802" s="100"/>
      <c r="AQ802" s="15"/>
      <c r="AR802" s="100"/>
      <c r="AS802" s="15"/>
      <c r="AT802" s="100"/>
      <c r="AU802" s="15"/>
      <c r="AV802" s="100"/>
      <c r="AW802" s="15"/>
      <c r="AX802" s="100"/>
      <c r="AY802" s="279"/>
      <c r="AZ802" s="15"/>
      <c r="BA802" s="100"/>
      <c r="BB802" s="15"/>
      <c r="BC802" s="100"/>
      <c r="BD802" s="924"/>
      <c r="BE802" s="100"/>
      <c r="BF802" s="15"/>
      <c r="BG802" s="100"/>
      <c r="BH802" s="15"/>
      <c r="BI802" s="100"/>
      <c r="BJ802" s="15"/>
      <c r="BK802" s="100"/>
      <c r="BL802" s="15"/>
      <c r="BM802" s="100"/>
      <c r="BN802" s="15"/>
      <c r="BO802" s="100"/>
      <c r="BP802" s="15"/>
      <c r="BQ802" s="100"/>
      <c r="BR802" s="15"/>
      <c r="BS802" s="100"/>
      <c r="BT802" s="15"/>
      <c r="BU802" s="100"/>
      <c r="BV802" s="722"/>
      <c r="BW802" s="722"/>
      <c r="BX802" s="722"/>
      <c r="BY802"/>
      <c r="BZ802"/>
      <c r="CA802"/>
      <c r="CB802"/>
      <c r="CC802"/>
      <c r="CD802"/>
    </row>
    <row r="803" spans="1:82" s="2" customFormat="1" ht="12.75" hidden="1" customHeight="1" outlineLevel="1" x14ac:dyDescent="0.2">
      <c r="A803" s="42"/>
      <c r="B803" s="42" t="s">
        <v>443</v>
      </c>
      <c r="C803" s="15"/>
      <c r="D803" s="100"/>
      <c r="E803" s="15"/>
      <c r="F803" s="100"/>
      <c r="G803" s="15"/>
      <c r="H803" s="100"/>
      <c r="I803" s="15"/>
      <c r="J803" s="100"/>
      <c r="K803" s="15"/>
      <c r="L803" s="100"/>
      <c r="M803" s="15"/>
      <c r="N803" s="100"/>
      <c r="O803" s="15"/>
      <c r="P803" s="100"/>
      <c r="Q803" s="15"/>
      <c r="R803" s="100"/>
      <c r="S803" s="15"/>
      <c r="T803" s="100"/>
      <c r="U803" s="15"/>
      <c r="V803" s="100"/>
      <c r="W803" s="15"/>
      <c r="X803" s="100" t="str">
        <f>IF(ISERROR(W803/O803),"NA",IF(OR(W803/O803&gt;2,W803/O803&lt;0.5),"NM",W803/O803*100-100))</f>
        <v>NA</v>
      </c>
      <c r="Y803" s="15"/>
      <c r="Z803" s="100"/>
      <c r="AA803" s="15"/>
      <c r="AB803" s="100"/>
      <c r="AC803" s="15"/>
      <c r="AD803" s="100"/>
      <c r="AE803" s="15"/>
      <c r="AF803" s="100"/>
      <c r="AG803" s="15"/>
      <c r="AH803" s="100"/>
      <c r="AI803" s="15"/>
      <c r="AJ803" s="100"/>
      <c r="AK803" s="15"/>
      <c r="AL803" s="100"/>
      <c r="AM803" s="15"/>
      <c r="AN803" s="100"/>
      <c r="AO803" s="15"/>
      <c r="AP803" s="100"/>
      <c r="AQ803" s="15"/>
      <c r="AR803" s="100"/>
      <c r="AS803" s="15"/>
      <c r="AT803" s="100"/>
      <c r="AU803" s="15"/>
      <c r="AV803" s="100"/>
      <c r="AW803" s="15"/>
      <c r="AX803" s="100"/>
      <c r="AY803" s="279"/>
      <c r="AZ803" s="15"/>
      <c r="BA803" s="100"/>
      <c r="BB803" s="15"/>
      <c r="BC803" s="100"/>
      <c r="BD803" s="924"/>
      <c r="BE803" s="100"/>
      <c r="BF803" s="15"/>
      <c r="BG803" s="100"/>
      <c r="BH803" s="15"/>
      <c r="BI803" s="100"/>
      <c r="BJ803" s="15"/>
      <c r="BK803" s="100"/>
      <c r="BL803" s="15"/>
      <c r="BM803" s="100"/>
      <c r="BN803" s="15"/>
      <c r="BO803" s="100"/>
      <c r="BP803" s="15"/>
      <c r="BQ803" s="100"/>
      <c r="BR803" s="15"/>
      <c r="BS803" s="100"/>
      <c r="BT803" s="15"/>
      <c r="BU803" s="100"/>
      <c r="BV803" s="722"/>
      <c r="BW803" s="722"/>
      <c r="BX803" s="722"/>
      <c r="BY803"/>
      <c r="BZ803"/>
      <c r="CA803"/>
      <c r="CB803"/>
      <c r="CC803"/>
      <c r="CD803"/>
    </row>
    <row r="804" spans="1:82" s="2" customFormat="1" ht="12.75" hidden="1" customHeight="1" outlineLevel="1" x14ac:dyDescent="0.2">
      <c r="A804" s="42"/>
      <c r="B804" s="42" t="s">
        <v>42</v>
      </c>
      <c r="C804" s="15"/>
      <c r="D804" s="100"/>
      <c r="E804" s="15"/>
      <c r="F804" s="100"/>
      <c r="G804" s="15"/>
      <c r="H804" s="100"/>
      <c r="I804" s="15"/>
      <c r="J804" s="100"/>
      <c r="K804" s="15"/>
      <c r="L804" s="100"/>
      <c r="M804" s="15"/>
      <c r="N804" s="100"/>
      <c r="O804" s="15"/>
      <c r="P804" s="100"/>
      <c r="Q804" s="15"/>
      <c r="R804" s="100"/>
      <c r="S804" s="15"/>
      <c r="T804" s="100"/>
      <c r="U804" s="15"/>
      <c r="V804" s="100"/>
      <c r="W804" s="15"/>
      <c r="X804" s="100" t="str">
        <f>IF(ISERROR(W804/O804),"NA",IF(OR(W804/O804&gt;2,W804/O804&lt;0.5),"NM",W804/O804*100-100))</f>
        <v>NA</v>
      </c>
      <c r="Y804" s="15"/>
      <c r="Z804" s="100"/>
      <c r="AA804" s="15"/>
      <c r="AB804" s="100"/>
      <c r="AC804" s="15"/>
      <c r="AD804" s="100"/>
      <c r="AE804" s="15"/>
      <c r="AF804" s="100"/>
      <c r="AG804" s="15"/>
      <c r="AH804" s="100"/>
      <c r="AI804" s="15"/>
      <c r="AJ804" s="100"/>
      <c r="AK804" s="15"/>
      <c r="AL804" s="100"/>
      <c r="AM804" s="15"/>
      <c r="AN804" s="100"/>
      <c r="AO804" s="15"/>
      <c r="AP804" s="100"/>
      <c r="AQ804" s="15"/>
      <c r="AR804" s="100"/>
      <c r="AS804" s="15"/>
      <c r="AT804" s="100"/>
      <c r="AU804" s="15"/>
      <c r="AV804" s="100"/>
      <c r="AW804" s="15"/>
      <c r="AX804" s="100"/>
      <c r="AY804" s="279"/>
      <c r="AZ804" s="15"/>
      <c r="BA804" s="100"/>
      <c r="BB804" s="15"/>
      <c r="BC804" s="100"/>
      <c r="BD804" s="924"/>
      <c r="BE804" s="100"/>
      <c r="BF804" s="15"/>
      <c r="BG804" s="100"/>
      <c r="BH804" s="15"/>
      <c r="BI804" s="100"/>
      <c r="BJ804" s="15"/>
      <c r="BK804" s="100"/>
      <c r="BL804" s="15"/>
      <c r="BM804" s="100"/>
      <c r="BN804" s="15"/>
      <c r="BO804" s="100"/>
      <c r="BP804" s="15"/>
      <c r="BQ804" s="100"/>
      <c r="BR804" s="15"/>
      <c r="BS804" s="100"/>
      <c r="BT804" s="15"/>
      <c r="BU804" s="100"/>
      <c r="BV804" s="722"/>
      <c r="BW804" s="722"/>
      <c r="BX804" s="722"/>
      <c r="BY804"/>
      <c r="BZ804"/>
      <c r="CA804"/>
      <c r="CB804"/>
      <c r="CC804"/>
      <c r="CD804"/>
    </row>
    <row r="805" spans="1:82" s="2" customFormat="1" ht="12.75" hidden="1" customHeight="1" outlineLevel="1" x14ac:dyDescent="0.2">
      <c r="A805" s="42"/>
      <c r="B805" s="42"/>
      <c r="C805" s="15"/>
      <c r="D805" s="9"/>
      <c r="E805" s="15"/>
      <c r="F805" s="9"/>
      <c r="G805" s="15"/>
      <c r="H805" s="9"/>
      <c r="I805" s="15"/>
      <c r="J805" s="9"/>
      <c r="K805" s="15"/>
      <c r="L805" s="9"/>
      <c r="M805" s="15"/>
      <c r="N805" s="9"/>
      <c r="O805" s="15"/>
      <c r="P805" s="9"/>
      <c r="Q805" s="15"/>
      <c r="R805" s="9"/>
      <c r="S805" s="15"/>
      <c r="T805" s="9"/>
      <c r="U805" s="15"/>
      <c r="V805" s="9"/>
      <c r="W805" s="15"/>
      <c r="X805" s="9"/>
      <c r="Y805" s="15"/>
      <c r="Z805" s="9"/>
      <c r="AA805" s="15"/>
      <c r="AB805" s="9"/>
      <c r="AC805" s="15"/>
      <c r="AD805" s="9"/>
      <c r="AE805" s="15"/>
      <c r="AF805" s="9"/>
      <c r="AG805" s="15"/>
      <c r="AH805" s="9"/>
      <c r="AI805" s="15"/>
      <c r="AJ805" s="9"/>
      <c r="AK805" s="15"/>
      <c r="AL805" s="9"/>
      <c r="AM805" s="15"/>
      <c r="AN805" s="9"/>
      <c r="AO805" s="15"/>
      <c r="AP805" s="9"/>
      <c r="AQ805" s="15"/>
      <c r="AR805" s="9"/>
      <c r="AS805" s="15"/>
      <c r="AT805" s="9"/>
      <c r="AU805" s="15"/>
      <c r="AV805" s="9"/>
      <c r="AW805" s="15"/>
      <c r="AX805" s="9"/>
      <c r="AY805" s="279"/>
      <c r="AZ805" s="15"/>
      <c r="BA805" s="9"/>
      <c r="BB805" s="15"/>
      <c r="BC805" s="9"/>
      <c r="BD805" s="924"/>
      <c r="BE805" s="9"/>
      <c r="BF805" s="15"/>
      <c r="BG805" s="9"/>
      <c r="BH805" s="15"/>
      <c r="BI805" s="9"/>
      <c r="BJ805" s="15"/>
      <c r="BK805" s="9"/>
      <c r="BL805" s="15"/>
      <c r="BM805" s="9"/>
      <c r="BN805" s="15"/>
      <c r="BO805" s="9"/>
      <c r="BP805" s="15"/>
      <c r="BQ805" s="9"/>
      <c r="BR805" s="15"/>
      <c r="BS805" s="9"/>
      <c r="BT805" s="15"/>
      <c r="BU805" s="9"/>
      <c r="BV805" s="722"/>
      <c r="BW805" s="722"/>
      <c r="BX805" s="722"/>
      <c r="BY805"/>
      <c r="BZ805"/>
      <c r="CA805"/>
      <c r="CB805"/>
      <c r="CC805"/>
      <c r="CD805"/>
    </row>
    <row r="806" spans="1:82" s="2" customFormat="1" ht="12.75" hidden="1" customHeight="1" outlineLevel="1" x14ac:dyDescent="0.2">
      <c r="A806" s="42"/>
      <c r="B806" s="5" t="s">
        <v>55</v>
      </c>
      <c r="C806" s="725"/>
      <c r="D806" s="9"/>
      <c r="E806" s="725"/>
      <c r="F806" s="9"/>
      <c r="G806" s="725"/>
      <c r="H806" s="9"/>
      <c r="I806" s="725"/>
      <c r="J806" s="9"/>
      <c r="K806" s="725"/>
      <c r="L806" s="9"/>
      <c r="M806" s="725"/>
      <c r="N806" s="9"/>
      <c r="O806" s="725"/>
      <c r="P806" s="9"/>
      <c r="Q806" s="725"/>
      <c r="R806" s="9"/>
      <c r="S806" s="725"/>
      <c r="T806" s="9"/>
      <c r="U806" s="725"/>
      <c r="V806" s="9"/>
      <c r="W806" s="725"/>
      <c r="X806" s="9" t="str">
        <f>IF(ISERROR(W806/O806),"NA",IF(OR(W806/O806&gt;2,W806/O806&lt;0.5),"NM",W806/O806*100-100))</f>
        <v>NA</v>
      </c>
      <c r="Y806" s="725"/>
      <c r="Z806" s="9"/>
      <c r="AA806" s="725"/>
      <c r="AB806" s="9"/>
      <c r="AC806" s="725"/>
      <c r="AD806" s="9"/>
      <c r="AE806" s="725"/>
      <c r="AF806" s="9"/>
      <c r="AG806" s="725"/>
      <c r="AH806" s="9"/>
      <c r="AI806" s="725"/>
      <c r="AJ806" s="9"/>
      <c r="AK806" s="725"/>
      <c r="AL806" s="9"/>
      <c r="AM806" s="725"/>
      <c r="AN806" s="9"/>
      <c r="AO806" s="725"/>
      <c r="AP806" s="9"/>
      <c r="AQ806" s="725"/>
      <c r="AR806" s="9"/>
      <c r="AS806" s="725"/>
      <c r="AT806" s="9"/>
      <c r="AU806" s="725"/>
      <c r="AV806" s="9"/>
      <c r="AW806" s="725"/>
      <c r="AX806" s="9"/>
      <c r="AY806" s="279"/>
      <c r="AZ806" s="15"/>
      <c r="BA806" s="9"/>
      <c r="BB806" s="725"/>
      <c r="BC806" s="9"/>
      <c r="BD806" s="961"/>
      <c r="BE806" s="9"/>
      <c r="BF806" s="725"/>
      <c r="BG806" s="9"/>
      <c r="BH806" s="725"/>
      <c r="BI806" s="9"/>
      <c r="BJ806" s="725"/>
      <c r="BK806" s="9"/>
      <c r="BL806" s="725"/>
      <c r="BM806" s="9"/>
      <c r="BN806" s="725"/>
      <c r="BO806" s="9"/>
      <c r="BP806" s="725"/>
      <c r="BQ806" s="9"/>
      <c r="BR806" s="725"/>
      <c r="BS806" s="9"/>
      <c r="BT806" s="725"/>
      <c r="BU806" s="9"/>
      <c r="BV806" s="722"/>
      <c r="BW806" s="722"/>
      <c r="BX806" s="722"/>
      <c r="BY806"/>
      <c r="BZ806"/>
      <c r="CA806"/>
      <c r="CB806"/>
      <c r="CC806"/>
      <c r="CD806"/>
    </row>
    <row r="807" spans="1:82" s="2" customFormat="1" ht="12.75" hidden="1" customHeight="1" outlineLevel="1" x14ac:dyDescent="0.2">
      <c r="A807" s="42"/>
      <c r="B807" s="5" t="s">
        <v>56</v>
      </c>
      <c r="C807" s="725"/>
      <c r="D807" s="9"/>
      <c r="E807" s="725"/>
      <c r="F807" s="9"/>
      <c r="G807" s="725"/>
      <c r="H807" s="9"/>
      <c r="I807" s="725"/>
      <c r="J807" s="9"/>
      <c r="K807" s="725"/>
      <c r="L807" s="9"/>
      <c r="M807" s="725"/>
      <c r="N807" s="9"/>
      <c r="O807" s="725"/>
      <c r="P807" s="9"/>
      <c r="Q807" s="725"/>
      <c r="R807" s="9"/>
      <c r="S807" s="725"/>
      <c r="T807" s="9"/>
      <c r="U807" s="725"/>
      <c r="V807" s="9"/>
      <c r="W807" s="725"/>
      <c r="X807" s="9" t="str">
        <f>IF(ISERROR(W807/O807),"NA",IF(OR(W807/O807&gt;2,W807/O807&lt;0.5),"NM",W807/O807*100-100))</f>
        <v>NA</v>
      </c>
      <c r="Y807" s="725"/>
      <c r="Z807" s="9"/>
      <c r="AA807" s="725"/>
      <c r="AB807" s="9"/>
      <c r="AC807" s="725"/>
      <c r="AD807" s="9"/>
      <c r="AE807" s="725"/>
      <c r="AF807" s="9"/>
      <c r="AG807" s="725"/>
      <c r="AH807" s="9"/>
      <c r="AI807" s="725"/>
      <c r="AJ807" s="9"/>
      <c r="AK807" s="725"/>
      <c r="AL807" s="9"/>
      <c r="AM807" s="725"/>
      <c r="AN807" s="9"/>
      <c r="AO807" s="725"/>
      <c r="AP807" s="9"/>
      <c r="AQ807" s="725"/>
      <c r="AR807" s="9"/>
      <c r="AS807" s="725"/>
      <c r="AT807" s="9"/>
      <c r="AU807" s="725"/>
      <c r="AV807" s="9"/>
      <c r="AW807" s="725"/>
      <c r="AX807" s="9"/>
      <c r="AY807" s="279"/>
      <c r="AZ807" s="15"/>
      <c r="BA807" s="9"/>
      <c r="BB807" s="725"/>
      <c r="BC807" s="9"/>
      <c r="BD807" s="961"/>
      <c r="BE807" s="9"/>
      <c r="BF807" s="725"/>
      <c r="BG807" s="9"/>
      <c r="BH807" s="725"/>
      <c r="BI807" s="9"/>
      <c r="BJ807" s="725"/>
      <c r="BK807" s="9"/>
      <c r="BL807" s="725"/>
      <c r="BM807" s="9"/>
      <c r="BN807" s="725"/>
      <c r="BO807" s="9"/>
      <c r="BP807" s="725"/>
      <c r="BQ807" s="9"/>
      <c r="BR807" s="725"/>
      <c r="BS807" s="9"/>
      <c r="BT807" s="725"/>
      <c r="BU807" s="9"/>
      <c r="BV807" s="722"/>
      <c r="BW807" s="722"/>
      <c r="BX807" s="722"/>
      <c r="BY807"/>
      <c r="BZ807"/>
      <c r="CA807"/>
      <c r="CB807"/>
      <c r="CC807"/>
      <c r="CD807"/>
    </row>
    <row r="808" spans="1:82" s="2" customFormat="1" ht="12.75" hidden="1" customHeight="1" outlineLevel="1" x14ac:dyDescent="0.2">
      <c r="A808" s="42"/>
      <c r="B808" s="42" t="s">
        <v>296</v>
      </c>
      <c r="C808" s="15"/>
      <c r="D808" s="100"/>
      <c r="E808" s="15"/>
      <c r="F808" s="100"/>
      <c r="G808" s="15"/>
      <c r="H808" s="100"/>
      <c r="I808" s="15"/>
      <c r="J808" s="100"/>
      <c r="K808" s="15"/>
      <c r="L808" s="100"/>
      <c r="M808" s="15"/>
      <c r="N808" s="100"/>
      <c r="O808" s="15"/>
      <c r="P808" s="100"/>
      <c r="Q808" s="15"/>
      <c r="R808" s="100"/>
      <c r="S808" s="15"/>
      <c r="T808" s="100"/>
      <c r="U808" s="15"/>
      <c r="V808" s="100"/>
      <c r="W808" s="15"/>
      <c r="X808" s="100"/>
      <c r="Y808" s="15"/>
      <c r="Z808" s="100"/>
      <c r="AA808" s="15"/>
      <c r="AB808" s="100"/>
      <c r="AC808" s="15"/>
      <c r="AD808" s="100"/>
      <c r="AE808" s="15"/>
      <c r="AF808" s="100"/>
      <c r="AG808" s="15"/>
      <c r="AH808" s="100"/>
      <c r="AI808" s="15"/>
      <c r="AJ808" s="100"/>
      <c r="AK808" s="15"/>
      <c r="AL808" s="100"/>
      <c r="AM808" s="15"/>
      <c r="AN808" s="100"/>
      <c r="AO808" s="15"/>
      <c r="AP808" s="100"/>
      <c r="AQ808" s="15"/>
      <c r="AR808" s="100"/>
      <c r="AS808" s="15"/>
      <c r="AT808" s="100"/>
      <c r="AU808" s="15"/>
      <c r="AV808" s="100"/>
      <c r="AW808" s="15"/>
      <c r="AX808" s="100"/>
      <c r="AY808" s="279"/>
      <c r="AZ808" s="15"/>
      <c r="BA808" s="100"/>
      <c r="BB808" s="15"/>
      <c r="BC808" s="100"/>
      <c r="BD808" s="924"/>
      <c r="BE808" s="100"/>
      <c r="BF808" s="15"/>
      <c r="BG808" s="100"/>
      <c r="BH808" s="15"/>
      <c r="BI808" s="100"/>
      <c r="BJ808" s="15"/>
      <c r="BK808" s="100"/>
      <c r="BL808" s="15"/>
      <c r="BM808" s="100"/>
      <c r="BN808" s="15"/>
      <c r="BO808" s="100"/>
      <c r="BP808" s="15"/>
      <c r="BQ808" s="100"/>
      <c r="BR808" s="15"/>
      <c r="BS808" s="100"/>
      <c r="BT808" s="15"/>
      <c r="BU808" s="100"/>
      <c r="BV808" s="722"/>
      <c r="BW808" s="722"/>
      <c r="BX808" s="722"/>
      <c r="BY808"/>
      <c r="BZ808"/>
      <c r="CA808"/>
      <c r="CB808"/>
      <c r="CC808"/>
      <c r="CD808"/>
    </row>
    <row r="809" spans="1:82" s="2" customFormat="1" ht="12.75" hidden="1" customHeight="1" outlineLevel="1" x14ac:dyDescent="0.2">
      <c r="A809" s="42"/>
      <c r="B809" s="42"/>
      <c r="C809" s="99"/>
      <c r="D809" s="9"/>
      <c r="E809" s="99"/>
      <c r="F809" s="9"/>
      <c r="G809" s="99"/>
      <c r="H809" s="9"/>
      <c r="I809" s="99"/>
      <c r="J809" s="9"/>
      <c r="K809" s="99"/>
      <c r="L809" s="9"/>
      <c r="M809" s="99"/>
      <c r="N809" s="9"/>
      <c r="O809" s="99"/>
      <c r="P809" s="9"/>
      <c r="Q809" s="99"/>
      <c r="R809" s="9"/>
      <c r="S809" s="99"/>
      <c r="T809" s="9"/>
      <c r="U809" s="99"/>
      <c r="V809" s="9"/>
      <c r="W809" s="99"/>
      <c r="X809" s="9"/>
      <c r="Y809" s="99"/>
      <c r="Z809" s="9"/>
      <c r="AA809" s="99"/>
      <c r="AB809" s="9"/>
      <c r="AC809" s="99"/>
      <c r="AD809" s="9"/>
      <c r="AE809" s="99"/>
      <c r="AF809" s="9"/>
      <c r="AG809" s="99"/>
      <c r="AH809" s="9"/>
      <c r="AI809" s="99"/>
      <c r="AJ809" s="9"/>
      <c r="AK809" s="99"/>
      <c r="AL809" s="9"/>
      <c r="AM809" s="99"/>
      <c r="AN809" s="9"/>
      <c r="AO809" s="99"/>
      <c r="AP809" s="9"/>
      <c r="AQ809" s="99"/>
      <c r="AR809" s="9"/>
      <c r="AS809" s="99"/>
      <c r="AT809" s="9"/>
      <c r="AU809" s="99"/>
      <c r="AV809" s="9"/>
      <c r="AW809" s="99"/>
      <c r="AX809" s="9"/>
      <c r="AY809" s="279"/>
      <c r="AZ809" s="15"/>
      <c r="BA809" s="9"/>
      <c r="BB809" s="99"/>
      <c r="BC809" s="9"/>
      <c r="BD809" s="849"/>
      <c r="BE809" s="9"/>
      <c r="BF809" s="99"/>
      <c r="BG809" s="9"/>
      <c r="BH809" s="99"/>
      <c r="BI809" s="9"/>
      <c r="BJ809" s="99"/>
      <c r="BK809" s="9"/>
      <c r="BL809" s="99"/>
      <c r="BM809" s="9"/>
      <c r="BN809" s="99"/>
      <c r="BO809" s="9"/>
      <c r="BP809" s="99"/>
      <c r="BQ809" s="9"/>
      <c r="BR809" s="99"/>
      <c r="BS809" s="9"/>
      <c r="BT809" s="99"/>
      <c r="BU809" s="9"/>
      <c r="BV809" s="722"/>
      <c r="BW809" s="722"/>
      <c r="BX809" s="722"/>
      <c r="BY809"/>
      <c r="BZ809"/>
      <c r="CA809"/>
      <c r="CB809"/>
      <c r="CC809"/>
      <c r="CD809"/>
    </row>
    <row r="810" spans="1:82" s="2" customFormat="1" ht="12.75" hidden="1" customHeight="1" outlineLevel="1" x14ac:dyDescent="0.2">
      <c r="A810" s="42"/>
      <c r="B810" s="42" t="s">
        <v>432</v>
      </c>
      <c r="C810" s="99"/>
      <c r="D810" s="9"/>
      <c r="E810" s="99"/>
      <c r="F810" s="9"/>
      <c r="G810" s="99"/>
      <c r="H810" s="9"/>
      <c r="I810" s="99"/>
      <c r="J810" s="9"/>
      <c r="K810" s="99"/>
      <c r="L810" s="9"/>
      <c r="M810" s="99"/>
      <c r="N810" s="9"/>
      <c r="O810" s="99"/>
      <c r="P810" s="9"/>
      <c r="Q810" s="99"/>
      <c r="R810" s="9"/>
      <c r="S810" s="99"/>
      <c r="T810" s="9"/>
      <c r="U810" s="99"/>
      <c r="V810" s="9"/>
      <c r="W810" s="99"/>
      <c r="X810" s="9" t="str">
        <f>IF(ISERROR(W810/O810),"NA",IF(OR(W810/O810&gt;2,W810/O810&lt;0.5),"NM",W810/O810*100-100))</f>
        <v>NA</v>
      </c>
      <c r="Y810" s="99"/>
      <c r="Z810" s="9"/>
      <c r="AA810" s="99"/>
      <c r="AB810" s="9"/>
      <c r="AC810" s="99"/>
      <c r="AD810" s="9"/>
      <c r="AE810" s="99"/>
      <c r="AF810" s="9"/>
      <c r="AG810" s="99"/>
      <c r="AH810" s="9"/>
      <c r="AI810" s="99"/>
      <c r="AJ810" s="9"/>
      <c r="AK810" s="99"/>
      <c r="AL810" s="9"/>
      <c r="AM810" s="99"/>
      <c r="AN810" s="9"/>
      <c r="AO810" s="99"/>
      <c r="AP810" s="9"/>
      <c r="AQ810" s="99"/>
      <c r="AR810" s="9"/>
      <c r="AS810" s="99"/>
      <c r="AT810" s="9"/>
      <c r="AU810" s="99"/>
      <c r="AV810" s="9"/>
      <c r="AW810" s="99"/>
      <c r="AX810" s="9"/>
      <c r="AY810" s="290"/>
      <c r="AZ810" s="99"/>
      <c r="BA810" s="9"/>
      <c r="BB810" s="99"/>
      <c r="BC810" s="9"/>
      <c r="BD810" s="849"/>
      <c r="BE810" s="9"/>
      <c r="BF810" s="99"/>
      <c r="BG810" s="9"/>
      <c r="BH810" s="99"/>
      <c r="BI810" s="9"/>
      <c r="BJ810" s="99"/>
      <c r="BK810" s="9"/>
      <c r="BL810" s="99"/>
      <c r="BM810" s="9"/>
      <c r="BN810" s="99"/>
      <c r="BO810" s="9"/>
      <c r="BP810" s="99"/>
      <c r="BQ810" s="9"/>
      <c r="BR810" s="99"/>
      <c r="BS810" s="9"/>
      <c r="BT810" s="99"/>
      <c r="BU810" s="9"/>
      <c r="BV810" s="722"/>
      <c r="BW810" s="722"/>
      <c r="BX810" s="722"/>
      <c r="BY810"/>
      <c r="BZ810"/>
      <c r="CA810"/>
      <c r="CB810"/>
      <c r="CC810"/>
      <c r="CD810"/>
    </row>
    <row r="811" spans="1:82" s="2" customFormat="1" ht="12.75" hidden="1" customHeight="1" outlineLevel="1" x14ac:dyDescent="0.2">
      <c r="A811" s="42"/>
      <c r="B811" s="42" t="s">
        <v>446</v>
      </c>
      <c r="C811" s="99"/>
      <c r="D811" s="9"/>
      <c r="E811" s="99"/>
      <c r="F811" s="9"/>
      <c r="G811" s="99"/>
      <c r="H811" s="9"/>
      <c r="I811" s="99"/>
      <c r="J811" s="9"/>
      <c r="K811" s="99"/>
      <c r="L811" s="9"/>
      <c r="M811" s="99"/>
      <c r="N811" s="9"/>
      <c r="O811" s="99"/>
      <c r="P811" s="9"/>
      <c r="Q811" s="99"/>
      <c r="R811" s="9"/>
      <c r="S811" s="99"/>
      <c r="T811" s="9"/>
      <c r="U811" s="99"/>
      <c r="V811" s="9"/>
      <c r="W811" s="99"/>
      <c r="X811" s="9" t="str">
        <f>IF(ISERROR(W811/O811),"NA",IF(OR(W811/O811&gt;2,W811/O811&lt;0.5),"NM",W811/O811*100-100))</f>
        <v>NA</v>
      </c>
      <c r="Y811" s="99"/>
      <c r="Z811" s="9"/>
      <c r="AA811" s="99"/>
      <c r="AB811" s="9"/>
      <c r="AC811" s="99"/>
      <c r="AD811" s="9"/>
      <c r="AE811" s="99"/>
      <c r="AF811" s="9"/>
      <c r="AG811" s="99"/>
      <c r="AH811" s="9"/>
      <c r="AI811" s="99"/>
      <c r="AJ811" s="9"/>
      <c r="AK811" s="99"/>
      <c r="AL811" s="9"/>
      <c r="AM811" s="99"/>
      <c r="AN811" s="9"/>
      <c r="AO811" s="99"/>
      <c r="AP811" s="9"/>
      <c r="AQ811" s="99"/>
      <c r="AR811" s="9"/>
      <c r="AS811" s="99"/>
      <c r="AT811" s="9"/>
      <c r="AU811" s="99"/>
      <c r="AV811" s="9"/>
      <c r="AW811" s="99"/>
      <c r="AX811" s="9"/>
      <c r="AY811" s="290"/>
      <c r="AZ811" s="99"/>
      <c r="BA811" s="9"/>
      <c r="BB811" s="99"/>
      <c r="BC811" s="9"/>
      <c r="BD811" s="849"/>
      <c r="BE811" s="9"/>
      <c r="BF811" s="99"/>
      <c r="BG811" s="9"/>
      <c r="BH811" s="99"/>
      <c r="BI811" s="9"/>
      <c r="BJ811" s="99"/>
      <c r="BK811" s="9"/>
      <c r="BL811" s="99"/>
      <c r="BM811" s="9"/>
      <c r="BN811" s="99"/>
      <c r="BO811" s="9"/>
      <c r="BP811" s="99"/>
      <c r="BQ811" s="9"/>
      <c r="BR811" s="99"/>
      <c r="BS811" s="9"/>
      <c r="BT811" s="99"/>
      <c r="BU811" s="9"/>
      <c r="BV811" s="722"/>
      <c r="BW811" s="722"/>
      <c r="BX811" s="722"/>
      <c r="BY811"/>
      <c r="BZ811"/>
      <c r="CA811"/>
      <c r="CB811"/>
      <c r="CC811"/>
      <c r="CD811"/>
    </row>
    <row r="812" spans="1:82" s="2" customFormat="1" ht="12.75" hidden="1" customHeight="1" outlineLevel="1" x14ac:dyDescent="0.2">
      <c r="A812" s="42"/>
      <c r="B812" s="42" t="s">
        <v>296</v>
      </c>
      <c r="C812" s="99"/>
      <c r="D812" s="9"/>
      <c r="E812" s="99"/>
      <c r="F812" s="9"/>
      <c r="G812" s="99"/>
      <c r="H812" s="9"/>
      <c r="I812" s="99"/>
      <c r="J812" s="9"/>
      <c r="K812" s="99"/>
      <c r="L812" s="9"/>
      <c r="M812" s="99"/>
      <c r="N812" s="9"/>
      <c r="O812" s="99"/>
      <c r="P812" s="9"/>
      <c r="Q812" s="99"/>
      <c r="R812" s="9"/>
      <c r="S812" s="99"/>
      <c r="T812" s="9"/>
      <c r="U812" s="99"/>
      <c r="V812" s="9"/>
      <c r="W812" s="99"/>
      <c r="X812" s="9" t="str">
        <f>IF(ISERROR(W812/O812),"NA",IF(OR(W812/O812&gt;2,W812/O812&lt;0.5),"NM",W812/O812*100-100))</f>
        <v>NA</v>
      </c>
      <c r="Y812" s="99"/>
      <c r="Z812" s="9"/>
      <c r="AA812" s="99"/>
      <c r="AB812" s="9"/>
      <c r="AC812" s="99"/>
      <c r="AD812" s="9"/>
      <c r="AE812" s="99"/>
      <c r="AF812" s="9"/>
      <c r="AG812" s="99"/>
      <c r="AH812" s="9"/>
      <c r="AI812" s="99"/>
      <c r="AJ812" s="9"/>
      <c r="AK812" s="99"/>
      <c r="AL812" s="9"/>
      <c r="AM812" s="99"/>
      <c r="AN812" s="9"/>
      <c r="AO812" s="99"/>
      <c r="AP812" s="9"/>
      <c r="AQ812" s="99"/>
      <c r="AR812" s="9"/>
      <c r="AS812" s="99"/>
      <c r="AT812" s="9"/>
      <c r="AU812" s="99"/>
      <c r="AV812" s="9"/>
      <c r="AW812" s="99"/>
      <c r="AX812" s="9"/>
      <c r="AY812" s="290"/>
      <c r="AZ812" s="99"/>
      <c r="BA812" s="9"/>
      <c r="BB812" s="99"/>
      <c r="BC812" s="9"/>
      <c r="BD812" s="849"/>
      <c r="BE812" s="9"/>
      <c r="BF812" s="99"/>
      <c r="BG812" s="9"/>
      <c r="BH812" s="99"/>
      <c r="BI812" s="9"/>
      <c r="BJ812" s="99"/>
      <c r="BK812" s="9"/>
      <c r="BL812" s="99"/>
      <c r="BM812" s="9"/>
      <c r="BN812" s="99"/>
      <c r="BO812" s="9"/>
      <c r="BP812" s="99"/>
      <c r="BQ812" s="9"/>
      <c r="BR812" s="99"/>
      <c r="BS812" s="9"/>
      <c r="BT812" s="99"/>
      <c r="BU812" s="9"/>
      <c r="BV812" s="722"/>
      <c r="BW812" s="722"/>
      <c r="BX812" s="722"/>
      <c r="BY812"/>
      <c r="BZ812"/>
      <c r="CA812"/>
      <c r="CB812"/>
      <c r="CC812"/>
      <c r="CD812"/>
    </row>
    <row r="813" spans="1:82" s="2" customFormat="1" ht="12.75" customHeight="1" collapsed="1" x14ac:dyDescent="0.2">
      <c r="A813" s="42"/>
      <c r="B813" s="42"/>
      <c r="C813" s="99"/>
      <c r="D813" s="9"/>
      <c r="E813" s="99"/>
      <c r="F813" s="9"/>
      <c r="G813" s="99"/>
      <c r="H813" s="9"/>
      <c r="I813" s="99"/>
      <c r="J813" s="9"/>
      <c r="K813" s="99"/>
      <c r="L813" s="9"/>
      <c r="M813" s="99"/>
      <c r="N813" s="9"/>
      <c r="O813" s="99"/>
      <c r="P813" s="9"/>
      <c r="Q813" s="99"/>
      <c r="R813" s="9"/>
      <c r="S813" s="99"/>
      <c r="T813" s="9"/>
      <c r="U813" s="99"/>
      <c r="V813" s="9"/>
      <c r="W813" s="99"/>
      <c r="X813" s="9"/>
      <c r="Y813" s="99"/>
      <c r="Z813" s="9"/>
      <c r="AA813" s="99"/>
      <c r="AB813" s="9"/>
      <c r="AC813" s="99"/>
      <c r="AD813" s="9"/>
      <c r="AE813" s="99"/>
      <c r="AF813" s="9"/>
      <c r="AG813" s="99"/>
      <c r="AH813" s="9"/>
      <c r="AI813" s="99"/>
      <c r="AJ813" s="9"/>
      <c r="AK813" s="99"/>
      <c r="AL813" s="9"/>
      <c r="AM813" s="99"/>
      <c r="AN813" s="9"/>
      <c r="AO813" s="99"/>
      <c r="AP813" s="9"/>
      <c r="AQ813" s="99"/>
      <c r="AR813" s="9"/>
      <c r="AS813" s="99"/>
      <c r="AT813" s="9"/>
      <c r="AU813" s="99"/>
      <c r="AV813" s="9"/>
      <c r="AW813" s="99"/>
      <c r="AX813" s="9"/>
      <c r="AY813" s="279"/>
      <c r="AZ813" s="15"/>
      <c r="BA813" s="9"/>
      <c r="BB813" s="99"/>
      <c r="BC813" s="9"/>
      <c r="BD813" s="849"/>
      <c r="BE813" s="9"/>
      <c r="BF813" s="99"/>
      <c r="BG813" s="9"/>
      <c r="BH813" s="99"/>
      <c r="BI813" s="9"/>
      <c r="BJ813" s="99"/>
      <c r="BK813" s="9"/>
      <c r="BL813" s="99"/>
      <c r="BM813" s="9"/>
      <c r="BN813" s="99"/>
      <c r="BO813" s="9"/>
      <c r="BP813" s="99"/>
      <c r="BQ813" s="9"/>
      <c r="BR813" s="99"/>
      <c r="BS813" s="9"/>
      <c r="BT813" s="99"/>
      <c r="BU813" s="9"/>
      <c r="BV813" s="722"/>
      <c r="BW813" s="722"/>
      <c r="BX813" s="722"/>
      <c r="BY813"/>
      <c r="BZ813"/>
      <c r="CA813"/>
      <c r="CB813"/>
      <c r="CC813"/>
      <c r="CD813"/>
    </row>
    <row r="814" spans="1:82" s="265" customFormat="1" ht="12.75" customHeight="1" x14ac:dyDescent="0.2">
      <c r="B814" s="266" t="s">
        <v>192</v>
      </c>
      <c r="C814" s="268"/>
      <c r="D814" s="269"/>
      <c r="E814" s="268"/>
      <c r="F814" s="269"/>
      <c r="G814" s="268"/>
      <c r="H814" s="269"/>
      <c r="I814" s="268"/>
      <c r="J814" s="269"/>
      <c r="K814" s="268"/>
      <c r="L814" s="269"/>
      <c r="M814" s="268"/>
      <c r="N814" s="269"/>
      <c r="O814" s="268"/>
      <c r="P814" s="269"/>
      <c r="Q814" s="268"/>
      <c r="R814" s="269"/>
      <c r="S814" s="268"/>
      <c r="T814" s="269"/>
      <c r="U814" s="268"/>
      <c r="V814" s="269"/>
      <c r="W814" s="268"/>
      <c r="X814" s="269"/>
      <c r="Y814" s="268"/>
      <c r="Z814" s="269"/>
      <c r="AA814" s="268"/>
      <c r="AB814" s="269"/>
      <c r="AC814" s="268"/>
      <c r="AD814" s="269"/>
      <c r="AE814" s="268"/>
      <c r="AF814" s="269"/>
      <c r="AG814" s="268"/>
      <c r="AH814" s="269"/>
      <c r="AI814" s="268"/>
      <c r="AJ814" s="269"/>
      <c r="AK814" s="268"/>
      <c r="AL814" s="269"/>
      <c r="AM814" s="268"/>
      <c r="AN814" s="269"/>
      <c r="AO814" s="268"/>
      <c r="AP814" s="269"/>
      <c r="AQ814" s="268"/>
      <c r="AR814" s="269"/>
      <c r="AS814" s="268"/>
      <c r="AT814" s="269"/>
      <c r="AU814" s="268"/>
      <c r="AV814" s="269"/>
      <c r="AW814" s="268"/>
      <c r="AX814" s="269"/>
      <c r="AY814" s="281"/>
      <c r="AZ814" s="267"/>
      <c r="BA814" s="269"/>
      <c r="BB814" s="268"/>
      <c r="BC814" s="269"/>
      <c r="BD814" s="907"/>
      <c r="BE814" s="269"/>
      <c r="BF814" s="268"/>
      <c r="BG814" s="269"/>
      <c r="BH814" s="268"/>
      <c r="BI814" s="269"/>
      <c r="BJ814" s="268"/>
      <c r="BK814" s="269"/>
      <c r="BL814" s="268"/>
      <c r="BM814" s="269"/>
      <c r="BN814" s="268"/>
      <c r="BO814" s="269"/>
      <c r="BP814" s="268"/>
      <c r="BQ814" s="269"/>
      <c r="BR814" s="268"/>
      <c r="BS814" s="269"/>
      <c r="BT814" s="268"/>
      <c r="BU814" s="269"/>
      <c r="BV814" s="270"/>
      <c r="BW814" s="270"/>
      <c r="BX814" s="270"/>
      <c r="BY814"/>
      <c r="BZ814"/>
      <c r="CA814"/>
      <c r="CB814"/>
      <c r="CC814"/>
      <c r="CD814"/>
    </row>
    <row r="815" spans="1:82" s="2" customFormat="1" ht="12.75" customHeight="1" x14ac:dyDescent="0.2">
      <c r="A815" s="42"/>
      <c r="B815" s="42"/>
      <c r="C815" s="15"/>
      <c r="D815" s="40"/>
      <c r="E815" s="15"/>
      <c r="F815" s="40"/>
      <c r="G815" s="15"/>
      <c r="H815" s="40"/>
      <c r="I815" s="15"/>
      <c r="J815" s="40"/>
      <c r="K815" s="15"/>
      <c r="L815" s="40"/>
      <c r="M815" s="15"/>
      <c r="N815" s="40"/>
      <c r="O815" s="15"/>
      <c r="P815" s="40"/>
      <c r="Q815" s="15"/>
      <c r="R815" s="40"/>
      <c r="S815" s="15"/>
      <c r="T815" s="40"/>
      <c r="U815" s="15"/>
      <c r="V815" s="40"/>
      <c r="W815" s="15"/>
      <c r="X815" s="40"/>
      <c r="Y815" s="15"/>
      <c r="Z815" s="40"/>
      <c r="AA815" s="15"/>
      <c r="AB815" s="40"/>
      <c r="AC815" s="15"/>
      <c r="AD815" s="40"/>
      <c r="AE815" s="15"/>
      <c r="AF815" s="40"/>
      <c r="AG815" s="15"/>
      <c r="AH815" s="40"/>
      <c r="AI815" s="15"/>
      <c r="AJ815" s="40"/>
      <c r="AK815" s="15"/>
      <c r="AL815" s="40"/>
      <c r="AM815" s="15"/>
      <c r="AN815" s="40"/>
      <c r="AO815" s="15"/>
      <c r="AP815" s="40"/>
      <c r="AQ815" s="15"/>
      <c r="AR815" s="40"/>
      <c r="AS815" s="15"/>
      <c r="AT815" s="40"/>
      <c r="AU815" s="15"/>
      <c r="AV815" s="40"/>
      <c r="AW815" s="15"/>
      <c r="AX815" s="40"/>
      <c r="AY815" s="279"/>
      <c r="AZ815" s="15"/>
      <c r="BA815" s="40"/>
      <c r="BB815" s="15"/>
      <c r="BC815" s="40"/>
      <c r="BD815" s="924"/>
      <c r="BE815" s="40"/>
      <c r="BF815" s="15"/>
      <c r="BG815" s="40"/>
      <c r="BH815" s="15"/>
      <c r="BI815" s="40"/>
      <c r="BJ815" s="15"/>
      <c r="BK815" s="40"/>
      <c r="BL815" s="15"/>
      <c r="BM815" s="40"/>
      <c r="BN815" s="15"/>
      <c r="BO815" s="40"/>
      <c r="BP815" s="15"/>
      <c r="BQ815" s="40"/>
      <c r="BR815" s="15"/>
      <c r="BS815" s="40"/>
      <c r="BT815" s="15"/>
      <c r="BU815" s="40"/>
      <c r="BV815" s="722"/>
      <c r="BW815" s="722"/>
      <c r="BX815" s="722"/>
      <c r="BY815"/>
      <c r="BZ815"/>
      <c r="CA815"/>
      <c r="CB815"/>
      <c r="CC815"/>
      <c r="CD815"/>
    </row>
    <row r="816" spans="1:82" s="2" customFormat="1" ht="12.75" customHeight="1" x14ac:dyDescent="0.2">
      <c r="A816" s="42"/>
      <c r="B816" s="158" t="s">
        <v>180</v>
      </c>
      <c r="C816" s="223"/>
      <c r="D816" s="40"/>
      <c r="E816" s="223"/>
      <c r="F816" s="40"/>
      <c r="G816" s="223"/>
      <c r="H816" s="40"/>
      <c r="I816" s="15"/>
      <c r="J816" s="40"/>
      <c r="K816" s="15"/>
      <c r="L816" s="40"/>
      <c r="M816" s="15"/>
      <c r="N816" s="40"/>
      <c r="O816" s="15"/>
      <c r="P816" s="40"/>
      <c r="Q816" s="15"/>
      <c r="R816" s="40"/>
      <c r="S816" s="15"/>
      <c r="T816" s="40"/>
      <c r="U816" s="15"/>
      <c r="V816" s="40"/>
      <c r="W816" s="15"/>
      <c r="X816" s="40"/>
      <c r="Y816" s="15"/>
      <c r="Z816" s="40"/>
      <c r="AA816" s="15"/>
      <c r="AB816" s="40"/>
      <c r="AC816" s="223"/>
      <c r="AD816" s="40"/>
      <c r="AE816" s="223"/>
      <c r="AF816" s="40"/>
      <c r="AG816" s="223"/>
      <c r="AH816" s="40"/>
      <c r="AI816" s="223"/>
      <c r="AJ816" s="40"/>
      <c r="AK816" s="223"/>
      <c r="AL816" s="40"/>
      <c r="AM816" s="15"/>
      <c r="AN816" s="40"/>
      <c r="AO816" s="15"/>
      <c r="AP816" s="40"/>
      <c r="AQ816" s="15"/>
      <c r="AR816" s="40"/>
      <c r="AS816" s="15"/>
      <c r="AT816" s="40"/>
      <c r="AU816" s="15"/>
      <c r="AV816" s="40"/>
      <c r="AW816" s="15"/>
      <c r="AX816" s="40"/>
      <c r="AY816" s="279"/>
      <c r="AZ816" s="15"/>
      <c r="BA816" s="40"/>
      <c r="BB816" s="15"/>
      <c r="BC816" s="40"/>
      <c r="BD816" s="924"/>
      <c r="BE816" s="40"/>
      <c r="BF816" s="15"/>
      <c r="BG816" s="40"/>
      <c r="BH816" s="15"/>
      <c r="BI816" s="40"/>
      <c r="BJ816" s="15"/>
      <c r="BK816" s="40"/>
      <c r="BL816" s="15"/>
      <c r="BM816" s="40"/>
      <c r="BN816" s="15"/>
      <c r="BO816" s="40"/>
      <c r="BP816" s="15"/>
      <c r="BQ816" s="40"/>
      <c r="BR816" s="15"/>
      <c r="BS816" s="40"/>
      <c r="BT816" s="15"/>
      <c r="BU816" s="40"/>
      <c r="BV816" s="722"/>
      <c r="BW816" s="722"/>
      <c r="BX816" s="722"/>
      <c r="BY816"/>
      <c r="BZ816"/>
      <c r="CA816"/>
      <c r="CB816"/>
      <c r="CC816"/>
      <c r="CD816"/>
    </row>
    <row r="817" spans="1:82" s="2" customFormat="1" ht="12.75" customHeight="1" x14ac:dyDescent="0.2">
      <c r="A817" s="2" t="s">
        <v>143</v>
      </c>
      <c r="B817" s="159" t="s">
        <v>181</v>
      </c>
      <c r="C817" s="168">
        <v>0.23</v>
      </c>
      <c r="D817" s="9" t="str">
        <f>IF(ISERROR(C817/#REF!),"NA",IF(OR(C817/#REF!&gt;2,C817/#REF!&lt;0.5),"NM",C817/#REF!*100-100))</f>
        <v>NA</v>
      </c>
      <c r="E817" s="168">
        <v>0.23</v>
      </c>
      <c r="F817" s="9" t="str">
        <f>IF(ISERROR(E817/#REF!),"NA",IF(OR(E817/#REF!&gt;2,E817/#REF!&lt;0.5),"NM",E817/#REF!*100-100))</f>
        <v>NA</v>
      </c>
      <c r="G817" s="168">
        <v>0.26</v>
      </c>
      <c r="H817" s="9" t="str">
        <f>IF(ISERROR(G817/#REF!),"NA",IF(OR(G817/#REF!&gt;2,G817/#REF!&lt;0.5),"NM",G817/#REF!*100-100))</f>
        <v>NA</v>
      </c>
      <c r="I817" s="168">
        <v>0.26</v>
      </c>
      <c r="J817" s="9" t="str">
        <f>IF(ISERROR(I817/#REF!),"NA",IF(OR(I817/#REF!&gt;2,I817/#REF!&lt;0.5),"NM",I817/#REF!*100-100))</f>
        <v>NA</v>
      </c>
      <c r="K817" s="168">
        <v>0.28000000000000003</v>
      </c>
      <c r="L817" s="9">
        <f>IF(ISERROR(K817/C817),"NA",IF(OR(K817/C817&gt;2,K817/C817&lt;0.5),"NM",K817/C817*100-100))</f>
        <v>21.739130434782624</v>
      </c>
      <c r="M817" s="168">
        <v>0.32</v>
      </c>
      <c r="N817" s="9">
        <f t="shared" ref="N817:Z819" si="3399">IF(ISERROR(M817/E817),"NA",IF(OR(M817/E817&gt;2,M817/E817&lt;0.5),"NM",M817/E817*100-100))</f>
        <v>39.130434782608688</v>
      </c>
      <c r="O817" s="168">
        <v>0.34</v>
      </c>
      <c r="P817" s="9">
        <f t="shared" ref="P817:P819" si="3400">IF(ISERROR(O817/G817),"NA",IF(OR(O817/G817&gt;2,O817/G817&lt;0.5),"NM",O817/G817*100-100))</f>
        <v>30.769230769230774</v>
      </c>
      <c r="Q817" s="168">
        <v>0.34</v>
      </c>
      <c r="R817" s="9">
        <f t="shared" si="3399"/>
        <v>30.769230769230774</v>
      </c>
      <c r="S817" s="168">
        <v>0.36</v>
      </c>
      <c r="T817" s="9">
        <f t="shared" si="3399"/>
        <v>28.571428571428555</v>
      </c>
      <c r="U817" s="168">
        <v>0.38</v>
      </c>
      <c r="V817" s="9">
        <f t="shared" si="3399"/>
        <v>18.75</v>
      </c>
      <c r="W817" s="168">
        <v>0.38</v>
      </c>
      <c r="X817" s="9">
        <f t="shared" si="3399"/>
        <v>11.764705882352942</v>
      </c>
      <c r="Y817" s="168">
        <v>0.38</v>
      </c>
      <c r="Z817" s="9">
        <f t="shared" si="3399"/>
        <v>11.764705882352942</v>
      </c>
      <c r="AA817" s="168">
        <v>0.38</v>
      </c>
      <c r="AB817" s="9">
        <f t="shared" ref="AB817:AB819" si="3401">IF(ISERROR(AA817/S817),"NA",IF(OR(AA817/S817&gt;2,AA817/S817&lt;0.5),"NM",AA817/S817*100-100))</f>
        <v>5.5555555555555571</v>
      </c>
      <c r="AC817" s="168">
        <v>0.39</v>
      </c>
      <c r="AD817" s="9">
        <f t="shared" ref="AD817:AD819" si="3402">IF(ISERROR(AC817/U817),"NA",IF(OR(AC817/U817&gt;2,AC817/U817&lt;0.5),"NM",AC817/U817*100-100))</f>
        <v>2.6315789473684248</v>
      </c>
      <c r="AE817" s="168">
        <v>0.41</v>
      </c>
      <c r="AF817" s="9">
        <f t="shared" ref="AF817:AF819" si="3403">IF(ISERROR(AE817/W817),"NA",IF(OR(AE817/W817&gt;2,AE817/W817&lt;0.5),"NM",AE817/W817*100-100))</f>
        <v>7.8947368421052602</v>
      </c>
      <c r="AG817" s="168">
        <v>0.43</v>
      </c>
      <c r="AH817" s="9">
        <f t="shared" ref="AH817:AH819" si="3404">IF(ISERROR(AG817/Y817),"NA",IF(OR(AG817/Y817&gt;2,AG817/Y817&lt;0.5),"NM",AG817/Y817*100-100))</f>
        <v>13.157894736842096</v>
      </c>
      <c r="AI817" s="168">
        <v>0.45</v>
      </c>
      <c r="AJ817" s="9">
        <f t="shared" ref="AJ817:AJ819" si="3405">IF(ISERROR(AI817/AA817),"NA",IF(OR(AI817/AA817&gt;2,AI817/AA817&lt;0.5),"NM",AI817/AA817*100-100))</f>
        <v>18.421052631578931</v>
      </c>
      <c r="AK817" s="168">
        <v>0.46</v>
      </c>
      <c r="AL817" s="9">
        <f t="shared" ref="AL817:AL819" si="3406">IF(ISERROR(AK817/AC817),"NA",IF(OR(AK817/AC817&gt;2,AK817/AC817&lt;0.5),"NM",AK817/AC817*100-100))</f>
        <v>17.948717948717956</v>
      </c>
      <c r="AM817" s="168">
        <v>0.47</v>
      </c>
      <c r="AN817" s="9">
        <f t="shared" ref="AN817:AN819" si="3407">IF(ISERROR(AM817/AE817),"NA",IF(OR(AM817/AE817&gt;2,AM817/AE817&lt;0.5),"NM",AM817/AE817*100-100))</f>
        <v>14.634146341463406</v>
      </c>
      <c r="AO817" s="168">
        <v>0.49</v>
      </c>
      <c r="AP817" s="9">
        <f t="shared" ref="AP817:AP819" si="3408">IF(ISERROR(AO817/AG817),"NA",IF(OR(AO817/AG817&gt;2,AO817/AG817&lt;0.5),"NM",AO817/AG817*100-100))</f>
        <v>13.95348837209302</v>
      </c>
      <c r="AQ817" s="168">
        <v>0.51</v>
      </c>
      <c r="AR817" s="9">
        <f t="shared" ref="AR817:AR819" si="3409">IF(ISERROR(AQ817/AI817),"NA",IF(OR(AQ817/AI817&gt;2,AQ817/AI817&lt;0.5),"NM",AQ817/AI817*100-100))</f>
        <v>13.333333333333329</v>
      </c>
      <c r="AS817" s="168">
        <f t="shared" ref="AS817" si="3410">AQ817</f>
        <v>0.51</v>
      </c>
      <c r="AT817" s="9">
        <f t="shared" ref="AT817:AT819" si="3411">IF(ISERROR(AS817/AK817),"NA",IF(OR(AS817/AK817&gt;2,AS817/AK817&lt;0.5),"NM",AS817/AK817*100-100))</f>
        <v>10.869565217391312</v>
      </c>
      <c r="AU817" s="168">
        <v>0.53</v>
      </c>
      <c r="AV817" s="9">
        <f t="shared" ref="AV817:AV819" si="3412">IF(ISERROR(AU817/AM817),"NA",IF(OR(AU817/AM817&gt;2,AU817/AM817&lt;0.5),"NM",AU817/AM817*100-100))</f>
        <v>12.765957446808528</v>
      </c>
      <c r="AW817" s="168">
        <f t="shared" ref="AW817" si="3413">AU817</f>
        <v>0.53</v>
      </c>
      <c r="AX817" s="9">
        <f t="shared" ref="AX817:AX819" si="3414">IF(ISERROR(AW817/AO817),"NA",IF(OR(AW817/AO817&gt;2,AW817/AO817&lt;0.5),"NM",AW817/AO817*100-100))</f>
        <v>8.1632653061224545</v>
      </c>
      <c r="AY817" s="279"/>
      <c r="AZ817" s="15"/>
      <c r="BA817" s="9" t="str">
        <f>IF(ISERROR(#REF!/#REF!),"NA",IF(OR(#REF!/#REF!&gt;2,#REF!/#REF!&lt;0.5),"NM",#REF!/#REF!*100-100))</f>
        <v>NA</v>
      </c>
      <c r="BB817" s="169">
        <f>C817+E817+G817+I817</f>
        <v>0.98</v>
      </c>
      <c r="BC817" s="9" t="str">
        <f>IF(ISERROR(BB817/#REF!),"NA",IF(OR(BB817/#REF!&gt;2,BB817/#REF!&lt;0.5),"NM",BB817/#REF!*100-100))</f>
        <v>NA</v>
      </c>
      <c r="BD817" s="969">
        <f>K817+M817+O817+Q817</f>
        <v>1.2800000000000002</v>
      </c>
      <c r="BE817" s="9">
        <f t="shared" ref="BE817:BS819" si="3415">IF(ISERROR(BD817/BB817),"NA",IF(OR(BD817/BB817&gt;2,BD817/BB817&lt;0.5),"NM",BD817/BB817*100-100))</f>
        <v>30.612244897959215</v>
      </c>
      <c r="BF817" s="169">
        <f>S817+U817+W817+Y817</f>
        <v>1.5</v>
      </c>
      <c r="BG817" s="9">
        <f t="shared" si="3415"/>
        <v>17.187499999999972</v>
      </c>
      <c r="BH817" s="169">
        <f>AA817+AC817+AE817+AG817</f>
        <v>1.6099999999999999</v>
      </c>
      <c r="BI817" s="9">
        <f t="shared" si="3415"/>
        <v>7.3333333333333286</v>
      </c>
      <c r="BJ817" s="169">
        <f>AI817+AK817+AM817+AO817</f>
        <v>1.8699999999999999</v>
      </c>
      <c r="BK817" s="9">
        <f t="shared" si="3415"/>
        <v>16.149068322981378</v>
      </c>
      <c r="BL817" s="169">
        <f>AQ817+AS817+AU817+AW817</f>
        <v>2.08</v>
      </c>
      <c r="BM817" s="9">
        <f t="shared" si="3415"/>
        <v>11.229946524064175</v>
      </c>
      <c r="BN817" s="168">
        <f>BL817*1.11</f>
        <v>2.3088000000000002</v>
      </c>
      <c r="BO817" s="9">
        <f t="shared" si="3415"/>
        <v>11.000000000000014</v>
      </c>
      <c r="BP817" s="168">
        <f>BN817*1.111</f>
        <v>2.5650768000000004</v>
      </c>
      <c r="BQ817" s="9">
        <f t="shared" si="3415"/>
        <v>11.099999999999994</v>
      </c>
      <c r="BR817" s="168">
        <f>BP817*1.11</f>
        <v>2.8472352480000005</v>
      </c>
      <c r="BS817" s="9">
        <f t="shared" si="3415"/>
        <v>11.000000000000014</v>
      </c>
      <c r="BT817" s="168">
        <f>BR817*1.11</f>
        <v>3.160431125280001</v>
      </c>
      <c r="BU817" s="9">
        <f t="shared" ref="BU817:BU819" si="3416">IF(ISERROR(BT817/BR817),"NA",IF(OR(BT817/BR817&gt;2,BT817/BR817&lt;0.5),"NM",BT817/BR817*100-100))</f>
        <v>11.000000000000014</v>
      </c>
      <c r="BV817" s="43">
        <f>IF(ISERROR(((BT817/BJ817)^0.2-1)*100),"NA",IF((((BT817/BJ817)^0.2-1)*100)&gt;100,"NM",IF((((BT817/BJ817)^0.2-1)*100)&lt;-50,"NM",((BT817/BJ817)^0.2-1)*100)))</f>
        <v>11.065952316919535</v>
      </c>
      <c r="BW817" s="722"/>
      <c r="BX817" s="722"/>
      <c r="BY817"/>
      <c r="BZ817"/>
      <c r="CA817"/>
      <c r="CB817"/>
      <c r="CC817"/>
      <c r="CD817"/>
    </row>
    <row r="818" spans="1:82" s="2" customFormat="1" ht="12.75" customHeight="1" x14ac:dyDescent="0.2">
      <c r="A818" s="2" t="s">
        <v>316</v>
      </c>
      <c r="B818" s="159" t="s">
        <v>182</v>
      </c>
      <c r="C818" s="57">
        <f>+C817/C845*100</f>
        <v>29.289755679382758</v>
      </c>
      <c r="D818" s="9" t="str">
        <f>IF(ISERROR(C818/#REF!),"NA",IF(OR(C818/#REF!&gt;2,C818/#REF!&lt;0.5),"NM",C818/#REF!*100-100))</f>
        <v>NA</v>
      </c>
      <c r="E818" s="57">
        <f>+E817/E845*100</f>
        <v>25.186440677966104</v>
      </c>
      <c r="F818" s="9" t="str">
        <f>IF(ISERROR(E818/#REF!),"NA",IF(OR(E818/#REF!&gt;2,E818/#REF!&lt;0.5),"NM",E818/#REF!*100-100))</f>
        <v>NA</v>
      </c>
      <c r="G818" s="57">
        <f>+G817/G845*100</f>
        <v>28.839524517087671</v>
      </c>
      <c r="H818" s="9" t="str">
        <f>IF(ISERROR(G818/#REF!),"NA",IF(OR(G818/#REF!&gt;2,G818/#REF!&lt;0.5),"NM",G818/#REF!*100-100))</f>
        <v>NA</v>
      </c>
      <c r="I818" s="57">
        <f>+I817/I845*100</f>
        <v>27.209090909090911</v>
      </c>
      <c r="J818" s="9" t="str">
        <f>IF(ISERROR(I818/#REF!),"NA",IF(OR(I818/#REF!&gt;2,I818/#REF!&lt;0.5),"NM",I818/#REF!*100-100))</f>
        <v>NA</v>
      </c>
      <c r="K818" s="57">
        <f>+K817/K845*100</f>
        <v>26.454258675078869</v>
      </c>
      <c r="L818" s="9">
        <f>IF(ISERROR(K818/C818),"NA",IF(OR(K818/C818&gt;2,K818/C818&lt;0.5),"NM",K818/C818*100-100))</f>
        <v>-9.6808489471279984</v>
      </c>
      <c r="M818" s="57">
        <f>+M817/M845*100</f>
        <v>29.552941176470586</v>
      </c>
      <c r="N818" s="9">
        <f t="shared" si="3399"/>
        <v>17.336711265933019</v>
      </c>
      <c r="O818" s="57">
        <f>+O817/O845*100</f>
        <v>26.584723370781987</v>
      </c>
      <c r="P818" s="9">
        <f t="shared" si="3400"/>
        <v>-7.8184407824397226</v>
      </c>
      <c r="Q818" s="57">
        <f>+Q817/Q845*100</f>
        <v>30.994029149036205</v>
      </c>
      <c r="R818" s="9">
        <f t="shared" si="3399"/>
        <v>13.910564864483206</v>
      </c>
      <c r="S818" s="57">
        <f>+S817/S845*100</f>
        <v>32.283693843594008</v>
      </c>
      <c r="T818" s="9">
        <f t="shared" si="3399"/>
        <v>22.035904464813967</v>
      </c>
      <c r="U818" s="57">
        <f>+U817/U845*100</f>
        <v>35.183807909874218</v>
      </c>
      <c r="V818" s="9">
        <f t="shared" si="3399"/>
        <v>19.053490140896059</v>
      </c>
      <c r="W818" s="57">
        <f t="shared" ref="W818:Y818" si="3417">+W817/W845*100</f>
        <v>35.46904315196997</v>
      </c>
      <c r="X818" s="9">
        <f t="shared" si="3399"/>
        <v>33.418891207844268</v>
      </c>
      <c r="Y818" s="57">
        <f t="shared" si="3417"/>
        <v>37.122691292875984</v>
      </c>
      <c r="Z818" s="9">
        <f t="shared" si="3399"/>
        <v>19.773686455445414</v>
      </c>
      <c r="AA818" s="57">
        <f t="shared" ref="AA818:AC818" si="3418">+AA817/AA845*100</f>
        <v>39.061823262312267</v>
      </c>
      <c r="AB818" s="9">
        <f t="shared" si="3401"/>
        <v>20.995520065196089</v>
      </c>
      <c r="AC818" s="57">
        <f t="shared" si="3418"/>
        <v>33.851676060516169</v>
      </c>
      <c r="AD818" s="9">
        <f t="shared" si="3402"/>
        <v>-3.7862071461122042</v>
      </c>
      <c r="AE818" s="57">
        <f t="shared" ref="AE818:AG818" si="3419">+AE817/AE845*100</f>
        <v>35.589514447423284</v>
      </c>
      <c r="AF818" s="9">
        <f t="shared" si="3403"/>
        <v>0.3396519464512977</v>
      </c>
      <c r="AG818" s="57">
        <f t="shared" si="3419"/>
        <v>33.752688172043008</v>
      </c>
      <c r="AH818" s="9">
        <f t="shared" si="3404"/>
        <v>-9.0780140217896701</v>
      </c>
      <c r="AI818" s="57">
        <f t="shared" ref="AI818:AK818" si="3420">+AI817/AI845*100</f>
        <v>35.514170040485823</v>
      </c>
      <c r="AJ818" s="9">
        <f t="shared" si="3405"/>
        <v>-9.082149591438295</v>
      </c>
      <c r="AK818" s="57">
        <f t="shared" si="3420"/>
        <v>35.099582898852972</v>
      </c>
      <c r="AL818" s="9">
        <f t="shared" si="3406"/>
        <v>3.6863960180462954</v>
      </c>
      <c r="AM818" s="57">
        <f t="shared" ref="AM818:AO818" si="3421">+AM817/AM845*100</f>
        <v>36.856703237891367</v>
      </c>
      <c r="AN818" s="9">
        <f t="shared" si="3407"/>
        <v>3.5605677968439693</v>
      </c>
      <c r="AO818" s="57">
        <f t="shared" si="3421"/>
        <v>41.010262257696688</v>
      </c>
      <c r="AP818" s="9">
        <f t="shared" si="3408"/>
        <v>21.502210575526988</v>
      </c>
      <c r="AQ818" s="57">
        <f t="shared" ref="AQ818:AW818" si="3422">+AQ817/AQ845*100</f>
        <v>37.467948396091785</v>
      </c>
      <c r="AR818" s="9">
        <f t="shared" si="3409"/>
        <v>5.501405082474605</v>
      </c>
      <c r="AS818" s="57">
        <f t="shared" si="3422"/>
        <v>36.673643268868943</v>
      </c>
      <c r="AT818" s="9">
        <f t="shared" si="3411"/>
        <v>4.4845557696567653</v>
      </c>
      <c r="AU818" s="57">
        <f t="shared" si="3422"/>
        <v>36.65003982204346</v>
      </c>
      <c r="AV818" s="9">
        <f t="shared" si="3412"/>
        <v>-0.56072138225168544</v>
      </c>
      <c r="AW818" s="57">
        <f t="shared" si="3422"/>
        <v>35.363115156801314</v>
      </c>
      <c r="AX818" s="9">
        <f t="shared" si="3414"/>
        <v>-13.770082876842693</v>
      </c>
      <c r="AY818" s="279"/>
      <c r="AZ818" s="15"/>
      <c r="BA818" s="9" t="str">
        <f>IF(ISERROR(#REF!/#REF!),"NA",IF(OR(#REF!/#REF!&gt;2,#REF!/#REF!&lt;0.5),"NM",#REF!/#REF!*100-100))</f>
        <v>NA</v>
      </c>
      <c r="BB818" s="57">
        <f>+BB817/BB845*100</f>
        <v>27.558165864704215</v>
      </c>
      <c r="BC818" s="9" t="str">
        <f>IF(ISERROR(BB818/#REF!),"NA",IF(OR(BB818/#REF!&gt;2,BB818/#REF!&lt;0.5),"NM",BB818/#REF!*100-100))</f>
        <v>NA</v>
      </c>
      <c r="BD818" s="911">
        <f>+BD817/BD845*100</f>
        <v>28.338559996349517</v>
      </c>
      <c r="BE818" s="9">
        <f t="shared" si="3415"/>
        <v>2.8318072235888962</v>
      </c>
      <c r="BF818" s="57">
        <f>+BF817/BF845*100</f>
        <v>34.96079056807033</v>
      </c>
      <c r="BG818" s="9">
        <f t="shared" si="3415"/>
        <v>23.368267733342378</v>
      </c>
      <c r="BH818" s="57">
        <f>+BH817/BH845*100</f>
        <v>35.387705656975413</v>
      </c>
      <c r="BI818" s="9">
        <f t="shared" si="3415"/>
        <v>1.2211253863777927</v>
      </c>
      <c r="BJ818" s="57">
        <f>+BJ817/BJ845*100</f>
        <v>37.048094481266041</v>
      </c>
      <c r="BK818" s="9">
        <f t="shared" si="3415"/>
        <v>4.6919934295410997</v>
      </c>
      <c r="BL818" s="57">
        <f>+BL817/BL845*100</f>
        <v>36.516587884039467</v>
      </c>
      <c r="BM818" s="9">
        <f t="shared" si="3415"/>
        <v>-1.4346394994628895</v>
      </c>
      <c r="BN818" s="57">
        <f>+BN817/BN845*100</f>
        <v>38.191384355397275</v>
      </c>
      <c r="BO818" s="9">
        <f t="shared" si="3415"/>
        <v>4.5863991364040402</v>
      </c>
      <c r="BP818" s="57">
        <f>+BP817/BP845*100</f>
        <v>40.090095921046583</v>
      </c>
      <c r="BQ818" s="9">
        <f t="shared" si="3415"/>
        <v>4.9715704148885607</v>
      </c>
      <c r="BR818" s="57">
        <f>+BR817/BR845*100</f>
        <v>42.205268168068123</v>
      </c>
      <c r="BS818" s="9">
        <f t="shared" si="3415"/>
        <v>5.2760468600203865</v>
      </c>
      <c r="BT818" s="57">
        <f>+BT817/BT845*100</f>
        <v>44.509141461572874</v>
      </c>
      <c r="BU818" s="9">
        <f t="shared" si="3416"/>
        <v>5.4587339294477601</v>
      </c>
      <c r="BV818" s="43">
        <f>IF(ISERROR(((BT818/BJ818)^0.2-1)*100),"NA",IF((((BT818/BJ818)^0.2-1)*100)&gt;100,"NM",IF((((BT818/BJ818)^0.2-1)*100)&lt;-50,"NM",((BT818/BJ818)^0.2-1)*100)))</f>
        <v>3.7377127675115807</v>
      </c>
      <c r="BW818" s="722"/>
      <c r="BX818" s="722"/>
      <c r="BY818"/>
      <c r="BZ818"/>
      <c r="CA818"/>
      <c r="CB818"/>
      <c r="CC818"/>
      <c r="CD818"/>
    </row>
    <row r="819" spans="1:82" s="2" customFormat="1" ht="12.75" customHeight="1" x14ac:dyDescent="0.2">
      <c r="A819" s="42" t="s">
        <v>144</v>
      </c>
      <c r="B819" s="42" t="s">
        <v>183</v>
      </c>
      <c r="C819" s="15">
        <f>+C817*C840</f>
        <v>67.459000000000003</v>
      </c>
      <c r="D819" s="100" t="str">
        <f>IF(ISERROR(C819/#REF!),"NA",IF(OR(C819/#REF!&gt;2,C819/#REF!&lt;0.5),"NM",C819/#REF!*100-100))</f>
        <v>NA</v>
      </c>
      <c r="E819" s="15">
        <f>+E817*E840</f>
        <v>67.596999999999994</v>
      </c>
      <c r="F819" s="100" t="str">
        <f>IF(ISERROR(E819/#REF!),"NA",IF(OR(E819/#REF!&gt;2,E819/#REF!&lt;0.5),"NM",E819/#REF!*100-100))</f>
        <v>NA</v>
      </c>
      <c r="G819" s="15">
        <f>+G817*G840</f>
        <v>76.414000000000001</v>
      </c>
      <c r="H819" s="100" t="str">
        <f>IF(ISERROR(G819/#REF!),"NA",IF(OR(G819/#REF!&gt;2,G819/#REF!&lt;0.5),"NM",G819/#REF!*100-100))</f>
        <v>NA</v>
      </c>
      <c r="I819" s="15">
        <f>+I817*I840</f>
        <v>76.751999999999995</v>
      </c>
      <c r="J819" s="100" t="str">
        <f>IF(ISERROR(I819/#REF!),"NA",IF(OR(I819/#REF!&gt;2,I819/#REF!&lt;0.5),"NM",I819/#REF!*100-100))</f>
        <v>NA</v>
      </c>
      <c r="K819" s="15">
        <f>+K817*K840</f>
        <v>82.544000000000011</v>
      </c>
      <c r="L819" s="100">
        <f>IF(ISERROR(K819/C819),"NA",IF(OR(K819/C819&gt;2,K819/C819&lt;0.5),"NM",K819/C819*100-100))</f>
        <v>22.361730829096203</v>
      </c>
      <c r="M819" s="15">
        <f>+M817*M840</f>
        <v>94.016000000000005</v>
      </c>
      <c r="N819" s="9">
        <f t="shared" si="3399"/>
        <v>39.083095403642176</v>
      </c>
      <c r="O819" s="15">
        <f>+O817*O840</f>
        <v>99.824000000000012</v>
      </c>
      <c r="P819" s="9">
        <f t="shared" si="3400"/>
        <v>30.635747376135271</v>
      </c>
      <c r="Q819" s="15">
        <f>+Q817*Q840</f>
        <v>99.926000000000002</v>
      </c>
      <c r="R819" s="9">
        <f t="shared" si="3399"/>
        <v>30.193350010423188</v>
      </c>
      <c r="S819" s="15">
        <f>+S817*S840</f>
        <v>105.98399999999999</v>
      </c>
      <c r="T819" s="9">
        <f t="shared" si="3399"/>
        <v>28.396976158170162</v>
      </c>
      <c r="U819" s="15">
        <f>+U817*U840</f>
        <v>111.98599999999999</v>
      </c>
      <c r="V819" s="9">
        <f t="shared" si="3399"/>
        <v>19.113767869298812</v>
      </c>
      <c r="W819" s="15">
        <f t="shared" ref="W819:Y819" si="3423">+W817*W840</f>
        <v>111.53</v>
      </c>
      <c r="X819" s="9">
        <f t="shared" si="3399"/>
        <v>11.726638884436596</v>
      </c>
      <c r="Y819" s="15">
        <f t="shared" si="3423"/>
        <v>110.732</v>
      </c>
      <c r="Z819" s="9">
        <f t="shared" si="3399"/>
        <v>10.814002361747697</v>
      </c>
      <c r="AA819" s="15">
        <f t="shared" ref="AA819:AC819" si="3424">+AA817*AA840</f>
        <v>110.35199999999999</v>
      </c>
      <c r="AB819" s="9">
        <f t="shared" si="3401"/>
        <v>4.1213768115941889</v>
      </c>
      <c r="AC819" s="15">
        <f t="shared" si="3424"/>
        <v>112.32000000000001</v>
      </c>
      <c r="AD819" s="9">
        <f t="shared" si="3402"/>
        <v>0.29825156716019308</v>
      </c>
      <c r="AE819" s="15">
        <f t="shared" ref="AE819:AG819" si="3425">+AE817*AE840</f>
        <v>117.95699999999999</v>
      </c>
      <c r="AF819" s="9">
        <f t="shared" si="3403"/>
        <v>5.7625750919035283</v>
      </c>
      <c r="AG819" s="15">
        <f t="shared" si="3425"/>
        <v>123.711</v>
      </c>
      <c r="AH819" s="9">
        <f t="shared" si="3404"/>
        <v>11.721092367156743</v>
      </c>
      <c r="AI819" s="15">
        <f t="shared" ref="AI819:AK819" si="3426">+AI817*AI840</f>
        <v>129.64500000000001</v>
      </c>
      <c r="AJ819" s="9">
        <f t="shared" si="3405"/>
        <v>17.483144845585059</v>
      </c>
      <c r="AK819" s="15">
        <f t="shared" si="3426"/>
        <v>132.75600000000003</v>
      </c>
      <c r="AL819" s="9">
        <f t="shared" si="3406"/>
        <v>18.194444444444471</v>
      </c>
      <c r="AM819" s="15">
        <f t="shared" ref="AM819:AO819" si="3427">+AM817*AM840</f>
        <v>135.595</v>
      </c>
      <c r="AN819" s="9">
        <f t="shared" si="3407"/>
        <v>14.952906567647545</v>
      </c>
      <c r="AO819" s="15">
        <f t="shared" si="3427"/>
        <v>141.60999999999999</v>
      </c>
      <c r="AP819" s="9">
        <f t="shared" si="3408"/>
        <v>14.468398121428152</v>
      </c>
      <c r="AQ819" s="15">
        <f t="shared" ref="AQ819:AW819" si="3428">+AQ817*AQ840</f>
        <v>146.85564929080027</v>
      </c>
      <c r="AR819" s="9">
        <f t="shared" si="3409"/>
        <v>13.275212534845366</v>
      </c>
      <c r="AS819" s="15">
        <f t="shared" si="3428"/>
        <v>146.44694097390965</v>
      </c>
      <c r="AT819" s="9">
        <f t="shared" si="3411"/>
        <v>10.312860416033629</v>
      </c>
      <c r="AU819" s="15">
        <f t="shared" si="3428"/>
        <v>151.77469090700151</v>
      </c>
      <c r="AV819" s="9">
        <f t="shared" si="3412"/>
        <v>11.932365431617328</v>
      </c>
      <c r="AW819" s="15">
        <f t="shared" si="3428"/>
        <v>151.56306194488286</v>
      </c>
      <c r="AX819" s="9">
        <f t="shared" si="3414"/>
        <v>7.0285021854974019</v>
      </c>
      <c r="AY819" s="279"/>
      <c r="AZ819" s="15"/>
      <c r="BA819" s="100" t="str">
        <f>IF(ISERROR(#REF!/#REF!),"NA",IF(OR(#REF!/#REF!&gt;2,#REF!/#REF!&lt;0.5),"NM",#REF!/#REF!*100-100))</f>
        <v>NA</v>
      </c>
      <c r="BB819" s="15">
        <f>+BB817*BB840</f>
        <v>287.72800000000001</v>
      </c>
      <c r="BC819" s="9" t="str">
        <f>IF(ISERROR(BB819/#REF!),"NA",IF(OR(BB819/#REF!&gt;2,BB819/#REF!&lt;0.5),"NM",BB819/#REF!*100-100))</f>
        <v>NA</v>
      </c>
      <c r="BD819" s="924">
        <f>+BD817*BD840</f>
        <v>376.19200000000006</v>
      </c>
      <c r="BE819" s="9">
        <f t="shared" si="3415"/>
        <v>30.745704276260938</v>
      </c>
      <c r="BF819" s="15">
        <f>+BF817*BF840</f>
        <v>437.09999999999997</v>
      </c>
      <c r="BG819" s="9">
        <f t="shared" si="3415"/>
        <v>16.190668594760083</v>
      </c>
      <c r="BH819" s="15">
        <f>+BH817*BH840</f>
        <v>463.19699999999995</v>
      </c>
      <c r="BI819" s="9">
        <f t="shared" si="3415"/>
        <v>5.9704873026767302</v>
      </c>
      <c r="BJ819" s="15">
        <f>+BJ817*BJ840</f>
        <v>540.42999999999995</v>
      </c>
      <c r="BK819" s="9">
        <f t="shared" si="3415"/>
        <v>16.673899010572171</v>
      </c>
      <c r="BL819" s="15">
        <f>+BL817*BL840</f>
        <v>594.81352612331386</v>
      </c>
      <c r="BM819" s="9">
        <f t="shared" si="3415"/>
        <v>10.063010218402752</v>
      </c>
      <c r="BN819" s="15">
        <f>+BN817*BN840</f>
        <v>654.18508333948444</v>
      </c>
      <c r="BO819" s="9">
        <f t="shared" si="3415"/>
        <v>9.9815412072290286</v>
      </c>
      <c r="BP819" s="15">
        <f>+BP817*BP840</f>
        <v>720.29690759387427</v>
      </c>
      <c r="BQ819" s="9">
        <f t="shared" si="3415"/>
        <v>10.105981615615889</v>
      </c>
      <c r="BR819" s="15">
        <f>+BR817*BR840</f>
        <v>792.91052927871749</v>
      </c>
      <c r="BS819" s="9">
        <f t="shared" si="3415"/>
        <v>10.081068087242855</v>
      </c>
      <c r="BT819" s="15">
        <f>+BT817*BT840</f>
        <v>873.98341954632656</v>
      </c>
      <c r="BU819" s="9">
        <f t="shared" si="3416"/>
        <v>10.224721109626088</v>
      </c>
      <c r="BV819" s="43">
        <f>IF(ISERROR(((BT819/BJ819)^0.2-1)*100),"NA",IF((((BT819/BJ819)^0.2-1)*100)&gt;100,"NM",IF((((BT819/BJ819)^0.2-1)*100)&lt;-50,"NM",((BT819/BJ819)^0.2-1)*100)))</f>
        <v>10.091236323251396</v>
      </c>
      <c r="BW819" s="722"/>
      <c r="BX819" s="722"/>
      <c r="BY819"/>
      <c r="BZ819"/>
      <c r="CA819"/>
      <c r="CB819"/>
      <c r="CC819"/>
      <c r="CD819"/>
    </row>
    <row r="820" spans="1:82" s="2" customFormat="1" ht="12.75" customHeight="1" x14ac:dyDescent="0.2">
      <c r="A820" s="42"/>
      <c r="B820" s="158"/>
      <c r="C820" s="57"/>
      <c r="D820" s="40"/>
      <c r="E820" s="57"/>
      <c r="F820" s="40"/>
      <c r="G820" s="57"/>
      <c r="H820" s="40"/>
      <c r="I820" s="57"/>
      <c r="J820" s="40"/>
      <c r="K820" s="57"/>
      <c r="L820" s="40"/>
      <c r="M820" s="57"/>
      <c r="N820" s="40"/>
      <c r="O820" s="57"/>
      <c r="P820" s="40"/>
      <c r="Q820" s="57"/>
      <c r="R820" s="40"/>
      <c r="S820" s="57"/>
      <c r="T820" s="40"/>
      <c r="U820" s="57"/>
      <c r="V820" s="40"/>
      <c r="W820" s="57"/>
      <c r="X820" s="40"/>
      <c r="Y820" s="57"/>
      <c r="Z820" s="40"/>
      <c r="AA820" s="57"/>
      <c r="AB820" s="40"/>
      <c r="AC820" s="57"/>
      <c r="AD820" s="40"/>
      <c r="AE820" s="57"/>
      <c r="AF820" s="40"/>
      <c r="AG820" s="57"/>
      <c r="AH820" s="40"/>
      <c r="AI820" s="57"/>
      <c r="AJ820" s="40"/>
      <c r="AK820" s="57"/>
      <c r="AL820" s="40"/>
      <c r="AM820" s="57"/>
      <c r="AN820" s="40"/>
      <c r="AO820" s="57"/>
      <c r="AP820" s="40"/>
      <c r="AQ820" s="57"/>
      <c r="AR820" s="40"/>
      <c r="AS820" s="57"/>
      <c r="AT820" s="40"/>
      <c r="AU820" s="57"/>
      <c r="AV820" s="40"/>
      <c r="AW820" s="57"/>
      <c r="AX820" s="40"/>
      <c r="AY820" s="279"/>
      <c r="AZ820" s="15"/>
      <c r="BA820" s="40"/>
      <c r="BB820" s="57"/>
      <c r="BC820" s="40"/>
      <c r="BD820" s="911"/>
      <c r="BE820" s="40"/>
      <c r="BF820" s="57"/>
      <c r="BG820" s="40"/>
      <c r="BH820" s="57"/>
      <c r="BI820" s="40"/>
      <c r="BJ820" s="57"/>
      <c r="BK820" s="40"/>
      <c r="BL820" s="57"/>
      <c r="BM820" s="40"/>
      <c r="BN820" s="57"/>
      <c r="BO820" s="40"/>
      <c r="BP820" s="57"/>
      <c r="BQ820" s="40"/>
      <c r="BR820" s="57"/>
      <c r="BS820" s="40"/>
      <c r="BT820" s="57"/>
      <c r="BU820" s="40"/>
      <c r="BV820" s="722"/>
      <c r="BW820" s="722"/>
      <c r="BX820" s="722"/>
      <c r="BY820"/>
      <c r="BZ820"/>
      <c r="CA820"/>
      <c r="CB820"/>
      <c r="CC820"/>
      <c r="CD820"/>
    </row>
    <row r="821" spans="1:82" s="2" customFormat="1" ht="12.75" customHeight="1" x14ac:dyDescent="0.2">
      <c r="A821" s="42"/>
      <c r="B821" s="158" t="s">
        <v>184</v>
      </c>
      <c r="C821" s="57"/>
      <c r="D821" s="40"/>
      <c r="E821" s="57"/>
      <c r="F821" s="40"/>
      <c r="G821" s="57"/>
      <c r="H821" s="40"/>
      <c r="I821" s="57"/>
      <c r="J821" s="40"/>
      <c r="K821" s="57"/>
      <c r="L821" s="40"/>
      <c r="M821" s="57"/>
      <c r="N821" s="40"/>
      <c r="O821" s="57"/>
      <c r="P821" s="40"/>
      <c r="Q821" s="57"/>
      <c r="R821" s="40"/>
      <c r="S821" s="57"/>
      <c r="T821" s="40"/>
      <c r="U821" s="801"/>
      <c r="V821" s="40"/>
      <c r="W821" s="57"/>
      <c r="X821" s="40"/>
      <c r="Y821" s="57"/>
      <c r="Z821" s="40"/>
      <c r="AA821" s="57"/>
      <c r="AB821" s="40"/>
      <c r="AC821" s="57"/>
      <c r="AD821" s="40"/>
      <c r="AE821" s="57"/>
      <c r="AF821" s="40"/>
      <c r="AG821" s="57"/>
      <c r="AH821" s="40"/>
      <c r="AI821" s="57"/>
      <c r="AJ821" s="40"/>
      <c r="AK821" s="57"/>
      <c r="AL821" s="40"/>
      <c r="AM821" s="57"/>
      <c r="AN821" s="40"/>
      <c r="AO821" s="57"/>
      <c r="AP821" s="40"/>
      <c r="AQ821" s="57"/>
      <c r="AR821" s="40"/>
      <c r="AS821" s="57"/>
      <c r="AT821" s="40"/>
      <c r="AU821" s="57"/>
      <c r="AV821" s="40"/>
      <c r="AW821" s="57"/>
      <c r="AX821" s="40"/>
      <c r="AY821" s="279"/>
      <c r="AZ821" s="15"/>
      <c r="BA821" s="40"/>
      <c r="BB821" s="57"/>
      <c r="BC821" s="40"/>
      <c r="BD821" s="911"/>
      <c r="BE821" s="40"/>
      <c r="BF821" s="57"/>
      <c r="BG821" s="40"/>
      <c r="BH821" s="57"/>
      <c r="BI821" s="40"/>
      <c r="BJ821" s="57"/>
      <c r="BK821" s="40"/>
      <c r="BL821" s="57"/>
      <c r="BM821" s="40"/>
      <c r="BN821" s="57"/>
      <c r="BO821" s="40"/>
      <c r="BP821" s="57"/>
      <c r="BQ821" s="40"/>
      <c r="BR821" s="57"/>
      <c r="BS821" s="40"/>
      <c r="BT821" s="57"/>
      <c r="BU821" s="40"/>
      <c r="BV821" s="722"/>
      <c r="BW821" s="722"/>
      <c r="BX821" s="722"/>
      <c r="BY821"/>
      <c r="BZ821"/>
      <c r="CA821"/>
      <c r="CB821"/>
      <c r="CC821"/>
      <c r="CD821"/>
    </row>
    <row r="822" spans="1:82" s="2" customFormat="1" ht="12.75" customHeight="1" x14ac:dyDescent="0.2">
      <c r="A822" s="42"/>
      <c r="B822" s="158" t="s">
        <v>185</v>
      </c>
      <c r="C822" s="78">
        <v>0</v>
      </c>
      <c r="D822" s="9" t="str">
        <f>IF(ISERROR(C822/#REF!),"NA",IF(OR(C822/#REF!&gt;2,C822/#REF!&lt;0.5),"NM",C822/#REF!*100-100))</f>
        <v>NA</v>
      </c>
      <c r="E822" s="78">
        <v>0</v>
      </c>
      <c r="F822" s="9" t="str">
        <f>IF(ISERROR(E822/#REF!),"NA",IF(OR(E822/#REF!&gt;2,E822/#REF!&lt;0.5),"NM",E822/#REF!*100-100))</f>
        <v>NA</v>
      </c>
      <c r="G822" s="78">
        <v>0</v>
      </c>
      <c r="H822" s="9" t="str">
        <f>IF(ISERROR(G822/#REF!),"NA",IF(OR(G822/#REF!&gt;2,G822/#REF!&lt;0.5),"NM",G822/#REF!*100-100))</f>
        <v>NA</v>
      </c>
      <c r="I822" s="78">
        <v>0</v>
      </c>
      <c r="J822" s="9" t="str">
        <f>IF(ISERROR(I822/#REF!),"NA",IF(OR(I822/#REF!&gt;2,I822/#REF!&lt;0.5),"NM",I822/#REF!*100-100))</f>
        <v>NA</v>
      </c>
      <c r="K822" s="78">
        <v>0</v>
      </c>
      <c r="L822" s="9" t="str">
        <f>IF(ISERROR(K822/C822),"NA",IF(OR(K822/C822&gt;2,K822/C822&lt;0.5),"NM",K822/C822*100-100))</f>
        <v>NA</v>
      </c>
      <c r="M822" s="78">
        <v>0</v>
      </c>
      <c r="N822" s="9" t="str">
        <f>IF(ISERROR(M822/E822),"NA",IF(OR(M822/E822&gt;2,M822/E822&lt;0.5),"NM",M822/E822*100-100))</f>
        <v>NA</v>
      </c>
      <c r="O822" s="78">
        <v>0</v>
      </c>
      <c r="P822" s="9" t="str">
        <f t="shared" ref="P822" si="3429">IF(ISERROR(O822/G822),"NA",IF(OR(O822/G822&gt;2,O822/G822&lt;0.5),"NM",O822/G822*100-100))</f>
        <v>NA</v>
      </c>
      <c r="Q822" s="78">
        <v>0</v>
      </c>
      <c r="R822" s="9" t="str">
        <f>IF(ISERROR(Q822/I822),"NA",IF(OR(Q822/I822&gt;2,Q822/I822&lt;0.5),"NM",Q822/I822*100-100))</f>
        <v>NA</v>
      </c>
      <c r="S822" s="78">
        <v>2</v>
      </c>
      <c r="T822" s="9" t="str">
        <f>IF(ISERROR(S822/K822),"NA",IF(OR(S822/K822&gt;2,S822/K822&lt;0.5),"NM",S822/K822*100-100))</f>
        <v>NA</v>
      </c>
      <c r="U822" s="78">
        <v>0.3</v>
      </c>
      <c r="V822" s="9" t="str">
        <f>IF(ISERROR(U822/M822),"NA",IF(OR(U822/M822&gt;2,U822/M822&lt;0.5),"NM",U822/M822*100-100))</f>
        <v>NA</v>
      </c>
      <c r="W822" s="78">
        <v>1</v>
      </c>
      <c r="X822" s="9" t="str">
        <f>IF(ISERROR(W822/O822),"NA",IF(OR(W822/O822&gt;2,W822/O822&lt;0.5),"NM",W822/O822*100-100))</f>
        <v>NA</v>
      </c>
      <c r="Y822" s="78">
        <v>1</v>
      </c>
      <c r="Z822" s="9" t="str">
        <f>IF(ISERROR(Y822/Q822),"NA",IF(OR(Y822/Q822&gt;2,Y822/Q822&lt;0.5),"NM",Y822/Q822*100-100))</f>
        <v>NA</v>
      </c>
      <c r="AA822" s="78">
        <v>1.9</v>
      </c>
      <c r="AB822" s="9">
        <f>IF(ISERROR(AA822/S822),"NA",IF(OR(AA822/S822&gt;2,AA822/S822&lt;0.5),"NM",AA822/S822*100-100))</f>
        <v>-5</v>
      </c>
      <c r="AC822" s="78">
        <v>0</v>
      </c>
      <c r="AD822" s="9" t="str">
        <f>IF(ISERROR(AC822/U822),"NA",IF(OR(AC822/U822&gt;2,AC822/U822&lt;0.5),"NM",AC822/U822*100-100))</f>
        <v>NM</v>
      </c>
      <c r="AE822" s="78">
        <v>0.6</v>
      </c>
      <c r="AF822" s="9">
        <f>IF(ISERROR(AE822/W822),"NA",IF(OR(AE822/W822&gt;2,AE822/W822&lt;0.5),"NM",AE822/W822*100-100))</f>
        <v>-40</v>
      </c>
      <c r="AG822" s="78">
        <f>3-AE822-AC822-AA822</f>
        <v>0.5</v>
      </c>
      <c r="AH822" s="9">
        <f>IF(ISERROR(AG822/Y822),"NA",IF(OR(AG822/Y822&gt;2,AG822/Y822&lt;0.5),"NM",AG822/Y822*100-100))</f>
        <v>-50</v>
      </c>
      <c r="AI822" s="78">
        <v>0</v>
      </c>
      <c r="AJ822" s="9" t="str">
        <f t="shared" ref="AJ822:AJ825" si="3430">IF(ISERROR(AI822/AA822),"NA",IF(OR(AI822/AA822&gt;2,AI822/AA822&lt;0.5),"NM",AI822/AA822*100-100))</f>
        <v>NM</v>
      </c>
      <c r="AK822" s="78">
        <v>0</v>
      </c>
      <c r="AL822" s="9" t="str">
        <f t="shared" ref="AL822:AL825" si="3431">IF(ISERROR(AK822/AC822),"NA",IF(OR(AK822/AC822&gt;2,AK822/AC822&lt;0.5),"NM",AK822/AC822*100-100))</f>
        <v>NA</v>
      </c>
      <c r="AM822" s="78">
        <v>0</v>
      </c>
      <c r="AN822" s="9" t="str">
        <f t="shared" ref="AN822:AN825" si="3432">IF(ISERROR(AM822/AE822),"NA",IF(OR(AM822/AE822&gt;2,AM822/AE822&lt;0.5),"NM",AM822/AE822*100-100))</f>
        <v>NM</v>
      </c>
      <c r="AO822" s="78">
        <v>0</v>
      </c>
      <c r="AP822" s="9" t="str">
        <f t="shared" ref="AP822:AP825" si="3433">IF(ISERROR(AO822/AG822),"NA",IF(OR(AO822/AG822&gt;2,AO822/AG822&lt;0.5),"NM",AO822/AG822*100-100))</f>
        <v>NM</v>
      </c>
      <c r="AQ822" s="78">
        <v>0.7</v>
      </c>
      <c r="AR822" s="9" t="str">
        <f t="shared" ref="AR822:AR825" si="3434">IF(ISERROR(AQ822/AI822),"NA",IF(OR(AQ822/AI822&gt;2,AQ822/AI822&lt;0.5),"NM",AQ822/AI822*100-100))</f>
        <v>NA</v>
      </c>
      <c r="AS822" s="78">
        <f>AQ822</f>
        <v>0.7</v>
      </c>
      <c r="AT822" s="9" t="str">
        <f t="shared" ref="AT822:AT825" si="3435">IF(ISERROR(AS822/AK822),"NA",IF(OR(AS822/AK822&gt;2,AS822/AK822&lt;0.5),"NM",AS822/AK822*100-100))</f>
        <v>NA</v>
      </c>
      <c r="AU822" s="78">
        <f>AS822</f>
        <v>0.7</v>
      </c>
      <c r="AV822" s="9" t="str">
        <f t="shared" ref="AV822:AV825" si="3436">IF(ISERROR(AU822/AM822),"NA",IF(OR(AU822/AM822&gt;2,AU822/AM822&lt;0.5),"NM",AU822/AM822*100-100))</f>
        <v>NA</v>
      </c>
      <c r="AW822" s="78">
        <f>AU822</f>
        <v>0.7</v>
      </c>
      <c r="AX822" s="9" t="str">
        <f t="shared" ref="AX822:AX825" si="3437">IF(ISERROR(AW822/AO822),"NA",IF(OR(AW822/AO822&gt;2,AW822/AO822&lt;0.5),"NM",AW822/AO822*100-100))</f>
        <v>NA</v>
      </c>
      <c r="AY822" s="279"/>
      <c r="AZ822" s="15"/>
      <c r="BA822" s="9" t="str">
        <f>IF(ISERROR(#REF!/#REF!),"NA",IF(OR(#REF!/#REF!&gt;2,#REF!/#REF!&lt;0.5),"NM",#REF!/#REF!*100-100))</f>
        <v>NA</v>
      </c>
      <c r="BB822" s="726">
        <f>O822+Q822+S822+U822</f>
        <v>2.2999999999999998</v>
      </c>
      <c r="BC822" s="9" t="str">
        <f>IF(ISERROR(BB822/#REF!),"NA",IF(OR(BB822/#REF!&gt;2,BB822/#REF!&lt;0.5),"NM",BB822/#REF!*100-100))</f>
        <v>NA</v>
      </c>
      <c r="BD822" s="963">
        <f>Q822+S822+U822+W822</f>
        <v>3.3</v>
      </c>
      <c r="BE822" s="9">
        <f t="shared" ref="BE822:BS825" si="3438">IF(ISERROR(BD822/BB822),"NA",IF(OR(BD822/BB822&gt;2,BD822/BB822&lt;0.5),"NM",BD822/BB822*100-100))</f>
        <v>43.478260869565219</v>
      </c>
      <c r="BF822" s="726">
        <f>S822+U822+W822+Y822</f>
        <v>4.3</v>
      </c>
      <c r="BG822" s="9">
        <f t="shared" si="3438"/>
        <v>30.303030303030312</v>
      </c>
      <c r="BH822" s="726">
        <f>AA822+AC822+AE822+AG822</f>
        <v>3</v>
      </c>
      <c r="BI822" s="9">
        <f t="shared" si="3438"/>
        <v>-30.232558139534888</v>
      </c>
      <c r="BJ822" s="726">
        <f>AI822+AK822+AM822+AO822</f>
        <v>0</v>
      </c>
      <c r="BK822" s="9" t="str">
        <f t="shared" si="3438"/>
        <v>NM</v>
      </c>
      <c r="BL822" s="726">
        <f>AQ822+AS822+AU822+AW822</f>
        <v>2.8</v>
      </c>
      <c r="BM822" s="9" t="str">
        <f t="shared" si="3438"/>
        <v>NA</v>
      </c>
      <c r="BN822" s="652">
        <f>BL822</f>
        <v>2.8</v>
      </c>
      <c r="BO822" s="9">
        <f t="shared" si="3438"/>
        <v>0</v>
      </c>
      <c r="BP822" s="652">
        <f>BN822</f>
        <v>2.8</v>
      </c>
      <c r="BQ822" s="9">
        <f t="shared" si="3438"/>
        <v>0</v>
      </c>
      <c r="BR822" s="652">
        <f>BP822</f>
        <v>2.8</v>
      </c>
      <c r="BS822" s="9">
        <f t="shared" si="3438"/>
        <v>0</v>
      </c>
      <c r="BT822" s="652">
        <f>BR822</f>
        <v>2.8</v>
      </c>
      <c r="BU822" s="9">
        <f t="shared" ref="BU822:BU825" si="3439">IF(ISERROR(BT822/BR822),"NA",IF(OR(BT822/BR822&gt;2,BT822/BR822&lt;0.5),"NM",BT822/BR822*100-100))</f>
        <v>0</v>
      </c>
      <c r="BV822" s="43" t="str">
        <f>IF(ISERROR(((BT822/BJ822)^0.2-1)*100),"NA",IF((((BT822/BJ822)^0.2-1)*100)&gt;100,"NM",IF((((BT822/BJ822)^0.2-1)*100)&lt;-50,"NM",((BT822/BJ822)^0.2-1)*100)))</f>
        <v>NA</v>
      </c>
      <c r="BW822" s="722"/>
      <c r="BX822" s="722"/>
      <c r="BY822"/>
      <c r="BZ822"/>
      <c r="CA822"/>
      <c r="CB822"/>
      <c r="CC822"/>
      <c r="CD822"/>
    </row>
    <row r="823" spans="1:82" s="2" customFormat="1" ht="12.75" customHeight="1" x14ac:dyDescent="0.2">
      <c r="B823" s="159" t="s">
        <v>186</v>
      </c>
      <c r="C823" s="564">
        <v>0</v>
      </c>
      <c r="D823" s="9" t="str">
        <f>IF(ISERROR(C823/#REF!),"NA",IF(OR(C823/#REF!&gt;2,C823/#REF!&lt;0.5),"NM",C823/#REF!*100-100))</f>
        <v>NA</v>
      </c>
      <c r="E823" s="564">
        <v>0</v>
      </c>
      <c r="F823" s="9" t="str">
        <f>IF(ISERROR(E823/#REF!),"NA",IF(OR(E823/#REF!&gt;2,E823/#REF!&lt;0.5),"NM",E823/#REF!*100-100))</f>
        <v>NA</v>
      </c>
      <c r="G823" s="564">
        <v>0</v>
      </c>
      <c r="H823" s="9" t="str">
        <f>IF(ISERROR(G823/#REF!),"NA",IF(OR(G823/#REF!&gt;2,G823/#REF!&lt;0.5),"NM",G823/#REF!*100-100))</f>
        <v>NA</v>
      </c>
      <c r="I823" s="564">
        <v>0</v>
      </c>
      <c r="J823" s="9" t="str">
        <f>IF(ISERROR(I823/#REF!),"NA",IF(OR(I823/#REF!&gt;2,I823/#REF!&lt;0.5),"NM",I823/#REF!*100-100))</f>
        <v>NA</v>
      </c>
      <c r="K823" s="564">
        <v>0</v>
      </c>
      <c r="L823" s="9" t="str">
        <f>IF(ISERROR(K823/C823),"NA",IF(OR(K823/C823&gt;2,K823/C823&lt;0.5),"NM",K823/C823*100-100))</f>
        <v>NA</v>
      </c>
      <c r="M823" s="564">
        <v>0</v>
      </c>
      <c r="N823" s="9" t="str">
        <f>IF(ISERROR(M823/E823),"NA",IF(OR(M823/E823&gt;2,M823/E823&lt;0.5),"NM",M823/E823*100-100))</f>
        <v>NA</v>
      </c>
      <c r="O823" s="564">
        <v>0</v>
      </c>
      <c r="P823" s="9" t="str">
        <f>IF(ISERROR(O823/G823),"NA",IF(OR(O823/G823&gt;2,O823/G823&lt;0.5),"NM",O823/G823*100-100))</f>
        <v>NA</v>
      </c>
      <c r="Q823" s="564">
        <v>0</v>
      </c>
      <c r="R823" s="9" t="str">
        <f>IF(ISERROR(Q823/I823),"NA",IF(OR(Q823/I823&gt;2,Q823/I823&lt;0.5),"NM",Q823/I823*100-100))</f>
        <v>NA</v>
      </c>
      <c r="S823" s="164">
        <f>+S828*0.75</f>
        <v>38.115000000000002</v>
      </c>
      <c r="T823" s="9" t="str">
        <f>IF(ISERROR(S823/K823),"NA",IF(OR(S823/K823&gt;2,S823/K823&lt;0.5),"NM",S823/K823*100-100))</f>
        <v>NA</v>
      </c>
      <c r="U823" s="164">
        <f>+U828*0.75</f>
        <v>38.115000000000002</v>
      </c>
      <c r="V823" s="9" t="str">
        <f>IF(ISERROR(U823/M823),"NA",IF(OR(U823/M823&gt;2,U823/M823&lt;0.5),"NM",U823/M823*100-100))</f>
        <v>NA</v>
      </c>
      <c r="W823" s="164">
        <f>+W828*0.75</f>
        <v>38.355000000000004</v>
      </c>
      <c r="X823" s="9" t="str">
        <f>IF(ISERROR(W823/O823),"NA",IF(OR(W823/O823&gt;2,W823/O823&lt;0.5),"NM",W823/O823*100-100))</f>
        <v>NA</v>
      </c>
      <c r="Y823" s="164">
        <f>+Y828*0.75</f>
        <v>36.384782608695659</v>
      </c>
      <c r="Z823" s="9" t="str">
        <f>IF(ISERROR(Y823/Q823),"NA",IF(OR(Y823/Q823&gt;2,Y823/Q823&lt;0.5),"NM",Y823/Q823*100-100))</f>
        <v>NA</v>
      </c>
      <c r="AA823" s="164">
        <f>+AA828*0.75</f>
        <v>27.704999999999998</v>
      </c>
      <c r="AB823" s="9">
        <f>IF(ISERROR(AA823/S823),"NA",IF(OR(AA823/S823&gt;2,AA823/S823&lt;0.5),"NM",AA823/S823*100-100))</f>
        <v>-27.312081857536413</v>
      </c>
      <c r="AC823" s="164">
        <f>+AC828*0.75</f>
        <v>31.545000000000002</v>
      </c>
      <c r="AD823" s="9">
        <f>IF(ISERROR(AC823/U823),"NA",IF(OR(AC823/U823&gt;2,AC823/U823&lt;0.5),"NM",AC823/U823*100-100))</f>
        <v>-17.237308146399059</v>
      </c>
      <c r="AE823" s="164">
        <f>+AE828*0.75</f>
        <v>31.005000000000003</v>
      </c>
      <c r="AF823" s="9">
        <f>IF(ISERROR(AE823/W823),"NA",IF(OR(AE823/W823&gt;2,AE823/W823&lt;0.5),"NM",AE823/W823*100-100))</f>
        <v>-19.163081736409865</v>
      </c>
      <c r="AG823" s="164">
        <f>+AG828*0.75</f>
        <v>44.047499999999999</v>
      </c>
      <c r="AH823" s="9">
        <f>IF(ISERROR(AG823/Y823),"NA",IF(OR(AG823/Y823&gt;2,AG823/Y823&lt;0.5),"NM",AG823/Y823*100-100))</f>
        <v>21.060225846925945</v>
      </c>
      <c r="AI823" s="164">
        <f>+AI828*0.75</f>
        <v>45.72</v>
      </c>
      <c r="AJ823" s="9">
        <f t="shared" si="3430"/>
        <v>65.024363833243115</v>
      </c>
      <c r="AK823" s="164">
        <f>+AK828*0.75</f>
        <v>47.197499999999998</v>
      </c>
      <c r="AL823" s="9">
        <f t="shared" si="3431"/>
        <v>49.619591060389922</v>
      </c>
      <c r="AM823" s="164">
        <f t="shared" ref="AM823:AO823" si="3440">+AM828*0.75</f>
        <v>47.2425</v>
      </c>
      <c r="AN823" s="9">
        <f t="shared" si="3432"/>
        <v>52.370585389453282</v>
      </c>
      <c r="AO823" s="164">
        <f t="shared" si="3440"/>
        <v>47.2425</v>
      </c>
      <c r="AP823" s="9">
        <f t="shared" si="3433"/>
        <v>7.253533117657085</v>
      </c>
      <c r="AQ823" s="164">
        <f t="shared" ref="AQ823:AW823" si="3441">+AQ828*0.75</f>
        <v>49.349262356557389</v>
      </c>
      <c r="AR823" s="9">
        <f t="shared" si="3434"/>
        <v>7.9380191525752082</v>
      </c>
      <c r="AS823" s="164">
        <f t="shared" si="3441"/>
        <v>49.953747603688534</v>
      </c>
      <c r="AT823" s="9">
        <f t="shared" si="3435"/>
        <v>5.8398169472716432</v>
      </c>
      <c r="AU823" s="164">
        <f t="shared" si="3441"/>
        <v>50.555322555762302</v>
      </c>
      <c r="AV823" s="9">
        <f t="shared" si="3436"/>
        <v>7.0123777441124133</v>
      </c>
      <c r="AW823" s="164">
        <f t="shared" si="3441"/>
        <v>51.168929006877548</v>
      </c>
      <c r="AX823" s="9">
        <f t="shared" si="3437"/>
        <v>8.3112219016299775</v>
      </c>
      <c r="AY823" s="279"/>
      <c r="AZ823" s="15"/>
      <c r="BA823" s="9" t="str">
        <f>IF(ISERROR(#REF!/#REF!),"NA",IF(OR(#REF!/#REF!&gt;2,#REF!/#REF!&lt;0.5),"NM",#REF!/#REF!*100-100))</f>
        <v>NA</v>
      </c>
      <c r="BB823" s="703">
        <f>AVERAGE(O823,Q823,S823,U823)</f>
        <v>19.057500000000001</v>
      </c>
      <c r="BC823" s="9" t="str">
        <f>IF(ISERROR(BB823/#REF!),"NA",IF(OR(BB823/#REF!&gt;2,BB823/#REF!&lt;0.5),"NM",BB823/#REF!*100-100))</f>
        <v>NA</v>
      </c>
      <c r="BD823" s="964">
        <f>AVERAGE(Q823,S823,U823,W823)</f>
        <v>28.646250000000002</v>
      </c>
      <c r="BE823" s="9">
        <f t="shared" si="3438"/>
        <v>50.314836678473057</v>
      </c>
      <c r="BF823" s="703">
        <f>AVERAGE(S823,U823,W823,Y823)</f>
        <v>37.742445652173913</v>
      </c>
      <c r="BG823" s="9">
        <f t="shared" si="3438"/>
        <v>31.753530225331104</v>
      </c>
      <c r="BH823" s="703">
        <f>AVERAGE(AA823,AC823,AE823,AG823)</f>
        <v>33.575625000000002</v>
      </c>
      <c r="BI823" s="9">
        <f t="shared" si="3438"/>
        <v>-11.040144802947893</v>
      </c>
      <c r="BJ823" s="703">
        <f>AVERAGE(AI823,AK823,AM823,AO823)</f>
        <v>46.850625000000001</v>
      </c>
      <c r="BK823" s="9">
        <f t="shared" si="3438"/>
        <v>39.537610990115581</v>
      </c>
      <c r="BL823" s="703">
        <f>AVERAGE(AQ823,AS823,AU823,AW823)</f>
        <v>50.256815380721449</v>
      </c>
      <c r="BM823" s="9">
        <f t="shared" si="3438"/>
        <v>7.2703200452959749</v>
      </c>
      <c r="BN823" s="164">
        <f>+BN828*0.75</f>
        <v>52.545760611179162</v>
      </c>
      <c r="BO823" s="9">
        <f t="shared" si="3438"/>
        <v>4.5544971624599953</v>
      </c>
      <c r="BP823" s="164">
        <f>+BP828*0.75</f>
        <v>54.825613860073503</v>
      </c>
      <c r="BQ823" s="9">
        <f t="shared" si="3438"/>
        <v>4.3387957893777269</v>
      </c>
      <c r="BR823" s="164">
        <f>+BR828*0.75</f>
        <v>57.076236532879378</v>
      </c>
      <c r="BS823" s="9">
        <f t="shared" si="3438"/>
        <v>4.1050569512088657</v>
      </c>
      <c r="BT823" s="164">
        <f>+BT828*0.75</f>
        <v>59.272012111549742</v>
      </c>
      <c r="BU823" s="9">
        <f t="shared" si="3439"/>
        <v>3.847092436456407</v>
      </c>
      <c r="BV823" s="43">
        <f>IF(ISERROR(((BT823/BJ823)^0.2-1)*100),"NA",IF((((BT823/BJ823)^0.2-1)*100)&gt;100,"NM",IF((((BT823/BJ823)^0.2-1)*100)&lt;-50,"NM",((BT823/BJ823)^0.2-1)*100)))</f>
        <v>4.8158248400737458</v>
      </c>
      <c r="BW823" s="722"/>
      <c r="BX823" s="722"/>
      <c r="BY823"/>
      <c r="BZ823"/>
      <c r="CA823"/>
      <c r="CB823"/>
      <c r="CC823"/>
      <c r="CD823"/>
    </row>
    <row r="824" spans="1:82" s="2" customFormat="1" ht="12.75" customHeight="1" x14ac:dyDescent="0.2">
      <c r="A824" s="41"/>
      <c r="B824" s="159" t="s">
        <v>297</v>
      </c>
      <c r="C824" s="78">
        <v>50</v>
      </c>
      <c r="D824" s="9" t="str">
        <f>IF(ISERROR(C824/#REF!),"NA",IF(OR(C824/#REF!&gt;2,C824/#REF!&lt;0.5),"NM",C824/#REF!*100-100))</f>
        <v>NA</v>
      </c>
      <c r="E824" s="78">
        <v>50</v>
      </c>
      <c r="F824" s="9" t="str">
        <f>IF(ISERROR(E824/#REF!),"NA",IF(OR(E824/#REF!&gt;2,E824/#REF!&lt;0.5),"NM",E824/#REF!*100-100))</f>
        <v>NA</v>
      </c>
      <c r="G824" s="78">
        <v>50</v>
      </c>
      <c r="H824" s="9" t="str">
        <f>IF(ISERROR(G824/#REF!),"NA",IF(OR(G824/#REF!&gt;2,G824/#REF!&lt;0.5),"NM",G824/#REF!*100-100))</f>
        <v>NA</v>
      </c>
      <c r="I824" s="78">
        <v>50</v>
      </c>
      <c r="J824" s="9" t="str">
        <f>IF(ISERROR(I824/#REF!),"NA",IF(OR(I824/#REF!&gt;2,I824/#REF!&lt;0.5),"NM",I824/#REF!*100-100))</f>
        <v>NA</v>
      </c>
      <c r="K824" s="78">
        <v>50</v>
      </c>
      <c r="L824" s="9">
        <f>IF(ISERROR(K824/C824),"NA",IF(OR(K824/C824&gt;2,K824/C824&lt;0.5),"NM",K824/C824*100-100))</f>
        <v>0</v>
      </c>
      <c r="M824" s="78">
        <v>50</v>
      </c>
      <c r="N824" s="9">
        <f>IF(ISERROR(M824/E824),"NA",IF(OR(M824/E824&gt;2,M824/E824&lt;0.5),"NM",M824/E824*100-100))</f>
        <v>0</v>
      </c>
      <c r="O824" s="78">
        <v>50</v>
      </c>
      <c r="P824" s="9">
        <f>IF(ISERROR(O824/G824),"NA",IF(OR(O824/G824&gt;2,O824/G824&lt;0.5),"NM",O824/G824*100-100))</f>
        <v>0</v>
      </c>
      <c r="Q824" s="78">
        <v>50</v>
      </c>
      <c r="R824" s="9">
        <f>IF(ISERROR(Q824/I824),"NA",IF(OR(Q824/I824&gt;2,Q824/I824&lt;0.5),"NM",Q824/I824*100-100))</f>
        <v>0</v>
      </c>
      <c r="S824" s="78">
        <v>50</v>
      </c>
      <c r="T824" s="9">
        <f>IF(ISERROR(S824/K824),"NA",IF(OR(S824/K824&gt;2,S824/K824&lt;0.5),"NM",S824/K824*100-100))</f>
        <v>0</v>
      </c>
      <c r="U824" s="78">
        <v>50</v>
      </c>
      <c r="V824" s="9">
        <f>IF(ISERROR(U824/M824),"NA",IF(OR(U824/M824&gt;2,U824/M824&lt;0.5),"NM",U824/M824*100-100))</f>
        <v>0</v>
      </c>
      <c r="W824" s="702">
        <v>50</v>
      </c>
      <c r="X824" s="9">
        <f>IF(ISERROR(W824/O824),"NA",IF(OR(W824/O824&gt;2,W824/O824&lt;0.5),"NM",W824/O824*100-100))</f>
        <v>0</v>
      </c>
      <c r="Y824" s="702">
        <v>50</v>
      </c>
      <c r="Z824" s="9">
        <f>IF(ISERROR(Y824/Q824),"NA",IF(OR(Y824/Q824&gt;2,Y824/Q824&lt;0.5),"NM",Y824/Q824*100-100))</f>
        <v>0</v>
      </c>
      <c r="AA824" s="702">
        <v>50</v>
      </c>
      <c r="AB824" s="9">
        <f>IF(ISERROR(AA824/S824),"NA",IF(OR(AA824/S824&gt;2,AA824/S824&lt;0.5),"NM",AA824/S824*100-100))</f>
        <v>0</v>
      </c>
      <c r="AC824" s="702">
        <v>50</v>
      </c>
      <c r="AD824" s="9">
        <f>IF(ISERROR(AC824/U824),"NA",IF(OR(AC824/U824&gt;2,AC824/U824&lt;0.5),"NM",AC824/U824*100-100))</f>
        <v>0</v>
      </c>
      <c r="AE824" s="702">
        <v>50</v>
      </c>
      <c r="AF824" s="9">
        <f>IF(ISERROR(AE824/W824),"NA",IF(OR(AE824/W824&gt;2,AE824/W824&lt;0.5),"NM",AE824/W824*100-100))</f>
        <v>0</v>
      </c>
      <c r="AG824" s="702">
        <v>50</v>
      </c>
      <c r="AH824" s="9">
        <f>IF(ISERROR(AG824/Y824),"NA",IF(OR(AG824/Y824&gt;2,AG824/Y824&lt;0.5),"NM",AG824/Y824*100-100))</f>
        <v>0</v>
      </c>
      <c r="AI824" s="702">
        <v>50</v>
      </c>
      <c r="AJ824" s="9">
        <f t="shared" si="3430"/>
        <v>0</v>
      </c>
      <c r="AK824" s="702">
        <v>50</v>
      </c>
      <c r="AL824" s="9">
        <f t="shared" si="3431"/>
        <v>0</v>
      </c>
      <c r="AM824" s="702">
        <v>50</v>
      </c>
      <c r="AN824" s="9">
        <f t="shared" si="3432"/>
        <v>0</v>
      </c>
      <c r="AO824" s="702">
        <v>50</v>
      </c>
      <c r="AP824" s="9">
        <f t="shared" si="3433"/>
        <v>0</v>
      </c>
      <c r="AQ824" s="702">
        <v>50</v>
      </c>
      <c r="AR824" s="9">
        <f t="shared" si="3434"/>
        <v>0</v>
      </c>
      <c r="AS824" s="702">
        <v>50</v>
      </c>
      <c r="AT824" s="9">
        <f t="shared" si="3435"/>
        <v>0</v>
      </c>
      <c r="AU824" s="702">
        <v>50</v>
      </c>
      <c r="AV824" s="9">
        <f t="shared" si="3436"/>
        <v>0</v>
      </c>
      <c r="AW824" s="702">
        <v>50</v>
      </c>
      <c r="AX824" s="9">
        <f t="shared" si="3437"/>
        <v>0</v>
      </c>
      <c r="AY824" s="279"/>
      <c r="AZ824" s="15"/>
      <c r="BA824" s="9" t="str">
        <f>IF(ISERROR(#REF!/#REF!),"NA",IF(OR(#REF!/#REF!&gt;2,#REF!/#REF!&lt;0.5),"NM",#REF!/#REF!*100-100))</f>
        <v>NA</v>
      </c>
      <c r="BB824" s="702">
        <v>50</v>
      </c>
      <c r="BC824" s="9" t="str">
        <f>IF(ISERROR(BB824/#REF!),"NA",IF(OR(BB824/#REF!&gt;2,BB824/#REF!&lt;0.5),"NM",BB824/#REF!*100-100))</f>
        <v>NA</v>
      </c>
      <c r="BD824" s="970">
        <v>50</v>
      </c>
      <c r="BE824" s="9">
        <f t="shared" si="3438"/>
        <v>0</v>
      </c>
      <c r="BF824" s="702">
        <v>50</v>
      </c>
      <c r="BG824" s="9">
        <f t="shared" si="3438"/>
        <v>0</v>
      </c>
      <c r="BH824" s="702">
        <v>50</v>
      </c>
      <c r="BI824" s="9">
        <f t="shared" si="3438"/>
        <v>0</v>
      </c>
      <c r="BJ824" s="702">
        <v>50</v>
      </c>
      <c r="BK824" s="9">
        <f t="shared" si="3438"/>
        <v>0</v>
      </c>
      <c r="BL824" s="702">
        <v>50</v>
      </c>
      <c r="BM824" s="9">
        <f t="shared" si="3438"/>
        <v>0</v>
      </c>
      <c r="BN824" s="652">
        <v>50</v>
      </c>
      <c r="BO824" s="9">
        <f t="shared" si="3438"/>
        <v>0</v>
      </c>
      <c r="BP824" s="652">
        <v>50</v>
      </c>
      <c r="BQ824" s="9">
        <f t="shared" si="3438"/>
        <v>0</v>
      </c>
      <c r="BR824" s="652">
        <v>50</v>
      </c>
      <c r="BS824" s="9">
        <f t="shared" si="3438"/>
        <v>0</v>
      </c>
      <c r="BT824" s="652">
        <v>50</v>
      </c>
      <c r="BU824" s="9">
        <f t="shared" si="3439"/>
        <v>0</v>
      </c>
      <c r="BV824" s="43">
        <f>IF(ISERROR(((BT824/BJ824)^0.2-1)*100),"NA",IF((((BT824/BJ824)^0.2-1)*100)&gt;100,"NM",IF((((BT824/BJ824)^0.2-1)*100)&lt;-50,"NM",((BT824/BJ824)^0.2-1)*100)))</f>
        <v>0</v>
      </c>
      <c r="BW824" s="722"/>
      <c r="BX824" s="722"/>
      <c r="BY824"/>
      <c r="BZ824"/>
      <c r="CA824"/>
      <c r="CB824"/>
      <c r="CC824"/>
      <c r="CD824"/>
    </row>
    <row r="825" spans="1:82" s="2" customFormat="1" ht="12.75" customHeight="1" x14ac:dyDescent="0.2">
      <c r="A825" s="41"/>
      <c r="B825" s="159" t="s">
        <v>187</v>
      </c>
      <c r="C825" s="15">
        <f>+C822*C823</f>
        <v>0</v>
      </c>
      <c r="D825" s="9" t="str">
        <f>IF(ISERROR(C825/#REF!),"NA",IF(OR(C825/#REF!&gt;2,C825/#REF!&lt;0.5),"NM",C825/#REF!*100-100))</f>
        <v>NA</v>
      </c>
      <c r="E825" s="15">
        <f>+E822*E823</f>
        <v>0</v>
      </c>
      <c r="F825" s="9" t="str">
        <f>IF(ISERROR(E825/#REF!),"NA",IF(OR(E825/#REF!&gt;2,E825/#REF!&lt;0.5),"NM",E825/#REF!*100-100))</f>
        <v>NA</v>
      </c>
      <c r="G825" s="15">
        <f>+G822*G823</f>
        <v>0</v>
      </c>
      <c r="H825" s="9" t="str">
        <f>IF(ISERROR(G825/#REF!),"NA",IF(OR(G825/#REF!&gt;2,G825/#REF!&lt;0.5),"NM",G825/#REF!*100-100))</f>
        <v>NA</v>
      </c>
      <c r="I825" s="15">
        <f>+I822*I823</f>
        <v>0</v>
      </c>
      <c r="J825" s="9" t="str">
        <f>IF(ISERROR(I825/#REF!),"NA",IF(OR(I825/#REF!&gt;2,I825/#REF!&lt;0.5),"NM",I825/#REF!*100-100))</f>
        <v>NA</v>
      </c>
      <c r="K825" s="15">
        <f>+K822*K823</f>
        <v>0</v>
      </c>
      <c r="L825" s="9" t="str">
        <f>IF(ISERROR(K825/C825),"NA",IF(OR(K825/C825&gt;2,K825/C825&lt;0.5),"NM",K825/C825*100-100))</f>
        <v>NA</v>
      </c>
      <c r="M825" s="15">
        <f>+M822*M823</f>
        <v>0</v>
      </c>
      <c r="N825" s="9" t="str">
        <f>IF(ISERROR(M825/E825),"NA",IF(OR(M825/E825&gt;2,M825/E825&lt;0.5),"NM",M825/E825*100-100))</f>
        <v>NA</v>
      </c>
      <c r="O825" s="15">
        <f>+O822*O823</f>
        <v>0</v>
      </c>
      <c r="P825" s="9" t="str">
        <f>IF(ISERROR(O825/G825),"NA",IF(OR(O825/G825&gt;2,O825/G825&lt;0.5),"NM",O825/G825*100-100))</f>
        <v>NA</v>
      </c>
      <c r="Q825" s="15">
        <f>+Q822*Q823</f>
        <v>0</v>
      </c>
      <c r="R825" s="9" t="str">
        <f>IF(ISERROR(Q825/I825),"NA",IF(OR(Q825/I825&gt;2,Q825/I825&lt;0.5),"NM",Q825/I825*100-100))</f>
        <v>NA</v>
      </c>
      <c r="S825" s="15">
        <f>+S822*S823</f>
        <v>76.23</v>
      </c>
      <c r="T825" s="9" t="str">
        <f>IF(ISERROR(S825/K825),"NA",IF(OR(S825/K825&gt;2,S825/K825&lt;0.5),"NM",S825/K825*100-100))</f>
        <v>NA</v>
      </c>
      <c r="U825" s="15">
        <f>+U822*U823</f>
        <v>11.4345</v>
      </c>
      <c r="V825" s="9" t="str">
        <f>IF(ISERROR(U825/M825),"NA",IF(OR(U825/M825&gt;2,U825/M825&lt;0.5),"NM",U825/M825*100-100))</f>
        <v>NA</v>
      </c>
      <c r="W825" s="650">
        <f>+W822*W823</f>
        <v>38.355000000000004</v>
      </c>
      <c r="X825" s="9" t="str">
        <f>IF(ISERROR(W825/O825),"NA",IF(OR(W825/O825&gt;2,W825/O825&lt;0.5),"NM",W825/O825*100-100))</f>
        <v>NA</v>
      </c>
      <c r="Y825" s="650">
        <f>+Y822*Y823</f>
        <v>36.384782608695659</v>
      </c>
      <c r="Z825" s="9" t="str">
        <f>IF(ISERROR(Y825/Q825),"NA",IF(OR(Y825/Q825&gt;2,Y825/Q825&lt;0.5),"NM",Y825/Q825*100-100))</f>
        <v>NA</v>
      </c>
      <c r="AA825" s="650">
        <f>+AA822*AA823</f>
        <v>52.639499999999991</v>
      </c>
      <c r="AB825" s="9">
        <f>IF(ISERROR(AA825/S825),"NA",IF(OR(AA825/S825&gt;2,AA825/S825&lt;0.5),"NM",AA825/S825*100-100))</f>
        <v>-30.946477764659591</v>
      </c>
      <c r="AC825" s="650">
        <f>+AC822*AC823</f>
        <v>0</v>
      </c>
      <c r="AD825" s="9" t="str">
        <f>IF(ISERROR(AC825/U825),"NA",IF(OR(AC825/U825&gt;2,AC825/U825&lt;0.5),"NM",AC825/U825*100-100))</f>
        <v>NM</v>
      </c>
      <c r="AE825" s="650">
        <f>+AE822*AE823</f>
        <v>18.603000000000002</v>
      </c>
      <c r="AF825" s="9" t="str">
        <f>IF(ISERROR(AE825/W825),"NA",IF(OR(AE825/W825&gt;2,AE825/W825&lt;0.5),"NM",AE825/W825*100-100))</f>
        <v>NM</v>
      </c>
      <c r="AG825" s="650">
        <f>+AG822*AG823</f>
        <v>22.02375</v>
      </c>
      <c r="AH825" s="9">
        <f>IF(ISERROR(AG825/Y825),"NA",IF(OR(AG825/Y825&gt;2,AG825/Y825&lt;0.5),"NM",AG825/Y825*100-100))</f>
        <v>-39.469887076537027</v>
      </c>
      <c r="AI825" s="650">
        <f>+AI822*AI823</f>
        <v>0</v>
      </c>
      <c r="AJ825" s="9" t="str">
        <f t="shared" si="3430"/>
        <v>NM</v>
      </c>
      <c r="AK825" s="650">
        <f>+AK822*AK823</f>
        <v>0</v>
      </c>
      <c r="AL825" s="9" t="str">
        <f t="shared" si="3431"/>
        <v>NA</v>
      </c>
      <c r="AM825" s="650">
        <f t="shared" ref="AM825:AO825" si="3442">+AM822*AM823</f>
        <v>0</v>
      </c>
      <c r="AN825" s="9" t="str">
        <f t="shared" si="3432"/>
        <v>NM</v>
      </c>
      <c r="AO825" s="650">
        <f t="shared" si="3442"/>
        <v>0</v>
      </c>
      <c r="AP825" s="9" t="str">
        <f t="shared" si="3433"/>
        <v>NM</v>
      </c>
      <c r="AQ825" s="650">
        <f t="shared" ref="AQ825:AW825" si="3443">+AQ822*AQ823</f>
        <v>34.54448364959017</v>
      </c>
      <c r="AR825" s="9" t="str">
        <f t="shared" si="3434"/>
        <v>NA</v>
      </c>
      <c r="AS825" s="650">
        <f t="shared" si="3443"/>
        <v>34.967623322581971</v>
      </c>
      <c r="AT825" s="9" t="str">
        <f t="shared" si="3435"/>
        <v>NA</v>
      </c>
      <c r="AU825" s="650">
        <f t="shared" si="3443"/>
        <v>35.388725789033607</v>
      </c>
      <c r="AV825" s="9" t="str">
        <f t="shared" si="3436"/>
        <v>NA</v>
      </c>
      <c r="AW825" s="650">
        <f t="shared" si="3443"/>
        <v>35.818250304814278</v>
      </c>
      <c r="AX825" s="9" t="str">
        <f t="shared" si="3437"/>
        <v>NA</v>
      </c>
      <c r="AY825" s="279"/>
      <c r="AZ825" s="15"/>
      <c r="BA825" s="9" t="str">
        <f>IF(ISERROR(#REF!/#REF!),"NA",IF(OR(#REF!/#REF!&gt;2,#REF!/#REF!&lt;0.5),"NM",#REF!/#REF!*100-100))</f>
        <v>NA</v>
      </c>
      <c r="BB825" s="726">
        <f>+BB822*BB823</f>
        <v>43.832250000000002</v>
      </c>
      <c r="BC825" s="9" t="str">
        <f>IF(ISERROR(BB825/#REF!),"NA",IF(OR(BB825/#REF!&gt;2,BB825/#REF!&lt;0.5),"NM",BB825/#REF!*100-100))</f>
        <v>NA</v>
      </c>
      <c r="BD825" s="963">
        <f>+BD822*BD823</f>
        <v>94.532624999999996</v>
      </c>
      <c r="BE825" s="9" t="str">
        <f t="shared" si="3438"/>
        <v>NM</v>
      </c>
      <c r="BF825" s="726">
        <f>+BF822*BF823</f>
        <v>162.29251630434783</v>
      </c>
      <c r="BG825" s="9">
        <f t="shared" si="3438"/>
        <v>71.678842414825397</v>
      </c>
      <c r="BH825" s="726">
        <f>+BH822*BH823</f>
        <v>100.72687500000001</v>
      </c>
      <c r="BI825" s="9">
        <f t="shared" si="3438"/>
        <v>-37.934984746242719</v>
      </c>
      <c r="BJ825" s="726">
        <f>+BJ822*BJ823</f>
        <v>0</v>
      </c>
      <c r="BK825" s="9" t="str">
        <f t="shared" si="3438"/>
        <v>NM</v>
      </c>
      <c r="BL825" s="726">
        <f>+BL822*BL823</f>
        <v>140.71908306602003</v>
      </c>
      <c r="BM825" s="9" t="str">
        <f t="shared" si="3438"/>
        <v>NA</v>
      </c>
      <c r="BN825" s="726">
        <f>+BN822*BN823</f>
        <v>147.12812971130165</v>
      </c>
      <c r="BO825" s="9">
        <f t="shared" si="3438"/>
        <v>4.5544971624600095</v>
      </c>
      <c r="BP825" s="726">
        <f>+BP822*BP823</f>
        <v>153.51171880820579</v>
      </c>
      <c r="BQ825" s="9">
        <f t="shared" si="3438"/>
        <v>4.3387957893776985</v>
      </c>
      <c r="BR825" s="726">
        <f>+BR822*BR823</f>
        <v>159.81346229206224</v>
      </c>
      <c r="BS825" s="9">
        <f t="shared" si="3438"/>
        <v>4.1050569512088657</v>
      </c>
      <c r="BT825" s="726">
        <f>+BT822*BT823</f>
        <v>165.96163391233927</v>
      </c>
      <c r="BU825" s="9">
        <f t="shared" si="3439"/>
        <v>3.847092436456407</v>
      </c>
      <c r="BV825" s="43" t="str">
        <f>IF(ISERROR(((BT825/BJ825)^0.2-1)*100),"NA",IF((((BT825/BJ825)^0.2-1)*100)&gt;100,"NM",IF((((BT825/BJ825)^0.2-1)*100)&lt;-50,"NM",((BT825/BJ825)^0.2-1)*100)))</f>
        <v>NA</v>
      </c>
      <c r="BW825" s="722"/>
      <c r="BX825" s="722"/>
      <c r="BY825"/>
      <c r="BZ825"/>
      <c r="CA825"/>
      <c r="CB825"/>
      <c r="CC825"/>
      <c r="CD825"/>
    </row>
    <row r="826" spans="1:82" s="2" customFormat="1" ht="12.75" customHeight="1" x14ac:dyDescent="0.2">
      <c r="A826" s="41"/>
      <c r="B826" s="159"/>
      <c r="C826" s="15"/>
      <c r="D826" s="40"/>
      <c r="E826" s="15"/>
      <c r="F826" s="40"/>
      <c r="G826" s="15"/>
      <c r="H826" s="40"/>
      <c r="I826" s="15"/>
      <c r="J826" s="40"/>
      <c r="K826" s="15"/>
      <c r="L826" s="40"/>
      <c r="M826" s="15"/>
      <c r="N826" s="40"/>
      <c r="O826" s="15"/>
      <c r="P826" s="40"/>
      <c r="Q826" s="15"/>
      <c r="R826" s="40"/>
      <c r="S826" s="15"/>
      <c r="T826" s="40"/>
      <c r="U826" s="15"/>
      <c r="V826" s="40"/>
      <c r="W826" s="15"/>
      <c r="X826" s="40"/>
      <c r="Y826" s="15"/>
      <c r="Z826" s="40"/>
      <c r="AA826" s="15"/>
      <c r="AB826" s="40"/>
      <c r="AC826" s="15"/>
      <c r="AD826" s="40"/>
      <c r="AE826" s="15"/>
      <c r="AF826" s="40"/>
      <c r="AG826" s="15"/>
      <c r="AH826" s="40"/>
      <c r="AI826" s="15"/>
      <c r="AJ826" s="40"/>
      <c r="AK826" s="15"/>
      <c r="AL826" s="40"/>
      <c r="AM826" s="15"/>
      <c r="AN826" s="40"/>
      <c r="AO826" s="15"/>
      <c r="AP826" s="40"/>
      <c r="AQ826" s="15"/>
      <c r="AR826" s="40"/>
      <c r="AS826" s="15"/>
      <c r="AT826" s="40"/>
      <c r="AU826" s="15"/>
      <c r="AV826" s="40"/>
      <c r="AW826" s="15"/>
      <c r="AX826" s="40"/>
      <c r="AY826" s="279"/>
      <c r="AZ826" s="15"/>
      <c r="BA826" s="40"/>
      <c r="BB826" s="15"/>
      <c r="BC826" s="40"/>
      <c r="BD826" s="924"/>
      <c r="BE826" s="40"/>
      <c r="BF826" s="15"/>
      <c r="BG826" s="40"/>
      <c r="BH826" s="15"/>
      <c r="BI826" s="40"/>
      <c r="BJ826" s="15"/>
      <c r="BK826" s="40"/>
      <c r="BL826" s="15"/>
      <c r="BM826" s="40"/>
      <c r="BN826" s="15"/>
      <c r="BO826" s="40"/>
      <c r="BP826" s="15"/>
      <c r="BQ826" s="40"/>
      <c r="BR826" s="15"/>
      <c r="BS826" s="40"/>
      <c r="BT826" s="15"/>
      <c r="BU826" s="40"/>
      <c r="BV826" s="722"/>
      <c r="BW826" s="722"/>
      <c r="BX826" s="722"/>
      <c r="BY826"/>
      <c r="BZ826"/>
      <c r="CA826"/>
      <c r="CB826"/>
      <c r="CC826"/>
      <c r="CD826"/>
    </row>
    <row r="827" spans="1:82" s="2" customFormat="1" ht="12.75" customHeight="1" x14ac:dyDescent="0.2">
      <c r="A827" s="2" t="s">
        <v>480</v>
      </c>
      <c r="B827" s="158" t="s">
        <v>110</v>
      </c>
      <c r="C827" s="78">
        <v>2.4</v>
      </c>
      <c r="D827" s="9" t="str">
        <f>IF(ISERROR(C827/#REF!),"NA",IF(OR(C827/#REF!&gt;2,C827/#REF!&lt;0.5),"NM",C827/#REF!*100-100))</f>
        <v>NA</v>
      </c>
      <c r="E827" s="78">
        <v>0</v>
      </c>
      <c r="F827" s="9" t="str">
        <f>IF(ISERROR(E827/#REF!),"NA",IF(OR(E827/#REF!&gt;2,E827/#REF!&lt;0.5),"NM",E827/#REF!*100-100))</f>
        <v>NA</v>
      </c>
      <c r="G827" s="78">
        <v>1.5</v>
      </c>
      <c r="H827" s="9" t="str">
        <f>IF(ISERROR(G827/#REF!),"NA",IF(OR(G827/#REF!&gt;2,G827/#REF!&lt;0.5),"NM",G827/#REF!*100-100))</f>
        <v>NA</v>
      </c>
      <c r="I827" s="78">
        <v>0</v>
      </c>
      <c r="J827" s="9" t="str">
        <f>IF(ISERROR(I827/#REF!),"NA",IF(OR(I827/#REF!&gt;2,I827/#REF!&lt;0.5),"NM",I827/#REF!*100-100))</f>
        <v>NA</v>
      </c>
      <c r="K827" s="78">
        <v>1.6</v>
      </c>
      <c r="L827" s="9">
        <f>IF(ISERROR(K827/C827),"NA",IF(OR(K827/C827&gt;2,K827/C827&lt;0.5),"NM",K827/C827*100-100))</f>
        <v>-33.333333333333329</v>
      </c>
      <c r="M827" s="78">
        <v>1.3</v>
      </c>
      <c r="N827" s="9" t="str">
        <f>IF(ISERROR(M827/E827),"NA",IF(OR(M827/E827&gt;2,M827/E827&lt;0.5),"NM",M827/E827*100-100))</f>
        <v>NA</v>
      </c>
      <c r="O827" s="78">
        <v>1.4</v>
      </c>
      <c r="P827" s="9">
        <f>IF(ISERROR(O827/G827),"NA",IF(OR(O827/G827&gt;2,O827/G827&lt;0.5),"NM",O827/G827*100-100))</f>
        <v>-6.6666666666666714</v>
      </c>
      <c r="Q827" s="78">
        <v>0</v>
      </c>
      <c r="R827" s="9" t="str">
        <f>IF(ISERROR(Q827/I827),"NA",IF(OR(Q827/I827&gt;2,Q827/I827&lt;0.5),"NM",Q827/I827*100-100))</f>
        <v>NA</v>
      </c>
      <c r="S827" s="78">
        <v>1</v>
      </c>
      <c r="T827" s="9">
        <f>IF(ISERROR(S827/K827),"NA",IF(OR(S827/K827&gt;2,S827/K827&lt;0.5),"NM",S827/K827*100-100))</f>
        <v>-37.5</v>
      </c>
      <c r="U827" s="78">
        <v>0</v>
      </c>
      <c r="V827" s="9" t="str">
        <f>IF(ISERROR(U827/M827),"NA",IF(OR(U827/M827&gt;2,U827/M827&lt;0.5),"NM",U827/M827*100-100))</f>
        <v>NM</v>
      </c>
      <c r="W827" s="78">
        <v>2.2000000000000002</v>
      </c>
      <c r="X827" s="9">
        <f>IF(ISERROR(W827/O827),"NA",IF(OR(W827/O827&gt;2,W827/O827&lt;0.5),"NM",W827/O827*100-100))</f>
        <v>57.142857142857167</v>
      </c>
      <c r="Y827" s="78">
        <f>5.5-W827-U827-S827</f>
        <v>2.2999999999999998</v>
      </c>
      <c r="Z827" s="9" t="str">
        <f>IF(ISERROR(Y827/Q827),"NA",IF(OR(Y827/Q827&gt;2,Y827/Q827&lt;0.5),"NM",Y827/Q827*100-100))</f>
        <v>NA</v>
      </c>
      <c r="AA827" s="78">
        <v>2.2999999999999998</v>
      </c>
      <c r="AB827" s="9" t="str">
        <f>IF(ISERROR(AA827/S827),"NA",IF(OR(AA827/S827&gt;2,AA827/S827&lt;0.5),"NM",AA827/S827*100-100))</f>
        <v>NM</v>
      </c>
      <c r="AC827" s="78">
        <v>2.5</v>
      </c>
      <c r="AD827" s="9" t="str">
        <f>IF(ISERROR(AC827/U827),"NA",IF(OR(AC827/U827&gt;2,AC827/U827&lt;0.5),"NM",AC827/U827*100-100))</f>
        <v>NA</v>
      </c>
      <c r="AE827" s="78">
        <v>0.8</v>
      </c>
      <c r="AF827" s="9" t="str">
        <f>IF(ISERROR(AE827/W827),"NA",IF(OR(AE827/W827&gt;2,AE827/W827&lt;0.5),"NM",AE827/W827*100-100))</f>
        <v>NM</v>
      </c>
      <c r="AG827" s="78">
        <f>AG830/AG828</f>
        <v>0.54316363017197355</v>
      </c>
      <c r="AH827" s="9" t="str">
        <f>IF(ISERROR(AG827/Y827),"NA",IF(OR(AG827/Y827&gt;2,AG827/Y827&lt;0.5),"NM",AG827/Y827*100-100))</f>
        <v>NM</v>
      </c>
      <c r="AI827" s="78">
        <f>AI830/AI828</f>
        <v>1.9356955380577427</v>
      </c>
      <c r="AJ827" s="9">
        <f t="shared" ref="AJ827:AJ830" si="3444">IF(ISERROR(AI827/AA827),"NA",IF(OR(AI827/AA827&gt;2,AI827/AA827&lt;0.5),"NM",AI827/AA827*100-100))</f>
        <v>-15.839324432272051</v>
      </c>
      <c r="AK827" s="78">
        <f>AK830/AK828</f>
        <v>0.41951374543143172</v>
      </c>
      <c r="AL827" s="9" t="str">
        <f t="shared" ref="AL827:AL830" si="3445">IF(ISERROR(AK827/AC827),"NA",IF(OR(AK827/AC827&gt;2,AK827/AC827&lt;0.5),"NM",AK827/AC827*100-100))</f>
        <v>NM</v>
      </c>
      <c r="AM827" s="651">
        <f t="shared" ref="AM827:AO827" si="3446">+AM831/AM828</f>
        <v>0.77155103984759488</v>
      </c>
      <c r="AN827" s="9">
        <f t="shared" ref="AN827:AN830" si="3447">IF(ISERROR(AM827/AE827),"NA",IF(OR(AM827/AE827&gt;2,AM827/AE827&lt;0.5),"NM",AM827/AE827*100-100))</f>
        <v>-3.5561200190506526</v>
      </c>
      <c r="AO827" s="651">
        <f t="shared" si="3446"/>
        <v>0</v>
      </c>
      <c r="AP827" s="9" t="str">
        <f t="shared" ref="AP827:AP830" si="3448">IF(ISERROR(AO827/AG827),"NA",IF(OR(AO827/AG827&gt;2,AO827/AG827&lt;0.5),"NM",AO827/AG827*100-100))</f>
        <v>NM</v>
      </c>
      <c r="AQ827" s="651">
        <f t="shared" ref="AQ827:AW827" si="3449">+AQ831/AQ828</f>
        <v>1.747746488626883</v>
      </c>
      <c r="AR827" s="9">
        <f t="shared" ref="AR827:AR830" si="3450">IF(ISERROR(AQ827/AI827),"NA",IF(OR(AQ827/AI827&gt;2,AQ827/AI827&lt;0.5),"NM",AQ827/AI827*100-100))</f>
        <v>-9.7096390282247569</v>
      </c>
      <c r="AS827" s="651">
        <f t="shared" si="3449"/>
        <v>1.5013888566483062</v>
      </c>
      <c r="AT827" s="9" t="str">
        <f t="shared" ref="AT827:AT830" si="3451">IF(ISERROR(AS827/AK827),"NA",IF(OR(AS827/AK827&gt;2,AS827/AK827&lt;0.5),"NM",AS827/AK827*100-100))</f>
        <v>NM</v>
      </c>
      <c r="AU827" s="651">
        <f t="shared" si="3449"/>
        <v>1.4835233207596554</v>
      </c>
      <c r="AV827" s="9">
        <f t="shared" ref="AV827:AV830" si="3452">IF(ISERROR(AU827/AM827),"NA",IF(OR(AU827/AM827&gt;2,AU827/AM827&lt;0.5),"NM",AU827/AM827*100-100))</f>
        <v>92.278053445783314</v>
      </c>
      <c r="AW827" s="651">
        <f t="shared" si="3449"/>
        <v>1.0992999285257565</v>
      </c>
      <c r="AX827" s="9" t="str">
        <f t="shared" ref="AX827:AX830" si="3453">IF(ISERROR(AW827/AO827),"NA",IF(OR(AW827/AO827&gt;2,AW827/AO827&lt;0.5),"NM",AW827/AO827*100-100))</f>
        <v>NA</v>
      </c>
      <c r="AY827" s="279"/>
      <c r="AZ827" s="15"/>
      <c r="BA827" s="9" t="str">
        <f>IF(ISERROR(#REF!/#REF!),"NA",IF(OR(#REF!/#REF!&gt;2,#REF!/#REF!&lt;0.5),"NM",#REF!/#REF!*100-100))</f>
        <v>NA</v>
      </c>
      <c r="BB827" s="651">
        <f>O827+Q827+S827+U827</f>
        <v>2.4</v>
      </c>
      <c r="BC827" s="9" t="str">
        <f>IF(ISERROR(BB827/#REF!),"NA",IF(OR(BB827/#REF!&gt;2,BB827/#REF!&lt;0.5),"NM",BB827/#REF!*100-100))</f>
        <v>NA</v>
      </c>
      <c r="BD827" s="937">
        <f>Q827+S827+U827+W827</f>
        <v>3.2</v>
      </c>
      <c r="BE827" s="9">
        <f t="shared" ref="BE827:BS830" si="3454">IF(ISERROR(BD827/BB827),"NA",IF(OR(BD827/BB827&gt;2,BD827/BB827&lt;0.5),"NM",BD827/BB827*100-100))</f>
        <v>33.333333333333343</v>
      </c>
      <c r="BF827" s="651">
        <f>S827+U827+W827+Y827</f>
        <v>5.5</v>
      </c>
      <c r="BG827" s="9">
        <f t="shared" si="3454"/>
        <v>71.875</v>
      </c>
      <c r="BH827" s="651">
        <f>AA827+AC827+AE827+AG827</f>
        <v>6.1431636301719728</v>
      </c>
      <c r="BI827" s="9">
        <f t="shared" si="3454"/>
        <v>11.693884184944963</v>
      </c>
      <c r="BJ827" s="651">
        <f>AI827+AK827+AM827+AO827</f>
        <v>3.1267603233367698</v>
      </c>
      <c r="BK827" s="9">
        <f t="shared" si="3454"/>
        <v>-49.101790029167127</v>
      </c>
      <c r="BL827" s="651">
        <f>AQ827+AS827+AU827+AW827</f>
        <v>5.8319585945606018</v>
      </c>
      <c r="BM827" s="9">
        <f t="shared" si="3454"/>
        <v>86.517609009984454</v>
      </c>
      <c r="BN827" s="651">
        <f>+BN831/BN828</f>
        <v>5.4238438398276028</v>
      </c>
      <c r="BO827" s="9">
        <f t="shared" si="3454"/>
        <v>-6.9979021304033751</v>
      </c>
      <c r="BP827" s="651">
        <f>+BP831/BP828</f>
        <v>5.3350975831574186</v>
      </c>
      <c r="BQ827" s="9">
        <f t="shared" si="3454"/>
        <v>-1.6362244063613218</v>
      </c>
      <c r="BR827" s="651">
        <f>+BR831/BR828</f>
        <v>5.1247247150134401</v>
      </c>
      <c r="BS827" s="9">
        <f t="shared" si="3454"/>
        <v>-3.9431868839309203</v>
      </c>
      <c r="BT827" s="651">
        <f>+BT831/BT828</f>
        <v>4.7450725895839065</v>
      </c>
      <c r="BU827" s="9">
        <f t="shared" ref="BU827:BU830" si="3455">IF(ISERROR(BT827/BR827),"NA",IF(OR(BT827/BR827&gt;2,BT827/BR827&lt;0.5),"NM",BT827/BR827*100-100))</f>
        <v>-7.4082442773423764</v>
      </c>
      <c r="BV827" s="43">
        <f>IF(ISERROR(((BT827/BJ827)^0.2-1)*100),"NA",IF((((BT827/BJ827)^0.2-1)*100)&gt;100,"NM",IF((((BT827/BJ827)^0.2-1)*100)&lt;-50,"NM",((BT827/BJ827)^0.2-1)*100)))</f>
        <v>8.7000274208866699</v>
      </c>
      <c r="BW827" s="722"/>
      <c r="BX827" s="722"/>
      <c r="BY827"/>
      <c r="BZ827"/>
      <c r="CA827"/>
      <c r="CB827"/>
      <c r="CC827"/>
      <c r="CD827"/>
    </row>
    <row r="828" spans="1:82" s="2" customFormat="1" ht="12.75" customHeight="1" x14ac:dyDescent="0.2">
      <c r="B828" s="159" t="s">
        <v>186</v>
      </c>
      <c r="C828" s="164">
        <v>31.37</v>
      </c>
      <c r="D828" s="9" t="str">
        <f>IF(ISERROR(C828/#REF!),"NA",IF(OR(C828/#REF!&gt;2,C828/#REF!&lt;0.5),"NM",C828/#REF!*100-100))</f>
        <v>NA</v>
      </c>
      <c r="E828" s="164">
        <v>36.58</v>
      </c>
      <c r="F828" s="9" t="str">
        <f>IF(ISERROR(E828/#REF!),"NA",IF(OR(E828/#REF!&gt;2,E828/#REF!&lt;0.5),"NM",E828/#REF!*100-100))</f>
        <v>NA</v>
      </c>
      <c r="G828" s="164">
        <v>41.55</v>
      </c>
      <c r="H828" s="9" t="str">
        <f>IF(ISERROR(G828/#REF!),"NA",IF(OR(G828/#REF!&gt;2,G828/#REF!&lt;0.5),"NM",G828/#REF!*100-100))</f>
        <v>NA</v>
      </c>
      <c r="I828" s="164">
        <v>44</v>
      </c>
      <c r="J828" s="9" t="str">
        <f>IF(ISERROR(I828/#REF!),"NA",IF(OR(I828/#REF!&gt;2,I828/#REF!&lt;0.5),"NM",I828/#REF!*100-100))</f>
        <v>NA</v>
      </c>
      <c r="K828" s="164">
        <v>45.48</v>
      </c>
      <c r="L828" s="9">
        <f>IF(ISERROR(K828/C828),"NA",IF(OR(K828/C828&gt;2,K828/C828&lt;0.5),"NM",K828/C828*100-100))</f>
        <v>44.979279566464783</v>
      </c>
      <c r="M828" s="164">
        <v>47.08</v>
      </c>
      <c r="N828" s="9">
        <f>IF(ISERROR(M828/E828),"NA",IF(OR(M828/E828&gt;2,M828/E828&lt;0.5),"NM",M828/E828*100-100))</f>
        <v>28.704209950792801</v>
      </c>
      <c r="O828" s="164">
        <v>51.94</v>
      </c>
      <c r="P828" s="9">
        <f>IF(ISERROR(O828/G828),"NA",IF(OR(O828/G828&gt;2,O828/G828&lt;0.5),"NM",O828/G828*100-100))</f>
        <v>25.006016847172077</v>
      </c>
      <c r="Q828" s="164">
        <v>51.84</v>
      </c>
      <c r="R828" s="9">
        <f>IF(ISERROR(Q828/I828),"NA",IF(OR(Q828/I828&gt;2,Q828/I828&lt;0.5),"NM",Q828/I828*100-100))</f>
        <v>17.818181818181827</v>
      </c>
      <c r="S828" s="164">
        <v>50.82</v>
      </c>
      <c r="T828" s="9">
        <f>IF(ISERROR(S828/K828),"NA",IF(OR(S828/K828&gt;2,S828/K828&lt;0.5),"NM",S828/K828*100-100))</f>
        <v>11.741424802110828</v>
      </c>
      <c r="U828" s="164">
        <v>50.82</v>
      </c>
      <c r="V828" s="9">
        <f>IF(ISERROR(U828/M828),"NA",IF(OR(U828/M828&gt;2,U828/M828&lt;0.5),"NM",U828/M828*100-100))</f>
        <v>7.9439252336448618</v>
      </c>
      <c r="W828" s="164">
        <v>51.14</v>
      </c>
      <c r="X828" s="9">
        <f>IF(ISERROR(W828/O828),"NA",IF(OR(W828/O828&gt;2,W828/O828&lt;0.5),"NM",W828/O828*100-100))</f>
        <v>-1.5402387370042305</v>
      </c>
      <c r="Y828" s="164">
        <f>Y830/Y827</f>
        <v>48.513043478260876</v>
      </c>
      <c r="Z828" s="9">
        <f>IF(ISERROR(Y828/Q828),"NA",IF(OR(Y828/Q828&gt;2,Y828/Q828&lt;0.5),"NM",Y828/Q828*100-100))</f>
        <v>-6.4177402039720732</v>
      </c>
      <c r="AA828" s="164">
        <v>36.94</v>
      </c>
      <c r="AB828" s="9">
        <f>IF(ISERROR(AA828/S828),"NA",IF(OR(AA828/S828&gt;2,AA828/S828&lt;0.5),"NM",AA828/S828*100-100))</f>
        <v>-27.312081857536413</v>
      </c>
      <c r="AC828" s="164">
        <v>42.06</v>
      </c>
      <c r="AD828" s="9">
        <f>IF(ISERROR(AC828/U828),"NA",IF(OR(AC828/U828&gt;2,AC828/U828&lt;0.5),"NM",AC828/U828*100-100))</f>
        <v>-17.237308146399059</v>
      </c>
      <c r="AE828" s="164">
        <v>41.34</v>
      </c>
      <c r="AF828" s="9">
        <f>IF(ISERROR(AE828/W828),"NA",IF(OR(AE828/W828&gt;2,AE828/W828&lt;0.5),"NM",AE828/W828*100-100))</f>
        <v>-19.16308173640985</v>
      </c>
      <c r="AG828" s="164">
        <v>58.73</v>
      </c>
      <c r="AH828" s="9">
        <f>IF(ISERROR(AG828/Y828),"NA",IF(OR(AG828/Y828&gt;2,AG828/Y828&lt;0.5),"NM",AG828/Y828*100-100))</f>
        <v>21.060225846925945</v>
      </c>
      <c r="AI828" s="164">
        <v>60.96</v>
      </c>
      <c r="AJ828" s="9">
        <f t="shared" si="3444"/>
        <v>65.024363833243115</v>
      </c>
      <c r="AK828" s="164">
        <v>62.93</v>
      </c>
      <c r="AL828" s="9">
        <f t="shared" si="3445"/>
        <v>49.619591060389922</v>
      </c>
      <c r="AM828" s="164">
        <v>62.99</v>
      </c>
      <c r="AN828" s="9">
        <f t="shared" si="3447"/>
        <v>52.370585389453311</v>
      </c>
      <c r="AO828" s="164">
        <f>AM828</f>
        <v>62.99</v>
      </c>
      <c r="AP828" s="9">
        <f t="shared" si="3448"/>
        <v>7.253533117657085</v>
      </c>
      <c r="AQ828" s="164">
        <v>65.799016475409857</v>
      </c>
      <c r="AR828" s="9">
        <f t="shared" si="3450"/>
        <v>7.9380191525752082</v>
      </c>
      <c r="AS828" s="164">
        <f t="shared" ref="AS828" si="3456">AQ828*1.02-AS817</f>
        <v>66.604996804918045</v>
      </c>
      <c r="AT828" s="9">
        <f t="shared" si="3451"/>
        <v>5.8398169472716432</v>
      </c>
      <c r="AU828" s="164">
        <f t="shared" ref="AU828" si="3457">AS828*1.02-AU817</f>
        <v>67.407096741016403</v>
      </c>
      <c r="AV828" s="9">
        <f t="shared" si="3452"/>
        <v>7.0123777441124133</v>
      </c>
      <c r="AW828" s="164">
        <f t="shared" ref="AW828" si="3458">AU828*1.02-AW817</f>
        <v>68.225238675836735</v>
      </c>
      <c r="AX828" s="9">
        <f t="shared" si="3453"/>
        <v>8.3112219016299775</v>
      </c>
      <c r="AY828" s="279"/>
      <c r="AZ828" s="15"/>
      <c r="BA828" s="9" t="str">
        <f>IF(ISERROR(#REF!/#REF!),"NA",IF(OR(#REF!/#REF!&gt;2,#REF!/#REF!&lt;0.5),"NM",#REF!/#REF!*100-100))</f>
        <v>NA</v>
      </c>
      <c r="BB828" s="703">
        <f>AVERAGE(O828,Q828,S828,U828)</f>
        <v>51.354999999999997</v>
      </c>
      <c r="BC828" s="9" t="str">
        <f>IF(ISERROR(BB828/#REF!),"NA",IF(OR(BB828/#REF!&gt;2,BB828/#REF!&lt;0.5),"NM",BB828/#REF!*100-100))</f>
        <v>NA</v>
      </c>
      <c r="BD828" s="964">
        <f>AVERAGE(Q828,S828,U828,W828)</f>
        <v>51.155000000000001</v>
      </c>
      <c r="BE828" s="9">
        <f t="shared" si="3454"/>
        <v>-0.38944601304643811</v>
      </c>
      <c r="BF828" s="703">
        <f>AVERAGE(S828,U828,W828,Y828)</f>
        <v>50.323260869565217</v>
      </c>
      <c r="BG828" s="9">
        <f t="shared" si="3454"/>
        <v>-1.6259195199585292</v>
      </c>
      <c r="BH828" s="703">
        <f>AVERAGE(AA828,AC828,AE828,AG828)</f>
        <v>44.767499999999998</v>
      </c>
      <c r="BI828" s="9">
        <f t="shared" si="3454"/>
        <v>-11.040144802947907</v>
      </c>
      <c r="BJ828" s="703">
        <f>AVERAGE(AI828,AK828,AM828,AO828)</f>
        <v>62.467500000000001</v>
      </c>
      <c r="BK828" s="9">
        <f t="shared" si="3454"/>
        <v>39.53761099011561</v>
      </c>
      <c r="BL828" s="703">
        <f>AVERAGE(AQ828,AS828,AU828,AW828)</f>
        <v>67.00908717429526</v>
      </c>
      <c r="BM828" s="9">
        <f t="shared" si="3454"/>
        <v>7.2703200452959749</v>
      </c>
      <c r="BN828" s="164">
        <f>BL828*1.08-BN817</f>
        <v>70.061014148238883</v>
      </c>
      <c r="BO828" s="9">
        <f t="shared" si="3454"/>
        <v>4.5544971624599953</v>
      </c>
      <c r="BP828" s="164">
        <f>BN828*1.08-BP817</f>
        <v>73.100818480097999</v>
      </c>
      <c r="BQ828" s="9">
        <f t="shared" si="3454"/>
        <v>4.3387957893777269</v>
      </c>
      <c r="BR828" s="164">
        <f>BP828*1.08-BR817</f>
        <v>76.101648710505842</v>
      </c>
      <c r="BS828" s="9">
        <f t="shared" si="3454"/>
        <v>4.1050569512088657</v>
      </c>
      <c r="BT828" s="164">
        <f>BR828*1.08-BT817</f>
        <v>79.029349482066323</v>
      </c>
      <c r="BU828" s="9">
        <f t="shared" si="3455"/>
        <v>3.8470924364563786</v>
      </c>
      <c r="BV828" s="43">
        <f>IF(ISERROR(((BT828/BJ828)^0.2-1)*100),"NA",IF((((BT828/BJ828)^0.2-1)*100)&gt;100,"NM",IF((((BT828/BJ828)^0.2-1)*100)&lt;-50,"NM",((BT828/BJ828)^0.2-1)*100)))</f>
        <v>4.8158248400737458</v>
      </c>
      <c r="BW828" s="722"/>
      <c r="BX828" s="722"/>
      <c r="BY828"/>
      <c r="BZ828"/>
      <c r="CA828"/>
      <c r="CB828"/>
      <c r="CC828"/>
      <c r="CD828"/>
    </row>
    <row r="829" spans="1:82" s="2" customFormat="1" ht="12.75" customHeight="1" x14ac:dyDescent="0.2">
      <c r="B829" s="159" t="s">
        <v>297</v>
      </c>
      <c r="C829" s="702">
        <v>50</v>
      </c>
      <c r="D829" s="9" t="str">
        <f>IF(ISERROR(C829/#REF!),"NA",IF(OR(C829/#REF!&gt;2,C829/#REF!&lt;0.5),"NM",C829/#REF!*100-100))</f>
        <v>NA</v>
      </c>
      <c r="E829" s="702">
        <v>50</v>
      </c>
      <c r="F829" s="9" t="str">
        <f>IF(ISERROR(E829/#REF!),"NA",IF(OR(E829/#REF!&gt;2,E829/#REF!&lt;0.5),"NM",E829/#REF!*100-100))</f>
        <v>NA</v>
      </c>
      <c r="G829" s="702">
        <v>50</v>
      </c>
      <c r="H829" s="9" t="str">
        <f>IF(ISERROR(G829/#REF!),"NA",IF(OR(G829/#REF!&gt;2,G829/#REF!&lt;0.5),"NM",G829/#REF!*100-100))</f>
        <v>NA</v>
      </c>
      <c r="I829" s="702">
        <v>50</v>
      </c>
      <c r="J829" s="9" t="str">
        <f>IF(ISERROR(I829/#REF!),"NA",IF(OR(I829/#REF!&gt;2,I829/#REF!&lt;0.5),"NM",I829/#REF!*100-100))</f>
        <v>NA</v>
      </c>
      <c r="K829" s="702">
        <v>50</v>
      </c>
      <c r="L829" s="9">
        <f>IF(ISERROR(K829/C829),"NA",IF(OR(K829/C829&gt;2,K829/C829&lt;0.5),"NM",K829/C829*100-100))</f>
        <v>0</v>
      </c>
      <c r="M829" s="702">
        <v>50</v>
      </c>
      <c r="N829" s="9">
        <f>IF(ISERROR(M829/E829),"NA",IF(OR(M829/E829&gt;2,M829/E829&lt;0.5),"NM",M829/E829*100-100))</f>
        <v>0</v>
      </c>
      <c r="O829" s="702">
        <v>50</v>
      </c>
      <c r="P829" s="9">
        <f>IF(ISERROR(O829/G829),"NA",IF(OR(O829/G829&gt;2,O829/G829&lt;0.5),"NM",O829/G829*100-100))</f>
        <v>0</v>
      </c>
      <c r="Q829" s="702">
        <v>50</v>
      </c>
      <c r="R829" s="9">
        <f>IF(ISERROR(Q829/I829),"NA",IF(OR(Q829/I829&gt;2,Q829/I829&lt;0.5),"NM",Q829/I829*100-100))</f>
        <v>0</v>
      </c>
      <c r="S829" s="702">
        <v>50</v>
      </c>
      <c r="T829" s="9">
        <f>IF(ISERROR(S829/K829),"NA",IF(OR(S829/K829&gt;2,S829/K829&lt;0.5),"NM",S829/K829*100-100))</f>
        <v>0</v>
      </c>
      <c r="U829" s="702">
        <v>50</v>
      </c>
      <c r="V829" s="9">
        <f>IF(ISERROR(U829/M829),"NA",IF(OR(U829/M829&gt;2,U829/M829&lt;0.5),"NM",U829/M829*100-100))</f>
        <v>0</v>
      </c>
      <c r="W829" s="702">
        <v>50</v>
      </c>
      <c r="X829" s="9">
        <f>IF(ISERROR(W829/O829),"NA",IF(OR(W829/O829&gt;2,W829/O829&lt;0.5),"NM",W829/O829*100-100))</f>
        <v>0</v>
      </c>
      <c r="Y829" s="702">
        <v>50</v>
      </c>
      <c r="Z829" s="9">
        <f>IF(ISERROR(Y829/Q829),"NA",IF(OR(Y829/Q829&gt;2,Y829/Q829&lt;0.5),"NM",Y829/Q829*100-100))</f>
        <v>0</v>
      </c>
      <c r="AA829" s="702">
        <v>50</v>
      </c>
      <c r="AB829" s="9">
        <f>IF(ISERROR(AA829/S829),"NA",IF(OR(AA829/S829&gt;2,AA829/S829&lt;0.5),"NM",AA829/S829*100-100))</f>
        <v>0</v>
      </c>
      <c r="AC829" s="702">
        <v>50</v>
      </c>
      <c r="AD829" s="9">
        <f>IF(ISERROR(AC829/U829),"NA",IF(OR(AC829/U829&gt;2,AC829/U829&lt;0.5),"NM",AC829/U829*100-100))</f>
        <v>0</v>
      </c>
      <c r="AE829" s="702">
        <v>50</v>
      </c>
      <c r="AF829" s="9">
        <f>IF(ISERROR(AE829/W829),"NA",IF(OR(AE829/W829&gt;2,AE829/W829&lt;0.5),"NM",AE829/W829*100-100))</f>
        <v>0</v>
      </c>
      <c r="AG829" s="702">
        <v>50</v>
      </c>
      <c r="AH829" s="9">
        <f>IF(ISERROR(AG829/Y829),"NA",IF(OR(AG829/Y829&gt;2,AG829/Y829&lt;0.5),"NM",AG829/Y829*100-100))</f>
        <v>0</v>
      </c>
      <c r="AI829" s="702">
        <v>50</v>
      </c>
      <c r="AJ829" s="9">
        <f t="shared" si="3444"/>
        <v>0</v>
      </c>
      <c r="AK829" s="702">
        <v>50</v>
      </c>
      <c r="AL829" s="9">
        <f t="shared" si="3445"/>
        <v>0</v>
      </c>
      <c r="AM829" s="702">
        <v>50</v>
      </c>
      <c r="AN829" s="9">
        <f t="shared" si="3447"/>
        <v>0</v>
      </c>
      <c r="AO829" s="702">
        <v>50</v>
      </c>
      <c r="AP829" s="9">
        <f t="shared" si="3448"/>
        <v>0</v>
      </c>
      <c r="AQ829" s="702">
        <v>50</v>
      </c>
      <c r="AR829" s="9">
        <f t="shared" si="3450"/>
        <v>0</v>
      </c>
      <c r="AS829" s="702">
        <v>50</v>
      </c>
      <c r="AT829" s="9">
        <f t="shared" si="3451"/>
        <v>0</v>
      </c>
      <c r="AU829" s="702">
        <v>50</v>
      </c>
      <c r="AV829" s="9">
        <f t="shared" si="3452"/>
        <v>0</v>
      </c>
      <c r="AW829" s="702">
        <v>50</v>
      </c>
      <c r="AX829" s="9">
        <f t="shared" si="3453"/>
        <v>0</v>
      </c>
      <c r="AY829" s="279"/>
      <c r="AZ829" s="15"/>
      <c r="BA829" s="9" t="str">
        <f>IF(ISERROR(#REF!/#REF!),"NA",IF(OR(#REF!/#REF!&gt;2,#REF!/#REF!&lt;0.5),"NM",#REF!/#REF!*100-100))</f>
        <v>NA</v>
      </c>
      <c r="BB829" s="702">
        <v>50</v>
      </c>
      <c r="BC829" s="9" t="str">
        <f>IF(ISERROR(BB829/#REF!),"NA",IF(OR(BB829/#REF!&gt;2,BB829/#REF!&lt;0.5),"NM",BB829/#REF!*100-100))</f>
        <v>NA</v>
      </c>
      <c r="BD829" s="970">
        <v>50</v>
      </c>
      <c r="BE829" s="9">
        <f t="shared" si="3454"/>
        <v>0</v>
      </c>
      <c r="BF829" s="702">
        <v>50</v>
      </c>
      <c r="BG829" s="9">
        <f t="shared" si="3454"/>
        <v>0</v>
      </c>
      <c r="BH829" s="702">
        <v>50</v>
      </c>
      <c r="BI829" s="9">
        <f t="shared" si="3454"/>
        <v>0</v>
      </c>
      <c r="BJ829" s="702">
        <v>50</v>
      </c>
      <c r="BK829" s="9">
        <f t="shared" si="3454"/>
        <v>0</v>
      </c>
      <c r="BL829" s="702">
        <v>50</v>
      </c>
      <c r="BM829" s="9">
        <f t="shared" si="3454"/>
        <v>0</v>
      </c>
      <c r="BN829" s="702">
        <v>40</v>
      </c>
      <c r="BO829" s="9">
        <f t="shared" si="3454"/>
        <v>-20</v>
      </c>
      <c r="BP829" s="702">
        <v>50</v>
      </c>
      <c r="BQ829" s="9">
        <f t="shared" si="3454"/>
        <v>25</v>
      </c>
      <c r="BR829" s="702">
        <v>50</v>
      </c>
      <c r="BS829" s="9">
        <f t="shared" si="3454"/>
        <v>0</v>
      </c>
      <c r="BT829" s="702">
        <v>50</v>
      </c>
      <c r="BU829" s="9">
        <f t="shared" si="3455"/>
        <v>0</v>
      </c>
      <c r="BV829" s="43">
        <f>IF(ISERROR(((BT829/BJ829)^0.2-1)*100),"NA",IF((((BT829/BJ829)^0.2-1)*100)&gt;100,"NM",IF((((BT829/BJ829)^0.2-1)*100)&lt;-50,"NM",((BT829/BJ829)^0.2-1)*100)))</f>
        <v>0</v>
      </c>
      <c r="BW829" s="722"/>
      <c r="BX829" s="722"/>
      <c r="BY829"/>
      <c r="BZ829"/>
      <c r="CA829"/>
      <c r="CB829"/>
      <c r="CC829"/>
      <c r="CD829"/>
    </row>
    <row r="830" spans="1:82" s="2" customFormat="1" ht="12.75" customHeight="1" x14ac:dyDescent="0.2">
      <c r="A830" s="2" t="s">
        <v>270</v>
      </c>
      <c r="B830" s="159" t="s">
        <v>111</v>
      </c>
      <c r="C830" s="650">
        <f>C827*C828</f>
        <v>75.287999999999997</v>
      </c>
      <c r="D830" s="9" t="str">
        <f>IF(ISERROR(C830/#REF!),"NA",IF(OR(C830/#REF!&gt;2,C830/#REF!&lt;0.5),"NM",C830/#REF!*100-100))</f>
        <v>NA</v>
      </c>
      <c r="E830" s="650">
        <f>E827*E828</f>
        <v>0</v>
      </c>
      <c r="F830" s="9" t="str">
        <f>IF(ISERROR(E830/#REF!),"NA",IF(OR(E830/#REF!&gt;2,E830/#REF!&lt;0.5),"NM",E830/#REF!*100-100))</f>
        <v>NA</v>
      </c>
      <c r="G830" s="650">
        <f>G827*G828</f>
        <v>62.324999999999996</v>
      </c>
      <c r="H830" s="9" t="str">
        <f>IF(ISERROR(G830/#REF!),"NA",IF(OR(G830/#REF!&gt;2,G830/#REF!&lt;0.5),"NM",G830/#REF!*100-100))</f>
        <v>NA</v>
      </c>
      <c r="I830" s="650">
        <f>I827*I828</f>
        <v>0</v>
      </c>
      <c r="J830" s="9" t="str">
        <f>IF(ISERROR(I830/#REF!),"NA",IF(OR(I830/#REF!&gt;2,I830/#REF!&lt;0.5),"NM",I830/#REF!*100-100))</f>
        <v>NA</v>
      </c>
      <c r="K830" s="650">
        <f>K827*K828</f>
        <v>72.768000000000001</v>
      </c>
      <c r="L830" s="9">
        <f>IF(ISERROR(K830/C830),"NA",IF(OR(K830/C830&gt;2,K830/C830&lt;0.5),"NM",K830/C830*100-100))</f>
        <v>-3.3471469556901496</v>
      </c>
      <c r="M830" s="650">
        <f>M827*M828</f>
        <v>61.204000000000001</v>
      </c>
      <c r="N830" s="9" t="str">
        <f>IF(ISERROR(M830/E830),"NA",IF(OR(M830/E830&gt;2,M830/E830&lt;0.5),"NM",M830/E830*100-100))</f>
        <v>NA</v>
      </c>
      <c r="O830" s="650">
        <f>O827*O828</f>
        <v>72.715999999999994</v>
      </c>
      <c r="P830" s="9">
        <f>IF(ISERROR(O830/G830),"NA",IF(OR(O830/G830&gt;2,O830/G830&lt;0.5),"NM",O830/G830*100-100))</f>
        <v>16.672282390693937</v>
      </c>
      <c r="Q830" s="650">
        <f>Q827*Q828</f>
        <v>0</v>
      </c>
      <c r="R830" s="9" t="str">
        <f>IF(ISERROR(Q830/I830),"NA",IF(OR(Q830/I830&gt;2,Q830/I830&lt;0.5),"NM",Q830/I830*100-100))</f>
        <v>NA</v>
      </c>
      <c r="S830" s="650">
        <f>S827*S828</f>
        <v>50.82</v>
      </c>
      <c r="T830" s="9">
        <f>IF(ISERROR(S830/K830),"NA",IF(OR(S830/K830&gt;2,S830/K830&lt;0.5),"NM",S830/K830*100-100))</f>
        <v>-30.161609498680747</v>
      </c>
      <c r="U830" s="650">
        <f>U827*U828</f>
        <v>0</v>
      </c>
      <c r="V830" s="9" t="str">
        <f>IF(ISERROR(U830/M830),"NA",IF(OR(U830/M830&gt;2,U830/M830&lt;0.5),"NM",U830/M830*100-100))</f>
        <v>NM</v>
      </c>
      <c r="W830" s="702">
        <v>112.6</v>
      </c>
      <c r="X830" s="9">
        <f>IF(ISERROR(W830/O830),"NA",IF(OR(W830/O830&gt;2,W830/O830&lt;0.5),"NM",W830/O830*100-100))</f>
        <v>54.849001595247273</v>
      </c>
      <c r="Y830" s="702">
        <f>275-W830-U830-S830</f>
        <v>111.58000000000001</v>
      </c>
      <c r="Z830" s="9" t="str">
        <f>IF(ISERROR(Y830/Q830),"NA",IF(OR(Y830/Q830&gt;2,Y830/Q830&lt;0.5),"NM",Y830/Q830*100-100))</f>
        <v>NA</v>
      </c>
      <c r="AA830" s="702">
        <v>86</v>
      </c>
      <c r="AB830" s="9">
        <f>IF(ISERROR(AA830/S830),"NA",IF(OR(AA830/S830&gt;2,AA830/S830&lt;0.5),"NM",AA830/S830*100-100))</f>
        <v>69.224714679260131</v>
      </c>
      <c r="AC830" s="702">
        <v>104</v>
      </c>
      <c r="AD830" s="9" t="str">
        <f>IF(ISERROR(AC830/U830),"NA",IF(OR(AC830/U830&gt;2,AC830/U830&lt;0.5),"NM",AC830/U830*100-100))</f>
        <v>NA</v>
      </c>
      <c r="AE830" s="702">
        <v>35.1</v>
      </c>
      <c r="AF830" s="9" t="str">
        <f>IF(ISERROR(AE830/W830),"NA",IF(OR(AE830/W830&gt;2,AE830/W830&lt;0.5),"NM",AE830/W830*100-100))</f>
        <v>NM</v>
      </c>
      <c r="AG830" s="702">
        <f>257-AE830-AC830-AA830</f>
        <v>31.900000000000006</v>
      </c>
      <c r="AH830" s="9" t="str">
        <f>IF(ISERROR(AG830/Y830),"NA",IF(OR(AG830/Y830&gt;2,AG830/Y830&lt;0.5),"NM",AG830/Y830*100-100))</f>
        <v>NM</v>
      </c>
      <c r="AI830" s="702">
        <v>118</v>
      </c>
      <c r="AJ830" s="9">
        <f t="shared" si="3444"/>
        <v>37.209302325581405</v>
      </c>
      <c r="AK830" s="702">
        <v>26.4</v>
      </c>
      <c r="AL830" s="9" t="str">
        <f t="shared" si="3445"/>
        <v>NM</v>
      </c>
      <c r="AM830" s="702">
        <v>48.6</v>
      </c>
      <c r="AN830" s="9">
        <f t="shared" si="3447"/>
        <v>38.461538461538453</v>
      </c>
      <c r="AO830" s="702">
        <v>0</v>
      </c>
      <c r="AP830" s="9" t="str">
        <f t="shared" si="3448"/>
        <v>NM</v>
      </c>
      <c r="AQ830" s="702">
        <v>115</v>
      </c>
      <c r="AR830" s="9">
        <f t="shared" si="3450"/>
        <v>-2.5423728813559308</v>
      </c>
      <c r="AS830" s="702">
        <v>100</v>
      </c>
      <c r="AT830" s="9" t="str">
        <f t="shared" si="3451"/>
        <v>NM</v>
      </c>
      <c r="AU830" s="702">
        <v>100</v>
      </c>
      <c r="AV830" s="9" t="str">
        <f t="shared" si="3452"/>
        <v>NM</v>
      </c>
      <c r="AW830" s="702">
        <v>75</v>
      </c>
      <c r="AX830" s="9" t="str">
        <f t="shared" si="3453"/>
        <v>NA</v>
      </c>
      <c r="AY830" s="283"/>
      <c r="AZ830" s="64"/>
      <c r="BA830" s="9" t="str">
        <f>IF(ISERROR(#REF!/#REF!),"NA",IF(OR(#REF!/#REF!&gt;2,#REF!/#REF!&lt;0.5),"NM",#REF!/#REF!*100-100))</f>
        <v>NA</v>
      </c>
      <c r="BB830" s="650">
        <f>O830+Q830+S830+U830</f>
        <v>123.536</v>
      </c>
      <c r="BC830" s="9" t="str">
        <f>IF(ISERROR(BB830/#REF!),"NA",IF(OR(BB830/#REF!&gt;2,BB830/#REF!&lt;0.5),"NM",BB830/#REF!*100-100))</f>
        <v>NA</v>
      </c>
      <c r="BD830" s="938">
        <f>Q830+S830+U830+W830</f>
        <v>163.41999999999999</v>
      </c>
      <c r="BE830" s="9">
        <f t="shared" si="3454"/>
        <v>32.285325735008399</v>
      </c>
      <c r="BF830" s="650">
        <f>S830+U830+W830+Y830</f>
        <v>275</v>
      </c>
      <c r="BG830" s="9">
        <f t="shared" si="3454"/>
        <v>68.278056541426992</v>
      </c>
      <c r="BH830" s="650">
        <f>AA830+AC830+AE830+AG830</f>
        <v>257</v>
      </c>
      <c r="BI830" s="9">
        <f t="shared" si="3454"/>
        <v>-6.5454545454545467</v>
      </c>
      <c r="BJ830" s="650">
        <f>AI830+AK830+AM830+AO830</f>
        <v>193</v>
      </c>
      <c r="BK830" s="9">
        <f t="shared" si="3454"/>
        <v>-24.902723735408557</v>
      </c>
      <c r="BL830" s="650">
        <f>AQ830+AS830+AU830+AW830</f>
        <v>390</v>
      </c>
      <c r="BM830" s="9" t="str">
        <f t="shared" si="3454"/>
        <v>NM</v>
      </c>
      <c r="BN830" s="702">
        <v>380</v>
      </c>
      <c r="BO830" s="9">
        <f t="shared" si="3454"/>
        <v>-2.5641025641025692</v>
      </c>
      <c r="BP830" s="702">
        <f>BN830+10</f>
        <v>390</v>
      </c>
      <c r="BQ830" s="9">
        <f t="shared" si="3454"/>
        <v>2.6315789473684248</v>
      </c>
      <c r="BR830" s="702">
        <v>390</v>
      </c>
      <c r="BS830" s="9">
        <f t="shared" si="3454"/>
        <v>0</v>
      </c>
      <c r="BT830" s="702">
        <v>375</v>
      </c>
      <c r="BU830" s="9">
        <f t="shared" si="3455"/>
        <v>-3.8461538461538396</v>
      </c>
      <c r="BV830" s="43">
        <f>IF(ISERROR(((BT830/BJ830)^0.2-1)*100),"NA",IF((((BT830/BJ830)^0.2-1)*100)&gt;100,"NM",IF((((BT830/BJ830)^0.2-1)*100)&lt;-50,"NM",((BT830/BJ830)^0.2-1)*100)))</f>
        <v>14.20754386483123</v>
      </c>
      <c r="BW830" s="722"/>
      <c r="BX830" s="722"/>
      <c r="BY830"/>
      <c r="BZ830"/>
      <c r="CA830"/>
      <c r="CB830"/>
      <c r="CC830"/>
      <c r="CD830"/>
    </row>
    <row r="831" spans="1:82" s="48" customFormat="1" ht="12.75" hidden="1" customHeight="1" outlineLevel="1" x14ac:dyDescent="0.2">
      <c r="B831" s="306" t="s">
        <v>66</v>
      </c>
      <c r="C831" s="47"/>
      <c r="D831" s="46"/>
      <c r="E831" s="47"/>
      <c r="F831" s="46"/>
      <c r="G831" s="47"/>
      <c r="H831" s="46"/>
      <c r="I831" s="307"/>
      <c r="J831" s="46"/>
      <c r="K831" s="307"/>
      <c r="L831" s="46"/>
      <c r="M831" s="307"/>
      <c r="N831" s="46"/>
      <c r="O831" s="307"/>
      <c r="P831" s="46"/>
      <c r="Q831" s="307"/>
      <c r="R831" s="46"/>
      <c r="S831" s="307"/>
      <c r="T831" s="46"/>
      <c r="U831" s="307"/>
      <c r="V831" s="46"/>
      <c r="W831" s="307">
        <f>IF($B$6=1,W830,IF($B$6=2,W830+W1008,IF($B$6=3,W830+W1009)))</f>
        <v>112.6</v>
      </c>
      <c r="X831" s="46"/>
      <c r="Y831" s="307">
        <f>IF($B$6=1,Y830,IF($B$6=2,Y830+Y1008,IF($B$6=3,Y830+Y1009)))</f>
        <v>111.58000000000001</v>
      </c>
      <c r="Z831" s="46"/>
      <c r="AA831" s="307">
        <f>IF($B$6=1,AA830,IF($B$6=2,AA830+AA1008,IF($B$6=3,AA830+AA1009)))</f>
        <v>86</v>
      </c>
      <c r="AB831" s="46"/>
      <c r="AC831" s="307">
        <f>IF($B$6=1,AC830,IF($B$6=2,AC830+AC1008,IF($B$6=3,AC830+AC1009)))</f>
        <v>104</v>
      </c>
      <c r="AD831" s="46"/>
      <c r="AE831" s="307">
        <f>IF($B$6=1,AE830,IF($B$6=2,AE830+AE1008,IF($B$6=3,AE830+AE1009)))</f>
        <v>35.1</v>
      </c>
      <c r="AF831" s="46"/>
      <c r="AG831" s="307">
        <f>IF($B$6=1,AG830,IF($B$6=2,AG830+AG1008,IF($B$6=3,AG830+AG1009)))</f>
        <v>31.900000000000006</v>
      </c>
      <c r="AH831" s="46"/>
      <c r="AI831" s="307">
        <f>IF($B$6=1,AI830,IF($B$6=2,AI830+AI1008,IF($B$6=3,AI830+AI1009)))</f>
        <v>118</v>
      </c>
      <c r="AJ831" s="46"/>
      <c r="AK831" s="307">
        <f>IF($B$6=1,AK830,IF($B$6=2,AK830+AK1008,IF($B$6=3,AK830+AK1009)))</f>
        <v>26.4</v>
      </c>
      <c r="AL831" s="46"/>
      <c r="AM831" s="307">
        <f t="shared" ref="AM831:AO831" si="3459">IF($B$6=1,AM830,IF($B$6=2,AM830+AM1008,IF($B$6=3,AM830+AM1009)))</f>
        <v>48.6</v>
      </c>
      <c r="AN831" s="46"/>
      <c r="AO831" s="307">
        <f t="shared" si="3459"/>
        <v>0</v>
      </c>
      <c r="AP831" s="46"/>
      <c r="AQ831" s="307">
        <f t="shared" ref="AQ831:AW831" si="3460">IF($B$6=1,AQ830,IF($B$6=2,AQ830+AQ1008,IF($B$6=3,AQ830+AQ1009)))</f>
        <v>115</v>
      </c>
      <c r="AR831" s="46"/>
      <c r="AS831" s="307">
        <f t="shared" si="3460"/>
        <v>100</v>
      </c>
      <c r="AT831" s="46"/>
      <c r="AU831" s="307">
        <f t="shared" si="3460"/>
        <v>100</v>
      </c>
      <c r="AV831" s="46"/>
      <c r="AW831" s="307">
        <f t="shared" si="3460"/>
        <v>75</v>
      </c>
      <c r="AX831" s="46"/>
      <c r="AY831" s="280"/>
      <c r="AZ831" s="153"/>
      <c r="BA831" s="46"/>
      <c r="BB831" s="47"/>
      <c r="BC831" s="46"/>
      <c r="BD831" s="971"/>
      <c r="BE831" s="46"/>
      <c r="BF831" s="47"/>
      <c r="BG831" s="46"/>
      <c r="BH831" s="47"/>
      <c r="BI831" s="46"/>
      <c r="BJ831" s="47"/>
      <c r="BK831" s="46"/>
      <c r="BL831" s="47"/>
      <c r="BM831" s="46"/>
      <c r="BN831" s="307">
        <f>IF($B$6=1,BN830,IF($B$6=2,BN830+BN1008,IF($B$6=3,BN830+BN1009)))</f>
        <v>380</v>
      </c>
      <c r="BO831" s="46"/>
      <c r="BP831" s="307">
        <f>IF($B$6=1,BP830,IF($B$6=2,BP830+BP1008,IF($B$6=3,BP830+BP1009)))</f>
        <v>390</v>
      </c>
      <c r="BQ831" s="46"/>
      <c r="BR831" s="307">
        <f>IF($B$6=1,BR830,IF($B$6=2,BR830+BR1008,IF($B$6=3,BR830+BR1009)))</f>
        <v>390</v>
      </c>
      <c r="BS831" s="46"/>
      <c r="BT831" s="307">
        <f>IF($B$6=1,BT830,IF($B$6=2,BT830+BT1008,IF($B$6=3,BT830+BT1009)))</f>
        <v>375</v>
      </c>
      <c r="BU831" s="46"/>
      <c r="BV831" s="303"/>
      <c r="BW831" s="303"/>
      <c r="BX831" s="303"/>
      <c r="BY831"/>
      <c r="BZ831"/>
      <c r="CA831"/>
      <c r="CB831"/>
      <c r="CC831"/>
      <c r="CD831"/>
    </row>
    <row r="832" spans="1:82" s="2" customFormat="1" ht="12.75" hidden="1" customHeight="1" outlineLevel="1" x14ac:dyDescent="0.2">
      <c r="A832" s="7"/>
      <c r="B832" s="159" t="s">
        <v>241</v>
      </c>
      <c r="C832" s="651" t="e">
        <f>C887-#REF!-C712+C819-C859+#REF!</f>
        <v>#REF!</v>
      </c>
      <c r="D832" s="9"/>
      <c r="E832" s="651">
        <f>E887-C887-E712+E819-E859+C859</f>
        <v>-2.5030000000009522</v>
      </c>
      <c r="F832" s="9"/>
      <c r="G832" s="651">
        <f>G887-E887-G712+G819-G859+E859</f>
        <v>-200.58599999999996</v>
      </c>
      <c r="H832" s="9"/>
      <c r="I832" s="651">
        <f>I887-G887-I712+I819-I859+G859</f>
        <v>-4.3479999999989616</v>
      </c>
      <c r="J832" s="9"/>
      <c r="K832" s="651">
        <f>K887-I887-K712+K819-K859+I859</f>
        <v>-109.35600000000105</v>
      </c>
      <c r="L832" s="9"/>
      <c r="M832" s="651">
        <f>M887-K887-M712+M819-M859+K859</f>
        <v>-52.684000000000253</v>
      </c>
      <c r="N832" s="9"/>
      <c r="O832" s="651">
        <f>O887-M887-O712+O819-O859+M859</f>
        <v>-147.65292307692289</v>
      </c>
      <c r="P832" s="9"/>
      <c r="Q832" s="651">
        <f>Q887-O887-Q712+Q819-Q859+O859</f>
        <v>-30.004769230768773</v>
      </c>
      <c r="R832" s="9"/>
      <c r="S832" s="651">
        <f>S887-Q887-S712+S819-S859+Q859</f>
        <v>34.122461538461849</v>
      </c>
      <c r="T832" s="9"/>
      <c r="U832" s="651">
        <f>U887-S887-U712+U819-U859+S859</f>
        <v>-584.89861538461605</v>
      </c>
      <c r="V832" s="9"/>
      <c r="W832" s="651">
        <f>W887-U887-W712+W819-W859+U859</f>
        <v>-83.570000000000391</v>
      </c>
      <c r="X832" s="9"/>
      <c r="Y832" s="651">
        <f>Y887-W887-Y712+Y819-Y859+W859</f>
        <v>-143.06799999999907</v>
      </c>
      <c r="Z832" s="9"/>
      <c r="AA832" s="651">
        <f>AA887-Y887-AA712+AA819-AA859+Y859</f>
        <v>27.651999999999816</v>
      </c>
      <c r="AB832" s="9"/>
      <c r="AC832" s="651">
        <f>AC887-AA887-AC712+AC819-AC859+AA859</f>
        <v>-103.47999999999962</v>
      </c>
      <c r="AD832" s="9"/>
      <c r="AE832" s="651">
        <f>AE887-AC887-AE712+AE819-AE859+AC859</f>
        <v>-33.943000000000325</v>
      </c>
      <c r="AF832" s="9"/>
      <c r="AG832" s="651">
        <f>AG887-AE887-AG712+AG819-AG859+AE859</f>
        <v>-48.589000000001136</v>
      </c>
      <c r="AH832" s="9"/>
      <c r="AI832" s="651">
        <f>AI887-AG887-AI712+AI819-AI859+AG859</f>
        <v>-72.154999999998722</v>
      </c>
      <c r="AJ832" s="9"/>
      <c r="AK832" s="651">
        <f>AK887-AI887-AK712+AK819-AK859+AI859</f>
        <v>-37.844000000000165</v>
      </c>
      <c r="AL832" s="9"/>
      <c r="AM832" s="651">
        <f t="shared" ref="AM832:AO832" si="3461">AM887-AK887-AM712+AM819-AM859+AK859</f>
        <v>427.09499999999952</v>
      </c>
      <c r="AN832" s="9"/>
      <c r="AO832" s="651">
        <f t="shared" si="3461"/>
        <v>525.20999999999958</v>
      </c>
      <c r="AP832" s="9"/>
      <c r="AQ832" s="651">
        <f t="shared" ref="AQ832" si="3462">AQ887-AO887-AQ712+AQ819-AQ859+AO859</f>
        <v>-93.640151536452436</v>
      </c>
      <c r="AR832" s="9"/>
      <c r="AS832" s="651">
        <f t="shared" ref="AS832" si="3463">AS887-AQ887-AS712+AS819-AS859+AQ859</f>
        <v>-78.473604910630854</v>
      </c>
      <c r="AT832" s="9"/>
      <c r="AU832" s="651">
        <f t="shared" ref="AU832" si="3464">AU887-AS887-AU712+AU819-AU859+AS859</f>
        <v>-78.31409905576686</v>
      </c>
      <c r="AV832" s="9"/>
      <c r="AW832" s="651">
        <f t="shared" ref="AW832" si="3465">AW887-AU887-AW712+AW819-AW859+AU859</f>
        <v>-53.151272285500568</v>
      </c>
      <c r="AX832" s="9"/>
      <c r="AY832" s="279"/>
      <c r="AZ832" s="15"/>
      <c r="BA832" s="9"/>
      <c r="BB832" s="651" t="e">
        <f>BB887-#REF!-BB712+BB819-BB859+#REF!</f>
        <v>#REF!</v>
      </c>
      <c r="BC832" s="9"/>
      <c r="BD832" s="651">
        <f>BD887-BB887-BD712+BD819-BD859+BB859</f>
        <v>-847.71569230769262</v>
      </c>
      <c r="BE832" s="9"/>
      <c r="BF832" s="651">
        <f>BF887-BD887-BF712+BF819-BF859+BD859</f>
        <v>-791.64615384615286</v>
      </c>
      <c r="BG832" s="9"/>
      <c r="BH832" s="651">
        <f>BH887-BF887-BH712+BH819-BH859+BF859</f>
        <v>-159.50300000000129</v>
      </c>
      <c r="BI832" s="9"/>
      <c r="BJ832" s="651">
        <f>BJ887-BH887-BJ712+BJ819-BJ859+BH859</f>
        <v>843.13</v>
      </c>
      <c r="BK832" s="9"/>
      <c r="BL832" s="651">
        <f>BL887-BJ887-BL712+BL819-BL859+BJ859</f>
        <v>-305.40594478163109</v>
      </c>
      <c r="BM832" s="9"/>
      <c r="BN832" s="651">
        <f>BN887-BL887-BN712+BN819-BN859+BL859</f>
        <v>-291.50584784335001</v>
      </c>
      <c r="BO832" s="9"/>
      <c r="BP832" s="651">
        <f>BP887-BN887-BP712+BP819-BP859+BN859</f>
        <v>-299.80488678275356</v>
      </c>
      <c r="BQ832" s="9"/>
      <c r="BR832" s="651">
        <f>BR887-BP887-BR712+BR819-BR859+BP859</f>
        <v>-298.56038157810474</v>
      </c>
      <c r="BS832" s="9"/>
      <c r="BT832" s="651">
        <f>BT887-BR887-BT712+BT819-BT859+BR859</f>
        <v>-282.87402729937844</v>
      </c>
      <c r="BU832" s="9"/>
      <c r="BV832" s="722"/>
      <c r="BW832" s="722"/>
      <c r="BX832" s="722"/>
      <c r="BY832"/>
      <c r="BZ832"/>
      <c r="CA832"/>
      <c r="CB832"/>
      <c r="CC832"/>
      <c r="CD832"/>
    </row>
    <row r="833" spans="1:83" s="2" customFormat="1" ht="12.75" customHeight="1" collapsed="1" x14ac:dyDescent="0.2">
      <c r="B833" s="159"/>
      <c r="C833" s="78"/>
      <c r="D833" s="9"/>
      <c r="E833" s="78"/>
      <c r="F833" s="9"/>
      <c r="G833" s="78"/>
      <c r="H833" s="9"/>
      <c r="I833" s="651"/>
      <c r="J833" s="9"/>
      <c r="K833" s="651"/>
      <c r="L833" s="9"/>
      <c r="M833" s="651"/>
      <c r="N833" s="9"/>
      <c r="O833" s="651"/>
      <c r="P833" s="9"/>
      <c r="Q833" s="651"/>
      <c r="R833" s="9"/>
      <c r="S833" s="651"/>
      <c r="T833" s="9"/>
      <c r="U833" s="651"/>
      <c r="V833" s="9"/>
      <c r="W833" s="651"/>
      <c r="X833" s="9"/>
      <c r="Y833" s="651"/>
      <c r="Z833" s="9"/>
      <c r="AA833" s="651"/>
      <c r="AB833" s="9"/>
      <c r="AC833" s="651"/>
      <c r="AD833" s="9"/>
      <c r="AE833" s="651"/>
      <c r="AF833" s="9"/>
      <c r="AG833" s="651"/>
      <c r="AH833" s="9"/>
      <c r="AI833" s="651"/>
      <c r="AJ833" s="9"/>
      <c r="AK833" s="651"/>
      <c r="AL833" s="9"/>
      <c r="AM833" s="651"/>
      <c r="AN833" s="9"/>
      <c r="AO833" s="651"/>
      <c r="AP833" s="9"/>
      <c r="AQ833" s="651"/>
      <c r="AR833" s="9"/>
      <c r="AS833" s="651"/>
      <c r="AT833" s="9"/>
      <c r="AU833" s="651"/>
      <c r="AV833" s="9"/>
      <c r="AW833" s="651"/>
      <c r="AX833" s="9"/>
      <c r="AY833" s="279"/>
      <c r="AZ833" s="15"/>
      <c r="BA833" s="9"/>
      <c r="BB833" s="651"/>
      <c r="BC833" s="9"/>
      <c r="BD833" s="937"/>
      <c r="BE833" s="9"/>
      <c r="BF833" s="651"/>
      <c r="BG833" s="9"/>
      <c r="BH833" s="651"/>
      <c r="BI833" s="9"/>
      <c r="BJ833" s="651"/>
      <c r="BK833" s="9"/>
      <c r="BL833" s="651"/>
      <c r="BM833" s="9"/>
      <c r="BN833" s="651"/>
      <c r="BO833" s="9"/>
      <c r="BP833" s="651"/>
      <c r="BQ833" s="9"/>
      <c r="BR833" s="651"/>
      <c r="BS833" s="9"/>
      <c r="BT833" s="651"/>
      <c r="BU833" s="9"/>
      <c r="BV833" s="722"/>
      <c r="BW833" s="722"/>
      <c r="BX833" s="722"/>
      <c r="BY833"/>
      <c r="BZ833"/>
      <c r="CA833"/>
      <c r="CB833"/>
      <c r="CC833"/>
      <c r="CD833"/>
    </row>
    <row r="834" spans="1:83" s="2" customFormat="1" ht="12.75" customHeight="1" x14ac:dyDescent="0.2">
      <c r="B834" s="158" t="s">
        <v>206</v>
      </c>
      <c r="C834" s="78"/>
      <c r="D834" s="9"/>
      <c r="E834" s="78"/>
      <c r="F834" s="9"/>
      <c r="G834" s="78"/>
      <c r="H834" s="9"/>
      <c r="I834" s="651"/>
      <c r="J834" s="9"/>
      <c r="K834" s="651"/>
      <c r="L834" s="9"/>
      <c r="M834" s="651"/>
      <c r="N834" s="9"/>
      <c r="O834" s="651"/>
      <c r="P834" s="9"/>
      <c r="Q834" s="651"/>
      <c r="R834" s="9"/>
      <c r="S834" s="651"/>
      <c r="T834" s="9"/>
      <c r="U834" s="651"/>
      <c r="V834" s="9"/>
      <c r="W834" s="651"/>
      <c r="X834" s="9"/>
      <c r="Y834" s="651"/>
      <c r="Z834" s="9"/>
      <c r="AA834" s="651"/>
      <c r="AB834" s="9"/>
      <c r="AC834" s="651"/>
      <c r="AD834" s="9"/>
      <c r="AE834" s="651"/>
      <c r="AF834" s="9"/>
      <c r="AG834" s="651"/>
      <c r="AH834" s="9"/>
      <c r="AI834" s="651"/>
      <c r="AJ834" s="9"/>
      <c r="AK834" s="651"/>
      <c r="AL834" s="9"/>
      <c r="AM834" s="651"/>
      <c r="AN834" s="9"/>
      <c r="AO834" s="651"/>
      <c r="AP834" s="9"/>
      <c r="AQ834" s="651"/>
      <c r="AR834" s="9"/>
      <c r="AS834" s="651"/>
      <c r="AT834" s="9"/>
      <c r="AU834" s="651"/>
      <c r="AV834" s="9"/>
      <c r="AW834" s="651"/>
      <c r="AX834" s="9"/>
      <c r="AY834" s="279"/>
      <c r="AZ834" s="15"/>
      <c r="BA834" s="9"/>
      <c r="BB834" s="651"/>
      <c r="BC834" s="9"/>
      <c r="BD834" s="937"/>
      <c r="BE834" s="9"/>
      <c r="BF834" s="651"/>
      <c r="BG834" s="9"/>
      <c r="BH834" s="651"/>
      <c r="BI834" s="9"/>
      <c r="BJ834" s="651"/>
      <c r="BK834" s="9"/>
      <c r="BL834" s="651"/>
      <c r="BM834" s="9"/>
      <c r="BN834" s="651"/>
      <c r="BO834" s="9"/>
      <c r="BP834" s="651"/>
      <c r="BQ834" s="9"/>
      <c r="BR834" s="651"/>
      <c r="BS834" s="9"/>
      <c r="BT834" s="651"/>
      <c r="BU834" s="9"/>
      <c r="BV834" s="722"/>
      <c r="BW834" s="722"/>
      <c r="BX834" s="722"/>
      <c r="BY834"/>
      <c r="BZ834"/>
      <c r="CA834"/>
      <c r="CB834"/>
      <c r="CC834"/>
      <c r="CD834"/>
    </row>
    <row r="835" spans="1:83" s="2" customFormat="1" ht="12.75" customHeight="1" x14ac:dyDescent="0.2">
      <c r="A835" s="2" t="s">
        <v>205</v>
      </c>
      <c r="B835" s="158" t="s">
        <v>360</v>
      </c>
      <c r="C835" s="78"/>
      <c r="D835" s="9"/>
      <c r="E835" s="78"/>
      <c r="F835" s="9"/>
      <c r="G835" s="78"/>
      <c r="H835" s="9"/>
      <c r="I835" s="651"/>
      <c r="J835" s="9"/>
      <c r="K835" s="651"/>
      <c r="L835" s="9"/>
      <c r="M835" s="651"/>
      <c r="N835" s="9"/>
      <c r="O835" s="651"/>
      <c r="P835" s="9"/>
      <c r="Q835" s="651"/>
      <c r="R835" s="9"/>
      <c r="S835" s="651"/>
      <c r="T835" s="9"/>
      <c r="U835" s="651"/>
      <c r="V835" s="9"/>
      <c r="W835" s="651"/>
      <c r="X835" s="9"/>
      <c r="Y835" s="651"/>
      <c r="Z835" s="9"/>
      <c r="AA835" s="651"/>
      <c r="AB835" s="9"/>
      <c r="AC835" s="651"/>
      <c r="AD835" s="9"/>
      <c r="AE835" s="651"/>
      <c r="AF835" s="9"/>
      <c r="AG835" s="651"/>
      <c r="AH835" s="9"/>
      <c r="AI835" s="651"/>
      <c r="AJ835" s="9"/>
      <c r="AK835" s="651"/>
      <c r="AL835" s="9"/>
      <c r="AM835" s="651"/>
      <c r="AN835" s="9"/>
      <c r="AO835" s="651"/>
      <c r="AP835" s="9"/>
      <c r="AQ835" s="651"/>
      <c r="AR835" s="9"/>
      <c r="AS835" s="651"/>
      <c r="AT835" s="9"/>
      <c r="AU835" s="651"/>
      <c r="AV835" s="9"/>
      <c r="AW835" s="651"/>
      <c r="AX835" s="9"/>
      <c r="AY835" s="279"/>
      <c r="AZ835" s="15"/>
      <c r="BA835" s="9"/>
      <c r="BB835" s="651"/>
      <c r="BC835" s="9"/>
      <c r="BD835" s="937"/>
      <c r="BE835" s="9"/>
      <c r="BF835" s="651"/>
      <c r="BG835" s="9"/>
      <c r="BH835" s="651"/>
      <c r="BI835" s="9"/>
      <c r="BJ835" s="651"/>
      <c r="BK835" s="9"/>
      <c r="BL835" s="651"/>
      <c r="BM835" s="9"/>
      <c r="BN835" s="651"/>
      <c r="BO835" s="9"/>
      <c r="BP835" s="651"/>
      <c r="BQ835" s="9"/>
      <c r="BR835" s="651"/>
      <c r="BS835" s="9"/>
      <c r="BT835" s="651"/>
      <c r="BU835" s="9"/>
      <c r="BV835" s="722"/>
      <c r="BW835" s="722"/>
      <c r="BX835" s="722"/>
      <c r="BY835"/>
      <c r="BZ835"/>
      <c r="CA835"/>
      <c r="CB835"/>
      <c r="CC835"/>
      <c r="CD835"/>
    </row>
    <row r="836" spans="1:83" s="2" customFormat="1" ht="12.75" customHeight="1" x14ac:dyDescent="0.2">
      <c r="B836" s="159" t="s">
        <v>462</v>
      </c>
      <c r="C836" s="650">
        <f>(C819+C830)/C709*100</f>
        <v>63.584409799554543</v>
      </c>
      <c r="D836" s="705" t="str">
        <f>IF(ISERROR(C836/#REF!),"NA",IF(OR(C836/#REF!&gt;2,C836/#REF!&lt;0.5),"NM",C836/#REF!*100-100))</f>
        <v>NA</v>
      </c>
      <c r="E836" s="650">
        <f>(E819+E830)/E709*100</f>
        <v>24.634475218658892</v>
      </c>
      <c r="F836" s="705" t="str">
        <f>IF(ISERROR(E836/#REF!),"NA",IF(OR(E836/#REF!&gt;2,E836/#REF!&lt;0.5),"NM",E836/#REF!*100-100))</f>
        <v>NA</v>
      </c>
      <c r="G836" s="650">
        <f>(G819+G830)/G709*100</f>
        <v>49.691618911174793</v>
      </c>
      <c r="H836" s="9" t="str">
        <f>IF(ISERROR(G836/#REF!),"NA",IF(OR(G836/#REF!&gt;2,G836/#REF!&lt;0.5),"NM",G836/#REF!*100-100))</f>
        <v>NA</v>
      </c>
      <c r="I836" s="650">
        <f>(I819+I830)/I709*100</f>
        <v>26.74285714285714</v>
      </c>
      <c r="J836" s="9" t="str">
        <f>IF(ISERROR(I836/#REF!),"NA",IF(OR(I836/#REF!&gt;2,I836/#REF!&lt;0.5),"NM",I836/#REF!*100-100))</f>
        <v>NA</v>
      </c>
      <c r="K836" s="650">
        <f>(K819+K830)/K709*100</f>
        <v>52.917206132879045</v>
      </c>
      <c r="L836" s="9">
        <f>IF(ISERROR(K836/C836),"NA",IF(OR(K836/C836&gt;2,K836/C836&lt;0.5),"NM",K836/C836*100-100))</f>
        <v>-16.77644520143086</v>
      </c>
      <c r="M836" s="650">
        <f>(M819+M830)/M709*100</f>
        <v>50.314424635332259</v>
      </c>
      <c r="N836" s="9" t="str">
        <f>IF(ISERROR(M836/E836),"NA",IF(OR(M836/E836&gt;2,M836/E836&lt;0.5),"NM",M836/E836*100-100))</f>
        <v>NM</v>
      </c>
      <c r="O836" s="650">
        <f>(O819+O830)/O709*100</f>
        <v>52.288505023661337</v>
      </c>
      <c r="P836" s="650">
        <f>(P819+P830)/P709*100</f>
        <v>260.12607914207433</v>
      </c>
      <c r="Q836" s="650">
        <f>(Q819+Q830)/Q709*100</f>
        <v>31.107231800766282</v>
      </c>
      <c r="R836" s="9">
        <f t="shared" ref="R836:R837" si="3466">IF(ISERROR(Q836/I836),"NA",IF(OR(Q836/I836&gt;2,Q836/I836&lt;0.5),"NM",Q836/I836*100-100))</f>
        <v>16.319777032779911</v>
      </c>
      <c r="S836" s="650">
        <f>(S819+S830)/S709*100</f>
        <v>48.869677790563863</v>
      </c>
      <c r="T836" s="650">
        <f>(T819+T830)/T709*100</f>
        <v>-18.928756004268013</v>
      </c>
      <c r="U836" s="650">
        <f>(U819+U830)/U709*100</f>
        <v>34.427081609005135</v>
      </c>
      <c r="V836" s="9">
        <f t="shared" ref="V836:V837" si="3467">IF(ISERROR(U836/M836),"NA",IF(OR(U836/M836&gt;2,U836/M836&lt;0.5),"NM",U836/M836*100-100))</f>
        <v>-31.576119853252919</v>
      </c>
      <c r="W836" s="650">
        <f>(W819+W830)/W709*100</f>
        <v>71.242848061029861</v>
      </c>
      <c r="X836" s="9">
        <f t="shared" ref="X836:X837" si="3468">IF(ISERROR(W836/O836),"NA",IF(OR(W836/O836&gt;2,W836/O836&lt;0.5),"NM",W836/O836*100-100))</f>
        <v>36.24954094363838</v>
      </c>
      <c r="Y836" s="650">
        <f>(Y819+Y830)/Y709*100</f>
        <v>73.32189973614777</v>
      </c>
      <c r="Z836" s="9" t="str">
        <f t="shared" ref="Z836:Z837" si="3469">IF(ISERROR(Y836/Q836),"NA",IF(OR(Y836/Q836&gt;2,Y836/Q836&lt;0.5),"NM",Y836/Q836*100-100))</f>
        <v>NM</v>
      </c>
      <c r="AA836" s="650">
        <f>(AA819+AA830)/AA709*100</f>
        <v>68.582605658400283</v>
      </c>
      <c r="AB836" s="9">
        <f t="shared" ref="AB836:AB837" si="3470">IF(ISERROR(AA836/S836),"NA",IF(OR(AA836/S836&gt;2,AA836/S836&lt;0.5),"NM",AA836/S836*100-100))</f>
        <v>40.337748802679329</v>
      </c>
      <c r="AC836" s="650">
        <f>(AC819+AC830)/AC709*100</f>
        <v>64.170869178285372</v>
      </c>
      <c r="AD836" s="9">
        <f t="shared" ref="AD836" si="3471">IF(ISERROR(AC836/U836),"NA",IF(OR(AC836/U836&gt;2,AC836/U836&lt;0.5),"NM",AC836/U836*100-100))</f>
        <v>86.396482592065297</v>
      </c>
      <c r="AE836" s="650">
        <f>(AE819+AE830)/AE709*100</f>
        <v>43.011662217226352</v>
      </c>
      <c r="AF836" s="9">
        <f t="shared" ref="AF836:AF837" si="3472">IF(ISERROR(AE836/W836),"NA",IF(OR(AE836/W836&gt;2,AE836/W836&lt;0.5),"NM",AE836/W836*100-100))</f>
        <v>-39.626694625710911</v>
      </c>
      <c r="AG836" s="650">
        <f>(AG819+AG830)/AG709*100</f>
        <v>42.274110296115175</v>
      </c>
      <c r="AH836" s="9">
        <f>IF(ISERROR(AG836/Y836),"NA",IF(OR(AG836/Y836&gt;2,AG836/Y836&lt;0.5),"NM",AG836/Y836*100-100))</f>
        <v>-42.344496735299408</v>
      </c>
      <c r="AI836" s="650">
        <f>(AI819+AI830)/AI709*100</f>
        <v>69.651244550696106</v>
      </c>
      <c r="AJ836" s="9">
        <f t="shared" ref="AJ836:AJ837" si="3473">IF(ISERROR(AI836/AA836),"NA",IF(OR(AI836/AA836&gt;2,AI836/AA836&lt;0.5),"NM",AI836/AA836*100-100))</f>
        <v>1.5581777362303058</v>
      </c>
      <c r="AK836" s="650">
        <f>(AK819+AK830)/AK709*100</f>
        <v>41.844616800315507</v>
      </c>
      <c r="AL836" s="9">
        <f t="shared" ref="AL836:AL837" si="3474">IF(ISERROR(AK836/AC836),"NA",IF(OR(AK836/AC836&gt;2,AK836/AC836&lt;0.5),"NM",AK836/AC836*100-100))</f>
        <v>-34.791880901505365</v>
      </c>
      <c r="AM836" s="650">
        <f t="shared" ref="AM836:AO836" si="3475">(AM819+AM830)/AM709*100</f>
        <v>44.144997004194131</v>
      </c>
      <c r="AN836" s="9">
        <f t="shared" ref="AN836:AN837" si="3476">IF(ISERROR(AM836/AE836),"NA",IF(OR(AM836/AE836&gt;2,AM836/AE836&lt;0.5),"NM",AM836/AE836*100-100))</f>
        <v>2.6349476596463148</v>
      </c>
      <c r="AO836" s="650">
        <f t="shared" si="3475"/>
        <v>40.367730900798165</v>
      </c>
      <c r="AP836" s="9">
        <f t="shared" ref="AP836:AP837" si="3477">IF(ISERROR(AO836/AG836),"NA",IF(OR(AO836/AG836&gt;2,AO836/AG836&lt;0.5),"NM",AO836/AG836*100-100))</f>
        <v>-4.5095671605233036</v>
      </c>
      <c r="AQ836" s="650">
        <f t="shared" ref="AQ836:AW836" si="3478">(AQ819+AQ830)/AQ709*100</f>
        <v>65.707663458663816</v>
      </c>
      <c r="AR836" s="9">
        <f t="shared" ref="AR836:AR837" si="3479">IF(ISERROR(AQ836/AI836),"NA",IF(OR(AQ836/AI836&gt;2,AQ836/AI836&lt;0.5),"NM",AQ836/AI836*100-100))</f>
        <v>-5.6618960902585513</v>
      </c>
      <c r="AS836" s="650">
        <f t="shared" si="3478"/>
        <v>60.721891893433458</v>
      </c>
      <c r="AT836" s="9">
        <f t="shared" ref="AT836:AT837" si="3480">IF(ISERROR(AS836/AK836),"NA",IF(OR(AS836/AK836&gt;2,AS836/AK836&lt;0.5),"NM",AS836/AK836*100-100))</f>
        <v>45.11279236514747</v>
      </c>
      <c r="AU836" s="650">
        <f t="shared" si="3478"/>
        <v>59.817666369900657</v>
      </c>
      <c r="AV836" s="9">
        <f t="shared" ref="AV836:AV837" si="3481">IF(ISERROR(AU836/AM836),"NA",IF(OR(AU836/AM836&gt;2,AU836/AM836&lt;0.5),"NM",AU836/AM836*100-100))</f>
        <v>35.502707960808095</v>
      </c>
      <c r="AW836" s="650">
        <f t="shared" si="3478"/>
        <v>52.043430775666607</v>
      </c>
      <c r="AX836" s="9">
        <f t="shared" ref="AX836:AX837" si="3482">IF(ISERROR(AW836/AO836),"NA",IF(OR(AW836/AO836&gt;2,AW836/AO836&lt;0.5),"NM",AW836/AO836*100-100))</f>
        <v>28.923349453455614</v>
      </c>
      <c r="AY836" s="283"/>
      <c r="AZ836" s="64"/>
      <c r="BA836" s="9" t="str">
        <f>IF(ISERROR(#REF!/#REF!),"NA",IF(OR(#REF!/#REF!&gt;2,#REF!/#REF!&lt;0.5),"NM",#REF!/#REF!*100-100))</f>
        <v>NA</v>
      </c>
      <c r="BB836" s="650">
        <f>(BB819+BB830)/BB707*100</f>
        <v>38.802151146334559</v>
      </c>
      <c r="BC836" s="9" t="str">
        <f>IF(ISERROR(BB836/#REF!),"NA",IF(OR(BB836/#REF!&gt;2,BB836/#REF!&lt;0.5),"NM",BB836/#REF!*100-100))</f>
        <v>NA</v>
      </c>
      <c r="BD836" s="938">
        <f>(BD819+BD830)/BD707*100</f>
        <v>40.012525738796143</v>
      </c>
      <c r="BE836" s="9">
        <f t="shared" ref="BE836:BS837" si="3483">IF(ISERROR(BD836/BB836),"NA",IF(OR(BD836/BB836&gt;2,BD836/BB836&lt;0.5),"NM",BD836/BB836*100-100))</f>
        <v>3.119349202823571</v>
      </c>
      <c r="BF836" s="650">
        <f>(BF819+BF830)/BF707*100</f>
        <v>55.713503331146654</v>
      </c>
      <c r="BG836" s="9">
        <f t="shared" si="3483"/>
        <v>39.24015618220983</v>
      </c>
      <c r="BH836" s="650">
        <f>(BH819+BH830)/BH707*100</f>
        <v>54.10540154759218</v>
      </c>
      <c r="BI836" s="9">
        <f t="shared" si="3483"/>
        <v>-2.8863770673266345</v>
      </c>
      <c r="BJ836" s="650">
        <f>(BJ819+BJ830)/BJ707*100</f>
        <v>49.603002840524788</v>
      </c>
      <c r="BK836" s="9">
        <f t="shared" si="3483"/>
        <v>-8.3215327458701012</v>
      </c>
      <c r="BL836" s="650">
        <f>(BL819+BL830)/BL707*100</f>
        <v>59.30410640367063</v>
      </c>
      <c r="BM836" s="9">
        <f t="shared" si="3483"/>
        <v>19.55749250571624</v>
      </c>
      <c r="BN836" s="650">
        <f>(BN819+BN830)/BN707*100</f>
        <v>59.314574274701712</v>
      </c>
      <c r="BO836" s="9">
        <f t="shared" si="3483"/>
        <v>1.7651174034782002E-2</v>
      </c>
      <c r="BP836" s="650">
        <f>(BP819+BP830)/BP707*100</f>
        <v>60.595203774314754</v>
      </c>
      <c r="BQ836" s="9">
        <f t="shared" si="3483"/>
        <v>2.159046937911242</v>
      </c>
      <c r="BR836" s="650">
        <f>(BR819+BR830)/BR707*100</f>
        <v>61.753037840286694</v>
      </c>
      <c r="BS836" s="9">
        <f t="shared" si="3483"/>
        <v>1.910768499573436</v>
      </c>
      <c r="BT836" s="650">
        <f>(BT819+BT830)/BT707*100</f>
        <v>62.416631376882314</v>
      </c>
      <c r="BU836" s="9">
        <f t="shared" ref="BU836:BU837" si="3484">IF(ISERROR(BT836/BR836),"NA",IF(OR(BT836/BR836&gt;2,BT836/BR836&lt;0.5),"NM",BT836/BR836*100-100))</f>
        <v>1.0745925379604557</v>
      </c>
      <c r="BV836" s="43">
        <f>IF(ISERROR(((BT836/BJ836)^0.2-1)*100),"NA",IF((((BT836/BJ836)^0.2-1)*100)&gt;100,"NM",IF((((BT836/BJ836)^0.2-1)*100)&lt;-50,"NM",((BT836/BJ836)^0.2-1)*100)))</f>
        <v>4.7028423474619219</v>
      </c>
      <c r="BW836" s="722"/>
      <c r="BX836" s="722"/>
      <c r="BY836"/>
      <c r="BZ836"/>
      <c r="CA836"/>
      <c r="CB836"/>
      <c r="CC836"/>
      <c r="CD836"/>
    </row>
    <row r="837" spans="1:83" s="2" customFormat="1" ht="12.75" customHeight="1" x14ac:dyDescent="0.2">
      <c r="B837" s="159" t="s">
        <v>328</v>
      </c>
      <c r="C837" s="650">
        <f>(C819+C830)/C731*100</f>
        <v>80.060011217049862</v>
      </c>
      <c r="D837" s="9" t="str">
        <f>IF(ISERROR(C837/#REF!),"NA",IF(OR(C837/#REF!&gt;2,C837/#REF!&lt;0.5),"NM",C837/#REF!*100-100))</f>
        <v>NA</v>
      </c>
      <c r="E837" s="650">
        <f>(E819+E830)/E731*100</f>
        <v>30.408007197480881</v>
      </c>
      <c r="F837" s="9" t="str">
        <f>IF(ISERROR(E837/#REF!),"NA",IF(OR(E837/#REF!&gt;2,E837/#REF!&lt;0.5),"NM",E837/#REF!*100-100))</f>
        <v>NA</v>
      </c>
      <c r="G837" s="650">
        <f>(G819+G830)/G731*100</f>
        <v>56.466829466829473</v>
      </c>
      <c r="H837" s="9" t="str">
        <f>IF(ISERROR(G837/#REF!),"NA",IF(OR(G837/#REF!&gt;2,G837/#REF!&lt;0.5),"NM",G837/#REF!*100-100))</f>
        <v>NA</v>
      </c>
      <c r="I837" s="650">
        <f>(I819+I830)/I731*100</f>
        <v>32.884318766066833</v>
      </c>
      <c r="J837" s="9" t="str">
        <f>IF(ISERROR(I837/#REF!),"NA",IF(OR(I837/#REF!&gt;2,I837/#REF!&lt;0.5),"NM",I837/#REF!*100-100))</f>
        <v>NA</v>
      </c>
      <c r="K837" s="650">
        <f>(K819+K830)/K731*100</f>
        <v>52.899182561307903</v>
      </c>
      <c r="L837" s="9">
        <f>IF(ISERROR(K837/C837),"NA",IF(OR(K837/C837&gt;2,K837/C837&lt;0.5),"NM",K837/C837*100-100))</f>
        <v>-33.925586872710426</v>
      </c>
      <c r="M837" s="650">
        <f>(M819+M830)/M731*100</f>
        <v>50.692357935989548</v>
      </c>
      <c r="N837" s="9">
        <f>IF(ISERROR(M837/E837),"NA",IF(OR(M837/E837&gt;2,M837/E837&lt;0.5),"NM",M837/E837*100-100))</f>
        <v>66.707267617948673</v>
      </c>
      <c r="O837" s="703">
        <f>(O819+O830)/O731*100</f>
        <v>64.290177419817141</v>
      </c>
      <c r="P837" s="9">
        <f>IF(ISERROR(O837/G837),"NA",IF(OR(O837/G837&gt;2,O837/G837&lt;0.5),"NM",O837/G837*100-100))</f>
        <v>13.854767527869384</v>
      </c>
      <c r="Q837" s="650">
        <f>(Q819+Q830)/Q731*100</f>
        <v>36.51855391881255</v>
      </c>
      <c r="R837" s="9">
        <f t="shared" si="3466"/>
        <v>11.051575003268326</v>
      </c>
      <c r="S837" s="650">
        <f>(S819+S830)/S731*100</f>
        <v>37.275573272866907</v>
      </c>
      <c r="T837" s="9">
        <f>IF(ISERROR(S837/K837),"NA",IF(OR(S837/K837&gt;2,S837/K837&lt;0.5),"NM",S837/K837*100-100))</f>
        <v>-29.534689445028562</v>
      </c>
      <c r="U837" s="650">
        <f>(U819+U830)/U731*100</f>
        <v>46.761250120450974</v>
      </c>
      <c r="V837" s="9">
        <f t="shared" si="3467"/>
        <v>-7.7548332245710014</v>
      </c>
      <c r="W837" s="650">
        <f>(W819+W831)/W731*100</f>
        <v>73.921503957783628</v>
      </c>
      <c r="X837" s="9">
        <f t="shared" si="3468"/>
        <v>14.981023423023984</v>
      </c>
      <c r="Y837" s="650">
        <f>(Y819+Y831)/Y731*100</f>
        <v>87.662460567823359</v>
      </c>
      <c r="Z837" s="9" t="str">
        <f t="shared" si="3469"/>
        <v>NM</v>
      </c>
      <c r="AA837" s="650">
        <f>(AA819+AA831)/AA731*100</f>
        <v>53.356521739130436</v>
      </c>
      <c r="AB837" s="9">
        <f t="shared" si="3470"/>
        <v>43.140714023488783</v>
      </c>
      <c r="AC837" s="650">
        <f>(AC819+AC831)/AC731*100</f>
        <v>67.117592305305607</v>
      </c>
      <c r="AD837" s="9">
        <f>IF(ISERROR(AC837/U837),"NA",IF(OR(AC837/U837&gt;2,AC837/U837&lt;0.5),"NM",AC837/U837*100-100))</f>
        <v>43.532502087560346</v>
      </c>
      <c r="AE837" s="650">
        <f>(AE819+AE831)/AE731*100</f>
        <v>49.661583387410765</v>
      </c>
      <c r="AF837" s="9">
        <f t="shared" si="3472"/>
        <v>-32.818488899018661</v>
      </c>
      <c r="AG837" s="650">
        <f>(AG819+AG831)/AG731*100</f>
        <v>48.934276729559741</v>
      </c>
      <c r="AH837" s="9">
        <f>IF(ISERROR(AG837/Y837),"NA",IF(OR(AG837/Y837&gt;2,AG837/Y837&lt;0.5),"NM",AG837/Y837*100-100))</f>
        <v>-44.178755179134065</v>
      </c>
      <c r="AI837" s="650">
        <f>(AI819+AI831)/AI731*100</f>
        <v>70.978790484379488</v>
      </c>
      <c r="AJ837" s="9">
        <f t="shared" si="3473"/>
        <v>33.027394160750333</v>
      </c>
      <c r="AK837" s="650">
        <f>(AK819+AK831)/AK731*100</f>
        <v>51.423586429725376</v>
      </c>
      <c r="AL837" s="9">
        <f t="shared" si="3474"/>
        <v>-23.38284991540084</v>
      </c>
      <c r="AM837" s="650">
        <f t="shared" ref="AM837:AO837" si="3485">(AM819+AM831)/AM731*100</f>
        <v>22.734509997531475</v>
      </c>
      <c r="AN837" s="9" t="str">
        <f t="shared" si="3476"/>
        <v>NM</v>
      </c>
      <c r="AO837" s="650">
        <f t="shared" si="3485"/>
        <v>16.822285578522212</v>
      </c>
      <c r="AP837" s="9" t="str">
        <f t="shared" si="3477"/>
        <v>NM</v>
      </c>
      <c r="AQ837" s="650">
        <f t="shared" ref="AQ837:AW837" si="3486">(AQ819+AQ831)/AQ731*100</f>
        <v>67.955939405593639</v>
      </c>
      <c r="AR837" s="9">
        <f t="shared" si="3479"/>
        <v>-4.2588089458231764</v>
      </c>
      <c r="AS837" s="650">
        <f t="shared" si="3486"/>
        <v>62.801744335785244</v>
      </c>
      <c r="AT837" s="9">
        <f t="shared" si="3480"/>
        <v>22.126340646444547</v>
      </c>
      <c r="AU837" s="650">
        <f t="shared" si="3486"/>
        <v>61.830607216645149</v>
      </c>
      <c r="AV837" s="9" t="str">
        <f t="shared" si="3481"/>
        <v>NM</v>
      </c>
      <c r="AW837" s="650">
        <f t="shared" si="3486"/>
        <v>53.768827393432282</v>
      </c>
      <c r="AX837" s="9" t="str">
        <f t="shared" si="3482"/>
        <v>NM</v>
      </c>
      <c r="AY837" s="283"/>
      <c r="AZ837" s="64"/>
      <c r="BA837" s="9" t="str">
        <f>IF(ISERROR(#REF!/#REF!),"NA",IF(OR(#REF!/#REF!&gt;2,#REF!/#REF!&lt;0.5),"NM",#REF!/#REF!*100-100))</f>
        <v>NA</v>
      </c>
      <c r="BB837" s="650">
        <f>(BB819+BB830)/BB731*100</f>
        <v>46.750483119245196</v>
      </c>
      <c r="BC837" s="9" t="str">
        <f>IF(ISERROR(BB837/#REF!),"NA",IF(OR(BB837/#REF!&gt;2,BB837/#REF!&lt;0.5),"NM",BB837/#REF!*100-100))</f>
        <v>NA</v>
      </c>
      <c r="BD837" s="938">
        <f>(BD819+BD830)/BD731*100</f>
        <v>47.259446895947725</v>
      </c>
      <c r="BE837" s="9">
        <f t="shared" si="3483"/>
        <v>1.0886813199434471</v>
      </c>
      <c r="BF837" s="650">
        <f>(BF819+BF830)/BF731*100</f>
        <v>58.515325246676717</v>
      </c>
      <c r="BG837" s="9">
        <f t="shared" si="3483"/>
        <v>23.817202887522853</v>
      </c>
      <c r="BH837" s="650">
        <f>(BH819+BH830)/BH731*100</f>
        <v>54.705431067223657</v>
      </c>
      <c r="BI837" s="9">
        <f t="shared" si="3483"/>
        <v>-6.5109339534422901</v>
      </c>
      <c r="BJ837" s="650">
        <f>(BJ819+BJ830)/BJ731*100</f>
        <v>31.744719529085863</v>
      </c>
      <c r="BK837" s="9">
        <f t="shared" si="3483"/>
        <v>-41.971539370420075</v>
      </c>
      <c r="BL837" s="650">
        <f>(BL819+BL830)/BL731*100</f>
        <v>61.30875749981184</v>
      </c>
      <c r="BM837" s="9">
        <f t="shared" si="3483"/>
        <v>93.130569144383657</v>
      </c>
      <c r="BN837" s="650">
        <f>(BN819+BN830)/BN731*100</f>
        <v>61.378670707296443</v>
      </c>
      <c r="BO837" s="9">
        <f t="shared" si="3483"/>
        <v>0.11403461811279669</v>
      </c>
      <c r="BP837" s="650">
        <f>(BP819+BP830)/BP731*100</f>
        <v>62.764044532599883</v>
      </c>
      <c r="BQ837" s="9">
        <f t="shared" si="3483"/>
        <v>2.2570932366880783</v>
      </c>
      <c r="BR837" s="650">
        <f>(BR819+BR830)/BR731*100</f>
        <v>64.038846784725862</v>
      </c>
      <c r="BS837" s="9">
        <f t="shared" si="3483"/>
        <v>2.0311027780624471</v>
      </c>
      <c r="BT837" s="650">
        <f>(BT819+BT830)/BT731*100</f>
        <v>64.807953770360783</v>
      </c>
      <c r="BU837" s="9">
        <f t="shared" si="3484"/>
        <v>1.2010006804469242</v>
      </c>
      <c r="BV837" s="43">
        <f>IF(ISERROR(((BT837/BJ837)^0.2-1)*100),"NA",IF((((BT837/BJ837)^0.2-1)*100)&gt;100,"NM",IF((((BT837/BJ837)^0.2-1)*100)&lt;-50,"NM",((BT837/BJ837)^0.2-1)*100)))</f>
        <v>15.343031884096604</v>
      </c>
      <c r="BW837" s="722"/>
      <c r="BX837" s="722"/>
      <c r="BY837"/>
      <c r="BZ837"/>
      <c r="CA837"/>
      <c r="CB837"/>
      <c r="CC837"/>
      <c r="CD837"/>
    </row>
    <row r="838" spans="1:83" s="139" customFormat="1" ht="12.75" customHeight="1" x14ac:dyDescent="0.2">
      <c r="A838" s="136"/>
      <c r="B838" s="170"/>
      <c r="C838" s="171"/>
      <c r="D838" s="172"/>
      <c r="E838" s="171"/>
      <c r="F838" s="172"/>
      <c r="G838" s="171"/>
      <c r="H838" s="172"/>
      <c r="I838" s="173"/>
      <c r="J838" s="172"/>
      <c r="K838" s="173"/>
      <c r="L838" s="172"/>
      <c r="M838" s="173"/>
      <c r="N838" s="172"/>
      <c r="O838" s="173"/>
      <c r="P838" s="172"/>
      <c r="Q838" s="173"/>
      <c r="R838" s="172"/>
      <c r="S838" s="173"/>
      <c r="T838" s="172"/>
      <c r="U838" s="173"/>
      <c r="V838" s="172"/>
      <c r="W838" s="173"/>
      <c r="X838" s="172"/>
      <c r="Y838" s="173"/>
      <c r="Z838" s="172"/>
      <c r="AA838" s="173"/>
      <c r="AB838" s="172"/>
      <c r="AC838" s="173"/>
      <c r="AD838" s="172"/>
      <c r="AE838" s="173"/>
      <c r="AF838" s="172"/>
      <c r="AG838" s="173"/>
      <c r="AH838" s="172"/>
      <c r="AI838" s="173"/>
      <c r="AJ838" s="172"/>
      <c r="AK838" s="173"/>
      <c r="AL838" s="172"/>
      <c r="AM838" s="173"/>
      <c r="AN838" s="172"/>
      <c r="AO838" s="173"/>
      <c r="AP838" s="172"/>
      <c r="AQ838" s="173"/>
      <c r="AR838" s="172"/>
      <c r="AS838" s="173"/>
      <c r="AT838" s="172"/>
      <c r="AU838" s="173"/>
      <c r="AV838" s="172"/>
      <c r="AW838" s="173"/>
      <c r="AX838" s="172"/>
      <c r="AY838" s="295"/>
      <c r="AZ838" s="171"/>
      <c r="BA838" s="172"/>
      <c r="BB838" s="173"/>
      <c r="BC838" s="172"/>
      <c r="BD838" s="972"/>
      <c r="BE838" s="172"/>
      <c r="BF838" s="173"/>
      <c r="BG838" s="172"/>
      <c r="BH838" s="173"/>
      <c r="BI838" s="172"/>
      <c r="BJ838" s="173"/>
      <c r="BK838" s="172"/>
      <c r="BL838" s="173"/>
      <c r="BM838" s="172"/>
      <c r="BN838" s="173"/>
      <c r="BO838" s="172"/>
      <c r="BP838" s="173"/>
      <c r="BQ838" s="172"/>
      <c r="BR838" s="173"/>
      <c r="BS838" s="172"/>
      <c r="BT838" s="173"/>
      <c r="BU838" s="172"/>
      <c r="BV838" s="151"/>
      <c r="BW838" s="151"/>
      <c r="BX838" s="151"/>
      <c r="BY838"/>
      <c r="BZ838"/>
      <c r="CA838"/>
      <c r="CB838"/>
      <c r="CC838"/>
      <c r="CD838"/>
      <c r="CE838" s="2"/>
    </row>
    <row r="839" spans="1:83" s="2" customFormat="1" ht="12.75" customHeight="1" x14ac:dyDescent="0.2">
      <c r="A839" s="41"/>
      <c r="B839" s="158" t="s">
        <v>112</v>
      </c>
      <c r="C839" s="15"/>
      <c r="D839" s="40"/>
      <c r="E839" s="15"/>
      <c r="F839" s="40"/>
      <c r="G839" s="15"/>
      <c r="H839" s="40"/>
      <c r="I839" s="15"/>
      <c r="J839" s="40"/>
      <c r="K839" s="15"/>
      <c r="L839" s="40"/>
      <c r="M839" s="15"/>
      <c r="N839" s="40"/>
      <c r="O839" s="15"/>
      <c r="P839" s="40"/>
      <c r="Q839" s="15"/>
      <c r="R839" s="40"/>
      <c r="S839" s="15"/>
      <c r="T839" s="40"/>
      <c r="U839" s="15"/>
      <c r="V839" s="40"/>
      <c r="W839" s="99"/>
      <c r="X839" s="40"/>
      <c r="Y839" s="99"/>
      <c r="Z839" s="40"/>
      <c r="AA839" s="99"/>
      <c r="AB839" s="40"/>
      <c r="AC839" s="99"/>
      <c r="AD839" s="40"/>
      <c r="AE839" s="99"/>
      <c r="AF839" s="40"/>
      <c r="AG839" s="99"/>
      <c r="AH839" s="40"/>
      <c r="AI839" s="99"/>
      <c r="AJ839" s="40"/>
      <c r="AK839" s="99"/>
      <c r="AL839" s="40"/>
      <c r="AM839" s="15"/>
      <c r="AN839" s="40"/>
      <c r="AO839" s="15"/>
      <c r="AP839" s="40"/>
      <c r="AQ839" s="15"/>
      <c r="AR839" s="40"/>
      <c r="AS839" s="15"/>
      <c r="AT839" s="40"/>
      <c r="AU839" s="15"/>
      <c r="AV839" s="40"/>
      <c r="AW839" s="15"/>
      <c r="AX839" s="40"/>
      <c r="AY839" s="279"/>
      <c r="AZ839" s="15"/>
      <c r="BA839" s="40"/>
      <c r="BB839" s="15"/>
      <c r="BC839" s="40"/>
      <c r="BD839" s="924"/>
      <c r="BE839" s="40"/>
      <c r="BF839" s="15"/>
      <c r="BG839" s="40"/>
      <c r="BH839" s="15"/>
      <c r="BI839" s="40"/>
      <c r="BJ839" s="15"/>
      <c r="BK839" s="40"/>
      <c r="BL839" s="15"/>
      <c r="BM839" s="40"/>
      <c r="BN839" s="15"/>
      <c r="BO839" s="40"/>
      <c r="BP839" s="15"/>
      <c r="BQ839" s="40"/>
      <c r="BR839" s="15"/>
      <c r="BS839" s="40"/>
      <c r="BT839" s="15"/>
      <c r="BU839" s="40"/>
      <c r="BV839" s="722"/>
      <c r="BW839" s="722"/>
      <c r="BX839" s="722"/>
      <c r="BY839"/>
      <c r="BZ839"/>
      <c r="CA839"/>
      <c r="CB839"/>
      <c r="CC839"/>
      <c r="CD839"/>
    </row>
    <row r="840" spans="1:83" s="2" customFormat="1" ht="12.75" customHeight="1" x14ac:dyDescent="0.2">
      <c r="A840" s="2" t="s">
        <v>478</v>
      </c>
      <c r="B840" s="159" t="s">
        <v>113</v>
      </c>
      <c r="C840" s="87">
        <v>293.3</v>
      </c>
      <c r="D840" s="9" t="str">
        <f>IF(ISERROR(C840/#REF!),"NA",IF(OR(C840/#REF!&gt;2,C840/#REF!&lt;0.5),"NM",C840/#REF!*100-100))</f>
        <v>NA</v>
      </c>
      <c r="E840" s="87">
        <v>293.89999999999998</v>
      </c>
      <c r="F840" s="9" t="str">
        <f>IF(ISERROR(E840/#REF!),"NA",IF(OR(E840/#REF!&gt;2,E840/#REF!&lt;0.5),"NM",E840/#REF!*100-100))</f>
        <v>NA</v>
      </c>
      <c r="G840" s="87">
        <v>293.89999999999998</v>
      </c>
      <c r="H840" s="9" t="str">
        <f>IF(ISERROR(G840/#REF!),"NA",IF(OR(G840/#REF!&gt;2,G840/#REF!&lt;0.5),"NM",G840/#REF!*100-100))</f>
        <v>NA</v>
      </c>
      <c r="I840" s="87">
        <v>295.2</v>
      </c>
      <c r="J840" s="9" t="str">
        <f>IF(ISERROR(I840/#REF!),"NA",IF(OR(I840/#REF!&gt;2,I840/#REF!&lt;0.5),"NM",I840/#REF!*100-100))</f>
        <v>NA</v>
      </c>
      <c r="K840" s="87">
        <v>294.8</v>
      </c>
      <c r="L840" s="9">
        <f>IF(ISERROR(K840/C840),"NA",IF(OR(K840/C840&gt;2,K840/C840&lt;0.5),"NM",K840/C840*100-100))</f>
        <v>0.51142175247187538</v>
      </c>
      <c r="M840" s="87">
        <v>293.8</v>
      </c>
      <c r="N840" s="9">
        <f>IF(ISERROR(M840/E840),"NA",IF(OR(M840/E840&gt;2,M840/E840&lt;0.5),"NM",M840/E840*100-100))</f>
        <v>-3.4025178632177244E-2</v>
      </c>
      <c r="O840" s="87">
        <v>293.60000000000002</v>
      </c>
      <c r="P840" s="9">
        <f>IF(ISERROR(O840/G840),"NA",IF(OR(O840/G840&gt;2,O840/G840&lt;0.5),"NM",O840/G840*100-100))</f>
        <v>-0.10207553589654594</v>
      </c>
      <c r="Q840" s="87">
        <v>293.89999999999998</v>
      </c>
      <c r="R840" s="9">
        <f>IF(ISERROR(Q840/I840),"NA",IF(OR(Q840/I840&gt;2,Q840/I840&lt;0.5),"NM",Q840/I840*100-100))</f>
        <v>-0.44037940379404006</v>
      </c>
      <c r="S840" s="87">
        <v>294.39999999999998</v>
      </c>
      <c r="T840" s="9">
        <f>IF(ISERROR(S840/K840),"NA",IF(OR(S840/K840&gt;2,S840/K840&lt;0.5),"NM",S840/K840*100-100))</f>
        <v>-0.13568521031209002</v>
      </c>
      <c r="U840" s="87">
        <v>294.7</v>
      </c>
      <c r="V840" s="9">
        <f>IF(ISERROR(U840/M840),"NA",IF(OR(U840/M840&gt;2,U840/M840&lt;0.5),"NM",U840/M840*100-100))</f>
        <v>0.30633083730428723</v>
      </c>
      <c r="W840" s="87">
        <v>293.5</v>
      </c>
      <c r="X840" s="9">
        <f>IF(ISERROR(W840/O840),"NA",IF(OR(W840/O840&gt;2,W840/O840&lt;0.5),"NM",W840/O840*100-100))</f>
        <v>-3.40599455040973E-2</v>
      </c>
      <c r="Y840" s="87">
        <v>291.39999999999998</v>
      </c>
      <c r="Z840" s="9">
        <f>IF(ISERROR(Y840/Q840),"NA",IF(OR(Y840/Q840&gt;2,Y840/Q840&lt;0.5),"NM",Y840/Q840*100-100))</f>
        <v>-0.85062946580470111</v>
      </c>
      <c r="AA840" s="87">
        <v>290.39999999999998</v>
      </c>
      <c r="AB840" s="9">
        <f>IF(ISERROR(AA840/S840),"NA",IF(OR(AA840/S840&gt;2,AA840/S840&lt;0.5),"NM",AA840/S840*100-100))</f>
        <v>-1.3586956521739069</v>
      </c>
      <c r="AC840" s="87">
        <v>288</v>
      </c>
      <c r="AD840" s="9">
        <f>IF(ISERROR(AC840/U840),"NA",IF(OR(AC840/U840&gt;2,AC840/U840&lt;0.5),"NM",AC840/U840*100-100))</f>
        <v>-2.2734984730234089</v>
      </c>
      <c r="AE840" s="87">
        <v>287.7</v>
      </c>
      <c r="AF840" s="9">
        <f>IF(ISERROR(AE840/W840),"NA",IF(OR(AE840/W840&gt;2,AE840/W840&lt;0.5),"NM",AE840/W840*100-100))</f>
        <v>-1.9761499148211215</v>
      </c>
      <c r="AG840" s="87">
        <v>287.7</v>
      </c>
      <c r="AH840" s="9">
        <f>IF(ISERROR(AG840/Y840),"NA",IF(OR(AG840/Y840&gt;2,AG840/Y840&lt;0.5),"NM",AG840/Y840*100-100))</f>
        <v>-1.2697323266986871</v>
      </c>
      <c r="AI840" s="87">
        <v>288.10000000000002</v>
      </c>
      <c r="AJ840" s="9">
        <f t="shared" ref="AJ840:AJ842" si="3487">IF(ISERROR(AI840/AA840),"NA",IF(OR(AI840/AA840&gt;2,AI840/AA840&lt;0.5),"NM",AI840/AA840*100-100))</f>
        <v>-0.79201101928373419</v>
      </c>
      <c r="AK840" s="87">
        <v>288.60000000000002</v>
      </c>
      <c r="AL840" s="9">
        <f t="shared" ref="AL840:AL842" si="3488">IF(ISERROR(AK840/AC840),"NA",IF(OR(AK840/AC840&gt;2,AK840/AC840&lt;0.5),"NM",AK840/AC840*100-100))</f>
        <v>0.20833333333334281</v>
      </c>
      <c r="AM840" s="87">
        <v>288.5</v>
      </c>
      <c r="AN840" s="9">
        <f t="shared" ref="AN840:AN842" si="3489">IF(ISERROR(AM840/AE840),"NA",IF(OR(AM840/AE840&gt;2,AM840/AE840&lt;0.5),"NM",AM840/AE840*100-100))</f>
        <v>0.27806743135209899</v>
      </c>
      <c r="AO840" s="87">
        <v>289</v>
      </c>
      <c r="AP840" s="9">
        <f t="shared" ref="AP840:AP842" si="3490">IF(ISERROR(AO840/AG840),"NA",IF(OR(AO840/AG840&gt;2,AO840/AG840&lt;0.5),"NM",AO840/AG840*100-100))</f>
        <v>0.45185957594718218</v>
      </c>
      <c r="AQ840" s="15">
        <f t="shared" ref="AQ840" si="3491">+AO840-AQ827+AQ822</f>
        <v>287.9522535113731</v>
      </c>
      <c r="AR840" s="9">
        <f t="shared" ref="AR840:AR842" si="3492">IF(ISERROR(AQ840/AI840),"NA",IF(OR(AQ840/AI840&gt;2,AQ840/AI840&lt;0.5),"NM",AQ840/AI840*100-100))</f>
        <v>-5.1283057489385442E-2</v>
      </c>
      <c r="AS840" s="15">
        <f t="shared" ref="AS840" si="3493">+AQ840-AS827+AS822</f>
        <v>287.15086465472478</v>
      </c>
      <c r="AT840" s="9">
        <f t="shared" ref="AT840:AT842" si="3494">IF(ISERROR(AS840/AK840),"NA",IF(OR(AS840/AK840&gt;2,AS840/AK840&lt;0.5),"NM",AS840/AK840*100-100))</f>
        <v>-0.50212589926377404</v>
      </c>
      <c r="AU840" s="15">
        <f t="shared" ref="AU840" si="3495">+AS840-AU827+AU822</f>
        <v>286.3673413339651</v>
      </c>
      <c r="AV840" s="9">
        <f t="shared" ref="AV840:AV842" si="3496">IF(ISERROR(AU840/AM840),"NA",IF(OR(AU840/AM840&gt;2,AU840/AM840&lt;0.5),"NM",AU840/AM840*100-100))</f>
        <v>-0.73922310781105693</v>
      </c>
      <c r="AW840" s="15">
        <f t="shared" ref="AW840" si="3497">+AU840-AW827+AW822</f>
        <v>285.96804140543935</v>
      </c>
      <c r="AX840" s="9">
        <f t="shared" ref="AX840:AX842" si="3498">IF(ISERROR(AW840/AO840),"NA",IF(OR(AW840/AO840&gt;2,AW840/AO840&lt;0.5),"NM",AW840/AO840*100-100))</f>
        <v>-1.0491206209552502</v>
      </c>
      <c r="AY840" s="279"/>
      <c r="AZ840" s="15"/>
      <c r="BA840" s="9" t="str">
        <f>IF(ISERROR(#REF!/#REF!),"NA",IF(OR(#REF!/#REF!&gt;2,#REF!/#REF!&lt;0.5),"NM",#REF!/#REF!*100-100))</f>
        <v>NA</v>
      </c>
      <c r="BB840" s="15">
        <f>O840</f>
        <v>293.60000000000002</v>
      </c>
      <c r="BC840" s="9" t="str">
        <f>IF(ISERROR(BB840/#REF!),"NA",IF(OR(BB840/#REF!&gt;2,BB840/#REF!&lt;0.5),"NM",BB840/#REF!*100-100))</f>
        <v>NA</v>
      </c>
      <c r="BD840" s="924">
        <f>Q840</f>
        <v>293.89999999999998</v>
      </c>
      <c r="BE840" s="9">
        <f t="shared" ref="BE840:BS842" si="3499">IF(ISERROR(BD840/BB840),"NA",IF(OR(BD840/BB840&gt;2,BD840/BB840&lt;0.5),"NM",BD840/BB840*100-100))</f>
        <v>0.10217983651223506</v>
      </c>
      <c r="BF840" s="15">
        <f>Y840</f>
        <v>291.39999999999998</v>
      </c>
      <c r="BG840" s="9">
        <f t="shared" si="3499"/>
        <v>-0.85062946580470111</v>
      </c>
      <c r="BH840" s="15">
        <f>AG840</f>
        <v>287.7</v>
      </c>
      <c r="BI840" s="9">
        <f t="shared" si="3499"/>
        <v>-1.2697323266986871</v>
      </c>
      <c r="BJ840" s="15">
        <f>AO840</f>
        <v>289</v>
      </c>
      <c r="BK840" s="9">
        <f t="shared" si="3499"/>
        <v>0.45185957594718218</v>
      </c>
      <c r="BL840" s="15">
        <f>AW840</f>
        <v>285.96804140543935</v>
      </c>
      <c r="BM840" s="9">
        <f t="shared" si="3499"/>
        <v>-1.0491206209552502</v>
      </c>
      <c r="BN840" s="15">
        <f>+BL840-BN827+BN822</f>
        <v>283.34419756561175</v>
      </c>
      <c r="BO840" s="9">
        <f t="shared" si="3499"/>
        <v>-0.91753044393782091</v>
      </c>
      <c r="BP840" s="15">
        <f>+BN840-BP827+BP822</f>
        <v>280.80909998245437</v>
      </c>
      <c r="BQ840" s="9">
        <f t="shared" si="3499"/>
        <v>-0.89470601654736015</v>
      </c>
      <c r="BR840" s="15">
        <f>+BP840-BR827+BR822</f>
        <v>278.48437526744095</v>
      </c>
      <c r="BS840" s="9">
        <f t="shared" si="3499"/>
        <v>-0.82786658806949731</v>
      </c>
      <c r="BT840" s="15">
        <f>+BR840-BT827+BT822</f>
        <v>276.53930267785705</v>
      </c>
      <c r="BU840" s="9">
        <f t="shared" ref="BU840:BU842" si="3500">IF(ISERROR(BT840/BR840),"NA",IF(OR(BT840/BR840&gt;2,BT840/BR840&lt;0.5),"NM",BT840/BR840*100-100))</f>
        <v>-0.69844945078730802</v>
      </c>
      <c r="BV840" s="43">
        <f>IF(ISERROR(((BT840/BJ840)^0.2-1)*100),"NA",IF((((BT840/BJ840)^0.2-1)*100)&gt;100,"NM",IF((((BT840/BJ840)^0.2-1)*100)&lt;-50,"NM",((BT840/BJ840)^0.2-1)*100)))</f>
        <v>-0.87760107695907807</v>
      </c>
      <c r="BW840" s="722"/>
      <c r="BX840" s="722"/>
      <c r="BY840"/>
      <c r="BZ840"/>
      <c r="CA840"/>
      <c r="CB840"/>
      <c r="CC840"/>
      <c r="CD840"/>
    </row>
    <row r="841" spans="1:83" s="2" customFormat="1" ht="12.75" customHeight="1" x14ac:dyDescent="0.2">
      <c r="B841" s="159" t="s">
        <v>109</v>
      </c>
      <c r="C841" s="87">
        <v>294.10000000000002</v>
      </c>
      <c r="D841" s="9" t="str">
        <f>IF(ISERROR(C841/#REF!),"NA",IF(OR(C841/#REF!&gt;2,C841/#REF!&lt;0.5),"NM",C841/#REF!*100-100))</f>
        <v>NA</v>
      </c>
      <c r="E841" s="87">
        <v>294.10000000000002</v>
      </c>
      <c r="F841" s="9" t="str">
        <f>IF(ISERROR(E841/#REF!),"NA",IF(OR(E841/#REF!&gt;2,E841/#REF!&lt;0.5),"NM",E841/#REF!*100-100))</f>
        <v>NA</v>
      </c>
      <c r="G841" s="87">
        <v>294.89999999999998</v>
      </c>
      <c r="H841" s="9" t="str">
        <f>IF(ISERROR(G841/#REF!),"NA",IF(OR(G841/#REF!&gt;2,G841/#REF!&lt;0.5),"NM",G841/#REF!*100-100))</f>
        <v>NA</v>
      </c>
      <c r="I841" s="87">
        <v>295.2</v>
      </c>
      <c r="J841" s="9" t="str">
        <f>IF(ISERROR(I841/#REF!),"NA",IF(OR(I841/#REF!&gt;2,I841/#REF!&lt;0.5),"NM",I841/#REF!*100-100))</f>
        <v>NA</v>
      </c>
      <c r="K841" s="87">
        <v>295.8</v>
      </c>
      <c r="L841" s="9">
        <f>IF(ISERROR(K841/C841),"NA",IF(OR(K841/C841&gt;2,K841/C841&lt;0.5),"NM",K841/C841*100-100))</f>
        <v>0.57803468208092568</v>
      </c>
      <c r="M841" s="87">
        <v>294.7</v>
      </c>
      <c r="N841" s="9">
        <f>+L841/L842*N842</f>
        <v>0.26484341976623943</v>
      </c>
      <c r="O841" s="87">
        <v>294.2</v>
      </c>
      <c r="P841" s="9">
        <f>IF(ISERROR(O841/G841),"NA",IF(OR(O841/G841&gt;2,O841/G841&lt;0.5),"NM",O841/G841*100-100))</f>
        <v>-0.23736859952525435</v>
      </c>
      <c r="Q841" s="87">
        <v>294.2</v>
      </c>
      <c r="R841" s="9">
        <f>IF(ISERROR(Q841/I841),"NA",IF(OR(Q841/I841&gt;2,Q841/I841&lt;0.5),"NM",Q841/I841*100-100))</f>
        <v>-0.33875338753387041</v>
      </c>
      <c r="S841" s="87">
        <v>294.8</v>
      </c>
      <c r="T841" s="9">
        <f>+R841/R842*T842</f>
        <v>-0.33852717492116113</v>
      </c>
      <c r="U841" s="87">
        <v>295</v>
      </c>
      <c r="V841" s="9">
        <f>+T841/T842*V842</f>
        <v>3.398890006330204E-2</v>
      </c>
      <c r="W841" s="87">
        <v>295</v>
      </c>
      <c r="X841" s="9">
        <f>+V841/V842*X842</f>
        <v>0.10200089425441933</v>
      </c>
      <c r="Y841" s="87">
        <v>292.60000000000002</v>
      </c>
      <c r="Z841" s="9">
        <f>IF(ISERROR(Y841/Q841),"NA",IF(OR(Y841/Q841&gt;2,Y841/Q841&lt;0.5),"NM",Y841/Q841*100-100))</f>
        <v>-0.54384772263765058</v>
      </c>
      <c r="AA841" s="87">
        <v>291.5</v>
      </c>
      <c r="AB841" s="9">
        <f>IF(ISERROR(AA841/S841),"NA",IF(OR(AA841/S841&gt;2,AA841/S841&lt;0.5),"NM",AA841/S841*100-100))</f>
        <v>-1.119402985074629</v>
      </c>
      <c r="AC841" s="87">
        <v>289.89999999999998</v>
      </c>
      <c r="AD841" s="9">
        <f>IF(ISERROR(AC841/U841),"NA",IF(OR(AC841/U841&gt;2,AC841/U841&lt;0.5),"NM",AC841/U841*100-100))</f>
        <v>-1.7288135593220346</v>
      </c>
      <c r="AE841" s="87">
        <v>288.10000000000002</v>
      </c>
      <c r="AF841" s="9">
        <f>IF(ISERROR(AE841/W841),"NA",IF(OR(AE841/W841&gt;2,AE841/W841&lt;0.5),"NM",AE841/W841*100-100))</f>
        <v>-2.3389830508474603</v>
      </c>
      <c r="AG841" s="87">
        <v>288.3</v>
      </c>
      <c r="AH841" s="9">
        <f>IF(ISERROR(AG841/Y841),"NA",IF(OR(AG841/Y841&gt;2,AG841/Y841&lt;0.5),"NM",AG841/Y841*100-100))</f>
        <v>-1.4695830485304242</v>
      </c>
      <c r="AI841" s="87">
        <v>288.3</v>
      </c>
      <c r="AJ841" s="9">
        <f t="shared" si="3487"/>
        <v>-1.0977701543739187</v>
      </c>
      <c r="AK841" s="87">
        <v>288.89999999999998</v>
      </c>
      <c r="AL841" s="9">
        <f t="shared" si="3488"/>
        <v>-0.34494653328734159</v>
      </c>
      <c r="AM841" s="87">
        <v>289.3</v>
      </c>
      <c r="AN841" s="9">
        <f t="shared" si="3489"/>
        <v>0.41652204095798595</v>
      </c>
      <c r="AO841" s="87">
        <v>289.3</v>
      </c>
      <c r="AP841" s="9">
        <f t="shared" si="3490"/>
        <v>0.34686090877558229</v>
      </c>
      <c r="AQ841" s="15">
        <f t="shared" ref="AQ841" si="3501">AO840+AQ822*(1-AQ824/100)-AQ827*(1-AQ829/100)</f>
        <v>288.47612675568661</v>
      </c>
      <c r="AR841" s="9">
        <f t="shared" si="3492"/>
        <v>6.1091486537151241E-2</v>
      </c>
      <c r="AS841" s="15">
        <f t="shared" ref="AS841" si="3502">AQ840+AS822*(1-AS824/100)-AS827*(1-AS829/100)</f>
        <v>287.55155908304897</v>
      </c>
      <c r="AT841" s="9">
        <f t="shared" si="3494"/>
        <v>-0.46675005778851641</v>
      </c>
      <c r="AU841" s="15">
        <f t="shared" ref="AU841" si="3503">AS840+AU822*(1-AU824/100)-AU827*(1-AU829/100)</f>
        <v>286.75910299434497</v>
      </c>
      <c r="AV841" s="9">
        <f t="shared" si="3496"/>
        <v>-0.87829139497236497</v>
      </c>
      <c r="AW841" s="15">
        <f t="shared" ref="AW841" si="3504">AU840+AW822*(1-AW824/100)-AW827*(1-AW829/100)</f>
        <v>286.16769136970225</v>
      </c>
      <c r="AX841" s="9">
        <f t="shared" si="3498"/>
        <v>-1.0827198860344822</v>
      </c>
      <c r="AY841" s="279"/>
      <c r="AZ841" s="15"/>
      <c r="BA841" s="9" t="str">
        <f>IF(ISERROR(#REF!/#REF!),"NA",IF(OR(#REF!/#REF!&gt;2,#REF!/#REF!&lt;0.5),"NM",#REF!/#REF!*100-100))</f>
        <v>NA</v>
      </c>
      <c r="BB841" s="15">
        <f>AVERAGE(C841,E841,G841,I841)</f>
        <v>294.57499999999999</v>
      </c>
      <c r="BC841" s="9" t="str">
        <f>IF(ISERROR(BB841/#REF!),"NA",IF(OR(BB841/#REF!&gt;2,BB841/#REF!&lt;0.5),"NM",BB841/#REF!*100-100))</f>
        <v>NA</v>
      </c>
      <c r="BD841" s="924">
        <f>AVERAGE(K841,M841,O841,Q841)</f>
        <v>294.72500000000002</v>
      </c>
      <c r="BE841" s="9">
        <f t="shared" si="3499"/>
        <v>5.0920818127835332E-2</v>
      </c>
      <c r="BF841" s="15">
        <f>AVERAGE(S841,U841,W841,Y841)</f>
        <v>294.35000000000002</v>
      </c>
      <c r="BG841" s="9">
        <f t="shared" si="3499"/>
        <v>-0.12723725506828032</v>
      </c>
      <c r="BH841" s="15">
        <f>AVERAGE(AA841,AC841,AE841,AG841)</f>
        <v>289.45</v>
      </c>
      <c r="BI841" s="9">
        <f t="shared" si="3499"/>
        <v>-1.6646848989298633</v>
      </c>
      <c r="BJ841" s="15">
        <f>AVERAGE(AI841,AK841,AM841,AO841)</f>
        <v>288.95</v>
      </c>
      <c r="BK841" s="9">
        <f t="shared" si="3499"/>
        <v>-0.17274140611505118</v>
      </c>
      <c r="BL841" s="15">
        <f>AVERAGE(AQ841,AS841,AU841,AW841)</f>
        <v>287.23862005069572</v>
      </c>
      <c r="BM841" s="9">
        <f t="shared" si="3499"/>
        <v>-0.59227546264207831</v>
      </c>
      <c r="BN841" s="15">
        <f>BL840+BN822*(1-BN824/100)-BN827*(1-BN829/100)</f>
        <v>284.11373510154277</v>
      </c>
      <c r="BO841" s="9">
        <f t="shared" si="3499"/>
        <v>-1.0879055708460754</v>
      </c>
      <c r="BP841" s="15">
        <f>BN840+BP822*(1-BP824/100)-BP827*(1-BP829/100)</f>
        <v>282.076648774033</v>
      </c>
      <c r="BQ841" s="9">
        <f t="shared" si="3499"/>
        <v>-0.71699677834361353</v>
      </c>
      <c r="BR841" s="15">
        <f>BP840+BR822*(1-BR824/100)-BR827*(1-BR829/100)</f>
        <v>279.6467376249476</v>
      </c>
      <c r="BS841" s="9">
        <f t="shared" si="3499"/>
        <v>-0.86143647822190417</v>
      </c>
      <c r="BT841" s="15">
        <f>BR840+BT822*(1-BT824/100)-BT827*(1-BT829/100)</f>
        <v>277.511838972649</v>
      </c>
      <c r="BU841" s="9">
        <f t="shared" si="3500"/>
        <v>-0.76342698306814327</v>
      </c>
      <c r="BV841" s="43">
        <f>IF(ISERROR(((BT841/BJ841)^0.2-1)*100),"NA",IF((((BT841/BJ841)^0.2-1)*100)&gt;100,"NM",IF((((BT841/BJ841)^0.2-1)*100)&lt;-50,"NM",((BT841/BJ841)^0.2-1)*100)))</f>
        <v>-0.8045474030530575</v>
      </c>
      <c r="BW841" s="722"/>
      <c r="BX841" s="722"/>
      <c r="BY841"/>
      <c r="BZ841"/>
      <c r="CA841"/>
      <c r="CB841"/>
      <c r="CC841"/>
      <c r="CD841"/>
    </row>
    <row r="842" spans="1:83" s="2" customFormat="1" ht="12.75" customHeight="1" x14ac:dyDescent="0.2">
      <c r="A842" s="2" t="s">
        <v>479</v>
      </c>
      <c r="B842" s="159" t="s">
        <v>108</v>
      </c>
      <c r="C842" s="87">
        <v>297.10000000000002</v>
      </c>
      <c r="D842" s="9" t="str">
        <f>IF(ISERROR(C842/#REF!),"NA",IF(OR(C842/#REF!&gt;2,C842/#REF!&lt;0.5),"NM",C842/#REF!*100-100))</f>
        <v>NA</v>
      </c>
      <c r="E842" s="87">
        <v>297.2</v>
      </c>
      <c r="F842" s="9" t="str">
        <f>IF(ISERROR(E842/#REF!),"NA",IF(OR(E842/#REF!&gt;2,E842/#REF!&lt;0.5),"NM",E842/#REF!*100-100))</f>
        <v>NA</v>
      </c>
      <c r="G842" s="87">
        <v>298.60000000000002</v>
      </c>
      <c r="H842" s="9" t="str">
        <f>IF(ISERROR(G842/#REF!),"NA",IF(OR(G842/#REF!&gt;2,G842/#REF!&lt;0.5),"NM",G842/#REF!*100-100))</f>
        <v>NA</v>
      </c>
      <c r="I842" s="87">
        <v>299.3</v>
      </c>
      <c r="J842" s="9" t="str">
        <f>IF(ISERROR(I842/#REF!),"NA",IF(OR(I842/#REF!&gt;2,I842/#REF!&lt;0.5),"NM",I842/#REF!*100-100))</f>
        <v>NA</v>
      </c>
      <c r="K842" s="87">
        <v>299.5</v>
      </c>
      <c r="L842" s="9">
        <f>IF(ISERROR(K842/C842),"NA",IF(OR(K842/C842&gt;2,K842/C842&lt;0.5),"NM",K842/C842*100-100))</f>
        <v>0.80780881857960196</v>
      </c>
      <c r="M842" s="87">
        <v>298.3</v>
      </c>
      <c r="N842" s="9">
        <f>IF(ISERROR(M842/E842),"NA",IF(OR(M842/E842&gt;2,M842/E842&lt;0.5),"NM",M842/E842*100-100))</f>
        <v>0.37012113055180862</v>
      </c>
      <c r="O842" s="87">
        <v>298.2</v>
      </c>
      <c r="P842" s="9">
        <f>IF(ISERROR(O842/G842),"NA",IF(OR(O842/G842&gt;2,O842/G842&lt;0.5),"NM",O842/G842*100-100))</f>
        <v>-0.13395847287341667</v>
      </c>
      <c r="Q842" s="87">
        <v>298.3</v>
      </c>
      <c r="R842" s="9">
        <f>IF(ISERROR(Q842/I842),"NA",IF(OR(Q842/I842&gt;2,Q842/I842&lt;0.5),"NM",Q842/I842*100-100))</f>
        <v>-0.33411293017039156</v>
      </c>
      <c r="S842" s="87">
        <v>298.5</v>
      </c>
      <c r="T842" s="9">
        <f>IF(ISERROR(S842/K842),"NA",IF(OR(S842/K842&gt;2,S842/K842&lt;0.5),"NM",S842/K842*100-100))</f>
        <v>-0.33388981636059611</v>
      </c>
      <c r="U842" s="87">
        <v>298.39999999999998</v>
      </c>
      <c r="V842" s="9">
        <f>IF(ISERROR(U842/M842),"NA",IF(OR(U842/M842&gt;2,U842/M842&lt;0.5),"NM",U842/M842*100-100))</f>
        <v>3.3523298692571757E-2</v>
      </c>
      <c r="W842" s="87">
        <v>298.5</v>
      </c>
      <c r="X842" s="9">
        <f>IF(ISERROR(W842/O842),"NA",IF(OR(W842/O842&gt;2,W842/O842&lt;0.5),"NM",W842/O842*100-100))</f>
        <v>0.10060362173038584</v>
      </c>
      <c r="Y842" s="87">
        <v>296.2</v>
      </c>
      <c r="Z842" s="140">
        <f>IF(ISERROR(Y842/Q842),"NA",IF(OR(Y842/Q842&gt;2,Y842/Q842&lt;0.5),"NM",Y842/Q842*100-100))</f>
        <v>-0.70398927254441901</v>
      </c>
      <c r="AA842" s="87">
        <v>294.3</v>
      </c>
      <c r="AB842" s="140">
        <f>IF(ISERROR(AA842/S842),"NA",IF(OR(AA842/S842&gt;2,AA842/S842&lt;0.5),"NM",AA842/S842*100-100))</f>
        <v>-1.4070351758793862</v>
      </c>
      <c r="AC842" s="87">
        <v>292.60000000000002</v>
      </c>
      <c r="AD842" s="140">
        <f>IF(ISERROR(AC842/U842),"NA",IF(OR(AC842/U842&gt;2,AC842/U842&lt;0.5),"NM",AC842/U842*100-100))</f>
        <v>-1.9436997319034646</v>
      </c>
      <c r="AE842" s="87">
        <v>291.39999999999998</v>
      </c>
      <c r="AF842" s="140">
        <f>IF(ISERROR(AE842/W842),"NA",IF(OR(AE842/W842&gt;2,AE842/W842&lt;0.5),"NM",AE842/W842*100-100))</f>
        <v>-2.3785594639866048</v>
      </c>
      <c r="AG842" s="87">
        <v>292</v>
      </c>
      <c r="AH842" s="9">
        <f>IF(ISERROR(AG842/Y842),"NA",IF(OR(AG842/Y842&gt;2,AG842/Y842&lt;0.5),"NM",AG842/Y842*100-100))</f>
        <v>-1.4179608372721191</v>
      </c>
      <c r="AI842" s="87">
        <v>292.39999999999998</v>
      </c>
      <c r="AJ842" s="9">
        <f t="shared" si="3487"/>
        <v>-0.64559972816854838</v>
      </c>
      <c r="AK842" s="87">
        <v>292.7</v>
      </c>
      <c r="AL842" s="9">
        <f t="shared" si="3488"/>
        <v>3.417634996580432E-2</v>
      </c>
      <c r="AM842" s="87">
        <f>293.1-0.05</f>
        <v>293.05</v>
      </c>
      <c r="AN842" s="9">
        <f t="shared" si="3489"/>
        <v>0.56623198352781401</v>
      </c>
      <c r="AO842" s="87">
        <f>293.5+0.1</f>
        <v>293.60000000000002</v>
      </c>
      <c r="AP842" s="9">
        <f t="shared" si="3490"/>
        <v>0.54794520547945069</v>
      </c>
      <c r="AQ842" s="15">
        <f t="shared" ref="AQ842" si="3505">AO842-AO841+AQ841</f>
        <v>292.77612675568662</v>
      </c>
      <c r="AR842" s="9">
        <f t="shared" si="3492"/>
        <v>0.12863432137027075</v>
      </c>
      <c r="AS842" s="15">
        <f t="shared" ref="AS842" si="3506">AQ842-AQ841+AS841</f>
        <v>291.85155908304898</v>
      </c>
      <c r="AT842" s="9">
        <f t="shared" si="3494"/>
        <v>-0.28986707104577647</v>
      </c>
      <c r="AU842" s="15">
        <f t="shared" ref="AU842" si="3507">AS842-AS841+AU841</f>
        <v>291.05910299434498</v>
      </c>
      <c r="AV842" s="9">
        <f t="shared" si="3496"/>
        <v>-0.67937109901212978</v>
      </c>
      <c r="AW842" s="15">
        <f t="shared" ref="AW842" si="3508">AU842-AU841+AW841</f>
        <v>290.46769136970227</v>
      </c>
      <c r="AX842" s="9">
        <f t="shared" si="3498"/>
        <v>-1.0668626124992358</v>
      </c>
      <c r="AY842" s="279"/>
      <c r="AZ842" s="15"/>
      <c r="BA842" s="9" t="str">
        <f>IF(ISERROR(#REF!/#REF!),"NA",IF(OR(#REF!/#REF!&gt;2,#REF!/#REF!&lt;0.5),"NM",#REF!/#REF!*100-100))</f>
        <v>NA</v>
      </c>
      <c r="BB842" s="15">
        <f>AVERAGE(C842,E842,G842,I842)</f>
        <v>298.05</v>
      </c>
      <c r="BC842" s="9" t="str">
        <f>IF(ISERROR(BB842/#REF!),"NA",IF(OR(BB842/#REF!&gt;2,BB842/#REF!&lt;0.5),"NM",BB842/#REF!*100-100))</f>
        <v>NA</v>
      </c>
      <c r="BD842" s="924">
        <f>AVERAGE(K842,M842,O842,Q842)</f>
        <v>298.57499999999999</v>
      </c>
      <c r="BE842" s="9">
        <f t="shared" si="3499"/>
        <v>0.17614494212378418</v>
      </c>
      <c r="BF842" s="15">
        <f>AVERAGE(S842,U842,W842,Y842)</f>
        <v>297.89999999999998</v>
      </c>
      <c r="BG842" s="40">
        <f t="shared" si="3499"/>
        <v>-0.2260738507912663</v>
      </c>
      <c r="BH842" s="15">
        <f>AVERAGE(AA842,AC842,AE842,AG842)</f>
        <v>292.57500000000005</v>
      </c>
      <c r="BI842" s="9">
        <f t="shared" si="3499"/>
        <v>-1.7875125881167975</v>
      </c>
      <c r="BJ842" s="15">
        <f>AVERAGE(AI842,AK842,AM842,AO842)</f>
        <v>292.9375</v>
      </c>
      <c r="BK842" s="9">
        <f t="shared" si="3499"/>
        <v>0.12389985473808451</v>
      </c>
      <c r="BL842" s="15">
        <f>AVERAGE(AQ842,AS842,AU842,AW842)</f>
        <v>291.53862005069573</v>
      </c>
      <c r="BM842" s="9">
        <f t="shared" si="3499"/>
        <v>-0.47753529312713283</v>
      </c>
      <c r="BN842" s="15">
        <f>BL842-BL841+BN841</f>
        <v>288.41373510154278</v>
      </c>
      <c r="BO842" s="9">
        <f t="shared" si="3499"/>
        <v>-1.0718596900162254</v>
      </c>
      <c r="BP842" s="15">
        <f>BN842-BN841+BP841</f>
        <v>286.37664877403301</v>
      </c>
      <c r="BQ842" s="9">
        <f t="shared" si="3499"/>
        <v>-0.70630697487155203</v>
      </c>
      <c r="BR842" s="15">
        <f>BP842-BP841+BR841</f>
        <v>283.94673762494762</v>
      </c>
      <c r="BS842" s="9">
        <f t="shared" si="3499"/>
        <v>-0.84850184520551863</v>
      </c>
      <c r="BT842" s="15">
        <f>BR842-BR841+BT841</f>
        <v>281.81183897264901</v>
      </c>
      <c r="BU842" s="9">
        <f t="shared" si="3500"/>
        <v>-0.75186588518529618</v>
      </c>
      <c r="BV842" s="43">
        <f>IF(ISERROR(((BT842/BJ842)^0.2-1)*100),"NA",IF((((BT842/BJ842)^0.2-1)*100)&gt;100,"NM",IF((((BT842/BJ842)^0.2-1)*100)&lt;-50,"NM",((BT842/BJ842)^0.2-1)*100)))</f>
        <v>-0.77140260262199556</v>
      </c>
      <c r="BW842" s="722"/>
      <c r="BX842" s="722"/>
      <c r="BY842"/>
      <c r="BZ842"/>
      <c r="CA842"/>
      <c r="CB842"/>
      <c r="CC842"/>
      <c r="CD842"/>
    </row>
    <row r="843" spans="1:83" s="2" customFormat="1" ht="12.75" customHeight="1" x14ac:dyDescent="0.2">
      <c r="A843" s="41"/>
      <c r="B843" s="158"/>
      <c r="C843" s="105"/>
      <c r="D843" s="40"/>
      <c r="E843" s="105"/>
      <c r="F843" s="40"/>
      <c r="G843" s="105"/>
      <c r="H843" s="40"/>
      <c r="I843" s="105"/>
      <c r="J843" s="40"/>
      <c r="K843" s="105"/>
      <c r="L843" s="40"/>
      <c r="M843" s="105"/>
      <c r="N843" s="40"/>
      <c r="O843" s="105"/>
      <c r="P843" s="40"/>
      <c r="Q843" s="105"/>
      <c r="R843" s="40"/>
      <c r="S843" s="105"/>
      <c r="T843" s="40"/>
      <c r="U843" s="105"/>
      <c r="V843" s="40"/>
      <c r="W843" s="105"/>
      <c r="X843" s="40"/>
      <c r="Y843" s="105"/>
      <c r="Z843" s="40"/>
      <c r="AA843" s="105"/>
      <c r="AB843" s="40"/>
      <c r="AC843" s="105"/>
      <c r="AD843" s="40"/>
      <c r="AE843" s="105"/>
      <c r="AF843" s="40"/>
      <c r="AG843" s="105"/>
      <c r="AH843" s="40"/>
      <c r="AI843" s="105"/>
      <c r="AJ843" s="40"/>
      <c r="AK843" s="105"/>
      <c r="AL843" s="40"/>
      <c r="AM843" s="105"/>
      <c r="AN843" s="40"/>
      <c r="AO843" s="105"/>
      <c r="AP843" s="40"/>
      <c r="AQ843" s="105"/>
      <c r="AR843" s="40"/>
      <c r="AS843" s="105"/>
      <c r="AT843" s="40"/>
      <c r="AU843" s="105"/>
      <c r="AV843" s="40"/>
      <c r="AW843" s="105"/>
      <c r="AX843" s="40"/>
      <c r="AY843" s="296"/>
      <c r="AZ843" s="105"/>
      <c r="BA843" s="40"/>
      <c r="BB843" s="105"/>
      <c r="BC843" s="40"/>
      <c r="BD843" s="943"/>
      <c r="BE843" s="40"/>
      <c r="BF843" s="105"/>
      <c r="BG843" s="40"/>
      <c r="BH843" s="105"/>
      <c r="BI843" s="40"/>
      <c r="BJ843" s="105"/>
      <c r="BK843" s="40"/>
      <c r="BL843" s="105"/>
      <c r="BM843" s="40"/>
      <c r="BN843" s="105"/>
      <c r="BO843" s="40"/>
      <c r="BP843" s="105"/>
      <c r="BQ843" s="40"/>
      <c r="BR843" s="105"/>
      <c r="BS843" s="40"/>
      <c r="BT843" s="105"/>
      <c r="BU843" s="40"/>
      <c r="BV843" s="175"/>
      <c r="BW843" s="175"/>
      <c r="BX843" s="175"/>
      <c r="BY843"/>
      <c r="BZ843"/>
      <c r="CA843"/>
      <c r="CB843"/>
      <c r="CC843"/>
      <c r="CD843"/>
    </row>
    <row r="844" spans="1:83" s="2" customFormat="1" ht="12.75" customHeight="1" x14ac:dyDescent="0.2">
      <c r="A844" s="41"/>
      <c r="B844" s="158" t="s">
        <v>114</v>
      </c>
      <c r="C844" s="15"/>
      <c r="D844" s="40"/>
      <c r="E844" s="15"/>
      <c r="F844" s="40"/>
      <c r="G844" s="15"/>
      <c r="H844" s="40"/>
      <c r="I844" s="15"/>
      <c r="J844" s="40"/>
      <c r="K844" s="15"/>
      <c r="L844" s="40"/>
      <c r="M844" s="15"/>
      <c r="N844" s="40"/>
      <c r="O844" s="15"/>
      <c r="P844" s="40"/>
      <c r="Q844" s="15"/>
      <c r="R844" s="40"/>
      <c r="S844" s="15"/>
      <c r="T844" s="40"/>
      <c r="U844" s="15"/>
      <c r="V844" s="40"/>
      <c r="W844" s="15"/>
      <c r="X844" s="40"/>
      <c r="Y844" s="15"/>
      <c r="Z844" s="40"/>
      <c r="AA844" s="15"/>
      <c r="AB844" s="40"/>
      <c r="AC844" s="15"/>
      <c r="AD844" s="40"/>
      <c r="AE844" s="15"/>
      <c r="AF844" s="40"/>
      <c r="AG844" s="15"/>
      <c r="AH844" s="40"/>
      <c r="AI844" s="15"/>
      <c r="AJ844" s="40"/>
      <c r="AK844" s="15"/>
      <c r="AL844" s="40"/>
      <c r="AM844" s="15"/>
      <c r="AN844" s="40"/>
      <c r="AO844" s="15"/>
      <c r="AP844" s="40"/>
      <c r="AQ844" s="15"/>
      <c r="AR844" s="40"/>
      <c r="AS844" s="15"/>
      <c r="AT844" s="40"/>
      <c r="AU844" s="15"/>
      <c r="AV844" s="40"/>
      <c r="AW844" s="15"/>
      <c r="AX844" s="40"/>
      <c r="AY844" s="279"/>
      <c r="AZ844" s="15"/>
      <c r="BA844" s="40"/>
      <c r="BB844" s="15"/>
      <c r="BC844" s="40"/>
      <c r="BD844" s="924"/>
      <c r="BE844" s="40"/>
      <c r="BF844" s="15"/>
      <c r="BG844" s="40"/>
      <c r="BH844" s="15"/>
      <c r="BI844" s="40"/>
      <c r="BJ844" s="15"/>
      <c r="BK844" s="40"/>
      <c r="BL844" s="15"/>
      <c r="BM844" s="40"/>
      <c r="BN844" s="15"/>
      <c r="BO844" s="40"/>
      <c r="BP844" s="15"/>
      <c r="BQ844" s="40"/>
      <c r="BR844" s="15"/>
      <c r="BS844" s="40"/>
      <c r="BT844" s="15"/>
      <c r="BU844" s="40"/>
      <c r="BV844" s="722"/>
      <c r="BW844" s="722"/>
      <c r="BX844" s="722"/>
      <c r="BY844"/>
      <c r="BZ844"/>
      <c r="CA844"/>
      <c r="CB844"/>
      <c r="CC844"/>
      <c r="CD844"/>
    </row>
    <row r="845" spans="1:83" s="2" customFormat="1" ht="12.75" customHeight="1" x14ac:dyDescent="0.2">
      <c r="A845" s="2" t="s">
        <v>476</v>
      </c>
      <c r="B845" s="158" t="s">
        <v>115</v>
      </c>
      <c r="C845" s="727">
        <f>C707/C$842</f>
        <v>0.78525748906092263</v>
      </c>
      <c r="D845" s="777" t="str">
        <f>IF(ISERROR(C845/#REF!),"NA",IF(OR(C845/#REF!&gt;2,C845/#REF!&lt;0.5),"NM",C845/#REF!*100-100))</f>
        <v>NA</v>
      </c>
      <c r="E845" s="727">
        <f>E707/E$842</f>
        <v>0.9131897711978465</v>
      </c>
      <c r="F845" s="777" t="str">
        <f>IF(ISERROR(E845/#REF!),"NA",IF(OR(E845/#REF!&gt;2,E845/#REF!&lt;0.5),"NM",E845/#REF!*100-100))</f>
        <v>NA</v>
      </c>
      <c r="G845" s="727">
        <f>G707/G$842</f>
        <v>0.90154052243804406</v>
      </c>
      <c r="H845" s="9" t="str">
        <f>IF(ISERROR(G845/#REF!),"NA",IF(OR(G845/#REF!&gt;2,G845/#REF!&lt;0.5),"NM",G845/#REF!*100-100))</f>
        <v>NA</v>
      </c>
      <c r="I845" s="727">
        <f>I707/I$842</f>
        <v>0.9555629802873371</v>
      </c>
      <c r="J845" s="9" t="str">
        <f>IF(ISERROR(I845/#REF!),"NA",IF(OR(I845/#REF!&gt;2,I845/#REF!&lt;0.5),"NM",I845/#REF!*100-100))</f>
        <v>NA</v>
      </c>
      <c r="K845" s="727">
        <f>K707/K$842</f>
        <v>1.0584307178631052</v>
      </c>
      <c r="L845" s="705">
        <f>IF(ISERROR(K845/C845),"NA",IF(OR(K845/C845&gt;2,K845/C845&lt;0.5),"NM",K845/C845*100-100))</f>
        <v>34.787726651148034</v>
      </c>
      <c r="M845" s="727">
        <f>M707/M$842</f>
        <v>1.0828025477707006</v>
      </c>
      <c r="N845" s="9">
        <f>IF(ISERROR(M845/E845),"NA",IF(OR(M845/E845&gt;2,M845/E845&lt;0.5),"NM",M845/E845*100-100))</f>
        <v>18.573661458162221</v>
      </c>
      <c r="O845" s="727">
        <f>O707/O$842</f>
        <v>1.2789299901975959</v>
      </c>
      <c r="P845" s="9">
        <f t="shared" ref="P845:P848" si="3509">IF(ISERROR(O845/G845),"NA",IF(OR(O845/G845&gt;2,O845/G845&lt;0.5),"NM",O845/G845*100-100))</f>
        <v>41.860510799777927</v>
      </c>
      <c r="Q845" s="727">
        <f>Q707/Q$842</f>
        <v>1.0969854818329507</v>
      </c>
      <c r="R845" s="9">
        <f t="shared" ref="R845" si="3510">IF(ISERROR(Q845/I845),"NA",IF(OR(Q845/I845&gt;2,Q845/I845&lt;0.5),"NM",Q845/I845*100-100))</f>
        <v>14.799914235175578</v>
      </c>
      <c r="S845" s="727">
        <f>S707/S$842</f>
        <v>1.1151140316969463</v>
      </c>
      <c r="T845" s="9">
        <f t="shared" ref="T845" si="3511">IF(ISERROR(S845/K845),"NA",IF(OR(S845/K845&gt;2,S845/K845&lt;0.5),"NM",S845/K845*100-100))</f>
        <v>5.3554108811468097</v>
      </c>
      <c r="U845" s="727">
        <f>U707/U$842</f>
        <v>1.0800422767580944</v>
      </c>
      <c r="V845" s="9">
        <f t="shared" ref="V845" si="3512">IF(ISERROR(U845/M845),"NA",IF(OR(U845/M845&gt;2,U845/M845&lt;0.5),"NM",U845/M845*100-100))</f>
        <v>-0.25491914645834868</v>
      </c>
      <c r="W845" s="727">
        <f>W707/W$842</f>
        <v>1.0713567839195983</v>
      </c>
      <c r="X845" s="9">
        <f t="shared" ref="X845" si="3513">IF(ISERROR(W845/O845),"NA",IF(OR(W845/O845&gt;2,W845/O845&lt;0.5),"NM",W845/O845*100-100))</f>
        <v>-16.23022431790244</v>
      </c>
      <c r="Y845" s="727">
        <f>Y707/Y$842</f>
        <v>1.0236326806212019</v>
      </c>
      <c r="Z845" s="9">
        <f t="shared" ref="Z845" si="3514">IF(ISERROR(Y845/Q845),"NA",IF(OR(Y845/Q845&gt;2,Y845/Q845&lt;0.5),"NM",Y845/Q845*100-100))</f>
        <v>-6.6867613497658738</v>
      </c>
      <c r="AA845" s="727">
        <f>AA707/AA$842</f>
        <v>0.97281685355079828</v>
      </c>
      <c r="AB845" s="9">
        <f t="shared" ref="AB845" si="3515">IF(ISERROR(AA845/S845),"NA",IF(OR(AA845/S845&gt;2,AA845/S845&lt;0.5),"NM",AA845/S845*100-100))</f>
        <v>-12.760773705771115</v>
      </c>
      <c r="AC845" s="727">
        <f>AC707/AC$842</f>
        <v>1.1520847573479152</v>
      </c>
      <c r="AD845" s="9">
        <f t="shared" ref="AD845" si="3516">IF(ISERROR(AC845/U845),"NA",IF(OR(AC845/U845&gt;2,AC845/U845&lt;0.5),"NM",AC845/U845*100-100))</f>
        <v>6.6703389432186668</v>
      </c>
      <c r="AE845" s="727">
        <f>AE707/AE$842</f>
        <v>1.1520247083047359</v>
      </c>
      <c r="AF845" s="9">
        <f t="shared" ref="AF845" si="3517">IF(ISERROR(AE845/W845),"NA",IF(OR(AE845/W845&gt;2,AE845/W845&lt;0.5),"NM",AE845/W845*100-100))</f>
        <v>7.5295107657797189</v>
      </c>
      <c r="AG845" s="727">
        <f>AG707/AG$842</f>
        <v>1.2739726027397262</v>
      </c>
      <c r="AH845" s="9">
        <f>IF(ISERROR(AG845/Y845),"NA",IF(OR(AG845/Y845&gt;2,AG845/Y845&lt;0.5),"NM",AG845/Y845*100-100))</f>
        <v>24.456030650233146</v>
      </c>
      <c r="AI845" s="727">
        <f>AI707/AI$842</f>
        <v>1.2670998632010946</v>
      </c>
      <c r="AJ845" s="9">
        <f t="shared" ref="AJ845:AJ848" si="3518">IF(ISERROR(AI845/AA845),"NA",IF(OR(AI845/AA845&gt;2,AI845/AA845&lt;0.5),"NM",AI845/AA845*100-100))</f>
        <v>30.250607663318988</v>
      </c>
      <c r="AK845" s="727">
        <f>AK707/AK$842</f>
        <v>1.3105568841817561</v>
      </c>
      <c r="AL845" s="9">
        <f t="shared" ref="AL845:AL848" si="3519">IF(ISERROR(AK845/AC845),"NA",IF(OR(AK845/AC845&gt;2,AK845/AC845&lt;0.5),"NM",AK845/AC845*100-100))</f>
        <v>13.755248980000559</v>
      </c>
      <c r="AM845" s="727">
        <f>AM707/AM$842</f>
        <v>1.2752090087015864</v>
      </c>
      <c r="AN845" s="9">
        <f t="shared" ref="AN845:AN848" si="3520">IF(ISERROR(AM845/AE845),"NA",IF(OR(AM845/AE845&gt;2,AM845/AE845&lt;0.5),"NM",AM845/AE845*100-100))</f>
        <v>10.692852289437667</v>
      </c>
      <c r="AO845" s="727">
        <f>AO707/AO$842</f>
        <v>1.1948228882833789</v>
      </c>
      <c r="AP845" s="9">
        <f t="shared" ref="AP845:AP848" si="3521">IF(ISERROR(AO845/AG845),"NA",IF(OR(AO845/AG845&gt;2,AO845/AG845&lt;0.5),"NM",AO845/AG845*100-100))</f>
        <v>-6.2128270487240371</v>
      </c>
      <c r="AQ845" s="727">
        <f t="shared" ref="AQ845:AW845" si="3522">AQ707/AQ$842</f>
        <v>1.3611633992033498</v>
      </c>
      <c r="AR845" s="9">
        <f t="shared" ref="AR845:AR848" si="3523">IF(ISERROR(AQ845/AI845),"NA",IF(OR(AQ845/AI845&gt;2,AQ845/AI845&lt;0.5),"NM",AQ845/AI845*100-100))</f>
        <v>7.4235298048743488</v>
      </c>
      <c r="AS845" s="727">
        <f t="shared" si="3522"/>
        <v>1.3906444916339205</v>
      </c>
      <c r="AT845" s="9">
        <f t="shared" ref="AT845:AT848" si="3524">IF(ISERROR(AS845/AK845),"NA",IF(OR(AS845/AK845&gt;2,AS845/AK845&lt;0.5),"NM",AS845/AK845*100-100))</f>
        <v>6.1109600368218366</v>
      </c>
      <c r="AU845" s="727">
        <f t="shared" si="3522"/>
        <v>1.4461102977607878</v>
      </c>
      <c r="AV845" s="9">
        <f t="shared" ref="AV845:AV848" si="3525">IF(ISERROR(AU845/AM845),"NA",IF(OR(AU845/AM845&gt;2,AU845/AM845&lt;0.5),"NM",AU845/AM845*100-100))</f>
        <v>13.40182573154911</v>
      </c>
      <c r="AW845" s="727">
        <f t="shared" si="3522"/>
        <v>1.4987367420827074</v>
      </c>
      <c r="AX845" s="9">
        <f t="shared" ref="AX845:AX848" si="3526">IF(ISERROR(AW845/AO845),"NA",IF(OR(AW845/AO845&gt;2,AW845/AO845&lt;0.5),"NM",AW845/AO845*100-100))</f>
        <v>25.435891526648476</v>
      </c>
      <c r="AY845" s="285"/>
      <c r="AZ845" s="79"/>
      <c r="BA845" s="9" t="str">
        <f>IF(ISERROR(#REF!/#REF!),"NA",IF(OR(#REF!/#REF!&gt;2,#REF!/#REF!&lt;0.5),"NM",#REF!/#REF!*100-100))</f>
        <v>NA</v>
      </c>
      <c r="BB845" s="727">
        <f>BB707/BB$842</f>
        <v>3.5561147458480122</v>
      </c>
      <c r="BC845" s="9" t="str">
        <f>IF(ISERROR(BB845/#REF!),"NA",IF(OR(BB845/#REF!&gt;2,BB845/#REF!&lt;0.5),"NM",BB845/#REF!*100-100))</f>
        <v>NA</v>
      </c>
      <c r="BD845" s="973">
        <f>BD707/BD$842</f>
        <v>4.5168138400994469</v>
      </c>
      <c r="BE845" s="9">
        <f t="shared" ref="BE845:BS848" si="3527">IF(ISERROR(BD845/BB845),"NA",IF(OR(BD845/BB845&gt;2,BD845/BB845&lt;0.5),"NM",BD845/BB845*100-100))</f>
        <v>27.015413250461378</v>
      </c>
      <c r="BF845" s="727">
        <f>BF707/BF$842</f>
        <v>4.2905208252640294</v>
      </c>
      <c r="BG845" s="9">
        <f t="shared" si="3527"/>
        <v>-5.0100142013033491</v>
      </c>
      <c r="BH845" s="727">
        <f>BH707/BH$842</f>
        <v>4.549602665983083</v>
      </c>
      <c r="BI845" s="9">
        <f t="shared" si="3527"/>
        <v>6.0384706489126501</v>
      </c>
      <c r="BJ845" s="727">
        <f>BJ707/BJ$842</f>
        <v>5.0474930659270347</v>
      </c>
      <c r="BK845" s="9">
        <f t="shared" si="3527"/>
        <v>10.943601815310757</v>
      </c>
      <c r="BL845" s="727">
        <f>BL707/BL$842</f>
        <v>5.696041499291117</v>
      </c>
      <c r="BM845" s="9">
        <f t="shared" si="3527"/>
        <v>12.848921729919567</v>
      </c>
      <c r="BN845" s="727">
        <f>BN707/BN$842</f>
        <v>6.0453425267725773</v>
      </c>
      <c r="BO845" s="9">
        <f t="shared" si="3527"/>
        <v>6.1323469557750201</v>
      </c>
      <c r="BP845" s="727">
        <f>BP707/BP$842</f>
        <v>6.3982805255733526</v>
      </c>
      <c r="BQ845" s="9">
        <f t="shared" si="3527"/>
        <v>5.838180338628348</v>
      </c>
      <c r="BR845" s="727">
        <f>BR707/BR$842</f>
        <v>6.7461607794123113</v>
      </c>
      <c r="BS845" s="9">
        <f t="shared" si="3527"/>
        <v>5.4370897376023493</v>
      </c>
      <c r="BT845" s="727">
        <f>BT707/BT$842</f>
        <v>7.1006337608389298</v>
      </c>
      <c r="BU845" s="9">
        <f t="shared" ref="BU845:BU848" si="3528">IF(ISERROR(BT845/BR845),"NA",IF(OR(BT845/BR845&gt;2,BT845/BR845&lt;0.5),"NM",BT845/BR845*100-100))</f>
        <v>5.254440162594193</v>
      </c>
      <c r="BV845" s="43">
        <f>IF(ISERROR(((BT845/BJ845)^0.2-1)*100),"NA",IF((((BT845/BJ845)^0.2-1)*100)&gt;100,"NM",IF((((BT845/BJ845)^0.2-1)*100)&lt;-50,"NM",((BT845/BJ845)^0.2-1)*100)))</f>
        <v>7.0642000424969709</v>
      </c>
      <c r="BW845" s="722"/>
      <c r="BX845" s="176"/>
      <c r="BY845"/>
      <c r="BZ845"/>
      <c r="CA845"/>
      <c r="CB845"/>
      <c r="CC845"/>
      <c r="CD845"/>
    </row>
    <row r="846" spans="1:83" s="2" customFormat="1" ht="12.75" customHeight="1" x14ac:dyDescent="0.2">
      <c r="A846" s="41"/>
      <c r="B846" s="73" t="s">
        <v>269</v>
      </c>
      <c r="C846" s="169">
        <f>+C727/C$842</f>
        <v>-0.18983507236620664</v>
      </c>
      <c r="D846" s="9" t="str">
        <f>IF(ISERROR(C846/#REF!),"NA",IF(OR(C846/#REF!&gt;2,C846/#REF!&lt;0.5),"NM",C846/#REF!*100-100))</f>
        <v>NA</v>
      </c>
      <c r="E846" s="169">
        <f>+E727/E$842</f>
        <v>-0.16016150740242263</v>
      </c>
      <c r="F846" s="9" t="str">
        <f>IF(ISERROR(E846/#REF!),"NA",IF(OR(E846/#REF!&gt;2,E846/#REF!&lt;0.5),"NM",E846/#REF!*100-100))</f>
        <v>NA</v>
      </c>
      <c r="G846" s="169">
        <f>+G727/G$842</f>
        <v>-7.635632953784327E-2</v>
      </c>
      <c r="H846" s="9" t="str">
        <f>IF(ISERROR(G846/#REF!),"NA",IF(OR(G846/#REF!&gt;2,G846/#REF!&lt;0.5),"NM",G846/#REF!*100-100))</f>
        <v>NA</v>
      </c>
      <c r="I846" s="169">
        <f>+I727/I$842</f>
        <v>-0.17474106247911791</v>
      </c>
      <c r="J846" s="9" t="str">
        <f>IF(ISERROR(I846/#REF!),"NA",IF(OR(I846/#REF!&gt;2,I846/#REF!&lt;0.5),"NM",I846/#REF!*100-100))</f>
        <v>NA</v>
      </c>
      <c r="K846" s="169">
        <f>+K727/K$842</f>
        <v>-7.6460767946577621E-2</v>
      </c>
      <c r="L846" s="9" t="str">
        <f>IF(ISERROR(K846/C846),"NA",IF(OR(K846/C846&gt;2,K846/C846&lt;0.5),"NM",K846/C846*100-100))</f>
        <v>NM</v>
      </c>
      <c r="M846" s="169">
        <f>+M727/M$842</f>
        <v>0.10325175997318135</v>
      </c>
      <c r="N846" s="9" t="str">
        <f>IF(ISERROR(M846/E846),"NA",IF(OR(M846/E846&gt;2,M846/E846&lt;0.5),"NM",M846/E846*100-100))</f>
        <v>NM</v>
      </c>
      <c r="O846" s="169">
        <f>+O727/O$842</f>
        <v>-0.18511066398390344</v>
      </c>
      <c r="P846" s="9" t="str">
        <f t="shared" si="3509"/>
        <v>NM</v>
      </c>
      <c r="Q846" s="169">
        <f>+Q727/Q$842</f>
        <v>-0.178343949044586</v>
      </c>
      <c r="R846" s="9">
        <f>IF(ISERROR(Q846/I846),"NA",IF(OR(Q846/I846&gt;2,Q846/I846&lt;0.5),"NM",Q846/I846*100-100))</f>
        <v>2.0618431148080418</v>
      </c>
      <c r="S846" s="169">
        <f>+S727/S$842</f>
        <v>4.3886097152428812E-2</v>
      </c>
      <c r="T846" s="9" t="str">
        <f>IF(ISERROR(S846/K846),"NA",IF(OR(S846/K846&gt;2,S846/K846&lt;0.5),"NM",S846/K846*100-100))</f>
        <v>NM</v>
      </c>
      <c r="U846" s="169">
        <f>+U727/U$842</f>
        <v>-0.27747989276139412</v>
      </c>
      <c r="V846" s="9" t="str">
        <f>IF(ISERROR(U846/M846),"NA",IF(OR(U846/M846&gt;2,U846/M846&lt;0.5),"NM",U846/M846*100-100))</f>
        <v>NM</v>
      </c>
      <c r="W846" s="169">
        <f>+W727/W$842</f>
        <v>-5.5276381909547742E-2</v>
      </c>
      <c r="X846" s="9" t="str">
        <f>IF(ISERROR(W846/O846),"NA",IF(OR(W846/O846&gt;2,W846/O846&lt;0.5),"NM",W846/O846*100-100))</f>
        <v>NM</v>
      </c>
      <c r="Y846" s="169">
        <f>+Y727/Y$842</f>
        <v>-0.16070222822417288</v>
      </c>
      <c r="Z846" s="9">
        <f>IF(ISERROR(Y846/Q846),"NA",IF(OR(Y846/Q846&gt;2,Y846/Q846&lt;0.5),"NM",Y846/Q846*100-100))</f>
        <v>-9.8919648885887881</v>
      </c>
      <c r="AA846" s="169">
        <f>+AA727/AA$842</f>
        <v>0.27760788311247026</v>
      </c>
      <c r="AB846" s="9" t="str">
        <f>IF(ISERROR(AA846/S846),"NA",IF(OR(AA846/S846&gt;2,AA846/S846&lt;0.5),"NM",AA846/S846*100-100))</f>
        <v>NM</v>
      </c>
      <c r="AC846" s="169">
        <f>+AC727/AC$842</f>
        <v>-5.0580997949418997E-2</v>
      </c>
      <c r="AD846" s="9" t="str">
        <f>IF(ISERROR(AC846/U846),"NA",IF(OR(AC846/U846&gt;2,AC846/U846&lt;0.5),"NM",AC846/U846*100-100))</f>
        <v>NM</v>
      </c>
      <c r="AE846" s="169">
        <f>+AE727/AE$842</f>
        <v>-9.4371997254632814E-2</v>
      </c>
      <c r="AF846" s="9">
        <f>IF(ISERROR(AE846/W846),"NA",IF(OR(AE846/W846&gt;2,AE846/W846&lt;0.5),"NM",AE846/W846*100-100))</f>
        <v>70.727522306108426</v>
      </c>
      <c r="AG846" s="169">
        <f>+AG727/AG$842</f>
        <v>-6.8493150684931503E-3</v>
      </c>
      <c r="AH846" s="9" t="str">
        <f>IF(ISERROR(AG846/Y846),"NA",IF(OR(AG846/Y846&gt;2,AG846/Y846&lt;0.5),"NM",AG846/Y846*100-100))</f>
        <v>NM</v>
      </c>
      <c r="AI846" s="169">
        <f>+AI727/AI$842</f>
        <v>-7.3871409028727783E-2</v>
      </c>
      <c r="AJ846" s="9" t="str">
        <f t="shared" si="3518"/>
        <v>NM</v>
      </c>
      <c r="AK846" s="169">
        <f>+AK727/AK$842</f>
        <v>-0.25316023231978135</v>
      </c>
      <c r="AL846" s="9" t="str">
        <f t="shared" si="3519"/>
        <v>NM</v>
      </c>
      <c r="AM846" s="169">
        <f t="shared" ref="AM846:AO847" si="3529">+AM727/AM$842</f>
        <v>1.4895069100836034</v>
      </c>
      <c r="AN846" s="9" t="str">
        <f t="shared" si="3520"/>
        <v>NM</v>
      </c>
      <c r="AO846" s="169">
        <f t="shared" si="3529"/>
        <v>-0.11410081743869209</v>
      </c>
      <c r="AP846" s="9" t="str">
        <f t="shared" si="3521"/>
        <v>NM</v>
      </c>
      <c r="AQ846" s="169">
        <f t="shared" ref="AQ846:AW847" si="3530">+AQ727/AQ$842</f>
        <v>-4.5033163503265854E-2</v>
      </c>
      <c r="AR846" s="9">
        <f t="shared" si="3523"/>
        <v>-39.038439776134567</v>
      </c>
      <c r="AS846" s="169">
        <f t="shared" si="3530"/>
        <v>-4.6055016034320502E-2</v>
      </c>
      <c r="AT846" s="9" t="str">
        <f t="shared" si="3524"/>
        <v>NM</v>
      </c>
      <c r="AU846" s="169">
        <f t="shared" si="3530"/>
        <v>-4.7079183244328332E-2</v>
      </c>
      <c r="AV846" s="9" t="str">
        <f t="shared" si="3525"/>
        <v>NM</v>
      </c>
      <c r="AW846" s="169">
        <f t="shared" si="3530"/>
        <v>-4.8093206251072398E-2</v>
      </c>
      <c r="AX846" s="9" t="str">
        <f t="shared" si="3526"/>
        <v>NM</v>
      </c>
      <c r="AY846" s="279"/>
      <c r="AZ846" s="15"/>
      <c r="BA846" s="9" t="str">
        <f>IF(ISERROR(#REF!/#REF!),"NA",IF(OR(#REF!/#REF!&gt;2,#REF!/#REF!&lt;0.5),"NM",#REF!/#REF!*100-100))</f>
        <v>NA</v>
      </c>
      <c r="BB846" s="169">
        <f>+BB727/BB$842</f>
        <v>-0.60090588827377955</v>
      </c>
      <c r="BC846" s="9" t="str">
        <f>IF(ISERROR(BB846/#REF!),"NA",IF(OR(BB846/#REF!&gt;2,BB846/#REF!&lt;0.5),"NM",BB846/#REF!*100-100))</f>
        <v>NA</v>
      </c>
      <c r="BD846" s="969">
        <f>+BD727/BD$842</f>
        <v>-0.3365988445114293</v>
      </c>
      <c r="BE846" s="9">
        <f t="shared" si="3527"/>
        <v>-43.984765155426295</v>
      </c>
      <c r="BF846" s="169">
        <f>+BF727/BF$842</f>
        <v>-0.44914400805639482</v>
      </c>
      <c r="BG846" s="9">
        <f t="shared" si="3527"/>
        <v>33.435992244217005</v>
      </c>
      <c r="BH846" s="169">
        <f>+BH727/BH$842</f>
        <v>0.12783047081944801</v>
      </c>
      <c r="BI846" s="9" t="str">
        <f t="shared" si="3527"/>
        <v>NM</v>
      </c>
      <c r="BJ846" s="169">
        <f>+BJ727/BJ$842</f>
        <v>1.0490292297845103</v>
      </c>
      <c r="BK846" s="9" t="str">
        <f t="shared" si="3527"/>
        <v>NM</v>
      </c>
      <c r="BL846" s="169">
        <f>+BL727/BL$842</f>
        <v>-0.18624705997760291</v>
      </c>
      <c r="BM846" s="9" t="str">
        <f t="shared" si="3527"/>
        <v>NM</v>
      </c>
      <c r="BN846" s="169">
        <f>+BN727/BN$842</f>
        <v>-0.20329814574888097</v>
      </c>
      <c r="BO846" s="9">
        <f t="shared" si="3527"/>
        <v>9.155089896897465</v>
      </c>
      <c r="BP846" s="169">
        <f>+BP727/BP$842</f>
        <v>-0.22109556020721027</v>
      </c>
      <c r="BQ846" s="9">
        <f t="shared" si="3527"/>
        <v>8.7543417539642121</v>
      </c>
      <c r="BR846" s="169">
        <f>+BR727/BR$842</f>
        <v>-0.24079813151606069</v>
      </c>
      <c r="BS846" s="9">
        <f t="shared" si="3527"/>
        <v>8.9113373829782887</v>
      </c>
      <c r="BT846" s="169">
        <f>+BT727/BT$842</f>
        <v>-0.26200340440233089</v>
      </c>
      <c r="BU846" s="9">
        <f t="shared" si="3528"/>
        <v>8.8062447797091323</v>
      </c>
      <c r="BV846" s="43" t="str">
        <f>IF(ISERROR(((BT846/BJ846)^0.2-1)*100),"NA",IF((((BT846/BJ846)^0.2-1)*100)&gt;100,"NM",IF((((BT846/BJ846)^0.2-1)*100)&lt;-50,"NM",((BT846/BJ846)^0.2-1)*100)))</f>
        <v>NM</v>
      </c>
      <c r="BW846" s="722"/>
      <c r="BX846" s="722"/>
      <c r="BY846"/>
      <c r="BZ846"/>
      <c r="CA846"/>
      <c r="CB846"/>
      <c r="CC846"/>
      <c r="CD846"/>
    </row>
    <row r="847" spans="1:83" s="2" customFormat="1" ht="12.75" customHeight="1" x14ac:dyDescent="0.2">
      <c r="A847" s="41"/>
      <c r="B847" s="73" t="s">
        <v>178</v>
      </c>
      <c r="C847" s="169">
        <f>+C729/C$842</f>
        <v>4.7122181083810158E-3</v>
      </c>
      <c r="D847" s="9" t="str">
        <f>IF(ISERROR(C847/#REF!),"NA",IF(OR(C847/#REF!&gt;2,C847/#REF!&lt;0.5),"NM",C847/#REF!*100-100))</f>
        <v>NA</v>
      </c>
      <c r="E847" s="169">
        <f>+E729/E$842</f>
        <v>-5.0471063257065954E-3</v>
      </c>
      <c r="F847" s="9" t="str">
        <f>IF(ISERROR(E847/#REF!),"NA",IF(OR(E847/#REF!&gt;2,E847/#REF!&lt;0.5),"NM",E847/#REF!*100-100))</f>
        <v>NA</v>
      </c>
      <c r="G847" s="169">
        <f>+G729/G$842</f>
        <v>-2.3442732752846614E-3</v>
      </c>
      <c r="H847" s="9" t="str">
        <f>IF(ISERROR(G847/#REF!),"NA",IF(OR(G847/#REF!&gt;2,G847/#REF!&lt;0.5),"NM",G847/#REF!*100-100))</f>
        <v>NA</v>
      </c>
      <c r="I847" s="169">
        <f>+I729/I$842</f>
        <v>-1.0023387905111927E-3</v>
      </c>
      <c r="J847" s="9" t="str">
        <f>IF(ISERROR(I847/#REF!),"NA",IF(OR(I847/#REF!&gt;2,I847/#REF!&lt;0.5),"NM",I847/#REF!*100-100))</f>
        <v>NA</v>
      </c>
      <c r="K847" s="169">
        <f>+K729/K$842</f>
        <v>-1.6694490818030051E-3</v>
      </c>
      <c r="L847" s="9" t="str">
        <f>IF(ISERROR(K847/C847),"NA",IF(OR(K847/C847&gt;2,K847/C847&lt;0.5),"NM",K847/C847*100-100))</f>
        <v>NM</v>
      </c>
      <c r="M847" s="169">
        <f>+M729/M$842</f>
        <v>-0.15957090177673483</v>
      </c>
      <c r="N847" s="9" t="str">
        <f>IF(ISERROR(M847/E847),"NA",IF(OR(M847/E847&gt;2,M847/E847&lt;0.5),"NM",M847/E847*100-100))</f>
        <v>NM</v>
      </c>
      <c r="O847" s="169">
        <f>+O729/O$842</f>
        <v>-0.19382964453386989</v>
      </c>
      <c r="P847" s="9" t="str">
        <f t="shared" si="3509"/>
        <v>NM</v>
      </c>
      <c r="Q847" s="169">
        <f>+Q729/Q$842</f>
        <v>-1.3409319477036541E-3</v>
      </c>
      <c r="R847" s="9">
        <f>IF(ISERROR(Q847/I847),"NA",IF(OR(Q847/I847&gt;2,Q847/I847&lt;0.5),"NM",Q847/I847*100-100))</f>
        <v>33.780310649234565</v>
      </c>
      <c r="S847" s="169">
        <f>+S729/S$842</f>
        <v>0.25025125628140704</v>
      </c>
      <c r="T847" s="9" t="str">
        <f>IF(ISERROR(S847/K847),"NA",IF(OR(S847/K847&gt;2,S847/K847&lt;0.5),"NM",S847/K847*100-100))</f>
        <v>NM</v>
      </c>
      <c r="U847" s="169">
        <f>+U729/U$842</f>
        <v>0</v>
      </c>
      <c r="V847" s="9" t="str">
        <f>IF(ISERROR(U847/M847),"NA",IF(OR(U847/M847&gt;2,U847/M847&lt;0.5),"NM",U847/M847*100-100))</f>
        <v>NM</v>
      </c>
      <c r="W847" s="169">
        <f>+W729/W$842</f>
        <v>-3.3500837520938025E-4</v>
      </c>
      <c r="X847" s="9" t="str">
        <f>IF(ISERROR(W847/O847),"NA",IF(OR(W847/O847&gt;2,W847/O847&lt;0.5),"NM",W847/O847*100-100))</f>
        <v>NM</v>
      </c>
      <c r="Y847" s="169">
        <f>+Y729/Y$842</f>
        <v>-6.7521944632005408E-3</v>
      </c>
      <c r="Z847" s="9" t="str">
        <f>IF(ISERROR(Y847/Q847),"NA",IF(OR(Y847/Q847&gt;2,Y847/Q847&lt;0.5),"NM",Y847/Q847*100-100))</f>
        <v>NM</v>
      </c>
      <c r="AA847" s="169">
        <f>+AA729/AA$842</f>
        <v>0</v>
      </c>
      <c r="AB847" s="9" t="str">
        <f>IF(ISERROR(AA847/S847),"NA",IF(OR(AA847/S847&gt;2,AA847/S847&lt;0.5),"NM",AA847/S847*100-100))</f>
        <v>NM</v>
      </c>
      <c r="AC847" s="169">
        <f>+AC729/AC$842</f>
        <v>0</v>
      </c>
      <c r="AD847" s="9" t="str">
        <f>IF(ISERROR(AC847/U847),"NA",IF(OR(AC847/U847&gt;2,AC847/U847&lt;0.5),"NM",AC847/U847*100-100))</f>
        <v>NA</v>
      </c>
      <c r="AE847" s="169">
        <f>+AE729/AE$842</f>
        <v>0</v>
      </c>
      <c r="AF847" s="9" t="str">
        <f>IF(ISERROR(AE847/W847),"NA",IF(OR(AE847/W847&gt;2,AE847/W847&lt;0.5),"NM",AE847/W847*100-100))</f>
        <v>NM</v>
      </c>
      <c r="AG847" s="169">
        <f>+AG729/AG$842</f>
        <v>-0.17808219178082191</v>
      </c>
      <c r="AH847" s="9" t="str">
        <f>IF(ISERROR(AG847/Y847),"NA",IF(OR(AG847/Y847&gt;2,AG847/Y847&lt;0.5),"NM",AG847/Y847*100-100))</f>
        <v>NM</v>
      </c>
      <c r="AI847" s="169">
        <f>+AI729/AI$842</f>
        <v>0</v>
      </c>
      <c r="AJ847" s="9" t="str">
        <f t="shared" si="3518"/>
        <v>NA</v>
      </c>
      <c r="AK847" s="169">
        <f>+AK729/AK$842</f>
        <v>0</v>
      </c>
      <c r="AL847" s="9" t="str">
        <f t="shared" si="3519"/>
        <v>NA</v>
      </c>
      <c r="AM847" s="169">
        <f t="shared" si="3529"/>
        <v>0</v>
      </c>
      <c r="AN847" s="9" t="str">
        <f t="shared" si="3520"/>
        <v>NA</v>
      </c>
      <c r="AO847" s="169">
        <f t="shared" si="3529"/>
        <v>0</v>
      </c>
      <c r="AP847" s="9" t="str">
        <f t="shared" si="3521"/>
        <v>NM</v>
      </c>
      <c r="AQ847" s="169">
        <f t="shared" si="3530"/>
        <v>0</v>
      </c>
      <c r="AR847" s="9" t="str">
        <f t="shared" si="3523"/>
        <v>NA</v>
      </c>
      <c r="AS847" s="169">
        <f t="shared" si="3530"/>
        <v>0</v>
      </c>
      <c r="AT847" s="9" t="str">
        <f t="shared" si="3524"/>
        <v>NA</v>
      </c>
      <c r="AU847" s="169">
        <f t="shared" si="3530"/>
        <v>0</v>
      </c>
      <c r="AV847" s="9" t="str">
        <f t="shared" si="3525"/>
        <v>NA</v>
      </c>
      <c r="AW847" s="169">
        <f t="shared" si="3530"/>
        <v>0</v>
      </c>
      <c r="AX847" s="9" t="str">
        <f t="shared" si="3526"/>
        <v>NA</v>
      </c>
      <c r="AY847" s="279"/>
      <c r="AZ847" s="15"/>
      <c r="BA847" s="9" t="str">
        <f>IF(ISERROR(#REF!/#REF!),"NA",IF(OR(#REF!/#REF!&gt;2,#REF!/#REF!&lt;0.5),"NM",#REF!/#REF!*100-100))</f>
        <v>NA</v>
      </c>
      <c r="BB847" s="169">
        <f>+BB728/BB$842</f>
        <v>0</v>
      </c>
      <c r="BC847" s="9" t="str">
        <f>IF(ISERROR(BB847/#REF!),"NA",IF(OR(BB847/#REF!&gt;2,BB847/#REF!&lt;0.5),"NM",BB847/#REF!*100-100))</f>
        <v>NA</v>
      </c>
      <c r="BD847" s="969">
        <f>+BD728/BD$842</f>
        <v>0</v>
      </c>
      <c r="BE847" s="9" t="str">
        <f t="shared" si="3527"/>
        <v>NA</v>
      </c>
      <c r="BF847" s="169">
        <f>+BF728/BF$842</f>
        <v>0</v>
      </c>
      <c r="BG847" s="9" t="str">
        <f t="shared" si="3527"/>
        <v>NA</v>
      </c>
      <c r="BH847" s="169">
        <f>+BH728/BH$842</f>
        <v>0</v>
      </c>
      <c r="BI847" s="9" t="str">
        <f t="shared" si="3527"/>
        <v>NA</v>
      </c>
      <c r="BJ847" s="169">
        <f>+BJ728/BJ$842</f>
        <v>0</v>
      </c>
      <c r="BK847" s="9" t="str">
        <f t="shared" si="3527"/>
        <v>NA</v>
      </c>
      <c r="BL847" s="169">
        <f>+BL728/BL$842</f>
        <v>0</v>
      </c>
      <c r="BM847" s="9" t="str">
        <f t="shared" si="3527"/>
        <v>NA</v>
      </c>
      <c r="BN847" s="169">
        <f>+BN728/BN$842</f>
        <v>0</v>
      </c>
      <c r="BO847" s="9" t="str">
        <f t="shared" si="3527"/>
        <v>NA</v>
      </c>
      <c r="BP847" s="169">
        <f>+BP728/BP$842</f>
        <v>0</v>
      </c>
      <c r="BQ847" s="9" t="str">
        <f t="shared" si="3527"/>
        <v>NA</v>
      </c>
      <c r="BR847" s="169">
        <f>+BR728/BR$842</f>
        <v>0</v>
      </c>
      <c r="BS847" s="9" t="str">
        <f t="shared" si="3527"/>
        <v>NA</v>
      </c>
      <c r="BT847" s="169">
        <f>+BT728/BT$842</f>
        <v>0</v>
      </c>
      <c r="BU847" s="9" t="str">
        <f t="shared" si="3528"/>
        <v>NA</v>
      </c>
      <c r="BV847" s="43" t="str">
        <f>IF(ISERROR(((BT847/BJ847)^0.2-1)*100),"NA",IF((((BT847/BJ847)^0.2-1)*100)&gt;100,"NM",IF((((BT847/BJ847)^0.2-1)*100)&lt;-50,"NM",((BT847/BJ847)^0.2-1)*100)))</f>
        <v>NA</v>
      </c>
      <c r="BW847" s="722"/>
      <c r="BX847" s="722"/>
      <c r="BY847"/>
      <c r="BZ847"/>
      <c r="CA847"/>
      <c r="CB847"/>
      <c r="CC847"/>
      <c r="CD847"/>
    </row>
    <row r="848" spans="1:83" s="2" customFormat="1" ht="12.75" customHeight="1" x14ac:dyDescent="0.2">
      <c r="A848" s="2" t="s">
        <v>477</v>
      </c>
      <c r="B848" s="159" t="s">
        <v>116</v>
      </c>
      <c r="C848" s="169">
        <f>+C731/C$842</f>
        <v>0.60013463480309692</v>
      </c>
      <c r="D848" s="9" t="str">
        <f>IF(ISERROR(C848/#REF!),"NA",IF(OR(C848/#REF!&gt;2,C848/#REF!&lt;0.5),"NM",C848/#REF!*100-100))</f>
        <v>NA</v>
      </c>
      <c r="E848" s="169">
        <f>+E731/E$842</f>
        <v>0.74798115746971738</v>
      </c>
      <c r="F848" s="9" t="str">
        <f>IF(ISERROR(E848/#REF!),"NA",IF(OR(E848/#REF!&gt;2,E848/#REF!&lt;0.5),"NM",E848/#REF!*100-100))</f>
        <v>NA</v>
      </c>
      <c r="G848" s="169">
        <f>+G731/G$842</f>
        <v>0.82283991962491621</v>
      </c>
      <c r="H848" s="9" t="str">
        <f>IF(ISERROR(G848/#REF!),"NA",IF(OR(G848/#REF!&gt;2,G848/#REF!&lt;0.5),"NM",G848/#REF!*100-100))</f>
        <v>NA</v>
      </c>
      <c r="I848" s="169">
        <f>+I731/I$842</f>
        <v>0.77981957901770793</v>
      </c>
      <c r="J848" s="9" t="str">
        <f>IF(ISERROR(I848/#REF!),"NA",IF(OR(I848/#REF!&gt;2,I848/#REF!&lt;0.5),"NM",I848/#REF!*100-100))</f>
        <v>NA</v>
      </c>
      <c r="K848" s="169">
        <f>+K731/K$842</f>
        <v>0.98030050083472464</v>
      </c>
      <c r="L848" s="9">
        <f>IF(ISERROR(K848/C848),"NA",IF(OR(K848/C848&gt;2,K848/C848&lt;0.5),"NM",K848/C848*100-100))</f>
        <v>63.34676320695263</v>
      </c>
      <c r="M848" s="169">
        <f>+M731/M$842</f>
        <v>1.026483405967147</v>
      </c>
      <c r="N848" s="9">
        <f>IF(ISERROR(M848/E848),"NA",IF(OR(M848/E848&gt;2,M848/E848&lt;0.5),"NM",M848/E848*100-100))</f>
        <v>37.233858863444027</v>
      </c>
      <c r="O848" s="169">
        <f>+O731/O$842</f>
        <v>0.89998968167982263</v>
      </c>
      <c r="P848" s="9">
        <f t="shared" si="3509"/>
        <v>9.3760353885205916</v>
      </c>
      <c r="Q848" s="169">
        <f>+Q731/Q$842</f>
        <v>0.91730060084066101</v>
      </c>
      <c r="R848" s="9">
        <f>IF(ISERROR(Q848/I848),"NA",IF(OR(Q848/I848&gt;2,Q848/I848&lt;0.5),"NM",Q848/I848*100-100))</f>
        <v>17.629849970698316</v>
      </c>
      <c r="S848" s="169">
        <f>+S731/S$842</f>
        <v>1.4092513851307822</v>
      </c>
      <c r="T848" s="9">
        <f>IF(ISERROR(S848/K848),"NA",IF(OR(S848/K848&gt;2,S848/K848&lt;0.5),"NM",S848/K848*100-100))</f>
        <v>43.757081010445944</v>
      </c>
      <c r="U848" s="169">
        <f>+U731/U$842</f>
        <v>0.80256238399670021</v>
      </c>
      <c r="V848" s="9">
        <f>IF(ISERROR(U848/M848),"NA",IF(OR(U848/M848&gt;2,U848/M848&lt;0.5),"NM",U848/M848*100-100))</f>
        <v>-21.81438303520062</v>
      </c>
      <c r="W848" s="169">
        <f>+W731/W$842</f>
        <v>1.0157453936348411</v>
      </c>
      <c r="X848" s="9">
        <f>IF(ISERROR(W848/O848),"NA",IF(OR(W848/O848&gt;2,W848/O848&lt;0.5),"NM",W848/O848*100-100))</f>
        <v>12.861893231815884</v>
      </c>
      <c r="Y848" s="169">
        <f>+Y731/Y$842</f>
        <v>0.85617825793382851</v>
      </c>
      <c r="Z848" s="9">
        <f>IF(ISERROR(Y848/Q848),"NA",IF(OR(Y848/Q848&gt;2,Y848/Q848&lt;0.5),"NM",Y848/Q848*100-100))</f>
        <v>-6.6632838625437358</v>
      </c>
      <c r="AA848" s="169">
        <f>+AA731/AA$842</f>
        <v>1.2504247366632686</v>
      </c>
      <c r="AB848" s="9">
        <f>IF(ISERROR(AA848/S848),"NA",IF(OR(AA848/S848&gt;2,AA848/S848&lt;0.5),"NM",AA848/S848*100-100))</f>
        <v>-11.270285070734502</v>
      </c>
      <c r="AC848" s="169">
        <f>+AC731/AC$842</f>
        <v>1.1015037593984962</v>
      </c>
      <c r="AD848" s="9">
        <f>IF(ISERROR(AC848/U848),"NA",IF(OR(AC848/U848&gt;2,AC848/U848&lt;0.5),"NM",AC848/U848*100-100))</f>
        <v>37.248366153555622</v>
      </c>
      <c r="AE848" s="169">
        <f>+AE731/AE$842</f>
        <v>1.0576527110501033</v>
      </c>
      <c r="AF848" s="9">
        <f>IF(ISERROR(AE848/W848),"NA",IF(OR(AE848/W848&gt;2,AE848/W848&lt;0.5),"NM",AE848/W848*100-100))</f>
        <v>4.125769870862726</v>
      </c>
      <c r="AG848" s="169">
        <f>+AG731/AG$842</f>
        <v>1.0890410958904111</v>
      </c>
      <c r="AH848" s="9">
        <f>IF(ISERROR(AG848/Y848),"NA",IF(OR(AG848/Y848&gt;2,AG848/Y848&lt;0.5),"NM",AG848/Y848*100-100))</f>
        <v>27.197938723477819</v>
      </c>
      <c r="AI848" s="169">
        <f>+AI731/AI$842</f>
        <v>1.1932284541723666</v>
      </c>
      <c r="AJ848" s="9">
        <f t="shared" si="3518"/>
        <v>-4.5741483524653432</v>
      </c>
      <c r="AK848" s="169">
        <f>+AK731/AK$842</f>
        <v>1.0573966518619748</v>
      </c>
      <c r="AL848" s="9">
        <f t="shared" si="3519"/>
        <v>-4.0042630050220822</v>
      </c>
      <c r="AM848" s="169">
        <f t="shared" ref="AM848:AO848" si="3531">+AM731/AM$842</f>
        <v>2.76471591878519</v>
      </c>
      <c r="AN848" s="9" t="str">
        <f t="shared" si="3520"/>
        <v>NM</v>
      </c>
      <c r="AO848" s="169">
        <f t="shared" si="3531"/>
        <v>2.8671662125340598</v>
      </c>
      <c r="AP848" s="9" t="str">
        <f t="shared" si="3521"/>
        <v>NM</v>
      </c>
      <c r="AQ848" s="169">
        <f t="shared" ref="AQ848:AW848" si="3532">+AQ731/AQ$842</f>
        <v>1.3161302357000839</v>
      </c>
      <c r="AR848" s="9">
        <f t="shared" si="3523"/>
        <v>10.299937207997871</v>
      </c>
      <c r="AS848" s="169">
        <f t="shared" si="3532"/>
        <v>1.3445894755996002</v>
      </c>
      <c r="AT848" s="9">
        <f t="shared" si="3524"/>
        <v>27.160368177060718</v>
      </c>
      <c r="AU848" s="169">
        <f t="shared" si="3532"/>
        <v>1.3990311145164593</v>
      </c>
      <c r="AV848" s="9">
        <f t="shared" si="3525"/>
        <v>-49.396930620951807</v>
      </c>
      <c r="AW848" s="169">
        <f t="shared" si="3532"/>
        <v>1.450643535831635</v>
      </c>
      <c r="AX848" s="9">
        <f t="shared" si="3526"/>
        <v>-49.404972425734371</v>
      </c>
      <c r="AY848" s="279"/>
      <c r="AZ848" s="15"/>
      <c r="BA848" s="9" t="str">
        <f>IF(ISERROR(#REF!/#REF!),"NA",IF(OR(#REF!/#REF!&gt;2,#REF!/#REF!&lt;0.5),"NM",#REF!/#REF!*100-100))</f>
        <v>NA</v>
      </c>
      <c r="BB848" s="169">
        <f>+BB731/BB$842</f>
        <v>2.9515182016440193</v>
      </c>
      <c r="BC848" s="9" t="str">
        <f>IF(ISERROR(BB848/#REF!),"NA",IF(OR(BB848/#REF!&gt;2,BB848/#REF!&lt;0.5),"NM",BB848/#REF!*100-100))</f>
        <v>NA</v>
      </c>
      <c r="BD848" s="969">
        <f>+BD731/BD$842</f>
        <v>3.8241905461197101</v>
      </c>
      <c r="BE848" s="9">
        <f t="shared" si="3527"/>
        <v>29.566896927472953</v>
      </c>
      <c r="BF848" s="169">
        <f>+BF731/BF$842</f>
        <v>4.0850827587987721</v>
      </c>
      <c r="BG848" s="9">
        <f t="shared" si="3527"/>
        <v>6.822155160228121</v>
      </c>
      <c r="BH848" s="169">
        <f>+BH731/BH$842</f>
        <v>4.4997009313851173</v>
      </c>
      <c r="BI848" s="9">
        <f t="shared" si="3527"/>
        <v>10.149566044734541</v>
      </c>
      <c r="BJ848" s="169">
        <f>+BJ731/BJ$842</f>
        <v>7.8870066140388326</v>
      </c>
      <c r="BK848" s="9">
        <f t="shared" si="3527"/>
        <v>75.27846259798028</v>
      </c>
      <c r="BL848" s="169">
        <f>+BL731/BL$842</f>
        <v>5.5097944393135139</v>
      </c>
      <c r="BM848" s="9">
        <f t="shared" si="3527"/>
        <v>-30.140867011495757</v>
      </c>
      <c r="BN848" s="169">
        <f>+BN731/BN$842</f>
        <v>5.8420443810236966</v>
      </c>
      <c r="BO848" s="9">
        <f t="shared" si="3527"/>
        <v>6.0301694622127968</v>
      </c>
      <c r="BP848" s="169">
        <f>+BP731/BP$842</f>
        <v>6.1771849653661421</v>
      </c>
      <c r="BQ848" s="9">
        <f t="shared" si="3527"/>
        <v>5.7367004165709261</v>
      </c>
      <c r="BR848" s="169">
        <f>+BR731/BR$842</f>
        <v>6.5053626478962503</v>
      </c>
      <c r="BS848" s="9">
        <f t="shared" si="3527"/>
        <v>5.3127384782893046</v>
      </c>
      <c r="BT848" s="169">
        <f>+BT731/BT$842</f>
        <v>6.8386303564365996</v>
      </c>
      <c r="BU848" s="9">
        <f t="shared" si="3528"/>
        <v>5.1229689500572846</v>
      </c>
      <c r="BV848" s="43">
        <f>IF(ISERROR(((BT848/BJ848)^0.2-1)*100),"NA",IF((((BT848/BJ848)^0.2-1)*100)&gt;100,"NM",IF((((BT848/BJ848)^0.2-1)*100)&lt;-50,"NM",((BT848/BJ848)^0.2-1)*100)))</f>
        <v>-2.8122819818793054</v>
      </c>
      <c r="BW848" s="722"/>
      <c r="BX848" s="722"/>
      <c r="BY848"/>
      <c r="BZ848"/>
      <c r="CA848"/>
      <c r="CB848"/>
      <c r="CC848"/>
      <c r="CD848"/>
    </row>
    <row r="849" spans="1:83" s="2" customFormat="1" ht="12.75" customHeight="1" x14ac:dyDescent="0.2">
      <c r="B849" s="159"/>
      <c r="C849" s="703"/>
      <c r="D849" s="9"/>
      <c r="E849" s="703"/>
      <c r="F849" s="9"/>
      <c r="G849" s="703"/>
      <c r="H849" s="9"/>
      <c r="I849" s="703"/>
      <c r="J849" s="9"/>
      <c r="K849" s="703"/>
      <c r="L849" s="9"/>
      <c r="M849" s="703"/>
      <c r="N849" s="9"/>
      <c r="O849" s="703"/>
      <c r="P849" s="9"/>
      <c r="Q849" s="703"/>
      <c r="R849" s="9"/>
      <c r="S849" s="703"/>
      <c r="T849" s="9"/>
      <c r="U849" s="703"/>
      <c r="V849" s="9"/>
      <c r="W849" s="703"/>
      <c r="X849" s="9"/>
      <c r="Y849" s="703"/>
      <c r="Z849" s="9"/>
      <c r="AA849" s="703"/>
      <c r="AB849" s="9"/>
      <c r="AC849" s="703"/>
      <c r="AD849" s="9"/>
      <c r="AE849" s="703"/>
      <c r="AF849" s="9"/>
      <c r="AG849" s="703"/>
      <c r="AH849" s="9"/>
      <c r="AI849" s="703"/>
      <c r="AJ849" s="9"/>
      <c r="AK849" s="703"/>
      <c r="AL849" s="9"/>
      <c r="AM849" s="703"/>
      <c r="AN849" s="9"/>
      <c r="AO849" s="703"/>
      <c r="AP849" s="9"/>
      <c r="AQ849" s="703"/>
      <c r="AR849" s="9"/>
      <c r="AS849" s="703"/>
      <c r="AT849" s="9"/>
      <c r="AU849" s="703"/>
      <c r="AV849" s="9"/>
      <c r="AW849" s="703"/>
      <c r="AX849" s="9"/>
      <c r="AY849" s="279"/>
      <c r="AZ849" s="15"/>
      <c r="BA849" s="9"/>
      <c r="BB849" s="703"/>
      <c r="BC849" s="9"/>
      <c r="BD849" s="964"/>
      <c r="BE849" s="9"/>
      <c r="BF849" s="703"/>
      <c r="BG849" s="9"/>
      <c r="BH849" s="703"/>
      <c r="BI849" s="9"/>
      <c r="BJ849" s="703"/>
      <c r="BK849" s="9"/>
      <c r="BL849" s="703"/>
      <c r="BM849" s="9"/>
      <c r="BN849" s="703"/>
      <c r="BO849" s="9"/>
      <c r="BP849" s="703"/>
      <c r="BQ849" s="9"/>
      <c r="BR849" s="703"/>
      <c r="BS849" s="9"/>
      <c r="BT849" s="703"/>
      <c r="BU849" s="9"/>
      <c r="BV849" s="722"/>
      <c r="BW849" s="722"/>
      <c r="BX849" s="722"/>
      <c r="BY849"/>
      <c r="BZ849"/>
      <c r="CA849"/>
      <c r="CB849"/>
      <c r="CC849"/>
      <c r="CD849"/>
    </row>
    <row r="850" spans="1:83" s="7" customFormat="1" ht="12.75" customHeight="1" x14ac:dyDescent="0.2">
      <c r="A850" s="42" t="s">
        <v>472</v>
      </c>
      <c r="B850" s="3" t="s">
        <v>392</v>
      </c>
      <c r="C850" s="177">
        <f>C709/C842</f>
        <v>0.75563783237967042</v>
      </c>
      <c r="D850" s="174" t="str">
        <f>IF(ISERROR(C850/#REF!),"NA",IF(OR(C850/#REF!&gt;2,C850/#REF!&lt;0.5),"NM",C850/#REF!*100-100))</f>
        <v>NA</v>
      </c>
      <c r="E850" s="177">
        <f>E709/E842</f>
        <v>0.92328398384925969</v>
      </c>
      <c r="F850" s="9" t="str">
        <f>IF(ISERROR(E850/#REF!),"NA",IF(OR(E850/#REF!&gt;2,E850/#REF!&lt;0.5),"NM",E850/#REF!*100-100))</f>
        <v>NA</v>
      </c>
      <c r="G850" s="177">
        <f>G709/G842</f>
        <v>0.93503014065639645</v>
      </c>
      <c r="H850" s="9" t="str">
        <f>IF(ISERROR(G850/#REF!),"NA",IF(OR(G850/#REF!&gt;2,G850/#REF!&lt;0.5),"NM",G850/#REF!*100-100))</f>
        <v>NA</v>
      </c>
      <c r="I850" s="177">
        <f>I709/I842</f>
        <v>0.95890410958904104</v>
      </c>
      <c r="J850" s="9" t="str">
        <f>IF(ISERROR(I850/#REF!),"NA",IF(OR(I850/#REF!&gt;2,I850/#REF!&lt;0.5),"NM",I850/#REF!*100-100))</f>
        <v>NA</v>
      </c>
      <c r="K850" s="177">
        <f>K709/K842</f>
        <v>0.97996661101836391</v>
      </c>
      <c r="L850" s="9">
        <f>IF(ISERROR(K850/C850),"NA",IF(OR(K850/C850&gt;2,K850/C850&lt;0.5),"NM",K850/C850*100-100))</f>
        <v>29.687340816728664</v>
      </c>
      <c r="M850" s="177">
        <f>M709/M842</f>
        <v>1.0341937646664432</v>
      </c>
      <c r="N850" s="9">
        <f t="shared" ref="N850" si="3533">IF(ISERROR(M850/E850),"NA",IF(OR(M850/E850&gt;2,M850/E850&lt;0.5),"NM",M850/E850*100-100))</f>
        <v>12.012531654106027</v>
      </c>
      <c r="O850" s="177">
        <f>O709/O842</f>
        <v>1.1065624516328743</v>
      </c>
      <c r="P850" s="9">
        <f t="shared" ref="P850" si="3534">IF(ISERROR(O850/G850),"NA",IF(OR(O850/G850&gt;2,O850/G850&lt;0.5),"NM",O850/G850*100-100))</f>
        <v>18.34511033580813</v>
      </c>
      <c r="Q850" s="177">
        <f>Q709/Q842</f>
        <v>1.0768715026173961</v>
      </c>
      <c r="R850" s="9">
        <f t="shared" ref="R850" si="3535">IF(ISERROR(Q850/I850),"NA",IF(OR(Q850/I850&gt;2,Q850/I850&lt;0.5),"NM",Q850/I850*100-100))</f>
        <v>12.302313844385608</v>
      </c>
      <c r="S850" s="177">
        <f>S709/S842</f>
        <v>1.0749130266718208</v>
      </c>
      <c r="T850" s="9">
        <f t="shared" ref="T850" si="3536">IF(ISERROR(S850/K850),"NA",IF(OR(S850/K850&gt;2,S850/K850&lt;0.5),"NM",S850/K850*100-100))</f>
        <v>9.6887398596968666</v>
      </c>
      <c r="U850" s="177">
        <f>U709/U842</f>
        <v>1.0900958960610434</v>
      </c>
      <c r="V850" s="9">
        <f t="shared" ref="V850" si="3537">IF(ISERROR(U850/M850),"NA",IF(OR(U850/M850&gt;2,U850/M850&lt;0.5),"NM",U850/M850*100-100))</f>
        <v>5.4053827536496755</v>
      </c>
      <c r="W850" s="177">
        <f>W709/W842</f>
        <v>1.0539363484087105</v>
      </c>
      <c r="X850" s="9">
        <f t="shared" ref="X850" si="3538">IF(ISERROR(W850/O850),"NA",IF(OR(W850/O850&gt;2,W850/O850&lt;0.5),"NM",W850/O850*100-100))</f>
        <v>-4.7558186297128771</v>
      </c>
      <c r="Y850" s="177">
        <f>Y709/Y842</f>
        <v>1.0236326806212019</v>
      </c>
      <c r="Z850" s="9">
        <f t="shared" ref="Z850" si="3539">IF(ISERROR(Y850/Q850),"NA",IF(OR(Y850/Q850&gt;2,Y850/Q850&lt;0.5),"NM",Y850/Q850*100-100))</f>
        <v>-4.9438416623333552</v>
      </c>
      <c r="AA850" s="177">
        <f>AA709/AA842</f>
        <v>0.97281685355079828</v>
      </c>
      <c r="AB850" s="9">
        <f t="shared" ref="AB850" si="3540">IF(ISERROR(AA850/S850),"NA",IF(OR(AA850/S850&gt;2,AA850/S850&lt;0.5),"NM",AA850/S850*100-100))</f>
        <v>-9.4980868765853472</v>
      </c>
      <c r="AC850" s="177">
        <f>AC709/AC842</f>
        <v>1.1520847573479152</v>
      </c>
      <c r="AD850" s="9">
        <f t="shared" ref="AD850" si="3541">IF(ISERROR(AC850/U850),"NA",IF(OR(AC850/U850&gt;2,AC850/U850&lt;0.5),"NM",AC850/U850*100-100))</f>
        <v>5.6865512025925824</v>
      </c>
      <c r="AE850" s="177">
        <f>AE709/AE842</f>
        <v>1.2211736444749488</v>
      </c>
      <c r="AF850" s="9">
        <f t="shared" ref="AF850" si="3542">IF(ISERROR(AE850/W850),"NA",IF(OR(AE850/W850&gt;2,AE850/W850&lt;0.5),"NM",AE850/W850*100-100))</f>
        <v>15.8678744042505</v>
      </c>
      <c r="AG850" s="177">
        <f>AG709/AG842</f>
        <v>1.2606164383561647</v>
      </c>
      <c r="AH850" s="9">
        <f>IF(ISERROR(AG850/Y850),"NA",IF(OR(AG850/Y850&gt;2,AG850/Y850&lt;0.5),"NM",AG850/Y850*100-100))</f>
        <v>23.151249683738769</v>
      </c>
      <c r="AI850" s="177">
        <f>AI709/AI842</f>
        <v>1.2159712722298224</v>
      </c>
      <c r="AJ850" s="9">
        <f t="shared" ref="AJ850" si="3543">IF(ISERROR(AI850/AA850),"NA",IF(OR(AI850/AA850&gt;2,AI850/AA850&lt;0.5),"NM",AI850/AA850*100-100))</f>
        <v>24.994881389185068</v>
      </c>
      <c r="AK850" s="177">
        <f>AK709/AK842</f>
        <v>1.2994533652203624</v>
      </c>
      <c r="AL850" s="9">
        <f t="shared" ref="AL850" si="3544">IF(ISERROR(AK850/AC850),"NA",IF(OR(AK850/AC850&gt;2,AK850/AC850&lt;0.5),"NM",AK850/AC850*100-100))</f>
        <v>12.791472756890542</v>
      </c>
      <c r="AM850" s="177">
        <f t="shared" ref="AM850:AO850" si="3545">AM709/AM842</f>
        <v>1.4238184610134788</v>
      </c>
      <c r="AN850" s="9">
        <f t="shared" ref="AN850" si="3546">IF(ISERROR(AM850/AE850),"NA",IF(OR(AM850/AE850&gt;2,AM850/AE850&lt;0.5),"NM",AM850/AE850*100-100))</f>
        <v>16.594267117978816</v>
      </c>
      <c r="AO850" s="177">
        <f t="shared" si="3545"/>
        <v>1.1948228882833789</v>
      </c>
      <c r="AP850" s="9">
        <f t="shared" ref="AP850" si="3547">IF(ISERROR(AO850/AG850),"NA",IF(OR(AO850/AG850&gt;2,AO850/AG850&lt;0.5),"NM",AO850/AG850*100-100))</f>
        <v>-5.2191569196559158</v>
      </c>
      <c r="AQ850" s="177">
        <f t="shared" ref="AQ850:AW850" si="3548">AQ709/AQ842</f>
        <v>1.3611633992033498</v>
      </c>
      <c r="AR850" s="9">
        <f t="shared" ref="AR850" si="3549">IF(ISERROR(AQ850/AI850),"NA",IF(OR(AQ850/AI850&gt;2,AQ850/AI850&lt;0.5),"NM",AQ850/AI850*100-100))</f>
        <v>11.940424111112208</v>
      </c>
      <c r="AS850" s="177">
        <f t="shared" si="3548"/>
        <v>1.3906444916339205</v>
      </c>
      <c r="AT850" s="9">
        <f t="shared" ref="AT850" si="3550">IF(ISERROR(AS850/AK850),"NA",IF(OR(AS850/AK850&gt;2,AS850/AK850&lt;0.5),"NM",AS850/AK850*100-100))</f>
        <v>7.0176528726826604</v>
      </c>
      <c r="AU850" s="177">
        <f t="shared" si="3548"/>
        <v>1.4461102977607878</v>
      </c>
      <c r="AV850" s="9">
        <f t="shared" ref="AV850" si="3551">IF(ISERROR(AU850/AM850),"NA",IF(OR(AU850/AM850&gt;2,AU850/AM850&lt;0.5),"NM",AU850/AM850*100-100))</f>
        <v>1.565637569514422</v>
      </c>
      <c r="AW850" s="177">
        <f t="shared" si="3548"/>
        <v>1.4987367420827074</v>
      </c>
      <c r="AX850" s="9">
        <f t="shared" ref="AX850" si="3552">IF(ISERROR(AW850/AO850),"NA",IF(OR(AW850/AO850&gt;2,AW850/AO850&lt;0.5),"NM",AW850/AO850*100-100))</f>
        <v>25.435891526648476</v>
      </c>
      <c r="AY850" s="279"/>
      <c r="AZ850" s="15"/>
      <c r="BA850" s="9" t="str">
        <f>IF(ISERROR(#REF!/#REF!),"NA",IF(OR(#REF!/#REF!&gt;2,#REF!/#REF!&lt;0.5),"NM",#REF!/#REF!*100-100))</f>
        <v>NA</v>
      </c>
      <c r="BB850" s="177">
        <f>BB845-(BB707-BB709)/BB842</f>
        <v>3.5735614829726559</v>
      </c>
      <c r="BC850" s="9" t="str">
        <f>IF(ISERROR(BB850/#REF!),"NA",IF(OR(BB850/#REF!&gt;2,BB850/#REF!&lt;0.5),"NM",BB850/#REF!*100-100))</f>
        <v>NA</v>
      </c>
      <c r="BD850" s="974">
        <f>BD845-(BD707-BD709)/BD842</f>
        <v>4.197296130981135</v>
      </c>
      <c r="BE850" s="9">
        <f t="shared" ref="BE850:BS850" si="3553">IF(ISERROR(BD850/BB850),"NA",IF(OR(BD850/BB850&gt;2,BD850/BB850&lt;0.5),"NM",BD850/BB850*100-100))</f>
        <v>17.454146262222054</v>
      </c>
      <c r="BF850" s="177">
        <f>BF845-(BF707-BF709)/BF842</f>
        <v>4.2428538229142472</v>
      </c>
      <c r="BG850" s="9">
        <f t="shared" si="3553"/>
        <v>1.0854057114731717</v>
      </c>
      <c r="BH850" s="177">
        <f>BH845-(BH707-BH709)/BH842</f>
        <v>4.6051439801760248</v>
      </c>
      <c r="BI850" s="9">
        <f t="shared" si="3553"/>
        <v>8.5388319367772851</v>
      </c>
      <c r="BJ850" s="177">
        <f>BJ845-(BJ707-BJ709)/BJ842</f>
        <v>5.1340302965649691</v>
      </c>
      <c r="BK850" s="9">
        <f t="shared" si="3553"/>
        <v>11.484685791924548</v>
      </c>
      <c r="BL850" s="177">
        <f>BL845-(BL707-BL709)/BL842</f>
        <v>5.696041499291117</v>
      </c>
      <c r="BM850" s="9">
        <f t="shared" si="3553"/>
        <v>10.946783915594978</v>
      </c>
      <c r="BN850" s="177">
        <f>BN845-(BN707-BN709)/BN842</f>
        <v>6.0453425267725773</v>
      </c>
      <c r="BO850" s="9">
        <f t="shared" si="3553"/>
        <v>6.1323469557750201</v>
      </c>
      <c r="BP850" s="177">
        <f>BP845-(BP707-BP709)/BP842</f>
        <v>6.3982805255733526</v>
      </c>
      <c r="BQ850" s="9">
        <f t="shared" si="3553"/>
        <v>5.838180338628348</v>
      </c>
      <c r="BR850" s="177">
        <f>BR845-(BR707-BR709)/BR842</f>
        <v>6.7461607794123113</v>
      </c>
      <c r="BS850" s="9">
        <f t="shared" si="3553"/>
        <v>5.4370897376023493</v>
      </c>
      <c r="BT850" s="177">
        <f>BT845-(BT707-BT709)/BT842</f>
        <v>7.1006337608389298</v>
      </c>
      <c r="BU850" s="9">
        <f t="shared" ref="BU850" si="3554">IF(ISERROR(BT850/BR850),"NA",IF(OR(BT850/BR850&gt;2,BT850/BR850&lt;0.5),"NM",BT850/BR850*100-100))</f>
        <v>5.254440162594193</v>
      </c>
      <c r="BV850" s="43">
        <f>IF(ISERROR(((BT850/BJ850)^0.2-1)*100),"NA",IF((((BT850/BJ850)^0.2-1)*100)&gt;100,"NM",IF((((BT850/BJ850)^0.2-1)*100)&lt;-50,"NM",((BT850/BJ850)^0.2-1)*100)))</f>
        <v>6.7008151262860638</v>
      </c>
      <c r="BW850" s="722"/>
      <c r="BX850" s="176"/>
      <c r="BY850"/>
      <c r="BZ850"/>
      <c r="CA850"/>
      <c r="CB850"/>
      <c r="CC850"/>
      <c r="CD850"/>
      <c r="CE850" s="2"/>
    </row>
    <row r="851" spans="1:83" s="7" customFormat="1" ht="12.75" customHeight="1" x14ac:dyDescent="0.2">
      <c r="A851" s="42"/>
      <c r="B851" s="3"/>
      <c r="C851" s="177"/>
      <c r="D851" s="9"/>
      <c r="E851" s="177"/>
      <c r="F851" s="9"/>
      <c r="G851" s="177"/>
      <c r="H851" s="9"/>
      <c r="I851" s="177"/>
      <c r="J851" s="9"/>
      <c r="K851" s="177"/>
      <c r="L851" s="9"/>
      <c r="M851" s="177"/>
      <c r="N851" s="9"/>
      <c r="O851" s="177"/>
      <c r="P851" s="9"/>
      <c r="Q851" s="177"/>
      <c r="R851" s="9"/>
      <c r="S851" s="177"/>
      <c r="T851" s="9"/>
      <c r="U851" s="177"/>
      <c r="V851" s="9"/>
      <c r="W851" s="177"/>
      <c r="X851" s="9"/>
      <c r="Y851" s="177"/>
      <c r="Z851" s="9"/>
      <c r="AA851" s="177"/>
      <c r="AB851" s="9"/>
      <c r="AC851" s="177"/>
      <c r="AD851" s="9"/>
      <c r="AE851" s="177"/>
      <c r="AF851" s="9"/>
      <c r="AG851" s="177"/>
      <c r="AH851" s="9"/>
      <c r="AI851" s="177"/>
      <c r="AJ851" s="9"/>
      <c r="AK851" s="177"/>
      <c r="AL851" s="9"/>
      <c r="AM851" s="177"/>
      <c r="AN851" s="9"/>
      <c r="AO851" s="177"/>
      <c r="AP851" s="9"/>
      <c r="AQ851" s="177"/>
      <c r="AR851" s="9"/>
      <c r="AS851" s="177"/>
      <c r="AT851" s="9"/>
      <c r="AU851" s="177"/>
      <c r="AV851" s="9"/>
      <c r="AW851" s="177"/>
      <c r="AX851" s="9"/>
      <c r="AY851" s="279"/>
      <c r="AZ851" s="15"/>
      <c r="BA851" s="9"/>
      <c r="BB851" s="177"/>
      <c r="BC851" s="9"/>
      <c r="BD851" s="974"/>
      <c r="BE851" s="9"/>
      <c r="BF851" s="177"/>
      <c r="BG851" s="9"/>
      <c r="BH851" s="177"/>
      <c r="BI851" s="9"/>
      <c r="BJ851" s="177"/>
      <c r="BK851" s="9"/>
      <c r="BL851" s="177"/>
      <c r="BM851" s="9"/>
      <c r="BN851" s="177"/>
      <c r="BO851" s="9"/>
      <c r="BP851" s="177"/>
      <c r="BQ851" s="9"/>
      <c r="BR851" s="177"/>
      <c r="BS851" s="9"/>
      <c r="BT851" s="177"/>
      <c r="BU851" s="9"/>
      <c r="BV851" s="722"/>
      <c r="BW851" s="722"/>
      <c r="BX851" s="176"/>
      <c r="BY851"/>
      <c r="BZ851"/>
      <c r="CA851"/>
      <c r="CB851"/>
      <c r="CC851"/>
      <c r="CD851"/>
      <c r="CE851" s="2"/>
    </row>
    <row r="852" spans="1:83" s="252" customFormat="1" ht="12.75" customHeight="1" x14ac:dyDescent="0.2">
      <c r="A852" s="264"/>
      <c r="B852" s="318" t="s">
        <v>16</v>
      </c>
      <c r="C852" s="319">
        <f>C845</f>
        <v>0.78525748906092263</v>
      </c>
      <c r="D852" s="778"/>
      <c r="E852" s="319">
        <f t="shared" ref="E852" si="3555">E845</f>
        <v>0.9131897711978465</v>
      </c>
      <c r="F852" s="254"/>
      <c r="G852" s="319">
        <f>G845</f>
        <v>0.90154052243804406</v>
      </c>
      <c r="H852" s="778"/>
      <c r="I852" s="319">
        <f>I845</f>
        <v>0.9555629802873371</v>
      </c>
      <c r="J852" s="778"/>
      <c r="K852" s="319">
        <f>K845</f>
        <v>1.0584307178631052</v>
      </c>
      <c r="L852" s="565">
        <f>IF(ISERROR(K852/C852),"NA",IF(OR(K852/C852&gt;2,K852/C852&lt;0.5),"NM",K852/C852*100-100))</f>
        <v>34.787726651148034</v>
      </c>
      <c r="M852" s="319">
        <f>M845</f>
        <v>1.0828025477707006</v>
      </c>
      <c r="N852" s="565">
        <f>IF(ISERROR(M852/E852),"NA",IF(OR(M852/E852&gt;2,M852/E852&lt;0.5),"NM",M852/E852*100-100))</f>
        <v>18.573661458162221</v>
      </c>
      <c r="O852" s="319">
        <f>O845</f>
        <v>1.2789299901975959</v>
      </c>
      <c r="P852" s="565">
        <f>IF(ISERROR(O852/G852),"NA",IF(OR(O852/G852&gt;2,O852/G852&lt;0.5),"NM",O852/G852*100-100))</f>
        <v>41.860510799777927</v>
      </c>
      <c r="Q852" s="319">
        <f>Q845</f>
        <v>1.0969854818329507</v>
      </c>
      <c r="R852" s="565">
        <f>IF(ISERROR(Q852/I852),"NA",IF(OR(Q852/I852&gt;2,Q852/I852&lt;0.5),"NM",Q852/I852*100-100))</f>
        <v>14.799914235175578</v>
      </c>
      <c r="S852" s="319">
        <f>S845</f>
        <v>1.1151140316969463</v>
      </c>
      <c r="T852" s="565">
        <f>IF(ISERROR(S852/K852),"NA",IF(OR(S852/K852&gt;2,S852/K852&lt;0.5),"NM",S852/K852*100-100))</f>
        <v>5.3554108811468097</v>
      </c>
      <c r="U852" s="319">
        <f>U845</f>
        <v>1.0800422767580944</v>
      </c>
      <c r="V852" s="565">
        <f>IF(ISERROR(U852/M852),"NA",IF(OR(U852/M852&gt;2,U852/M852&lt;0.5),"NM",U852/M852*100-100))</f>
        <v>-0.25491914645834868</v>
      </c>
      <c r="W852" s="319">
        <f>W845</f>
        <v>1.0713567839195983</v>
      </c>
      <c r="X852" s="565">
        <f>IF(ISERROR(W852/O852),"NA",IF(OR(W852/O852&gt;2,W852/O852&lt;0.5),"NM",W852/O852*100-100))</f>
        <v>-16.23022431790244</v>
      </c>
      <c r="Y852" s="319">
        <f>Y845</f>
        <v>1.0236326806212019</v>
      </c>
      <c r="Z852" s="565">
        <f>IF(ISERROR(Y852/Q852),"NA",IF(OR(Y852/Q852&gt;2,Y852/Q852&lt;0.5),"NM",Y852/Q852*100-100))</f>
        <v>-6.6867613497658738</v>
      </c>
      <c r="AA852" s="319">
        <f>AA845</f>
        <v>0.97281685355079828</v>
      </c>
      <c r="AB852" s="565">
        <f>IF(ISERROR(AA852/S852),"NA",IF(OR(AA852/S852&gt;2,AA852/S852&lt;0.5),"NM",AA852/S852*100-100))</f>
        <v>-12.760773705771115</v>
      </c>
      <c r="AC852" s="319">
        <f>AC845</f>
        <v>1.1520847573479152</v>
      </c>
      <c r="AD852" s="565">
        <f>IF(ISERROR(AC852/U852),"NA",IF(OR(AC852/U852&gt;2,AC852/U852&lt;0.5),"NM",AC852/U852*100-100))</f>
        <v>6.6703389432186668</v>
      </c>
      <c r="AE852" s="319">
        <f>AE845</f>
        <v>1.1520247083047359</v>
      </c>
      <c r="AF852" s="565">
        <f>IF(ISERROR(AE852/W852),"NA",IF(OR(AE852/W852&gt;2,AE852/W852&lt;0.5),"NM",AE852/W852*100-100))</f>
        <v>7.5295107657797189</v>
      </c>
      <c r="AG852" s="319">
        <f>AG845</f>
        <v>1.2739726027397262</v>
      </c>
      <c r="AH852" s="565">
        <f>IF(ISERROR(AG852/Y852),"NA",IF(OR(AG852/Y852&gt;2,AG852/Y852&lt;0.5),"NM",AG852/Y852*100-100))</f>
        <v>24.456030650233146</v>
      </c>
      <c r="AI852" s="319">
        <f>AI845</f>
        <v>1.2670998632010946</v>
      </c>
      <c r="AJ852" s="565">
        <f t="shared" ref="AJ852" si="3556">IF(ISERROR(AI852/AA852),"NA",IF(OR(AI852/AA852&gt;2,AI852/AA852&lt;0.5),"NM",AI852/AA852*100-100))</f>
        <v>30.250607663318988</v>
      </c>
      <c r="AK852" s="319">
        <f>AK845</f>
        <v>1.3105568841817561</v>
      </c>
      <c r="AL852" s="565">
        <f t="shared" ref="AL852" si="3557">IF(ISERROR(AK852/AC852),"NA",IF(OR(AK852/AC852&gt;2,AK852/AC852&lt;0.5),"NM",AK852/AC852*100-100))</f>
        <v>13.755248980000559</v>
      </c>
      <c r="AM852" s="319">
        <f>AM845</f>
        <v>1.2752090087015864</v>
      </c>
      <c r="AN852" s="565">
        <f t="shared" ref="AN852" si="3558">IF(ISERROR(AM852/AE852),"NA",IF(OR(AM852/AE852&gt;2,AM852/AE852&lt;0.5),"NM",AM852/AE852*100-100))</f>
        <v>10.692852289437667</v>
      </c>
      <c r="AO852" s="319">
        <f>AO845</f>
        <v>1.1948228882833789</v>
      </c>
      <c r="AP852" s="565">
        <f t="shared" ref="AP852" si="3559">IF(ISERROR(AO852/AG852),"NA",IF(OR(AO852/AG852&gt;2,AO852/AG852&lt;0.5),"NM",AO852/AG852*100-100))</f>
        <v>-6.2128270487240371</v>
      </c>
      <c r="AQ852" s="319">
        <f t="shared" ref="AQ852:AW852" si="3560">AQ850</f>
        <v>1.3611633992033498</v>
      </c>
      <c r="AR852" s="565">
        <f t="shared" ref="AR852" si="3561">IF(ISERROR(AQ852/AI852),"NA",IF(OR(AQ852/AI852&gt;2,AQ852/AI852&lt;0.5),"NM",AQ852/AI852*100-100))</f>
        <v>7.4235298048743488</v>
      </c>
      <c r="AS852" s="319">
        <f t="shared" si="3560"/>
        <v>1.3906444916339205</v>
      </c>
      <c r="AT852" s="565">
        <f t="shared" ref="AT852" si="3562">IF(ISERROR(AS852/AK852),"NA",IF(OR(AS852/AK852&gt;2,AS852/AK852&lt;0.5),"NM",AS852/AK852*100-100))</f>
        <v>6.1109600368218366</v>
      </c>
      <c r="AU852" s="319">
        <f t="shared" si="3560"/>
        <v>1.4461102977607878</v>
      </c>
      <c r="AV852" s="565">
        <f t="shared" ref="AV852" si="3563">IF(ISERROR(AU852/AM852),"NA",IF(OR(AU852/AM852&gt;2,AU852/AM852&lt;0.5),"NM",AU852/AM852*100-100))</f>
        <v>13.40182573154911</v>
      </c>
      <c r="AW852" s="319">
        <f t="shared" si="3560"/>
        <v>1.4987367420827074</v>
      </c>
      <c r="AX852" s="565">
        <f t="shared" ref="AX852" si="3564">IF(ISERROR(AW852/AO852),"NA",IF(OR(AW852/AO852&gt;2,AW852/AO852&lt;0.5),"NM",AW852/AO852*100-100))</f>
        <v>25.435891526648476</v>
      </c>
      <c r="AY852" s="279"/>
      <c r="AZ852" s="320"/>
      <c r="BA852" s="254"/>
      <c r="BB852" s="319">
        <f>BB712/BB842</f>
        <v>3.5561147458480122</v>
      </c>
      <c r="BC852" s="683" t="str">
        <f>IF(ISERROR(BB852/#REF!),"NA",IF(OR(BB852/#REF!&gt;2,BB852/#REF!&lt;0.5),"NM",BB852/#REF!*100-100))</f>
        <v>NA</v>
      </c>
      <c r="BD852" s="975">
        <f>BD712/BD842</f>
        <v>4.5168138400994469</v>
      </c>
      <c r="BE852" s="683">
        <f t="shared" ref="BE852:BS852" si="3565">IF(ISERROR(BD852/BB852),"NA",IF(OR(BD852/BB852&gt;2,BD852/BB852&lt;0.5),"NM",BD852/BB852*100-100))</f>
        <v>27.015413250461378</v>
      </c>
      <c r="BF852" s="319">
        <f>BF712/BF842</f>
        <v>4.2905208252640277</v>
      </c>
      <c r="BG852" s="683">
        <f t="shared" si="3565"/>
        <v>-5.0100142013033917</v>
      </c>
      <c r="BH852" s="319">
        <f>BH712/BH842</f>
        <v>4.5496026659830813</v>
      </c>
      <c r="BI852" s="683">
        <f t="shared" si="3565"/>
        <v>6.0384706489126501</v>
      </c>
      <c r="BJ852" s="319">
        <f>BJ712/BJ842</f>
        <v>5.0474930659270321</v>
      </c>
      <c r="BK852" s="683">
        <f t="shared" si="3565"/>
        <v>10.943601815310757</v>
      </c>
      <c r="BL852" s="319">
        <f>BL712/BL842</f>
        <v>5.6960414992911161</v>
      </c>
      <c r="BM852" s="683">
        <f t="shared" si="3565"/>
        <v>12.84892172991961</v>
      </c>
      <c r="BN852" s="319">
        <f t="shared" ref="BN852:BP852" si="3566">BN850</f>
        <v>6.0453425267725773</v>
      </c>
      <c r="BO852" s="683">
        <f t="shared" si="3565"/>
        <v>6.1323469557750201</v>
      </c>
      <c r="BP852" s="319">
        <f t="shared" si="3566"/>
        <v>6.3982805255733526</v>
      </c>
      <c r="BQ852" s="683">
        <f t="shared" si="3565"/>
        <v>5.838180338628348</v>
      </c>
      <c r="BR852" s="319">
        <f t="shared" ref="BR852:BT852" si="3567">BR850</f>
        <v>6.7461607794123113</v>
      </c>
      <c r="BS852" s="683">
        <f t="shared" si="3565"/>
        <v>5.4370897376023493</v>
      </c>
      <c r="BT852" s="319">
        <f t="shared" si="3567"/>
        <v>7.1006337608389298</v>
      </c>
      <c r="BU852" s="683">
        <f t="shared" ref="BU852" si="3568">IF(ISERROR(BT852/BR852),"NA",IF(OR(BT852/BR852&gt;2,BT852/BR852&lt;0.5),"NM",BT852/BR852*100-100))</f>
        <v>5.254440162594193</v>
      </c>
      <c r="BV852" s="321">
        <f>IF(ISERROR(((BT852/BJ852)^0.2-1)*100),"NA",IF((((BT852/BJ852)^0.2-1)*100)&gt;100,"NM",IF((((BT852/BJ852)^0.2-1)*100)&lt;-50,"NM",((BT852/BJ852)^0.2-1)*100)))</f>
        <v>7.0642000424969931</v>
      </c>
      <c r="BW852" s="321"/>
      <c r="BX852" s="322"/>
      <c r="BY852"/>
      <c r="BZ852"/>
      <c r="CA852"/>
      <c r="CB852"/>
      <c r="CC852"/>
      <c r="CD852"/>
    </row>
    <row r="853" spans="1:83" s="2" customFormat="1" ht="12.75" customHeight="1" x14ac:dyDescent="0.2">
      <c r="A853" s="41"/>
      <c r="B853" s="42"/>
      <c r="C853" s="15"/>
      <c r="D853" s="40"/>
      <c r="E853" s="15"/>
      <c r="F853" s="40"/>
      <c r="G853" s="15"/>
      <c r="H853" s="40"/>
      <c r="I853" s="15"/>
      <c r="J853" s="40"/>
      <c r="K853" s="15"/>
      <c r="L853" s="40"/>
      <c r="M853" s="15"/>
      <c r="N853" s="40"/>
      <c r="O853" s="15"/>
      <c r="P853" s="40"/>
      <c r="Q853" s="15"/>
      <c r="R853" s="40"/>
      <c r="S853" s="15"/>
      <c r="T853" s="40"/>
      <c r="U853" s="15"/>
      <c r="V853" s="40"/>
      <c r="W853" s="15"/>
      <c r="X853" s="40"/>
      <c r="Y853" s="15"/>
      <c r="Z853" s="40"/>
      <c r="AA853" s="15"/>
      <c r="AB853" s="40"/>
      <c r="AC853" s="15"/>
      <c r="AD853" s="40"/>
      <c r="AE853" s="15"/>
      <c r="AF853" s="40"/>
      <c r="AG853" s="15"/>
      <c r="AH853" s="40"/>
      <c r="AI853" s="15"/>
      <c r="AJ853" s="40"/>
      <c r="AK853" s="15"/>
      <c r="AL853" s="40"/>
      <c r="AM853" s="15"/>
      <c r="AN853" s="40"/>
      <c r="AO853" s="15"/>
      <c r="AP853" s="40"/>
      <c r="AQ853" s="15"/>
      <c r="AR853" s="40"/>
      <c r="AS853" s="15"/>
      <c r="AT853" s="40"/>
      <c r="AU853" s="15"/>
      <c r="AV853" s="40"/>
      <c r="AW853" s="15"/>
      <c r="AX853" s="40"/>
      <c r="AY853" s="279"/>
      <c r="AZ853" s="15"/>
      <c r="BA853" s="40"/>
      <c r="BB853" s="15"/>
      <c r="BC853" s="40"/>
      <c r="BD853" s="924"/>
      <c r="BE853" s="40"/>
      <c r="BF853" s="15"/>
      <c r="BG853" s="40"/>
      <c r="BH853" s="15"/>
      <c r="BI853" s="40"/>
      <c r="BJ853" s="15"/>
      <c r="BK853" s="40"/>
      <c r="BL853" s="15"/>
      <c r="BM853" s="40"/>
      <c r="BN853" s="15"/>
      <c r="BO853" s="40"/>
      <c r="BP853" s="15"/>
      <c r="BQ853" s="40"/>
      <c r="BR853" s="15"/>
      <c r="BS853" s="40"/>
      <c r="BT853" s="15"/>
      <c r="BU853" s="40"/>
      <c r="BV853" s="722"/>
      <c r="BW853" s="722"/>
      <c r="BX853" s="722"/>
      <c r="BY853"/>
      <c r="BZ853"/>
      <c r="CA853"/>
      <c r="CB853"/>
      <c r="CC853"/>
      <c r="CD853"/>
    </row>
    <row r="854" spans="1:83" s="265" customFormat="1" ht="12.75" customHeight="1" x14ac:dyDescent="0.2">
      <c r="B854" s="266" t="s">
        <v>193</v>
      </c>
      <c r="C854" s="268"/>
      <c r="D854" s="269"/>
      <c r="E854" s="268"/>
      <c r="F854" s="269"/>
      <c r="G854" s="268"/>
      <c r="H854" s="269"/>
      <c r="I854" s="268"/>
      <c r="J854" s="269"/>
      <c r="K854" s="268"/>
      <c r="L854" s="269"/>
      <c r="M854" s="268"/>
      <c r="N854" s="269"/>
      <c r="O854" s="268"/>
      <c r="P854" s="269"/>
      <c r="Q854" s="268"/>
      <c r="R854" s="269"/>
      <c r="S854" s="268"/>
      <c r="T854" s="269"/>
      <c r="U854" s="268"/>
      <c r="V854" s="269"/>
      <c r="W854" s="268"/>
      <c r="X854" s="269"/>
      <c r="Y854" s="268"/>
      <c r="Z854" s="269"/>
      <c r="AA854" s="268"/>
      <c r="AB854" s="269"/>
      <c r="AC854" s="268"/>
      <c r="AD854" s="269"/>
      <c r="AE854" s="268"/>
      <c r="AF854" s="269"/>
      <c r="AG854" s="268"/>
      <c r="AH854" s="269"/>
      <c r="AI854" s="268"/>
      <c r="AJ854" s="269"/>
      <c r="AK854" s="268"/>
      <c r="AL854" s="269"/>
      <c r="AM854" s="268"/>
      <c r="AN854" s="269"/>
      <c r="AO854" s="268"/>
      <c r="AP854" s="269"/>
      <c r="AQ854" s="268"/>
      <c r="AR854" s="269"/>
      <c r="AS854" s="268"/>
      <c r="AT854" s="269"/>
      <c r="AU854" s="268"/>
      <c r="AV854" s="269"/>
      <c r="AW854" s="268"/>
      <c r="AX854" s="269"/>
      <c r="AY854" s="281"/>
      <c r="AZ854" s="267"/>
      <c r="BA854" s="269"/>
      <c r="BB854" s="268"/>
      <c r="BC854" s="269"/>
      <c r="BD854" s="907"/>
      <c r="BE854" s="269"/>
      <c r="BF854" s="268"/>
      <c r="BG854" s="269"/>
      <c r="BH854" s="268"/>
      <c r="BI854" s="269"/>
      <c r="BJ854" s="268"/>
      <c r="BK854" s="269"/>
      <c r="BL854" s="268"/>
      <c r="BM854" s="269"/>
      <c r="BN854" s="268"/>
      <c r="BO854" s="269"/>
      <c r="BP854" s="268"/>
      <c r="BQ854" s="269"/>
      <c r="BR854" s="268"/>
      <c r="BS854" s="269"/>
      <c r="BT854" s="268"/>
      <c r="BU854" s="269"/>
      <c r="BV854" s="270"/>
      <c r="BW854" s="270"/>
      <c r="BX854" s="270"/>
      <c r="BY854"/>
      <c r="BZ854"/>
      <c r="CA854"/>
      <c r="CB854"/>
      <c r="CC854"/>
      <c r="CD854"/>
    </row>
    <row r="855" spans="1:83" s="2" customFormat="1" ht="12.75" customHeight="1" x14ac:dyDescent="0.2">
      <c r="A855" s="41"/>
      <c r="B855" s="42"/>
      <c r="C855" s="15"/>
      <c r="D855" s="40"/>
      <c r="E855" s="15"/>
      <c r="F855" s="40"/>
      <c r="G855" s="15"/>
      <c r="H855" s="40"/>
      <c r="I855" s="15"/>
      <c r="J855" s="40"/>
      <c r="K855" s="15"/>
      <c r="L855" s="40"/>
      <c r="M855" s="15"/>
      <c r="N855" s="40"/>
      <c r="O855" s="15"/>
      <c r="P855" s="40"/>
      <c r="Q855" s="15"/>
      <c r="R855" s="40"/>
      <c r="S855" s="15"/>
      <c r="T855" s="40"/>
      <c r="U855" s="15"/>
      <c r="V855" s="40"/>
      <c r="W855" s="15"/>
      <c r="X855" s="40"/>
      <c r="Y855" s="15"/>
      <c r="Z855" s="40"/>
      <c r="AA855" s="15"/>
      <c r="AB855" s="40"/>
      <c r="AC855" s="15"/>
      <c r="AD855" s="40"/>
      <c r="AE855" s="15"/>
      <c r="AF855" s="40"/>
      <c r="AG855" s="15"/>
      <c r="AH855" s="40"/>
      <c r="AI855" s="15"/>
      <c r="AJ855" s="40"/>
      <c r="AK855" s="15"/>
      <c r="AL855" s="40"/>
      <c r="AM855" s="15"/>
      <c r="AN855" s="40"/>
      <c r="AO855" s="15"/>
      <c r="AP855" s="40"/>
      <c r="AQ855" s="15"/>
      <c r="AR855" s="40"/>
      <c r="AS855" s="15"/>
      <c r="AT855" s="40"/>
      <c r="AU855" s="15"/>
      <c r="AV855" s="40"/>
      <c r="AW855" s="15"/>
      <c r="AX855" s="40"/>
      <c r="AY855" s="279"/>
      <c r="AZ855" s="15"/>
      <c r="BA855" s="40"/>
      <c r="BB855" s="15"/>
      <c r="BC855" s="40"/>
      <c r="BD855" s="924"/>
      <c r="BE855" s="40"/>
      <c r="BF855" s="15"/>
      <c r="BG855" s="40"/>
      <c r="BH855" s="15"/>
      <c r="BI855" s="40"/>
      <c r="BJ855" s="15"/>
      <c r="BK855" s="40"/>
      <c r="BL855" s="15"/>
      <c r="BM855" s="40"/>
      <c r="BN855" s="15"/>
      <c r="BO855" s="40"/>
      <c r="BP855" s="15"/>
      <c r="BQ855" s="40"/>
      <c r="BR855" s="15"/>
      <c r="BS855" s="40"/>
      <c r="BT855" s="15"/>
      <c r="BU855" s="40"/>
      <c r="BV855" s="722"/>
      <c r="BW855" s="722"/>
      <c r="BX855" s="722"/>
      <c r="BY855"/>
      <c r="BZ855"/>
      <c r="CA855"/>
      <c r="CB855"/>
      <c r="CC855"/>
      <c r="CD855"/>
    </row>
    <row r="856" spans="1:83" s="2" customFormat="1" ht="12.75" customHeight="1" x14ac:dyDescent="0.2">
      <c r="B856" s="103" t="s">
        <v>117</v>
      </c>
      <c r="C856" s="179"/>
      <c r="D856" s="9"/>
      <c r="E856" s="179"/>
      <c r="F856" s="9"/>
      <c r="G856" s="179"/>
      <c r="H856" s="9"/>
      <c r="I856" s="179"/>
      <c r="J856" s="9"/>
      <c r="K856" s="179"/>
      <c r="L856" s="9"/>
      <c r="M856" s="179"/>
      <c r="N856" s="9"/>
      <c r="O856" s="179"/>
      <c r="P856" s="9"/>
      <c r="Q856" s="179"/>
      <c r="R856" s="9"/>
      <c r="S856" s="179"/>
      <c r="T856" s="9"/>
      <c r="U856" s="179"/>
      <c r="V856" s="9"/>
      <c r="W856" s="179"/>
      <c r="X856" s="9"/>
      <c r="Y856" s="179"/>
      <c r="Z856" s="9"/>
      <c r="AA856" s="179"/>
      <c r="AB856" s="9"/>
      <c r="AC856" s="179"/>
      <c r="AD856" s="9"/>
      <c r="AE856" s="179"/>
      <c r="AF856" s="9"/>
      <c r="AG856" s="179"/>
      <c r="AH856" s="9"/>
      <c r="AI856" s="179"/>
      <c r="AJ856" s="9"/>
      <c r="AK856" s="179"/>
      <c r="AL856" s="9"/>
      <c r="AM856" s="179"/>
      <c r="AN856" s="9"/>
      <c r="AO856" s="179"/>
      <c r="AP856" s="9"/>
      <c r="AQ856" s="179"/>
      <c r="AR856" s="9"/>
      <c r="AS856" s="179"/>
      <c r="AT856" s="9"/>
      <c r="AU856" s="179"/>
      <c r="AV856" s="9"/>
      <c r="AW856" s="179"/>
      <c r="AX856" s="9"/>
      <c r="AY856" s="297"/>
      <c r="AZ856" s="178"/>
      <c r="BA856" s="9" t="str">
        <f>IF(ISERROR((#REF!/#REF!-1)*100)," ",IF(((#REF!/#REF!-1)*100)&gt;100,"NM",IF(((#REF!/#REF!-1)*100)&lt;-50,"NM",(#REF!/#REF!-1)*100)))</f>
        <v xml:space="preserve"> </v>
      </c>
      <c r="BB856" s="179"/>
      <c r="BC856" s="9" t="str">
        <f>IF(ISERROR((BB856/#REF!-1)*100)," ",IF(((BB856/#REF!-1)*100)&gt;100,"NM",IF(((BB856/#REF!-1)*100)&lt;-50,"NM",(BB856/#REF!-1)*100)))</f>
        <v xml:space="preserve"> </v>
      </c>
      <c r="BD856" s="976"/>
      <c r="BE856" s="9" t="str">
        <f>IF(ISERROR((BD856/BB856-1)*100)," ",IF(((BD856/BB856-1)*100)&gt;100,"NM",IF(((BD856/BB856-1)*100)&lt;-50,"NM",(BD856/BB856-1)*100)))</f>
        <v xml:space="preserve"> </v>
      </c>
      <c r="BF856" s="179"/>
      <c r="BG856" s="9" t="str">
        <f>IF(ISERROR((BF856/BD856-1)*100)," ",IF(((BF856/BD856-1)*100)&gt;100,"NM",IF(((BF856/BD856-1)*100)&lt;-50,"NM",(BF856/BD856-1)*100)))</f>
        <v xml:space="preserve"> </v>
      </c>
      <c r="BH856" s="179"/>
      <c r="BI856" s="9" t="str">
        <f>IF(ISERROR((BH856/BF856-1)*100)," ",IF(((BH856/BF856-1)*100)&gt;100,"NM",IF(((BH856/BF856-1)*100)&lt;-50,"NM",(BH856/BF856-1)*100)))</f>
        <v xml:space="preserve"> </v>
      </c>
      <c r="BJ856" s="179"/>
      <c r="BK856" s="9" t="str">
        <f>IF(ISERROR((BJ856/BH856-1)*100)," ",IF(((BJ856/BH856-1)*100)&gt;100,"NM",IF(((BJ856/BH856-1)*100)&lt;-50,"NM",(BJ856/BH856-1)*100)))</f>
        <v xml:space="preserve"> </v>
      </c>
      <c r="BL856" s="179"/>
      <c r="BM856" s="9" t="str">
        <f>IF(ISERROR((BL856/BJ856-1)*100)," ",IF(((BL856/BJ856-1)*100)&gt;100,"NM",IF(((BL856/BJ856-1)*100)&lt;-50,"NM",(BL856/BJ856-1)*100)))</f>
        <v xml:space="preserve"> </v>
      </c>
      <c r="BN856" s="179"/>
      <c r="BO856" s="9" t="str">
        <f>IF(ISERROR((BN856/BL856-1)*100)," ",IF(((BN856/BL856-1)*100)&gt;100,"NM",IF(((BN856/BL856-1)*100)&lt;-50,"NM",(BN856/BL856-1)*100)))</f>
        <v xml:space="preserve"> </v>
      </c>
      <c r="BP856" s="179"/>
      <c r="BQ856" s="9" t="str">
        <f>IF(ISERROR((BP856/BN856-1)*100)," ",IF(((BP856/BN856-1)*100)&gt;100,"NM",IF(((BP856/BN856-1)*100)&lt;-50,"NM",(BP856/BN856-1)*100)))</f>
        <v xml:space="preserve"> </v>
      </c>
      <c r="BR856" s="179"/>
      <c r="BS856" s="9" t="str">
        <f>IF(ISERROR((BR856/BP856-1)*100)," ",IF(((BR856/BP856-1)*100)&gt;100,"NM",IF(((BR856/BP856-1)*100)&lt;-50,"NM",(BR856/BP856-1)*100)))</f>
        <v xml:space="preserve"> </v>
      </c>
      <c r="BT856" s="179"/>
      <c r="BU856" s="9" t="str">
        <f>IF(ISERROR((BT856/BR856-1)*100)," ",IF(((BT856/BR856-1)*100)&gt;100,"NM",IF(((BT856/BR856-1)*100)&lt;-50,"NM",(BT856/BR856-1)*100)))</f>
        <v xml:space="preserve"> </v>
      </c>
      <c r="BV856" s="180"/>
      <c r="BW856" s="180"/>
      <c r="BX856" s="180"/>
      <c r="BY856"/>
      <c r="BZ856"/>
      <c r="CA856"/>
      <c r="CB856"/>
      <c r="CC856"/>
      <c r="CD856"/>
    </row>
    <row r="857" spans="1:83" s="2" customFormat="1" ht="12.75" customHeight="1" x14ac:dyDescent="0.2">
      <c r="B857" s="7" t="s">
        <v>495</v>
      </c>
      <c r="C857" s="179">
        <f>+C858+C859</f>
        <v>70046.8</v>
      </c>
      <c r="D857" s="9" t="str">
        <f>IF(ISERROR(C857/#REF!),"NA",IF(OR(C857/#REF!&gt;2,C857/#REF!&lt;0.5),"NM",C857/#REF!*100-100))</f>
        <v>NA</v>
      </c>
      <c r="E857" s="179">
        <f>+E858+E859</f>
        <v>67781</v>
      </c>
      <c r="F857" s="9" t="str">
        <f>IF(ISERROR(E857/#REF!),"NA",IF(OR(E857/#REF!&gt;2,E857/#REF!&lt;0.5),"NM",E857/#REF!*100-100))</f>
        <v>NA</v>
      </c>
      <c r="G857" s="179">
        <f>+G858+G859</f>
        <v>67250.600000000006</v>
      </c>
      <c r="H857" s="9" t="str">
        <f>IF(ISERROR(G857/#REF!),"NA",IF(OR(G857/#REF!&gt;2,G857/#REF!&lt;0.5),"NM",G857/#REF!*100-100))</f>
        <v>NA</v>
      </c>
      <c r="I857" s="179">
        <f>+I858+I859</f>
        <v>66940.099999999991</v>
      </c>
      <c r="J857" s="9" t="str">
        <f>IF(ISERROR(I857/#REF!),"NA",IF(OR(I857/#REF!&gt;2,I857/#REF!&lt;0.5),"NM",I857/#REF!*100-100))</f>
        <v>NA</v>
      </c>
      <c r="K857" s="179">
        <f>+K858+K859</f>
        <v>68468.900000000009</v>
      </c>
      <c r="L857" s="9">
        <f t="shared" ref="L857:L864" si="3569">IF(ISERROR(K857/C857),"NA",IF(OR(K857/C857&gt;2,K857/C857&lt;0.5),"NM",K857/C857*100-100))</f>
        <v>-2.2526368085337083</v>
      </c>
      <c r="M857" s="179">
        <f>+M858+M859</f>
        <v>69213.799999999988</v>
      </c>
      <c r="N857" s="9">
        <f t="shared" ref="N857:Z866" si="3570">IF(ISERROR(M857/E857),"NA",IF(OR(M857/E857&gt;2,M857/E857&lt;0.5),"NM",M857/E857*100-100))</f>
        <v>2.1138667178117458</v>
      </c>
      <c r="O857" s="179">
        <f>+O858+O859</f>
        <v>68475</v>
      </c>
      <c r="P857" s="9">
        <f t="shared" si="3570"/>
        <v>1.8206529012380486</v>
      </c>
      <c r="Q857" s="179">
        <f>+Q858+Q859</f>
        <v>68484.2</v>
      </c>
      <c r="R857" s="9">
        <f t="shared" si="3570"/>
        <v>2.3066891145964803</v>
      </c>
      <c r="S857" s="179">
        <f>+S858+S859</f>
        <v>68890.5</v>
      </c>
      <c r="T857" s="9">
        <f t="shared" si="3570"/>
        <v>0.61575401386613748</v>
      </c>
      <c r="U857" s="179">
        <f>+U858+U859</f>
        <v>67850</v>
      </c>
      <c r="V857" s="9">
        <f t="shared" si="3570"/>
        <v>-1.9704163042629972</v>
      </c>
      <c r="W857" s="179">
        <f t="shared" ref="W857:Y857" si="3571">+W858+W859</f>
        <v>69041.100000000006</v>
      </c>
      <c r="X857" s="9">
        <f t="shared" si="3570"/>
        <v>0.82672508214677976</v>
      </c>
      <c r="Y857" s="179">
        <f t="shared" si="3571"/>
        <v>68938</v>
      </c>
      <c r="Z857" s="9">
        <f t="shared" si="3570"/>
        <v>0.66263459308864014</v>
      </c>
      <c r="AA857" s="179">
        <f t="shared" ref="AA857:AC857" si="3572">+AA858+AA859</f>
        <v>73451.399999999994</v>
      </c>
      <c r="AB857" s="9">
        <f t="shared" ref="AB857:AB864" si="3573">IF(ISERROR(AA857/S857),"NA",IF(OR(AA857/S857&gt;2,AA857/S857&lt;0.5),"NM",AA857/S857*100-100))</f>
        <v>6.6205064558973987</v>
      </c>
      <c r="AC857" s="179">
        <f t="shared" si="3572"/>
        <v>76668.099999999991</v>
      </c>
      <c r="AD857" s="9">
        <f t="shared" ref="AD857:AD864" si="3574">IF(ISERROR(AC857/U857),"NA",IF(OR(AC857/U857&gt;2,AC857/U857&lt;0.5),"NM",AC857/U857*100-100))</f>
        <v>12.996462785556346</v>
      </c>
      <c r="AE857" s="179">
        <f t="shared" ref="AE857:AG857" si="3575">+AE858+AE859</f>
        <v>77850.3</v>
      </c>
      <c r="AF857" s="9">
        <f t="shared" ref="AF857:AF864" si="3576">IF(ISERROR(AE857/W857),"NA",IF(OR(AE857/W857&gt;2,AE857/W857&lt;0.5),"NM",AE857/W857*100-100))</f>
        <v>12.759356383371639</v>
      </c>
      <c r="AG857" s="179">
        <f t="shared" si="3575"/>
        <v>75160.3</v>
      </c>
      <c r="AH857" s="9">
        <f t="shared" ref="AH857:AH864" si="3577">IF(ISERROR(AG857/Y857),"NA",IF(OR(AG857/Y857&gt;2,AG857/Y857&lt;0.5),"NM",AG857/Y857*100-100))</f>
        <v>9.0259363486030963</v>
      </c>
      <c r="AI857" s="179">
        <f t="shared" ref="AI857:AK857" si="3578">+AI858+AI859</f>
        <v>77356.899999999994</v>
      </c>
      <c r="AJ857" s="9">
        <f t="shared" ref="AJ857:AJ864" si="3579">IF(ISERROR(AI857/AA857),"NA",IF(OR(AI857/AA857&gt;2,AI857/AA857&lt;0.5),"NM",AI857/AA857*100-100))</f>
        <v>5.3171212529645544</v>
      </c>
      <c r="AK857" s="179">
        <f t="shared" si="3578"/>
        <v>78934.399999999994</v>
      </c>
      <c r="AL857" s="9">
        <f t="shared" ref="AL857:AL864" si="3580">IF(ISERROR(AK857/AC857),"NA",IF(OR(AK857/AC857&gt;2,AK857/AC857&lt;0.5),"NM",AK857/AC857*100-100))</f>
        <v>2.9559882141333844</v>
      </c>
      <c r="AM857" s="179">
        <f t="shared" ref="AM857:AO857" si="3581">+AM858+AM859</f>
        <v>81250.399999999994</v>
      </c>
      <c r="AN857" s="9">
        <f t="shared" ref="AN857:AN864" si="3582">IF(ISERROR(AM857/AE857),"NA",IF(OR(AM857/AE857&gt;2,AM857/AE857&lt;0.5),"NM",AM857/AE857*100-100))</f>
        <v>4.3674847752673855</v>
      </c>
      <c r="AO857" s="179">
        <f t="shared" si="3581"/>
        <v>82268.2</v>
      </c>
      <c r="AP857" s="9">
        <f t="shared" ref="AP857:AP864" si="3583">IF(ISERROR(AO857/AG857),"NA",IF(OR(AO857/AG857&gt;2,AO857/AG857&lt;0.5),"NM",AO857/AG857*100-100))</f>
        <v>9.4569872658837113</v>
      </c>
      <c r="AQ857" s="179">
        <f t="shared" ref="AQ857:AW857" si="3584">+AQ858+AQ859</f>
        <v>83869.202650000007</v>
      </c>
      <c r="AR857" s="9">
        <f t="shared" ref="AR857:AR864" si="3585">IF(ISERROR(AQ857/AI857),"NA",IF(OR(AQ857/AI857&gt;2,AQ857/AI857&lt;0.5),"NM",AQ857/AI857*100-100))</f>
        <v>8.4185155428927629</v>
      </c>
      <c r="AS857" s="179">
        <f t="shared" si="3584"/>
        <v>85501.424851675009</v>
      </c>
      <c r="AT857" s="9">
        <f t="shared" ref="AT857:AT864" si="3586">IF(ISERROR(AS857/AK857),"NA",IF(OR(AS857/AK857&gt;2,AS857/AK857&lt;0.5),"NM",AS857/AK857*100-100))</f>
        <v>8.3195981114381254</v>
      </c>
      <c r="AU857" s="179">
        <f t="shared" si="3584"/>
        <v>87165.475386282676</v>
      </c>
      <c r="AV857" s="9">
        <f t="shared" ref="AV857:AV864" si="3587">IF(ISERROR(AU857/AM857),"NA",IF(OR(AU857/AM857&gt;2,AU857/AM857&lt;0.5),"NM",AU857/AM857*100-100))</f>
        <v>7.280056942836822</v>
      </c>
      <c r="AW857" s="179">
        <f t="shared" si="3584"/>
        <v>88861.974906315198</v>
      </c>
      <c r="AX857" s="9">
        <f t="shared" ref="AX857:AX864" si="3588">IF(ISERROR(AW857/AO857),"NA",IF(OR(AW857/AO857&gt;2,AW857/AO857&lt;0.5),"NM",AW857/AO857*100-100))</f>
        <v>8.0149740802827836</v>
      </c>
      <c r="AY857" s="297"/>
      <c r="AZ857" s="178"/>
      <c r="BA857" s="9" t="str">
        <f>IF(ISERROR(#REF!/#REF!),"NA",IF(OR(#REF!/#REF!&gt;2,#REF!/#REF!&lt;0.5),"NM",#REF!/#REF!*100-100))</f>
        <v>NA</v>
      </c>
      <c r="BB857" s="179">
        <f t="shared" ref="BB857:BB862" si="3589">U857</f>
        <v>67850</v>
      </c>
      <c r="BC857" s="9" t="str">
        <f>IF(ISERROR(BB857/#REF!),"NA",IF(OR(BB857/#REF!&gt;2,BB857/#REF!&lt;0.5),"NM",BB857/#REF!*100-100))</f>
        <v>NA</v>
      </c>
      <c r="BD857" s="976">
        <f t="shared" ref="BD857:BD862" si="3590">W857</f>
        <v>69041.100000000006</v>
      </c>
      <c r="BE857" s="9">
        <f t="shared" ref="BE857:BS866" si="3591">IF(ISERROR(BD857/BB857),"NA",IF(OR(BD857/BB857&gt;2,BD857/BB857&lt;0.5),"NM",BD857/BB857*100-100))</f>
        <v>1.7554900515844025</v>
      </c>
      <c r="BF857" s="179">
        <f t="shared" ref="BF857:BF862" si="3592">Y857</f>
        <v>68938</v>
      </c>
      <c r="BG857" s="9">
        <f t="shared" si="3591"/>
        <v>-0.14933134031758755</v>
      </c>
      <c r="BH857" s="179">
        <f t="shared" ref="BH857:BH862" si="3593">AG857</f>
        <v>75160.3</v>
      </c>
      <c r="BI857" s="9">
        <f t="shared" si="3591"/>
        <v>9.0259363486030963</v>
      </c>
      <c r="BJ857" s="179">
        <f t="shared" ref="BJ857:BJ862" si="3594">AO857</f>
        <v>82268.2</v>
      </c>
      <c r="BK857" s="9">
        <f t="shared" si="3591"/>
        <v>9.4569872658837113</v>
      </c>
      <c r="BL857" s="179">
        <f t="shared" ref="BL857:BL862" si="3595">AW857</f>
        <v>88861.974906315198</v>
      </c>
      <c r="BM857" s="9">
        <f t="shared" si="3591"/>
        <v>8.0149740802827836</v>
      </c>
      <c r="BN857" s="179">
        <f>+BN858+BN859</f>
        <v>95957.692898820416</v>
      </c>
      <c r="BO857" s="9">
        <f t="shared" si="3591"/>
        <v>7.9851004886916286</v>
      </c>
      <c r="BP857" s="179">
        <f>+BP858+BP859</f>
        <v>103621.06833072606</v>
      </c>
      <c r="BQ857" s="9">
        <f t="shared" si="3591"/>
        <v>7.9862022526803003</v>
      </c>
      <c r="BR857" s="179">
        <f>+BR858+BR859</f>
        <v>111897.51379718416</v>
      </c>
      <c r="BS857" s="9">
        <f t="shared" si="3591"/>
        <v>7.987222675645711</v>
      </c>
      <c r="BT857" s="179">
        <f>+BT858+BT859</f>
        <v>120836.07490095891</v>
      </c>
      <c r="BU857" s="9">
        <f t="shared" ref="BU857:BU864" si="3596">IF(ISERROR(BT857/BR857),"NA",IF(OR(BT857/BR857&gt;2,BT857/BR857&lt;0.5),"NM",BT857/BR857*100-100))</f>
        <v>7.9881677442592718</v>
      </c>
      <c r="BV857" s="43">
        <f t="shared" ref="BV857:BV864" si="3597">IF(ISERROR(((BT857/BJ857)^0.2-1)*100),"NA",IF((((BT857/BJ857)^0.2-1)*100)&gt;100,"NM",IF((((BT857/BJ857)^0.2-1)*100)&lt;-50,"NM",((BT857/BJ857)^0.2-1)*100)))</f>
        <v>7.9923328502028657</v>
      </c>
      <c r="BW857" s="180"/>
      <c r="BX857" s="180"/>
      <c r="BY857"/>
      <c r="BZ857"/>
      <c r="CA857"/>
      <c r="CB857"/>
      <c r="CC857"/>
      <c r="CD857"/>
    </row>
    <row r="858" spans="1:83" s="2" customFormat="1" ht="12.75" customHeight="1" x14ac:dyDescent="0.2">
      <c r="A858" s="7" t="s">
        <v>133</v>
      </c>
      <c r="B858" s="7" t="s">
        <v>494</v>
      </c>
      <c r="C858" s="181">
        <v>69425.8</v>
      </c>
      <c r="D858" s="9" t="str">
        <f>IF(ISERROR(C858/#REF!),"NA",IF(OR(C858/#REF!&gt;2,C858/#REF!&lt;0.5),"NM",C858/#REF!*100-100))</f>
        <v>NA</v>
      </c>
      <c r="E858" s="181">
        <v>67781.5</v>
      </c>
      <c r="F858" s="9" t="str">
        <f>IF(ISERROR(E858/#REF!),"NA",IF(OR(E858/#REF!&gt;2,E858/#REF!&lt;0.5),"NM",E858/#REF!*100-100))</f>
        <v>NA</v>
      </c>
      <c r="G858" s="181">
        <v>67268.3</v>
      </c>
      <c r="H858" s="9" t="str">
        <f>IF(ISERROR(G858/#REF!),"NA",IF(OR(G858/#REF!&gt;2,G858/#REF!&lt;0.5),"NM",G858/#REF!*100-100))</f>
        <v>NA</v>
      </c>
      <c r="I858" s="181">
        <v>66756.899999999994</v>
      </c>
      <c r="J858" s="9" t="str">
        <f>IF(ISERROR(I858/#REF!),"NA",IF(OR(I858/#REF!&gt;2,I858/#REF!&lt;0.5),"NM",I858/#REF!*100-100))</f>
        <v>NA</v>
      </c>
      <c r="K858" s="181">
        <v>68107.100000000006</v>
      </c>
      <c r="L858" s="9">
        <f t="shared" si="3569"/>
        <v>-1.8994379611037857</v>
      </c>
      <c r="M858" s="181">
        <v>68614.399999999994</v>
      </c>
      <c r="N858" s="9">
        <f t="shared" si="3570"/>
        <v>1.2288013691051276</v>
      </c>
      <c r="O858" s="181">
        <v>68094.899999999994</v>
      </c>
      <c r="P858" s="9">
        <f t="shared" si="3570"/>
        <v>1.2288105987515507</v>
      </c>
      <c r="Q858" s="181">
        <v>68433.8</v>
      </c>
      <c r="R858" s="9">
        <f t="shared" si="3570"/>
        <v>2.5119500755727273</v>
      </c>
      <c r="S858" s="181">
        <v>68862.5</v>
      </c>
      <c r="T858" s="9">
        <f t="shared" si="3570"/>
        <v>1.1091354645844405</v>
      </c>
      <c r="U858" s="181">
        <v>68176.600000000006</v>
      </c>
      <c r="V858" s="9">
        <f t="shared" si="3570"/>
        <v>-0.63805848335040594</v>
      </c>
      <c r="W858" s="181">
        <v>69565.5</v>
      </c>
      <c r="X858" s="9">
        <f t="shared" si="3570"/>
        <v>2.1596331002762525</v>
      </c>
      <c r="Y858" s="181">
        <v>69820.5</v>
      </c>
      <c r="Z858" s="9">
        <f t="shared" si="3570"/>
        <v>2.0263378622844357</v>
      </c>
      <c r="AA858" s="181">
        <v>73807.5</v>
      </c>
      <c r="AB858" s="9">
        <f t="shared" si="3573"/>
        <v>7.1809765837720079</v>
      </c>
      <c r="AC858" s="181">
        <v>76687.399999999994</v>
      </c>
      <c r="AD858" s="9">
        <f t="shared" si="3574"/>
        <v>12.483462067630228</v>
      </c>
      <c r="AE858" s="181">
        <v>77758.5</v>
      </c>
      <c r="AF858" s="9">
        <f t="shared" si="3576"/>
        <v>11.777389654354536</v>
      </c>
      <c r="AG858" s="181">
        <v>75835.5</v>
      </c>
      <c r="AH858" s="9">
        <f t="shared" si="3577"/>
        <v>8.6149483317936841</v>
      </c>
      <c r="AI858" s="181">
        <v>77812</v>
      </c>
      <c r="AJ858" s="9">
        <f t="shared" si="3579"/>
        <v>5.4256003793652354</v>
      </c>
      <c r="AK858" s="181">
        <v>79050.5</v>
      </c>
      <c r="AL858" s="9">
        <f t="shared" si="3580"/>
        <v>3.0814710108831349</v>
      </c>
      <c r="AM858" s="181">
        <v>81203.399999999994</v>
      </c>
      <c r="AN858" s="9">
        <f t="shared" si="3582"/>
        <v>4.4302552132564159</v>
      </c>
      <c r="AO858" s="181">
        <v>82102.7</v>
      </c>
      <c r="AP858" s="9">
        <f t="shared" si="3583"/>
        <v>8.2642034403412623</v>
      </c>
      <c r="AQ858" s="181">
        <f t="shared" ref="AQ858" si="3598">AO858*1.0195</f>
        <v>83703.702650000007</v>
      </c>
      <c r="AR858" s="9">
        <f t="shared" si="3585"/>
        <v>7.5717147098134205</v>
      </c>
      <c r="AS858" s="181">
        <f t="shared" ref="AS858" si="3599">AQ858*1.0195</f>
        <v>85335.924851675009</v>
      </c>
      <c r="AT858" s="9">
        <f t="shared" si="3586"/>
        <v>7.9511512914845639</v>
      </c>
      <c r="AU858" s="181">
        <f t="shared" ref="AU858" si="3600">AS858*1.0195</f>
        <v>86999.975386282676</v>
      </c>
      <c r="AV858" s="9">
        <f t="shared" si="3587"/>
        <v>7.1383407422382277</v>
      </c>
      <c r="AW858" s="181">
        <f t="shared" ref="AW858" si="3601">AU858*1.0195</f>
        <v>88696.474906315198</v>
      </c>
      <c r="AX858" s="9">
        <f t="shared" si="3588"/>
        <v>8.0311304090062947</v>
      </c>
      <c r="AY858" s="297"/>
      <c r="AZ858" s="178"/>
      <c r="BA858" s="9" t="str">
        <f>IF(ISERROR(#REF!/#REF!),"NA",IF(OR(#REF!/#REF!&gt;2,#REF!/#REF!&lt;0.5),"NM",#REF!/#REF!*100-100))</f>
        <v>NA</v>
      </c>
      <c r="BB858" s="179">
        <f t="shared" si="3589"/>
        <v>68176.600000000006</v>
      </c>
      <c r="BC858" s="9" t="str">
        <f>IF(ISERROR(BB858/#REF!),"NA",IF(OR(BB858/#REF!&gt;2,BB858/#REF!&lt;0.5),"NM",BB858/#REF!*100-100))</f>
        <v>NA</v>
      </c>
      <c r="BD858" s="976">
        <f t="shared" si="3590"/>
        <v>69565.5</v>
      </c>
      <c r="BE858" s="9">
        <f t="shared" si="3591"/>
        <v>2.0372092477477537</v>
      </c>
      <c r="BF858" s="179">
        <f t="shared" si="3592"/>
        <v>69820.5</v>
      </c>
      <c r="BG858" s="9">
        <f t="shared" si="3591"/>
        <v>0.36656101084588499</v>
      </c>
      <c r="BH858" s="179">
        <f t="shared" si="3593"/>
        <v>75835.5</v>
      </c>
      <c r="BI858" s="9">
        <f t="shared" si="3591"/>
        <v>8.6149483317936841</v>
      </c>
      <c r="BJ858" s="179">
        <f t="shared" si="3594"/>
        <v>82102.7</v>
      </c>
      <c r="BK858" s="9">
        <f t="shared" si="3591"/>
        <v>8.2642034403412623</v>
      </c>
      <c r="BL858" s="179">
        <f t="shared" si="3595"/>
        <v>88696.474906315198</v>
      </c>
      <c r="BM858" s="9">
        <f t="shared" si="3591"/>
        <v>8.0311304090062947</v>
      </c>
      <c r="BN858" s="181">
        <f>BL858*1.08</f>
        <v>95792.192898820416</v>
      </c>
      <c r="BO858" s="9">
        <f t="shared" si="3591"/>
        <v>8</v>
      </c>
      <c r="BP858" s="181">
        <f>BN858*1.08</f>
        <v>103455.56833072606</v>
      </c>
      <c r="BQ858" s="9">
        <f t="shared" si="3591"/>
        <v>8</v>
      </c>
      <c r="BR858" s="181">
        <f>BP858*1.08</f>
        <v>111732.01379718416</v>
      </c>
      <c r="BS858" s="9">
        <f t="shared" si="3591"/>
        <v>8</v>
      </c>
      <c r="BT858" s="181">
        <f>BR858*1.08</f>
        <v>120670.57490095891</v>
      </c>
      <c r="BU858" s="9">
        <f t="shared" si="3596"/>
        <v>8</v>
      </c>
      <c r="BV858" s="43">
        <f t="shared" si="3597"/>
        <v>8.0062253640717849</v>
      </c>
      <c r="BW858" s="180"/>
      <c r="BX858" s="180"/>
      <c r="BY858"/>
      <c r="BZ858"/>
      <c r="CA858"/>
      <c r="CB858"/>
      <c r="CC858"/>
      <c r="CD858"/>
    </row>
    <row r="859" spans="1:83" s="2" customFormat="1" ht="12.75" customHeight="1" x14ac:dyDescent="0.2">
      <c r="A859" s="7"/>
      <c r="B859" s="7" t="s">
        <v>118</v>
      </c>
      <c r="C859" s="181">
        <f>1147.1-51.4-474.7</f>
        <v>620.99999999999977</v>
      </c>
      <c r="D859" s="9" t="str">
        <f>IF(ISERROR(C859/#REF!),"NA",IF(OR(C859/#REF!&gt;2,C859/#REF!&lt;0.5),"NM",C859/#REF!*100-100))</f>
        <v>NA</v>
      </c>
      <c r="E859" s="181">
        <f>693.8-233.4-460.9</f>
        <v>-0.5</v>
      </c>
      <c r="F859" s="9" t="str">
        <f>IF(ISERROR(E859/#REF!),"NA",IF(OR(E859/#REF!&gt;2,E859/#REF!&lt;0.5),"NM",E859/#REF!*100-100))</f>
        <v>NA</v>
      </c>
      <c r="G859" s="181">
        <f>695.5-266.1-447.1</f>
        <v>-17.700000000000045</v>
      </c>
      <c r="H859" s="9" t="str">
        <f>IF(ISERROR(G859/#REF!),"NA",IF(OR(G859/#REF!&gt;2,G859/#REF!&lt;0.5),"NM",G859/#REF!*100-100))</f>
        <v>NA</v>
      </c>
      <c r="I859" s="181">
        <f>700.6-361.5-155.9</f>
        <v>183.20000000000002</v>
      </c>
      <c r="J859" s="9" t="str">
        <f>IF(ISERROR(I859/#REF!),"NA",IF(OR(I859/#REF!&gt;2,I859/#REF!&lt;0.5),"NM",I859/#REF!*100-100))</f>
        <v>NA</v>
      </c>
      <c r="K859" s="181">
        <f>919.3-405.1-152.4</f>
        <v>361.79999999999995</v>
      </c>
      <c r="L859" s="9">
        <f t="shared" si="3569"/>
        <v>-41.739130434782588</v>
      </c>
      <c r="M859" s="181">
        <f>1122.1-373.9-148.8</f>
        <v>599.39999999999986</v>
      </c>
      <c r="N859" s="9" t="str">
        <f t="shared" si="3570"/>
        <v>NM</v>
      </c>
      <c r="O859" s="181">
        <f>1088.4-563.1-145.2</f>
        <v>380.10000000000008</v>
      </c>
      <c r="P859" s="9" t="str">
        <f t="shared" si="3570"/>
        <v>NM</v>
      </c>
      <c r="Q859" s="181">
        <f>1148.3-686.8-411.1</f>
        <v>50.399999999999977</v>
      </c>
      <c r="R859" s="9" t="str">
        <f t="shared" si="3570"/>
        <v>NM</v>
      </c>
      <c r="S859" s="181">
        <f>1246.7-819.6-399.1</f>
        <v>28</v>
      </c>
      <c r="T859" s="9" t="str">
        <f t="shared" si="3570"/>
        <v>NM</v>
      </c>
      <c r="U859" s="181">
        <f>927.6-867.1-387.1</f>
        <v>-326.60000000000002</v>
      </c>
      <c r="V859" s="9" t="str">
        <f t="shared" si="3570"/>
        <v>NM</v>
      </c>
      <c r="W859" s="181">
        <f>967.2-1116.4-375.2</f>
        <v>-524.40000000000009</v>
      </c>
      <c r="X859" s="9" t="str">
        <f t="shared" si="3570"/>
        <v>NM</v>
      </c>
      <c r="Y859" s="181">
        <f>715.9-1148.2-450.2</f>
        <v>-882.5</v>
      </c>
      <c r="Z859" s="9" t="str">
        <f t="shared" si="3570"/>
        <v>NM</v>
      </c>
      <c r="AA859" s="181">
        <f>-1031.3+1117.4-442.2</f>
        <v>-356.09999999999985</v>
      </c>
      <c r="AB859" s="9" t="str">
        <f t="shared" si="3573"/>
        <v>NM</v>
      </c>
      <c r="AC859" s="181">
        <f>-1019.5+1434.4-434.2</f>
        <v>-19.299999999999898</v>
      </c>
      <c r="AD859" s="9" t="str">
        <f t="shared" si="3574"/>
        <v>NM</v>
      </c>
      <c r="AE859" s="181">
        <f>-1035.1+1553.1-426.2</f>
        <v>91.800000000000011</v>
      </c>
      <c r="AF859" s="9" t="str">
        <f t="shared" si="3576"/>
        <v>NM</v>
      </c>
      <c r="AG859" s="181">
        <f>-1093.8+827-408.4</f>
        <v>-675.19999999999993</v>
      </c>
      <c r="AH859" s="9">
        <f t="shared" si="3577"/>
        <v>-23.490084985835708</v>
      </c>
      <c r="AI859" s="181">
        <f>-1030.4+979.4-404.1</f>
        <v>-455.10000000000014</v>
      </c>
      <c r="AJ859" s="9">
        <f t="shared" si="3579"/>
        <v>27.801179443976508</v>
      </c>
      <c r="AK859" s="181">
        <f>-1031.8+1315.5-399.8</f>
        <v>-116.09999999999997</v>
      </c>
      <c r="AL859" s="9" t="str">
        <f t="shared" si="3580"/>
        <v>NM</v>
      </c>
      <c r="AM859" s="181">
        <f>-945.2+1387.8-395.6</f>
        <v>46.999999999999886</v>
      </c>
      <c r="AN859" s="9">
        <f t="shared" si="3582"/>
        <v>-48.801742919390115</v>
      </c>
      <c r="AO859" s="181">
        <f>1455.1-918.5-371.1</f>
        <v>165.49999999999989</v>
      </c>
      <c r="AP859" s="9" t="str">
        <f t="shared" si="3583"/>
        <v>NM</v>
      </c>
      <c r="AQ859" s="181">
        <f t="shared" ref="AQ859" si="3602">AO859</f>
        <v>165.49999999999989</v>
      </c>
      <c r="AR859" s="9" t="str">
        <f t="shared" si="3585"/>
        <v>NM</v>
      </c>
      <c r="AS859" s="181">
        <f t="shared" ref="AS859" si="3603">AQ859</f>
        <v>165.49999999999989</v>
      </c>
      <c r="AT859" s="9" t="str">
        <f t="shared" si="3586"/>
        <v>NM</v>
      </c>
      <c r="AU859" s="181">
        <f t="shared" ref="AU859" si="3604">AS859</f>
        <v>165.49999999999989</v>
      </c>
      <c r="AV859" s="9" t="str">
        <f t="shared" si="3587"/>
        <v>NM</v>
      </c>
      <c r="AW859" s="181">
        <f t="shared" ref="AW859" si="3605">AU859</f>
        <v>165.49999999999989</v>
      </c>
      <c r="AX859" s="9">
        <f t="shared" si="3588"/>
        <v>0</v>
      </c>
      <c r="AY859" s="297"/>
      <c r="AZ859" s="178"/>
      <c r="BA859" s="9" t="str">
        <f>IF(ISERROR(#REF!/#REF!),"NA",IF(OR(#REF!/#REF!&gt;2,#REF!/#REF!&lt;0.5),"NM",#REF!/#REF!*100-100))</f>
        <v>NA</v>
      </c>
      <c r="BB859" s="179">
        <f t="shared" si="3589"/>
        <v>-326.60000000000002</v>
      </c>
      <c r="BC859" s="9" t="str">
        <f>IF(ISERROR(BB859/#REF!),"NA",IF(OR(BB859/#REF!&gt;2,BB859/#REF!&lt;0.5),"NM",BB859/#REF!*100-100))</f>
        <v>NA</v>
      </c>
      <c r="BD859" s="976">
        <f t="shared" si="3590"/>
        <v>-524.40000000000009</v>
      </c>
      <c r="BE859" s="9">
        <f t="shared" si="3591"/>
        <v>60.563380281690144</v>
      </c>
      <c r="BF859" s="179">
        <f t="shared" si="3592"/>
        <v>-882.5</v>
      </c>
      <c r="BG859" s="9">
        <f t="shared" si="3591"/>
        <v>68.287566742944307</v>
      </c>
      <c r="BH859" s="179">
        <f t="shared" si="3593"/>
        <v>-675.19999999999993</v>
      </c>
      <c r="BI859" s="9">
        <f t="shared" si="3591"/>
        <v>-23.490084985835708</v>
      </c>
      <c r="BJ859" s="179">
        <f t="shared" si="3594"/>
        <v>165.49999999999989</v>
      </c>
      <c r="BK859" s="9" t="str">
        <f t="shared" si="3591"/>
        <v>NM</v>
      </c>
      <c r="BL859" s="179">
        <f t="shared" si="3595"/>
        <v>165.49999999999989</v>
      </c>
      <c r="BM859" s="9">
        <f t="shared" si="3591"/>
        <v>0</v>
      </c>
      <c r="BN859" s="736">
        <f>BL859</f>
        <v>165.49999999999989</v>
      </c>
      <c r="BO859" s="9">
        <f t="shared" si="3591"/>
        <v>0</v>
      </c>
      <c r="BP859" s="736">
        <f>BN859</f>
        <v>165.49999999999989</v>
      </c>
      <c r="BQ859" s="9">
        <f t="shared" si="3591"/>
        <v>0</v>
      </c>
      <c r="BR859" s="736">
        <f>BP859</f>
        <v>165.49999999999989</v>
      </c>
      <c r="BS859" s="9">
        <f t="shared" si="3591"/>
        <v>0</v>
      </c>
      <c r="BT859" s="736">
        <f>BR859</f>
        <v>165.49999999999989</v>
      </c>
      <c r="BU859" s="9">
        <f t="shared" si="3596"/>
        <v>0</v>
      </c>
      <c r="BV859" s="43">
        <f t="shared" si="3597"/>
        <v>0</v>
      </c>
      <c r="BW859" s="180"/>
      <c r="BX859" s="180"/>
      <c r="BY859"/>
      <c r="BZ859"/>
      <c r="CA859"/>
      <c r="CB859"/>
      <c r="CC859"/>
      <c r="CD859"/>
    </row>
    <row r="860" spans="1:83" s="2" customFormat="1" ht="12.75" customHeight="1" x14ac:dyDescent="0.2">
      <c r="A860" s="7" t="s">
        <v>204</v>
      </c>
      <c r="B860" s="7" t="s">
        <v>119</v>
      </c>
      <c r="C860" s="181">
        <v>2715.5</v>
      </c>
      <c r="D860" s="9" t="str">
        <f>IF(ISERROR(C860/#REF!),"NA",IF(OR(C860/#REF!&gt;2,C860/#REF!&lt;0.5),"NM",C860/#REF!*100-100))</f>
        <v>NA</v>
      </c>
      <c r="E860" s="181">
        <v>2925.4</v>
      </c>
      <c r="F860" s="9" t="str">
        <f>IF(ISERROR(E860/#REF!),"NA",IF(OR(E860/#REF!&gt;2,E860/#REF!&lt;0.5),"NM",E860/#REF!*100-100))</f>
        <v>NA</v>
      </c>
      <c r="G860" s="181">
        <v>3007.6</v>
      </c>
      <c r="H860" s="9" t="str">
        <f>IF(ISERROR(G860/#REF!),"NA",IF(OR(G860/#REF!&gt;2,G860/#REF!&lt;0.5),"NM",G860/#REF!*100-100))</f>
        <v>NA</v>
      </c>
      <c r="I860" s="181">
        <v>3077</v>
      </c>
      <c r="J860" s="9" t="str">
        <f>IF(ISERROR(I860/#REF!),"NA",IF(OR(I860/#REF!&gt;2,I860/#REF!&lt;0.5),"NM",I860/#REF!*100-100))</f>
        <v>NA</v>
      </c>
      <c r="K860" s="181">
        <v>3045.6</v>
      </c>
      <c r="L860" s="9">
        <f t="shared" si="3569"/>
        <v>12.15614067390905</v>
      </c>
      <c r="M860" s="181">
        <v>3028.8</v>
      </c>
      <c r="N860" s="9">
        <f t="shared" si="3570"/>
        <v>3.5345593764955225</v>
      </c>
      <c r="O860" s="181">
        <v>2985.4</v>
      </c>
      <c r="P860" s="9">
        <f t="shared" si="3570"/>
        <v>-0.73813007048808288</v>
      </c>
      <c r="Q860" s="181">
        <v>2993</v>
      </c>
      <c r="R860" s="9">
        <f t="shared" si="3570"/>
        <v>-2.7299317517062036</v>
      </c>
      <c r="S860" s="181">
        <v>3020.8</v>
      </c>
      <c r="T860" s="9">
        <f t="shared" si="3570"/>
        <v>-0.81428946677172576</v>
      </c>
      <c r="U860" s="181">
        <v>3162.4</v>
      </c>
      <c r="V860" s="9">
        <f t="shared" si="3570"/>
        <v>4.41098784997358</v>
      </c>
      <c r="W860" s="181">
        <v>3145</v>
      </c>
      <c r="X860" s="9">
        <f t="shared" si="3570"/>
        <v>5.3460172841160301</v>
      </c>
      <c r="Y860" s="181">
        <v>3276.1</v>
      </c>
      <c r="Z860" s="9">
        <f t="shared" si="3570"/>
        <v>9.4587370531239401</v>
      </c>
      <c r="AA860" s="181">
        <v>3219.3</v>
      </c>
      <c r="AB860" s="9">
        <f t="shared" si="3573"/>
        <v>6.5711069915254257</v>
      </c>
      <c r="AC860" s="181">
        <v>3173.7</v>
      </c>
      <c r="AD860" s="9">
        <f t="shared" si="3574"/>
        <v>0.35732355173286123</v>
      </c>
      <c r="AE860" s="181">
        <v>3175.6</v>
      </c>
      <c r="AF860" s="9">
        <f t="shared" si="3576"/>
        <v>0.97297297297296836</v>
      </c>
      <c r="AG860" s="181">
        <v>3380.2</v>
      </c>
      <c r="AH860" s="9">
        <f t="shared" si="3577"/>
        <v>3.1775586825798996</v>
      </c>
      <c r="AI860" s="181">
        <v>3430.8</v>
      </c>
      <c r="AJ860" s="9">
        <f t="shared" si="3579"/>
        <v>6.5697511881464834</v>
      </c>
      <c r="AK860" s="181">
        <v>3452.2</v>
      </c>
      <c r="AL860" s="9">
        <f t="shared" si="3580"/>
        <v>8.7752465576456586</v>
      </c>
      <c r="AM860" s="181">
        <v>3481.4</v>
      </c>
      <c r="AN860" s="9">
        <f t="shared" si="3582"/>
        <v>9.6296762816475763</v>
      </c>
      <c r="AO860" s="181">
        <v>3540.7</v>
      </c>
      <c r="AP860" s="9">
        <f t="shared" si="3583"/>
        <v>4.7482397491272792</v>
      </c>
      <c r="AQ860" s="179">
        <f t="shared" ref="AQ860" si="3606">AO860-(AQ525)</f>
        <v>3580.9290847274688</v>
      </c>
      <c r="AR860" s="9">
        <f t="shared" si="3585"/>
        <v>4.3759206228129983</v>
      </c>
      <c r="AS860" s="179">
        <f t="shared" ref="AS860" si="3607">AQ860-(AS525)</f>
        <v>3621.6108358229894</v>
      </c>
      <c r="AT860" s="9">
        <f t="shared" si="3586"/>
        <v>4.907329697670761</v>
      </c>
      <c r="AU860" s="179">
        <f t="shared" ref="AU860" si="3608">AS860-(AU525)</f>
        <v>3662.8034104305448</v>
      </c>
      <c r="AV860" s="9">
        <f t="shared" si="3587"/>
        <v>5.2106454423664275</v>
      </c>
      <c r="AW860" s="179">
        <f t="shared" ref="AW860" si="3609">AU860-(AW525)</f>
        <v>3704.4128129752171</v>
      </c>
      <c r="AX860" s="9">
        <f t="shared" si="3588"/>
        <v>4.6237414346094567</v>
      </c>
      <c r="AY860" s="297"/>
      <c r="AZ860" s="178"/>
      <c r="BA860" s="9" t="str">
        <f>IF(ISERROR(#REF!/#REF!),"NA",IF(OR(#REF!/#REF!&gt;2,#REF!/#REF!&lt;0.5),"NM",#REF!/#REF!*100-100))</f>
        <v>NA</v>
      </c>
      <c r="BB860" s="179">
        <f t="shared" si="3589"/>
        <v>3162.4</v>
      </c>
      <c r="BC860" s="9" t="str">
        <f>IF(ISERROR(BB860/#REF!),"NA",IF(OR(BB860/#REF!&gt;2,BB860/#REF!&lt;0.5),"NM",BB860/#REF!*100-100))</f>
        <v>NA</v>
      </c>
      <c r="BD860" s="976">
        <f t="shared" si="3590"/>
        <v>3145</v>
      </c>
      <c r="BE860" s="9">
        <f t="shared" si="3591"/>
        <v>-0.55021502656209975</v>
      </c>
      <c r="BF860" s="179">
        <f t="shared" si="3592"/>
        <v>3276.1</v>
      </c>
      <c r="BG860" s="9">
        <f t="shared" si="3591"/>
        <v>4.1685214626391058</v>
      </c>
      <c r="BH860" s="179">
        <f t="shared" si="3593"/>
        <v>3380.2</v>
      </c>
      <c r="BI860" s="9">
        <f t="shared" si="3591"/>
        <v>3.1775586825798996</v>
      </c>
      <c r="BJ860" s="179">
        <f t="shared" si="3594"/>
        <v>3540.7</v>
      </c>
      <c r="BK860" s="9">
        <f t="shared" si="3591"/>
        <v>4.7482397491272792</v>
      </c>
      <c r="BL860" s="179">
        <f t="shared" si="3595"/>
        <v>3704.4128129752171</v>
      </c>
      <c r="BM860" s="9">
        <f t="shared" si="3591"/>
        <v>4.6237414346094567</v>
      </c>
      <c r="BN860" s="737">
        <f>BL860-(BN525)</f>
        <v>3887.098738823609</v>
      </c>
      <c r="BO860" s="9">
        <f t="shared" si="3591"/>
        <v>4.93157580085321</v>
      </c>
      <c r="BP860" s="737">
        <f>BN860-(BP525)</f>
        <v>4078.0783698315795</v>
      </c>
      <c r="BQ860" s="9">
        <f t="shared" si="3591"/>
        <v>4.9131664472657093</v>
      </c>
      <c r="BR860" s="737">
        <f>BP860-(BR525)</f>
        <v>4277.7520404836687</v>
      </c>
      <c r="BS860" s="9">
        <f t="shared" si="3591"/>
        <v>4.8962685986913925</v>
      </c>
      <c r="BT860" s="737">
        <f>BR860-(BT525)</f>
        <v>4486.5408770587374</v>
      </c>
      <c r="BU860" s="9">
        <f t="shared" si="3596"/>
        <v>4.8808073632865785</v>
      </c>
      <c r="BV860" s="43">
        <f t="shared" si="3597"/>
        <v>4.8490499443793578</v>
      </c>
      <c r="BW860" s="180"/>
      <c r="BX860" s="180"/>
      <c r="BY860"/>
      <c r="BZ860"/>
      <c r="CA860"/>
      <c r="CB860"/>
      <c r="CC860"/>
      <c r="CD860"/>
    </row>
    <row r="861" spans="1:83" s="2" customFormat="1" ht="12.75" customHeight="1" x14ac:dyDescent="0.2">
      <c r="A861" s="7"/>
      <c r="B861" s="7" t="s">
        <v>120</v>
      </c>
      <c r="C861" s="181">
        <v>120906.1</v>
      </c>
      <c r="D861" s="9" t="str">
        <f>IF(ISERROR(C861/#REF!),"NA",IF(OR(C861/#REF!&gt;2,C861/#REF!&lt;0.5),"NM",C861/#REF!*100-100))</f>
        <v>NA</v>
      </c>
      <c r="E861" s="181">
        <v>118740.2</v>
      </c>
      <c r="F861" s="9" t="str">
        <f>IF(ISERROR(E861/#REF!),"NA",IF(OR(E861/#REF!&gt;2,E861/#REF!&lt;0.5),"NM",E861/#REF!*100-100))</f>
        <v>NA</v>
      </c>
      <c r="G861" s="181">
        <v>123800.5</v>
      </c>
      <c r="H861" s="9" t="str">
        <f>IF(ISERROR(G861/#REF!),"NA",IF(OR(G861/#REF!&gt;2,G861/#REF!&lt;0.5),"NM",G861/#REF!*100-100))</f>
        <v>NA</v>
      </c>
      <c r="I861" s="181">
        <v>130018.4</v>
      </c>
      <c r="J861" s="9" t="str">
        <f>IF(ISERROR(I861/#REF!),"NA",IF(OR(I861/#REF!&gt;2,I861/#REF!&lt;0.5),"NM",I861/#REF!*100-100))</f>
        <v>NA</v>
      </c>
      <c r="K861" s="181">
        <v>132804.6</v>
      </c>
      <c r="L861" s="9">
        <f t="shared" si="3569"/>
        <v>9.841108099591338</v>
      </c>
      <c r="M861" s="181">
        <v>139088</v>
      </c>
      <c r="N861" s="9">
        <f t="shared" si="3570"/>
        <v>17.136403677945651</v>
      </c>
      <c r="O861" s="181">
        <v>138296.70000000001</v>
      </c>
      <c r="P861" s="9">
        <f t="shared" si="3570"/>
        <v>11.70932266024775</v>
      </c>
      <c r="Q861" s="181">
        <v>140072.79999999999</v>
      </c>
      <c r="R861" s="9">
        <f t="shared" si="3570"/>
        <v>7.7330593208345846</v>
      </c>
      <c r="S861" s="181">
        <v>143505.20000000001</v>
      </c>
      <c r="T861" s="9">
        <f t="shared" si="3570"/>
        <v>8.0574016261485042</v>
      </c>
      <c r="U861" s="181">
        <v>142993.60000000001</v>
      </c>
      <c r="V861" s="9">
        <f t="shared" si="3570"/>
        <v>2.8080064419647925</v>
      </c>
      <c r="W861" s="181">
        <v>134045.79999999999</v>
      </c>
      <c r="X861" s="9">
        <f t="shared" si="3570"/>
        <v>-3.0737537482817885</v>
      </c>
      <c r="Y861" s="181">
        <v>136978.9</v>
      </c>
      <c r="Z861" s="9">
        <f t="shared" si="3570"/>
        <v>-2.2087800058255453</v>
      </c>
      <c r="AA861" s="181">
        <v>132325.9</v>
      </c>
      <c r="AB861" s="9">
        <f t="shared" si="3573"/>
        <v>-7.7901706697736586</v>
      </c>
      <c r="AC861" s="181">
        <v>134736</v>
      </c>
      <c r="AD861" s="9">
        <f t="shared" si="3574"/>
        <v>-5.7748039073077422</v>
      </c>
      <c r="AE861" s="181">
        <v>141120.29999999999</v>
      </c>
      <c r="AF861" s="9">
        <f t="shared" si="3576"/>
        <v>5.2776737503151878</v>
      </c>
      <c r="AG861" s="181">
        <v>139832.6</v>
      </c>
      <c r="AH861" s="9">
        <f t="shared" si="3577"/>
        <v>2.0833135614317371</v>
      </c>
      <c r="AI861" s="181">
        <v>146374.70000000001</v>
      </c>
      <c r="AJ861" s="9">
        <f t="shared" si="3579"/>
        <v>10.616818022775604</v>
      </c>
      <c r="AK861" s="181">
        <v>149347.9</v>
      </c>
      <c r="AL861" s="9">
        <f t="shared" si="3580"/>
        <v>10.844837311483204</v>
      </c>
      <c r="AM861" s="181">
        <v>154085.9</v>
      </c>
      <c r="AN861" s="9">
        <f t="shared" si="3582"/>
        <v>9.1876221918462591</v>
      </c>
      <c r="AO861" s="181">
        <v>159272.70000000001</v>
      </c>
      <c r="AP861" s="9">
        <f t="shared" si="3583"/>
        <v>13.902409023360789</v>
      </c>
      <c r="AQ861" s="179">
        <f>(AQ40+AQ90+AQ159+AQ302)*AQ866/100</f>
        <v>158766.65477782275</v>
      </c>
      <c r="AR861" s="9">
        <f t="shared" si="3585"/>
        <v>8.465913014901318</v>
      </c>
      <c r="AS861" s="179">
        <f>(AS40+AS90+AS159+AS302)*AS866/100</f>
        <v>160757.38925907578</v>
      </c>
      <c r="AT861" s="9">
        <f t="shared" si="3586"/>
        <v>7.6395377900029189</v>
      </c>
      <c r="AU861" s="179">
        <f>(AU40+AU90+AU159+AU302)*AU866/100</f>
        <v>162726.61684888968</v>
      </c>
      <c r="AV861" s="9">
        <f t="shared" si="3587"/>
        <v>5.6077271501738153</v>
      </c>
      <c r="AW861" s="179">
        <f>(AW40+AW90+AW159+AW302)*AW866/100</f>
        <v>164514.00023539926</v>
      </c>
      <c r="AX861" s="9">
        <f t="shared" si="3588"/>
        <v>3.2907712592297571</v>
      </c>
      <c r="AY861" s="297"/>
      <c r="AZ861" s="178"/>
      <c r="BA861" s="9" t="str">
        <f>IF(ISERROR(#REF!/#REF!),"NA",IF(OR(#REF!/#REF!&gt;2,#REF!/#REF!&lt;0.5),"NM",#REF!/#REF!*100-100))</f>
        <v>NA</v>
      </c>
      <c r="BB861" s="179">
        <f t="shared" si="3589"/>
        <v>142993.60000000001</v>
      </c>
      <c r="BC861" s="9" t="str">
        <f>IF(ISERROR(BB861/#REF!),"NA",IF(OR(BB861/#REF!&gt;2,BB861/#REF!&lt;0.5),"NM",BB861/#REF!*100-100))</f>
        <v>NA</v>
      </c>
      <c r="BD861" s="976">
        <f t="shared" si="3590"/>
        <v>134045.79999999999</v>
      </c>
      <c r="BE861" s="9">
        <f t="shared" si="3591"/>
        <v>-6.257482852379411</v>
      </c>
      <c r="BF861" s="179">
        <f t="shared" si="3592"/>
        <v>136978.9</v>
      </c>
      <c r="BG861" s="9">
        <f t="shared" si="3591"/>
        <v>2.1881327128488977</v>
      </c>
      <c r="BH861" s="179">
        <f t="shared" si="3593"/>
        <v>139832.6</v>
      </c>
      <c r="BI861" s="9">
        <f t="shared" si="3591"/>
        <v>2.0833135614317371</v>
      </c>
      <c r="BJ861" s="179">
        <f t="shared" si="3594"/>
        <v>159272.70000000001</v>
      </c>
      <c r="BK861" s="9">
        <f t="shared" si="3591"/>
        <v>13.902409023360789</v>
      </c>
      <c r="BL861" s="179">
        <f t="shared" si="3595"/>
        <v>164514.00023539926</v>
      </c>
      <c r="BM861" s="9">
        <f t="shared" si="3591"/>
        <v>3.2907712592297571</v>
      </c>
      <c r="BN861" s="737">
        <f>(BN40+BN90+BN159+BN302)*BN866/100</f>
        <v>164229.25776040679</v>
      </c>
      <c r="BO861" s="9">
        <f t="shared" si="3591"/>
        <v>-0.17308099893324425</v>
      </c>
      <c r="BP861" s="737">
        <f>(BP40+BP90+BP159+BP302)*BP866/100</f>
        <v>163067.54944058327</v>
      </c>
      <c r="BQ861" s="9">
        <f t="shared" si="3591"/>
        <v>-0.70736988991227179</v>
      </c>
      <c r="BR861" s="737">
        <f>(BR40+BR90+BR159+BR302)*BR866/100</f>
        <v>161005.81947633458</v>
      </c>
      <c r="BS861" s="9">
        <f t="shared" si="3591"/>
        <v>-1.2643410484315325</v>
      </c>
      <c r="BT861" s="737">
        <f>(BT40+BT90+BT159+BT302)*BT866/100</f>
        <v>157999.3434655499</v>
      </c>
      <c r="BU861" s="9">
        <f t="shared" si="3596"/>
        <v>-1.8673089088103438</v>
      </c>
      <c r="BV861" s="43">
        <f t="shared" si="3597"/>
        <v>-0.16041019964878611</v>
      </c>
      <c r="BW861" s="180"/>
      <c r="BX861" s="180"/>
      <c r="BY861"/>
      <c r="BZ861"/>
      <c r="CA861"/>
      <c r="CB861"/>
      <c r="CC861"/>
      <c r="CD861"/>
    </row>
    <row r="862" spans="1:83" s="2" customFormat="1" ht="12.75" customHeight="1" x14ac:dyDescent="0.2">
      <c r="B862" s="7" t="s">
        <v>121</v>
      </c>
      <c r="C862" s="179">
        <f>C863-SUM(C858:C861)</f>
        <v>7094.4999999999709</v>
      </c>
      <c r="D862" s="9" t="str">
        <f>IF(ISERROR(C862/#REF!),"NA",IF(OR(C862/#REF!&gt;2,C862/#REF!&lt;0.5),"NM",C862/#REF!*100-100))</f>
        <v>NA</v>
      </c>
      <c r="E862" s="179">
        <f>E863-SUM(E858:E861)</f>
        <v>7066.1000000000349</v>
      </c>
      <c r="F862" s="9" t="str">
        <f>IF(ISERROR(E862/#REF!),"NA",IF(OR(E862/#REF!&gt;2,E862/#REF!&lt;0.5),"NM",E862/#REF!*100-100))</f>
        <v>NA</v>
      </c>
      <c r="G862" s="179">
        <f>G863-SUM(G858:G861)</f>
        <v>7628.6999999999825</v>
      </c>
      <c r="H862" s="9" t="str">
        <f>IF(ISERROR(G862/#REF!),"NA",IF(OR(G862/#REF!&gt;2,G862/#REF!&lt;0.5),"NM",G862/#REF!*100-100))</f>
        <v>NA</v>
      </c>
      <c r="I862" s="179">
        <f>I863-SUM(I858:I861)</f>
        <v>8155.8999999999942</v>
      </c>
      <c r="J862" s="9" t="str">
        <f>IF(ISERROR(I862/#REF!),"NA",IF(OR(I862/#REF!&gt;2,I862/#REF!&lt;0.5),"NM",I862/#REF!*100-100))</f>
        <v>NA</v>
      </c>
      <c r="K862" s="179">
        <f>K863-SUM(K858:K861)</f>
        <v>6874.7999999999593</v>
      </c>
      <c r="L862" s="9">
        <f t="shared" si="3569"/>
        <v>-3.0967650997253173</v>
      </c>
      <c r="M862" s="179">
        <f>M863-SUM(M858:M861)</f>
        <v>6991.7000000000116</v>
      </c>
      <c r="N862" s="9">
        <f t="shared" si="3570"/>
        <v>-1.0529146205123396</v>
      </c>
      <c r="O862" s="179">
        <f>O863-SUM(O858:O861)</f>
        <v>6665.6999999999825</v>
      </c>
      <c r="P862" s="9">
        <f t="shared" si="3570"/>
        <v>-12.623382751976123</v>
      </c>
      <c r="Q862" s="179">
        <f>Q863-SUM(Q858:Q861)</f>
        <v>7537</v>
      </c>
      <c r="R862" s="9">
        <f t="shared" si="3570"/>
        <v>-7.5883716082835093</v>
      </c>
      <c r="S862" s="179">
        <f>S863-SUM(S858:S861)</f>
        <v>7078.3999999999942</v>
      </c>
      <c r="T862" s="9">
        <f t="shared" si="3570"/>
        <v>2.96154069936631</v>
      </c>
      <c r="U862" s="179">
        <f t="shared" ref="U862" si="3610">U863-SUM(U858:U861)</f>
        <v>8264.7000000000116</v>
      </c>
      <c r="V862" s="9">
        <f t="shared" si="3570"/>
        <v>18.207302944920372</v>
      </c>
      <c r="W862" s="179">
        <f t="shared" ref="W862:Y862" si="3611">W863-SUM(W858:W861)</f>
        <v>9133.5</v>
      </c>
      <c r="X862" s="9">
        <f t="shared" si="3570"/>
        <v>37.022368243395647</v>
      </c>
      <c r="Y862" s="179">
        <f t="shared" si="3611"/>
        <v>9492.8999999999942</v>
      </c>
      <c r="Z862" s="9">
        <f t="shared" si="3570"/>
        <v>25.950643492105542</v>
      </c>
      <c r="AA862" s="179">
        <f t="shared" ref="AA862:AC862" si="3612">AA863-SUM(AA858:AA861)</f>
        <v>8573.4000000000233</v>
      </c>
      <c r="AB862" s="9">
        <f t="shared" si="3573"/>
        <v>21.120592224231885</v>
      </c>
      <c r="AC862" s="179">
        <f t="shared" si="3612"/>
        <v>8496.4000000000233</v>
      </c>
      <c r="AD862" s="9">
        <f t="shared" si="3574"/>
        <v>2.8034895398503465</v>
      </c>
      <c r="AE862" s="179">
        <f t="shared" ref="AE862:AG862" si="3613">AE863-SUM(AE858:AE861)</f>
        <v>8221.3999999999942</v>
      </c>
      <c r="AF862" s="9">
        <f t="shared" si="3576"/>
        <v>-9.9863141183555655</v>
      </c>
      <c r="AG862" s="179">
        <f t="shared" si="3613"/>
        <v>9641.1999999999825</v>
      </c>
      <c r="AH862" s="9">
        <f t="shared" si="3577"/>
        <v>1.5622201856122757</v>
      </c>
      <c r="AI862" s="179">
        <f t="shared" ref="AI862:AK862" si="3614">AI863-SUM(AI858:AI861)</f>
        <v>8333.5999999999767</v>
      </c>
      <c r="AJ862" s="9">
        <f t="shared" si="3579"/>
        <v>-2.7970233512964029</v>
      </c>
      <c r="AK862" s="179">
        <f t="shared" si="3614"/>
        <v>8419.3999999999942</v>
      </c>
      <c r="AL862" s="9">
        <f t="shared" si="3580"/>
        <v>-0.90626618332504449</v>
      </c>
      <c r="AM862" s="179">
        <f t="shared" ref="AM862:AO862" si="3615">AM863-SUM(AM858:AM861)</f>
        <v>9115.9000000000233</v>
      </c>
      <c r="AN862" s="9">
        <f t="shared" si="3582"/>
        <v>10.88014206826125</v>
      </c>
      <c r="AO862" s="179">
        <f t="shared" si="3615"/>
        <v>8859.6000000000058</v>
      </c>
      <c r="AP862" s="9">
        <f t="shared" si="3583"/>
        <v>-8.1068746629048007</v>
      </c>
      <c r="AQ862" s="181">
        <f t="shared" ref="AQ862" si="3616">AO862*(1+(0.01/4))</f>
        <v>8881.7490000000053</v>
      </c>
      <c r="AR862" s="9">
        <f t="shared" si="3585"/>
        <v>6.5775775175197992</v>
      </c>
      <c r="AS862" s="181">
        <f t="shared" ref="AS862" si="3617">AQ862*(1+(0.01/4))</f>
        <v>8903.9533725000056</v>
      </c>
      <c r="AT862" s="9">
        <f t="shared" si="3586"/>
        <v>5.7552007565861061</v>
      </c>
      <c r="AU862" s="181">
        <f t="shared" ref="AU862" si="3618">AS862*(1+(0.01/4))</f>
        <v>8926.2132559312558</v>
      </c>
      <c r="AV862" s="9">
        <f t="shared" si="3587"/>
        <v>-2.0808339721669569</v>
      </c>
      <c r="AW862" s="181">
        <f t="shared" ref="AW862" si="3619">AU862*(1+(0.01/4))</f>
        <v>8948.5287890710842</v>
      </c>
      <c r="AX862" s="9">
        <f t="shared" si="3588"/>
        <v>1.0037562539062463</v>
      </c>
      <c r="AY862" s="297"/>
      <c r="AZ862" s="178"/>
      <c r="BA862" s="9" t="str">
        <f>IF(ISERROR(#REF!/#REF!),"NA",IF(OR(#REF!/#REF!&gt;2,#REF!/#REF!&lt;0.5),"NM",#REF!/#REF!*100-100))</f>
        <v>NA</v>
      </c>
      <c r="BB862" s="179">
        <f t="shared" si="3589"/>
        <v>8264.7000000000116</v>
      </c>
      <c r="BC862" s="9" t="str">
        <f>IF(ISERROR(BB862/#REF!),"NA",IF(OR(BB862/#REF!&gt;2,BB862/#REF!&lt;0.5),"NM",BB862/#REF!*100-100))</f>
        <v>NA</v>
      </c>
      <c r="BD862" s="976">
        <f t="shared" si="3590"/>
        <v>9133.5</v>
      </c>
      <c r="BE862" s="9">
        <f t="shared" si="3591"/>
        <v>10.512178300482617</v>
      </c>
      <c r="BF862" s="179">
        <f t="shared" si="3592"/>
        <v>9492.8999999999942</v>
      </c>
      <c r="BG862" s="9">
        <f t="shared" si="3591"/>
        <v>3.9349646904252893</v>
      </c>
      <c r="BH862" s="179">
        <f t="shared" si="3593"/>
        <v>9641.1999999999825</v>
      </c>
      <c r="BI862" s="9">
        <f t="shared" si="3591"/>
        <v>1.5622201856122757</v>
      </c>
      <c r="BJ862" s="179">
        <f t="shared" si="3594"/>
        <v>8859.6000000000058</v>
      </c>
      <c r="BK862" s="9">
        <f t="shared" si="3591"/>
        <v>-8.1068746629048007</v>
      </c>
      <c r="BL862" s="179">
        <f t="shared" si="3595"/>
        <v>8948.5287890710842</v>
      </c>
      <c r="BM862" s="9">
        <f t="shared" si="3591"/>
        <v>1.0037562539062463</v>
      </c>
      <c r="BN862" s="736">
        <f>BL862*(1+(0.03/4))</f>
        <v>9015.6427549891177</v>
      </c>
      <c r="BO862" s="9">
        <f t="shared" si="3591"/>
        <v>0.75</v>
      </c>
      <c r="BP862" s="736">
        <f>BN862*(1+(0.03/4))</f>
        <v>9083.2600756515367</v>
      </c>
      <c r="BQ862" s="9">
        <f t="shared" si="3591"/>
        <v>0.75</v>
      </c>
      <c r="BR862" s="736">
        <f>BP862*(1+(0.03/4))</f>
        <v>9151.3845262189243</v>
      </c>
      <c r="BS862" s="9">
        <f t="shared" si="3591"/>
        <v>0.75</v>
      </c>
      <c r="BT862" s="736">
        <f>BR862*(1+(0.03/4))</f>
        <v>9220.0199101655671</v>
      </c>
      <c r="BU862" s="9">
        <f t="shared" si="3596"/>
        <v>0.75</v>
      </c>
      <c r="BV862" s="43">
        <f t="shared" si="3597"/>
        <v>0.80070019760181133</v>
      </c>
      <c r="BW862" s="180"/>
      <c r="BX862" s="180"/>
      <c r="BY862"/>
      <c r="BZ862"/>
      <c r="CA862"/>
      <c r="CB862"/>
      <c r="CC862"/>
      <c r="CD862"/>
    </row>
    <row r="863" spans="1:83" s="2" customFormat="1" ht="12.75" customHeight="1" x14ac:dyDescent="0.2">
      <c r="A863" s="7"/>
      <c r="B863" s="7" t="s">
        <v>279</v>
      </c>
      <c r="C863" s="181">
        <v>200762.9</v>
      </c>
      <c r="D863" s="9" t="str">
        <f>IF(ISERROR(C863/#REF!),"NA",IF(OR(C863/#REF!&gt;2,C863/#REF!&lt;0.5),"NM",C863/#REF!*100-100))</f>
        <v>NA</v>
      </c>
      <c r="E863" s="181">
        <v>196512.7</v>
      </c>
      <c r="F863" s="9" t="str">
        <f>IF(ISERROR(E863/#REF!),"NA",IF(OR(E863/#REF!&gt;2,E863/#REF!&lt;0.5),"NM",E863/#REF!*100-100))</f>
        <v>NA</v>
      </c>
      <c r="G863" s="181">
        <v>201687.4</v>
      </c>
      <c r="H863" s="9" t="str">
        <f>IF(ISERROR(G863/#REF!),"NA",IF(OR(G863/#REF!&gt;2,G863/#REF!&lt;0.5),"NM",G863/#REF!*100-100))</f>
        <v>NA</v>
      </c>
      <c r="I863" s="181">
        <v>208191.4</v>
      </c>
      <c r="J863" s="9" t="str">
        <f>IF(ISERROR(I863/#REF!),"NA",IF(OR(I863/#REF!&gt;2,I863/#REF!&lt;0.5),"NM",I863/#REF!*100-100))</f>
        <v>NA</v>
      </c>
      <c r="K863" s="181">
        <v>211193.9</v>
      </c>
      <c r="L863" s="9">
        <f t="shared" si="3569"/>
        <v>5.1956810745411559</v>
      </c>
      <c r="M863" s="181">
        <v>218322.3</v>
      </c>
      <c r="N863" s="9">
        <f t="shared" si="3570"/>
        <v>11.098315783152927</v>
      </c>
      <c r="O863" s="181">
        <v>216422.8</v>
      </c>
      <c r="P863" s="9">
        <f t="shared" si="3570"/>
        <v>7.3060587820557856</v>
      </c>
      <c r="Q863" s="181">
        <v>219087</v>
      </c>
      <c r="R863" s="9">
        <f t="shared" si="3570"/>
        <v>5.2334534471644787</v>
      </c>
      <c r="S863" s="181">
        <v>222494.9</v>
      </c>
      <c r="T863" s="9">
        <f t="shared" si="3570"/>
        <v>5.351006823587241</v>
      </c>
      <c r="U863" s="181">
        <v>222270.7</v>
      </c>
      <c r="V863" s="9">
        <f t="shared" si="3570"/>
        <v>1.8085188732438269</v>
      </c>
      <c r="W863" s="181">
        <v>215365.4</v>
      </c>
      <c r="X863" s="9">
        <f t="shared" si="3570"/>
        <v>-0.48858068558395473</v>
      </c>
      <c r="Y863" s="181">
        <v>218685.9</v>
      </c>
      <c r="Z863" s="9">
        <f t="shared" si="3570"/>
        <v>-0.18307795533280569</v>
      </c>
      <c r="AA863" s="181">
        <v>217570</v>
      </c>
      <c r="AB863" s="9">
        <f t="shared" si="3573"/>
        <v>-2.2134889383981289</v>
      </c>
      <c r="AC863" s="181">
        <v>223074.2</v>
      </c>
      <c r="AD863" s="9">
        <f t="shared" si="3574"/>
        <v>0.36149613961713101</v>
      </c>
      <c r="AE863" s="181">
        <v>230367.6</v>
      </c>
      <c r="AF863" s="9">
        <f t="shared" si="3576"/>
        <v>6.9659286032018173</v>
      </c>
      <c r="AG863" s="181">
        <v>228014.3</v>
      </c>
      <c r="AH863" s="9">
        <f t="shared" si="3577"/>
        <v>4.2656613892345234</v>
      </c>
      <c r="AI863" s="181">
        <v>235496</v>
      </c>
      <c r="AJ863" s="9">
        <f t="shared" si="3579"/>
        <v>8.2391873879670925</v>
      </c>
      <c r="AK863" s="181">
        <v>240153.9</v>
      </c>
      <c r="AL863" s="9">
        <f t="shared" si="3580"/>
        <v>7.6565107036134208</v>
      </c>
      <c r="AM863" s="181">
        <v>247933.6</v>
      </c>
      <c r="AN863" s="9">
        <f t="shared" si="3582"/>
        <v>7.6252042387905163</v>
      </c>
      <c r="AO863" s="181">
        <v>253941.2</v>
      </c>
      <c r="AP863" s="9">
        <f t="shared" si="3583"/>
        <v>11.370734203951244</v>
      </c>
      <c r="AQ863" s="179">
        <f t="shared" ref="AQ863:AW863" si="3620">SUM(AQ858:AQ862)</f>
        <v>255098.53551255024</v>
      </c>
      <c r="AR863" s="9">
        <f t="shared" si="3585"/>
        <v>8.3239356560409732</v>
      </c>
      <c r="AS863" s="179">
        <f t="shared" si="3620"/>
        <v>258784.37831907376</v>
      </c>
      <c r="AT863" s="9">
        <f t="shared" si="3586"/>
        <v>7.7577246586767075</v>
      </c>
      <c r="AU863" s="179">
        <f t="shared" si="3620"/>
        <v>262481.10890153417</v>
      </c>
      <c r="AV863" s="9">
        <f t="shared" si="3587"/>
        <v>5.8675019850210646</v>
      </c>
      <c r="AW863" s="179">
        <f t="shared" si="3620"/>
        <v>266028.91674376075</v>
      </c>
      <c r="AX863" s="9">
        <f t="shared" si="3588"/>
        <v>4.760045531706055</v>
      </c>
      <c r="AY863" s="297"/>
      <c r="AZ863" s="178"/>
      <c r="BA863" s="9" t="str">
        <f>IF(ISERROR(#REF!/#REF!),"NA",IF(OR(#REF!/#REF!&gt;2,#REF!/#REF!&lt;0.5),"NM",#REF!/#REF!*100-100))</f>
        <v>NA</v>
      </c>
      <c r="BB863" s="179">
        <f>SUM(BB858:BB862)</f>
        <v>222270.7</v>
      </c>
      <c r="BC863" s="9" t="str">
        <f>IF(ISERROR(BB863/#REF!),"NA",IF(OR(BB863/#REF!&gt;2,BB863/#REF!&lt;0.5),"NM",BB863/#REF!*100-100))</f>
        <v>NA</v>
      </c>
      <c r="BD863" s="976">
        <f>SUM(BD858:BD862)</f>
        <v>215365.4</v>
      </c>
      <c r="BE863" s="9">
        <f t="shared" si="3591"/>
        <v>-3.1067072718086592</v>
      </c>
      <c r="BF863" s="179">
        <f>SUM(BF858:BF862)</f>
        <v>218685.9</v>
      </c>
      <c r="BG863" s="9">
        <f t="shared" si="3591"/>
        <v>1.5417982647166042</v>
      </c>
      <c r="BH863" s="179">
        <f>SUM(BH858:BH862)</f>
        <v>228014.3</v>
      </c>
      <c r="BI863" s="9">
        <f t="shared" si="3591"/>
        <v>4.2656613892345234</v>
      </c>
      <c r="BJ863" s="179">
        <f>SUM(BJ858:BJ862)</f>
        <v>253941.2</v>
      </c>
      <c r="BK863" s="9">
        <f t="shared" si="3591"/>
        <v>11.370734203951244</v>
      </c>
      <c r="BL863" s="179">
        <f>SUM(BL858:BL862)</f>
        <v>266028.91674376075</v>
      </c>
      <c r="BM863" s="9">
        <f t="shared" si="3591"/>
        <v>4.760045531706055</v>
      </c>
      <c r="BN863" s="737">
        <f>SUM(BN858:BN862)</f>
        <v>273089.69215303991</v>
      </c>
      <c r="BO863" s="9">
        <f t="shared" si="3591"/>
        <v>2.6541383153772387</v>
      </c>
      <c r="BP863" s="737">
        <f>SUM(BP858:BP862)</f>
        <v>279849.9562167924</v>
      </c>
      <c r="BQ863" s="9">
        <f t="shared" si="3591"/>
        <v>2.4754739039963596</v>
      </c>
      <c r="BR863" s="737">
        <f>SUM(BR858:BR862)</f>
        <v>286332.46984022134</v>
      </c>
      <c r="BS863" s="9">
        <f t="shared" si="3591"/>
        <v>2.3164247409805228</v>
      </c>
      <c r="BT863" s="737">
        <f>SUM(BT858:BT862)</f>
        <v>292541.97915373312</v>
      </c>
      <c r="BU863" s="9">
        <f t="shared" si="3596"/>
        <v>2.168636102282349</v>
      </c>
      <c r="BV863" s="43">
        <f t="shared" si="3597"/>
        <v>2.8705366725026327</v>
      </c>
      <c r="BW863" s="180"/>
      <c r="BX863" s="180"/>
      <c r="BY863"/>
      <c r="BZ863"/>
      <c r="CA863"/>
      <c r="CB863"/>
      <c r="CC863"/>
      <c r="CD863"/>
    </row>
    <row r="864" spans="1:83" s="2" customFormat="1" ht="12.75" customHeight="1" x14ac:dyDescent="0.2">
      <c r="B864" s="7" t="s">
        <v>280</v>
      </c>
      <c r="C864" s="179">
        <f>C863-C859</f>
        <v>200141.9</v>
      </c>
      <c r="D864" s="9" t="str">
        <f>IF(ISERROR(C864/#REF!),"NA",IF(OR(C864/#REF!&gt;2,C864/#REF!&lt;0.5),"NM",C864/#REF!*100-100))</f>
        <v>NA</v>
      </c>
      <c r="E864" s="179">
        <f>E863-E859</f>
        <v>196513.2</v>
      </c>
      <c r="F864" s="9" t="str">
        <f>IF(ISERROR(E864/#REF!),"NA",IF(OR(E864/#REF!&gt;2,E864/#REF!&lt;0.5),"NM",E864/#REF!*100-100))</f>
        <v>NA</v>
      </c>
      <c r="G864" s="179">
        <f>G863-G859</f>
        <v>201705.1</v>
      </c>
      <c r="H864" s="9" t="str">
        <f>IF(ISERROR(G864/#REF!),"NA",IF(OR(G864/#REF!&gt;2,G864/#REF!&lt;0.5),"NM",G864/#REF!*100-100))</f>
        <v>NA</v>
      </c>
      <c r="I864" s="179">
        <f>I863-I859</f>
        <v>208008.19999999998</v>
      </c>
      <c r="J864" s="9" t="str">
        <f>IF(ISERROR(I864/#REF!),"NA",IF(OR(I864/#REF!&gt;2,I864/#REF!&lt;0.5),"NM",I864/#REF!*100-100))</f>
        <v>NA</v>
      </c>
      <c r="K864" s="179">
        <f>K863-K859</f>
        <v>210832.1</v>
      </c>
      <c r="L864" s="9">
        <f t="shared" si="3569"/>
        <v>5.3413103403135551</v>
      </c>
      <c r="M864" s="179">
        <f>M863-M859</f>
        <v>217722.9</v>
      </c>
      <c r="N864" s="9">
        <f t="shared" si="3570"/>
        <v>10.793015431024472</v>
      </c>
      <c r="O864" s="179">
        <f>O863-O859</f>
        <v>216042.69999999998</v>
      </c>
      <c r="P864" s="9">
        <f t="shared" si="3570"/>
        <v>7.1081990490076805</v>
      </c>
      <c r="Q864" s="179">
        <f>Q863-Q859</f>
        <v>219036.6</v>
      </c>
      <c r="R864" s="9">
        <f t="shared" si="3570"/>
        <v>5.3019063671528386</v>
      </c>
      <c r="S864" s="179">
        <f>S863-S859</f>
        <v>222466.9</v>
      </c>
      <c r="T864" s="9">
        <f t="shared" si="3570"/>
        <v>5.5185144956579251</v>
      </c>
      <c r="U864" s="179">
        <f>U863-U859</f>
        <v>222597.30000000002</v>
      </c>
      <c r="V864" s="9">
        <f t="shared" si="3570"/>
        <v>2.238809054996068</v>
      </c>
      <c r="W864" s="179">
        <f t="shared" ref="W864:Y864" si="3621">W863-W859</f>
        <v>215889.8</v>
      </c>
      <c r="X864" s="9">
        <f t="shared" si="3570"/>
        <v>-7.0773046254274163E-2</v>
      </c>
      <c r="Y864" s="179">
        <f t="shared" si="3621"/>
        <v>219568.4</v>
      </c>
      <c r="Z864" s="9">
        <f t="shared" si="3570"/>
        <v>0.24279047428603917</v>
      </c>
      <c r="AA864" s="179">
        <f t="shared" ref="AA864:AC864" si="3622">AA863-AA859</f>
        <v>217926.1</v>
      </c>
      <c r="AB864" s="9">
        <f t="shared" si="3573"/>
        <v>-2.0411126329355085</v>
      </c>
      <c r="AC864" s="179">
        <f t="shared" si="3622"/>
        <v>223093.5</v>
      </c>
      <c r="AD864" s="9">
        <f t="shared" si="3574"/>
        <v>0.22291375501859534</v>
      </c>
      <c r="AE864" s="179">
        <f t="shared" ref="AE864:AG864" si="3623">AE863-AE859</f>
        <v>230275.80000000002</v>
      </c>
      <c r="AF864" s="9">
        <f t="shared" si="3576"/>
        <v>6.6635848474546009</v>
      </c>
      <c r="AG864" s="179">
        <f t="shared" si="3623"/>
        <v>228689.5</v>
      </c>
      <c r="AH864" s="9">
        <f t="shared" si="3577"/>
        <v>4.1541041424904392</v>
      </c>
      <c r="AI864" s="179">
        <f t="shared" ref="AI864:AK864" si="3624">AI863-AI859</f>
        <v>235951.1</v>
      </c>
      <c r="AJ864" s="9">
        <f t="shared" si="3579"/>
        <v>8.2711524686579452</v>
      </c>
      <c r="AK864" s="179">
        <f t="shared" si="3624"/>
        <v>240270</v>
      </c>
      <c r="AL864" s="9">
        <f t="shared" si="3580"/>
        <v>7.6992382117811502</v>
      </c>
      <c r="AM864" s="179">
        <f t="shared" ref="AM864:AO864" si="3625">AM863-AM859</f>
        <v>247886.6</v>
      </c>
      <c r="AN864" s="9">
        <f t="shared" si="3582"/>
        <v>7.6476989766184573</v>
      </c>
      <c r="AO864" s="179">
        <f t="shared" si="3625"/>
        <v>253775.7</v>
      </c>
      <c r="AP864" s="9">
        <f t="shared" si="3583"/>
        <v>10.96954604387173</v>
      </c>
      <c r="AQ864" s="179">
        <f t="shared" ref="AQ864:AW864" si="3626">AQ863-AQ859</f>
        <v>254933.03551255024</v>
      </c>
      <c r="AR864" s="9">
        <f t="shared" si="3585"/>
        <v>8.0448599360419308</v>
      </c>
      <c r="AS864" s="179">
        <f t="shared" si="3626"/>
        <v>258618.87831907376</v>
      </c>
      <c r="AT864" s="9">
        <f t="shared" si="3586"/>
        <v>7.6367745948615209</v>
      </c>
      <c r="AU864" s="179">
        <f t="shared" si="3626"/>
        <v>262315.60890153417</v>
      </c>
      <c r="AV864" s="9">
        <f t="shared" si="3587"/>
        <v>5.8208103630991559</v>
      </c>
      <c r="AW864" s="179">
        <f t="shared" si="3626"/>
        <v>265863.41674376075</v>
      </c>
      <c r="AX864" s="9">
        <f t="shared" si="3588"/>
        <v>4.7631497987241147</v>
      </c>
      <c r="AY864" s="297"/>
      <c r="AZ864" s="178"/>
      <c r="BA864" s="9" t="str">
        <f>IF(ISERROR(#REF!/#REF!),"NA",IF(OR(#REF!/#REF!&gt;2,#REF!/#REF!&lt;0.5),"NM",#REF!/#REF!*100-100))</f>
        <v>NA</v>
      </c>
      <c r="BB864" s="179">
        <f>BB863-BB859</f>
        <v>222597.30000000002</v>
      </c>
      <c r="BC864" s="9" t="str">
        <f>IF(ISERROR(BB864/#REF!),"NA",IF(OR(BB864/#REF!&gt;2,BB864/#REF!&lt;0.5),"NM",BB864/#REF!*100-100))</f>
        <v>NA</v>
      </c>
      <c r="BD864" s="976">
        <f>BD863-BD859</f>
        <v>215889.8</v>
      </c>
      <c r="BE864" s="9">
        <f t="shared" si="3591"/>
        <v>-3.0132890201273881</v>
      </c>
      <c r="BF864" s="179">
        <f>BF863-BF859</f>
        <v>219568.4</v>
      </c>
      <c r="BG864" s="9">
        <f t="shared" si="3591"/>
        <v>1.7039248727823235</v>
      </c>
      <c r="BH864" s="179">
        <f>BH863-BH859</f>
        <v>228689.5</v>
      </c>
      <c r="BI864" s="9">
        <f t="shared" si="3591"/>
        <v>4.1541041424904392</v>
      </c>
      <c r="BJ864" s="179">
        <f>BJ863-BJ859</f>
        <v>253775.7</v>
      </c>
      <c r="BK864" s="9">
        <f t="shared" si="3591"/>
        <v>10.96954604387173</v>
      </c>
      <c r="BL864" s="179">
        <f>BL863-BL859</f>
        <v>265863.41674376075</v>
      </c>
      <c r="BM864" s="9">
        <f t="shared" si="3591"/>
        <v>4.7631497987241147</v>
      </c>
      <c r="BN864" s="737">
        <f>BN863-BN859</f>
        <v>272924.19215303991</v>
      </c>
      <c r="BO864" s="9">
        <f t="shared" si="3591"/>
        <v>2.6557905167089473</v>
      </c>
      <c r="BP864" s="737">
        <f>BP863-BP859</f>
        <v>279684.4562167924</v>
      </c>
      <c r="BQ864" s="9">
        <f t="shared" si="3591"/>
        <v>2.4769750202143115</v>
      </c>
      <c r="BR864" s="737">
        <f>BR863-BR859</f>
        <v>286166.96984022134</v>
      </c>
      <c r="BS864" s="9">
        <f t="shared" si="3591"/>
        <v>2.3177954581802567</v>
      </c>
      <c r="BT864" s="737">
        <f>BT863-BT859</f>
        <v>292376.47915373312</v>
      </c>
      <c r="BU864" s="9">
        <f t="shared" si="3596"/>
        <v>2.1698902976045105</v>
      </c>
      <c r="BV864" s="43">
        <f t="shared" si="3597"/>
        <v>2.8723070337424161</v>
      </c>
      <c r="BW864" s="180"/>
      <c r="BX864" s="180"/>
      <c r="BY864"/>
      <c r="BZ864"/>
      <c r="CA864"/>
      <c r="CB864"/>
      <c r="CC864"/>
      <c r="CD864"/>
    </row>
    <row r="865" spans="1:82" s="2" customFormat="1" ht="12.75" customHeight="1" x14ac:dyDescent="0.2">
      <c r="B865" s="7"/>
      <c r="C865" s="179"/>
      <c r="D865" s="9"/>
      <c r="E865" s="179"/>
      <c r="F865" s="9"/>
      <c r="G865" s="179"/>
      <c r="H865" s="9"/>
      <c r="I865" s="179"/>
      <c r="J865" s="9"/>
      <c r="K865" s="179"/>
      <c r="L865" s="9"/>
      <c r="M865" s="179"/>
      <c r="N865" s="9"/>
      <c r="O865" s="179"/>
      <c r="P865" s="9"/>
      <c r="Q865" s="179"/>
      <c r="R865" s="9"/>
      <c r="S865" s="179"/>
      <c r="T865" s="9"/>
      <c r="U865" s="179"/>
      <c r="V865" s="9"/>
      <c r="W865" s="179"/>
      <c r="X865" s="9"/>
      <c r="Y865" s="179"/>
      <c r="Z865" s="9"/>
      <c r="AA865" s="179"/>
      <c r="AB865" s="9"/>
      <c r="AC865" s="179"/>
      <c r="AD865" s="9"/>
      <c r="AE865" s="179"/>
      <c r="AF865" s="9"/>
      <c r="AG865" s="179"/>
      <c r="AH865" s="9"/>
      <c r="AI865" s="179"/>
      <c r="AJ865" s="9"/>
      <c r="AK865" s="179"/>
      <c r="AL865" s="9"/>
      <c r="AM865" s="179"/>
      <c r="AN865" s="9"/>
      <c r="AO865" s="179"/>
      <c r="AP865" s="9"/>
      <c r="AQ865" s="179"/>
      <c r="AR865" s="9"/>
      <c r="AS865" s="179"/>
      <c r="AT865" s="9"/>
      <c r="AU865" s="179"/>
      <c r="AV865" s="9"/>
      <c r="AW865" s="179"/>
      <c r="AX865" s="9"/>
      <c r="AY865" s="297"/>
      <c r="AZ865" s="178"/>
      <c r="BA865" s="9"/>
      <c r="BB865" s="179"/>
      <c r="BC865" s="9"/>
      <c r="BD865" s="976"/>
      <c r="BE865" s="9"/>
      <c r="BF865" s="179"/>
      <c r="BG865" s="9"/>
      <c r="BH865" s="179"/>
      <c r="BI865" s="9"/>
      <c r="BJ865" s="179"/>
      <c r="BK865" s="9"/>
      <c r="BL865" s="179"/>
      <c r="BM865" s="9"/>
      <c r="BN865" s="737"/>
      <c r="BO865" s="9"/>
      <c r="BP865" s="737"/>
      <c r="BQ865" s="9"/>
      <c r="BR865" s="737"/>
      <c r="BS865" s="9"/>
      <c r="BT865" s="737"/>
      <c r="BU865" s="9"/>
      <c r="BV865" s="180"/>
      <c r="BW865" s="180"/>
      <c r="BX865" s="180"/>
      <c r="BY865"/>
      <c r="BZ865"/>
      <c r="CA865"/>
      <c r="CB865"/>
      <c r="CC865"/>
      <c r="CD865"/>
    </row>
    <row r="866" spans="1:82" s="2" customFormat="1" ht="12.75" customHeight="1" x14ac:dyDescent="0.2">
      <c r="B866" s="7" t="s">
        <v>281</v>
      </c>
      <c r="C866" s="92"/>
      <c r="D866" s="94"/>
      <c r="E866" s="92"/>
      <c r="F866" s="94"/>
      <c r="G866" s="92"/>
      <c r="H866" s="94"/>
      <c r="I866" s="92"/>
      <c r="J866" s="94"/>
      <c r="K866" s="92"/>
      <c r="L866" s="94"/>
      <c r="M866" s="92"/>
      <c r="N866" s="94"/>
      <c r="O866" s="92">
        <f>O861/(O40+O90+O159+O302)*100</f>
        <v>20.653629032258067</v>
      </c>
      <c r="P866" s="9" t="str">
        <f t="shared" si="3570"/>
        <v>NA</v>
      </c>
      <c r="Q866" s="92">
        <f>Q861/(Q40+Q90+Q159+Q302)*100</f>
        <v>20.472493422975738</v>
      </c>
      <c r="R866" s="9" t="str">
        <f t="shared" si="3570"/>
        <v>NA</v>
      </c>
      <c r="S866" s="92">
        <f>S861/(S40+S90+S159+S302)*100</f>
        <v>20.497814597914584</v>
      </c>
      <c r="T866" s="9" t="str">
        <f t="shared" si="3570"/>
        <v>NA</v>
      </c>
      <c r="U866" s="92">
        <f>U861/(U40+U90+U159+U302)*100</f>
        <v>19.69880148780824</v>
      </c>
      <c r="V866" s="94" t="str">
        <f>IF(ISERROR(U866/M866),"NA",IF(OR(U866/M866&gt;2,U866/M866&lt;0.5),"NM",U866/M866*100-100))</f>
        <v>NA</v>
      </c>
      <c r="W866" s="92">
        <f>W861/(W40+W90+W159+W302)*100</f>
        <v>18.951760214901736</v>
      </c>
      <c r="X866" s="9">
        <f>IF(ISERROR(W866/O866),"NA",IF(OR(W866/O866&gt;2,W866/O866&lt;0.5),"NM",W866/O866*100-100))</f>
        <v>-8.2400473771376994</v>
      </c>
      <c r="Y866" s="92">
        <f>Y861/(Y40+Y90+Y159+Y302)*100</f>
        <v>18.95901730103806</v>
      </c>
      <c r="Z866" s="9">
        <f>IF(ISERROR(Y866/Q866),"NA",IF(OR(Y866/Q866&gt;2,Y866/Q866&lt;0.5),"NM",Y866/Q866*100-100))</f>
        <v>-7.3927297992883609</v>
      </c>
      <c r="AA866" s="92">
        <f>AA861/(AA40+AA90+AA159+AA302)*100</f>
        <v>17.374724264705883</v>
      </c>
      <c r="AB866" s="9">
        <f>IF(ISERROR(AA866/S866),"NA",IF(OR(AA866/S866&gt;2,AA866/S866&lt;0.5),"NM",AA866/S866*100-100))</f>
        <v>-15.236211247253834</v>
      </c>
      <c r="AC866" s="92">
        <f>AC861/(AC40+AC90+AC159+AC302)*100</f>
        <v>16.128321762030165</v>
      </c>
      <c r="AD866" s="9">
        <f>IF(ISERROR(AC866/U866),"NA",IF(OR(AC866/U866&gt;2,AC866/U866&lt;0.5),"NM",AC866/U866*100-100))</f>
        <v>-18.12536528167908</v>
      </c>
      <c r="AE866" s="92">
        <f>AE861/(AE40+AE90+AE159+AE302)*100</f>
        <v>15.866910276590959</v>
      </c>
      <c r="AF866" s="9">
        <f>IF(ISERROR(AE866/W866),"NA",IF(OR(AE866/W866&gt;2,AE866/W866&lt;0.5),"NM",AE866/W866*100-100))</f>
        <v>-16.277379532721</v>
      </c>
      <c r="AG866" s="92">
        <f>AG861/(AG40+AG90+AG159+AG302)*100</f>
        <v>16.253934673950948</v>
      </c>
      <c r="AH866" s="9">
        <f>IF(ISERROR(AG866/Y866),"NA",IF(OR(AG866/Y866&gt;2,AG866/Y866&lt;0.5),"NM",AG866/Y866*100-100))</f>
        <v>-14.268052948815026</v>
      </c>
      <c r="AI866" s="92">
        <f>AI861/(AI40+AI90+AI159+AI302)*100</f>
        <v>16.470653763924837</v>
      </c>
      <c r="AJ866" s="9">
        <f t="shared" ref="AJ866" si="3627">IF(ISERROR(AI866/AA866),"NA",IF(OR(AI866/AA866&gt;2,AI866/AA866&lt;0.5),"NM",AI866/AA866*100-100))</f>
        <v>-5.2033660333679563</v>
      </c>
      <c r="AK866" s="92">
        <f>AK861/(AK40+AK90+AK159+AK302)*100</f>
        <v>16.520785398230085</v>
      </c>
      <c r="AL866" s="9">
        <f t="shared" ref="AL866" si="3628">IF(ISERROR(AK866/AC866),"NA",IF(OR(AK866/AC866&gt;2,AK866/AC866&lt;0.5),"NM",AK866/AC866*100-100))</f>
        <v>2.4333817367401025</v>
      </c>
      <c r="AM866" s="92">
        <f>AM861/(AM40+AM90+AM159+AM302)*100</f>
        <v>16.102612603197823</v>
      </c>
      <c r="AN866" s="9">
        <f t="shared" ref="AN866" si="3629">IF(ISERROR(AM866/AE866),"NA",IF(OR(AM866/AE866&gt;2,AM866/AE866&lt;0.5),"NM",AM866/AE866*100-100))</f>
        <v>1.4854960575065661</v>
      </c>
      <c r="AO866" s="92">
        <f>AO861/(AO40+AO90+AO159+AO302)*100</f>
        <v>16.235749235474007</v>
      </c>
      <c r="AP866" s="9">
        <f t="shared" ref="AP866" si="3630">IF(ISERROR(AO866/AG866),"NA",IF(OR(AO866/AG866&gt;2,AO866/AG866&lt;0.5),"NM",AO866/AG866*100-100))</f>
        <v>-0.1118832999008248</v>
      </c>
      <c r="AQ866" s="183">
        <f t="shared" ref="AQ866" si="3631">AO866</f>
        <v>16.235749235474007</v>
      </c>
      <c r="AR866" s="9">
        <f t="shared" ref="AR866" si="3632">IF(ISERROR(AQ866/AI866),"NA",IF(OR(AQ866/AI866&gt;2,AQ866/AI866&lt;0.5),"NM",AQ866/AI866*100-100))</f>
        <v>-1.4262003914218297</v>
      </c>
      <c r="AS866" s="183">
        <f t="shared" ref="AS866" si="3633">AQ866</f>
        <v>16.235749235474007</v>
      </c>
      <c r="AT866" s="9">
        <f t="shared" ref="AT866" si="3634">IF(ISERROR(AS866/AK866),"NA",IF(OR(AS866/AK866&gt;2,AS866/AK866&lt;0.5),"NM",AS866/AK866*100-100))</f>
        <v>-1.7253184753953263</v>
      </c>
      <c r="AU866" s="183">
        <f t="shared" ref="AU866" si="3635">AS866</f>
        <v>16.235749235474007</v>
      </c>
      <c r="AV866" s="9">
        <f t="shared" ref="AV866" si="3636">IF(ISERROR(AU866/AM866),"NA",IF(OR(AU866/AM866&gt;2,AU866/AM866&lt;0.5),"NM",AU866/AM866*100-100))</f>
        <v>0.8268014362448497</v>
      </c>
      <c r="AW866" s="183">
        <f t="shared" ref="AW866" si="3637">AU866</f>
        <v>16.235749235474007</v>
      </c>
      <c r="AX866" s="9">
        <f t="shared" ref="AX866" si="3638">IF(ISERROR(AW866/AO866),"NA",IF(OR(AW866/AO866&gt;2,AW866/AO866&lt;0.5),"NM",AW866/AO866*100-100))</f>
        <v>0</v>
      </c>
      <c r="AY866" s="298"/>
      <c r="AZ866" s="184"/>
      <c r="BA866" s="9" t="str">
        <f>IF(ISERROR(#REF!/#REF!),"NA",IF(OR(#REF!/#REF!&gt;2,#REF!/#REF!&lt;0.5),"NM",#REF!/#REF!*100-100))</f>
        <v>NA</v>
      </c>
      <c r="BB866" s="57"/>
      <c r="BC866" s="9" t="str">
        <f>IF(ISERROR(BB866/#REF!),"NA",IF(OR(BB866/#REF!&gt;2,BB866/#REF!&lt;0.5),"NM",BB866/#REF!*100-100))</f>
        <v>NA</v>
      </c>
      <c r="BD866" s="911"/>
      <c r="BE866" s="9" t="str">
        <f t="shared" si="3591"/>
        <v>NA</v>
      </c>
      <c r="BF866" s="92">
        <f>BF861/(BF40+BF90+BF159+BF302)*100</f>
        <v>18.95901730103806</v>
      </c>
      <c r="BG866" s="9" t="str">
        <f t="shared" si="3591"/>
        <v>NA</v>
      </c>
      <c r="BH866" s="92">
        <f>BH861/(BH40+BH90+BH159+BH302)*100</f>
        <v>16.253934673950948</v>
      </c>
      <c r="BI866" s="9">
        <f t="shared" si="3591"/>
        <v>-14.268052948815026</v>
      </c>
      <c r="BJ866" s="92">
        <f>BJ861/(BJ40+BJ90+BJ159+BJ302)*100</f>
        <v>16.235749235474007</v>
      </c>
      <c r="BK866" s="9">
        <f t="shared" si="3591"/>
        <v>-0.1118832999008248</v>
      </c>
      <c r="BL866" s="92">
        <f>BL861/(BL40+BL90+BL159+BL302)*100</f>
        <v>16.23574923547401</v>
      </c>
      <c r="BM866" s="9">
        <f t="shared" si="3591"/>
        <v>2.8421709430404007E-14</v>
      </c>
      <c r="BN866" s="738">
        <f>BL866-1</f>
        <v>15.23574923547401</v>
      </c>
      <c r="BO866" s="9">
        <f t="shared" si="3591"/>
        <v>-6.1592476300081529</v>
      </c>
      <c r="BP866" s="738">
        <f>BN866-1</f>
        <v>14.23574923547401</v>
      </c>
      <c r="BQ866" s="9">
        <f t="shared" si="3591"/>
        <v>-6.5635104945916254</v>
      </c>
      <c r="BR866" s="738">
        <f>BP866-1</f>
        <v>13.23574923547401</v>
      </c>
      <c r="BS866" s="9">
        <f t="shared" si="3591"/>
        <v>-7.0245688053292241</v>
      </c>
      <c r="BT866" s="738">
        <f>BR866-1</f>
        <v>12.23574923547401</v>
      </c>
      <c r="BU866" s="9">
        <f t="shared" ref="BU866" si="3639">IF(ISERROR(BT866/BR866),"NA",IF(OR(BT866/BR866&gt;2,BT866/BR866&lt;0.5),"NM",BT866/BR866*100-100))</f>
        <v>-7.5552957540161998</v>
      </c>
      <c r="BV866" s="43">
        <f>IF(ISERROR(((BT866/BJ866)^0.2-1)*100),"NA",IF((((BT866/BJ866)^0.2-1)*100)&gt;100,"NM",IF((((BT866/BJ866)^0.2-1)*100)&lt;-50,"NM",((BT866/BJ866)^0.2-1)*100)))</f>
        <v>-5.5000352364435123</v>
      </c>
      <c r="BW866" s="180"/>
      <c r="BX866" s="180"/>
      <c r="BY866"/>
      <c r="BZ866"/>
      <c r="CA866"/>
      <c r="CB866"/>
      <c r="CC866"/>
      <c r="CD866"/>
    </row>
    <row r="867" spans="1:82" s="2" customFormat="1" ht="12.75" customHeight="1" x14ac:dyDescent="0.2">
      <c r="B867" s="7"/>
      <c r="C867" s="182"/>
      <c r="D867" s="9"/>
      <c r="E867" s="183"/>
      <c r="F867" s="9"/>
      <c r="G867" s="183"/>
      <c r="H867" s="9"/>
      <c r="I867" s="183"/>
      <c r="J867" s="9"/>
      <c r="K867" s="183"/>
      <c r="L867" s="9"/>
      <c r="M867" s="183"/>
      <c r="N867" s="9"/>
      <c r="O867" s="183"/>
      <c r="P867" s="9"/>
      <c r="Q867" s="183"/>
      <c r="R867" s="9"/>
      <c r="S867" s="183"/>
      <c r="T867" s="9"/>
      <c r="U867" s="182"/>
      <c r="V867" s="9"/>
      <c r="W867" s="182"/>
      <c r="X867" s="9"/>
      <c r="Y867" s="182"/>
      <c r="Z867" s="9"/>
      <c r="AA867" s="182"/>
      <c r="AB867" s="9"/>
      <c r="AC867" s="182"/>
      <c r="AD867" s="9"/>
      <c r="AE867" s="182"/>
      <c r="AF867" s="9"/>
      <c r="AG867" s="182"/>
      <c r="AH867" s="9"/>
      <c r="AI867" s="182"/>
      <c r="AJ867" s="9"/>
      <c r="AK867" s="182"/>
      <c r="AL867" s="9"/>
      <c r="AM867" s="182"/>
      <c r="AN867" s="9"/>
      <c r="AO867" s="182"/>
      <c r="AP867" s="9"/>
      <c r="AQ867" s="182"/>
      <c r="AR867" s="9"/>
      <c r="AS867" s="182"/>
      <c r="AT867" s="9"/>
      <c r="AU867" s="182"/>
      <c r="AV867" s="9"/>
      <c r="AW867" s="182"/>
      <c r="AX867" s="9"/>
      <c r="AY867" s="298"/>
      <c r="AZ867" s="184"/>
      <c r="BA867" s="9"/>
      <c r="BB867" s="182"/>
      <c r="BC867" s="9"/>
      <c r="BD867" s="977"/>
      <c r="BE867" s="9"/>
      <c r="BF867" s="182"/>
      <c r="BG867" s="9"/>
      <c r="BH867" s="182"/>
      <c r="BI867" s="9"/>
      <c r="BJ867" s="182"/>
      <c r="BK867" s="9"/>
      <c r="BL867" s="182"/>
      <c r="BM867" s="9"/>
      <c r="BN867" s="739"/>
      <c r="BO867" s="9"/>
      <c r="BP867" s="739"/>
      <c r="BQ867" s="9"/>
      <c r="BR867" s="739"/>
      <c r="BS867" s="9"/>
      <c r="BT867" s="739"/>
      <c r="BU867" s="9"/>
      <c r="BV867" s="180"/>
      <c r="BW867" s="180"/>
      <c r="BX867" s="180"/>
      <c r="BY867"/>
      <c r="BZ867"/>
      <c r="CA867"/>
      <c r="CB867"/>
      <c r="CC867"/>
      <c r="CD867"/>
    </row>
    <row r="868" spans="1:82" s="2" customFormat="1" ht="12.75" customHeight="1" x14ac:dyDescent="0.2">
      <c r="A868" s="2" t="s">
        <v>35</v>
      </c>
      <c r="B868" s="185" t="s">
        <v>202</v>
      </c>
      <c r="C868" s="183">
        <f>3.6+1+0.4+0.2</f>
        <v>5.2</v>
      </c>
      <c r="D868" s="9"/>
      <c r="E868" s="183">
        <f>3.6+0.8+0.5+0.2</f>
        <v>5.1000000000000005</v>
      </c>
      <c r="F868" s="9"/>
      <c r="G868" s="183">
        <f>3.9+0.8+0.3+0.2</f>
        <v>5.2</v>
      </c>
      <c r="H868" s="9"/>
      <c r="I868" s="183">
        <f>3.9+0.8+0.3+0.2</f>
        <v>5.2</v>
      </c>
      <c r="J868" s="9"/>
      <c r="K868" s="183">
        <f>4+0.8+0.4+0.2</f>
        <v>5.4</v>
      </c>
      <c r="L868" s="9"/>
      <c r="M868" s="183">
        <f>3.9+0.8+0.3+0.3</f>
        <v>5.3</v>
      </c>
      <c r="N868" s="9">
        <f t="shared" ref="N868:Z870" si="3640">IF(ISERROR(M868/E868),"NA",IF(OR(M868/E868&gt;2,M868/E868&lt;0.5),"NM",M868/E868*100-100))</f>
        <v>3.9215686274509665</v>
      </c>
      <c r="O868" s="183">
        <f>4.2+0.8+0.3+0.3</f>
        <v>5.6</v>
      </c>
      <c r="P868" s="9">
        <f t="shared" si="3640"/>
        <v>7.6923076923076934</v>
      </c>
      <c r="Q868" s="183">
        <f>4.5+1+0.2+0.1</f>
        <v>5.8</v>
      </c>
      <c r="R868" s="9">
        <f t="shared" si="3640"/>
        <v>11.538461538461547</v>
      </c>
      <c r="S868" s="183">
        <f>4.8+1+0.2+0.1</f>
        <v>6.1</v>
      </c>
      <c r="T868" s="9">
        <f t="shared" si="3640"/>
        <v>12.962962962962948</v>
      </c>
      <c r="U868" s="183">
        <f>4.5+0.9+0.2+0.1</f>
        <v>5.7</v>
      </c>
      <c r="V868" s="9">
        <f t="shared" si="3640"/>
        <v>7.5471698113207566</v>
      </c>
      <c r="W868" s="183">
        <f>4.3+0.9+0.2+0.1</f>
        <v>5.5</v>
      </c>
      <c r="X868" s="9">
        <f t="shared" si="3640"/>
        <v>-1.7857142857142776</v>
      </c>
      <c r="Y868" s="183">
        <f>4.3+0.8+0.2+0.1</f>
        <v>5.3999999999999995</v>
      </c>
      <c r="Z868" s="9">
        <f t="shared" si="3640"/>
        <v>-6.8965517241379359</v>
      </c>
      <c r="AA868" s="183">
        <f>4.3+0.8+0.2+0.1</f>
        <v>5.3999999999999995</v>
      </c>
      <c r="AB868" s="9">
        <f t="shared" ref="AB868:AB870" si="3641">IF(ISERROR(AA868/S868),"NA",IF(OR(AA868/S868&gt;2,AA868/S868&lt;0.5),"NM",AA868/S868*100-100))</f>
        <v>-11.47540983606558</v>
      </c>
      <c r="AC868" s="183">
        <f>4.1+0.8+0.2+0.1</f>
        <v>5.1999999999999993</v>
      </c>
      <c r="AD868" s="9">
        <f t="shared" ref="AD868:AD870" si="3642">IF(ISERROR(AC868/U868),"NA",IF(OR(AC868/U868&gt;2,AC868/U868&lt;0.5),"NM",AC868/U868*100-100))</f>
        <v>-8.7719298245614254</v>
      </c>
      <c r="AE868" s="183">
        <f>4+0.9+0.1+0.1</f>
        <v>5.0999999999999996</v>
      </c>
      <c r="AF868" s="9">
        <f t="shared" ref="AF868:AF870" si="3643">IF(ISERROR(AE868/W868),"NA",IF(OR(AE868/W868&gt;2,AE868/W868&lt;0.5),"NM",AE868/W868*100-100))</f>
        <v>-7.2727272727272805</v>
      </c>
      <c r="AG868" s="183">
        <f>3.7+0.8+0.2+0.1</f>
        <v>4.8</v>
      </c>
      <c r="AH868" s="9">
        <f t="shared" ref="AH868:AH870" si="3644">IF(ISERROR(AG868/Y868),"NA",IF(OR(AG868/Y868&gt;2,AG868/Y868&lt;0.5),"NM",AG868/Y868*100-100))</f>
        <v>-11.1111111111111</v>
      </c>
      <c r="AI868" s="183">
        <f>3.7+0.6+0.2+0.1</f>
        <v>4.5999999999999996</v>
      </c>
      <c r="AJ868" s="9">
        <f t="shared" ref="AJ868:AJ870" si="3645">IF(ISERROR(AI868/AA868),"NA",IF(OR(AI868/AA868&gt;2,AI868/AA868&lt;0.5),"NM",AI868/AA868*100-100))</f>
        <v>-14.81481481481481</v>
      </c>
      <c r="AK868" s="183">
        <f>3.4+0.6+0.2+0.1</f>
        <v>4.3</v>
      </c>
      <c r="AL868" s="9">
        <f t="shared" ref="AL868:AL870" si="3646">IF(ISERROR(AK868/AC868),"NA",IF(OR(AK868/AC868&gt;2,AK868/AC868&lt;0.5),"NM",AK868/AC868*100-100))</f>
        <v>-17.307692307692307</v>
      </c>
      <c r="AM868" s="183">
        <f>3+0.6+0.2+0.1</f>
        <v>3.9000000000000004</v>
      </c>
      <c r="AN868" s="9">
        <f t="shared" ref="AN868:AN870" si="3647">IF(ISERROR(AM868/AE868),"NA",IF(OR(AM868/AE868&gt;2,AM868/AE868&lt;0.5),"NM",AM868/AE868*100-100))</f>
        <v>-23.52941176470587</v>
      </c>
      <c r="AO868" s="183">
        <f>2.6+0.4+0.2</f>
        <v>3.2</v>
      </c>
      <c r="AP868" s="9">
        <f t="shared" ref="AP868:AP870" si="3648">IF(ISERROR(AO868/AG868),"NA",IF(OR(AO868/AG868&gt;2,AO868/AG868&lt;0.5),"NM",AO868/AG868*100-100))</f>
        <v>-33.333333333333329</v>
      </c>
      <c r="AQ868" s="182"/>
      <c r="AR868" s="9" t="str">
        <f t="shared" ref="AR868:AR870" si="3649">IF(ISERROR(AQ868/AI868),"NA",IF(OR(AQ868/AI868&gt;2,AQ868/AI868&lt;0.5),"NM",AQ868/AI868*100-100))</f>
        <v>NM</v>
      </c>
      <c r="AS868" s="182"/>
      <c r="AT868" s="9" t="str">
        <f t="shared" ref="AT868:AT870" si="3650">IF(ISERROR(AS868/AK868),"NA",IF(OR(AS868/AK868&gt;2,AS868/AK868&lt;0.5),"NM",AS868/AK868*100-100))</f>
        <v>NM</v>
      </c>
      <c r="AU868" s="182"/>
      <c r="AV868" s="9" t="str">
        <f t="shared" ref="AV868:AV870" si="3651">IF(ISERROR(AU868/AM868),"NA",IF(OR(AU868/AM868&gt;2,AU868/AM868&lt;0.5),"NM",AU868/AM868*100-100))</f>
        <v>NM</v>
      </c>
      <c r="AW868" s="182"/>
      <c r="AX868" s="9" t="str">
        <f t="shared" ref="AX868:AX870" si="3652">IF(ISERROR(AW868/AO868),"NA",IF(OR(AW868/AO868&gt;2,AW868/AO868&lt;0.5),"NM",AW868/AO868*100-100))</f>
        <v>NM</v>
      </c>
      <c r="AY868" s="298"/>
      <c r="AZ868" s="184"/>
      <c r="BA868" s="9"/>
      <c r="BB868" s="182"/>
      <c r="BC868" s="9"/>
      <c r="BD868" s="977"/>
      <c r="BE868" s="9"/>
      <c r="BF868" s="182"/>
      <c r="BG868" s="9"/>
      <c r="BH868" s="182"/>
      <c r="BI868" s="9"/>
      <c r="BJ868" s="182"/>
      <c r="BK868" s="9"/>
      <c r="BL868" s="182"/>
      <c r="BM868" s="9"/>
      <c r="BN868" s="182"/>
      <c r="BO868" s="9"/>
      <c r="BP868" s="182"/>
      <c r="BQ868" s="9"/>
      <c r="BR868" s="182"/>
      <c r="BS868" s="9"/>
      <c r="BT868" s="182"/>
      <c r="BU868" s="9"/>
      <c r="BV868" s="180"/>
      <c r="BW868" s="180"/>
      <c r="BX868" s="180"/>
      <c r="BY868"/>
      <c r="BZ868"/>
      <c r="CA868"/>
      <c r="CB868"/>
      <c r="CC868"/>
      <c r="CD868"/>
    </row>
    <row r="869" spans="1:82" s="2" customFormat="1" ht="12.75" customHeight="1" x14ac:dyDescent="0.2">
      <c r="A869" s="2" t="s">
        <v>36</v>
      </c>
      <c r="B869" s="185" t="s">
        <v>203</v>
      </c>
      <c r="C869" s="181">
        <f>2351.2+625.8+281.4+135.5</f>
        <v>3393.9</v>
      </c>
      <c r="D869" s="9"/>
      <c r="E869" s="181">
        <f>2284.7+519+318.7+135.3</f>
        <v>3257.7</v>
      </c>
      <c r="F869" s="9"/>
      <c r="G869" s="181">
        <f>2448.5+527.8+182.8+146.6</f>
        <v>3305.7000000000003</v>
      </c>
      <c r="H869" s="9"/>
      <c r="I869" s="181">
        <f>2444+512.6+179.7+137.3</f>
        <v>3273.6</v>
      </c>
      <c r="J869" s="9"/>
      <c r="K869" s="181">
        <f>2555.1+519.3+239+146.4</f>
        <v>3459.7999999999997</v>
      </c>
      <c r="L869" s="9"/>
      <c r="M869" s="181">
        <f>2519.4+500+201.8+162.1</f>
        <v>3383.3</v>
      </c>
      <c r="N869" s="9">
        <f t="shared" si="3640"/>
        <v>3.8554808607299833</v>
      </c>
      <c r="O869" s="181">
        <f>2665.4+515.5+193.9+162.8</f>
        <v>3537.6000000000004</v>
      </c>
      <c r="P869" s="9">
        <f t="shared" si="3640"/>
        <v>7.0151556402577455</v>
      </c>
      <c r="Q869" s="181">
        <f>2879.3+637.3+120+66.2</f>
        <v>3702.8</v>
      </c>
      <c r="R869" s="9">
        <f t="shared" si="3640"/>
        <v>13.110948191593351</v>
      </c>
      <c r="S869" s="181">
        <f>3059.9+624.8+124+65.8</f>
        <v>3874.5</v>
      </c>
      <c r="T869" s="9">
        <f t="shared" si="3640"/>
        <v>11.986241979305177</v>
      </c>
      <c r="U869" s="181">
        <f>2902.8+582.1+136.2+59</f>
        <v>3680.1</v>
      </c>
      <c r="V869" s="9">
        <f t="shared" si="3640"/>
        <v>8.7725002216770633</v>
      </c>
      <c r="W869" s="181">
        <f>583.7+124.5+76.7+2826.6</f>
        <v>3611.5</v>
      </c>
      <c r="X869" s="9">
        <f t="shared" si="3640"/>
        <v>2.088986883762999</v>
      </c>
      <c r="Y869" s="181">
        <f>2829.1+547.3+139.7+42.7</f>
        <v>3558.7999999999993</v>
      </c>
      <c r="Z869" s="9">
        <f t="shared" si="3640"/>
        <v>-3.88894890353248</v>
      </c>
      <c r="AA869" s="181">
        <f>3013.8+638.3+107.5+53.7</f>
        <v>3813.3</v>
      </c>
      <c r="AB869" s="9">
        <f t="shared" si="3641"/>
        <v>-1.5795586527293892</v>
      </c>
      <c r="AC869" s="181">
        <f>2925.1+603.5+122.2+65.9</f>
        <v>3716.7</v>
      </c>
      <c r="AD869" s="9">
        <f t="shared" si="3642"/>
        <v>0.99453819189696446</v>
      </c>
      <c r="AE869" s="181">
        <f>2876.3+626.5+95+70.9</f>
        <v>3668.7000000000003</v>
      </c>
      <c r="AF869" s="9">
        <f t="shared" si="3643"/>
        <v>1.5838294337533085</v>
      </c>
      <c r="AG869" s="181">
        <f>2611.8+604.3+120.4+67</f>
        <v>3403.5000000000005</v>
      </c>
      <c r="AH869" s="9">
        <f t="shared" si="3644"/>
        <v>-4.3638305046644632</v>
      </c>
      <c r="AI869" s="181">
        <f>2659.5+462.7+144.9+51.7</f>
        <v>3318.7999999999997</v>
      </c>
      <c r="AJ869" s="9">
        <f t="shared" si="3645"/>
        <v>-12.967770697296316</v>
      </c>
      <c r="AK869" s="181">
        <f>2473.1+437+128.1+47.8</f>
        <v>3086</v>
      </c>
      <c r="AL869" s="9">
        <f t="shared" si="3646"/>
        <v>-16.969354534936897</v>
      </c>
      <c r="AM869" s="181">
        <f>2288.8+461.1+122.9+48.5</f>
        <v>2921.3</v>
      </c>
      <c r="AN869" s="9">
        <f t="shared" si="3647"/>
        <v>-20.372338975658948</v>
      </c>
      <c r="AO869" s="181">
        <f>1987.7+335.4+126+36.8</f>
        <v>2485.9</v>
      </c>
      <c r="AP869" s="9">
        <f t="shared" si="3648"/>
        <v>-26.960481856912011</v>
      </c>
      <c r="AQ869" s="179"/>
      <c r="AR869" s="9" t="str">
        <f t="shared" si="3649"/>
        <v>NM</v>
      </c>
      <c r="AS869" s="179"/>
      <c r="AT869" s="9" t="str">
        <f t="shared" si="3650"/>
        <v>NM</v>
      </c>
      <c r="AU869" s="179"/>
      <c r="AV869" s="9" t="str">
        <f t="shared" si="3651"/>
        <v>NM</v>
      </c>
      <c r="AW869" s="179"/>
      <c r="AX869" s="9" t="str">
        <f t="shared" si="3652"/>
        <v>NM</v>
      </c>
      <c r="AY869" s="298"/>
      <c r="AZ869" s="184"/>
      <c r="BA869" s="9"/>
      <c r="BB869" s="179"/>
      <c r="BC869" s="9"/>
      <c r="BD869" s="976"/>
      <c r="BE869" s="9"/>
      <c r="BF869" s="179"/>
      <c r="BG869" s="9"/>
      <c r="BH869" s="179"/>
      <c r="BI869" s="9"/>
      <c r="BJ869" s="179"/>
      <c r="BK869" s="9"/>
      <c r="BL869" s="179"/>
      <c r="BM869" s="9"/>
      <c r="BN869" s="179"/>
      <c r="BO869" s="9"/>
      <c r="BP869" s="179"/>
      <c r="BQ869" s="9"/>
      <c r="BR869" s="179"/>
      <c r="BS869" s="9"/>
      <c r="BT869" s="179"/>
      <c r="BU869" s="9"/>
      <c r="BV869" s="180"/>
      <c r="BW869" s="180"/>
      <c r="BX869" s="180"/>
      <c r="BY869"/>
      <c r="BZ869"/>
      <c r="CA869"/>
      <c r="CB869"/>
      <c r="CC869"/>
      <c r="CD869"/>
    </row>
    <row r="870" spans="1:82" s="2" customFormat="1" ht="12.75" customHeight="1" x14ac:dyDescent="0.2">
      <c r="A870" s="2" t="s">
        <v>37</v>
      </c>
      <c r="B870" s="185" t="s">
        <v>34</v>
      </c>
      <c r="C870" s="182">
        <f>C869/C889*100</f>
        <v>37.284951552303738</v>
      </c>
      <c r="D870" s="9"/>
      <c r="E870" s="182">
        <f>E869/E889*100</f>
        <v>35.014348821461965</v>
      </c>
      <c r="F870" s="9"/>
      <c r="G870" s="182">
        <f>G869/G889*100</f>
        <v>35.560073579242911</v>
      </c>
      <c r="H870" s="9"/>
      <c r="I870" s="182">
        <f>I869/I889*100</f>
        <v>34.45532049257973</v>
      </c>
      <c r="J870" s="9"/>
      <c r="K870" s="182">
        <f>K869/K889*100</f>
        <v>35.941866384101552</v>
      </c>
      <c r="L870" s="9"/>
      <c r="M870" s="182">
        <f>M869/M889*100</f>
        <v>34.515016730596592</v>
      </c>
      <c r="N870" s="9">
        <f t="shared" si="3640"/>
        <v>-1.4260784726040896</v>
      </c>
      <c r="O870" s="182">
        <f>O869/O889*100</f>
        <v>35.602789770840261</v>
      </c>
      <c r="P870" s="9">
        <f t="shared" si="3640"/>
        <v>0.12012402477785145</v>
      </c>
      <c r="Q870" s="182">
        <f>Q869/Q889*100</f>
        <v>36.539827899265809</v>
      </c>
      <c r="R870" s="9">
        <f t="shared" si="3640"/>
        <v>6.0498854077848421</v>
      </c>
      <c r="S870" s="182">
        <f>S869/S889*100</f>
        <v>37.274161583899328</v>
      </c>
      <c r="T870" s="9">
        <f t="shared" si="3640"/>
        <v>3.7068058335086818</v>
      </c>
      <c r="U870" s="182">
        <f t="shared" ref="U870" si="3653">U869/U889*100</f>
        <v>36.727544910179638</v>
      </c>
      <c r="V870" s="9">
        <f t="shared" si="3640"/>
        <v>6.4103349474019069</v>
      </c>
      <c r="W870" s="182">
        <f t="shared" ref="W870:Y870" si="3654">W869/W889*100</f>
        <v>35.59986988279595</v>
      </c>
      <c r="X870" s="9">
        <f t="shared" si="3640"/>
        <v>-8.2012900199828209E-3</v>
      </c>
      <c r="Y870" s="182">
        <f t="shared" si="3654"/>
        <v>34.910389342855176</v>
      </c>
      <c r="Z870" s="9">
        <f t="shared" si="3640"/>
        <v>-4.4593492911425869</v>
      </c>
      <c r="AA870" s="182">
        <f t="shared" ref="AA870:AC870" si="3655">AA869/AA889*100</f>
        <v>36.674456851034364</v>
      </c>
      <c r="AB870" s="9">
        <f t="shared" si="3641"/>
        <v>-1.6089020044491349</v>
      </c>
      <c r="AC870" s="182">
        <f t="shared" si="3655"/>
        <v>35.33320657857211</v>
      </c>
      <c r="AD870" s="9">
        <f t="shared" si="3642"/>
        <v>-3.7964376192786631</v>
      </c>
      <c r="AE870" s="182">
        <f t="shared" ref="AE870:AG870" si="3656">AE869/AE889*100</f>
        <v>34.277945958067043</v>
      </c>
      <c r="AF870" s="9">
        <f t="shared" si="3643"/>
        <v>-3.7132830234521208</v>
      </c>
      <c r="AG870" s="182">
        <f t="shared" si="3656"/>
        <v>31.217610639761528</v>
      </c>
      <c r="AH870" s="9">
        <f t="shared" si="3644"/>
        <v>-10.577878885356569</v>
      </c>
      <c r="AI870" s="182">
        <f t="shared" ref="AI870:AK870" si="3657">AI869/AI889*100</f>
        <v>29.976876941975572</v>
      </c>
      <c r="AJ870" s="9">
        <f t="shared" si="3645"/>
        <v>-18.262247035486482</v>
      </c>
      <c r="AK870" s="182">
        <f t="shared" si="3657"/>
        <v>27.347973272363124</v>
      </c>
      <c r="AL870" s="9">
        <f t="shared" si="3646"/>
        <v>-22.59979797885552</v>
      </c>
      <c r="AM870" s="182">
        <f t="shared" ref="AM870:AO870" si="3658">AM869/AM889*100</f>
        <v>24.447252581719585</v>
      </c>
      <c r="AN870" s="9">
        <f t="shared" si="3647"/>
        <v>-28.679353740663345</v>
      </c>
      <c r="AO870" s="182">
        <f t="shared" si="3658"/>
        <v>19.599016067739957</v>
      </c>
      <c r="AP870" s="9">
        <f t="shared" si="3648"/>
        <v>-37.218077661661574</v>
      </c>
      <c r="AQ870" s="182"/>
      <c r="AR870" s="9" t="str">
        <f t="shared" si="3649"/>
        <v>NM</v>
      </c>
      <c r="AS870" s="182"/>
      <c r="AT870" s="9" t="str">
        <f t="shared" si="3650"/>
        <v>NM</v>
      </c>
      <c r="AU870" s="182"/>
      <c r="AV870" s="9" t="str">
        <f t="shared" si="3651"/>
        <v>NM</v>
      </c>
      <c r="AW870" s="182"/>
      <c r="AX870" s="9" t="str">
        <f t="shared" si="3652"/>
        <v>NM</v>
      </c>
      <c r="AY870" s="297"/>
      <c r="AZ870" s="178"/>
      <c r="BA870" s="9"/>
      <c r="BB870" s="182"/>
      <c r="BC870" s="9"/>
      <c r="BD870" s="977"/>
      <c r="BE870" s="9"/>
      <c r="BF870" s="182"/>
      <c r="BG870" s="9"/>
      <c r="BH870" s="182"/>
      <c r="BI870" s="9"/>
      <c r="BJ870" s="182"/>
      <c r="BK870" s="9"/>
      <c r="BL870" s="182"/>
      <c r="BM870" s="9"/>
      <c r="BN870" s="182"/>
      <c r="BO870" s="9"/>
      <c r="BP870" s="182"/>
      <c r="BQ870" s="9"/>
      <c r="BR870" s="182"/>
      <c r="BS870" s="9"/>
      <c r="BT870" s="182"/>
      <c r="BU870" s="9"/>
      <c r="BV870" s="180"/>
      <c r="BW870" s="180"/>
      <c r="BX870" s="180"/>
      <c r="BY870"/>
      <c r="BZ870"/>
      <c r="CA870"/>
      <c r="CB870"/>
      <c r="CC870"/>
      <c r="CD870"/>
    </row>
    <row r="871" spans="1:82" s="2" customFormat="1" ht="12.75" customHeight="1" x14ac:dyDescent="0.2">
      <c r="B871" s="185"/>
      <c r="C871" s="179"/>
      <c r="D871" s="9"/>
      <c r="E871" s="179"/>
      <c r="F871" s="9"/>
      <c r="G871" s="179"/>
      <c r="H871" s="9"/>
      <c r="I871" s="179"/>
      <c r="J871" s="9"/>
      <c r="K871" s="179"/>
      <c r="L871" s="9"/>
      <c r="M871" s="179"/>
      <c r="N871" s="9"/>
      <c r="O871" s="179"/>
      <c r="P871" s="9"/>
      <c r="Q871" s="179"/>
      <c r="R871" s="9"/>
      <c r="S871" s="179"/>
      <c r="T871" s="9"/>
      <c r="U871" s="179"/>
      <c r="V871" s="9"/>
      <c r="W871" s="179"/>
      <c r="X871" s="9"/>
      <c r="Y871" s="179"/>
      <c r="Z871" s="9"/>
      <c r="AA871" s="179"/>
      <c r="AB871" s="9"/>
      <c r="AC871" s="179"/>
      <c r="AD871" s="9"/>
      <c r="AE871" s="179"/>
      <c r="AF871" s="9"/>
      <c r="AG871" s="179"/>
      <c r="AH871" s="9"/>
      <c r="AI871" s="179"/>
      <c r="AJ871" s="9"/>
      <c r="AK871" s="179"/>
      <c r="AL871" s="9"/>
      <c r="AM871" s="179"/>
      <c r="AN871" s="9"/>
      <c r="AO871" s="179"/>
      <c r="AP871" s="9"/>
      <c r="AQ871" s="179"/>
      <c r="AR871" s="9"/>
      <c r="AS871" s="179"/>
      <c r="AT871" s="9"/>
      <c r="AU871" s="179"/>
      <c r="AV871" s="9"/>
      <c r="AW871" s="179"/>
      <c r="AX871" s="9"/>
      <c r="AY871" s="297"/>
      <c r="AZ871" s="178"/>
      <c r="BA871" s="9"/>
      <c r="BB871" s="179"/>
      <c r="BC871" s="9"/>
      <c r="BD871" s="976"/>
      <c r="BE871" s="9"/>
      <c r="BF871" s="179"/>
      <c r="BG871" s="9"/>
      <c r="BH871" s="179"/>
      <c r="BI871" s="9"/>
      <c r="BJ871" s="179"/>
      <c r="BK871" s="9"/>
      <c r="BL871" s="179"/>
      <c r="BM871" s="9"/>
      <c r="BN871" s="179"/>
      <c r="BO871" s="9"/>
      <c r="BP871" s="179"/>
      <c r="BQ871" s="9"/>
      <c r="BR871" s="179"/>
      <c r="BS871" s="9"/>
      <c r="BT871" s="179"/>
      <c r="BU871" s="9"/>
      <c r="BV871" s="180"/>
      <c r="BW871" s="180"/>
      <c r="BX871" s="180"/>
      <c r="BY871"/>
      <c r="BZ871"/>
      <c r="CA871"/>
      <c r="CB871"/>
      <c r="CC871"/>
      <c r="CD871"/>
    </row>
    <row r="872" spans="1:82" s="2" customFormat="1" ht="12.75" customHeight="1" x14ac:dyDescent="0.2">
      <c r="A872" s="7"/>
      <c r="B872" s="103" t="s">
        <v>282</v>
      </c>
      <c r="C872" s="181"/>
      <c r="D872" s="9"/>
      <c r="E872" s="181"/>
      <c r="F872" s="9"/>
      <c r="G872" s="181"/>
      <c r="H872" s="9"/>
      <c r="I872" s="181"/>
      <c r="J872" s="9"/>
      <c r="K872" s="181"/>
      <c r="L872" s="9"/>
      <c r="M872" s="181"/>
      <c r="N872" s="9"/>
      <c r="O872" s="181"/>
      <c r="P872" s="9"/>
      <c r="Q872" s="181"/>
      <c r="R872" s="9"/>
      <c r="S872" s="181"/>
      <c r="T872" s="9"/>
      <c r="U872" s="179"/>
      <c r="V872" s="9"/>
      <c r="W872" s="179"/>
      <c r="X872" s="9"/>
      <c r="Y872" s="179"/>
      <c r="Z872" s="9"/>
      <c r="AA872" s="179"/>
      <c r="AB872" s="9"/>
      <c r="AC872" s="179"/>
      <c r="AD872" s="9"/>
      <c r="AE872" s="179"/>
      <c r="AF872" s="9"/>
      <c r="AG872" s="179"/>
      <c r="AH872" s="9"/>
      <c r="AI872" s="179"/>
      <c r="AJ872" s="9"/>
      <c r="AK872" s="179"/>
      <c r="AL872" s="9"/>
      <c r="AM872" s="179"/>
      <c r="AN872" s="9"/>
      <c r="AO872" s="179"/>
      <c r="AP872" s="9"/>
      <c r="AQ872" s="179"/>
      <c r="AR872" s="9"/>
      <c r="AS872" s="179"/>
      <c r="AT872" s="9"/>
      <c r="AU872" s="179"/>
      <c r="AV872" s="9"/>
      <c r="AW872" s="179"/>
      <c r="AX872" s="9"/>
      <c r="AY872" s="297"/>
      <c r="AZ872" s="178"/>
      <c r="BA872" s="9"/>
      <c r="BB872" s="179"/>
      <c r="BC872" s="9"/>
      <c r="BD872" s="976"/>
      <c r="BE872" s="9"/>
      <c r="BF872" s="179"/>
      <c r="BG872" s="9"/>
      <c r="BH872" s="179"/>
      <c r="BI872" s="9"/>
      <c r="BJ872" s="179"/>
      <c r="BK872" s="9"/>
      <c r="BL872" s="179"/>
      <c r="BM872" s="9"/>
      <c r="BN872" s="179"/>
      <c r="BO872" s="9"/>
      <c r="BP872" s="179"/>
      <c r="BQ872" s="9"/>
      <c r="BR872" s="179"/>
      <c r="BS872" s="9"/>
      <c r="BT872" s="179"/>
      <c r="BU872" s="9"/>
      <c r="BV872" s="186"/>
      <c r="BW872" s="186"/>
      <c r="BX872" s="186"/>
      <c r="BY872"/>
      <c r="BZ872"/>
      <c r="CA872"/>
      <c r="CB872"/>
      <c r="CC872"/>
      <c r="CD872"/>
    </row>
    <row r="873" spans="1:82" s="2" customFormat="1" ht="12.75" customHeight="1" x14ac:dyDescent="0.2">
      <c r="A873" s="7" t="s">
        <v>131</v>
      </c>
      <c r="B873" s="7" t="s">
        <v>283</v>
      </c>
      <c r="C873" s="181">
        <v>46.5</v>
      </c>
      <c r="D873" s="9" t="str">
        <f>IF(ISERROR(C873/#REF!),"NA",IF(OR(C873/#REF!&gt;2,C873/#REF!&lt;0.5),"NM",C873/#REF!*100-100))</f>
        <v>NA</v>
      </c>
      <c r="E873" s="181">
        <v>175.3</v>
      </c>
      <c r="F873" s="9" t="str">
        <f>IF(ISERROR(E873/#REF!),"NA",IF(OR(E873/#REF!&gt;2,E873/#REF!&lt;0.5),"NM",E873/#REF!*100-100))</f>
        <v>NA</v>
      </c>
      <c r="G873" s="181">
        <v>175.5</v>
      </c>
      <c r="H873" s="9" t="str">
        <f>IF(ISERROR(G873/#REF!),"NA",IF(OR(G873/#REF!&gt;2,G873/#REF!&lt;0.5),"NM",G873/#REF!*100-100))</f>
        <v>NA</v>
      </c>
      <c r="I873" s="181">
        <v>150.6</v>
      </c>
      <c r="J873" s="9" t="str">
        <f>IF(ISERROR(I873/#REF!),"NA",IF(OR(I873/#REF!&gt;2,I873/#REF!&lt;0.5),"NM",I873/#REF!*100-100))</f>
        <v>NA</v>
      </c>
      <c r="K873" s="181">
        <v>148.80000000000001</v>
      </c>
      <c r="L873" s="9" t="str">
        <f>IF(ISERROR(K873/C873),"NA",IF(OR(K873/C873&gt;2,K873/C873&lt;0.5),"NM",K873/C873*100-100))</f>
        <v>NM</v>
      </c>
      <c r="M873" s="181">
        <v>148.6</v>
      </c>
      <c r="N873" s="9">
        <f>IF(ISERROR(M873/E873),"NA",IF(OR(M873/E873&gt;2,M873/E873&lt;0.5),"NM",M873/E873*100-100))</f>
        <v>-15.231032515687403</v>
      </c>
      <c r="O873" s="181">
        <v>126.3</v>
      </c>
      <c r="P873" s="9">
        <f>IF(ISERROR(O873/G873),"NA",IF(OR(O873/G873&gt;2,O873/G873&lt;0.5),"NM",O873/G873*100-100))</f>
        <v>-28.034188034188034</v>
      </c>
      <c r="Q873" s="181">
        <v>28</v>
      </c>
      <c r="R873" s="9" t="str">
        <f>IF(ISERROR(Q873/I873),"NA",IF(OR(Q873/I873&gt;2,Q873/I873&lt;0.5),"NM",Q873/I873*100-100))</f>
        <v>NM</v>
      </c>
      <c r="S873" s="181">
        <v>27.2</v>
      </c>
      <c r="T873" s="9" t="str">
        <f>IF(ISERROR(S873/K873),"NA",IF(OR(S873/K873&gt;2,S873/K873&lt;0.5),"NM",S873/K873*100-100))</f>
        <v>NM</v>
      </c>
      <c r="U873" s="181">
        <v>26.6</v>
      </c>
      <c r="V873" s="9" t="str">
        <f>IF(ISERROR(U873/M873),"NA",IF(OR(U873/M873&gt;2,U873/M873&lt;0.5),"NM",U873/M873*100-100))</f>
        <v>NM</v>
      </c>
      <c r="W873" s="181">
        <v>221.6</v>
      </c>
      <c r="X873" s="9">
        <f>IF(ISERROR(W873/O873),"NA",IF(OR(W873/O873&gt;2,W873/O873&lt;0.5),"NM",W873/O873*100-100))</f>
        <v>75.455265241488519</v>
      </c>
      <c r="Y873" s="181">
        <v>181.1</v>
      </c>
      <c r="Z873" s="9" t="str">
        <f>IF(ISERROR(Y873/Q873),"NA",IF(OR(Y873/Q873&gt;2,Y873/Q873&lt;0.5),"NM",Y873/Q873*100-100))</f>
        <v>NM</v>
      </c>
      <c r="AA873" s="181">
        <v>122.6</v>
      </c>
      <c r="AB873" s="9" t="str">
        <f>IF(ISERROR(AA873/S873),"NA",IF(OR(AA873/S873&gt;2,AA873/S873&lt;0.5),"NM",AA873/S873*100-100))</f>
        <v>NM</v>
      </c>
      <c r="AC873" s="181">
        <v>25.9</v>
      </c>
      <c r="AD873" s="9">
        <f>IF(ISERROR(AC873/U873),"NA",IF(OR(AC873/U873&gt;2,AC873/U873&lt;0.5),"NM",AC873/U873*100-100))</f>
        <v>-2.6315789473684248</v>
      </c>
      <c r="AE873" s="181">
        <v>39.9</v>
      </c>
      <c r="AF873" s="9" t="str">
        <f>IF(ISERROR(AE873/W873),"NA",IF(OR(AE873/W873&gt;2,AE873/W873&lt;0.5),"NM",AE873/W873*100-100))</f>
        <v>NM</v>
      </c>
      <c r="AG873" s="181">
        <v>51.4</v>
      </c>
      <c r="AH873" s="9" t="str">
        <f>IF(ISERROR(AG873/Y873),"NA",IF(OR(AG873/Y873&gt;2,AG873/Y873&lt;0.5),"NM",AG873/Y873*100-100))</f>
        <v>NM</v>
      </c>
      <c r="AI873" s="181">
        <v>59.5</v>
      </c>
      <c r="AJ873" s="9" t="str">
        <f t="shared" ref="AJ873:AJ875" si="3659">IF(ISERROR(AI873/AA873),"NA",IF(OR(AI873/AA873&gt;2,AI873/AA873&lt;0.5),"NM",AI873/AA873*100-100))</f>
        <v>NM</v>
      </c>
      <c r="AK873" s="181">
        <v>42</v>
      </c>
      <c r="AL873" s="9">
        <f t="shared" ref="AL873:AL875" si="3660">IF(ISERROR(AK873/AC873),"NA",IF(OR(AK873/AC873&gt;2,AK873/AC873&lt;0.5),"NM",AK873/AC873*100-100))</f>
        <v>62.162162162162161</v>
      </c>
      <c r="AM873" s="181">
        <v>58.8</v>
      </c>
      <c r="AN873" s="9">
        <f t="shared" ref="AN873:AN875" si="3661">IF(ISERROR(AM873/AE873),"NA",IF(OR(AM873/AE873&gt;2,AM873/AE873&lt;0.5),"NM",AM873/AE873*100-100))</f>
        <v>47.368421052631561</v>
      </c>
      <c r="AO873" s="181">
        <v>39.5</v>
      </c>
      <c r="AP873" s="9">
        <f t="shared" ref="AP873:AP875" si="3662">IF(ISERROR(AO873/AG873),"NA",IF(OR(AO873/AG873&gt;2,AO873/AG873&lt;0.5),"NM",AO873/AG873*100-100))</f>
        <v>-23.151750972762642</v>
      </c>
      <c r="AQ873" s="181">
        <f t="shared" ref="AQ873:AQ874" si="3663">AO873</f>
        <v>39.5</v>
      </c>
      <c r="AR873" s="9">
        <f t="shared" ref="AR873:AR875" si="3664">IF(ISERROR(AQ873/AI873),"NA",IF(OR(AQ873/AI873&gt;2,AQ873/AI873&lt;0.5),"NM",AQ873/AI873*100-100))</f>
        <v>-33.613445378151269</v>
      </c>
      <c r="AS873" s="181">
        <f t="shared" ref="AS873:AS874" si="3665">AQ873</f>
        <v>39.5</v>
      </c>
      <c r="AT873" s="9">
        <f t="shared" ref="AT873:AT875" si="3666">IF(ISERROR(AS873/AK873),"NA",IF(OR(AS873/AK873&gt;2,AS873/AK873&lt;0.5),"NM",AS873/AK873*100-100))</f>
        <v>-5.952380952380949</v>
      </c>
      <c r="AU873" s="181">
        <f t="shared" ref="AU873:AU874" si="3667">AS873</f>
        <v>39.5</v>
      </c>
      <c r="AV873" s="9">
        <f t="shared" ref="AV873:AV875" si="3668">IF(ISERROR(AU873/AM873),"NA",IF(OR(AU873/AM873&gt;2,AU873/AM873&lt;0.5),"NM",AU873/AM873*100-100))</f>
        <v>-32.823129251700678</v>
      </c>
      <c r="AW873" s="181">
        <f t="shared" ref="AW873:AW874" si="3669">AU873</f>
        <v>39.5</v>
      </c>
      <c r="AX873" s="9">
        <f t="shared" ref="AX873:AX875" si="3670">IF(ISERROR(AW873/AO873),"NA",IF(OR(AW873/AO873&gt;2,AW873/AO873&lt;0.5),"NM",AW873/AO873*100-100))</f>
        <v>0</v>
      </c>
      <c r="AY873" s="297"/>
      <c r="AZ873" s="178"/>
      <c r="BA873" s="9" t="str">
        <f>IF(ISERROR(#REF!/#REF!),"NA",IF(OR(#REF!/#REF!&gt;2,#REF!/#REF!&lt;0.5),"NM",#REF!/#REF!*100-100))</f>
        <v>NA</v>
      </c>
      <c r="BB873" s="179">
        <f>U873</f>
        <v>26.6</v>
      </c>
      <c r="BC873" s="9" t="str">
        <f>IF(ISERROR(BB873/#REF!),"NA",IF(OR(BB873/#REF!&gt;2,BB873/#REF!&lt;0.5),"NM",BB873/#REF!*100-100))</f>
        <v>NA</v>
      </c>
      <c r="BD873" s="976">
        <f>W873</f>
        <v>221.6</v>
      </c>
      <c r="BE873" s="9" t="str">
        <f t="shared" ref="BE873:BS875" si="3671">IF(ISERROR(BD873/BB873),"NA",IF(OR(BD873/BB873&gt;2,BD873/BB873&lt;0.5),"NM",BD873/BB873*100-100))</f>
        <v>NM</v>
      </c>
      <c r="BF873" s="179">
        <f>Y873</f>
        <v>181.1</v>
      </c>
      <c r="BG873" s="9">
        <f t="shared" si="3671"/>
        <v>-18.276173285198567</v>
      </c>
      <c r="BH873" s="179">
        <f>AG873</f>
        <v>51.4</v>
      </c>
      <c r="BI873" s="9" t="str">
        <f t="shared" si="3671"/>
        <v>NM</v>
      </c>
      <c r="BJ873" s="179">
        <f>AO873</f>
        <v>39.5</v>
      </c>
      <c r="BK873" s="9">
        <f t="shared" si="3671"/>
        <v>-23.151750972762642</v>
      </c>
      <c r="BL873" s="179">
        <f>AW873</f>
        <v>39.5</v>
      </c>
      <c r="BM873" s="9">
        <f t="shared" si="3671"/>
        <v>0</v>
      </c>
      <c r="BN873" s="181">
        <f>BL873</f>
        <v>39.5</v>
      </c>
      <c r="BO873" s="9">
        <f t="shared" si="3671"/>
        <v>0</v>
      </c>
      <c r="BP873" s="181">
        <f>BN873</f>
        <v>39.5</v>
      </c>
      <c r="BQ873" s="9">
        <f t="shared" si="3671"/>
        <v>0</v>
      </c>
      <c r="BR873" s="181">
        <f>BP873</f>
        <v>39.5</v>
      </c>
      <c r="BS873" s="9">
        <f t="shared" si="3671"/>
        <v>0</v>
      </c>
      <c r="BT873" s="181">
        <f>BR873</f>
        <v>39.5</v>
      </c>
      <c r="BU873" s="9">
        <f t="shared" ref="BU873:BU875" si="3672">IF(ISERROR(BT873/BR873),"NA",IF(OR(BT873/BR873&gt;2,BT873/BR873&lt;0.5),"NM",BT873/BR873*100-100))</f>
        <v>0</v>
      </c>
      <c r="BV873" s="43">
        <f>IF(ISERROR(((BT873/BJ873)^0.2-1)*100),"NA",IF((((BT873/BJ873)^0.2-1)*100)&gt;100,"NM",IF((((BT873/BJ873)^0.2-1)*100)&lt;-50,"NM",((BT873/BJ873)^0.2-1)*100)))</f>
        <v>0</v>
      </c>
      <c r="BW873" s="180"/>
      <c r="BX873" s="180"/>
      <c r="BY873"/>
      <c r="BZ873"/>
      <c r="CA873"/>
      <c r="CB873"/>
      <c r="CC873"/>
      <c r="CD873"/>
    </row>
    <row r="874" spans="1:82" s="2" customFormat="1" ht="12.75" customHeight="1" x14ac:dyDescent="0.2">
      <c r="A874" s="7" t="s">
        <v>132</v>
      </c>
      <c r="B874" s="7" t="s">
        <v>284</v>
      </c>
      <c r="C874" s="181">
        <v>2790.5</v>
      </c>
      <c r="D874" s="9" t="str">
        <f>IF(ISERROR(C874/#REF!),"NA",IF(OR(C874/#REF!&gt;2,C874/#REF!&lt;0.5),"NM",C874/#REF!*100-100))</f>
        <v>NA</v>
      </c>
      <c r="E874" s="181">
        <v>2578.6</v>
      </c>
      <c r="F874" s="9" t="str">
        <f>IF(ISERROR(E874/#REF!),"NA",IF(OR(E874/#REF!&gt;2,E874/#REF!&lt;0.5),"NM",E874/#REF!*100-100))</f>
        <v>NA</v>
      </c>
      <c r="G874" s="181">
        <v>2593.3000000000002</v>
      </c>
      <c r="H874" s="9" t="str">
        <f>IF(ISERROR(G874/#REF!),"NA",IF(OR(G874/#REF!&gt;2,G874/#REF!&lt;0.5),"NM",G874/#REF!*100-100))</f>
        <v>NA</v>
      </c>
      <c r="I874" s="181">
        <v>2601.4</v>
      </c>
      <c r="J874" s="9" t="str">
        <f>IF(ISERROR(I874/#REF!),"NA",IF(OR(I874/#REF!&gt;2,I874/#REF!&lt;0.5),"NM",I874/#REF!*100-100))</f>
        <v>NA</v>
      </c>
      <c r="K874" s="181">
        <v>2516</v>
      </c>
      <c r="L874" s="9">
        <f>IF(ISERROR(K874/C874),"NA",IF(OR(K874/C874&gt;2,K874/C874&lt;0.5),"NM",K874/C874*100-100))</f>
        <v>-9.8369467837305109</v>
      </c>
      <c r="M874" s="181">
        <v>2529.4</v>
      </c>
      <c r="N874" s="9">
        <f>IF(ISERROR(M874/E874),"NA",IF(OR(M874/E874&gt;2,M874/E874&lt;0.5),"NM",M874/E874*100-100))</f>
        <v>-1.908012099588916</v>
      </c>
      <c r="O874" s="181">
        <v>2529.1999999999998</v>
      </c>
      <c r="P874" s="9">
        <f>IF(ISERROR(O874/G874),"NA",IF(OR(O874/G874&gt;2,O874/G874&lt;0.5),"NM",O874/G874*100-100))</f>
        <v>-2.4717541356572923</v>
      </c>
      <c r="Q874" s="181">
        <v>2531.1999999999998</v>
      </c>
      <c r="R874" s="9">
        <f>IF(ISERROR(Q874/I874),"NA",IF(OR(Q874/I874&gt;2,Q874/I874&lt;0.5),"NM",Q874/I874*100-100))</f>
        <v>-2.6985469362651031</v>
      </c>
      <c r="S874" s="181">
        <v>2514.6</v>
      </c>
      <c r="T874" s="9">
        <f>IF(ISERROR(S874/K874),"NA",IF(OR(S874/K874&gt;2,S874/K874&lt;0.5),"NM",S874/K874*100-100))</f>
        <v>-5.5643879173288724E-2</v>
      </c>
      <c r="U874" s="181">
        <v>3315.9</v>
      </c>
      <c r="V874" s="9">
        <f>IF(ISERROR(U874/M874),"NA",IF(OR(U874/M874&gt;2,U874/M874&lt;0.5),"NM",U874/M874*100-100))</f>
        <v>31.094330671305443</v>
      </c>
      <c r="W874" s="181">
        <v>3286.1</v>
      </c>
      <c r="X874" s="9">
        <f>IF(ISERROR(W874/O874),"NA",IF(OR(W874/O874&gt;2,W874/O874&lt;0.5),"NM",W874/O874*100-100))</f>
        <v>29.926458959354761</v>
      </c>
      <c r="Y874" s="181">
        <v>3290.8</v>
      </c>
      <c r="Z874" s="9">
        <f>IF(ISERROR(Y874/Q874),"NA",IF(OR(Y874/Q874&gt;2,Y874/Q874&lt;0.5),"NM",Y874/Q874*100-100))</f>
        <v>30.009481668773731</v>
      </c>
      <c r="AA874" s="181">
        <v>3269.1</v>
      </c>
      <c r="AB874" s="9">
        <f>IF(ISERROR(AA874/S874),"NA",IF(OR(AA874/S874&gt;2,AA874/S874&lt;0.5),"NM",AA874/S874*100-100))</f>
        <v>30.004772130756379</v>
      </c>
      <c r="AC874" s="181">
        <v>3270.2</v>
      </c>
      <c r="AD874" s="9">
        <f>IF(ISERROR(AC874/U874),"NA",IF(OR(AC874/U874&gt;2,AC874/U874&lt;0.5),"NM",AC874/U874*100-100))</f>
        <v>-1.3782080279863749</v>
      </c>
      <c r="AE874" s="181">
        <v>3278.2</v>
      </c>
      <c r="AF874" s="9">
        <f>IF(ISERROR(AE874/W874),"NA",IF(OR(AE874/W874&gt;2,AE874/W874&lt;0.5),"NM",AE874/W874*100-100))</f>
        <v>-0.24040656096893542</v>
      </c>
      <c r="AG874" s="181">
        <v>3125.7</v>
      </c>
      <c r="AH874" s="9">
        <f>IF(ISERROR(AG874/Y874),"NA",IF(OR(AG874/Y874&gt;2,AG874/Y874&lt;0.5),"NM",AG874/Y874*100-100))</f>
        <v>-5.0170171386896953</v>
      </c>
      <c r="AI874" s="181">
        <v>3126.2</v>
      </c>
      <c r="AJ874" s="9">
        <f t="shared" si="3659"/>
        <v>-4.371233672876329</v>
      </c>
      <c r="AK874" s="181">
        <v>3126.8</v>
      </c>
      <c r="AL874" s="9">
        <f t="shared" si="3660"/>
        <v>-4.3850529019631779</v>
      </c>
      <c r="AM874" s="181">
        <v>3175.4</v>
      </c>
      <c r="AN874" s="9">
        <f t="shared" si="3661"/>
        <v>-3.1358672442193836</v>
      </c>
      <c r="AO874" s="181">
        <v>3178.4</v>
      </c>
      <c r="AP874" s="9">
        <f t="shared" si="3662"/>
        <v>1.6860223309978579</v>
      </c>
      <c r="AQ874" s="181">
        <f t="shared" si="3663"/>
        <v>3178.4</v>
      </c>
      <c r="AR874" s="9">
        <f t="shared" si="3664"/>
        <v>1.6697588126159673</v>
      </c>
      <c r="AS874" s="181">
        <f t="shared" si="3665"/>
        <v>3178.4</v>
      </c>
      <c r="AT874" s="9">
        <f t="shared" si="3666"/>
        <v>1.650249456313162</v>
      </c>
      <c r="AU874" s="181">
        <f t="shared" si="3667"/>
        <v>3178.4</v>
      </c>
      <c r="AV874" s="9">
        <f t="shared" si="3668"/>
        <v>9.4476286452092495E-2</v>
      </c>
      <c r="AW874" s="181">
        <f t="shared" si="3669"/>
        <v>3178.4</v>
      </c>
      <c r="AX874" s="9">
        <f t="shared" si="3670"/>
        <v>0</v>
      </c>
      <c r="AY874" s="297"/>
      <c r="AZ874" s="178"/>
      <c r="BA874" s="9" t="str">
        <f>IF(ISERROR(#REF!/#REF!),"NA",IF(OR(#REF!/#REF!&gt;2,#REF!/#REF!&lt;0.5),"NM",#REF!/#REF!*100-100))</f>
        <v>NA</v>
      </c>
      <c r="BB874" s="179">
        <f>U874</f>
        <v>3315.9</v>
      </c>
      <c r="BC874" s="9" t="str">
        <f>IF(ISERROR(BB874/#REF!),"NA",IF(OR(BB874/#REF!&gt;2,BB874/#REF!&lt;0.5),"NM",BB874/#REF!*100-100))</f>
        <v>NA</v>
      </c>
      <c r="BD874" s="976">
        <f>W874</f>
        <v>3286.1</v>
      </c>
      <c r="BE874" s="9">
        <f t="shared" si="3671"/>
        <v>-0.89870020205675871</v>
      </c>
      <c r="BF874" s="179">
        <f>Y874</f>
        <v>3290.8</v>
      </c>
      <c r="BG874" s="9">
        <f t="shared" si="3671"/>
        <v>0.14302668817138908</v>
      </c>
      <c r="BH874" s="179">
        <f>AG874</f>
        <v>3125.7</v>
      </c>
      <c r="BI874" s="9">
        <f t="shared" si="3671"/>
        <v>-5.0170171386896953</v>
      </c>
      <c r="BJ874" s="179">
        <f>AO874</f>
        <v>3178.4</v>
      </c>
      <c r="BK874" s="9">
        <f t="shared" si="3671"/>
        <v>1.6860223309978579</v>
      </c>
      <c r="BL874" s="179">
        <f>AW874</f>
        <v>3178.4</v>
      </c>
      <c r="BM874" s="9">
        <f t="shared" si="3671"/>
        <v>0</v>
      </c>
      <c r="BN874" s="181">
        <f>BL874</f>
        <v>3178.4</v>
      </c>
      <c r="BO874" s="9">
        <f t="shared" si="3671"/>
        <v>0</v>
      </c>
      <c r="BP874" s="181">
        <f>BN874</f>
        <v>3178.4</v>
      </c>
      <c r="BQ874" s="9">
        <f t="shared" si="3671"/>
        <v>0</v>
      </c>
      <c r="BR874" s="181">
        <f>BP874</f>
        <v>3178.4</v>
      </c>
      <c r="BS874" s="9">
        <f t="shared" si="3671"/>
        <v>0</v>
      </c>
      <c r="BT874" s="181">
        <f>BR874</f>
        <v>3178.4</v>
      </c>
      <c r="BU874" s="9">
        <f t="shared" si="3672"/>
        <v>0</v>
      </c>
      <c r="BV874" s="43">
        <f>IF(ISERROR(((BT874/BJ874)^0.2-1)*100),"NA",IF((((BT874/BJ874)^0.2-1)*100)&gt;100,"NM",IF((((BT874/BJ874)^0.2-1)*100)&lt;-50,"NM",((BT874/BJ874)^0.2-1)*100)))</f>
        <v>0</v>
      </c>
      <c r="BW874" s="180"/>
      <c r="BX874" s="180"/>
      <c r="BY874"/>
      <c r="BZ874"/>
      <c r="CA874"/>
      <c r="CB874"/>
      <c r="CC874"/>
      <c r="CD874"/>
    </row>
    <row r="875" spans="1:82" s="2" customFormat="1" ht="12.75" customHeight="1" x14ac:dyDescent="0.2">
      <c r="A875" s="7"/>
      <c r="B875" s="7" t="s">
        <v>474</v>
      </c>
      <c r="C875" s="179">
        <f>SUM(C873:C874)</f>
        <v>2837</v>
      </c>
      <c r="D875" s="9" t="str">
        <f>IF(ISERROR(C875/#REF!),"NA",IF(OR(C875/#REF!&gt;2,C875/#REF!&lt;0.5),"NM",C875/#REF!*100-100))</f>
        <v>NA</v>
      </c>
      <c r="E875" s="179">
        <f>SUM(E873:E874)</f>
        <v>2753.9</v>
      </c>
      <c r="F875" s="9" t="str">
        <f>IF(ISERROR(E875/#REF!),"NA",IF(OR(E875/#REF!&gt;2,E875/#REF!&lt;0.5),"NM",E875/#REF!*100-100))</f>
        <v>NA</v>
      </c>
      <c r="G875" s="179">
        <f>SUM(G873:G874)</f>
        <v>2768.8</v>
      </c>
      <c r="H875" s="9" t="str">
        <f>IF(ISERROR(G875/#REF!),"NA",IF(OR(G875/#REF!&gt;2,G875/#REF!&lt;0.5),"NM",G875/#REF!*100-100))</f>
        <v>NA</v>
      </c>
      <c r="I875" s="179">
        <f>SUM(I873:I874)</f>
        <v>2752</v>
      </c>
      <c r="J875" s="9" t="str">
        <f>IF(ISERROR(I875/#REF!),"NA",IF(OR(I875/#REF!&gt;2,I875/#REF!&lt;0.5),"NM",I875/#REF!*100-100))</f>
        <v>NA</v>
      </c>
      <c r="K875" s="179">
        <f>SUM(K873:K874)</f>
        <v>2664.8</v>
      </c>
      <c r="L875" s="9">
        <f>IF(ISERROR(K875/C875),"NA",IF(OR(K875/C875&gt;2,K875/C875&lt;0.5),"NM",K875/C875*100-100))</f>
        <v>-6.0697920338385529</v>
      </c>
      <c r="M875" s="179">
        <f>SUM(M873:M874)</f>
        <v>2678</v>
      </c>
      <c r="N875" s="9">
        <f>IF(ISERROR(M875/E875),"NA",IF(OR(M875/E875&gt;2,M875/E875&lt;0.5),"NM",M875/E875*100-100))</f>
        <v>-2.7560913613421008</v>
      </c>
      <c r="O875" s="179">
        <f>SUM(O873:O874)</f>
        <v>2655.5</v>
      </c>
      <c r="P875" s="9">
        <f>IF(ISERROR(O875/G875),"NA",IF(OR(O875/G875&gt;2,O875/G875&lt;0.5),"NM",O875/G875*100-100))</f>
        <v>-4.0920254261774147</v>
      </c>
      <c r="Q875" s="179">
        <f>SUM(Q873:Q874)</f>
        <v>2559.1999999999998</v>
      </c>
      <c r="R875" s="9">
        <f>IF(ISERROR(Q875/I875),"NA",IF(OR(Q875/I875&gt;2,Q875/I875&lt;0.5),"NM",Q875/I875*100-100))</f>
        <v>-7.005813953488385</v>
      </c>
      <c r="S875" s="179">
        <f>SUM(S873:S874)</f>
        <v>2541.7999999999997</v>
      </c>
      <c r="T875" s="9">
        <f>IF(ISERROR(S875/K875),"NA",IF(OR(S875/K875&gt;2,S875/K875&lt;0.5),"NM",S875/K875*100-100))</f>
        <v>-4.6157310117082062</v>
      </c>
      <c r="U875" s="179">
        <f>SUM(U873:U874)</f>
        <v>3342.5</v>
      </c>
      <c r="V875" s="9">
        <f>IF(ISERROR(U875/M875),"NA",IF(OR(U875/M875&gt;2,U875/M875&lt;0.5),"NM",U875/M875*100-100))</f>
        <v>24.813293502613902</v>
      </c>
      <c r="W875" s="179">
        <f t="shared" ref="W875:Y875" si="3673">SUM(W873:W874)</f>
        <v>3507.7</v>
      </c>
      <c r="X875" s="9">
        <f>IF(ISERROR(W875/O875),"NA",IF(OR(W875/O875&gt;2,W875/O875&lt;0.5),"NM",W875/O875*100-100))</f>
        <v>32.091884767463739</v>
      </c>
      <c r="Y875" s="179">
        <f t="shared" si="3673"/>
        <v>3471.9</v>
      </c>
      <c r="Z875" s="9">
        <f>IF(ISERROR(Y875/Q875),"NA",IF(OR(Y875/Q875&gt;2,Y875/Q875&lt;0.5),"NM",Y875/Q875*100-100))</f>
        <v>35.663488590184443</v>
      </c>
      <c r="AA875" s="179">
        <f t="shared" ref="AA875:AC875" si="3674">SUM(AA873:AA874)</f>
        <v>3391.7</v>
      </c>
      <c r="AB875" s="9">
        <f>IF(ISERROR(AA875/S875),"NA",IF(OR(AA875/S875&gt;2,AA875/S875&lt;0.5),"NM",AA875/S875*100-100))</f>
        <v>33.436934455897386</v>
      </c>
      <c r="AC875" s="179">
        <f t="shared" si="3674"/>
        <v>3296.1</v>
      </c>
      <c r="AD875" s="9">
        <f>IF(ISERROR(AC875/U875),"NA",IF(OR(AC875/U875&gt;2,AC875/U875&lt;0.5),"NM",AC875/U875*100-100))</f>
        <v>-1.3881824981301349</v>
      </c>
      <c r="AE875" s="179">
        <f t="shared" ref="AE875:AG875" si="3675">SUM(AE873:AE874)</f>
        <v>3318.1</v>
      </c>
      <c r="AF875" s="9">
        <f>IF(ISERROR(AE875/W875),"NA",IF(OR(AE875/W875&gt;2,AE875/W875&lt;0.5),"NM",AE875/W875*100-100))</f>
        <v>-5.4052513042734489</v>
      </c>
      <c r="AG875" s="179">
        <f t="shared" si="3675"/>
        <v>3177.1</v>
      </c>
      <c r="AH875" s="9">
        <f>IF(ISERROR(AG875/Y875),"NA",IF(OR(AG875/Y875&gt;2,AG875/Y875&lt;0.5),"NM",AG875/Y875*100-100))</f>
        <v>-8.4910279673953823</v>
      </c>
      <c r="AI875" s="179">
        <f t="shared" ref="AI875:AK875" si="3676">SUM(AI873:AI874)</f>
        <v>3185.7</v>
      </c>
      <c r="AJ875" s="9">
        <f t="shared" si="3659"/>
        <v>-6.0736503818144314</v>
      </c>
      <c r="AK875" s="179">
        <f t="shared" si="3676"/>
        <v>3168.8</v>
      </c>
      <c r="AL875" s="9">
        <f t="shared" si="3660"/>
        <v>-3.8621401049725392</v>
      </c>
      <c r="AM875" s="179">
        <f t="shared" ref="AM875:AO875" si="3677">SUM(AM873:AM874)</f>
        <v>3234.2000000000003</v>
      </c>
      <c r="AN875" s="9">
        <f t="shared" si="3661"/>
        <v>-2.5285554986287195</v>
      </c>
      <c r="AO875" s="179">
        <f t="shared" si="3677"/>
        <v>3217.9</v>
      </c>
      <c r="AP875" s="9">
        <f t="shared" si="3662"/>
        <v>1.2841899845771394</v>
      </c>
      <c r="AQ875" s="179">
        <f t="shared" ref="AQ875:AW875" si="3678">SUM(AQ873:AQ874)</f>
        <v>3217.9</v>
      </c>
      <c r="AR875" s="9">
        <f t="shared" si="3664"/>
        <v>1.0107668644254062</v>
      </c>
      <c r="AS875" s="179">
        <f t="shared" si="3678"/>
        <v>3217.9</v>
      </c>
      <c r="AT875" s="9">
        <f t="shared" si="3666"/>
        <v>1.5494824539257621</v>
      </c>
      <c r="AU875" s="179">
        <f t="shared" si="3678"/>
        <v>3217.9</v>
      </c>
      <c r="AV875" s="9">
        <f t="shared" si="3668"/>
        <v>-0.50398862160659519</v>
      </c>
      <c r="AW875" s="179">
        <f t="shared" si="3678"/>
        <v>3217.9</v>
      </c>
      <c r="AX875" s="9">
        <f t="shared" si="3670"/>
        <v>0</v>
      </c>
      <c r="AY875" s="297"/>
      <c r="AZ875" s="178"/>
      <c r="BA875" s="9" t="str">
        <f>IF(ISERROR(#REF!/#REF!),"NA",IF(OR(#REF!/#REF!&gt;2,#REF!/#REF!&lt;0.5),"NM",#REF!/#REF!*100-100))</f>
        <v>NA</v>
      </c>
      <c r="BB875" s="179">
        <f>BB874+BB873</f>
        <v>3342.5</v>
      </c>
      <c r="BC875" s="9" t="str">
        <f>IF(ISERROR(BB875/#REF!),"NA",IF(OR(BB875/#REF!&gt;2,BB875/#REF!&lt;0.5),"NM",BB875/#REF!*100-100))</f>
        <v>NA</v>
      </c>
      <c r="BD875" s="976">
        <f>BD874+BD873</f>
        <v>3507.7</v>
      </c>
      <c r="BE875" s="9">
        <f t="shared" si="3671"/>
        <v>4.9424083769633427</v>
      </c>
      <c r="BF875" s="179">
        <f>BF874+BF873</f>
        <v>3471.9</v>
      </c>
      <c r="BG875" s="9">
        <f t="shared" si="3671"/>
        <v>-1.0206117969039497</v>
      </c>
      <c r="BH875" s="179">
        <f>BH874+BH873</f>
        <v>3177.1</v>
      </c>
      <c r="BI875" s="9">
        <f t="shared" si="3671"/>
        <v>-8.4910279673953823</v>
      </c>
      <c r="BJ875" s="179">
        <f>BJ874+BJ873</f>
        <v>3217.9</v>
      </c>
      <c r="BK875" s="9">
        <f t="shared" si="3671"/>
        <v>1.2841899845771394</v>
      </c>
      <c r="BL875" s="179">
        <f>BL874+BL873</f>
        <v>3217.9</v>
      </c>
      <c r="BM875" s="9">
        <f t="shared" si="3671"/>
        <v>0</v>
      </c>
      <c r="BN875" s="179">
        <f>SUM(BN873:BN874)</f>
        <v>3217.9</v>
      </c>
      <c r="BO875" s="9">
        <f t="shared" si="3671"/>
        <v>0</v>
      </c>
      <c r="BP875" s="179">
        <f>SUM(BP873:BP874)</f>
        <v>3217.9</v>
      </c>
      <c r="BQ875" s="9">
        <f t="shared" si="3671"/>
        <v>0</v>
      </c>
      <c r="BR875" s="179">
        <f>SUM(BR873:BR874)</f>
        <v>3217.9</v>
      </c>
      <c r="BS875" s="9">
        <f t="shared" si="3671"/>
        <v>0</v>
      </c>
      <c r="BT875" s="179">
        <f>SUM(BT873:BT874)</f>
        <v>3217.9</v>
      </c>
      <c r="BU875" s="9">
        <f t="shared" si="3672"/>
        <v>0</v>
      </c>
      <c r="BV875" s="43">
        <f>IF(ISERROR(((BT875/BJ875)^0.2-1)*100),"NA",IF((((BT875/BJ875)^0.2-1)*100)&gt;100,"NM",IF((((BT875/BJ875)^0.2-1)*100)&lt;-50,"NM",((BT875/BJ875)^0.2-1)*100)))</f>
        <v>0</v>
      </c>
      <c r="BW875" s="180"/>
      <c r="BX875" s="180"/>
      <c r="BY875"/>
      <c r="BZ875"/>
      <c r="CA875"/>
      <c r="CB875"/>
      <c r="CC875"/>
      <c r="CD875"/>
    </row>
    <row r="876" spans="1:82" s="2" customFormat="1" ht="12.75" customHeight="1" x14ac:dyDescent="0.2">
      <c r="A876" s="7"/>
      <c r="B876" s="7"/>
      <c r="C876" s="179"/>
      <c r="D876" s="9"/>
      <c r="E876" s="179"/>
      <c r="F876" s="9"/>
      <c r="G876" s="179"/>
      <c r="H876" s="9"/>
      <c r="I876" s="179"/>
      <c r="J876" s="9"/>
      <c r="K876" s="179"/>
      <c r="L876" s="9"/>
      <c r="M876" s="179"/>
      <c r="N876" s="9"/>
      <c r="O876" s="179"/>
      <c r="P876" s="9"/>
      <c r="Q876" s="179"/>
      <c r="R876" s="9"/>
      <c r="S876" s="179"/>
      <c r="T876" s="9"/>
      <c r="U876" s="179"/>
      <c r="V876" s="9"/>
      <c r="W876" s="179"/>
      <c r="X876" s="9"/>
      <c r="Y876" s="179"/>
      <c r="Z876" s="9"/>
      <c r="AA876" s="179"/>
      <c r="AB876" s="9"/>
      <c r="AC876" s="179"/>
      <c r="AD876" s="9"/>
      <c r="AE876" s="179"/>
      <c r="AF876" s="9"/>
      <c r="AG876" s="179"/>
      <c r="AH876" s="9"/>
      <c r="AI876" s="179"/>
      <c r="AJ876" s="9"/>
      <c r="AK876" s="179"/>
      <c r="AL876" s="9"/>
      <c r="AM876" s="179"/>
      <c r="AN876" s="9"/>
      <c r="AO876" s="179"/>
      <c r="AP876" s="9"/>
      <c r="AQ876" s="179"/>
      <c r="AR876" s="9"/>
      <c r="AS876" s="179"/>
      <c r="AT876" s="9"/>
      <c r="AU876" s="179"/>
      <c r="AV876" s="9"/>
      <c r="AW876" s="179"/>
      <c r="AX876" s="9"/>
      <c r="AY876" s="297"/>
      <c r="AZ876" s="178"/>
      <c r="BA876" s="9"/>
      <c r="BB876" s="179"/>
      <c r="BC876" s="9"/>
      <c r="BD876" s="976"/>
      <c r="BE876" s="9"/>
      <c r="BF876" s="179"/>
      <c r="BG876" s="9"/>
      <c r="BH876" s="179"/>
      <c r="BI876" s="9"/>
      <c r="BJ876" s="179"/>
      <c r="BK876" s="9"/>
      <c r="BL876" s="179"/>
      <c r="BM876" s="9"/>
      <c r="BN876" s="179"/>
      <c r="BO876" s="9"/>
      <c r="BP876" s="179"/>
      <c r="BQ876" s="9"/>
      <c r="BR876" s="179"/>
      <c r="BS876" s="9"/>
      <c r="BT876" s="179"/>
      <c r="BU876" s="9"/>
      <c r="BV876" s="180"/>
      <c r="BW876" s="180"/>
      <c r="BX876" s="180"/>
      <c r="BY876"/>
      <c r="BZ876"/>
      <c r="CA876"/>
      <c r="CB876"/>
      <c r="CC876"/>
      <c r="CD876"/>
    </row>
    <row r="877" spans="1:82" s="2" customFormat="1" ht="12.75" customHeight="1" x14ac:dyDescent="0.2">
      <c r="B877" s="103" t="s">
        <v>248</v>
      </c>
      <c r="C877" s="181"/>
      <c r="D877" s="9"/>
      <c r="E877" s="181"/>
      <c r="F877" s="9"/>
      <c r="G877" s="181"/>
      <c r="H877" s="9"/>
      <c r="I877" s="179"/>
      <c r="J877" s="9"/>
      <c r="K877" s="179"/>
      <c r="L877" s="9"/>
      <c r="M877" s="179"/>
      <c r="N877" s="9"/>
      <c r="O877" s="179"/>
      <c r="P877" s="9"/>
      <c r="Q877" s="179"/>
      <c r="R877" s="9"/>
      <c r="S877" s="179"/>
      <c r="T877" s="9"/>
      <c r="U877" s="179"/>
      <c r="V877" s="9"/>
      <c r="W877" s="179"/>
      <c r="X877" s="9"/>
      <c r="Y877" s="179"/>
      <c r="Z877" s="9"/>
      <c r="AA877" s="179"/>
      <c r="AB877" s="9"/>
      <c r="AC877" s="179"/>
      <c r="AD877" s="9"/>
      <c r="AE877" s="179"/>
      <c r="AF877" s="9"/>
      <c r="AG877" s="179"/>
      <c r="AH877" s="9"/>
      <c r="AI877" s="179"/>
      <c r="AJ877" s="9"/>
      <c r="AK877" s="179"/>
      <c r="AL877" s="9"/>
      <c r="AM877" s="179"/>
      <c r="AN877" s="9"/>
      <c r="AO877" s="179"/>
      <c r="AP877" s="9"/>
      <c r="AQ877" s="179"/>
      <c r="AR877" s="9"/>
      <c r="AS877" s="179"/>
      <c r="AT877" s="9"/>
      <c r="AU877" s="179"/>
      <c r="AV877" s="9"/>
      <c r="AW877" s="179"/>
      <c r="AX877" s="9"/>
      <c r="AY877" s="297"/>
      <c r="AZ877" s="178"/>
      <c r="BA877" s="9"/>
      <c r="BB877" s="179"/>
      <c r="BC877" s="9"/>
      <c r="BD877" s="976"/>
      <c r="BE877" s="9"/>
      <c r="BF877" s="179"/>
      <c r="BG877" s="9"/>
      <c r="BH877" s="179"/>
      <c r="BI877" s="9"/>
      <c r="BJ877" s="179"/>
      <c r="BK877" s="9"/>
      <c r="BL877" s="179"/>
      <c r="BM877" s="9"/>
      <c r="BN877" s="179"/>
      <c r="BO877" s="9"/>
      <c r="BP877" s="179"/>
      <c r="BQ877" s="9"/>
      <c r="BR877" s="179"/>
      <c r="BS877" s="9"/>
      <c r="BT877" s="179"/>
      <c r="BU877" s="9"/>
      <c r="BV877" s="180"/>
      <c r="BW877" s="180"/>
      <c r="BX877" s="180"/>
      <c r="BY877"/>
      <c r="BZ877"/>
      <c r="CA877"/>
      <c r="CB877"/>
      <c r="CC877"/>
      <c r="CD877"/>
    </row>
    <row r="878" spans="1:82" s="2" customFormat="1" ht="12.75" customHeight="1" x14ac:dyDescent="0.2">
      <c r="A878" s="7"/>
      <c r="B878" s="7" t="s">
        <v>249</v>
      </c>
      <c r="C878" s="179">
        <f>C880-C879</f>
        <v>67296.199999999983</v>
      </c>
      <c r="D878" s="9" t="str">
        <f>IF(ISERROR(C878/#REF!),"NA",IF(OR(C878/#REF!&gt;2,C878/#REF!&lt;0.5),"NM",C878/#REF!*100-100))</f>
        <v>NA</v>
      </c>
      <c r="E878" s="179">
        <f>E880-E879</f>
        <v>65715.200000000026</v>
      </c>
      <c r="F878" s="9" t="str">
        <f>IF(ISERROR(E878/#REF!),"NA",IF(OR(E878/#REF!&gt;2,E878/#REF!&lt;0.5),"NM",E878/#REF!*100-100))</f>
        <v>NA</v>
      </c>
      <c r="G878" s="179">
        <f>G880-G879</f>
        <v>65839.700000000012</v>
      </c>
      <c r="H878" s="9" t="str">
        <f>IF(ISERROR(G878/#REF!),"NA",IF(OR(G878/#REF!&gt;2,G878/#REF!&lt;0.5),"NM",G878/#REF!*100-100))</f>
        <v>NA</v>
      </c>
      <c r="I878" s="179">
        <f>I880-I879</f>
        <v>65736.799999999988</v>
      </c>
      <c r="J878" s="9" t="str">
        <f>IF(ISERROR(I878/#REF!),"NA",IF(OR(I878/#REF!&gt;2,I878/#REF!&lt;0.5),"NM",I878/#REF!*100-100))</f>
        <v>NA</v>
      </c>
      <c r="K878" s="179">
        <f>K880-K879</f>
        <v>65736.600000000006</v>
      </c>
      <c r="L878" s="9">
        <f>IF(ISERROR(K878/C878),"NA",IF(OR(K878/C878&gt;2,K878/C878&lt;0.5),"NM",K878/C878*100-100))</f>
        <v>-2.3175156992519277</v>
      </c>
      <c r="M878" s="179">
        <f>M880-M879</f>
        <v>66154.5</v>
      </c>
      <c r="N878" s="9">
        <f>IF(ISERROR(M878/E878),"NA",IF(OR(M878/E878&gt;2,M878/E878&lt;0.5),"NM",M878/E878*100-100))</f>
        <v>0.66849069925980587</v>
      </c>
      <c r="O878" s="179">
        <f>O880-O879</f>
        <v>65154.199999999983</v>
      </c>
      <c r="P878" s="9">
        <f>IF(ISERROR(O878/G878),"NA",IF(OR(O878/G878&gt;2,O878/G878&lt;0.5),"NM",O878/G878*100-100))</f>
        <v>-1.0411651328909812</v>
      </c>
      <c r="Q878" s="179">
        <f>Q880-Q879</f>
        <v>66271</v>
      </c>
      <c r="R878" s="9">
        <f>IF(ISERROR(Q878/I878),"NA",IF(OR(Q878/I878&gt;2,Q878/I878&lt;0.5),"NM",Q878/I878*100-100))</f>
        <v>0.81263462778839823</v>
      </c>
      <c r="S878" s="179">
        <f>S880-S879</f>
        <v>66025.299999999988</v>
      </c>
      <c r="T878" s="9">
        <f>IF(ISERROR(S878/K878),"NA",IF(OR(S878/K878&gt;2,S878/K878&lt;0.5),"NM",S878/K878*100-100))</f>
        <v>0.43917695773735943</v>
      </c>
      <c r="U878" s="179">
        <f>U880-U879</f>
        <v>66241.200000000012</v>
      </c>
      <c r="V878" s="9">
        <f>IF(ISERROR(U878/M878),"NA",IF(OR(U878/M878&gt;2,U878/M878&lt;0.5),"NM",U878/M878*100-100))</f>
        <v>0.1310568442056308</v>
      </c>
      <c r="W878" s="179">
        <f t="shared" ref="W878:Y878" si="3679">W880-W879</f>
        <v>68191.599999999977</v>
      </c>
      <c r="X878" s="9">
        <f>IF(ISERROR(W878/O878),"NA",IF(OR(W878/O878&gt;2,W878/O878&lt;0.5),"NM",W878/O878*100-100))</f>
        <v>4.6618637018027869</v>
      </c>
      <c r="Y878" s="179">
        <f t="shared" si="3679"/>
        <v>68923.5</v>
      </c>
      <c r="Z878" s="9">
        <f>IF(ISERROR(Y878/Q878),"NA",IF(OR(Y878/Q878&gt;2,Y878/Q878&lt;0.5),"NM",Y878/Q878*100-100))</f>
        <v>4.0025048663819831</v>
      </c>
      <c r="AA878" s="179">
        <f t="shared" ref="AA878:AC878" si="3680">AA880-AA879</f>
        <v>71810.799999999988</v>
      </c>
      <c r="AB878" s="9">
        <f>IF(ISERROR(AA878/S878),"NA",IF(OR(AA878/S878&gt;2,AA878/S878&lt;0.5),"NM",AA878/S878*100-100))</f>
        <v>8.7625501133656485</v>
      </c>
      <c r="AC878" s="179">
        <f t="shared" si="3680"/>
        <v>74542.399999999994</v>
      </c>
      <c r="AD878" s="9">
        <f>IF(ISERROR(AC878/U878),"NA",IF(OR(AC878/U878&gt;2,AC878/U878&lt;0.5),"NM",AC878/U878*100-100))</f>
        <v>12.531777805957603</v>
      </c>
      <c r="AE878" s="179">
        <f t="shared" ref="AE878:AG878" si="3681">AE880-AE879</f>
        <v>75134.600000000035</v>
      </c>
      <c r="AF878" s="9">
        <f>IF(ISERROR(AE878/W878),"NA",IF(OR(AE878/W878&gt;2,AE878/W878&lt;0.5),"NM",AE878/W878*100-100))</f>
        <v>10.181605945600424</v>
      </c>
      <c r="AG878" s="179">
        <f t="shared" si="3681"/>
        <v>74777.299999999988</v>
      </c>
      <c r="AH878" s="9">
        <f>IF(ISERROR(AG878/Y878),"NA",IF(OR(AG878/Y878&gt;2,AG878/Y878&lt;0.5),"NM",AG878/Y878*100-100))</f>
        <v>8.493184472639939</v>
      </c>
      <c r="AI878" s="179">
        <f t="shared" ref="AI878:AK878" si="3682">AI880-AI879</f>
        <v>75319.499999999971</v>
      </c>
      <c r="AJ878" s="9">
        <f t="shared" ref="AJ878:AJ880" si="3683">IF(ISERROR(AI878/AA878),"NA",IF(OR(AI878/AA878&gt;2,AI878/AA878&lt;0.5),"NM",AI878/AA878*100-100))</f>
        <v>4.8860338556317089</v>
      </c>
      <c r="AK878" s="179">
        <f t="shared" si="3682"/>
        <v>76469.100000000006</v>
      </c>
      <c r="AL878" s="9">
        <f t="shared" ref="AL878:AL880" si="3684">IF(ISERROR(AK878/AC878),"NA",IF(OR(AK878/AC878&gt;2,AK878/AC878&lt;0.5),"NM",AK878/AC878*100-100))</f>
        <v>2.5847034707763754</v>
      </c>
      <c r="AM878" s="179">
        <f t="shared" ref="AM878:AO878" si="3685">AM880-AM879</f>
        <v>78617.100000000006</v>
      </c>
      <c r="AN878" s="9">
        <f t="shared" ref="AN878:AN880" si="3686">IF(ISERROR(AM878/AE878),"NA",IF(OR(AM878/AE878&gt;2,AM878/AE878&lt;0.5),"NM",AM878/AE878*100-100))</f>
        <v>4.6350150263659913</v>
      </c>
      <c r="AO878" s="179">
        <f t="shared" si="3685"/>
        <v>78601.300000000017</v>
      </c>
      <c r="AP878" s="9">
        <f t="shared" ref="AP878:AP880" si="3687">IF(ISERROR(AO878/AG878),"NA",IF(OR(AO878/AG878&gt;2,AO878/AG878&lt;0.5),"NM",AO878/AG878*100-100))</f>
        <v>5.1138513960788003</v>
      </c>
      <c r="AQ878" s="179">
        <f t="shared" ref="AQ878:AW878" si="3688">AQ880-AQ879</f>
        <v>80106.660387654381</v>
      </c>
      <c r="AR878" s="9">
        <f t="shared" ref="AR878:AR880" si="3689">IF(ISERROR(AQ878/AI878),"NA",IF(OR(AQ878/AI878&gt;2,AQ878/AI878&lt;0.5),"NM",AQ878/AI878*100-100))</f>
        <v>6.3558047884736624</v>
      </c>
      <c r="AS878" s="179">
        <f t="shared" si="3688"/>
        <v>81620.82749579582</v>
      </c>
      <c r="AT878" s="9">
        <f t="shared" ref="AT878:AT880" si="3690">IF(ISERROR(AS878/AK878),"NA",IF(OR(AS878/AK878&gt;2,AS878/AK878&lt;0.5),"NM",AS878/AK878*100-100))</f>
        <v>6.7370055300713716</v>
      </c>
      <c r="AU878" s="179">
        <f t="shared" si="3688"/>
        <v>83157.515712307941</v>
      </c>
      <c r="AV878" s="9">
        <f t="shared" ref="AV878:AV880" si="3691">IF(ISERROR(AU878/AM878),"NA",IF(OR(AU878/AM878&gt;2,AU878/AM878&lt;0.5),"NM",AU878/AM878*100-100))</f>
        <v>5.7753538508898572</v>
      </c>
      <c r="AW878" s="179">
        <f t="shared" si="3688"/>
        <v>84687.319900811592</v>
      </c>
      <c r="AX878" s="9">
        <f t="shared" ref="AX878:AX880" si="3692">IF(ISERROR(AW878/AO878),"NA",IF(OR(AW878/AO878&gt;2,AW878/AO878&lt;0.5),"NM",AW878/AO878*100-100))</f>
        <v>7.7428998003996981</v>
      </c>
      <c r="AY878" s="297"/>
      <c r="AZ878" s="178"/>
      <c r="BA878" s="9" t="str">
        <f>IF(ISERROR(#REF!/#REF!),"NA",IF(OR(#REF!/#REF!&gt;2,#REF!/#REF!&lt;0.5),"NM",#REF!/#REF!*100-100))</f>
        <v>NA</v>
      </c>
      <c r="BB878" s="179">
        <f>BB880-BB879</f>
        <v>66241.200000000012</v>
      </c>
      <c r="BC878" s="9" t="str">
        <f>IF(ISERROR(BB878/#REF!),"NA",IF(OR(BB878/#REF!&gt;2,BB878/#REF!&lt;0.5),"NM",BB878/#REF!*100-100))</f>
        <v>NA</v>
      </c>
      <c r="BD878" s="976">
        <f>BD880-BD879</f>
        <v>68191.599999999977</v>
      </c>
      <c r="BE878" s="9">
        <f t="shared" ref="BE878:BS878" si="3693">IF(ISERROR(BD878/BB878),"NA",IF(OR(BD878/BB878&gt;2,BD878/BB878&lt;0.5),"NM",BD878/BB878*100-100))</f>
        <v>2.9443911040258399</v>
      </c>
      <c r="BF878" s="179">
        <f>BF880-BF879</f>
        <v>68923.5</v>
      </c>
      <c r="BG878" s="9">
        <f t="shared" si="3693"/>
        <v>1.0732993506531869</v>
      </c>
      <c r="BH878" s="179">
        <f>BH880-BH879</f>
        <v>74777.299999999988</v>
      </c>
      <c r="BI878" s="9">
        <f t="shared" si="3693"/>
        <v>8.493184472639939</v>
      </c>
      <c r="BJ878" s="179">
        <f>BJ880-BJ879</f>
        <v>78601.300000000017</v>
      </c>
      <c r="BK878" s="9">
        <f t="shared" si="3693"/>
        <v>5.1138513960788003</v>
      </c>
      <c r="BL878" s="179">
        <f>BL880-BL879</f>
        <v>84687.319900811592</v>
      </c>
      <c r="BM878" s="9">
        <f t="shared" si="3693"/>
        <v>7.7428998003996981</v>
      </c>
      <c r="BN878" s="179">
        <f>BN880-BN879</f>
        <v>91234.968898151361</v>
      </c>
      <c r="BO878" s="9">
        <f t="shared" si="3693"/>
        <v>7.731557693653059</v>
      </c>
      <c r="BP878" s="179">
        <f>BP880-BP879</f>
        <v>98344.724941274151</v>
      </c>
      <c r="BQ878" s="9">
        <f t="shared" si="3693"/>
        <v>7.7927971357776755</v>
      </c>
      <c r="BR878" s="179">
        <f>BR880-BR879</f>
        <v>106064.88909500113</v>
      </c>
      <c r="BS878" s="9">
        <f t="shared" si="3693"/>
        <v>7.8501049836043677</v>
      </c>
      <c r="BT878" s="179">
        <f>BT880-BT879</f>
        <v>114436.68920812997</v>
      </c>
      <c r="BU878" s="9">
        <f t="shared" ref="BU878" si="3694">IF(ISERROR(BT878/BR878),"NA",IF(OR(BT878/BR878&gt;2,BT878/BR878&lt;0.5),"NM",BT878/BR878*100-100))</f>
        <v>7.8930927892927087</v>
      </c>
      <c r="BV878" s="43">
        <f>IF(ISERROR(((BT878/BJ878)^0.2-1)*100),"NA",IF((((BT878/BJ878)^0.2-1)*100)&gt;100,"NM",IF((((BT878/BJ878)^0.2-1)*100)&lt;-50,"NM",((BT878/BJ878)^0.2-1)*100)))</f>
        <v>7.8020727167850801</v>
      </c>
      <c r="BW878" s="180"/>
      <c r="BX878" s="180"/>
      <c r="BY878"/>
      <c r="BZ878"/>
      <c r="CA878"/>
      <c r="CB878"/>
      <c r="CC878"/>
      <c r="CD878"/>
    </row>
    <row r="879" spans="1:82" s="2" customFormat="1" ht="12.75" customHeight="1" x14ac:dyDescent="0.2">
      <c r="B879" s="7" t="s">
        <v>320</v>
      </c>
      <c r="C879" s="179">
        <f>C861</f>
        <v>120906.1</v>
      </c>
      <c r="D879" s="9" t="str">
        <f>IF(ISERROR(C879/#REF!),"NA",IF(OR(C879/#REF!&gt;2,C879/#REF!&lt;0.5),"NM",C879/#REF!*100-100))</f>
        <v>NA</v>
      </c>
      <c r="E879" s="179">
        <f>E861</f>
        <v>118740.2</v>
      </c>
      <c r="F879" s="9" t="str">
        <f>IF(ISERROR(E879/#REF!),"NA",IF(OR(E879/#REF!&gt;2,E879/#REF!&lt;0.5),"NM",E879/#REF!*100-100))</f>
        <v>NA</v>
      </c>
      <c r="G879" s="179">
        <f>G861</f>
        <v>123800.5</v>
      </c>
      <c r="H879" s="9" t="str">
        <f>IF(ISERROR(G879/#REF!),"NA",IF(OR(G879/#REF!&gt;2,G879/#REF!&lt;0.5),"NM",G879/#REF!*100-100))</f>
        <v>NA</v>
      </c>
      <c r="I879" s="179">
        <f>I861</f>
        <v>130018.4</v>
      </c>
      <c r="J879" s="9" t="str">
        <f>IF(ISERROR(I879/#REF!),"NA",IF(OR(I879/#REF!&gt;2,I879/#REF!&lt;0.5),"NM",I879/#REF!*100-100))</f>
        <v>NA</v>
      </c>
      <c r="K879" s="179">
        <f>K861</f>
        <v>132804.6</v>
      </c>
      <c r="L879" s="9">
        <f>IF(ISERROR(K879/C879),"NA",IF(OR(K879/C879&gt;2,K879/C879&lt;0.5),"NM",K879/C879*100-100))</f>
        <v>9.841108099591338</v>
      </c>
      <c r="M879" s="179">
        <f>M861</f>
        <v>139088</v>
      </c>
      <c r="N879" s="9">
        <f>IF(ISERROR(M879/E879),"NA",IF(OR(M879/E879&gt;2,M879/E879&lt;0.5),"NM",M879/E879*100-100))</f>
        <v>17.136403677945651</v>
      </c>
      <c r="O879" s="179">
        <f>O861</f>
        <v>138296.70000000001</v>
      </c>
      <c r="P879" s="9">
        <f>IF(ISERROR(O879/G879),"NA",IF(OR(O879/G879&gt;2,O879/G879&lt;0.5),"NM",O879/G879*100-100))</f>
        <v>11.70932266024775</v>
      </c>
      <c r="Q879" s="179">
        <f>Q861</f>
        <v>140072.79999999999</v>
      </c>
      <c r="R879" s="9">
        <f>IF(ISERROR(Q879/I879),"NA",IF(OR(Q879/I879&gt;2,Q879/I879&lt;0.5),"NM",Q879/I879*100-100))</f>
        <v>7.7330593208345846</v>
      </c>
      <c r="S879" s="179">
        <f>S861</f>
        <v>143505.20000000001</v>
      </c>
      <c r="T879" s="9">
        <f>IF(ISERROR(S879/K879),"NA",IF(OR(S879/K879&gt;2,S879/K879&lt;0.5),"NM",S879/K879*100-100))</f>
        <v>8.0574016261485042</v>
      </c>
      <c r="U879" s="179">
        <f>U861</f>
        <v>142993.60000000001</v>
      </c>
      <c r="V879" s="9">
        <f>IF(ISERROR(U879/M879),"NA",IF(OR(U879/M879&gt;2,U879/M879&lt;0.5),"NM",U879/M879*100-100))</f>
        <v>2.8080064419647925</v>
      </c>
      <c r="W879" s="179">
        <f t="shared" ref="W879:Y879" si="3695">W861</f>
        <v>134045.79999999999</v>
      </c>
      <c r="X879" s="9">
        <f>IF(ISERROR(W879/O879),"NA",IF(OR(W879/O879&gt;2,W879/O879&lt;0.5),"NM",W879/O879*100-100))</f>
        <v>-3.0737537482817885</v>
      </c>
      <c r="Y879" s="179">
        <f t="shared" si="3695"/>
        <v>136978.9</v>
      </c>
      <c r="Z879" s="9">
        <f>IF(ISERROR(Y879/Q879),"NA",IF(OR(Y879/Q879&gt;2,Y879/Q879&lt;0.5),"NM",Y879/Q879*100-100))</f>
        <v>-2.2087800058255453</v>
      </c>
      <c r="AA879" s="179">
        <f t="shared" ref="AA879:AC879" si="3696">AA861</f>
        <v>132325.9</v>
      </c>
      <c r="AB879" s="9">
        <f>IF(ISERROR(AA879/S879),"NA",IF(OR(AA879/S879&gt;2,AA879/S879&lt;0.5),"NM",AA879/S879*100-100))</f>
        <v>-7.7901706697736586</v>
      </c>
      <c r="AC879" s="179">
        <f t="shared" si="3696"/>
        <v>134736</v>
      </c>
      <c r="AD879" s="9">
        <f>IF(ISERROR(AC879/U879),"NA",IF(OR(AC879/U879&gt;2,AC879/U879&lt;0.5),"NM",AC879/U879*100-100))</f>
        <v>-5.7748039073077422</v>
      </c>
      <c r="AE879" s="179">
        <f t="shared" ref="AE879:AG879" si="3697">AE861</f>
        <v>141120.29999999999</v>
      </c>
      <c r="AF879" s="9">
        <f>IF(ISERROR(AE879/W879),"NA",IF(OR(AE879/W879&gt;2,AE879/W879&lt;0.5),"NM",AE879/W879*100-100))</f>
        <v>5.2776737503151878</v>
      </c>
      <c r="AG879" s="179">
        <f t="shared" si="3697"/>
        <v>139832.6</v>
      </c>
      <c r="AH879" s="9">
        <f>IF(ISERROR(AG879/Y879),"NA",IF(OR(AG879/Y879&gt;2,AG879/Y879&lt;0.5),"NM",AG879/Y879*100-100))</f>
        <v>2.0833135614317371</v>
      </c>
      <c r="AI879" s="179">
        <f t="shared" ref="AI879:AK879" si="3698">AI861</f>
        <v>146374.70000000001</v>
      </c>
      <c r="AJ879" s="9">
        <f t="shared" si="3683"/>
        <v>10.616818022775604</v>
      </c>
      <c r="AK879" s="179">
        <f t="shared" si="3698"/>
        <v>149347.9</v>
      </c>
      <c r="AL879" s="9">
        <f t="shared" si="3684"/>
        <v>10.844837311483204</v>
      </c>
      <c r="AM879" s="179">
        <f t="shared" ref="AM879:AO879" si="3699">AM861</f>
        <v>154085.9</v>
      </c>
      <c r="AN879" s="9">
        <f t="shared" si="3686"/>
        <v>9.1876221918462591</v>
      </c>
      <c r="AO879" s="179">
        <f t="shared" si="3699"/>
        <v>159272.70000000001</v>
      </c>
      <c r="AP879" s="9">
        <f t="shared" si="3687"/>
        <v>13.902409023360789</v>
      </c>
      <c r="AQ879" s="179">
        <f t="shared" ref="AQ879:AW879" si="3700">AQ861</f>
        <v>158766.65477782275</v>
      </c>
      <c r="AR879" s="9">
        <f t="shared" si="3689"/>
        <v>8.465913014901318</v>
      </c>
      <c r="AS879" s="179">
        <f t="shared" si="3700"/>
        <v>160757.38925907578</v>
      </c>
      <c r="AT879" s="9">
        <f t="shared" si="3690"/>
        <v>7.6395377900029189</v>
      </c>
      <c r="AU879" s="179">
        <f t="shared" si="3700"/>
        <v>162726.61684888968</v>
      </c>
      <c r="AV879" s="9">
        <f t="shared" si="3691"/>
        <v>5.6077271501738153</v>
      </c>
      <c r="AW879" s="179">
        <f t="shared" si="3700"/>
        <v>164514.00023539926</v>
      </c>
      <c r="AX879" s="9">
        <f t="shared" si="3692"/>
        <v>3.2907712592297571</v>
      </c>
      <c r="AY879" s="297"/>
      <c r="AZ879" s="178"/>
      <c r="BA879" s="9" t="str">
        <f>IF(ISERROR(#REF!/#REF!),"NA",IF(OR(#REF!/#REF!&gt;2,#REF!/#REF!&lt;0.5),"NM",#REF!/#REF!*100-100))</f>
        <v>NA</v>
      </c>
      <c r="BB879" s="179">
        <f>BB861</f>
        <v>142993.60000000001</v>
      </c>
      <c r="BC879" s="9" t="str">
        <f>IF(ISERROR(BB879/#REF!),"NA",IF(OR(BB879/#REF!&gt;2,BB879/#REF!&lt;0.5),"NM",BB879/#REF!*100-100))</f>
        <v>NA</v>
      </c>
      <c r="BD879" s="976">
        <f>BD861</f>
        <v>134045.79999999999</v>
      </c>
      <c r="BE879" s="9">
        <f>IF(ISERROR(BD879/BB879),"NA",IF(OR(BD879/BB879&gt;2,BD879/BB879&lt;0.5),"NM",BD879/BB879*100-100))</f>
        <v>-6.257482852379411</v>
      </c>
      <c r="BF879" s="179">
        <f>BF861</f>
        <v>136978.9</v>
      </c>
      <c r="BG879" s="9">
        <f>IF(ISERROR(BF879/BD879),"NA",IF(OR(BF879/BD879&gt;2,BF879/BD879&lt;0.5),"NM",BF879/BD879*100-100))</f>
        <v>2.1881327128488977</v>
      </c>
      <c r="BH879" s="179">
        <f>BH861</f>
        <v>139832.6</v>
      </c>
      <c r="BI879" s="9">
        <f>IF(ISERROR(BH879/BF879),"NA",IF(OR(BH879/BF879&gt;2,BH879/BF879&lt;0.5),"NM",BH879/BF879*100-100))</f>
        <v>2.0833135614317371</v>
      </c>
      <c r="BJ879" s="179">
        <f>BJ861</f>
        <v>159272.70000000001</v>
      </c>
      <c r="BK879" s="9">
        <f>IF(ISERROR(BJ879/BH879),"NA",IF(OR(BJ879/BH879&gt;2,BJ879/BH879&lt;0.5),"NM",BJ879/BH879*100-100))</f>
        <v>13.902409023360789</v>
      </c>
      <c r="BL879" s="179">
        <f>BL861</f>
        <v>164514.00023539926</v>
      </c>
      <c r="BM879" s="9">
        <f>IF(ISERROR(BL879/BJ879),"NA",IF(OR(BL879/BJ879&gt;2,BL879/BJ879&lt;0.5),"NM",BL879/BJ879*100-100))</f>
        <v>3.2907712592297571</v>
      </c>
      <c r="BN879" s="179">
        <f>BN861</f>
        <v>164229.25776040679</v>
      </c>
      <c r="BO879" s="9">
        <f>IF(ISERROR(BN879/BL879),"NA",IF(OR(BN879/BL879&gt;2,BN879/BL879&lt;0.5),"NM",BN879/BL879*100-100))</f>
        <v>-0.17308099893324425</v>
      </c>
      <c r="BP879" s="179">
        <f>BP861</f>
        <v>163067.54944058327</v>
      </c>
      <c r="BQ879" s="9">
        <f>IF(ISERROR(BP879/BN879),"NA",IF(OR(BP879/BN879&gt;2,BP879/BN879&lt;0.5),"NM",BP879/BN879*100-100))</f>
        <v>-0.70736988991227179</v>
      </c>
      <c r="BR879" s="179">
        <f>BR861</f>
        <v>161005.81947633458</v>
      </c>
      <c r="BS879" s="9">
        <f>IF(ISERROR(BR879/BP879),"NA",IF(OR(BR879/BP879&gt;2,BR879/BP879&lt;0.5),"NM",BR879/BP879*100-100))</f>
        <v>-1.2643410484315325</v>
      </c>
      <c r="BT879" s="179">
        <f>BT861</f>
        <v>157999.3434655499</v>
      </c>
      <c r="BU879" s="9">
        <f>IF(ISERROR(BT879/BR879),"NA",IF(OR(BT879/BR879&gt;2,BT879/BR879&lt;0.5),"NM",BT879/BR879*100-100))</f>
        <v>-1.8673089088103438</v>
      </c>
      <c r="BV879" s="43">
        <f>IF(ISERROR(((BT879/BJ879)^0.2-1)*100),"NA",IF((((BT879/BJ879)^0.2-1)*100)&gt;100,"NM",IF((((BT879/BJ879)^0.2-1)*100)&lt;-50,"NM",((BT879/BJ879)^0.2-1)*100)))</f>
        <v>-0.16041019964878611</v>
      </c>
      <c r="BW879" s="180"/>
      <c r="BX879" s="180"/>
      <c r="BY879"/>
      <c r="BZ879"/>
      <c r="CA879"/>
      <c r="CB879"/>
      <c r="CC879"/>
      <c r="CD879"/>
    </row>
    <row r="880" spans="1:82" s="2" customFormat="1" ht="12.75" customHeight="1" x14ac:dyDescent="0.2">
      <c r="B880" s="7" t="s">
        <v>397</v>
      </c>
      <c r="C880" s="179">
        <f>C864-C875-C889</f>
        <v>188202.3</v>
      </c>
      <c r="D880" s="9" t="str">
        <f>IF(ISERROR(C880/#REF!),"NA",IF(OR(C880/#REF!&gt;2,C880/#REF!&lt;0.5),"NM",C880/#REF!*100-100))</f>
        <v>NA</v>
      </c>
      <c r="E880" s="179">
        <f>E864-E875-E889</f>
        <v>184455.40000000002</v>
      </c>
      <c r="F880" s="9" t="str">
        <f>IF(ISERROR(E880/#REF!),"NA",IF(OR(E880/#REF!&gt;2,E880/#REF!&lt;0.5),"NM",E880/#REF!*100-100))</f>
        <v>NA</v>
      </c>
      <c r="G880" s="179">
        <f>G864-G875-G889</f>
        <v>189640.2</v>
      </c>
      <c r="H880" s="9" t="str">
        <f>IF(ISERROR(G880/#REF!),"NA",IF(OR(G880/#REF!&gt;2,G880/#REF!&lt;0.5),"NM",G880/#REF!*100-100))</f>
        <v>NA</v>
      </c>
      <c r="I880" s="179">
        <f>I864-I875-I889</f>
        <v>195755.19999999998</v>
      </c>
      <c r="J880" s="9" t="str">
        <f>IF(ISERROR(I880/#REF!),"NA",IF(OR(I880/#REF!&gt;2,I880/#REF!&lt;0.5),"NM",I880/#REF!*100-100))</f>
        <v>NA</v>
      </c>
      <c r="K880" s="179">
        <f>K864-K875-K889</f>
        <v>198541.2</v>
      </c>
      <c r="L880" s="9">
        <f>IF(ISERROR(K880/C880),"NA",IF(OR(K880/C880&gt;2,K880/C880&lt;0.5),"NM",K880/C880*100-100))</f>
        <v>5.4935035331661766</v>
      </c>
      <c r="M880" s="179">
        <f>M864-M875-M889</f>
        <v>205242.5</v>
      </c>
      <c r="N880" s="9">
        <f>IF(ISERROR(M880/E880),"NA",IF(OR(M880/E880&gt;2,M880/E880&lt;0.5),"NM",M880/E880*100-100))</f>
        <v>11.269445079948852</v>
      </c>
      <c r="O880" s="179">
        <f>O864-O875-O889</f>
        <v>203450.9</v>
      </c>
      <c r="P880" s="9">
        <f>IF(ISERROR(O880/G880),"NA",IF(OR(O880/G880&gt;2,O880/G880&lt;0.5),"NM",O880/G880*100-100))</f>
        <v>7.2825803811638963</v>
      </c>
      <c r="Q880" s="179">
        <f>Q864-Q875-Q889</f>
        <v>206343.8</v>
      </c>
      <c r="R880" s="9">
        <f>IF(ISERROR(Q880/I880),"NA",IF(OR(Q880/I880&gt;2,Q880/I880&lt;0.5),"NM",Q880/I880*100-100))</f>
        <v>5.4091027977800792</v>
      </c>
      <c r="S880" s="179">
        <f>S864-S875-S889</f>
        <v>209530.5</v>
      </c>
      <c r="T880" s="9">
        <f>IF(ISERROR(S880/K880),"NA",IF(OR(S880/K880&gt;2,S880/K880&lt;0.5),"NM",S880/K880*100-100))</f>
        <v>5.5350224537778558</v>
      </c>
      <c r="U880" s="179">
        <f>U864-U875-U889</f>
        <v>209234.80000000002</v>
      </c>
      <c r="V880" s="9">
        <f>IF(ISERROR(U880/M880),"NA",IF(OR(U880/M880&gt;2,U880/M880&lt;0.5),"NM",U880/M880*100-100))</f>
        <v>1.9451624298086472</v>
      </c>
      <c r="W880" s="179">
        <f t="shared" ref="W880:Y880" si="3701">W864-W875-W889</f>
        <v>202237.39999999997</v>
      </c>
      <c r="X880" s="9">
        <f>IF(ISERROR(W880/O880),"NA",IF(OR(W880/O880&gt;2,W880/O880&lt;0.5),"NM",W880/O880*100-100))</f>
        <v>-0.59645840839240805</v>
      </c>
      <c r="Y880" s="179">
        <f t="shared" si="3701"/>
        <v>205902.4</v>
      </c>
      <c r="Z880" s="9">
        <f>IF(ISERROR(Y880/Q880),"NA",IF(OR(Y880/Q880&gt;2,Y880/Q880&lt;0.5),"NM",Y880/Q880*100-100))</f>
        <v>-0.213914835337917</v>
      </c>
      <c r="AA880" s="179">
        <f t="shared" ref="AA880:AC880" si="3702">AA864-AA875-AA889</f>
        <v>204136.69999999998</v>
      </c>
      <c r="AB880" s="9">
        <f>IF(ISERROR(AA880/S880),"NA",IF(OR(AA880/S880&gt;2,AA880/S880&lt;0.5),"NM",AA880/S880*100-100))</f>
        <v>-2.5742314364734682</v>
      </c>
      <c r="AC880" s="179">
        <f t="shared" si="3702"/>
        <v>209278.4</v>
      </c>
      <c r="AD880" s="9">
        <f>IF(ISERROR(AC880/U880),"NA",IF(OR(AC880/U880&gt;2,AC880/U880&lt;0.5),"NM",AC880/U880*100-100))</f>
        <v>2.0837833859360444E-2</v>
      </c>
      <c r="AE880" s="179">
        <f t="shared" ref="AE880:AG880" si="3703">AE864-AE875-AE889</f>
        <v>216254.90000000002</v>
      </c>
      <c r="AF880" s="9">
        <f>IF(ISERROR(AE880/W880),"NA",IF(OR(AE880/W880&gt;2,AE880/W880&lt;0.5),"NM",AE880/W880*100-100))</f>
        <v>6.931210547603996</v>
      </c>
      <c r="AG880" s="179">
        <f t="shared" si="3703"/>
        <v>214609.9</v>
      </c>
      <c r="AH880" s="9">
        <f>IF(ISERROR(AG880/Y880),"NA",IF(OR(AG880/Y880&gt;2,AG880/Y880&lt;0.5),"NM",AG880/Y880*100-100))</f>
        <v>4.2289453644056607</v>
      </c>
      <c r="AI880" s="179">
        <f t="shared" ref="AI880:AK880" si="3704">AI864-AI875-AI889</f>
        <v>221694.19999999998</v>
      </c>
      <c r="AJ880" s="9">
        <f t="shared" si="3683"/>
        <v>8.6008542315027228</v>
      </c>
      <c r="AK880" s="179">
        <f t="shared" si="3704"/>
        <v>225817</v>
      </c>
      <c r="AL880" s="9">
        <f t="shared" si="3684"/>
        <v>7.9026789195635985</v>
      </c>
      <c r="AM880" s="179">
        <f t="shared" ref="AM880:AO880" si="3705">AM864-AM875-AM889</f>
        <v>232703</v>
      </c>
      <c r="AN880" s="9">
        <f t="shared" si="3686"/>
        <v>7.6058854620172553</v>
      </c>
      <c r="AO880" s="179">
        <f t="shared" si="3705"/>
        <v>237874.00000000003</v>
      </c>
      <c r="AP880" s="9">
        <f t="shared" si="3687"/>
        <v>10.84018025263515</v>
      </c>
      <c r="AQ880" s="179">
        <f t="shared" ref="AQ880:AW880" si="3706">AQ864-AQ875-AQ889</f>
        <v>238873.31516547714</v>
      </c>
      <c r="AR880" s="9">
        <f t="shared" si="3689"/>
        <v>7.7490142572413561</v>
      </c>
      <c r="AS880" s="179">
        <f t="shared" si="3706"/>
        <v>242378.2167548716</v>
      </c>
      <c r="AT880" s="9">
        <f t="shared" si="3690"/>
        <v>7.3339105359081032</v>
      </c>
      <c r="AU880" s="179">
        <f t="shared" si="3706"/>
        <v>245884.13256119762</v>
      </c>
      <c r="AV880" s="9">
        <f t="shared" si="3691"/>
        <v>5.6643586722979933</v>
      </c>
      <c r="AW880" s="179">
        <f t="shared" si="3706"/>
        <v>249201.32013621085</v>
      </c>
      <c r="AX880" s="9">
        <f t="shared" si="3692"/>
        <v>4.7618992139581593</v>
      </c>
      <c r="AY880" s="297"/>
      <c r="AZ880" s="178"/>
      <c r="BA880" s="9" t="str">
        <f>IF(ISERROR(#REF!/#REF!),"NA",IF(OR(#REF!/#REF!&gt;2,#REF!/#REF!&lt;0.5),"NM",#REF!/#REF!*100-100))</f>
        <v>NA</v>
      </c>
      <c r="BB880" s="179">
        <f>BB864-BB875-BB889</f>
        <v>209234.80000000002</v>
      </c>
      <c r="BC880" s="9" t="str">
        <f>IF(ISERROR(BB880/#REF!),"NA",IF(OR(BB880/#REF!&gt;2,BB880/#REF!&lt;0.5),"NM",BB880/#REF!*100-100))</f>
        <v>NA</v>
      </c>
      <c r="BD880" s="976">
        <f>BD864-BD875-BD889</f>
        <v>202237.39999999997</v>
      </c>
      <c r="BE880" s="9">
        <f>IF(ISERROR(BD880/BB880),"NA",IF(OR(BD880/BB880&gt;2,BD880/BB880&lt;0.5),"NM",BD880/BB880*100-100))</f>
        <v>-3.3442811616423427</v>
      </c>
      <c r="BF880" s="179">
        <f>BF864-BF875-BF889</f>
        <v>205902.4</v>
      </c>
      <c r="BG880" s="9">
        <f>IF(ISERROR(BF880/BD880),"NA",IF(OR(BF880/BD880&gt;2,BF880/BD880&lt;0.5),"NM",BF880/BD880*100-100))</f>
        <v>1.8122266207932114</v>
      </c>
      <c r="BH880" s="179">
        <f>BH864-BH875-BH889</f>
        <v>214609.9</v>
      </c>
      <c r="BI880" s="9">
        <f>IF(ISERROR(BH880/BF880),"NA",IF(OR(BH880/BF880&gt;2,BH880/BF880&lt;0.5),"NM",BH880/BF880*100-100))</f>
        <v>4.2289453644056607</v>
      </c>
      <c r="BJ880" s="179">
        <f>BJ864-BJ875-BJ889</f>
        <v>237874.00000000003</v>
      </c>
      <c r="BK880" s="9">
        <f>IF(ISERROR(BJ880/BH880),"NA",IF(OR(BJ880/BH880&gt;2,BJ880/BH880&lt;0.5),"NM",BJ880/BH880*100-100))</f>
        <v>10.84018025263515</v>
      </c>
      <c r="BL880" s="179">
        <f>BL864-BL875-BL889</f>
        <v>249201.32013621085</v>
      </c>
      <c r="BM880" s="9">
        <f>IF(ISERROR(BL880/BJ880),"NA",IF(OR(BL880/BJ880&gt;2,BL880/BJ880&lt;0.5),"NM",BL880/BJ880*100-100))</f>
        <v>4.7618992139581593</v>
      </c>
      <c r="BN880" s="179">
        <f>BN864-BN875-BN889</f>
        <v>255464.22665855815</v>
      </c>
      <c r="BO880" s="9">
        <f>IF(ISERROR(BN880/BL880),"NA",IF(OR(BN880/BL880&gt;2,BN880/BL880&lt;0.5),"NM",BN880/BL880*100-100))</f>
        <v>2.5131915508810607</v>
      </c>
      <c r="BP880" s="179">
        <f>BP864-BP875-BP889</f>
        <v>261412.27438185742</v>
      </c>
      <c r="BQ880" s="9">
        <f>IF(ISERROR(BP880/BN880),"NA",IF(OR(BP880/BN880&gt;2,BP880/BN880&lt;0.5),"NM",BP880/BN880*100-100))</f>
        <v>2.3283290193304254</v>
      </c>
      <c r="BR880" s="179">
        <f>BR864-BR875-BR889</f>
        <v>267070.70857133571</v>
      </c>
      <c r="BS880" s="9">
        <f>IF(ISERROR(BR880/BP880),"NA",IF(OR(BR880/BP880&gt;2,BR880/BP880&lt;0.5),"NM",BR880/BP880*100-100))</f>
        <v>2.1645633139677045</v>
      </c>
      <c r="BT880" s="179">
        <f>BT864-BT875-BT889</f>
        <v>272436.03267367987</v>
      </c>
      <c r="BU880" s="9">
        <f>IF(ISERROR(BT880/BR880),"NA",IF(OR(BT880/BR880&gt;2,BT880/BR880&lt;0.5),"NM",BT880/BR880*100-100))</f>
        <v>2.0089526594081946</v>
      </c>
      <c r="BV880" s="43">
        <f>IF(ISERROR(((BT880/BJ880)^0.2-1)*100),"NA",IF((((BT880/BJ880)^0.2-1)*100)&gt;100,"NM",IF((((BT880/BJ880)^0.2-1)*100)&lt;-50,"NM",((BT880/BJ880)^0.2-1)*100)))</f>
        <v>2.7503983708433211</v>
      </c>
      <c r="BW880" s="180"/>
      <c r="BX880" s="180"/>
      <c r="BY880"/>
      <c r="BZ880"/>
      <c r="CA880"/>
      <c r="CB880"/>
      <c r="CC880"/>
      <c r="CD880"/>
    </row>
    <row r="881" spans="1:82" s="2" customFormat="1" ht="12.75" customHeight="1" x14ac:dyDescent="0.2">
      <c r="B881" s="7"/>
      <c r="C881" s="179"/>
      <c r="D881" s="9"/>
      <c r="E881" s="179"/>
      <c r="F881" s="9"/>
      <c r="G881" s="179"/>
      <c r="H881" s="9"/>
      <c r="I881" s="179"/>
      <c r="J881" s="9"/>
      <c r="K881" s="179"/>
      <c r="L881" s="9"/>
      <c r="M881" s="179"/>
      <c r="N881" s="9"/>
      <c r="O881" s="179"/>
      <c r="P881" s="9"/>
      <c r="Q881" s="179"/>
      <c r="R881" s="9"/>
      <c r="S881" s="179"/>
      <c r="T881" s="9"/>
      <c r="U881" s="179"/>
      <c r="V881" s="9"/>
      <c r="W881" s="179"/>
      <c r="X881" s="9"/>
      <c r="Y881" s="179"/>
      <c r="Z881" s="9"/>
      <c r="AA881" s="179"/>
      <c r="AB881" s="9"/>
      <c r="AC881" s="179"/>
      <c r="AD881" s="9"/>
      <c r="AE881" s="179"/>
      <c r="AF881" s="9"/>
      <c r="AG881" s="179"/>
      <c r="AH881" s="9"/>
      <c r="AI881" s="179"/>
      <c r="AJ881" s="9"/>
      <c r="AK881" s="179"/>
      <c r="AL881" s="9"/>
      <c r="AM881" s="179"/>
      <c r="AN881" s="9"/>
      <c r="AO881" s="179"/>
      <c r="AP881" s="9"/>
      <c r="AQ881" s="179"/>
      <c r="AR881" s="9"/>
      <c r="AS881" s="179"/>
      <c r="AT881" s="9"/>
      <c r="AU881" s="179"/>
      <c r="AV881" s="9"/>
      <c r="AW881" s="179"/>
      <c r="AX881" s="9"/>
      <c r="AY881" s="297"/>
      <c r="AZ881" s="178"/>
      <c r="BA881" s="9"/>
      <c r="BB881" s="179"/>
      <c r="BC881" s="9"/>
      <c r="BD881" s="976"/>
      <c r="BE881" s="9"/>
      <c r="BF881" s="179"/>
      <c r="BG881" s="9"/>
      <c r="BH881" s="179"/>
      <c r="BI881" s="9"/>
      <c r="BJ881" s="179"/>
      <c r="BK881" s="9"/>
      <c r="BL881" s="179"/>
      <c r="BM881" s="9"/>
      <c r="BN881" s="179"/>
      <c r="BO881" s="9"/>
      <c r="BP881" s="179"/>
      <c r="BQ881" s="9"/>
      <c r="BR881" s="179"/>
      <c r="BS881" s="9"/>
      <c r="BT881" s="179"/>
      <c r="BU881" s="9"/>
      <c r="BV881" s="180"/>
      <c r="BW881" s="180"/>
      <c r="BX881" s="180"/>
      <c r="BY881"/>
      <c r="BZ881"/>
      <c r="CA881"/>
      <c r="CB881"/>
      <c r="CC881"/>
      <c r="CD881"/>
    </row>
    <row r="882" spans="1:82" s="2" customFormat="1" ht="12.75" customHeight="1" x14ac:dyDescent="0.2">
      <c r="B882" s="103" t="s">
        <v>398</v>
      </c>
      <c r="C882" s="179"/>
      <c r="D882" s="9"/>
      <c r="E882" s="179"/>
      <c r="F882" s="9"/>
      <c r="G882" s="179"/>
      <c r="H882" s="9"/>
      <c r="I882" s="179"/>
      <c r="J882" s="9"/>
      <c r="K882" s="179"/>
      <c r="L882" s="9"/>
      <c r="M882" s="179"/>
      <c r="N882" s="9"/>
      <c r="O882" s="179"/>
      <c r="P882" s="9"/>
      <c r="Q882" s="179"/>
      <c r="R882" s="9"/>
      <c r="S882" s="179"/>
      <c r="T882" s="9"/>
      <c r="U882" s="179"/>
      <c r="V882" s="9"/>
      <c r="W882" s="179"/>
      <c r="X882" s="9"/>
      <c r="Y882" s="179"/>
      <c r="Z882" s="9"/>
      <c r="AA882" s="179"/>
      <c r="AB882" s="9"/>
      <c r="AC882" s="179"/>
      <c r="AD882" s="9"/>
      <c r="AE882" s="179"/>
      <c r="AF882" s="9"/>
      <c r="AG882" s="179"/>
      <c r="AH882" s="9"/>
      <c r="AI882" s="179"/>
      <c r="AJ882" s="9"/>
      <c r="AK882" s="179"/>
      <c r="AL882" s="9"/>
      <c r="AM882" s="179"/>
      <c r="AN882" s="9"/>
      <c r="AO882" s="179"/>
      <c r="AP882" s="9"/>
      <c r="AQ882" s="179"/>
      <c r="AR882" s="9"/>
      <c r="AS882" s="179"/>
      <c r="AT882" s="9"/>
      <c r="AU882" s="179"/>
      <c r="AV882" s="9"/>
      <c r="AW882" s="179"/>
      <c r="AX882" s="9"/>
      <c r="AY882" s="297"/>
      <c r="AZ882" s="178"/>
      <c r="BA882" s="9"/>
      <c r="BB882" s="179"/>
      <c r="BC882" s="9"/>
      <c r="BD882" s="976"/>
      <c r="BE882" s="9"/>
      <c r="BF882" s="179"/>
      <c r="BG882" s="9"/>
      <c r="BH882" s="179"/>
      <c r="BI882" s="9"/>
      <c r="BJ882" s="179"/>
      <c r="BK882" s="9"/>
      <c r="BL882" s="179"/>
      <c r="BM882" s="9"/>
      <c r="BN882" s="179"/>
      <c r="BO882" s="9"/>
      <c r="BP882" s="179"/>
      <c r="BQ882" s="9"/>
      <c r="BR882" s="179"/>
      <c r="BS882" s="9"/>
      <c r="BT882" s="179"/>
      <c r="BU882" s="9"/>
      <c r="BV882" s="180"/>
      <c r="BW882" s="180"/>
      <c r="BX882" s="180"/>
      <c r="BY882"/>
      <c r="BZ882"/>
      <c r="CA882"/>
      <c r="CB882"/>
      <c r="CC882"/>
      <c r="CD882"/>
    </row>
    <row r="883" spans="1:82" s="2" customFormat="1" ht="12.75" customHeight="1" x14ac:dyDescent="0.2">
      <c r="A883" s="7"/>
      <c r="B883" s="187" t="s">
        <v>307</v>
      </c>
      <c r="C883" s="145">
        <f>+C887-C884-C888-C885-C886</f>
        <v>9234.2000000000007</v>
      </c>
      <c r="D883" s="9" t="str">
        <f>IF(ISERROR(C883/#REF!),"NA",IF(OR(C883/#REF!&gt;2,C883/#REF!&lt;0.5),"NM",C883/#REF!*100-100))</f>
        <v>NA</v>
      </c>
      <c r="E883" s="145">
        <f>+E887-E884-E888-E885-E886</f>
        <v>9282.6</v>
      </c>
      <c r="F883" s="9" t="str">
        <f>IF(ISERROR(E883/#REF!),"NA",IF(OR(E883/#REF!&gt;2,E883/#REF!&lt;0.5),"NM",E883/#REF!*100-100))</f>
        <v>NA</v>
      </c>
      <c r="G883" s="145">
        <f>+G887-G884-G888-G885-G886</f>
        <v>9212.1</v>
      </c>
      <c r="H883" s="9" t="str">
        <f>IF(ISERROR(G883/#REF!),"NA",IF(OR(G883/#REF!&gt;2,G883/#REF!&lt;0.5),"NM",G883/#REF!*100-100))</f>
        <v>NA</v>
      </c>
      <c r="I883" s="145">
        <f>+I887-I884-I888-I885-I886</f>
        <v>9261.6000000000022</v>
      </c>
      <c r="J883" s="9" t="str">
        <f>IF(ISERROR(I883/#REF!),"NA",IF(OR(I883/#REF!&gt;2,I883/#REF!&lt;0.5),"NM",I883/#REF!*100-100))</f>
        <v>NA</v>
      </c>
      <c r="K883" s="145">
        <f>+K887-K884-K888-K885-K886</f>
        <v>9275.7999999999993</v>
      </c>
      <c r="L883" s="9">
        <f>IF(ISERROR(K883/C883),"NA",IF(OR(K883/C883&gt;2,K883/C883&lt;0.5),"NM",K883/C883*100-100))</f>
        <v>0.45049923111908186</v>
      </c>
      <c r="M883" s="188">
        <f>+M887-M884-M888-M885-M886</f>
        <v>9301.9</v>
      </c>
      <c r="N883" s="9">
        <f t="shared" ref="N883:N891" si="3707">IF(ISERROR(M883/E883),"NA",IF(OR(M883/E883&gt;2,M883/E883&lt;0.5),"NM",M883/E883*100-100))</f>
        <v>0.20791588563548657</v>
      </c>
      <c r="O883" s="145">
        <f>+O887-O884-O888-O885-O886</f>
        <v>9379.6</v>
      </c>
      <c r="P883" s="9">
        <f t="shared" ref="P883:P891" si="3708">IF(ISERROR(O883/G883),"NA",IF(OR(O883/G883&gt;2,O883/G883&lt;0.5),"NM",O883/G883*100-100))</f>
        <v>1.8182607657320204</v>
      </c>
      <c r="Q883" s="145">
        <f>+Q887-Q884-Q888-Q885-Q886</f>
        <v>9408.1999999999989</v>
      </c>
      <c r="R883" s="9">
        <f t="shared" ref="R883:R891" si="3709">IF(ISERROR(Q883/I883),"NA",IF(OR(Q883/I883&gt;2,Q883/I883&lt;0.5),"NM",Q883/I883*100-100))</f>
        <v>1.5828798479744108</v>
      </c>
      <c r="S883" s="145">
        <f>+S887-S884-S888-S885-S886</f>
        <v>9438.3000000000011</v>
      </c>
      <c r="T883" s="9">
        <f t="shared" ref="T883:T891" si="3710">IF(ISERROR(S883/K883),"NA",IF(OR(S883/K883&gt;2,S883/K883&lt;0.5),"NM",S883/K883*100-100))</f>
        <v>1.7518704586127569</v>
      </c>
      <c r="U883" s="145">
        <f>+U887-U884-U888-U885-U886</f>
        <v>9478.4</v>
      </c>
      <c r="V883" s="9">
        <f t="shared" ref="V883:V891" si="3711">IF(ISERROR(U883/M883),"NA",IF(OR(U883/M883&gt;2,U883/M883&lt;0.5),"NM",U883/M883*100-100))</f>
        <v>1.8974618088777504</v>
      </c>
      <c r="W883" s="145">
        <f t="shared" ref="W883:Y883" si="3712">+W887-W884-W888-W885-W886</f>
        <v>9528.9</v>
      </c>
      <c r="X883" s="9">
        <f t="shared" ref="X883:X891" si="3713">IF(ISERROR(W883/O883),"NA",IF(OR(W883/O883&gt;2,W883/O883&lt;0.5),"NM",W883/O883*100-100))</f>
        <v>1.5917523135314866</v>
      </c>
      <c r="Y883" s="145">
        <f t="shared" si="3712"/>
        <v>9549.5</v>
      </c>
      <c r="Z883" s="9">
        <f t="shared" ref="Z883:Z891" si="3714">IF(ISERROR(Y883/Q883),"NA",IF(OR(Y883/Q883&gt;2,Y883/Q883&lt;0.5),"NM",Y883/Q883*100-100))</f>
        <v>1.5018813375566253</v>
      </c>
      <c r="AA883" s="145">
        <f t="shared" ref="AA883:AC883" si="3715">+AA887-AA884-AA888-AA885-AA886</f>
        <v>9602.7999999999993</v>
      </c>
      <c r="AB883" s="9">
        <f t="shared" ref="AB883:AB891" si="3716">IF(ISERROR(AA883/S883),"NA",IF(OR(AA883/S883&gt;2,AA883/S883&lt;0.5),"NM",AA883/S883*100-100))</f>
        <v>1.7428986152167028</v>
      </c>
      <c r="AC883" s="145">
        <f t="shared" si="3715"/>
        <v>9620.4</v>
      </c>
      <c r="AD883" s="9">
        <f t="shared" ref="AD883:AD891" si="3717">IF(ISERROR(AC883/U883),"NA",IF(OR(AC883/U883&gt;2,AC883/U883&lt;0.5),"NM",AC883/U883*100-100))</f>
        <v>1.498143146522608</v>
      </c>
      <c r="AE883" s="145">
        <f t="shared" ref="AE883:AG883" si="3718">+AE887-AE884-AE888-AE885-AE886</f>
        <v>9651.2000000000007</v>
      </c>
      <c r="AF883" s="9">
        <f t="shared" ref="AF883:AF891" si="3719">IF(ISERROR(AE883/W883),"NA",IF(OR(AE883/W883&gt;2,AE883/W883&lt;0.5),"NM",AE883/W883*100-100))</f>
        <v>1.2834639884981698</v>
      </c>
      <c r="AG883" s="145">
        <f t="shared" si="3718"/>
        <v>9690.7000000000007</v>
      </c>
      <c r="AH883" s="9">
        <f t="shared" ref="AH883:AH891" si="3720">IF(ISERROR(AG883/Y883),"NA",IF(OR(AG883/Y883&gt;2,AG883/Y883&lt;0.5),"NM",AG883/Y883*100-100))</f>
        <v>1.4786114456254467</v>
      </c>
      <c r="AI883" s="145">
        <f t="shared" ref="AI883:AK883" si="3721">+AI887-AI884-AI888-AI885-AI886</f>
        <v>9785.2000000000007</v>
      </c>
      <c r="AJ883" s="9">
        <f t="shared" ref="AJ883:AJ891" si="3722">IF(ISERROR(AI883/AA883),"NA",IF(OR(AI883/AA883&gt;2,AI883/AA883&lt;0.5),"NM",AI883/AA883*100-100))</f>
        <v>1.8994459949181532</v>
      </c>
      <c r="AK883" s="145">
        <f t="shared" si="3721"/>
        <v>9849.8000000000011</v>
      </c>
      <c r="AL883" s="9">
        <f t="shared" ref="AL883:AL891" si="3723">IF(ISERROR(AK883/AC883),"NA",IF(OR(AK883/AC883&gt;2,AK883/AC883&lt;0.5),"NM",AK883/AC883*100-100))</f>
        <v>2.3845162363311374</v>
      </c>
      <c r="AM883" s="145">
        <f t="shared" ref="AM883:AO883" si="3724">+AM887-AM884-AM888-AM885-AM886</f>
        <v>9891.5</v>
      </c>
      <c r="AN883" s="9">
        <f t="shared" ref="AN883:AN891" si="3725">IF(ISERROR(AM883/AE883),"NA",IF(OR(AM883/AE883&gt;2,AM883/AE883&lt;0.5),"NM",AM883/AE883*100-100))</f>
        <v>2.4898458222811541</v>
      </c>
      <c r="AO883" s="145">
        <f t="shared" si="3724"/>
        <v>9929.9</v>
      </c>
      <c r="AP883" s="9">
        <f t="shared" ref="AP883:AP891" si="3726">IF(ISERROR(AO883/AG883),"NA",IF(OR(AO883/AG883&gt;2,AO883/AG883&lt;0.5),"NM",AO883/AG883*100-100))</f>
        <v>2.4683459399217753</v>
      </c>
      <c r="AQ883" s="145">
        <f t="shared" ref="AQ883:AW883" si="3727">+AQ887-AQ884-AQ888-AQ885-AQ886</f>
        <v>9964.4444836495895</v>
      </c>
      <c r="AR883" s="9">
        <f t="shared" ref="AR883:AR891" si="3728">IF(ISERROR(AQ883/AI883),"NA",IF(OR(AQ883/AI883&gt;2,AQ883/AI883&lt;0.5),"NM",AQ883/AI883*100-100))</f>
        <v>1.831791722699478</v>
      </c>
      <c r="AS883" s="145">
        <f t="shared" si="3727"/>
        <v>9999.4121069721714</v>
      </c>
      <c r="AT883" s="9">
        <f t="shared" ref="AT883:AT891" si="3729">IF(ISERROR(AS883/AK883),"NA",IF(OR(AS883/AK883&gt;2,AS883/AK883&lt;0.5),"NM",AS883/AK883*100-100))</f>
        <v>1.5189354806409199</v>
      </c>
      <c r="AU883" s="145">
        <f t="shared" si="3727"/>
        <v>10034.800832761204</v>
      </c>
      <c r="AV883" s="9">
        <f t="shared" ref="AV883:AV891" si="3730">IF(ISERROR(AU883/AM883),"NA",IF(OR(AU883/AM883&gt;2,AU883/AM883&lt;0.5),"NM",AU883/AM883*100-100))</f>
        <v>1.4487270157327288</v>
      </c>
      <c r="AW883" s="145">
        <f t="shared" si="3727"/>
        <v>10070.619083066018</v>
      </c>
      <c r="AX883" s="9">
        <f t="shared" ref="AX883:AX891" si="3731">IF(ISERROR(AW883/AO883),"NA",IF(OR(AW883/AO883&gt;2,AW883/AO883&lt;0.5),"NM",AW883/AO883*100-100))</f>
        <v>1.4171248760412425</v>
      </c>
      <c r="AY883" s="297"/>
      <c r="AZ883" s="178"/>
      <c r="BA883" s="9" t="str">
        <f>IF(ISERROR(#REF!/#REF!),"NA",IF(OR(#REF!/#REF!&gt;2,#REF!/#REF!&lt;0.5),"NM",#REF!/#REF!*100-100))</f>
        <v>NA</v>
      </c>
      <c r="BB883" s="188">
        <f>U883</f>
        <v>9478.4</v>
      </c>
      <c r="BC883" s="9" t="str">
        <f>IF(ISERROR(BB883/#REF!),"NA",IF(OR(BB883/#REF!&gt;2,BB883/#REF!&lt;0.5),"NM",BB883/#REF!*100-100))</f>
        <v>NA</v>
      </c>
      <c r="BD883" s="978">
        <f>W883</f>
        <v>9528.9</v>
      </c>
      <c r="BE883" s="9">
        <f t="shared" ref="BE883:BS891" si="3732">IF(ISERROR(BD883/BB883),"NA",IF(OR(BD883/BB883&gt;2,BD883/BB883&lt;0.5),"NM",BD883/BB883*100-100))</f>
        <v>0.53279034436191353</v>
      </c>
      <c r="BF883" s="188">
        <f>Y883</f>
        <v>9549.5</v>
      </c>
      <c r="BG883" s="9">
        <f t="shared" si="3732"/>
        <v>0.21618444941178439</v>
      </c>
      <c r="BH883" s="188">
        <f>AG883</f>
        <v>9690.7000000000007</v>
      </c>
      <c r="BI883" s="9">
        <f t="shared" si="3732"/>
        <v>1.4786114456254467</v>
      </c>
      <c r="BJ883" s="188">
        <f>AO883</f>
        <v>9929.9</v>
      </c>
      <c r="BK883" s="9">
        <f t="shared" si="3732"/>
        <v>2.4683459399217753</v>
      </c>
      <c r="BL883" s="188">
        <f>AW883</f>
        <v>10070.619083066018</v>
      </c>
      <c r="BM883" s="9">
        <f t="shared" si="3732"/>
        <v>1.4171248760412425</v>
      </c>
      <c r="BN883" s="145">
        <f>+BN887-BN884-BN888-BN885-BN886</f>
        <v>10217.74721277732</v>
      </c>
      <c r="BO883" s="9">
        <f t="shared" si="3732"/>
        <v>1.4609641025813573</v>
      </c>
      <c r="BP883" s="145">
        <f>+BP887-BP884-BP888-BP885-BP886</f>
        <v>10371.258931585524</v>
      </c>
      <c r="BQ883" s="9">
        <f t="shared" si="3732"/>
        <v>1.5024027861663853</v>
      </c>
      <c r="BR883" s="145">
        <f>+BR887-BR884-BR888-BR885-BR886</f>
        <v>10531.072393877588</v>
      </c>
      <c r="BS883" s="9">
        <f t="shared" si="3732"/>
        <v>1.5409263556746708</v>
      </c>
      <c r="BT883" s="145">
        <f>+BT887-BT884-BT888-BT885-BT886</f>
        <v>10697.034027789925</v>
      </c>
      <c r="BU883" s="9">
        <f t="shared" ref="BU883:BU891" si="3733">IF(ISERROR(BT883/BR883),"NA",IF(OR(BT883/BR883&gt;2,BT883/BR883&lt;0.5),"NM",BT883/BR883*100-100))</f>
        <v>1.5759233979705698</v>
      </c>
      <c r="BV883" s="43">
        <f t="shared" ref="BV883:BV891" si="3734">IF(ISERROR(((BT883/BJ883)^0.2-1)*100),"NA",IF((((BT883/BJ883)^0.2-1)*100)&gt;100,"NM",IF((((BT883/BJ883)^0.2-1)*100)&lt;-50,"NM",((BT883/BJ883)^0.2-1)*100)))</f>
        <v>1.4994527012230918</v>
      </c>
      <c r="BW883" s="180"/>
      <c r="BX883" s="180"/>
      <c r="BY883"/>
      <c r="BZ883"/>
      <c r="CA883"/>
      <c r="CB883"/>
      <c r="CC883"/>
      <c r="CD883"/>
    </row>
    <row r="884" spans="1:82" s="2" customFormat="1" ht="12.75" customHeight="1" x14ac:dyDescent="0.2">
      <c r="A884" s="7"/>
      <c r="B884" s="187" t="s">
        <v>263</v>
      </c>
      <c r="C884" s="181">
        <v>4971.7</v>
      </c>
      <c r="D884" s="9" t="str">
        <f>IF(ISERROR(C884/#REF!),"NA",IF(OR(C884/#REF!&gt;2,C884/#REF!&lt;0.5),"NM",C884/#REF!*100-100))</f>
        <v>NA</v>
      </c>
      <c r="E884" s="181">
        <v>5125.2</v>
      </c>
      <c r="F884" s="9" t="str">
        <f>IF(ISERROR(E884/#REF!),"NA",IF(OR(E884/#REF!&gt;2,E884/#REF!&lt;0.5),"NM",E884/#REF!*100-100))</f>
        <v>NA</v>
      </c>
      <c r="G884" s="181">
        <v>5249.9</v>
      </c>
      <c r="H884" s="9" t="str">
        <f>IF(ISERROR(G884/#REF!),"NA",IF(OR(G884/#REF!&gt;2,G884/#REF!&lt;0.5),"NM",G884/#REF!*100-100))</f>
        <v>NA</v>
      </c>
      <c r="I884" s="181">
        <v>5405.4</v>
      </c>
      <c r="J884" s="9" t="str">
        <f>IF(ISERROR(I884/#REF!),"NA",IF(OR(I884/#REF!&gt;2,I884/#REF!&lt;0.5),"NM",I884/#REF!*100-100))</f>
        <v>NA</v>
      </c>
      <c r="K884" s="181">
        <v>5605.3</v>
      </c>
      <c r="L884" s="9">
        <f>IF(ISERROR(K884/C884),"NA",IF(OR(K884/C884&gt;2,K884/C884&lt;0.5),"NM",K884/C884*100-100))</f>
        <v>12.744131785908252</v>
      </c>
      <c r="M884" s="181">
        <v>5816.3</v>
      </c>
      <c r="N884" s="9">
        <f t="shared" si="3707"/>
        <v>13.484351830172486</v>
      </c>
      <c r="O884" s="181">
        <v>5945.2</v>
      </c>
      <c r="P884" s="9">
        <f t="shared" si="3708"/>
        <v>13.244061791653181</v>
      </c>
      <c r="Q884" s="181">
        <v>6114.1</v>
      </c>
      <c r="R884" s="9">
        <f t="shared" si="3709"/>
        <v>13.110963110963141</v>
      </c>
      <c r="S884" s="181">
        <v>6420.4</v>
      </c>
      <c r="T884" s="9">
        <f t="shared" si="3710"/>
        <v>14.541594562289248</v>
      </c>
      <c r="U884" s="181">
        <v>6547.9</v>
      </c>
      <c r="V884" s="9">
        <f t="shared" si="3711"/>
        <v>12.578443340267853</v>
      </c>
      <c r="W884" s="181">
        <v>6734.7</v>
      </c>
      <c r="X884" s="9">
        <f t="shared" si="3713"/>
        <v>13.279620534212484</v>
      </c>
      <c r="Y884" s="181">
        <v>6875.9</v>
      </c>
      <c r="Z884" s="9">
        <f t="shared" si="3714"/>
        <v>12.459724243960665</v>
      </c>
      <c r="AA884" s="181">
        <v>7131.8</v>
      </c>
      <c r="AB884" s="9">
        <f t="shared" si="3716"/>
        <v>11.080306522958082</v>
      </c>
      <c r="AC884" s="181">
        <v>7339.6</v>
      </c>
      <c r="AD884" s="9">
        <f t="shared" si="3717"/>
        <v>12.090899372317864</v>
      </c>
      <c r="AE884" s="181">
        <v>7528.1</v>
      </c>
      <c r="AF884" s="9">
        <f t="shared" si="3719"/>
        <v>11.780777168990468</v>
      </c>
      <c r="AG884" s="181">
        <v>7720.4</v>
      </c>
      <c r="AH884" s="9">
        <f t="shared" si="3720"/>
        <v>12.282028534446397</v>
      </c>
      <c r="AI884" s="181">
        <v>7937.4</v>
      </c>
      <c r="AJ884" s="9">
        <f t="shared" si="3722"/>
        <v>11.29588603157687</v>
      </c>
      <c r="AK884" s="181">
        <v>8112.2</v>
      </c>
      <c r="AL884" s="9">
        <f t="shared" si="3723"/>
        <v>10.526459207586242</v>
      </c>
      <c r="AM884" s="181">
        <v>8784.6</v>
      </c>
      <c r="AN884" s="9">
        <f t="shared" si="3725"/>
        <v>16.690798475046819</v>
      </c>
      <c r="AO884" s="181">
        <v>9482.9</v>
      </c>
      <c r="AP884" s="9">
        <f t="shared" si="3726"/>
        <v>22.82912802445469</v>
      </c>
      <c r="AQ884" s="179">
        <f t="shared" ref="AQ884" si="3735">+AO884+AQ731-AQ819</f>
        <v>9721.3758634235182</v>
      </c>
      <c r="AR884" s="9">
        <f t="shared" si="3728"/>
        <v>22.475569625110481</v>
      </c>
      <c r="AS884" s="179">
        <f t="shared" ref="AS884" si="3736">+AQ884+AS731-AS819</f>
        <v>9967.3494572300096</v>
      </c>
      <c r="AT884" s="9">
        <f t="shared" si="3729"/>
        <v>22.86863560107011</v>
      </c>
      <c r="AU884" s="179">
        <f t="shared" ref="AU884" si="3737">+AS884+AU731-AU819</f>
        <v>10222.775507575348</v>
      </c>
      <c r="AV884" s="9">
        <f t="shared" si="3730"/>
        <v>16.371553714174226</v>
      </c>
      <c r="AW884" s="179">
        <f t="shared" ref="AW884" si="3738">+AU884+AW731-AW819</f>
        <v>10492.577524483864</v>
      </c>
      <c r="AX884" s="9">
        <f t="shared" si="3731"/>
        <v>10.647349697707085</v>
      </c>
      <c r="AY884" s="297"/>
      <c r="AZ884" s="178"/>
      <c r="BA884" s="9" t="str">
        <f>IF(ISERROR(#REF!/#REF!),"NA",IF(OR(#REF!/#REF!&gt;2,#REF!/#REF!&lt;0.5),"NM",#REF!/#REF!*100-100))</f>
        <v>NA</v>
      </c>
      <c r="BB884" s="188">
        <f>U884</f>
        <v>6547.9</v>
      </c>
      <c r="BC884" s="9" t="str">
        <f>IF(ISERROR(BB884/#REF!),"NA",IF(OR(BB884/#REF!&gt;2,BB884/#REF!&lt;0.5),"NM",BB884/#REF!*100-100))</f>
        <v>NA</v>
      </c>
      <c r="BD884" s="978">
        <f>W884</f>
        <v>6734.7</v>
      </c>
      <c r="BE884" s="9">
        <f t="shared" si="3732"/>
        <v>2.8528230425021803</v>
      </c>
      <c r="BF884" s="188">
        <f>Y884</f>
        <v>6875.9</v>
      </c>
      <c r="BG884" s="9">
        <f t="shared" si="3732"/>
        <v>2.0966041546022893</v>
      </c>
      <c r="BH884" s="188">
        <f>AG884</f>
        <v>7720.4</v>
      </c>
      <c r="BI884" s="9">
        <f t="shared" si="3732"/>
        <v>12.282028534446397</v>
      </c>
      <c r="BJ884" s="188">
        <f>AO884</f>
        <v>9482.9</v>
      </c>
      <c r="BK884" s="9">
        <f t="shared" si="3732"/>
        <v>22.82912802445469</v>
      </c>
      <c r="BL884" s="188">
        <f>AW884</f>
        <v>10492.577524483864</v>
      </c>
      <c r="BM884" s="9">
        <f t="shared" si="3732"/>
        <v>10.647349697707085</v>
      </c>
      <c r="BN884" s="179">
        <f>+BL884+BN731-BN819</f>
        <v>11523.318281704405</v>
      </c>
      <c r="BO884" s="9">
        <f t="shared" si="3732"/>
        <v>9.8235229124146457</v>
      </c>
      <c r="BP884" s="179">
        <f>+BN884+BP731-BP819</f>
        <v>12572.022903349429</v>
      </c>
      <c r="BQ884" s="9">
        <f t="shared" si="3732"/>
        <v>9.1007173108292392</v>
      </c>
      <c r="BR884" s="179">
        <f>+BP884+BR731-BR819</f>
        <v>13626.288875008042</v>
      </c>
      <c r="BS884" s="9">
        <f t="shared" si="3732"/>
        <v>8.3858101418009312</v>
      </c>
      <c r="BT884" s="179">
        <f>+BR884+BT731-BT819</f>
        <v>14679.512452263296</v>
      </c>
      <c r="BU884" s="9">
        <f t="shared" si="3733"/>
        <v>7.7293501327934564</v>
      </c>
      <c r="BV884" s="43">
        <f t="shared" si="3734"/>
        <v>9.1324970013602513</v>
      </c>
      <c r="BW884" s="180"/>
      <c r="BX884" s="180"/>
      <c r="BY884"/>
      <c r="BZ884"/>
      <c r="CA884"/>
      <c r="CB884"/>
      <c r="CC884"/>
      <c r="CD884"/>
    </row>
    <row r="885" spans="1:82" s="2" customFormat="1" ht="12.75" customHeight="1" x14ac:dyDescent="0.2">
      <c r="A885" s="7"/>
      <c r="B885" s="187" t="s">
        <v>242</v>
      </c>
      <c r="C885" s="181">
        <v>-5645.3</v>
      </c>
      <c r="D885" s="9" t="str">
        <f>IF(ISERROR(C885/#REF!),"NA",IF(OR(C885/#REF!&gt;2,C885/#REF!&lt;0.5),"NM",C885/#REF!*100-100))</f>
        <v>NA</v>
      </c>
      <c r="E885" s="181">
        <v>-5645.8</v>
      </c>
      <c r="F885" s="9" t="str">
        <f>IF(ISERROR(E885/#REF!),"NA",IF(OR(E885/#REF!&gt;2,E885/#REF!&lt;0.5),"NM",E885/#REF!*100-100))</f>
        <v>NA</v>
      </c>
      <c r="G885" s="181">
        <v>-5707.8</v>
      </c>
      <c r="H885" s="9" t="str">
        <f>IF(ISERROR(G885/#REF!),"NA",IF(OR(G885/#REF!&gt;2,G885/#REF!&lt;0.5),"NM",G885/#REF!*100-100))</f>
        <v>NA</v>
      </c>
      <c r="I885" s="181">
        <v>-5708</v>
      </c>
      <c r="J885" s="9" t="str">
        <f>IF(ISERROR(I885/#REF!),"NA",IF(OR(I885/#REF!&gt;2,I885/#REF!&lt;0.5),"NM",I885/#REF!*100-100))</f>
        <v>NA</v>
      </c>
      <c r="K885" s="181">
        <v>-5797</v>
      </c>
      <c r="L885" s="9">
        <f>IF(ISERROR(K885/C885),"NA",IF(OR(K885/C885&gt;2,K885/C885&lt;0.5),"NM",K885/C885*100-100))</f>
        <v>2.6871911147326131</v>
      </c>
      <c r="M885" s="181">
        <v>-5857.8</v>
      </c>
      <c r="N885" s="9">
        <f t="shared" si="3707"/>
        <v>3.7550037195791504</v>
      </c>
      <c r="O885" s="181">
        <v>-5930.5</v>
      </c>
      <c r="P885" s="9">
        <f t="shared" si="3708"/>
        <v>3.9016784049896529</v>
      </c>
      <c r="Q885" s="181">
        <v>-5930.7</v>
      </c>
      <c r="R885" s="9">
        <f t="shared" si="3709"/>
        <v>3.901541695865447</v>
      </c>
      <c r="S885" s="181">
        <v>-6006.1</v>
      </c>
      <c r="T885" s="9">
        <f t="shared" si="3710"/>
        <v>3.6070381231671576</v>
      </c>
      <c r="U885" s="181">
        <v>-6006.3</v>
      </c>
      <c r="V885" s="9">
        <f t="shared" si="3711"/>
        <v>2.5350814298883648</v>
      </c>
      <c r="W885" s="181">
        <v>-6118.9</v>
      </c>
      <c r="X885" s="9">
        <f t="shared" si="3713"/>
        <v>3.1767979091138869</v>
      </c>
      <c r="Y885" s="181">
        <v>-6231.3</v>
      </c>
      <c r="Z885" s="9">
        <f t="shared" si="3714"/>
        <v>5.0685416561282892</v>
      </c>
      <c r="AA885" s="181">
        <v>-6336.9</v>
      </c>
      <c r="AB885" s="9">
        <f t="shared" si="3716"/>
        <v>5.5077338039659622</v>
      </c>
      <c r="AC885" s="181">
        <v>-6441</v>
      </c>
      <c r="AD885" s="9">
        <f t="shared" si="3717"/>
        <v>7.2374007292343094</v>
      </c>
      <c r="AE885" s="181">
        <v>-6476.5</v>
      </c>
      <c r="AF885" s="9">
        <f t="shared" si="3719"/>
        <v>5.8441876807923165</v>
      </c>
      <c r="AG885" s="181">
        <v>-6508.6</v>
      </c>
      <c r="AH885" s="9">
        <f t="shared" si="3720"/>
        <v>4.4501147433119854</v>
      </c>
      <c r="AI885" s="181">
        <v>-6651.4</v>
      </c>
      <c r="AJ885" s="9">
        <f t="shared" si="3722"/>
        <v>4.9629945241364055</v>
      </c>
      <c r="AK885" s="181">
        <v>-6677.8</v>
      </c>
      <c r="AL885" s="9">
        <f t="shared" si="3723"/>
        <v>3.6764477565595541</v>
      </c>
      <c r="AM885" s="181">
        <v>-6726.7</v>
      </c>
      <c r="AN885" s="9">
        <f t="shared" si="3725"/>
        <v>3.8631977148150867</v>
      </c>
      <c r="AO885" s="181">
        <v>-6729</v>
      </c>
      <c r="AP885" s="9">
        <f t="shared" si="3726"/>
        <v>3.3862889100574591</v>
      </c>
      <c r="AQ885" s="179">
        <f t="shared" ref="AQ885" si="3739">+AO885-AQ831</f>
        <v>-6844</v>
      </c>
      <c r="AR885" s="9">
        <f t="shared" si="3728"/>
        <v>2.8956309949785179</v>
      </c>
      <c r="AS885" s="179">
        <f t="shared" ref="AS885" si="3740">+AQ885-AS831</f>
        <v>-6944</v>
      </c>
      <c r="AT885" s="9">
        <f t="shared" si="3729"/>
        <v>3.9863428075114484</v>
      </c>
      <c r="AU885" s="179">
        <f t="shared" ref="AU885" si="3741">+AS885-AU831</f>
        <v>-7044</v>
      </c>
      <c r="AV885" s="9">
        <f t="shared" si="3730"/>
        <v>4.7170232060297081</v>
      </c>
      <c r="AW885" s="179">
        <f t="shared" ref="AW885" si="3742">+AU885-AW831</f>
        <v>-7119</v>
      </c>
      <c r="AX885" s="9">
        <f t="shared" si="3731"/>
        <v>5.7958091841284158</v>
      </c>
      <c r="AY885" s="297"/>
      <c r="AZ885" s="178"/>
      <c r="BA885" s="9" t="str">
        <f>IF(ISERROR(#REF!/#REF!),"NA",IF(OR(#REF!/#REF!&gt;2,#REF!/#REF!&lt;0.5),"NM",#REF!/#REF!*100-100))</f>
        <v>NA</v>
      </c>
      <c r="BB885" s="179">
        <f>U885</f>
        <v>-6006.3</v>
      </c>
      <c r="BC885" s="9" t="str">
        <f>IF(ISERROR(BB885/#REF!),"NA",IF(OR(BB885/#REF!&gt;2,BB885/#REF!&lt;0.5),"NM",BB885/#REF!*100-100))</f>
        <v>NA</v>
      </c>
      <c r="BD885" s="976">
        <f>W885</f>
        <v>-6118.9</v>
      </c>
      <c r="BE885" s="9">
        <f t="shared" si="3732"/>
        <v>1.874698233521471</v>
      </c>
      <c r="BF885" s="179">
        <f>Y885</f>
        <v>-6231.3</v>
      </c>
      <c r="BG885" s="9">
        <f t="shared" si="3732"/>
        <v>1.8369314746114611</v>
      </c>
      <c r="BH885" s="179">
        <f>AG885</f>
        <v>-6508.6</v>
      </c>
      <c r="BI885" s="9">
        <f t="shared" si="3732"/>
        <v>4.4501147433119854</v>
      </c>
      <c r="BJ885" s="179">
        <f>AO885</f>
        <v>-6729</v>
      </c>
      <c r="BK885" s="9">
        <f t="shared" si="3732"/>
        <v>3.3862889100574591</v>
      </c>
      <c r="BL885" s="179">
        <f>AW885</f>
        <v>-7119</v>
      </c>
      <c r="BM885" s="9">
        <f t="shared" si="3732"/>
        <v>5.7958091841284158</v>
      </c>
      <c r="BN885" s="179">
        <f>+BL885-BN831</f>
        <v>-7499</v>
      </c>
      <c r="BO885" s="9">
        <f t="shared" si="3732"/>
        <v>5.3378283466779095</v>
      </c>
      <c r="BP885" s="179">
        <f>+BN885-BP831</f>
        <v>-7889</v>
      </c>
      <c r="BQ885" s="9">
        <f t="shared" si="3732"/>
        <v>5.2006934257901065</v>
      </c>
      <c r="BR885" s="179">
        <f>+BP885-BR831</f>
        <v>-8279</v>
      </c>
      <c r="BS885" s="9">
        <f t="shared" si="3732"/>
        <v>4.9435923437697937</v>
      </c>
      <c r="BT885" s="179">
        <f>+BR885-BT831</f>
        <v>-8654</v>
      </c>
      <c r="BU885" s="9">
        <f t="shared" si="3733"/>
        <v>4.529532552240596</v>
      </c>
      <c r="BV885" s="43">
        <f t="shared" si="3734"/>
        <v>5.1606525877280651</v>
      </c>
      <c r="BW885" s="180"/>
      <c r="BX885" s="180"/>
      <c r="BY885"/>
      <c r="BZ885"/>
      <c r="CA885"/>
      <c r="CB885"/>
      <c r="CC885"/>
      <c r="CD885"/>
    </row>
    <row r="886" spans="1:82" s="2" customFormat="1" ht="12.75" customHeight="1" x14ac:dyDescent="0.2">
      <c r="A886" s="7"/>
      <c r="B886" s="187" t="s">
        <v>503</v>
      </c>
      <c r="C886" s="181">
        <v>542</v>
      </c>
      <c r="D886" s="9"/>
      <c r="E886" s="181">
        <v>541.9</v>
      </c>
      <c r="F886" s="9"/>
      <c r="G886" s="181">
        <v>541.9</v>
      </c>
      <c r="H886" s="9"/>
      <c r="I886" s="181">
        <f>541.9+0.1</f>
        <v>542</v>
      </c>
      <c r="J886" s="9"/>
      <c r="K886" s="181">
        <f>541.9+0.1</f>
        <v>542</v>
      </c>
      <c r="L886" s="9"/>
      <c r="M886" s="181">
        <f>541.9+0.1</f>
        <v>542</v>
      </c>
      <c r="N886" s="9"/>
      <c r="O886" s="181">
        <f>541.9+0.1</f>
        <v>542</v>
      </c>
      <c r="P886" s="9"/>
      <c r="Q886" s="181">
        <f>541.9+0.1</f>
        <v>542</v>
      </c>
      <c r="R886" s="9"/>
      <c r="S886" s="181">
        <f>541.9+0.1</f>
        <v>542</v>
      </c>
      <c r="T886" s="9"/>
      <c r="U886" s="181">
        <v>0</v>
      </c>
      <c r="V886" s="9" t="str">
        <f t="shared" si="3711"/>
        <v>NM</v>
      </c>
      <c r="W886" s="181">
        <v>0</v>
      </c>
      <c r="X886" s="9" t="str">
        <f t="shared" si="3713"/>
        <v>NM</v>
      </c>
      <c r="Y886" s="181">
        <v>0</v>
      </c>
      <c r="Z886" s="9" t="str">
        <f t="shared" si="3714"/>
        <v>NM</v>
      </c>
      <c r="AA886" s="181">
        <v>0</v>
      </c>
      <c r="AB886" s="9" t="str">
        <f t="shared" si="3716"/>
        <v>NM</v>
      </c>
      <c r="AC886" s="181">
        <v>0</v>
      </c>
      <c r="AD886" s="9" t="str">
        <f t="shared" si="3717"/>
        <v>NA</v>
      </c>
      <c r="AE886" s="181">
        <v>0</v>
      </c>
      <c r="AF886" s="9" t="str">
        <f t="shared" si="3719"/>
        <v>NA</v>
      </c>
      <c r="AG886" s="181">
        <v>0</v>
      </c>
      <c r="AH886" s="9" t="str">
        <f t="shared" si="3720"/>
        <v>NA</v>
      </c>
      <c r="AI886" s="181">
        <v>0</v>
      </c>
      <c r="AJ886" s="9" t="str">
        <f t="shared" si="3722"/>
        <v>NA</v>
      </c>
      <c r="AK886" s="181">
        <v>0</v>
      </c>
      <c r="AL886" s="9" t="str">
        <f t="shared" si="3723"/>
        <v>NA</v>
      </c>
      <c r="AM886" s="181">
        <v>0</v>
      </c>
      <c r="AN886" s="9" t="str">
        <f t="shared" si="3725"/>
        <v>NA</v>
      </c>
      <c r="AO886" s="181">
        <v>0</v>
      </c>
      <c r="AP886" s="9" t="str">
        <f t="shared" si="3726"/>
        <v>NA</v>
      </c>
      <c r="AQ886" s="179">
        <f t="shared" ref="AQ886" si="3743">AO886</f>
        <v>0</v>
      </c>
      <c r="AR886" s="9" t="str">
        <f t="shared" si="3728"/>
        <v>NA</v>
      </c>
      <c r="AS886" s="179">
        <f t="shared" ref="AS886" si="3744">AQ886</f>
        <v>0</v>
      </c>
      <c r="AT886" s="9" t="str">
        <f t="shared" si="3729"/>
        <v>NA</v>
      </c>
      <c r="AU886" s="179">
        <f t="shared" ref="AU886" si="3745">AS886</f>
        <v>0</v>
      </c>
      <c r="AV886" s="9" t="str">
        <f t="shared" si="3730"/>
        <v>NA</v>
      </c>
      <c r="AW886" s="179">
        <f t="shared" ref="AW886" si="3746">AU886</f>
        <v>0</v>
      </c>
      <c r="AX886" s="9" t="str">
        <f t="shared" si="3731"/>
        <v>NA</v>
      </c>
      <c r="AY886" s="297"/>
      <c r="AZ886" s="178"/>
      <c r="BA886" s="9" t="str">
        <f>IF(ISERROR(#REF!/#REF!),"NA",IF(OR(#REF!/#REF!&gt;2,#REF!/#REF!&lt;0.5),"NM",#REF!/#REF!*100-100))</f>
        <v>NA</v>
      </c>
      <c r="BB886" s="188">
        <f>U886</f>
        <v>0</v>
      </c>
      <c r="BC886" s="9" t="str">
        <f>IF(ISERROR(BB886/#REF!),"NA",IF(OR(BB886/#REF!&gt;2,BB886/#REF!&lt;0.5),"NM",BB886/#REF!*100-100))</f>
        <v>NA</v>
      </c>
      <c r="BD886" s="978">
        <f>W886</f>
        <v>0</v>
      </c>
      <c r="BE886" s="9" t="str">
        <f t="shared" si="3732"/>
        <v>NA</v>
      </c>
      <c r="BF886" s="188">
        <f>Y886</f>
        <v>0</v>
      </c>
      <c r="BG886" s="9" t="str">
        <f t="shared" si="3732"/>
        <v>NA</v>
      </c>
      <c r="BH886" s="188">
        <f>AG886</f>
        <v>0</v>
      </c>
      <c r="BI886" s="9" t="str">
        <f t="shared" si="3732"/>
        <v>NA</v>
      </c>
      <c r="BJ886" s="188">
        <f>AO886</f>
        <v>0</v>
      </c>
      <c r="BK886" s="9" t="str">
        <f t="shared" si="3732"/>
        <v>NA</v>
      </c>
      <c r="BL886" s="188">
        <f>AW886</f>
        <v>0</v>
      </c>
      <c r="BM886" s="9" t="str">
        <f t="shared" si="3732"/>
        <v>NA</v>
      </c>
      <c r="BN886" s="179">
        <f>BL886</f>
        <v>0</v>
      </c>
      <c r="BO886" s="9" t="str">
        <f t="shared" si="3732"/>
        <v>NA</v>
      </c>
      <c r="BP886" s="179">
        <f>BN886</f>
        <v>0</v>
      </c>
      <c r="BQ886" s="9" t="str">
        <f t="shared" si="3732"/>
        <v>NA</v>
      </c>
      <c r="BR886" s="179">
        <f>BP886</f>
        <v>0</v>
      </c>
      <c r="BS886" s="9" t="str">
        <f t="shared" si="3732"/>
        <v>NA</v>
      </c>
      <c r="BT886" s="179">
        <f>BR886</f>
        <v>0</v>
      </c>
      <c r="BU886" s="9" t="str">
        <f t="shared" si="3733"/>
        <v>NA</v>
      </c>
      <c r="BV886" s="43" t="str">
        <f t="shared" si="3734"/>
        <v>NA</v>
      </c>
      <c r="BW886" s="180"/>
      <c r="BX886" s="180"/>
      <c r="BY886"/>
      <c r="BZ886"/>
      <c r="CA886"/>
      <c r="CB886"/>
      <c r="CC886"/>
      <c r="CD886"/>
    </row>
    <row r="887" spans="1:82" s="2" customFormat="1" ht="12.75" customHeight="1" x14ac:dyDescent="0.2">
      <c r="A887" s="7" t="s">
        <v>217</v>
      </c>
      <c r="B887" s="7" t="s">
        <v>399</v>
      </c>
      <c r="C887" s="181">
        <v>9723.6</v>
      </c>
      <c r="D887" s="9" t="str">
        <f>IF(ISERROR(C887/#REF!),"NA",IF(OR(C887/#REF!&gt;2,C887/#REF!&lt;0.5),"NM",C887/#REF!*100-100))</f>
        <v>NA</v>
      </c>
      <c r="E887" s="181">
        <v>9303.4</v>
      </c>
      <c r="F887" s="9" t="str">
        <f>IF(ISERROR(E887/#REF!),"NA",IF(OR(E887/#REF!&gt;2,E887/#REF!&lt;0.5),"NM",E887/#REF!*100-100))</f>
        <v>NA</v>
      </c>
      <c r="G887" s="181">
        <v>9278.4</v>
      </c>
      <c r="H887" s="9" t="str">
        <f>IF(ISERROR(G887/#REF!),"NA",IF(OR(G887/#REF!&gt;2,G887/#REF!&lt;0.5),"NM",G887/#REF!*100-100))</f>
        <v>NA</v>
      </c>
      <c r="I887" s="181">
        <v>9684.2000000000007</v>
      </c>
      <c r="J887" s="9" t="str">
        <f>IF(ISERROR(I887/#REF!),"NA",IF(OR(I887/#REF!&gt;2,I887/#REF!&lt;0.5),"NM",I887/#REF!*100-100))</f>
        <v>NA</v>
      </c>
      <c r="K887" s="181">
        <v>9987.9</v>
      </c>
      <c r="L887" s="9">
        <f>IF(ISERROR(K887/C887),"NA",IF(OR(K887/C887&gt;2,K887/C887&lt;0.5),"NM",K887/C887*100-100))</f>
        <v>2.7181290879920965</v>
      </c>
      <c r="M887" s="181">
        <v>10401.799999999999</v>
      </c>
      <c r="N887" s="9">
        <f t="shared" si="3707"/>
        <v>11.806436356600813</v>
      </c>
      <c r="O887" s="181">
        <v>10316.4</v>
      </c>
      <c r="P887" s="9">
        <f t="shared" si="3708"/>
        <v>11.187273667873782</v>
      </c>
      <c r="Q887" s="181">
        <v>10184</v>
      </c>
      <c r="R887" s="9">
        <f t="shared" si="3709"/>
        <v>5.160983870634638</v>
      </c>
      <c r="S887" s="181">
        <v>10422.6</v>
      </c>
      <c r="T887" s="9">
        <f t="shared" si="3710"/>
        <v>4.3522662421530072</v>
      </c>
      <c r="U887" s="181">
        <v>9693.4</v>
      </c>
      <c r="V887" s="9">
        <f t="shared" si="3711"/>
        <v>-6.81035974542867</v>
      </c>
      <c r="W887" s="181">
        <v>9620.2999999999993</v>
      </c>
      <c r="X887" s="9">
        <f t="shared" si="3713"/>
        <v>-6.7475088209065177</v>
      </c>
      <c r="Y887" s="181">
        <v>9311.6</v>
      </c>
      <c r="Z887" s="9">
        <f t="shared" si="3714"/>
        <v>-8.5663786331500376</v>
      </c>
      <c r="AA887" s="181">
        <v>10041.6</v>
      </c>
      <c r="AB887" s="9">
        <f t="shared" si="3716"/>
        <v>-3.6555178170514182</v>
      </c>
      <c r="AC887" s="181">
        <v>10499.7</v>
      </c>
      <c r="AD887" s="9">
        <f t="shared" si="3717"/>
        <v>8.3180308250974946</v>
      </c>
      <c r="AE887" s="181">
        <v>10794.6</v>
      </c>
      <c r="AF887" s="9">
        <f t="shared" si="3719"/>
        <v>12.206480047399793</v>
      </c>
      <c r="AG887" s="181">
        <v>10227.299999999999</v>
      </c>
      <c r="AH887" s="9">
        <f t="shared" si="3720"/>
        <v>9.8339705313802028</v>
      </c>
      <c r="AI887" s="181">
        <v>10616.1</v>
      </c>
      <c r="AJ887" s="9">
        <f t="shared" si="3722"/>
        <v>5.7211998087954186</v>
      </c>
      <c r="AK887" s="181">
        <v>11168.1</v>
      </c>
      <c r="AL887" s="9">
        <f t="shared" si="3723"/>
        <v>6.3658961684619442</v>
      </c>
      <c r="AM887" s="181">
        <v>11996.4</v>
      </c>
      <c r="AN887" s="9">
        <f t="shared" si="3725"/>
        <v>11.133344450002781</v>
      </c>
      <c r="AO887" s="181">
        <v>12849.3</v>
      </c>
      <c r="AP887" s="9">
        <f t="shared" si="3726"/>
        <v>25.637264967293419</v>
      </c>
      <c r="AQ887" s="179">
        <f t="shared" ref="AQ887" si="3747">AO887+AQ731-AQ819+AQ825-AQ831-(AO888-AQ888)</f>
        <v>13007.320347073108</v>
      </c>
      <c r="AR887" s="9">
        <f t="shared" si="3728"/>
        <v>22.524470823307126</v>
      </c>
      <c r="AS887" s="179">
        <f t="shared" ref="AS887" si="3748">AQ887+AS731-AS819+AS825-AS831-(AQ888-AS888)</f>
        <v>13188.261564202181</v>
      </c>
      <c r="AT887" s="9">
        <f t="shared" si="3729"/>
        <v>18.088677252193122</v>
      </c>
      <c r="AU887" s="179">
        <f t="shared" ref="AU887" si="3749">AS887+AU731-AU819+AU825-AU831-(AS888-AU888)</f>
        <v>13379.076340336553</v>
      </c>
      <c r="AV887" s="9">
        <f t="shared" si="3730"/>
        <v>11.525760564307234</v>
      </c>
      <c r="AW887" s="179">
        <f t="shared" ref="AW887" si="3750">AU887+AW731-AW819+AW825-AW831-(AU888-AW888)</f>
        <v>13609.696607549882</v>
      </c>
      <c r="AX887" s="9">
        <f t="shared" si="3731"/>
        <v>5.9178056979748703</v>
      </c>
      <c r="AY887" s="297"/>
      <c r="AZ887" s="178"/>
      <c r="BA887" s="9" t="str">
        <f>IF(ISERROR(#REF!/#REF!),"NA",IF(OR(#REF!/#REF!&gt;2,#REF!/#REF!&lt;0.5),"NM",#REF!/#REF!*100-100))</f>
        <v>NA</v>
      </c>
      <c r="BB887" s="179">
        <f>+U887</f>
        <v>9693.4</v>
      </c>
      <c r="BC887" s="9" t="str">
        <f>IF(ISERROR(BB887/#REF!),"NA",IF(OR(BB887/#REF!&gt;2,BB887/#REF!&lt;0.5),"NM",BB887/#REF!*100-100))</f>
        <v>NA</v>
      </c>
      <c r="BD887" s="976">
        <f>+W887</f>
        <v>9620.2999999999993</v>
      </c>
      <c r="BE887" s="9">
        <f t="shared" si="3732"/>
        <v>-0.75412136092599269</v>
      </c>
      <c r="BF887" s="179">
        <f>+Y887</f>
        <v>9311.6</v>
      </c>
      <c r="BG887" s="9">
        <f t="shared" si="3732"/>
        <v>-3.2088396411754161</v>
      </c>
      <c r="BH887" s="179">
        <f>+AG887</f>
        <v>10227.299999999999</v>
      </c>
      <c r="BI887" s="9">
        <f t="shared" si="3732"/>
        <v>9.8339705313802028</v>
      </c>
      <c r="BJ887" s="179">
        <f>+AO887</f>
        <v>12849.3</v>
      </c>
      <c r="BK887" s="9">
        <f t="shared" si="3732"/>
        <v>25.637264967293419</v>
      </c>
      <c r="BL887" s="179">
        <f>+AW887</f>
        <v>13609.696607549882</v>
      </c>
      <c r="BM887" s="9">
        <f t="shared" si="3732"/>
        <v>5.9178056979748703</v>
      </c>
      <c r="BN887" s="179">
        <f>BL887+BN731-BN819+BN825-BN831-(BL888-BN888)</f>
        <v>14407.565494481725</v>
      </c>
      <c r="BO887" s="9">
        <f t="shared" si="3732"/>
        <v>5.8625031103869816</v>
      </c>
      <c r="BP887" s="179">
        <f>BN887+BP731-BP819+BP825-BP831-(BN888-BP888)</f>
        <v>15219.781834934953</v>
      </c>
      <c r="BQ887" s="9">
        <f t="shared" si="3732"/>
        <v>5.6374294516607648</v>
      </c>
      <c r="BR887" s="179">
        <f>BP887+BR731-BR819+BR825-BR831-(BP888-BR888)</f>
        <v>16043.86126888563</v>
      </c>
      <c r="BS887" s="9">
        <f t="shared" si="3732"/>
        <v>5.414528558215693</v>
      </c>
      <c r="BT887" s="179">
        <f>BR887+BT731-BT819+BT825-BT831-(BR888-BT888)</f>
        <v>16888.046480053221</v>
      </c>
      <c r="BU887" s="9">
        <f t="shared" si="3733"/>
        <v>5.2617334257604682</v>
      </c>
      <c r="BV887" s="43">
        <f t="shared" si="3734"/>
        <v>5.6184985419482025</v>
      </c>
      <c r="BW887" s="180"/>
      <c r="BX887" s="180"/>
      <c r="BY887"/>
      <c r="BZ887"/>
      <c r="CA887"/>
      <c r="CB887"/>
      <c r="CC887"/>
      <c r="CD887"/>
    </row>
    <row r="888" spans="1:82" s="2" customFormat="1" ht="12.75" customHeight="1" x14ac:dyDescent="0.2">
      <c r="A888" s="7" t="s">
        <v>127</v>
      </c>
      <c r="B888" s="7" t="s">
        <v>118</v>
      </c>
      <c r="C888" s="179">
        <f>C859</f>
        <v>620.99999999999977</v>
      </c>
      <c r="D888" s="9" t="str">
        <f>IF(ISERROR(C888/#REF!),"NA",IF(OR(C888/#REF!&gt;2,C888/#REF!&lt;0.5),"NM",C888/#REF!*100-100))</f>
        <v>NA</v>
      </c>
      <c r="E888" s="179">
        <f>E859</f>
        <v>-0.5</v>
      </c>
      <c r="F888" s="9" t="str">
        <f>IF(ISERROR(E888/#REF!),"NA",IF(OR(E888/#REF!&gt;2,E888/#REF!&lt;0.5),"NM",E888/#REF!*100-100))</f>
        <v>NA</v>
      </c>
      <c r="G888" s="179">
        <f>G859</f>
        <v>-17.700000000000045</v>
      </c>
      <c r="H888" s="9" t="str">
        <f>IF(ISERROR(G888/#REF!),"NA",IF(OR(G888/#REF!&gt;2,G888/#REF!&lt;0.5),"NM",G888/#REF!*100-100))</f>
        <v>NA</v>
      </c>
      <c r="I888" s="179">
        <f>I859</f>
        <v>183.20000000000002</v>
      </c>
      <c r="J888" s="9" t="str">
        <f>IF(ISERROR(I888/#REF!),"NA",IF(OR(I888/#REF!&gt;2,I888/#REF!&lt;0.5),"NM",I888/#REF!*100-100))</f>
        <v>NA</v>
      </c>
      <c r="K888" s="179">
        <f>K859</f>
        <v>361.79999999999995</v>
      </c>
      <c r="L888" s="9">
        <f>IF(ISERROR(K888/C888),"NA",IF(OR(K888/C888&gt;2,K888/C888&lt;0.5),"NM",K888/C888*100-100))</f>
        <v>-41.739130434782588</v>
      </c>
      <c r="M888" s="179">
        <f>M859</f>
        <v>599.39999999999986</v>
      </c>
      <c r="N888" s="9" t="str">
        <f t="shared" si="3707"/>
        <v>NM</v>
      </c>
      <c r="O888" s="179">
        <f>O859</f>
        <v>380.10000000000008</v>
      </c>
      <c r="P888" s="9" t="str">
        <f t="shared" si="3708"/>
        <v>NM</v>
      </c>
      <c r="Q888" s="179">
        <f>Q859</f>
        <v>50.399999999999977</v>
      </c>
      <c r="R888" s="9" t="str">
        <f t="shared" si="3709"/>
        <v>NM</v>
      </c>
      <c r="S888" s="179">
        <f>S859</f>
        <v>28</v>
      </c>
      <c r="T888" s="9" t="str">
        <f t="shared" si="3710"/>
        <v>NM</v>
      </c>
      <c r="U888" s="179">
        <f>U859</f>
        <v>-326.60000000000002</v>
      </c>
      <c r="V888" s="9" t="str">
        <f t="shared" si="3711"/>
        <v>NM</v>
      </c>
      <c r="W888" s="179">
        <f t="shared" ref="W888:Y888" si="3751">W859</f>
        <v>-524.40000000000009</v>
      </c>
      <c r="X888" s="9" t="str">
        <f t="shared" si="3713"/>
        <v>NM</v>
      </c>
      <c r="Y888" s="179">
        <f t="shared" si="3751"/>
        <v>-882.5</v>
      </c>
      <c r="Z888" s="9" t="str">
        <f t="shared" si="3714"/>
        <v>NM</v>
      </c>
      <c r="AA888" s="179">
        <f t="shared" ref="AA888:AC888" si="3752">AA859</f>
        <v>-356.09999999999985</v>
      </c>
      <c r="AB888" s="9" t="str">
        <f t="shared" si="3716"/>
        <v>NM</v>
      </c>
      <c r="AC888" s="179">
        <f t="shared" si="3752"/>
        <v>-19.299999999999898</v>
      </c>
      <c r="AD888" s="9" t="str">
        <f t="shared" si="3717"/>
        <v>NM</v>
      </c>
      <c r="AE888" s="179">
        <f t="shared" ref="AE888:AG888" si="3753">AE859</f>
        <v>91.800000000000011</v>
      </c>
      <c r="AF888" s="9" t="str">
        <f t="shared" si="3719"/>
        <v>NM</v>
      </c>
      <c r="AG888" s="179">
        <f t="shared" si="3753"/>
        <v>-675.19999999999993</v>
      </c>
      <c r="AH888" s="9">
        <f t="shared" si="3720"/>
        <v>-23.490084985835708</v>
      </c>
      <c r="AI888" s="179">
        <f t="shared" ref="AI888:AK888" si="3754">AI859</f>
        <v>-455.10000000000014</v>
      </c>
      <c r="AJ888" s="9">
        <f t="shared" si="3722"/>
        <v>27.801179443976508</v>
      </c>
      <c r="AK888" s="179">
        <f t="shared" si="3754"/>
        <v>-116.09999999999997</v>
      </c>
      <c r="AL888" s="9" t="str">
        <f t="shared" si="3723"/>
        <v>NM</v>
      </c>
      <c r="AM888" s="179">
        <f t="shared" ref="AM888:AO888" si="3755">AM859</f>
        <v>46.999999999999886</v>
      </c>
      <c r="AN888" s="9">
        <f t="shared" si="3725"/>
        <v>-48.801742919390115</v>
      </c>
      <c r="AO888" s="179">
        <f t="shared" si="3755"/>
        <v>165.49999999999989</v>
      </c>
      <c r="AP888" s="9" t="str">
        <f t="shared" si="3726"/>
        <v>NM</v>
      </c>
      <c r="AQ888" s="179">
        <f t="shared" ref="AQ888:AW888" si="3756">AQ859</f>
        <v>165.49999999999989</v>
      </c>
      <c r="AR888" s="9" t="str">
        <f t="shared" si="3728"/>
        <v>NM</v>
      </c>
      <c r="AS888" s="179">
        <f t="shared" si="3756"/>
        <v>165.49999999999989</v>
      </c>
      <c r="AT888" s="9" t="str">
        <f t="shared" si="3729"/>
        <v>NM</v>
      </c>
      <c r="AU888" s="179">
        <f t="shared" si="3756"/>
        <v>165.49999999999989</v>
      </c>
      <c r="AV888" s="9" t="str">
        <f t="shared" si="3730"/>
        <v>NM</v>
      </c>
      <c r="AW888" s="179">
        <f t="shared" si="3756"/>
        <v>165.49999999999989</v>
      </c>
      <c r="AX888" s="9">
        <f t="shared" si="3731"/>
        <v>0</v>
      </c>
      <c r="AY888" s="297"/>
      <c r="AZ888" s="178"/>
      <c r="BA888" s="9" t="str">
        <f>IF(ISERROR(#REF!/#REF!),"NA",IF(OR(#REF!/#REF!&gt;2,#REF!/#REF!&lt;0.5),"NM",#REF!/#REF!*100-100))</f>
        <v>NA</v>
      </c>
      <c r="BB888" s="179">
        <f>BB859</f>
        <v>-326.60000000000002</v>
      </c>
      <c r="BC888" s="9" t="str">
        <f>IF(ISERROR(BB888/#REF!),"NA",IF(OR(BB888/#REF!&gt;2,BB888/#REF!&lt;0.5),"NM",BB888/#REF!*100-100))</f>
        <v>NA</v>
      </c>
      <c r="BD888" s="976">
        <f>BD859</f>
        <v>-524.40000000000009</v>
      </c>
      <c r="BE888" s="9">
        <f t="shared" si="3732"/>
        <v>60.563380281690144</v>
      </c>
      <c r="BF888" s="179">
        <f>BF859</f>
        <v>-882.5</v>
      </c>
      <c r="BG888" s="9">
        <f t="shared" si="3732"/>
        <v>68.287566742944307</v>
      </c>
      <c r="BH888" s="179">
        <f>BH859</f>
        <v>-675.19999999999993</v>
      </c>
      <c r="BI888" s="9">
        <f t="shared" si="3732"/>
        <v>-23.490084985835708</v>
      </c>
      <c r="BJ888" s="179">
        <f>BJ859</f>
        <v>165.49999999999989</v>
      </c>
      <c r="BK888" s="9" t="str">
        <f t="shared" si="3732"/>
        <v>NM</v>
      </c>
      <c r="BL888" s="179">
        <f>BL859</f>
        <v>165.49999999999989</v>
      </c>
      <c r="BM888" s="9">
        <f t="shared" si="3732"/>
        <v>0</v>
      </c>
      <c r="BN888" s="179">
        <f>BN859</f>
        <v>165.49999999999989</v>
      </c>
      <c r="BO888" s="9">
        <f t="shared" si="3732"/>
        <v>0</v>
      </c>
      <c r="BP888" s="179">
        <f>BP859</f>
        <v>165.49999999999989</v>
      </c>
      <c r="BQ888" s="9">
        <f t="shared" si="3732"/>
        <v>0</v>
      </c>
      <c r="BR888" s="179">
        <f>BR859</f>
        <v>165.49999999999989</v>
      </c>
      <c r="BS888" s="9">
        <f t="shared" si="3732"/>
        <v>0</v>
      </c>
      <c r="BT888" s="179">
        <f>BT859</f>
        <v>165.49999999999989</v>
      </c>
      <c r="BU888" s="9">
        <f t="shared" si="3733"/>
        <v>0</v>
      </c>
      <c r="BV888" s="43">
        <f t="shared" si="3734"/>
        <v>0</v>
      </c>
      <c r="BW888" s="180"/>
      <c r="BX888" s="180"/>
      <c r="BY888"/>
      <c r="BZ888"/>
      <c r="CA888"/>
      <c r="CB888"/>
      <c r="CC888"/>
      <c r="CD888"/>
    </row>
    <row r="889" spans="1:82" s="2" customFormat="1" ht="12.75" customHeight="1" x14ac:dyDescent="0.2">
      <c r="A889" s="7" t="s">
        <v>128</v>
      </c>
      <c r="B889" s="7" t="s">
        <v>285</v>
      </c>
      <c r="C889" s="179">
        <f>C887-C888</f>
        <v>9102.6</v>
      </c>
      <c r="D889" s="9" t="str">
        <f>IF(ISERROR(C889/#REF!),"NA",IF(OR(C889/#REF!&gt;2,C889/#REF!&lt;0.5),"NM",C889/#REF!*100-100))</f>
        <v>NA</v>
      </c>
      <c r="E889" s="179">
        <f>E887-E888</f>
        <v>9303.9</v>
      </c>
      <c r="F889" s="9" t="str">
        <f>IF(ISERROR(E889/#REF!),"NA",IF(OR(E889/#REF!&gt;2,E889/#REF!&lt;0.5),"NM",E889/#REF!*100-100))</f>
        <v>NA</v>
      </c>
      <c r="G889" s="179">
        <f>G887-G888</f>
        <v>9296.1</v>
      </c>
      <c r="H889" s="9" t="str">
        <f>IF(ISERROR(G889/#REF!),"NA",IF(OR(G889/#REF!&gt;2,G889/#REF!&lt;0.5),"NM",G889/#REF!*100-100))</f>
        <v>NA</v>
      </c>
      <c r="I889" s="179">
        <f>I887-I888</f>
        <v>9501</v>
      </c>
      <c r="J889" s="9" t="str">
        <f>IF(ISERROR(I889/#REF!),"NA",IF(OR(I889/#REF!&gt;2,I889/#REF!&lt;0.5),"NM",I889/#REF!*100-100))</f>
        <v>NA</v>
      </c>
      <c r="K889" s="179">
        <f>K887-K888</f>
        <v>9626.1</v>
      </c>
      <c r="L889" s="9">
        <f>IF(ISERROR(K889/C889),"NA",IF(OR(K889/C889&gt;2,K889/C889&lt;0.5),"NM",K889/C889*100-100))</f>
        <v>5.7511040801529134</v>
      </c>
      <c r="M889" s="179">
        <f>M887-M888</f>
        <v>9802.4</v>
      </c>
      <c r="N889" s="9">
        <f t="shared" si="3707"/>
        <v>5.3579681638882732</v>
      </c>
      <c r="O889" s="179">
        <f>O887-O888</f>
        <v>9936.2999999999993</v>
      </c>
      <c r="P889" s="9">
        <f t="shared" si="3708"/>
        <v>6.8867589634362645</v>
      </c>
      <c r="Q889" s="179">
        <f>Q887-Q888</f>
        <v>10133.6</v>
      </c>
      <c r="R889" s="9">
        <f t="shared" si="3709"/>
        <v>6.6582465003683922</v>
      </c>
      <c r="S889" s="179">
        <f>S887-S888</f>
        <v>10394.6</v>
      </c>
      <c r="T889" s="9">
        <f t="shared" si="3710"/>
        <v>7.983503184051699</v>
      </c>
      <c r="U889" s="179">
        <f>U887-U888</f>
        <v>10020</v>
      </c>
      <c r="V889" s="9">
        <f t="shared" si="3711"/>
        <v>2.2198645229739782</v>
      </c>
      <c r="W889" s="179">
        <f t="shared" ref="W889:Y889" si="3757">W887-W888</f>
        <v>10144.699999999999</v>
      </c>
      <c r="X889" s="9">
        <f t="shared" si="3713"/>
        <v>2.0973601843744518</v>
      </c>
      <c r="Y889" s="179">
        <f t="shared" si="3757"/>
        <v>10194.1</v>
      </c>
      <c r="Z889" s="9">
        <f t="shared" si="3714"/>
        <v>0.59702376253257228</v>
      </c>
      <c r="AA889" s="179">
        <f t="shared" ref="AA889:AC889" si="3758">AA887-AA888</f>
        <v>10397.700000000001</v>
      </c>
      <c r="AB889" s="9">
        <f t="shared" si="3716"/>
        <v>2.9823177419046942E-2</v>
      </c>
      <c r="AC889" s="179">
        <f t="shared" si="3758"/>
        <v>10519</v>
      </c>
      <c r="AD889" s="9">
        <f t="shared" si="3717"/>
        <v>4.980039920159669</v>
      </c>
      <c r="AE889" s="179">
        <f t="shared" ref="AE889:AG889" si="3759">AE887-AE888</f>
        <v>10702.800000000001</v>
      </c>
      <c r="AF889" s="9">
        <f t="shared" si="3719"/>
        <v>5.5013948169980438</v>
      </c>
      <c r="AG889" s="179">
        <f t="shared" si="3759"/>
        <v>10902.5</v>
      </c>
      <c r="AH889" s="9">
        <f t="shared" si="3720"/>
        <v>6.9491176268625878</v>
      </c>
      <c r="AI889" s="179">
        <f t="shared" ref="AI889:AK889" si="3760">AI887-AI888</f>
        <v>11071.2</v>
      </c>
      <c r="AJ889" s="9">
        <f t="shared" si="3722"/>
        <v>6.4773940390663256</v>
      </c>
      <c r="AK889" s="179">
        <f t="shared" si="3760"/>
        <v>11284.2</v>
      </c>
      <c r="AL889" s="9">
        <f t="shared" si="3723"/>
        <v>7.2744557467439961</v>
      </c>
      <c r="AM889" s="179">
        <f t="shared" ref="AM889:AO889" si="3761">AM887-AM888</f>
        <v>11949.4</v>
      </c>
      <c r="AN889" s="9">
        <f t="shared" si="3725"/>
        <v>11.647419366894638</v>
      </c>
      <c r="AO889" s="179">
        <f t="shared" si="3761"/>
        <v>12683.8</v>
      </c>
      <c r="AP889" s="9">
        <f t="shared" si="3726"/>
        <v>16.33845448291676</v>
      </c>
      <c r="AQ889" s="179">
        <f t="shared" ref="AQ889:AW889" si="3762">AQ887-AQ888</f>
        <v>12841.820347073108</v>
      </c>
      <c r="AR889" s="9">
        <f t="shared" si="3728"/>
        <v>15.993030087733089</v>
      </c>
      <c r="AS889" s="179">
        <f t="shared" si="3762"/>
        <v>13022.761564202181</v>
      </c>
      <c r="AT889" s="9">
        <f t="shared" si="3729"/>
        <v>15.407043159481219</v>
      </c>
      <c r="AU889" s="179">
        <f t="shared" si="3762"/>
        <v>13213.576340336553</v>
      </c>
      <c r="AV889" s="9">
        <f t="shared" si="3730"/>
        <v>10.579412692993401</v>
      </c>
      <c r="AW889" s="179">
        <f t="shared" si="3762"/>
        <v>13444.196607549882</v>
      </c>
      <c r="AX889" s="9">
        <f t="shared" si="3731"/>
        <v>5.9950220560863698</v>
      </c>
      <c r="AY889" s="297"/>
      <c r="AZ889" s="178"/>
      <c r="BA889" s="9" t="str">
        <f>IF(ISERROR(#REF!/#REF!),"NA",IF(OR(#REF!/#REF!&gt;2,#REF!/#REF!&lt;0.5),"NM",#REF!/#REF!*100-100))</f>
        <v>NA</v>
      </c>
      <c r="BB889" s="179">
        <f>BB887-BB888</f>
        <v>10020</v>
      </c>
      <c r="BC889" s="9" t="str">
        <f>IF(ISERROR(BB889/#REF!),"NA",IF(OR(BB889/#REF!&gt;2,BB889/#REF!&lt;0.5),"NM",BB889/#REF!*100-100))</f>
        <v>NA</v>
      </c>
      <c r="BD889" s="976">
        <f>BD887-BD888</f>
        <v>10144.699999999999</v>
      </c>
      <c r="BE889" s="9">
        <f t="shared" si="3732"/>
        <v>1.2445109780439054</v>
      </c>
      <c r="BF889" s="179">
        <f>BF887-BF888</f>
        <v>10194.1</v>
      </c>
      <c r="BG889" s="9">
        <f t="shared" si="3732"/>
        <v>0.48695377882049229</v>
      </c>
      <c r="BH889" s="179">
        <f>BH887-BH888</f>
        <v>10902.5</v>
      </c>
      <c r="BI889" s="9">
        <f t="shared" si="3732"/>
        <v>6.9491176268625878</v>
      </c>
      <c r="BJ889" s="179">
        <f>BJ887-BJ888</f>
        <v>12683.8</v>
      </c>
      <c r="BK889" s="9">
        <f t="shared" si="3732"/>
        <v>16.33845448291676</v>
      </c>
      <c r="BL889" s="179">
        <f>BL887-BL888</f>
        <v>13444.196607549882</v>
      </c>
      <c r="BM889" s="9">
        <f t="shared" si="3732"/>
        <v>5.9950220560863698</v>
      </c>
      <c r="BN889" s="179">
        <f>BN887-BN888</f>
        <v>14242.065494481725</v>
      </c>
      <c r="BO889" s="9">
        <f t="shared" si="3732"/>
        <v>5.9346713695319124</v>
      </c>
      <c r="BP889" s="179">
        <f>BP887-BP888</f>
        <v>15054.281834934953</v>
      </c>
      <c r="BQ889" s="9">
        <f t="shared" si="3732"/>
        <v>5.7029392314473739</v>
      </c>
      <c r="BR889" s="179">
        <f>BR887-BR888</f>
        <v>15878.36126888563</v>
      </c>
      <c r="BS889" s="9">
        <f t="shared" si="3732"/>
        <v>5.4740534486229677</v>
      </c>
      <c r="BT889" s="179">
        <f>BT887-BT888</f>
        <v>16722.546480053221</v>
      </c>
      <c r="BU889" s="9">
        <f t="shared" si="3733"/>
        <v>5.3165764204005797</v>
      </c>
      <c r="BV889" s="43">
        <f t="shared" si="3734"/>
        <v>5.6843316522804832</v>
      </c>
      <c r="BW889" s="180"/>
      <c r="BX889" s="180"/>
      <c r="BY889"/>
      <c r="BZ889"/>
      <c r="CA889"/>
      <c r="CB889"/>
      <c r="CC889"/>
      <c r="CD889"/>
    </row>
    <row r="890" spans="1:82" s="2" customFormat="1" ht="12.75" customHeight="1" x14ac:dyDescent="0.2">
      <c r="A890" s="7" t="s">
        <v>130</v>
      </c>
      <c r="B890" s="7" t="s">
        <v>286</v>
      </c>
      <c r="C890" s="179" t="e">
        <f>AVERAGE(C887,#REF!)</f>
        <v>#REF!</v>
      </c>
      <c r="D890" s="9" t="str">
        <f>IF(ISERROR(C890/#REF!),"NA",IF(OR(C890/#REF!&gt;2,C890/#REF!&lt;0.5),"NM",C890/#REF!*100-100))</f>
        <v>NA</v>
      </c>
      <c r="E890" s="179">
        <f>AVERAGE(E887,C887)</f>
        <v>9513.5</v>
      </c>
      <c r="F890" s="9" t="str">
        <f>IF(ISERROR(E890/#REF!),"NA",IF(OR(E890/#REF!&gt;2,E890/#REF!&lt;0.5),"NM",E890/#REF!*100-100))</f>
        <v>NA</v>
      </c>
      <c r="G890" s="179">
        <f>AVERAGE(G887,E887)</f>
        <v>9290.9</v>
      </c>
      <c r="H890" s="9" t="str">
        <f>IF(ISERROR(G890/#REF!),"NA",IF(OR(G890/#REF!&gt;2,G890/#REF!&lt;0.5),"NM",G890/#REF!*100-100))</f>
        <v>NA</v>
      </c>
      <c r="I890" s="179">
        <f>AVERAGE(I887,G887)</f>
        <v>9481.2999999999993</v>
      </c>
      <c r="J890" s="9" t="str">
        <f>IF(ISERROR(I890/#REF!),"NA",IF(OR(I890/#REF!&gt;2,I890/#REF!&lt;0.5),"NM",I890/#REF!*100-100))</f>
        <v>NA</v>
      </c>
      <c r="K890" s="179">
        <f>AVERAGE(K887,I887)</f>
        <v>9836.0499999999993</v>
      </c>
      <c r="L890" s="9" t="str">
        <f>IF(ISERROR(K890/C890),"NA",IF(OR(K890/C890&gt;2,K890/C890&lt;0.5),"NM",K890/C890*100-100))</f>
        <v>NA</v>
      </c>
      <c r="M890" s="179">
        <f>AVERAGE(M887,K887)</f>
        <v>10194.849999999999</v>
      </c>
      <c r="N890" s="9">
        <f t="shared" si="3707"/>
        <v>7.1619277868292244</v>
      </c>
      <c r="O890" s="179">
        <f>AVERAGE(O887,M887)</f>
        <v>10359.099999999999</v>
      </c>
      <c r="P890" s="9">
        <f t="shared" si="3708"/>
        <v>11.497271523749049</v>
      </c>
      <c r="Q890" s="179">
        <f>AVERAGE(Q887,O887)</f>
        <v>10250.200000000001</v>
      </c>
      <c r="R890" s="9">
        <f t="shared" si="3709"/>
        <v>8.1096474112199957</v>
      </c>
      <c r="S890" s="179">
        <f>AVERAGE(S887,Q887)</f>
        <v>10303.299999999999</v>
      </c>
      <c r="T890" s="9">
        <f t="shared" si="3710"/>
        <v>4.7503825214390076</v>
      </c>
      <c r="U890" s="179">
        <f>AVERAGE(U887,S887)</f>
        <v>10058</v>
      </c>
      <c r="V890" s="9">
        <f t="shared" si="3711"/>
        <v>-1.3423444189958502</v>
      </c>
      <c r="W890" s="179">
        <f t="shared" ref="W890:AO890" si="3763">AVERAGE(W887,U887)</f>
        <v>9656.8499999999985</v>
      </c>
      <c r="X890" s="9">
        <f t="shared" si="3713"/>
        <v>-6.7790638182853655</v>
      </c>
      <c r="Y890" s="179">
        <f t="shared" si="3763"/>
        <v>9465.9500000000007</v>
      </c>
      <c r="Z890" s="9">
        <f t="shared" si="3714"/>
        <v>-7.6510702230200422</v>
      </c>
      <c r="AA890" s="179">
        <f t="shared" si="3763"/>
        <v>9676.6</v>
      </c>
      <c r="AB890" s="9">
        <f t="shared" si="3716"/>
        <v>-6.0825172517542825</v>
      </c>
      <c r="AC890" s="179">
        <f t="shared" si="3763"/>
        <v>10270.650000000001</v>
      </c>
      <c r="AD890" s="9">
        <f t="shared" si="3717"/>
        <v>2.1142374229469141</v>
      </c>
      <c r="AE890" s="179">
        <f t="shared" si="3763"/>
        <v>10647.150000000001</v>
      </c>
      <c r="AF890" s="9">
        <f t="shared" si="3719"/>
        <v>10.254896783112528</v>
      </c>
      <c r="AG890" s="179">
        <f t="shared" si="3763"/>
        <v>10510.95</v>
      </c>
      <c r="AH890" s="9">
        <f t="shared" si="3720"/>
        <v>11.039568136320185</v>
      </c>
      <c r="AI890" s="179">
        <f t="shared" si="3763"/>
        <v>10421.700000000001</v>
      </c>
      <c r="AJ890" s="9">
        <f t="shared" si="3722"/>
        <v>7.7000186015749392</v>
      </c>
      <c r="AK890" s="179">
        <f t="shared" si="3763"/>
        <v>10892.1</v>
      </c>
      <c r="AL890" s="9">
        <f t="shared" si="3723"/>
        <v>6.0507368082837871</v>
      </c>
      <c r="AM890" s="179">
        <f t="shared" si="3763"/>
        <v>11582.25</v>
      </c>
      <c r="AN890" s="9">
        <f t="shared" si="3725"/>
        <v>8.7826319719361408</v>
      </c>
      <c r="AO890" s="179">
        <f t="shared" si="3763"/>
        <v>12422.849999999999</v>
      </c>
      <c r="AP890" s="9">
        <f t="shared" si="3726"/>
        <v>18.189602271916414</v>
      </c>
      <c r="AQ890" s="179">
        <f t="shared" ref="AQ890" si="3764">AVERAGE(AQ887,AO887)</f>
        <v>12928.310173536553</v>
      </c>
      <c r="AR890" s="9">
        <f t="shared" si="3728"/>
        <v>24.05183581888322</v>
      </c>
      <c r="AS890" s="179">
        <f t="shared" ref="AS890" si="3765">AVERAGE(AS887,AQ887)</f>
        <v>13097.790955637643</v>
      </c>
      <c r="AT890" s="9">
        <f t="shared" si="3729"/>
        <v>20.250373717076073</v>
      </c>
      <c r="AU890" s="179">
        <f t="shared" ref="AU890" si="3766">AVERAGE(AU887,AS887)</f>
        <v>13283.668952269367</v>
      </c>
      <c r="AV890" s="9">
        <f t="shared" si="3730"/>
        <v>14.689882814387261</v>
      </c>
      <c r="AW890" s="179">
        <f t="shared" ref="AW890" si="3767">AVERAGE(AW887,AU887)</f>
        <v>13494.386473943217</v>
      </c>
      <c r="AX890" s="9">
        <f t="shared" si="3731"/>
        <v>8.6255285537796738</v>
      </c>
      <c r="AY890" s="297"/>
      <c r="AZ890" s="178"/>
      <c r="BA890" s="9" t="str">
        <f>IF(ISERROR(#REF!/#REF!),"NA",IF(OR(#REF!/#REF!&gt;2,#REF!/#REF!&lt;0.5),"NM",#REF!/#REF!*100-100))</f>
        <v>NA</v>
      </c>
      <c r="BB890" s="179" t="e">
        <f>AVERAGE(#REF!,BB887)</f>
        <v>#REF!</v>
      </c>
      <c r="BC890" s="9" t="str">
        <f>IF(ISERROR(BB890/#REF!),"NA",IF(OR(BB890/#REF!&gt;2,BB890/#REF!&lt;0.5),"NM",BB890/#REF!*100-100))</f>
        <v>NA</v>
      </c>
      <c r="BD890" s="976">
        <f t="shared" ref="BD890:BL890" si="3768">AVERAGE(BB887,BD887)</f>
        <v>9656.8499999999985</v>
      </c>
      <c r="BE890" s="9" t="str">
        <f t="shared" si="3732"/>
        <v>NA</v>
      </c>
      <c r="BF890" s="179">
        <f t="shared" si="3768"/>
        <v>9465.9500000000007</v>
      </c>
      <c r="BG890" s="9">
        <f t="shared" si="3732"/>
        <v>-1.9768350963305608</v>
      </c>
      <c r="BH890" s="179">
        <f t="shared" si="3768"/>
        <v>9769.4500000000007</v>
      </c>
      <c r="BI890" s="9">
        <f t="shared" si="3732"/>
        <v>3.2062286405484883</v>
      </c>
      <c r="BJ890" s="179">
        <f t="shared" si="3768"/>
        <v>11538.3</v>
      </c>
      <c r="BK890" s="9">
        <f t="shared" si="3732"/>
        <v>18.105932268449081</v>
      </c>
      <c r="BL890" s="179">
        <f t="shared" si="3768"/>
        <v>13229.498303774941</v>
      </c>
      <c r="BM890" s="9">
        <f t="shared" si="3732"/>
        <v>14.657257167649846</v>
      </c>
      <c r="BN890" s="179">
        <f>AVERAGE(BL887,BN887)</f>
        <v>14008.631051015804</v>
      </c>
      <c r="BO890" s="9">
        <f t="shared" si="3732"/>
        <v>5.8893597425273754</v>
      </c>
      <c r="BP890" s="179">
        <f t="shared" ref="BP890" si="3769">AVERAGE(BN887,BP887)</f>
        <v>14813.673664708338</v>
      </c>
      <c r="BQ890" s="9">
        <f t="shared" si="3732"/>
        <v>5.7467614841220325</v>
      </c>
      <c r="BR890" s="179">
        <f t="shared" ref="BR890" si="3770">AVERAGE(BP887,BR887)</f>
        <v>15631.821551910292</v>
      </c>
      <c r="BS890" s="9">
        <f t="shared" si="3732"/>
        <v>5.5229236563451849</v>
      </c>
      <c r="BT890" s="179">
        <f t="shared" ref="BT890" si="3771">AVERAGE(BR887,BT887)</f>
        <v>16465.953874469426</v>
      </c>
      <c r="BU890" s="9">
        <f t="shared" si="3733"/>
        <v>5.336117225936448</v>
      </c>
      <c r="BV890" s="43">
        <f t="shared" si="3734"/>
        <v>7.3714983327529238</v>
      </c>
      <c r="BW890" s="180"/>
      <c r="BX890" s="180"/>
      <c r="BY890"/>
      <c r="BZ890"/>
      <c r="CA890"/>
      <c r="CB890"/>
      <c r="CC890"/>
      <c r="CD890"/>
    </row>
    <row r="891" spans="1:82" s="2" customFormat="1" ht="12.75" customHeight="1" x14ac:dyDescent="0.2">
      <c r="A891" s="7" t="s">
        <v>129</v>
      </c>
      <c r="B891" s="7" t="s">
        <v>288</v>
      </c>
      <c r="C891" s="179" t="e">
        <f>AVERAGE(C889,#REF!)</f>
        <v>#REF!</v>
      </c>
      <c r="D891" s="9" t="str">
        <f>IF(ISERROR(C891/#REF!),"NA",IF(OR(C891/#REF!&gt;2,C891/#REF!&lt;0.5),"NM",C891/#REF!*100-100))</f>
        <v>NA</v>
      </c>
      <c r="E891" s="179">
        <f>AVERAGE(E889,C889)</f>
        <v>9203.25</v>
      </c>
      <c r="F891" s="9" t="str">
        <f>IF(ISERROR(E891/#REF!),"NA",IF(OR(E891/#REF!&gt;2,E891/#REF!&lt;0.5),"NM",E891/#REF!*100-100))</f>
        <v>NA</v>
      </c>
      <c r="G891" s="179">
        <f>AVERAGE(G889,E889)</f>
        <v>9300</v>
      </c>
      <c r="H891" s="9" t="str">
        <f>IF(ISERROR(G891/#REF!),"NA",IF(OR(G891/#REF!&gt;2,G891/#REF!&lt;0.5),"NM",G891/#REF!*100-100))</f>
        <v>NA</v>
      </c>
      <c r="I891" s="179">
        <f>AVERAGE(I889,G889)</f>
        <v>9398.5499999999993</v>
      </c>
      <c r="J891" s="9" t="str">
        <f>IF(ISERROR(I891/#REF!),"NA",IF(OR(I891/#REF!&gt;2,I891/#REF!&lt;0.5),"NM",I891/#REF!*100-100))</f>
        <v>NA</v>
      </c>
      <c r="K891" s="179">
        <f>AVERAGE(K889,I889)</f>
        <v>9563.5499999999993</v>
      </c>
      <c r="L891" s="9" t="str">
        <f>IF(ISERROR(K891/C891),"NA",IF(OR(K891/C891&gt;2,K891/C891&lt;0.5),"NM",K891/C891*100-100))</f>
        <v>NA</v>
      </c>
      <c r="M891" s="179">
        <f>AVERAGE(M889,K889)</f>
        <v>9714.25</v>
      </c>
      <c r="N891" s="9">
        <f t="shared" si="3707"/>
        <v>5.5523863852443327</v>
      </c>
      <c r="O891" s="179">
        <f>AVERAGE(O889,M889)</f>
        <v>9869.3499999999985</v>
      </c>
      <c r="P891" s="9">
        <f t="shared" si="3708"/>
        <v>6.1220430107526767</v>
      </c>
      <c r="Q891" s="179">
        <f>AVERAGE(Q889,O889)</f>
        <v>10034.950000000001</v>
      </c>
      <c r="R891" s="9">
        <f t="shared" si="3709"/>
        <v>6.7712572684084336</v>
      </c>
      <c r="S891" s="179">
        <f>AVERAGE(S889,Q889)</f>
        <v>10264.1</v>
      </c>
      <c r="T891" s="9">
        <f t="shared" si="3710"/>
        <v>7.3252087352500013</v>
      </c>
      <c r="U891" s="179">
        <f>AVERAGE(U889,S889)</f>
        <v>10207.299999999999</v>
      </c>
      <c r="V891" s="9">
        <f t="shared" si="3711"/>
        <v>5.0755333659314914</v>
      </c>
      <c r="W891" s="179">
        <f t="shared" ref="W891:AO891" si="3772">AVERAGE(W889,U889)</f>
        <v>10082.349999999999</v>
      </c>
      <c r="X891" s="9">
        <f t="shared" si="3713"/>
        <v>2.1581968417373076</v>
      </c>
      <c r="Y891" s="179">
        <f t="shared" si="3772"/>
        <v>10169.4</v>
      </c>
      <c r="Z891" s="9">
        <f t="shared" si="3714"/>
        <v>1.3398173384022698</v>
      </c>
      <c r="AA891" s="179">
        <f t="shared" si="3772"/>
        <v>10295.900000000001</v>
      </c>
      <c r="AB891" s="9">
        <f t="shared" si="3716"/>
        <v>0.30981771416880122</v>
      </c>
      <c r="AC891" s="179">
        <f t="shared" si="3772"/>
        <v>10458.35</v>
      </c>
      <c r="AD891" s="9">
        <f t="shared" si="3717"/>
        <v>2.4595142691995022</v>
      </c>
      <c r="AE891" s="179">
        <f t="shared" si="3772"/>
        <v>10610.900000000001</v>
      </c>
      <c r="AF891" s="9">
        <f t="shared" si="3719"/>
        <v>5.2423294172489818</v>
      </c>
      <c r="AG891" s="179">
        <f t="shared" si="3772"/>
        <v>10802.650000000001</v>
      </c>
      <c r="AH891" s="9">
        <f t="shared" si="3720"/>
        <v>6.2270143764627335</v>
      </c>
      <c r="AI891" s="179">
        <f t="shared" si="3772"/>
        <v>10986.85</v>
      </c>
      <c r="AJ891" s="9">
        <f t="shared" si="3722"/>
        <v>6.7109237657708292</v>
      </c>
      <c r="AK891" s="179">
        <f t="shared" si="3772"/>
        <v>11177.7</v>
      </c>
      <c r="AL891" s="9">
        <f t="shared" si="3723"/>
        <v>6.878236050619833</v>
      </c>
      <c r="AM891" s="179">
        <f t="shared" si="3772"/>
        <v>11616.8</v>
      </c>
      <c r="AN891" s="9">
        <f t="shared" si="3725"/>
        <v>9.4798744687066829</v>
      </c>
      <c r="AO891" s="179">
        <f t="shared" si="3772"/>
        <v>12316.599999999999</v>
      </c>
      <c r="AP891" s="9">
        <f t="shared" si="3726"/>
        <v>14.014616783844673</v>
      </c>
      <c r="AQ891" s="179">
        <f t="shared" ref="AQ891" si="3773">AVERAGE(AQ889,AO889)</f>
        <v>12762.810173536553</v>
      </c>
      <c r="AR891" s="9">
        <f t="shared" si="3728"/>
        <v>16.164416311650314</v>
      </c>
      <c r="AS891" s="179">
        <f t="shared" ref="AS891" si="3774">AVERAGE(AS889,AQ889)</f>
        <v>12932.290955637643</v>
      </c>
      <c r="AT891" s="9">
        <f t="shared" si="3729"/>
        <v>15.697245011385547</v>
      </c>
      <c r="AU891" s="179">
        <f t="shared" ref="AU891" si="3775">AVERAGE(AU889,AS889)</f>
        <v>13118.168952269367</v>
      </c>
      <c r="AV891" s="9">
        <f t="shared" si="3730"/>
        <v>12.9241181071325</v>
      </c>
      <c r="AW891" s="179">
        <f t="shared" ref="AW891" si="3776">AVERAGE(AW889,AU889)</f>
        <v>13328.886473943217</v>
      </c>
      <c r="AX891" s="9">
        <f t="shared" si="3731"/>
        <v>8.2188791869770768</v>
      </c>
      <c r="AY891" s="297"/>
      <c r="AZ891" s="178"/>
      <c r="BA891" s="9" t="str">
        <f>IF(ISERROR(#REF!/#REF!),"NA",IF(OR(#REF!/#REF!&gt;2,#REF!/#REF!&lt;0.5),"NM",#REF!/#REF!*100-100))</f>
        <v>NA</v>
      </c>
      <c r="BB891" s="179">
        <f>AVERAGE(BB889)</f>
        <v>10020</v>
      </c>
      <c r="BC891" s="9" t="str">
        <f>IF(ISERROR(BB891/#REF!),"NA",IF(OR(BB891/#REF!&gt;2,BB891/#REF!&lt;0.5),"NM",BB891/#REF!*100-100))</f>
        <v>NA</v>
      </c>
      <c r="BD891" s="976">
        <f t="shared" ref="BD891:BL891" si="3777">AVERAGE(BB889,BD889)</f>
        <v>10082.349999999999</v>
      </c>
      <c r="BE891" s="9">
        <f t="shared" si="3732"/>
        <v>0.62225548902195271</v>
      </c>
      <c r="BF891" s="179">
        <f t="shared" si="3777"/>
        <v>10169.4</v>
      </c>
      <c r="BG891" s="9">
        <f t="shared" si="3732"/>
        <v>0.86338998348600171</v>
      </c>
      <c r="BH891" s="179">
        <f t="shared" si="3777"/>
        <v>10548.3</v>
      </c>
      <c r="BI891" s="9">
        <f t="shared" si="3732"/>
        <v>3.7258835329517979</v>
      </c>
      <c r="BJ891" s="179">
        <f t="shared" si="3777"/>
        <v>11793.15</v>
      </c>
      <c r="BK891" s="9">
        <f t="shared" si="3732"/>
        <v>11.801427718210505</v>
      </c>
      <c r="BL891" s="179">
        <f t="shared" si="3777"/>
        <v>13063.998303774941</v>
      </c>
      <c r="BM891" s="9">
        <f t="shared" si="3732"/>
        <v>10.776156529637461</v>
      </c>
      <c r="BN891" s="179">
        <f>AVERAGE(BL889,BN889)</f>
        <v>13843.131051015804</v>
      </c>
      <c r="BO891" s="9">
        <f t="shared" si="3732"/>
        <v>5.9639685272749006</v>
      </c>
      <c r="BP891" s="179">
        <f t="shared" ref="BP891" si="3778">AVERAGE(BN889,BP889)</f>
        <v>14648.173664708338</v>
      </c>
      <c r="BQ891" s="9">
        <f t="shared" si="3732"/>
        <v>5.8154662462251281</v>
      </c>
      <c r="BR891" s="179">
        <f t="shared" ref="BR891" si="3779">AVERAGE(BP889,BR889)</f>
        <v>15466.321551910292</v>
      </c>
      <c r="BS891" s="9">
        <f t="shared" si="3732"/>
        <v>5.5853235080978578</v>
      </c>
      <c r="BT891" s="179">
        <f t="shared" ref="BT891" si="3780">AVERAGE(BR889,BT889)</f>
        <v>16300.453874469426</v>
      </c>
      <c r="BU891" s="9">
        <f t="shared" si="3733"/>
        <v>5.3932172544033818</v>
      </c>
      <c r="BV891" s="43">
        <f t="shared" si="3734"/>
        <v>6.6876072255773078</v>
      </c>
      <c r="BW891" s="180"/>
      <c r="BX891" s="180"/>
      <c r="BY891"/>
      <c r="BZ891"/>
      <c r="CA891"/>
      <c r="CB891"/>
      <c r="CC891"/>
      <c r="CD891"/>
    </row>
    <row r="892" spans="1:82" s="2" customFormat="1" ht="12.75" hidden="1" customHeight="1" outlineLevel="1" x14ac:dyDescent="0.2">
      <c r="B892" s="7"/>
      <c r="C892" s="179"/>
      <c r="D892" s="9"/>
      <c r="E892" s="179"/>
      <c r="F892" s="9"/>
      <c r="G892" s="179"/>
      <c r="H892" s="9"/>
      <c r="I892" s="179"/>
      <c r="J892" s="9"/>
      <c r="K892" s="179"/>
      <c r="L892" s="9"/>
      <c r="M892" s="179"/>
      <c r="N892" s="9"/>
      <c r="O892" s="179"/>
      <c r="P892" s="9"/>
      <c r="Q892" s="179"/>
      <c r="R892" s="9"/>
      <c r="S892" s="179"/>
      <c r="T892" s="9"/>
      <c r="U892" s="179"/>
      <c r="V892" s="9"/>
      <c r="W892" s="179"/>
      <c r="X892" s="9"/>
      <c r="Y892" s="179"/>
      <c r="Z892" s="9"/>
      <c r="AA892" s="179"/>
      <c r="AB892" s="9"/>
      <c r="AC892" s="179"/>
      <c r="AD892" s="9"/>
      <c r="AE892" s="179"/>
      <c r="AF892" s="9"/>
      <c r="AG892" s="179"/>
      <c r="AH892" s="9"/>
      <c r="AI892" s="179"/>
      <c r="AJ892" s="9"/>
      <c r="AK892" s="179"/>
      <c r="AL892" s="9"/>
      <c r="AM892" s="179"/>
      <c r="AN892" s="9"/>
      <c r="AO892" s="179"/>
      <c r="AP892" s="9"/>
      <c r="AQ892" s="179"/>
      <c r="AR892" s="9"/>
      <c r="AS892" s="179"/>
      <c r="AT892" s="9"/>
      <c r="AU892" s="179"/>
      <c r="AV892" s="9"/>
      <c r="AW892" s="179"/>
      <c r="AX892" s="9"/>
      <c r="AY892" s="297"/>
      <c r="AZ892" s="178"/>
      <c r="BA892" s="9"/>
      <c r="BB892" s="179"/>
      <c r="BC892" s="9"/>
      <c r="BD892" s="976"/>
      <c r="BE892" s="9"/>
      <c r="BF892" s="179"/>
      <c r="BG892" s="9"/>
      <c r="BH892" s="179"/>
      <c r="BI892" s="9"/>
      <c r="BJ892" s="179"/>
      <c r="BK892" s="9"/>
      <c r="BL892" s="179"/>
      <c r="BM892" s="9"/>
      <c r="BN892" s="179"/>
      <c r="BO892" s="9"/>
      <c r="BP892" s="179"/>
      <c r="BQ892" s="9"/>
      <c r="BR892" s="179"/>
      <c r="BS892" s="9"/>
      <c r="BT892" s="179"/>
      <c r="BU892" s="9"/>
      <c r="BV892" s="180"/>
      <c r="BW892" s="180"/>
      <c r="BX892" s="180"/>
      <c r="BY892"/>
      <c r="BZ892"/>
      <c r="CA892"/>
      <c r="CB892"/>
      <c r="CC892"/>
      <c r="CD892"/>
    </row>
    <row r="893" spans="1:82" s="2" customFormat="1" ht="12.75" hidden="1" customHeight="1" outlineLevel="1" x14ac:dyDescent="0.2">
      <c r="B893" s="103" t="s">
        <v>289</v>
      </c>
      <c r="C893" s="179"/>
      <c r="D893" s="9"/>
      <c r="E893" s="179"/>
      <c r="F893" s="9"/>
      <c r="G893" s="179"/>
      <c r="H893" s="9"/>
      <c r="I893" s="179"/>
      <c r="J893" s="9"/>
      <c r="K893" s="179"/>
      <c r="L893" s="9"/>
      <c r="M893" s="179"/>
      <c r="N893" s="9"/>
      <c r="O893" s="179"/>
      <c r="P893" s="9"/>
      <c r="Q893" s="179"/>
      <c r="R893" s="9"/>
      <c r="S893" s="179"/>
      <c r="T893" s="9"/>
      <c r="U893" s="179"/>
      <c r="V893" s="9"/>
      <c r="W893" s="179"/>
      <c r="X893" s="9"/>
      <c r="Y893" s="179"/>
      <c r="Z893" s="9"/>
      <c r="AA893" s="179"/>
      <c r="AB893" s="9"/>
      <c r="AC893" s="179"/>
      <c r="AD893" s="9"/>
      <c r="AE893" s="179"/>
      <c r="AF893" s="9"/>
      <c r="AG893" s="179"/>
      <c r="AH893" s="9"/>
      <c r="AI893" s="179"/>
      <c r="AJ893" s="9"/>
      <c r="AK893" s="179"/>
      <c r="AL893" s="9"/>
      <c r="AM893" s="179"/>
      <c r="AN893" s="9"/>
      <c r="AO893" s="179"/>
      <c r="AP893" s="9"/>
      <c r="AQ893" s="179"/>
      <c r="AR893" s="9"/>
      <c r="AS893" s="179"/>
      <c r="AT893" s="9"/>
      <c r="AU893" s="179"/>
      <c r="AV893" s="9"/>
      <c r="AW893" s="179"/>
      <c r="AX893" s="9"/>
      <c r="AY893" s="297"/>
      <c r="AZ893" s="178"/>
      <c r="BA893" s="9"/>
      <c r="BB893" s="179"/>
      <c r="BC893" s="9"/>
      <c r="BD893" s="976"/>
      <c r="BE893" s="9"/>
      <c r="BF893" s="179"/>
      <c r="BG893" s="9"/>
      <c r="BH893" s="179"/>
      <c r="BI893" s="9"/>
      <c r="BJ893" s="179"/>
      <c r="BK893" s="9"/>
      <c r="BL893" s="179"/>
      <c r="BM893" s="9"/>
      <c r="BN893" s="179"/>
      <c r="BO893" s="9"/>
      <c r="BP893" s="179"/>
      <c r="BQ893" s="9"/>
      <c r="BR893" s="179"/>
      <c r="BS893" s="9"/>
      <c r="BT893" s="179"/>
      <c r="BU893" s="9"/>
      <c r="BV893" s="180"/>
      <c r="BW893" s="180"/>
      <c r="BX893" s="180"/>
      <c r="BY893"/>
      <c r="BZ893"/>
      <c r="CA893"/>
      <c r="CB893"/>
      <c r="CC893"/>
      <c r="CD893"/>
    </row>
    <row r="894" spans="1:82" s="2" customFormat="1" ht="12.75" hidden="1" customHeight="1" outlineLevel="1" x14ac:dyDescent="0.2">
      <c r="B894" s="42" t="s">
        <v>547</v>
      </c>
      <c r="C894" s="181">
        <v>3333.6</v>
      </c>
      <c r="D894" s="9" t="str">
        <f>IF(ISERROR(C894/#REF!),"NA",IF(OR(C894/#REF!&gt;2,C894/#REF!&lt;0.5),"NM",C894/#REF!*100-100))</f>
        <v>NA</v>
      </c>
      <c r="E894" s="181">
        <v>3374</v>
      </c>
      <c r="F894" s="9" t="str">
        <f>IF(ISERROR(E894/#REF!),"NA",IF(OR(E894/#REF!&gt;2,E894/#REF!&lt;0.5),"NM",E894/#REF!*100-100))</f>
        <v>NA</v>
      </c>
      <c r="G894" s="181">
        <v>3493.5</v>
      </c>
      <c r="H894" s="9" t="str">
        <f>IF(ISERROR(G894/#REF!),"NA",IF(OR(G894/#REF!&gt;2,G894/#REF!&lt;0.5),"NM",G894/#REF!*100-100))</f>
        <v>NA</v>
      </c>
      <c r="I894" s="181">
        <v>3358.7</v>
      </c>
      <c r="J894" s="9" t="str">
        <f>IF(ISERROR(I894/#REF!),"NA",IF(OR(I894/#REF!&gt;2,I894/#REF!&lt;0.5),"NM",I894/#REF!*100-100))</f>
        <v>NA</v>
      </c>
      <c r="K894" s="181">
        <v>3291.4</v>
      </c>
      <c r="L894" s="9">
        <f t="shared" ref="L894:L900" si="3781">IF(ISERROR(K894/C894),"NA",IF(OR(K894/C894&gt;2,K894/C894&lt;0.5),"NM",K894/C894*100-100))</f>
        <v>-1.265898728101746</v>
      </c>
      <c r="M894" s="181">
        <v>3247.1</v>
      </c>
      <c r="N894" s="9">
        <f t="shared" ref="N894:Z900" si="3782">IF(ISERROR(M894/E894),"NA",IF(OR(M894/E894&gt;2,M894/E894&lt;0.5),"NM",M894/E894*100-100))</f>
        <v>-3.7611144042679285</v>
      </c>
      <c r="O894" s="181">
        <v>3194.4</v>
      </c>
      <c r="P894" s="9">
        <f t="shared" si="3782"/>
        <v>-8.5616144267926018</v>
      </c>
      <c r="Q894" s="181">
        <v>3124</v>
      </c>
      <c r="R894" s="9">
        <f t="shared" si="3782"/>
        <v>-6.9878226694852117</v>
      </c>
      <c r="S894" s="181">
        <v>3145.1</v>
      </c>
      <c r="T894" s="9">
        <f t="shared" si="3782"/>
        <v>-4.4449170565716685</v>
      </c>
      <c r="U894" s="181">
        <v>3192.1</v>
      </c>
      <c r="V894" s="9">
        <f t="shared" si="3782"/>
        <v>-1.6938191001201091</v>
      </c>
      <c r="W894" s="181">
        <v>3174.5</v>
      </c>
      <c r="X894" s="9">
        <f t="shared" si="3782"/>
        <v>-0.62296518908088672</v>
      </c>
      <c r="Y894" s="181">
        <v>3174.5</v>
      </c>
      <c r="Z894" s="9">
        <f t="shared" si="3782"/>
        <v>1.6165172855313585</v>
      </c>
      <c r="AA894" s="181">
        <v>3174.5</v>
      </c>
      <c r="AB894" s="9">
        <f t="shared" ref="AB894:AB900" si="3783">IF(ISERROR(AA894/S894),"NA",IF(OR(AA894/S894&gt;2,AA894/S894&lt;0.5),"NM",AA894/S894*100-100))</f>
        <v>0.93478744713999617</v>
      </c>
      <c r="AC894" s="181">
        <v>3174.5</v>
      </c>
      <c r="AD894" s="9">
        <f t="shared" ref="AD894:AD900" si="3784">IF(ISERROR(AC894/U894),"NA",IF(OR(AC894/U894&gt;2,AC894/U894&lt;0.5),"NM",AC894/U894*100-100))</f>
        <v>-0.55136117289558229</v>
      </c>
      <c r="AE894" s="181">
        <v>3174.5</v>
      </c>
      <c r="AF894" s="9">
        <f t="shared" ref="AF894:AF900" si="3785">IF(ISERROR(AE894/W894),"NA",IF(OR(AE894/W894&gt;2,AE894/W894&lt;0.5),"NM",AE894/W894*100-100))</f>
        <v>0</v>
      </c>
      <c r="AG894" s="181">
        <v>3174.5</v>
      </c>
      <c r="AH894" s="9">
        <f t="shared" ref="AH894:AH900" si="3786">IF(ISERROR(AG894/Y894),"NA",IF(OR(AG894/Y894&gt;2,AG894/Y894&lt;0.5),"NM",AG894/Y894*100-100))</f>
        <v>0</v>
      </c>
      <c r="AI894" s="181">
        <v>3174.5</v>
      </c>
      <c r="AJ894" s="9">
        <f t="shared" ref="AJ894:AJ900" si="3787">IF(ISERROR(AI894/AA894),"NA",IF(OR(AI894/AA894&gt;2,AI894/AA894&lt;0.5),"NM",AI894/AA894*100-100))</f>
        <v>0</v>
      </c>
      <c r="AK894" s="181">
        <v>3174.5</v>
      </c>
      <c r="AL894" s="9">
        <f t="shared" ref="AL894:AL900" si="3788">IF(ISERROR(AK894/AC894),"NA",IF(OR(AK894/AC894&gt;2,AK894/AC894&lt;0.5),"NM",AK894/AC894*100-100))</f>
        <v>0</v>
      </c>
      <c r="AM894" s="181">
        <v>3174.5</v>
      </c>
      <c r="AN894" s="9">
        <f t="shared" ref="AN894:AN900" si="3789">IF(ISERROR(AM894/AE894),"NA",IF(OR(AM894/AE894&gt;2,AM894/AE894&lt;0.5),"NM",AM894/AE894*100-100))</f>
        <v>0</v>
      </c>
      <c r="AO894" s="181">
        <v>3174.5</v>
      </c>
      <c r="AP894" s="9">
        <f t="shared" ref="AP894:AP900" si="3790">IF(ISERROR(AO894/AG894),"NA",IF(OR(AO894/AG894&gt;2,AO894/AG894&lt;0.5),"NM",AO894/AG894*100-100))</f>
        <v>0</v>
      </c>
      <c r="AQ894" s="179"/>
      <c r="AR894" s="9" t="str">
        <f t="shared" ref="AR894:AR900" si="3791">IF(ISERROR(AQ894/AI894),"NA",IF(OR(AQ894/AI894&gt;2,AQ894/AI894&lt;0.5),"NM",AQ894/AI894*100-100))</f>
        <v>NM</v>
      </c>
      <c r="AS894" s="179"/>
      <c r="AT894" s="9" t="str">
        <f t="shared" ref="AT894:AT900" si="3792">IF(ISERROR(AS894/AK894),"NA",IF(OR(AS894/AK894&gt;2,AS894/AK894&lt;0.5),"NM",AS894/AK894*100-100))</f>
        <v>NM</v>
      </c>
      <c r="AU894" s="179"/>
      <c r="AV894" s="9" t="str">
        <f t="shared" ref="AV894:AV900" si="3793">IF(ISERROR(AU894/AM894),"NA",IF(OR(AU894/AM894&gt;2,AU894/AM894&lt;0.5),"NM",AU894/AM894*100-100))</f>
        <v>NM</v>
      </c>
      <c r="AW894" s="179"/>
      <c r="AX894" s="9" t="str">
        <f t="shared" ref="AX894:AX900" si="3794">IF(ISERROR(AW894/AO894),"NA",IF(OR(AW894/AO894&gt;2,AW894/AO894&lt;0.5),"NM",AW894/AO894*100-100))</f>
        <v>NM</v>
      </c>
      <c r="AY894" s="297"/>
      <c r="AZ894" s="178"/>
      <c r="BA894" s="9"/>
      <c r="BB894" s="179"/>
      <c r="BC894" s="9"/>
      <c r="BD894" s="976"/>
      <c r="BE894" s="9"/>
      <c r="BF894" s="179"/>
      <c r="BG894" s="9"/>
      <c r="BH894" s="179"/>
      <c r="BI894" s="9"/>
      <c r="BJ894" s="179"/>
      <c r="BK894" s="9"/>
      <c r="BL894" s="179"/>
      <c r="BM894" s="9"/>
      <c r="BN894" s="179"/>
      <c r="BO894" s="9"/>
      <c r="BP894" s="179"/>
      <c r="BQ894" s="9"/>
      <c r="BR894" s="179"/>
      <c r="BS894" s="9"/>
      <c r="BT894" s="179"/>
      <c r="BU894" s="9"/>
      <c r="BV894" s="180"/>
      <c r="BW894" s="180"/>
      <c r="BX894" s="180"/>
      <c r="BY894"/>
      <c r="BZ894"/>
      <c r="CA894"/>
      <c r="CB894"/>
      <c r="CC894"/>
      <c r="CD894"/>
    </row>
    <row r="895" spans="1:82" s="2" customFormat="1" ht="12.75" hidden="1" customHeight="1" outlineLevel="1" x14ac:dyDescent="0.2">
      <c r="B895" s="42" t="s">
        <v>190</v>
      </c>
      <c r="C895" s="181">
        <v>685.2</v>
      </c>
      <c r="D895" s="9" t="str">
        <f>IF(ISERROR(C895/#REF!),"NA",IF(OR(C895/#REF!&gt;2,C895/#REF!&lt;0.5),"NM",C895/#REF!*100-100))</f>
        <v>NA</v>
      </c>
      <c r="E895" s="181">
        <v>680.4</v>
      </c>
      <c r="F895" s="9" t="str">
        <f>IF(ISERROR(E895/#REF!),"NA",IF(OR(E895/#REF!&gt;2,E895/#REF!&lt;0.5),"NM",E895/#REF!*100-100))</f>
        <v>NA</v>
      </c>
      <c r="G895" s="181">
        <v>507.8</v>
      </c>
      <c r="H895" s="9" t="str">
        <f>IF(ISERROR(G895/#REF!),"NA",IF(OR(G895/#REF!&gt;2,G895/#REF!&lt;0.5),"NM",G895/#REF!*100-100))</f>
        <v>NA</v>
      </c>
      <c r="I895" s="181">
        <v>488.7</v>
      </c>
      <c r="J895" s="9" t="str">
        <f>IF(ISERROR(I895/#REF!),"NA",IF(OR(I895/#REF!&gt;2,I895/#REF!&lt;0.5),"NM",I895/#REF!*100-100))</f>
        <v>NA</v>
      </c>
      <c r="K895" s="181">
        <v>463.7</v>
      </c>
      <c r="L895" s="9">
        <f t="shared" si="3781"/>
        <v>-32.32632807939288</v>
      </c>
      <c r="M895" s="181">
        <v>457.3</v>
      </c>
      <c r="N895" s="9">
        <f t="shared" si="3782"/>
        <v>-32.789535567313351</v>
      </c>
      <c r="O895" s="181">
        <v>638.1</v>
      </c>
      <c r="P895" s="9">
        <f t="shared" si="3782"/>
        <v>25.659708546671922</v>
      </c>
      <c r="Q895" s="181">
        <v>602.79999999999995</v>
      </c>
      <c r="R895" s="9">
        <f t="shared" si="3782"/>
        <v>23.347657049314492</v>
      </c>
      <c r="S895" s="181">
        <v>609.79999999999995</v>
      </c>
      <c r="T895" s="9">
        <f t="shared" si="3782"/>
        <v>31.507440155272803</v>
      </c>
      <c r="U895" s="181">
        <v>619.70000000000005</v>
      </c>
      <c r="V895" s="9">
        <f t="shared" si="3782"/>
        <v>35.512792477585833</v>
      </c>
      <c r="W895" s="181">
        <v>621</v>
      </c>
      <c r="X895" s="9">
        <f t="shared" si="3782"/>
        <v>-2.6798307475317387</v>
      </c>
      <c r="Y895" s="181">
        <v>621</v>
      </c>
      <c r="Z895" s="9">
        <f t="shared" si="3782"/>
        <v>3.0192435301924547</v>
      </c>
      <c r="AA895" s="181">
        <v>621</v>
      </c>
      <c r="AB895" s="9">
        <f t="shared" si="3783"/>
        <v>1.8366677599212835</v>
      </c>
      <c r="AC895" s="181">
        <v>621</v>
      </c>
      <c r="AD895" s="9">
        <f t="shared" si="3784"/>
        <v>0.20977892528641462</v>
      </c>
      <c r="AE895" s="181">
        <v>621</v>
      </c>
      <c r="AF895" s="9">
        <f t="shared" si="3785"/>
        <v>0</v>
      </c>
      <c r="AG895" s="181">
        <v>621</v>
      </c>
      <c r="AH895" s="9">
        <f t="shared" si="3786"/>
        <v>0</v>
      </c>
      <c r="AI895" s="181">
        <v>621</v>
      </c>
      <c r="AJ895" s="9">
        <f t="shared" si="3787"/>
        <v>0</v>
      </c>
      <c r="AK895" s="181">
        <v>621</v>
      </c>
      <c r="AL895" s="9">
        <f t="shared" si="3788"/>
        <v>0</v>
      </c>
      <c r="AM895" s="181">
        <v>621</v>
      </c>
      <c r="AN895" s="9">
        <f t="shared" si="3789"/>
        <v>0</v>
      </c>
      <c r="AO895" s="181">
        <v>621</v>
      </c>
      <c r="AP895" s="9">
        <f t="shared" si="3790"/>
        <v>0</v>
      </c>
      <c r="AQ895" s="179"/>
      <c r="AR895" s="9" t="str">
        <f t="shared" si="3791"/>
        <v>NM</v>
      </c>
      <c r="AS895" s="179"/>
      <c r="AT895" s="9" t="str">
        <f t="shared" si="3792"/>
        <v>NM</v>
      </c>
      <c r="AU895" s="179"/>
      <c r="AV895" s="9" t="str">
        <f t="shared" si="3793"/>
        <v>NM</v>
      </c>
      <c r="AW895" s="179"/>
      <c r="AX895" s="9" t="str">
        <f t="shared" si="3794"/>
        <v>NM</v>
      </c>
      <c r="AY895" s="297"/>
      <c r="AZ895" s="178"/>
      <c r="BA895" s="9"/>
      <c r="BB895" s="179"/>
      <c r="BC895" s="9"/>
      <c r="BD895" s="976"/>
      <c r="BE895" s="9"/>
      <c r="BF895" s="179"/>
      <c r="BG895" s="9"/>
      <c r="BH895" s="179"/>
      <c r="BI895" s="9"/>
      <c r="BJ895" s="179"/>
      <c r="BK895" s="9"/>
      <c r="BL895" s="179"/>
      <c r="BM895" s="9"/>
      <c r="BN895" s="179"/>
      <c r="BO895" s="9"/>
      <c r="BP895" s="179"/>
      <c r="BQ895" s="9"/>
      <c r="BR895" s="179"/>
      <c r="BS895" s="9"/>
      <c r="BT895" s="179"/>
      <c r="BU895" s="9"/>
      <c r="BV895" s="180"/>
      <c r="BW895" s="180"/>
      <c r="BX895" s="180"/>
      <c r="BY895"/>
      <c r="BZ895"/>
      <c r="CA895"/>
      <c r="CB895"/>
      <c r="CC895"/>
      <c r="CD895"/>
    </row>
    <row r="896" spans="1:82" s="2" customFormat="1" ht="12.75" hidden="1" customHeight="1" outlineLevel="1" x14ac:dyDescent="0.2">
      <c r="B896" s="189" t="s">
        <v>498</v>
      </c>
      <c r="C896" s="179">
        <f>C894+C895</f>
        <v>4018.8</v>
      </c>
      <c r="D896" s="9" t="str">
        <f>IF(ISERROR(C896/#REF!),"NA",IF(OR(C896/#REF!&gt;2,C896/#REF!&lt;0.5),"NM",C896/#REF!*100-100))</f>
        <v>NA</v>
      </c>
      <c r="E896" s="179">
        <f>E894+E895</f>
        <v>4054.4</v>
      </c>
      <c r="F896" s="9" t="str">
        <f>IF(ISERROR(E896/#REF!),"NA",IF(OR(E896/#REF!&gt;2,E896/#REF!&lt;0.5),"NM",E896/#REF!*100-100))</f>
        <v>NA</v>
      </c>
      <c r="G896" s="179">
        <f>G894+G895</f>
        <v>4001.3</v>
      </c>
      <c r="H896" s="9" t="str">
        <f>IF(ISERROR(G896/#REF!),"NA",IF(OR(G896/#REF!&gt;2,G896/#REF!&lt;0.5),"NM",G896/#REF!*100-100))</f>
        <v>NA</v>
      </c>
      <c r="I896" s="179">
        <f>I894+I895</f>
        <v>3847.3999999999996</v>
      </c>
      <c r="J896" s="9" t="str">
        <f>IF(ISERROR(I896/#REF!),"NA",IF(OR(I896/#REF!&gt;2,I896/#REF!&lt;0.5),"NM",I896/#REF!*100-100))</f>
        <v>NA</v>
      </c>
      <c r="K896" s="179">
        <f>K894+K895</f>
        <v>3755.1</v>
      </c>
      <c r="L896" s="9">
        <f t="shared" si="3781"/>
        <v>-6.5616601970737634</v>
      </c>
      <c r="M896" s="179">
        <f>M894+M895</f>
        <v>3704.4</v>
      </c>
      <c r="N896" s="9">
        <f t="shared" si="3782"/>
        <v>-8.6325966850828735</v>
      </c>
      <c r="O896" s="179">
        <f>O894+O895</f>
        <v>3832.5</v>
      </c>
      <c r="P896" s="9">
        <f t="shared" si="3782"/>
        <v>-4.218628945592684</v>
      </c>
      <c r="Q896" s="179">
        <f>Q894+Q895</f>
        <v>3726.8</v>
      </c>
      <c r="R896" s="9">
        <f t="shared" si="3782"/>
        <v>-3.134584394656116</v>
      </c>
      <c r="S896" s="179">
        <f>S894+S895</f>
        <v>3754.8999999999996</v>
      </c>
      <c r="T896" s="9">
        <f t="shared" si="3782"/>
        <v>-5.3260898511382493E-3</v>
      </c>
      <c r="U896" s="179">
        <f t="shared" ref="U896" si="3795">U894+U895</f>
        <v>3811.8</v>
      </c>
      <c r="V896" s="9">
        <f t="shared" si="3782"/>
        <v>2.8992549400712591</v>
      </c>
      <c r="W896" s="179">
        <f t="shared" ref="W896:Y896" si="3796">W894+W895</f>
        <v>3795.5</v>
      </c>
      <c r="X896" s="9">
        <f t="shared" si="3782"/>
        <v>-0.96542726679712132</v>
      </c>
      <c r="Y896" s="179">
        <f t="shared" si="3796"/>
        <v>3795.5</v>
      </c>
      <c r="Z896" s="9">
        <f t="shared" si="3782"/>
        <v>1.8434045293549417</v>
      </c>
      <c r="AA896" s="179">
        <f t="shared" ref="AA896:AC896" si="3797">AA894+AA895</f>
        <v>3795.5</v>
      </c>
      <c r="AB896" s="9">
        <f t="shared" si="3783"/>
        <v>1.0812538283310005</v>
      </c>
      <c r="AC896" s="179">
        <f t="shared" si="3797"/>
        <v>3795.5</v>
      </c>
      <c r="AD896" s="9">
        <f t="shared" si="3784"/>
        <v>-0.42761949735033511</v>
      </c>
      <c r="AE896" s="179">
        <f t="shared" ref="AE896:AG896" si="3798">AE894+AE895</f>
        <v>3795.5</v>
      </c>
      <c r="AF896" s="9">
        <f t="shared" si="3785"/>
        <v>0</v>
      </c>
      <c r="AG896" s="179">
        <f t="shared" si="3798"/>
        <v>3795.5</v>
      </c>
      <c r="AH896" s="9">
        <f t="shared" si="3786"/>
        <v>0</v>
      </c>
      <c r="AI896" s="179">
        <f t="shared" ref="AI896:AK896" si="3799">AI894+AI895</f>
        <v>3795.5</v>
      </c>
      <c r="AJ896" s="9">
        <f t="shared" si="3787"/>
        <v>0</v>
      </c>
      <c r="AK896" s="179">
        <f t="shared" si="3799"/>
        <v>3795.5</v>
      </c>
      <c r="AL896" s="9">
        <f t="shared" si="3788"/>
        <v>0</v>
      </c>
      <c r="AM896" s="179">
        <f t="shared" ref="AM896:AO896" si="3800">AM894+AM895</f>
        <v>3795.5</v>
      </c>
      <c r="AN896" s="9">
        <f t="shared" si="3789"/>
        <v>0</v>
      </c>
      <c r="AO896" s="179">
        <f t="shared" si="3800"/>
        <v>3795.5</v>
      </c>
      <c r="AP896" s="9">
        <f t="shared" si="3790"/>
        <v>0</v>
      </c>
      <c r="AQ896" s="179"/>
      <c r="AR896" s="9" t="str">
        <f t="shared" si="3791"/>
        <v>NM</v>
      </c>
      <c r="AS896" s="179"/>
      <c r="AT896" s="9" t="str">
        <f t="shared" si="3792"/>
        <v>NM</v>
      </c>
      <c r="AU896" s="179"/>
      <c r="AV896" s="9" t="str">
        <f t="shared" si="3793"/>
        <v>NM</v>
      </c>
      <c r="AW896" s="179"/>
      <c r="AX896" s="9" t="str">
        <f t="shared" si="3794"/>
        <v>NM</v>
      </c>
      <c r="AY896" s="297"/>
      <c r="AZ896" s="178"/>
      <c r="BA896" s="9"/>
      <c r="BB896" s="179"/>
      <c r="BC896" s="9"/>
      <c r="BD896" s="976"/>
      <c r="BE896" s="9"/>
      <c r="BF896" s="179"/>
      <c r="BG896" s="9"/>
      <c r="BH896" s="179"/>
      <c r="BI896" s="9"/>
      <c r="BJ896" s="179"/>
      <c r="BK896" s="9"/>
      <c r="BL896" s="179"/>
      <c r="BM896" s="9"/>
      <c r="BN896" s="179"/>
      <c r="BO896" s="9"/>
      <c r="BP896" s="179"/>
      <c r="BQ896" s="9"/>
      <c r="BR896" s="179"/>
      <c r="BS896" s="9"/>
      <c r="BT896" s="179"/>
      <c r="BU896" s="9"/>
      <c r="BV896" s="180"/>
      <c r="BW896" s="180"/>
      <c r="BX896" s="180"/>
      <c r="BY896"/>
      <c r="BZ896"/>
      <c r="CA896"/>
      <c r="CB896"/>
      <c r="CC896"/>
      <c r="CD896"/>
    </row>
    <row r="897" spans="1:82" s="2" customFormat="1" ht="12.75" hidden="1" customHeight="1" outlineLevel="1" x14ac:dyDescent="0.2">
      <c r="B897" s="42" t="s">
        <v>191</v>
      </c>
      <c r="C897" s="181">
        <v>3160.1</v>
      </c>
      <c r="D897" s="9" t="str">
        <f>IF(ISERROR(C897/#REF!),"NA",IF(OR(C897/#REF!&gt;2,C897/#REF!&lt;0.5),"NM",C897/#REF!*100-100))</f>
        <v>NA</v>
      </c>
      <c r="E897" s="181">
        <v>3317.8</v>
      </c>
      <c r="F897" s="9" t="str">
        <f>IF(ISERROR(E897/#REF!),"NA",IF(OR(E897/#REF!&gt;2,E897/#REF!&lt;0.5),"NM",E897/#REF!*100-100))</f>
        <v>NA</v>
      </c>
      <c r="G897" s="181">
        <v>3361.4</v>
      </c>
      <c r="H897" s="9" t="str">
        <f>IF(ISERROR(G897/#REF!),"NA",IF(OR(G897/#REF!&gt;2,G897/#REF!&lt;0.5),"NM",G897/#REF!*100-100))</f>
        <v>NA</v>
      </c>
      <c r="I897" s="181">
        <v>3385.3</v>
      </c>
      <c r="J897" s="9" t="str">
        <f>IF(ISERROR(I897/#REF!),"NA",IF(OR(I897/#REF!&gt;2,I897/#REF!&lt;0.5),"NM",I897/#REF!*100-100))</f>
        <v>NA</v>
      </c>
      <c r="K897" s="181">
        <v>3407.9</v>
      </c>
      <c r="L897" s="9">
        <f t="shared" si="3781"/>
        <v>7.8415240024049808</v>
      </c>
      <c r="M897" s="181">
        <v>3483.2</v>
      </c>
      <c r="N897" s="9">
        <f t="shared" si="3782"/>
        <v>4.9852311772861242</v>
      </c>
      <c r="O897" s="181">
        <v>3430.9</v>
      </c>
      <c r="P897" s="9">
        <f t="shared" si="3782"/>
        <v>2.0675908847503877</v>
      </c>
      <c r="Q897" s="181">
        <v>3463.4</v>
      </c>
      <c r="R897" s="9">
        <f t="shared" si="3782"/>
        <v>2.3070333500723592</v>
      </c>
      <c r="S897" s="181">
        <v>3584.4</v>
      </c>
      <c r="T897" s="9">
        <f t="shared" si="3782"/>
        <v>5.1791425804747888</v>
      </c>
      <c r="U897" s="179">
        <v>3625.2</v>
      </c>
      <c r="V897" s="9">
        <f t="shared" si="3782"/>
        <v>4.0767110702801972</v>
      </c>
      <c r="W897" s="179">
        <v>3625.2</v>
      </c>
      <c r="X897" s="9">
        <f t="shared" si="3782"/>
        <v>5.6632370515025059</v>
      </c>
      <c r="Y897" s="179">
        <v>3625.2</v>
      </c>
      <c r="Z897" s="9">
        <f t="shared" si="3782"/>
        <v>4.6717098804642774</v>
      </c>
      <c r="AA897" s="179">
        <v>3625.2</v>
      </c>
      <c r="AB897" s="9">
        <f t="shared" si="3783"/>
        <v>1.1382658185470405</v>
      </c>
      <c r="AC897" s="179">
        <v>3625.2</v>
      </c>
      <c r="AD897" s="9">
        <f t="shared" si="3784"/>
        <v>0</v>
      </c>
      <c r="AE897" s="179">
        <v>3625.2</v>
      </c>
      <c r="AF897" s="9">
        <f t="shared" si="3785"/>
        <v>0</v>
      </c>
      <c r="AG897" s="179">
        <v>3625.2</v>
      </c>
      <c r="AH897" s="9">
        <f t="shared" si="3786"/>
        <v>0</v>
      </c>
      <c r="AI897" s="179">
        <v>3625.2</v>
      </c>
      <c r="AJ897" s="9">
        <f t="shared" si="3787"/>
        <v>0</v>
      </c>
      <c r="AK897" s="179">
        <v>3625.2</v>
      </c>
      <c r="AL897" s="9">
        <f t="shared" si="3788"/>
        <v>0</v>
      </c>
      <c r="AM897" s="179">
        <v>3625.2</v>
      </c>
      <c r="AN897" s="9">
        <f t="shared" si="3789"/>
        <v>0</v>
      </c>
      <c r="AO897" s="179">
        <v>3625.2</v>
      </c>
      <c r="AP897" s="9">
        <f t="shared" si="3790"/>
        <v>0</v>
      </c>
      <c r="AQ897" s="179"/>
      <c r="AR897" s="9" t="str">
        <f t="shared" si="3791"/>
        <v>NM</v>
      </c>
      <c r="AS897" s="179"/>
      <c r="AT897" s="9" t="str">
        <f t="shared" si="3792"/>
        <v>NM</v>
      </c>
      <c r="AU897" s="179"/>
      <c r="AV897" s="9" t="str">
        <f t="shared" si="3793"/>
        <v>NM</v>
      </c>
      <c r="AW897" s="179"/>
      <c r="AX897" s="9" t="str">
        <f t="shared" si="3794"/>
        <v>NM</v>
      </c>
      <c r="AY897" s="297"/>
      <c r="AZ897" s="178"/>
      <c r="BA897" s="9"/>
      <c r="BB897" s="179"/>
      <c r="BC897" s="9"/>
      <c r="BD897" s="976"/>
      <c r="BE897" s="9"/>
      <c r="BF897" s="179"/>
      <c r="BG897" s="9"/>
      <c r="BH897" s="179"/>
      <c r="BI897" s="9"/>
      <c r="BJ897" s="179"/>
      <c r="BK897" s="9"/>
      <c r="BL897" s="179"/>
      <c r="BM897" s="9"/>
      <c r="BN897" s="179"/>
      <c r="BO897" s="9"/>
      <c r="BP897" s="179"/>
      <c r="BQ897" s="9"/>
      <c r="BR897" s="179"/>
      <c r="BS897" s="9"/>
      <c r="BT897" s="179"/>
      <c r="BU897" s="9"/>
      <c r="BV897" s="180"/>
      <c r="BW897" s="180"/>
      <c r="BX897" s="180"/>
      <c r="BY897"/>
      <c r="BZ897"/>
      <c r="CA897"/>
      <c r="CB897"/>
      <c r="CC897"/>
      <c r="CD897"/>
    </row>
    <row r="898" spans="1:82" s="2" customFormat="1" ht="12.75" hidden="1" customHeight="1" outlineLevel="1" x14ac:dyDescent="0.2">
      <c r="B898" s="42" t="s">
        <v>54</v>
      </c>
      <c r="C898" s="181">
        <v>2144.6999999999998</v>
      </c>
      <c r="D898" s="9" t="str">
        <f>IF(ISERROR(C898/#REF!),"NA",IF(OR(C898/#REF!&gt;2,C898/#REF!&lt;0.5),"NM",C898/#REF!*100-100))</f>
        <v>NA</v>
      </c>
      <c r="E898" s="181">
        <v>2144.4</v>
      </c>
      <c r="F898" s="9" t="str">
        <f>IF(ISERROR(E898/#REF!),"NA",IF(OR(E898/#REF!&gt;2,E898/#REF!&lt;0.5),"NM",E898/#REF!*100-100))</f>
        <v>NA</v>
      </c>
      <c r="G898" s="181">
        <v>2144.9</v>
      </c>
      <c r="H898" s="9" t="str">
        <f>IF(ISERROR(G898/#REF!),"NA",IF(OR(G898/#REF!&gt;2,G898/#REF!&lt;0.5),"NM",G898/#REF!*100-100))</f>
        <v>NA</v>
      </c>
      <c r="I898" s="181">
        <v>2066.8000000000002</v>
      </c>
      <c r="J898" s="9" t="str">
        <f>IF(ISERROR(I898/#REF!),"NA",IF(OR(I898/#REF!&gt;2,I898/#REF!&lt;0.5),"NM",I898/#REF!*100-100))</f>
        <v>NA</v>
      </c>
      <c r="K898" s="181">
        <v>2195.8000000000002</v>
      </c>
      <c r="L898" s="9">
        <f t="shared" si="3781"/>
        <v>2.3826176155173471</v>
      </c>
      <c r="M898" s="181">
        <v>2115.1</v>
      </c>
      <c r="N898" s="9">
        <f t="shared" si="3782"/>
        <v>-1.3663495616489456</v>
      </c>
      <c r="O898" s="181">
        <v>2342.6999999999998</v>
      </c>
      <c r="P898" s="9">
        <f t="shared" si="3782"/>
        <v>9.2218751456944403</v>
      </c>
      <c r="Q898" s="181">
        <v>2288</v>
      </c>
      <c r="R898" s="9">
        <f t="shared" si="3782"/>
        <v>10.702535320301905</v>
      </c>
      <c r="S898" s="181">
        <v>2333.4</v>
      </c>
      <c r="T898" s="9">
        <f t="shared" si="3782"/>
        <v>6.2665087895072276</v>
      </c>
      <c r="U898" s="181">
        <v>2398.9</v>
      </c>
      <c r="V898" s="9">
        <f t="shared" si="3782"/>
        <v>13.417805304713724</v>
      </c>
      <c r="W898" s="181">
        <v>2470</v>
      </c>
      <c r="X898" s="9">
        <f t="shared" si="3782"/>
        <v>5.4339010543390316</v>
      </c>
      <c r="Y898" s="181">
        <v>2470</v>
      </c>
      <c r="Z898" s="9">
        <f t="shared" si="3782"/>
        <v>7.9545454545454533</v>
      </c>
      <c r="AA898" s="181">
        <v>2470</v>
      </c>
      <c r="AB898" s="9">
        <f t="shared" si="3783"/>
        <v>5.8541184537584456</v>
      </c>
      <c r="AC898" s="181">
        <v>2470</v>
      </c>
      <c r="AD898" s="9">
        <f t="shared" si="3784"/>
        <v>2.9638584351160802</v>
      </c>
      <c r="AE898" s="181">
        <v>2470</v>
      </c>
      <c r="AF898" s="9">
        <f t="shared" si="3785"/>
        <v>0</v>
      </c>
      <c r="AG898" s="181">
        <v>2470</v>
      </c>
      <c r="AH898" s="9">
        <f t="shared" si="3786"/>
        <v>0</v>
      </c>
      <c r="AI898" s="181">
        <v>2470</v>
      </c>
      <c r="AJ898" s="9">
        <f t="shared" si="3787"/>
        <v>0</v>
      </c>
      <c r="AK898" s="181">
        <v>2470</v>
      </c>
      <c r="AL898" s="9">
        <f t="shared" si="3788"/>
        <v>0</v>
      </c>
      <c r="AM898" s="181">
        <v>2470</v>
      </c>
      <c r="AN898" s="9">
        <f t="shared" si="3789"/>
        <v>0</v>
      </c>
      <c r="AO898" s="181">
        <v>2470</v>
      </c>
      <c r="AP898" s="9">
        <f t="shared" si="3790"/>
        <v>0</v>
      </c>
      <c r="AQ898" s="179"/>
      <c r="AR898" s="9" t="str">
        <f t="shared" si="3791"/>
        <v>NM</v>
      </c>
      <c r="AS898" s="179"/>
      <c r="AT898" s="9" t="str">
        <f t="shared" si="3792"/>
        <v>NM</v>
      </c>
      <c r="AU898" s="179"/>
      <c r="AV898" s="9" t="str">
        <f t="shared" si="3793"/>
        <v>NM</v>
      </c>
      <c r="AW898" s="179"/>
      <c r="AX898" s="9" t="str">
        <f t="shared" si="3794"/>
        <v>NM</v>
      </c>
      <c r="AY898" s="297"/>
      <c r="AZ898" s="178"/>
      <c r="BA898" s="9"/>
      <c r="BB898" s="179"/>
      <c r="BC898" s="9"/>
      <c r="BD898" s="976"/>
      <c r="BE898" s="9"/>
      <c r="BF898" s="179"/>
      <c r="BG898" s="9"/>
      <c r="BH898" s="179"/>
      <c r="BI898" s="9"/>
      <c r="BJ898" s="179"/>
      <c r="BK898" s="9"/>
      <c r="BL898" s="179"/>
      <c r="BM898" s="9"/>
      <c r="BN898" s="179"/>
      <c r="BO898" s="9"/>
      <c r="BP898" s="179"/>
      <c r="BQ898" s="9"/>
      <c r="BR898" s="179"/>
      <c r="BS898" s="9"/>
      <c r="BT898" s="179"/>
      <c r="BU898" s="9"/>
      <c r="BV898" s="180"/>
      <c r="BW898" s="180"/>
      <c r="BX898" s="180"/>
      <c r="BY898"/>
      <c r="BZ898"/>
      <c r="CA898"/>
      <c r="CB898"/>
      <c r="CC898"/>
      <c r="CD898"/>
    </row>
    <row r="899" spans="1:82" s="2" customFormat="1" ht="12.75" hidden="1" customHeight="1" outlineLevel="1" x14ac:dyDescent="0.2">
      <c r="B899" s="42" t="s">
        <v>324</v>
      </c>
      <c r="C899" s="178">
        <f>+C900-C896-C897-C898-C886</f>
        <v>-762.99999999999955</v>
      </c>
      <c r="D899" s="9" t="str">
        <f>IF(ISERROR(C899/#REF!),"NA",IF(OR(C899/#REF!&gt;2,C899/#REF!&lt;0.5),"NM",C899/#REF!*100-100))</f>
        <v>NA</v>
      </c>
      <c r="E899" s="178">
        <f>+E900-E896-E897-E898-E886</f>
        <v>-754.60000000000025</v>
      </c>
      <c r="F899" s="9" t="str">
        <f>IF(ISERROR(E899/#REF!),"NA",IF(OR(E899/#REF!&gt;2,E899/#REF!&lt;0.5),"NM",E899/#REF!*100-100))</f>
        <v>NA</v>
      </c>
      <c r="G899" s="178">
        <f>+G900-G896-G897-G898-G886</f>
        <v>-753.4</v>
      </c>
      <c r="H899" s="9" t="str">
        <f>IF(ISERROR(G899/#REF!),"NA",IF(OR(G899/#REF!&gt;2,G899/#REF!&lt;0.5),"NM",G899/#REF!*100-100))</f>
        <v>NA</v>
      </c>
      <c r="I899" s="178">
        <f>+I900-I896-I897-I898-I886</f>
        <v>-340.5</v>
      </c>
      <c r="J899" s="9" t="str">
        <f>IF(ISERROR(I899/#REF!),"NA",IF(OR(I899/#REF!&gt;2,I899/#REF!&lt;0.5),"NM",I899/#REF!*100-100))</f>
        <v>NA</v>
      </c>
      <c r="K899" s="178">
        <f>+K900-K896-K897-K898-K886</f>
        <v>-274.70000000000027</v>
      </c>
      <c r="L899" s="9" t="str">
        <f t="shared" si="3781"/>
        <v>NM</v>
      </c>
      <c r="M899" s="179">
        <f>+M900-M896-M897-M898-M886</f>
        <v>-42.299999999999727</v>
      </c>
      <c r="N899" s="9" t="str">
        <f t="shared" si="3782"/>
        <v>NM</v>
      </c>
      <c r="O899" s="178">
        <f>+O900-O896-O897-O898-O886</f>
        <v>-211.80000000000064</v>
      </c>
      <c r="P899" s="9" t="str">
        <f t="shared" si="3782"/>
        <v>NM</v>
      </c>
      <c r="Q899" s="178">
        <f>+Q900-Q896-Q897-Q898-Q886</f>
        <v>113.40000000000009</v>
      </c>
      <c r="R899" s="9" t="str">
        <f t="shared" si="3782"/>
        <v>NM</v>
      </c>
      <c r="S899" s="178">
        <f>+S900-S896-S897-S898-S886</f>
        <v>179.90000000000055</v>
      </c>
      <c r="T899" s="9" t="str">
        <f t="shared" si="3782"/>
        <v>NM</v>
      </c>
      <c r="U899" s="178">
        <f>+U900-U896-U897-U898-U886</f>
        <v>184.09999999999991</v>
      </c>
      <c r="V899" s="9" t="str">
        <f t="shared" si="3782"/>
        <v>NM</v>
      </c>
      <c r="W899" s="178">
        <f>+W900-W896-W897-W898-W886</f>
        <v>253.99999999999909</v>
      </c>
      <c r="X899" s="9" t="str">
        <f t="shared" si="3782"/>
        <v>NM</v>
      </c>
      <c r="Y899" s="178">
        <f>+Y900-Y896-Y897-Y898-Y886</f>
        <v>303.40000000000055</v>
      </c>
      <c r="Z899" s="9" t="str">
        <f t="shared" si="3782"/>
        <v>NM</v>
      </c>
      <c r="AA899" s="178">
        <f>+AA900-AA896-AA897-AA898-AA886</f>
        <v>507.00000000000091</v>
      </c>
      <c r="AB899" s="9" t="str">
        <f t="shared" si="3783"/>
        <v>NM</v>
      </c>
      <c r="AC899" s="178">
        <f>+AC900-AC896-AC897-AC898-AC886</f>
        <v>628.30000000000018</v>
      </c>
      <c r="AD899" s="9" t="str">
        <f t="shared" si="3784"/>
        <v>NM</v>
      </c>
      <c r="AE899" s="178">
        <f>+AE900-AE896-AE897-AE898-AE886</f>
        <v>812.10000000000127</v>
      </c>
      <c r="AF899" s="9" t="str">
        <f t="shared" si="3785"/>
        <v>NM</v>
      </c>
      <c r="AG899" s="178">
        <f>+AG900-AG896-AG897-AG898-AG886</f>
        <v>1011.8000000000002</v>
      </c>
      <c r="AH899" s="9" t="str">
        <f t="shared" si="3786"/>
        <v>NM</v>
      </c>
      <c r="AI899" s="178">
        <f>+AI900-AI896-AI897-AI898-AI886</f>
        <v>1180.5000000000009</v>
      </c>
      <c r="AJ899" s="9" t="str">
        <f t="shared" si="3787"/>
        <v>NM</v>
      </c>
      <c r="AK899" s="178">
        <f>+AK900-AK896-AK897-AK898-AK886</f>
        <v>1393.5000000000009</v>
      </c>
      <c r="AL899" s="9" t="str">
        <f t="shared" si="3788"/>
        <v>NM</v>
      </c>
      <c r="AM899" s="178">
        <f>+AM900-AM896-AM897-AM898-AM886</f>
        <v>2058.6999999999998</v>
      </c>
      <c r="AN899" s="9" t="str">
        <f t="shared" si="3789"/>
        <v>NM</v>
      </c>
      <c r="AO899" s="178">
        <f>+AO900-AO896-AO897-AO898-AO886</f>
        <v>2793.0999999999995</v>
      </c>
      <c r="AP899" s="9" t="str">
        <f t="shared" si="3790"/>
        <v>NM</v>
      </c>
      <c r="AQ899" s="178"/>
      <c r="AR899" s="9" t="str">
        <f t="shared" si="3791"/>
        <v>NM</v>
      </c>
      <c r="AS899" s="178"/>
      <c r="AT899" s="9" t="str">
        <f t="shared" si="3792"/>
        <v>NM</v>
      </c>
      <c r="AU899" s="178"/>
      <c r="AV899" s="9" t="str">
        <f t="shared" si="3793"/>
        <v>NM</v>
      </c>
      <c r="AW899" s="178"/>
      <c r="AX899" s="9" t="str">
        <f t="shared" si="3794"/>
        <v>NM</v>
      </c>
      <c r="AY899" s="297"/>
      <c r="AZ899" s="178"/>
      <c r="BA899" s="9"/>
      <c r="BB899" s="179"/>
      <c r="BC899" s="9"/>
      <c r="BD899" s="976"/>
      <c r="BE899" s="9"/>
      <c r="BF899" s="179"/>
      <c r="BG899" s="9"/>
      <c r="BH899" s="178"/>
      <c r="BI899" s="9"/>
      <c r="BJ899" s="178"/>
      <c r="BK899" s="9"/>
      <c r="BL899" s="178"/>
      <c r="BM899" s="9"/>
      <c r="BN899" s="178"/>
      <c r="BO899" s="9"/>
      <c r="BP899" s="178"/>
      <c r="BQ899" s="9"/>
      <c r="BR899" s="178"/>
      <c r="BS899" s="9"/>
      <c r="BT899" s="178"/>
      <c r="BU899" s="9"/>
      <c r="BV899" s="180"/>
      <c r="BW899" s="180"/>
      <c r="BX899" s="180"/>
      <c r="BY899"/>
      <c r="BZ899"/>
      <c r="CA899"/>
      <c r="CB899"/>
      <c r="CC899"/>
      <c r="CD899"/>
    </row>
    <row r="900" spans="1:82" s="2" customFormat="1" ht="12.75" hidden="1" customHeight="1" outlineLevel="1" x14ac:dyDescent="0.2">
      <c r="B900" s="80" t="s">
        <v>290</v>
      </c>
      <c r="C900" s="179">
        <f>+C889</f>
        <v>9102.6</v>
      </c>
      <c r="D900" s="9" t="str">
        <f>IF(ISERROR(C900/#REF!),"NA",IF(OR(C900/#REF!&gt;2,C900/#REF!&lt;0.5),"NM",C900/#REF!*100-100))</f>
        <v>NA</v>
      </c>
      <c r="E900" s="179">
        <f>+E889</f>
        <v>9303.9</v>
      </c>
      <c r="F900" s="9" t="str">
        <f>IF(ISERROR(E900/#REF!),"NA",IF(OR(E900/#REF!&gt;2,E900/#REF!&lt;0.5),"NM",E900/#REF!*100-100))</f>
        <v>NA</v>
      </c>
      <c r="G900" s="179">
        <f>+G889</f>
        <v>9296.1</v>
      </c>
      <c r="H900" s="9" t="str">
        <f>IF(ISERROR(G900/#REF!),"NA",IF(OR(G900/#REF!&gt;2,G900/#REF!&lt;0.5),"NM",G900/#REF!*100-100))</f>
        <v>NA</v>
      </c>
      <c r="I900" s="179">
        <f>+I889</f>
        <v>9501</v>
      </c>
      <c r="J900" s="9" t="str">
        <f>IF(ISERROR(I900/#REF!),"NA",IF(OR(I900/#REF!&gt;2,I900/#REF!&lt;0.5),"NM",I900/#REF!*100-100))</f>
        <v>NA</v>
      </c>
      <c r="K900" s="179">
        <f>+K889</f>
        <v>9626.1</v>
      </c>
      <c r="L900" s="9">
        <f t="shared" si="3781"/>
        <v>5.7511040801529134</v>
      </c>
      <c r="M900" s="179">
        <f>+M889</f>
        <v>9802.4</v>
      </c>
      <c r="N900" s="9">
        <f t="shared" si="3782"/>
        <v>5.3579681638882732</v>
      </c>
      <c r="O900" s="179">
        <f>+O889</f>
        <v>9936.2999999999993</v>
      </c>
      <c r="P900" s="9">
        <f t="shared" si="3782"/>
        <v>6.8867589634362645</v>
      </c>
      <c r="Q900" s="179">
        <f>+Q889</f>
        <v>10133.6</v>
      </c>
      <c r="R900" s="9">
        <f t="shared" si="3782"/>
        <v>6.6582465003683922</v>
      </c>
      <c r="S900" s="179">
        <f>+S889</f>
        <v>10394.6</v>
      </c>
      <c r="T900" s="9">
        <f t="shared" si="3782"/>
        <v>7.983503184051699</v>
      </c>
      <c r="U900" s="179">
        <f>+U889</f>
        <v>10020</v>
      </c>
      <c r="V900" s="9">
        <f t="shared" si="3782"/>
        <v>2.2198645229739782</v>
      </c>
      <c r="W900" s="179">
        <f>+W889</f>
        <v>10144.699999999999</v>
      </c>
      <c r="X900" s="9">
        <f t="shared" si="3782"/>
        <v>2.0973601843744518</v>
      </c>
      <c r="Y900" s="179">
        <f>+Y889</f>
        <v>10194.1</v>
      </c>
      <c r="Z900" s="9">
        <f t="shared" si="3782"/>
        <v>0.59702376253257228</v>
      </c>
      <c r="AA900" s="179">
        <f>+AA889</f>
        <v>10397.700000000001</v>
      </c>
      <c r="AB900" s="9">
        <f t="shared" si="3783"/>
        <v>2.9823177419046942E-2</v>
      </c>
      <c r="AC900" s="179">
        <f>+AC889</f>
        <v>10519</v>
      </c>
      <c r="AD900" s="9">
        <f t="shared" si="3784"/>
        <v>4.980039920159669</v>
      </c>
      <c r="AE900" s="179">
        <f>+AE889</f>
        <v>10702.800000000001</v>
      </c>
      <c r="AF900" s="9">
        <f t="shared" si="3785"/>
        <v>5.5013948169980438</v>
      </c>
      <c r="AG900" s="179">
        <f>+AG889</f>
        <v>10902.5</v>
      </c>
      <c r="AH900" s="9">
        <f t="shared" si="3786"/>
        <v>6.9491176268625878</v>
      </c>
      <c r="AI900" s="179">
        <f>+AI889</f>
        <v>11071.2</v>
      </c>
      <c r="AJ900" s="9">
        <f t="shared" si="3787"/>
        <v>6.4773940390663256</v>
      </c>
      <c r="AK900" s="179">
        <f>+AK889</f>
        <v>11284.2</v>
      </c>
      <c r="AL900" s="9">
        <f t="shared" si="3788"/>
        <v>7.2744557467439961</v>
      </c>
      <c r="AM900" s="179">
        <f>+AM889</f>
        <v>11949.4</v>
      </c>
      <c r="AN900" s="9">
        <f t="shared" si="3789"/>
        <v>11.647419366894638</v>
      </c>
      <c r="AO900" s="179">
        <f>+AO889</f>
        <v>12683.8</v>
      </c>
      <c r="AP900" s="9">
        <f t="shared" si="3790"/>
        <v>16.33845448291676</v>
      </c>
      <c r="AQ900" s="179"/>
      <c r="AR900" s="9" t="str">
        <f t="shared" si="3791"/>
        <v>NM</v>
      </c>
      <c r="AS900" s="179"/>
      <c r="AT900" s="9" t="str">
        <f t="shared" si="3792"/>
        <v>NM</v>
      </c>
      <c r="AU900" s="179"/>
      <c r="AV900" s="9" t="str">
        <f t="shared" si="3793"/>
        <v>NM</v>
      </c>
      <c r="AW900" s="179"/>
      <c r="AX900" s="9" t="str">
        <f t="shared" si="3794"/>
        <v>NM</v>
      </c>
      <c r="AY900" s="297"/>
      <c r="AZ900" s="178"/>
      <c r="BA900" s="9"/>
      <c r="BB900" s="179"/>
      <c r="BC900" s="9"/>
      <c r="BD900" s="976"/>
      <c r="BE900" s="9"/>
      <c r="BF900" s="179"/>
      <c r="BG900" s="9"/>
      <c r="BH900" s="179"/>
      <c r="BI900" s="9"/>
      <c r="BJ900" s="179"/>
      <c r="BK900" s="9"/>
      <c r="BL900" s="179"/>
      <c r="BM900" s="9"/>
      <c r="BN900" s="179"/>
      <c r="BO900" s="9"/>
      <c r="BP900" s="179"/>
      <c r="BQ900" s="9"/>
      <c r="BR900" s="179"/>
      <c r="BS900" s="9"/>
      <c r="BT900" s="179"/>
      <c r="BU900" s="9"/>
      <c r="BV900" s="180"/>
      <c r="BW900" s="180"/>
      <c r="BX900" s="180"/>
      <c r="BY900"/>
      <c r="BZ900"/>
      <c r="CA900"/>
      <c r="CB900"/>
      <c r="CC900"/>
      <c r="CD900"/>
    </row>
    <row r="901" spans="1:82" s="2" customFormat="1" ht="12.75" customHeight="1" collapsed="1" x14ac:dyDescent="0.2">
      <c r="B901" s="7"/>
      <c r="C901" s="181"/>
      <c r="D901" s="9"/>
      <c r="E901" s="181"/>
      <c r="F901" s="9"/>
      <c r="G901" s="181"/>
      <c r="H901" s="9"/>
      <c r="I901" s="179"/>
      <c r="J901" s="9"/>
      <c r="K901" s="179"/>
      <c r="L901" s="9"/>
      <c r="M901" s="179"/>
      <c r="N901" s="9"/>
      <c r="O901" s="179"/>
      <c r="P901" s="9"/>
      <c r="Q901" s="179"/>
      <c r="R901" s="9"/>
      <c r="S901" s="179"/>
      <c r="T901" s="9"/>
      <c r="U901" s="179"/>
      <c r="V901" s="9"/>
      <c r="W901" s="179"/>
      <c r="X901" s="9"/>
      <c r="Y901" s="179"/>
      <c r="Z901" s="9"/>
      <c r="AA901" s="179"/>
      <c r="AB901" s="9"/>
      <c r="AC901" s="179"/>
      <c r="AD901" s="9"/>
      <c r="AE901" s="179"/>
      <c r="AF901" s="9"/>
      <c r="AG901" s="179"/>
      <c r="AH901" s="9"/>
      <c r="AI901" s="179"/>
      <c r="AJ901" s="9"/>
      <c r="AK901" s="179"/>
      <c r="AL901" s="9"/>
      <c r="AM901" s="179"/>
      <c r="AN901" s="9"/>
      <c r="AO901" s="179"/>
      <c r="AP901" s="9"/>
      <c r="AQ901" s="179"/>
      <c r="AR901" s="9"/>
      <c r="AS901" s="179"/>
      <c r="AT901" s="9"/>
      <c r="AU901" s="179"/>
      <c r="AV901" s="9"/>
      <c r="AW901" s="179"/>
      <c r="AX901" s="9"/>
      <c r="AY901" s="297"/>
      <c r="AZ901" s="178"/>
      <c r="BA901" s="9"/>
      <c r="BB901" s="179"/>
      <c r="BC901" s="9"/>
      <c r="BD901" s="976"/>
      <c r="BE901" s="9"/>
      <c r="BF901" s="179"/>
      <c r="BG901" s="9"/>
      <c r="BH901" s="179"/>
      <c r="BI901" s="9"/>
      <c r="BJ901" s="179"/>
      <c r="BK901" s="9"/>
      <c r="BL901" s="179"/>
      <c r="BM901" s="9"/>
      <c r="BN901" s="179"/>
      <c r="BO901" s="9"/>
      <c r="BP901" s="179"/>
      <c r="BQ901" s="9"/>
      <c r="BR901" s="179"/>
      <c r="BS901" s="9"/>
      <c r="BT901" s="179"/>
      <c r="BU901" s="9"/>
      <c r="BV901" s="180"/>
      <c r="BW901" s="180"/>
      <c r="BX901" s="180"/>
      <c r="BY901"/>
      <c r="BZ901"/>
      <c r="CA901"/>
      <c r="CB901"/>
      <c r="CC901"/>
      <c r="CD901"/>
    </row>
    <row r="902" spans="1:82" s="2" customFormat="1" ht="12.75" customHeight="1" x14ac:dyDescent="0.2">
      <c r="B902" s="103" t="s">
        <v>291</v>
      </c>
      <c r="C902" s="179"/>
      <c r="D902" s="9"/>
      <c r="E902" s="179"/>
      <c r="F902" s="9"/>
      <c r="G902" s="179"/>
      <c r="H902" s="9"/>
      <c r="I902" s="179"/>
      <c r="J902" s="9"/>
      <c r="K902" s="179"/>
      <c r="L902" s="9"/>
      <c r="M902" s="179"/>
      <c r="N902" s="9"/>
      <c r="O902" s="179"/>
      <c r="P902" s="9"/>
      <c r="Q902" s="179"/>
      <c r="R902" s="9"/>
      <c r="S902" s="179"/>
      <c r="T902" s="9"/>
      <c r="U902" s="179"/>
      <c r="V902" s="9"/>
      <c r="W902" s="179"/>
      <c r="X902" s="9"/>
      <c r="Y902" s="179"/>
      <c r="Z902" s="9"/>
      <c r="AA902" s="179"/>
      <c r="AB902" s="9"/>
      <c r="AC902" s="179"/>
      <c r="AD902" s="9"/>
      <c r="AE902" s="179"/>
      <c r="AF902" s="9"/>
      <c r="AG902" s="179"/>
      <c r="AH902" s="9"/>
      <c r="AI902" s="179"/>
      <c r="AJ902" s="9"/>
      <c r="AK902" s="179"/>
      <c r="AL902" s="9"/>
      <c r="AM902" s="179"/>
      <c r="AN902" s="9"/>
      <c r="AO902" s="179"/>
      <c r="AP902" s="9"/>
      <c r="AQ902" s="179"/>
      <c r="AR902" s="9"/>
      <c r="AS902" s="179"/>
      <c r="AT902" s="9"/>
      <c r="AU902" s="179"/>
      <c r="AV902" s="9"/>
      <c r="AW902" s="179"/>
      <c r="AX902" s="9"/>
      <c r="AY902" s="297"/>
      <c r="AZ902" s="178"/>
      <c r="BA902" s="237"/>
      <c r="BB902" s="190"/>
      <c r="BC902" s="237"/>
      <c r="BD902" s="979"/>
      <c r="BE902" s="237"/>
      <c r="BF902" s="190"/>
      <c r="BG902" s="237"/>
      <c r="BH902" s="190"/>
      <c r="BI902" s="237"/>
      <c r="BJ902" s="190"/>
      <c r="BK902" s="237"/>
      <c r="BL902" s="190"/>
      <c r="BM902" s="237"/>
      <c r="BN902" s="190"/>
      <c r="BO902" s="237"/>
      <c r="BP902" s="190"/>
      <c r="BQ902" s="237"/>
      <c r="BR902" s="190"/>
      <c r="BS902" s="237"/>
      <c r="BT902" s="190"/>
      <c r="BU902" s="237"/>
      <c r="BV902" s="180"/>
      <c r="BW902" s="180"/>
      <c r="BX902" s="180"/>
      <c r="BY902"/>
      <c r="BZ902"/>
      <c r="CA902"/>
      <c r="CB902"/>
      <c r="CC902"/>
      <c r="CD902"/>
    </row>
    <row r="903" spans="1:82" s="2" customFormat="1" ht="12.75" customHeight="1" x14ac:dyDescent="0.2">
      <c r="A903" s="7" t="s">
        <v>214</v>
      </c>
      <c r="B903" s="7" t="s">
        <v>292</v>
      </c>
      <c r="C903" s="182" t="e">
        <f>C707/(C891-C886)*400</f>
        <v>#REF!</v>
      </c>
      <c r="D903" s="9" t="str">
        <f>IF(ISERROR(C903/#REF!),"NA",IF(OR(C903/#REF!&gt;2,C903/#REF!&lt;0.5),"NM",C903/#REF!*100-100))</f>
        <v>NA</v>
      </c>
      <c r="E903" s="182">
        <f>E707/(E891-E886)*400</f>
        <v>12.533842876687812</v>
      </c>
      <c r="F903" s="9" t="str">
        <f>IF(ISERROR(E903/#REF!),"NA",IF(OR(E903/#REF!&gt;2,E903/#REF!&lt;0.5),"NM",E903/#REF!*100-100))</f>
        <v>NA</v>
      </c>
      <c r="G903" s="182">
        <f>G707/(G891-G886)*400</f>
        <v>12.294904145876389</v>
      </c>
      <c r="H903" s="9" t="str">
        <f>IF(ISERROR(G903/#REF!),"NA",IF(OR(G903/#REF!&gt;2,G903/#REF!&lt;0.5),"NM",G903/#REF!*100-100))</f>
        <v>NA</v>
      </c>
      <c r="I903" s="182">
        <f>I707/(I891-I886)*400</f>
        <v>12.916993637477347</v>
      </c>
      <c r="J903" s="9" t="str">
        <f>IF(ISERROR(I903/#REF!),"NA",IF(OR(I903/#REF!&gt;2,I903/#REF!&lt;0.5),"NM",I903/#REF!*100-100))</f>
        <v>NA</v>
      </c>
      <c r="K903" s="182">
        <f>K707/(K891-K886)*400</f>
        <v>14.055234410938255</v>
      </c>
      <c r="L903" s="9" t="str">
        <f>IF(ISERROR(K903/C903),"NA",IF(OR(K903/C903&gt;2,K903/C903&lt;0.5),"NM",K903/C903*100-100))</f>
        <v>NA</v>
      </c>
      <c r="M903" s="182">
        <f>M707/(M891-M886)*400</f>
        <v>14.085965820818227</v>
      </c>
      <c r="N903" s="9">
        <f t="shared" ref="N903:Z906" si="3801">IF(ISERROR(M903/E903),"NA",IF(OR(M903/E903&gt;2,M903/E903&lt;0.5),"NM",M903/E903*100-100))</f>
        <v>12.383456210523192</v>
      </c>
      <c r="O903" s="182">
        <f>O707/(O891-O886)*400</f>
        <v>16.355210132649603</v>
      </c>
      <c r="P903" s="9">
        <f t="shared" ref="P903:P906" si="3802">IF(ISERROR(O903/G903),"NA",IF(OR(O903/G903&gt;2,O903/G903&lt;0.5),"NM",O903/G903*100-100))</f>
        <v>33.024299649664272</v>
      </c>
      <c r="Q903" s="182">
        <f>Q707/(Q891-Q886)*400</f>
        <v>13.788370073824014</v>
      </c>
      <c r="R903" s="9">
        <f t="shared" ref="R903:R906" si="3803">IF(ISERROR(Q903/I903),"NA",IF(OR(Q903/I903&gt;2,Q903/I903&lt;0.5),"NM",Q903/I903*100-100))</f>
        <v>6.7459693857745435</v>
      </c>
      <c r="S903" s="182">
        <f>S707/(S891-S886)*400</f>
        <v>13.695046891578505</v>
      </c>
      <c r="T903" s="9">
        <f t="shared" ref="T903" si="3804">IF(ISERROR(S903/K903),"NA",IF(OR(S903/K903&gt;2,S903/K903&lt;0.5),"NM",S903/K903*100-100))</f>
        <v>-2.5626575041640081</v>
      </c>
      <c r="U903" s="182">
        <f>U707/(U891-U886)*400</f>
        <v>12.629573555577492</v>
      </c>
      <c r="V903" s="9">
        <f t="shared" ref="V903" si="3805">IF(ISERROR(U903/M903),"NA",IF(OR(U903/M903&gt;2,U903/M903&lt;0.5),"NM",U903/M903*100-100))</f>
        <v>-10.339314206543605</v>
      </c>
      <c r="W903" s="182">
        <f>W707/(W891-W886)*400</f>
        <v>12.687518286907324</v>
      </c>
      <c r="X903" s="9">
        <f t="shared" si="3801"/>
        <v>-22.425219951289606</v>
      </c>
      <c r="Y903" s="182">
        <f>Y707/(Y891-Y886)*400</f>
        <v>11.925974000432671</v>
      </c>
      <c r="Z903" s="9">
        <f t="shared" ref="Z903:Z904" si="3806">IF(ISERROR(Y903/Q903),"NA",IF(OR(Y903/Q903&gt;2,Y903/Q903&lt;0.5),"NM",Y903/Q903*100-100))</f>
        <v>-13.507006726827967</v>
      </c>
      <c r="AA903" s="182">
        <f>AA707/(AA891-AA886)*400</f>
        <v>11.12287415378937</v>
      </c>
      <c r="AB903" s="9">
        <f t="shared" ref="AB903:AB906" si="3807">IF(ISERROR(AA903/S903),"NA",IF(OR(AA903/S903&gt;2,AA903/S903&lt;0.5),"NM",AA903/S903*100-100))</f>
        <v>-18.781773864322005</v>
      </c>
      <c r="AC903" s="182">
        <f>AC707/(AC891-AC886)*400</f>
        <v>12.893047182394929</v>
      </c>
      <c r="AD903" s="9">
        <f t="shared" ref="AD903:AD906" si="3808">IF(ISERROR(AC903/U903),"NA",IF(OR(AC903/U903&gt;2,AC903/U903&lt;0.5),"NM",AC903/U903*100-100))</f>
        <v>2.0861640787632325</v>
      </c>
      <c r="AE903" s="182">
        <f>AE707/(AE891-AE886)*400</f>
        <v>12.654911458971435</v>
      </c>
      <c r="AF903" s="9">
        <f t="shared" ref="AF903:AF906" si="3809">IF(ISERROR(AE903/W903),"NA",IF(OR(AE903/W903&gt;2,AE903/W903&lt;0.5),"NM",AE903/W903*100-100))</f>
        <v>-0.25699925862993211</v>
      </c>
      <c r="AG903" s="182">
        <f>AG707/(AG891-AG886)*400</f>
        <v>13.774397948651487</v>
      </c>
      <c r="AH903" s="9">
        <f t="shared" ref="AH903:AH906" si="3810">IF(ISERROR(AG903/Y903),"NA",IF(OR(AG903/Y903&gt;2,AG903/Y903&lt;0.5),"NM",AG903/Y903*100-100))</f>
        <v>15.499144540745718</v>
      </c>
      <c r="AI903" s="182">
        <f>AI707/(AI891-AI886)*400</f>
        <v>13.488852582860419</v>
      </c>
      <c r="AJ903" s="9">
        <f t="shared" ref="AJ903:AJ906" si="3811">IF(ISERROR(AI903/AA903),"NA",IF(OR(AI903/AA903&gt;2,AI903/AA903&lt;0.5),"NM",AI903/AA903*100-100))</f>
        <v>21.271286507049084</v>
      </c>
      <c r="AK903" s="182">
        <f>AK707/(AK891-AK886)*400</f>
        <v>13.727332098732298</v>
      </c>
      <c r="AL903" s="9">
        <f t="shared" ref="AL903:AL906" si="3812">IF(ISERROR(AK903/AC903),"NA",IF(OR(AK903/AC903&gt;2,AK903/AC903&lt;0.5),"NM",AK903/AC903*100-100))</f>
        <v>6.4708125591641306</v>
      </c>
      <c r="AM903" s="182">
        <f>AM707/(AM891-AM886)*400</f>
        <v>12.867571103918463</v>
      </c>
      <c r="AN903" s="9">
        <f t="shared" ref="AN903:AN906" si="3813">IF(ISERROR(AM903/AE903),"NA",IF(OR(AM903/AE903&gt;2,AM903/AE903&lt;0.5),"NM",AM903/AE903*100-100))</f>
        <v>1.6804514645281472</v>
      </c>
      <c r="AO903" s="182">
        <f>AO707/(AO891-AO886)*400</f>
        <v>11.392754493935019</v>
      </c>
      <c r="AP903" s="9">
        <f t="shared" ref="AP903:AP906" si="3814">IF(ISERROR(AO903/AG903),"NA",IF(OR(AO903/AG903&gt;2,AO903/AG903&lt;0.5),"NM",AO903/AG903*100-100))</f>
        <v>-17.290363350868859</v>
      </c>
      <c r="AQ903" s="182">
        <f t="shared" ref="AQ903:AW903" si="3815">AQ707/(AQ891-AQ886)*400</f>
        <v>12.489918520505052</v>
      </c>
      <c r="AR903" s="9">
        <f t="shared" ref="AR903:AR906" si="3816">IF(ISERROR(AQ903/AI903),"NA",IF(OR(AQ903/AI903&gt;2,AQ903/AI903&lt;0.5),"NM",AQ903/AI903*100-100))</f>
        <v>-7.4056266551882999</v>
      </c>
      <c r="AS903" s="182">
        <f t="shared" si="3815"/>
        <v>12.553437419738355</v>
      </c>
      <c r="AT903" s="9">
        <f t="shared" ref="AT903:AT906" si="3817">IF(ISERROR(AS903/AK903),"NA",IF(OR(AS903/AK903&gt;2,AS903/AK903&lt;0.5),"NM",AS903/AK903*100-100))</f>
        <v>-8.5515136557550875</v>
      </c>
      <c r="AU903" s="182">
        <f t="shared" si="3815"/>
        <v>12.834216959046746</v>
      </c>
      <c r="AV903" s="9">
        <f t="shared" ref="AV903:AV906" si="3818">IF(ISERROR(AU903/AM903),"NA",IF(OR(AU903/AM903&gt;2,AU903/AM903&lt;0.5),"NM",AU903/AM903*100-100))</f>
        <v>-0.25921088449676688</v>
      </c>
      <c r="AW903" s="182">
        <f t="shared" si="3815"/>
        <v>13.064395207949387</v>
      </c>
      <c r="AX903" s="9">
        <f t="shared" ref="AX903:AX906" si="3819">IF(ISERROR(AW903/AO903),"NA",IF(OR(AW903/AO903&gt;2,AW903/AO903&lt;0.5),"NM",AW903/AO903*100-100))</f>
        <v>14.672840662934263</v>
      </c>
      <c r="AY903" s="298"/>
      <c r="AZ903" s="184"/>
      <c r="BA903" s="9" t="str">
        <f>IF(ISERROR(#REF!/#REF!),"NA",IF(OR(#REF!/#REF!&gt;2,#REF!/#REF!&lt;0.5),"NM",#REF!/#REF!*100-100))</f>
        <v>NA</v>
      </c>
      <c r="BB903" s="182">
        <f>BB707/(BB891-BB886)*100</f>
        <v>10.577844311377246</v>
      </c>
      <c r="BC903" s="9" t="str">
        <f>IF(ISERROR(BB903/#REF!),"NA",IF(OR(BB903/#REF!&gt;2,BB903/#REF!&lt;0.5),"NM",BB903/#REF!*100-100))</f>
        <v>NA</v>
      </c>
      <c r="BD903" s="977">
        <f>BD707/(BD891-BD886)*100</f>
        <v>13.375926171058261</v>
      </c>
      <c r="BE903" s="9">
        <f>IF(ISERROR(BD903/BB903),"NA",IF(OR(BD903/BB903&gt;2,BD903/BB903&lt;0.5),"NM",BD903/BB903*100-100))</f>
        <v>26.452288172472649</v>
      </c>
      <c r="BF903" s="182">
        <f>BF707/(BF891-BF886)*100</f>
        <v>12.568550296439851</v>
      </c>
      <c r="BG903" s="9">
        <f>IF(ISERROR(BF903/BD903),"NA",IF(OR(BF903/BD903&gt;2,BF903/BD903&lt;0.5),"NM",BF903/BD903*100-100))</f>
        <v>-6.0360371632832681</v>
      </c>
      <c r="BH903" s="182">
        <f>BH707/(BH891-BH886)*100</f>
        <v>12.619095020050633</v>
      </c>
      <c r="BI903" s="9">
        <f>IF(ISERROR(BH903/BF903),"NA",IF(OR(BH903/BF903&gt;2,BH903/BF903&lt;0.5),"NM",BH903/BF903*100-100))</f>
        <v>0.40215237572067508</v>
      </c>
      <c r="BJ903" s="182">
        <f>BJ707/(BJ891-BJ886)*100</f>
        <v>12.537786766046398</v>
      </c>
      <c r="BK903" s="9">
        <f>IF(ISERROR(BJ903/BH903),"NA",IF(OR(BJ903/BH903&gt;2,BJ903/BH903&lt;0.5),"NM",BJ903/BH903*100-100))</f>
        <v>-0.64432713974372291</v>
      </c>
      <c r="BL903" s="182">
        <f>BL707/(BL891-BL886)*100</f>
        <v>12.711392330592853</v>
      </c>
      <c r="BM903" s="9">
        <f>IF(ISERROR(BL903/BJ903),"NA",IF(OR(BL903/BJ903&gt;2,BL903/BJ903&lt;0.5),"NM",BL903/BJ903*100-100))</f>
        <v>1.384658774199238</v>
      </c>
      <c r="BN903" s="182">
        <f>BN707/(BN891-BN886)*100</f>
        <v>12.595126143711077</v>
      </c>
      <c r="BO903" s="9">
        <f>IF(ISERROR(BN903/BL903),"NA",IF(OR(BN903/BL903&gt;2,BN903/BL903&lt;0.5),"NM",BN903/BL903*100-100))</f>
        <v>-0.91466130426918824</v>
      </c>
      <c r="BP903" s="182">
        <f>BP707/(BP891-BP886)*100</f>
        <v>12.50885043262722</v>
      </c>
      <c r="BQ903" s="9">
        <f>IF(ISERROR(BP903/BN903),"NA",IF(OR(BP903/BN903&gt;2,BP903/BN903&lt;0.5),"NM",BP903/BN903*100-100))</f>
        <v>-0.68499283055561477</v>
      </c>
      <c r="BR903" s="182">
        <f>BR707/(BR891-BR886)*100</f>
        <v>12.38530013990886</v>
      </c>
      <c r="BS903" s="9">
        <f>IF(ISERROR(BR903/BP903),"NA",IF(OR(BR903/BP903&gt;2,BR903/BP903&lt;0.5),"NM",BR903/BP903*100-100))</f>
        <v>-0.98770301382850789</v>
      </c>
      <c r="BT903" s="182">
        <f>BT707/(BT891-BT886)*100</f>
        <v>12.275993499465848</v>
      </c>
      <c r="BU903" s="9">
        <f>IF(ISERROR(BT903/BR903),"NA",IF(OR(BT903/BR903&gt;2,BT903/BR903&lt;0.5),"NM",BT903/BR903*100-100))</f>
        <v>-0.88255140536155352</v>
      </c>
      <c r="BV903" s="43">
        <f>IF(ISERROR(((BT903/BJ903)^0.2-1)*100),"NA",IF((((BT903/BJ903)^0.2-1)*100)&gt;100,"NM",IF((((BT903/BJ903)^0.2-1)*100)&lt;-50,"NM",((BT903/BJ903)^0.2-1)*100)))</f>
        <v>-0.42113908106924391</v>
      </c>
      <c r="BW903" s="180"/>
      <c r="BX903" s="180"/>
      <c r="BY903"/>
      <c r="BZ903"/>
      <c r="CA903"/>
      <c r="CB903"/>
      <c r="CC903"/>
      <c r="CD903"/>
    </row>
    <row r="904" spans="1:82" s="2" customFormat="1" ht="12.75" customHeight="1" x14ac:dyDescent="0.2">
      <c r="A904" s="7"/>
      <c r="B904" s="7" t="s">
        <v>461</v>
      </c>
      <c r="C904" s="182" t="e">
        <f>C709/(C891-C886)*400</f>
        <v>#REF!</v>
      </c>
      <c r="D904" s="9" t="str">
        <f>IF(ISERROR(C904/#REF!),"NA",IF(OR(C904/#REF!&gt;2,C904/#REF!&lt;0.5),"NM",C904/#REF!*100-100))</f>
        <v>NA</v>
      </c>
      <c r="E904" s="182">
        <f>E709/(E891-E886)*400</f>
        <v>12.67238940811767</v>
      </c>
      <c r="F904" s="9" t="str">
        <f>IF(ISERROR(E904/#REF!),"NA",IF(OR(E904/#REF!&gt;2,E904/#REF!&lt;0.5),"NM",E904/#REF!*100-100))</f>
        <v>NA</v>
      </c>
      <c r="G904" s="182">
        <f>G709/(G891-G886)*400</f>
        <v>12.751624210730636</v>
      </c>
      <c r="H904" s="9" t="str">
        <f>IF(ISERROR(G904/#REF!),"NA",IF(OR(G904/#REF!&gt;2,G904/#REF!&lt;0.5),"NM",G904/#REF!*100-100))</f>
        <v>NA</v>
      </c>
      <c r="I904" s="182">
        <f>I709/(I891-I886)*400</f>
        <v>12.962157950895101</v>
      </c>
      <c r="J904" s="9" t="str">
        <f>IF(ISERROR(I904/#REF!),"NA",IF(OR(I904/#REF!&gt;2,I904/#REF!&lt;0.5),"NM",I904/#REF!*100-100))</f>
        <v>NA</v>
      </c>
      <c r="K904" s="182">
        <f>K709/(K891-K886)*400</f>
        <v>13.013284856815071</v>
      </c>
      <c r="L904" s="9" t="str">
        <f>IF(ISERROR(K904/C904),"NA",IF(OR(K904/C904&gt;2,K904/C904&lt;0.5),"NM",K904/C904*100-100))</f>
        <v>NA</v>
      </c>
      <c r="M904" s="182">
        <f>M709/(M891-M886)*400</f>
        <v>13.453623701927009</v>
      </c>
      <c r="N904" s="9">
        <f t="shared" si="3801"/>
        <v>6.1648539091522707</v>
      </c>
      <c r="O904" s="182">
        <f>O709/(O891-O886)*400</f>
        <v>14.150939895122328</v>
      </c>
      <c r="P904" s="9">
        <f t="shared" si="3802"/>
        <v>10.973627055400144</v>
      </c>
      <c r="Q904" s="182">
        <f>Q709/(Q891-Q886)*400</f>
        <v>13.535550876419626</v>
      </c>
      <c r="R904" s="9">
        <f t="shared" si="3803"/>
        <v>4.42359156320056</v>
      </c>
      <c r="S904" s="182">
        <f>S709/(S891-S886)*400</f>
        <v>13.201326399092315</v>
      </c>
      <c r="T904" s="9">
        <f t="shared" si="3801"/>
        <v>1.4449967425308898</v>
      </c>
      <c r="U904" s="182">
        <f>U709/(U891-U886)*400</f>
        <v>12.747136476232319</v>
      </c>
      <c r="V904" s="9">
        <f t="shared" si="3801"/>
        <v>-5.2512783272918284</v>
      </c>
      <c r="W904" s="182">
        <f>W709/(W891-W886)*400</f>
        <v>12.481217176551107</v>
      </c>
      <c r="X904" s="9">
        <f t="shared" si="3801"/>
        <v>-11.799376797203095</v>
      </c>
      <c r="Y904" s="182">
        <f>Y709/(Y891-Y886)*400</f>
        <v>11.925974000432671</v>
      </c>
      <c r="Z904" s="9">
        <f t="shared" si="3806"/>
        <v>-11.891476680058958</v>
      </c>
      <c r="AA904" s="182">
        <f>AA709/(AA891-AA886)*400</f>
        <v>11.12287415378937</v>
      </c>
      <c r="AB904" s="9">
        <f t="shared" si="3807"/>
        <v>-15.744268283873751</v>
      </c>
      <c r="AC904" s="182">
        <f>AC709/(AC891-AC886)*400</f>
        <v>12.893047182394929</v>
      </c>
      <c r="AD904" s="9">
        <f t="shared" si="3808"/>
        <v>1.1446547735224186</v>
      </c>
      <c r="AE904" s="182">
        <f>AE709/(AE891-AE886)*400</f>
        <v>13.414507723190303</v>
      </c>
      <c r="AF904" s="9">
        <f t="shared" si="3809"/>
        <v>7.4775603487823332</v>
      </c>
      <c r="AG904" s="182">
        <f>AG709/(AG891-AG886)*400</f>
        <v>13.629988937899498</v>
      </c>
      <c r="AH904" s="9">
        <f t="shared" si="3810"/>
        <v>14.288266412496014</v>
      </c>
      <c r="AI904" s="182">
        <f>AI709/(AI891-AI886)*400</f>
        <v>12.944565548815174</v>
      </c>
      <c r="AJ904" s="9">
        <f t="shared" si="3811"/>
        <v>16.37788371816815</v>
      </c>
      <c r="AK904" s="182">
        <f>AK709/(AK891-AK886)*400</f>
        <v>13.611029102588191</v>
      </c>
      <c r="AL904" s="9">
        <f t="shared" si="3812"/>
        <v>5.5687527551566234</v>
      </c>
      <c r="AM904" s="182">
        <f>AM709/(AM891-AM886)*400</f>
        <v>14.367123476344604</v>
      </c>
      <c r="AN904" s="9">
        <f t="shared" si="3813"/>
        <v>7.1013843579773521</v>
      </c>
      <c r="AO904" s="182">
        <f>AO709/(AO891-AO886)*400</f>
        <v>11.392754493935019</v>
      </c>
      <c r="AP904" s="9">
        <f t="shared" si="3814"/>
        <v>-16.414059132092419</v>
      </c>
      <c r="AQ904" s="182">
        <f t="shared" ref="AQ904:AW904" si="3820">AQ709/(AQ891-AQ886)*400</f>
        <v>12.489918520505052</v>
      </c>
      <c r="AR904" s="9">
        <f t="shared" si="3816"/>
        <v>-3.5122617796294833</v>
      </c>
      <c r="AS904" s="182">
        <f t="shared" si="3820"/>
        <v>12.553437419738355</v>
      </c>
      <c r="AT904" s="9">
        <f t="shared" si="3817"/>
        <v>-7.7701081591893058</v>
      </c>
      <c r="AU904" s="182">
        <f t="shared" si="3820"/>
        <v>12.834216959046746</v>
      </c>
      <c r="AV904" s="9">
        <f t="shared" si="3818"/>
        <v>-10.669543696911774</v>
      </c>
      <c r="AW904" s="182">
        <f t="shared" si="3820"/>
        <v>13.064395207949387</v>
      </c>
      <c r="AX904" s="9">
        <f t="shared" si="3819"/>
        <v>14.672840662934263</v>
      </c>
      <c r="AY904" s="298"/>
      <c r="AZ904" s="184"/>
      <c r="BA904" s="9"/>
      <c r="BB904" s="182">
        <f>BB709/(BB891-BB886)*100</f>
        <v>10.629740518962077</v>
      </c>
      <c r="BC904" s="9" t="str">
        <f>IF(ISERROR(BB904/#REF!),"NA",IF(OR(BB904/#REF!&gt;2,BB904/#REF!&lt;0.5),"NM",BB904/#REF!*100-100))</f>
        <v>NA</v>
      </c>
      <c r="BD904" s="977">
        <f>BD709/(BD891-BD886)*100</f>
        <v>12.429718193751381</v>
      </c>
      <c r="BE904" s="9">
        <f>IF(ISERROR(BD904/BB904),"NA",IF(OR(BD904/BB904&gt;2,BD904/BB904&lt;0.5),"NM",BD904/BB904*100-100))</f>
        <v>16.933411230296528</v>
      </c>
      <c r="BF904" s="182">
        <f>BF709/(BF891-BF886)*100</f>
        <v>12.428915706395207</v>
      </c>
      <c r="BG904" s="9">
        <f>IF(ISERROR(BF904/BD904),"NA",IF(OR(BF904/BD904&gt;2,BF904/BD904&lt;0.5),"NM",BF904/BD904*100-100))</f>
        <v>-6.4561991162292998E-3</v>
      </c>
      <c r="BH904" s="182">
        <f>BH709/(BH891-BH886)*100</f>
        <v>12.773148279817608</v>
      </c>
      <c r="BI904" s="9">
        <f>IF(ISERROR(BH904/BF904),"NA",IF(OR(BH904/BF904&gt;2,BH904/BF904&lt;0.5),"NM",BH904/BF904*100-100))</f>
        <v>2.7696106527239408</v>
      </c>
      <c r="BJ904" s="182">
        <f>BJ709/(BJ891-BJ886)*100</f>
        <v>12.752742057889543</v>
      </c>
      <c r="BK904" s="9">
        <f>IF(ISERROR(BJ904/BH904),"NA",IF(OR(BJ904/BH904&gt;2,BJ904/BH904&lt;0.5),"NM",BJ904/BH904*100-100))</f>
        <v>-0.15975874922166611</v>
      </c>
      <c r="BL904" s="182">
        <f>BL709/(BL891-BL886)*100</f>
        <v>12.711392330592853</v>
      </c>
      <c r="BM904" s="9">
        <f>IF(ISERROR(BL904/BJ904),"NA",IF(OR(BL904/BJ904&gt;2,BL904/BJ904&lt;0.5),"NM",BL904/BJ904*100-100))</f>
        <v>-0.32424185409685435</v>
      </c>
      <c r="BN904" s="182">
        <f>BN709/(BN891-BN886)*100</f>
        <v>12.595126143711077</v>
      </c>
      <c r="BO904" s="9">
        <f>IF(ISERROR(BN904/BL904),"NA",IF(OR(BN904/BL904&gt;2,BN904/BL904&lt;0.5),"NM",BN904/BL904*100-100))</f>
        <v>-0.91466130426918824</v>
      </c>
      <c r="BP904" s="182">
        <f>BP709/(BP891-BP886)*100</f>
        <v>12.50885043262722</v>
      </c>
      <c r="BQ904" s="9">
        <f>IF(ISERROR(BP904/BN904),"NA",IF(OR(BP904/BN904&gt;2,BP904/BN904&lt;0.5),"NM",BP904/BN904*100-100))</f>
        <v>-0.68499283055561477</v>
      </c>
      <c r="BR904" s="182">
        <f>BR709/(BR891-BR886)*100</f>
        <v>12.38530013990886</v>
      </c>
      <c r="BS904" s="9">
        <f>IF(ISERROR(BR904/BP904),"NA",IF(OR(BR904/BP904&gt;2,BR904/BP904&lt;0.5),"NM",BR904/BP904*100-100))</f>
        <v>-0.98770301382850789</v>
      </c>
      <c r="BT904" s="182">
        <f>BT709/(BT891-BT886)*100</f>
        <v>12.275993499465848</v>
      </c>
      <c r="BU904" s="9">
        <f>IF(ISERROR(BT904/BR904),"NA",IF(OR(BT904/BR904&gt;2,BT904/BR904&lt;0.5),"NM",BT904/BR904*100-100))</f>
        <v>-0.88255140536155352</v>
      </c>
      <c r="BV904" s="43">
        <f>IF(ISERROR(((BT904/BJ904)^0.2-1)*100),"NA",IF((((BT904/BJ904)^0.2-1)*100)&gt;100,"NM",IF((((BT904/BJ904)^0.2-1)*100)&lt;-50,"NM",((BT904/BJ904)^0.2-1)*100)))</f>
        <v>-0.75911812557749592</v>
      </c>
      <c r="BW904" s="180"/>
      <c r="BX904" s="180"/>
      <c r="BY904"/>
      <c r="BZ904"/>
      <c r="CA904"/>
      <c r="CB904"/>
      <c r="CC904"/>
      <c r="CD904"/>
    </row>
    <row r="905" spans="1:82" s="2" customFormat="1" ht="12.75" customHeight="1" x14ac:dyDescent="0.2">
      <c r="A905" s="7" t="s">
        <v>215</v>
      </c>
      <c r="B905" s="7" t="s">
        <v>293</v>
      </c>
      <c r="C905" s="182" t="e">
        <f>C731/(C891-C886)*400</f>
        <v>#REF!</v>
      </c>
      <c r="D905" s="9" t="str">
        <f>IF(ISERROR(C905/#REF!),"NA",IF(OR(C905/#REF!&gt;2,C905/#REF!&lt;0.5),"NM",C905/#REF!*100-100))</f>
        <v>NA</v>
      </c>
      <c r="E905" s="182">
        <f>E731/(E891-E886)*400</f>
        <v>10.266297978952471</v>
      </c>
      <c r="F905" s="9" t="str">
        <f>IF(ISERROR(E905/#REF!),"NA",IF(OR(E905/#REF!&gt;2,E905/#REF!&lt;0.5),"NM",E905/#REF!*100-100))</f>
        <v>NA</v>
      </c>
      <c r="G905" s="182">
        <f>G731/(G891-G886)*400</f>
        <v>11.221611993468903</v>
      </c>
      <c r="H905" s="9" t="str">
        <f>IF(ISERROR(G905/#REF!),"NA",IF(OR(G905/#REF!&gt;2,G905/#REF!&lt;0.5),"NM",G905/#REF!*100-100))</f>
        <v>NA</v>
      </c>
      <c r="I905" s="182">
        <f>I731/(I891-I886)*400</f>
        <v>10.541350751703543</v>
      </c>
      <c r="J905" s="9" t="str">
        <f>IF(ISERROR(I905/#REF!),"NA",IF(OR(I905/#REF!&gt;2,I905/#REF!&lt;0.5),"NM",I905/#REF!*100-100))</f>
        <v>NA</v>
      </c>
      <c r="K905" s="182">
        <f>K731/(K891-K886)*400</f>
        <v>13.01771868470496</v>
      </c>
      <c r="L905" s="9" t="str">
        <f>IF(ISERROR(K905/C905),"NA",IF(OR(K905/C905&gt;2,K905/C905&lt;0.5),"NM",K905/C905*100-100))</f>
        <v>NA</v>
      </c>
      <c r="M905" s="182">
        <f>M731/(M891-M886)*400</f>
        <v>13.35332115893047</v>
      </c>
      <c r="N905" s="9">
        <f t="shared" si="3801"/>
        <v>30.069487426790886</v>
      </c>
      <c r="O905" s="182">
        <f>O731/(O891-O886)*400</f>
        <v>11.509246380887312</v>
      </c>
      <c r="P905" s="9">
        <f t="shared" si="3802"/>
        <v>2.5632180794151083</v>
      </c>
      <c r="Q905" s="182">
        <f>Q731/(Q891-Q886)*400</f>
        <v>11.529851910344799</v>
      </c>
      <c r="R905" s="9">
        <f t="shared" si="3803"/>
        <v>9.3773671128579963</v>
      </c>
      <c r="S905" s="182">
        <f>S731/(S891-S886)*400</f>
        <v>17.307435161602474</v>
      </c>
      <c r="T905" s="9">
        <f t="shared" si="3801"/>
        <v>32.952905042706703</v>
      </c>
      <c r="U905" s="182">
        <f>U731/(U891-U886)*400</f>
        <v>9.3848369455043095</v>
      </c>
      <c r="V905" s="9">
        <f t="shared" si="3801"/>
        <v>-29.719080116425616</v>
      </c>
      <c r="W905" s="182">
        <f>W731/(W891-W886)*400</f>
        <v>12.028941665385554</v>
      </c>
      <c r="X905" s="9">
        <f t="shared" si="3801"/>
        <v>4.5154588519476562</v>
      </c>
      <c r="Y905" s="182">
        <f>Y731/(Y891-Y886)*400</f>
        <v>9.9750231085413095</v>
      </c>
      <c r="Z905" s="9">
        <f t="shared" si="3801"/>
        <v>-13.485245204307162</v>
      </c>
      <c r="AA905" s="182">
        <f>AA731/(AA891-AA886)*400</f>
        <v>14.296953156110682</v>
      </c>
      <c r="AB905" s="9">
        <f t="shared" si="3807"/>
        <v>-17.394154462416921</v>
      </c>
      <c r="AC905" s="182">
        <f>AC731/(AC891-AC886)*400</f>
        <v>12.32699230758198</v>
      </c>
      <c r="AD905" s="9">
        <f t="shared" si="3808"/>
        <v>31.350095682664744</v>
      </c>
      <c r="AE905" s="182">
        <f>AE731/(AE891-AE886)*400</f>
        <v>11.618241619466776</v>
      </c>
      <c r="AF905" s="9">
        <f t="shared" si="3809"/>
        <v>-3.4142658377054715</v>
      </c>
      <c r="AG905" s="182">
        <f>AG731/(AG891-AG886)*400</f>
        <v>11.77488856900853</v>
      </c>
      <c r="AH905" s="9">
        <f t="shared" si="3810"/>
        <v>18.043722213796684</v>
      </c>
      <c r="AI905" s="182">
        <f>AI731/(AI891-AI886)*400</f>
        <v>12.702457938353575</v>
      </c>
      <c r="AJ905" s="9">
        <f t="shared" si="3811"/>
        <v>-11.152692467734653</v>
      </c>
      <c r="AK905" s="182">
        <f>AK731/(AK891-AK886)*400</f>
        <v>11.075623786646627</v>
      </c>
      <c r="AL905" s="9">
        <f t="shared" si="3812"/>
        <v>-10.151450489392062</v>
      </c>
      <c r="AM905" s="182">
        <f>AM731/(AM891-AM886)*400</f>
        <v>27.897527718476688</v>
      </c>
      <c r="AN905" s="9" t="str">
        <f t="shared" si="3813"/>
        <v>NM</v>
      </c>
      <c r="AO905" s="182">
        <f>AO731/(AO891-AO886)*400</f>
        <v>27.338713606027643</v>
      </c>
      <c r="AP905" s="9" t="str">
        <f t="shared" si="3814"/>
        <v>NM</v>
      </c>
      <c r="AQ905" s="182">
        <f t="shared" ref="AQ905:AW905" si="3821">AQ731/(AQ891-AQ886)*400</f>
        <v>12.076698077459373</v>
      </c>
      <c r="AR905" s="9">
        <f t="shared" si="3816"/>
        <v>-4.9262895727038369</v>
      </c>
      <c r="AS905" s="182">
        <f t="shared" si="3821"/>
        <v>12.137695822852873</v>
      </c>
      <c r="AT905" s="9">
        <f t="shared" si="3817"/>
        <v>9.5892751204382591</v>
      </c>
      <c r="AU905" s="182">
        <f t="shared" si="3821"/>
        <v>12.416389596259805</v>
      </c>
      <c r="AV905" s="9" t="str">
        <f t="shared" si="3818"/>
        <v>NM</v>
      </c>
      <c r="AW905" s="182">
        <f t="shared" si="3821"/>
        <v>12.645169712477575</v>
      </c>
      <c r="AX905" s="9" t="str">
        <f t="shared" si="3819"/>
        <v>NM</v>
      </c>
      <c r="AY905" s="298"/>
      <c r="AZ905" s="184"/>
      <c r="BA905" s="9" t="str">
        <f>IF(ISERROR(#REF!/#REF!),"NA",IF(OR(#REF!/#REF!&gt;2,#REF!/#REF!&lt;0.5),"NM",#REF!/#REF!*100-100))</f>
        <v>NA</v>
      </c>
      <c r="BB905" s="182">
        <f>BB731/(BB891-BB886)*100</f>
        <v>8.7794411177644722</v>
      </c>
      <c r="BC905" s="9" t="str">
        <f>IF(ISERROR(BB905/#REF!),"NA",IF(OR(BB905/#REF!&gt;2,BB905/#REF!&lt;0.5),"NM",BB905/#REF!*100-100))</f>
        <v>NA</v>
      </c>
      <c r="BD905" s="977">
        <f>BD731/(BD891-BD886)*100</f>
        <v>11.32481705463203</v>
      </c>
      <c r="BE905" s="9">
        <f>IF(ISERROR(BD905/BB905),"NA",IF(OR(BD905/BB905&gt;2,BD905/BB905&lt;0.5),"NM",BD905/BB905*100-100))</f>
        <v>28.992459801537933</v>
      </c>
      <c r="BF905" s="182">
        <f>BF731/(BF891-BF886)*100</f>
        <v>11.966744880191104</v>
      </c>
      <c r="BG905" s="9">
        <f>IF(ISERROR(BF905/BD905),"NA",IF(OR(BF905/BD905&gt;2,BF905/BD905&lt;0.5),"NM",BF905/BD905*100-100))</f>
        <v>5.6683284371160454</v>
      </c>
      <c r="BH905" s="182">
        <f t="shared" ref="BH905:BP905" si="3822">BH731/(BH891-BH886)*100</f>
        <v>12.48068409127538</v>
      </c>
      <c r="BI905" s="9">
        <f>IF(ISERROR(BH905/BF905),"NA",IF(OR(BH905/BF905&gt;2,BH905/BF905&lt;0.5),"NM",BH905/BF905*100-100))</f>
        <v>4.2947285684598739</v>
      </c>
      <c r="BJ905" s="182">
        <f t="shared" ref="BJ905" si="3823">BJ731/(BJ891-BJ886)*100</f>
        <v>19.591033778083045</v>
      </c>
      <c r="BK905" s="9">
        <f>IF(ISERROR(BJ905/BH905),"NA",IF(OR(BJ905/BH905&gt;2,BJ905/BH905&lt;0.5),"NM",BJ905/BH905*100-100))</f>
        <v>56.970832967226158</v>
      </c>
      <c r="BL905" s="182">
        <f t="shared" ref="BL905" si="3824">BL731/(BL891-BL886)*100</f>
        <v>12.295759921648957</v>
      </c>
      <c r="BM905" s="9">
        <f>IF(ISERROR(BL905/BJ905),"NA",IF(OR(BL905/BJ905&gt;2,BL905/BJ905&lt;0.5),"NM",BL905/BJ905*100-100))</f>
        <v>-37.237819806096631</v>
      </c>
      <c r="BN905" s="182">
        <f t="shared" si="3822"/>
        <v>12.171566059373436</v>
      </c>
      <c r="BO905" s="9">
        <f>IF(ISERROR(BN905/BL905),"NA",IF(OR(BN905/BL905&gt;2,BN905/BL905&lt;0.5),"NM",BN905/BL905*100-100))</f>
        <v>-1.0100543851450254</v>
      </c>
      <c r="BP905" s="182">
        <f t="shared" si="3822"/>
        <v>12.076601286486181</v>
      </c>
      <c r="BQ905" s="9">
        <f>IF(ISERROR(BP905/BN905),"NA",IF(OR(BP905/BN905&gt;2,BP905/BN905&lt;0.5),"NM",BP905/BN905*100-100))</f>
        <v>-0.78021819397777392</v>
      </c>
      <c r="BR905" s="182">
        <f t="shared" ref="BR905:BT905" si="3825">BR731/(BR891-BR886)*100</f>
        <v>11.943218009127586</v>
      </c>
      <c r="BS905" s="9">
        <f>IF(ISERROR(BR905/BP905),"NA",IF(OR(BR905/BP905&gt;2,BR905/BP905&lt;0.5),"NM",BR905/BP905*100-100))</f>
        <v>-1.1044769483931844</v>
      </c>
      <c r="BT905" s="182">
        <f t="shared" si="3825"/>
        <v>11.823026595719933</v>
      </c>
      <c r="BU905" s="9">
        <f>IF(ISERROR(BT905/BR905),"NA",IF(OR(BT905/BR905&gt;2,BT905/BR905&lt;0.5),"NM",BT905/BR905*100-100))</f>
        <v>-1.0063570246795877</v>
      </c>
      <c r="BV905" s="43">
        <f>IF(ISERROR(((BT905/BJ905)^0.2-1)*100),"NA",IF((((BT905/BJ905)^0.2-1)*100)&gt;100,"NM",IF((((BT905/BJ905)^0.2-1)*100)&lt;-50,"NM",((BT905/BJ905)^0.2-1)*100)))</f>
        <v>-9.60711188508132</v>
      </c>
      <c r="BW905" s="180"/>
      <c r="BX905" s="180"/>
      <c r="BY905"/>
      <c r="BZ905"/>
      <c r="CA905"/>
      <c r="CB905"/>
      <c r="CC905"/>
      <c r="CD905"/>
    </row>
    <row r="906" spans="1:82" s="2" customFormat="1" ht="12.75" customHeight="1" x14ac:dyDescent="0.2">
      <c r="A906" s="7" t="s">
        <v>216</v>
      </c>
      <c r="B906" s="7" t="s">
        <v>294</v>
      </c>
      <c r="C906" s="182" t="e">
        <f>C731/(C890-C886)*400</f>
        <v>#REF!</v>
      </c>
      <c r="D906" s="9" t="str">
        <f>IF(ISERROR(C906/#REF!),"NA",IF(OR(C906/#REF!&gt;2,C906/#REF!&lt;0.5),"NM",C906/#REF!*100-100))</f>
        <v>NA</v>
      </c>
      <c r="E906" s="182">
        <f>E731/(E890-E886)*400</f>
        <v>9.9112755807213855</v>
      </c>
      <c r="F906" s="9" t="str">
        <f>IF(ISERROR(E906/#REF!),"NA",IF(OR(E906/#REF!&gt;2,E906/#REF!&lt;0.5),"NM",E906/#REF!*100-100))</f>
        <v>NA</v>
      </c>
      <c r="G906" s="182">
        <f>G731/(G890-G886)*400</f>
        <v>11.233283803863298</v>
      </c>
      <c r="H906" s="9" t="str">
        <f>IF(ISERROR(G906/#REF!),"NA",IF(OR(G906/#REF!&gt;2,G906/#REF!&lt;0.5),"NM",G906/#REF!*100-100))</f>
        <v>NA</v>
      </c>
      <c r="I906" s="182">
        <f>I731/(I890-I886)*400</f>
        <v>10.443770765048718</v>
      </c>
      <c r="J906" s="9" t="str">
        <f>IF(ISERROR(I906/#REF!),"NA",IF(OR(I906/#REF!&gt;2,I906/#REF!&lt;0.5),"NM",I906/#REF!*100-100))</f>
        <v>NA</v>
      </c>
      <c r="K906" s="182">
        <f>K731/(K890-K886)*400</f>
        <v>12.636041338275566</v>
      </c>
      <c r="L906" s="9" t="str">
        <f>IF(ISERROR(K906/C906),"NA",IF(OR(K906/C906&gt;2,K906/C906&lt;0.5),"NM",K906/C906*100-100))</f>
        <v>NA</v>
      </c>
      <c r="M906" s="182">
        <f>M731/(M890-M886)*400</f>
        <v>12.688480604173899</v>
      </c>
      <c r="N906" s="9">
        <f t="shared" si="3801"/>
        <v>28.02066193028179</v>
      </c>
      <c r="O906" s="182">
        <f>O731/(O890-O886)*400</f>
        <v>10.935079527637415</v>
      </c>
      <c r="P906" s="9">
        <f t="shared" si="3802"/>
        <v>-2.6546491785716881</v>
      </c>
      <c r="Q906" s="182">
        <f>Q731/(Q890-Q886)*400</f>
        <v>11.274212283668206</v>
      </c>
      <c r="R906" s="9">
        <f t="shared" si="3803"/>
        <v>7.9515487011516512</v>
      </c>
      <c r="S906" s="182">
        <f>S731/(S890-S886)*400</f>
        <v>17.237930950243864</v>
      </c>
      <c r="T906" s="9">
        <f t="shared" si="3801"/>
        <v>36.418760344102481</v>
      </c>
      <c r="U906" s="182">
        <f>U731/(U890-U886)*400</f>
        <v>9.5241445768389479</v>
      </c>
      <c r="V906" s="9">
        <f t="shared" si="3801"/>
        <v>-24.938652042341744</v>
      </c>
      <c r="W906" s="182">
        <f>W731/(W890-W886)*400</f>
        <v>12.558960737714683</v>
      </c>
      <c r="X906" s="9">
        <f t="shared" si="3801"/>
        <v>14.85020027493222</v>
      </c>
      <c r="Y906" s="182">
        <f>Y731/(Y890-Y886)*400</f>
        <v>10.716304227256639</v>
      </c>
      <c r="Z906" s="9">
        <f t="shared" si="3801"/>
        <v>-4.9485324772512058</v>
      </c>
      <c r="AA906" s="182">
        <f>AA731/(AA890-AA886)*400</f>
        <v>15.211954612157161</v>
      </c>
      <c r="AB906" s="9">
        <f t="shared" si="3807"/>
        <v>-11.753013421010621</v>
      </c>
      <c r="AC906" s="182">
        <f>AC731/(AC890-AC886)*400</f>
        <v>12.552272738336912</v>
      </c>
      <c r="AD906" s="9">
        <f t="shared" si="3808"/>
        <v>31.794227156755284</v>
      </c>
      <c r="AE906" s="182">
        <f>AE731/(AE890-AE886)*400</f>
        <v>11.578685375898715</v>
      </c>
      <c r="AF906" s="9">
        <f t="shared" si="3809"/>
        <v>-7.80538598924187</v>
      </c>
      <c r="AG906" s="182">
        <f>AG731/(AG890-AG886)*400</f>
        <v>12.101665406076521</v>
      </c>
      <c r="AH906" s="9">
        <f t="shared" si="3810"/>
        <v>12.927602179268575</v>
      </c>
      <c r="AI906" s="182">
        <f>AI731/(AI890-AI886)*400</f>
        <v>13.391289328996228</v>
      </c>
      <c r="AJ906" s="9">
        <f t="shared" si="3811"/>
        <v>-11.968647879779269</v>
      </c>
      <c r="AK906" s="182">
        <f>AK731/(AK890-AK886)*400</f>
        <v>11.366035934301006</v>
      </c>
      <c r="AL906" s="9">
        <f t="shared" si="3812"/>
        <v>-9.4503746752803011</v>
      </c>
      <c r="AM906" s="182">
        <f>AM731/(AM890-AM886)*400</f>
        <v>27.980746400742511</v>
      </c>
      <c r="AN906" s="9" t="str">
        <f t="shared" si="3813"/>
        <v>NM</v>
      </c>
      <c r="AO906" s="182">
        <f>AO731/(AO890-AO886)*400</f>
        <v>27.104891389656967</v>
      </c>
      <c r="AP906" s="9" t="str">
        <f t="shared" si="3814"/>
        <v>NM</v>
      </c>
      <c r="AQ906" s="182">
        <f t="shared" ref="AQ906:AW906" si="3826">AQ731/(AQ890-AQ886)*400</f>
        <v>11.92209987359583</v>
      </c>
      <c r="AR906" s="9">
        <f t="shared" si="3816"/>
        <v>-10.971232263790725</v>
      </c>
      <c r="AS906" s="182">
        <f t="shared" si="3826"/>
        <v>11.984327314721545</v>
      </c>
      <c r="AT906" s="9">
        <f t="shared" si="3817"/>
        <v>5.4398154641991567</v>
      </c>
      <c r="AU906" s="182">
        <f t="shared" si="3826"/>
        <v>12.261694949354297</v>
      </c>
      <c r="AV906" s="9" t="str">
        <f t="shared" si="3818"/>
        <v>NM</v>
      </c>
      <c r="AW906" s="182">
        <f t="shared" si="3826"/>
        <v>12.490084811696347</v>
      </c>
      <c r="AX906" s="9" t="str">
        <f t="shared" si="3819"/>
        <v>NM</v>
      </c>
      <c r="AY906" s="298"/>
      <c r="AZ906" s="184"/>
      <c r="BA906" s="9" t="str">
        <f>IF(ISERROR(#REF!/#REF!),"NA",IF(OR(#REF!/#REF!&gt;2,#REF!/#REF!&lt;0.5),"NM",#REF!/#REF!*100-100))</f>
        <v>NA</v>
      </c>
      <c r="BB906" s="182" t="e">
        <f>BB731/(BB890-BB886)*100</f>
        <v>#REF!</v>
      </c>
      <c r="BC906" s="9" t="str">
        <f>IF(ISERROR(BB906/#REF!),"NA",IF(OR(BB906/#REF!&gt;2,BB906/#REF!&lt;0.5),"NM",BB906/#REF!*100-100))</f>
        <v>NA</v>
      </c>
      <c r="BD906" s="977">
        <f>BD731/(BD890-BD886)*100</f>
        <v>11.823810997454579</v>
      </c>
      <c r="BE906" s="9" t="str">
        <f>IF(ISERROR(BD906/BB906),"NA",IF(OR(BD906/BB906&gt;2,BD906/BB906&lt;0.5),"NM",BD906/BB906*100-100))</f>
        <v>NA</v>
      </c>
      <c r="BF906" s="182">
        <f>BF731/(BF890-BF886)*100</f>
        <v>12.856038261834829</v>
      </c>
      <c r="BG906" s="9">
        <f>IF(ISERROR(BF906/BD906),"NA",IF(OR(BF906/BD906&gt;2,BF906/BD906&lt;0.5),"NM",BF906/BD906*100-100))</f>
        <v>8.7300724326739214</v>
      </c>
      <c r="BH906" s="182">
        <f t="shared" ref="BH906:BP906" si="3827">BH731/(BH890-BH886)*100</f>
        <v>13.475681844934984</v>
      </c>
      <c r="BI906" s="9">
        <f>IF(ISERROR(BH906/BF906),"NA",IF(OR(BH906/BF906&gt;2,BH906/BF906&lt;0.5),"NM",BH906/BF906*100-100))</f>
        <v>4.8198641796179515</v>
      </c>
      <c r="BJ906" s="182">
        <f t="shared" ref="BJ906" si="3828">BJ731/(BJ890-BJ886)*100</f>
        <v>20.023746999124661</v>
      </c>
      <c r="BK906" s="9">
        <f>IF(ISERROR(BJ906/BH906),"NA",IF(OR(BJ906/BH906&gt;2,BJ906/BH906&lt;0.5),"NM",BJ906/BH906*100-100))</f>
        <v>48.591716764601841</v>
      </c>
      <c r="BL906" s="182">
        <f t="shared" ref="BL906" si="3829">BL731/(BL890-BL886)*100</f>
        <v>12.141940916550913</v>
      </c>
      <c r="BM906" s="9">
        <f>IF(ISERROR(BL906/BJ906),"NA",IF(OR(BL906/BJ906&gt;2,BL906/BJ906&lt;0.5),"NM",BL906/BJ906*100-100))</f>
        <v>-39.362293595291142</v>
      </c>
      <c r="BN906" s="182">
        <f t="shared" si="3827"/>
        <v>12.027769411757378</v>
      </c>
      <c r="BO906" s="9">
        <f>IF(ISERROR(BN906/BL906),"NA",IF(OR(BN906/BL906&gt;2,BN906/BL906&lt;0.5),"NM",BN906/BL906*100-100))</f>
        <v>-0.94030687167902727</v>
      </c>
      <c r="BP906" s="182">
        <f t="shared" si="3827"/>
        <v>11.941680161709749</v>
      </c>
      <c r="BQ906" s="9">
        <f>IF(ISERROR(BP906/BN906),"NA",IF(OR(BP906/BN906&gt;2,BP906/BN906&lt;0.5),"NM",BP906/BN906*100-100))</f>
        <v>-0.71575407792133205</v>
      </c>
      <c r="BR906" s="182">
        <f t="shared" ref="BR906:BT906" si="3830">BR731/(BR890-BR886)*100</f>
        <v>11.816770648278007</v>
      </c>
      <c r="BS906" s="9">
        <f>IF(ISERROR(BR906/BP906),"NA",IF(OR(BR906/BP906&gt;2,BR906/BP906&lt;0.5),"NM",BR906/BP906*100-100))</f>
        <v>-1.0459961390714199</v>
      </c>
      <c r="BT906" s="182">
        <f t="shared" si="3830"/>
        <v>11.704192854504033</v>
      </c>
      <c r="BU906" s="9">
        <f>IF(ISERROR(BT906/BR906),"NA",IF(OR(BT906/BR906&gt;2,BT906/BR906&lt;0.5),"NM",BT906/BR906*100-100))</f>
        <v>-0.9526950900953608</v>
      </c>
      <c r="BV906" s="43">
        <f>IF(ISERROR(((BT906/BJ906)^0.2-1)*100),"NA",IF((((BT906/BJ906)^0.2-1)*100)&gt;100,"NM",IF((((BT906/BJ906)^0.2-1)*100)&lt;-50,"NM",((BT906/BJ906)^0.2-1)*100)))</f>
        <v>-10.182859576914149</v>
      </c>
      <c r="BW906" s="180"/>
      <c r="BX906" s="180"/>
      <c r="BY906"/>
      <c r="BZ906"/>
      <c r="CA906"/>
      <c r="CB906"/>
      <c r="CC906"/>
      <c r="CD906"/>
    </row>
    <row r="907" spans="1:82" s="2" customFormat="1" ht="12.75" hidden="1" customHeight="1" outlineLevel="1" x14ac:dyDescent="0.2">
      <c r="B907" s="7"/>
      <c r="C907" s="179"/>
      <c r="D907" s="9"/>
      <c r="E907" s="179"/>
      <c r="F907" s="9"/>
      <c r="G907" s="179"/>
      <c r="H907" s="9"/>
      <c r="I907" s="179"/>
      <c r="J907" s="9"/>
      <c r="K907" s="179"/>
      <c r="L907" s="9"/>
      <c r="M907" s="179"/>
      <c r="N907" s="9"/>
      <c r="O907" s="179"/>
      <c r="P907" s="9"/>
      <c r="Q907" s="179"/>
      <c r="R907" s="9"/>
      <c r="S907" s="179"/>
      <c r="T907" s="9"/>
      <c r="U907" s="179"/>
      <c r="V907" s="9"/>
      <c r="W907" s="179"/>
      <c r="X907" s="9"/>
      <c r="Y907" s="179"/>
      <c r="Z907" s="9"/>
      <c r="AA907" s="179"/>
      <c r="AB907" s="9"/>
      <c r="AC907" s="179"/>
      <c r="AD907" s="9"/>
      <c r="AE907" s="179"/>
      <c r="AF907" s="9"/>
      <c r="AG907" s="179"/>
      <c r="AH907" s="9"/>
      <c r="AI907" s="179"/>
      <c r="AJ907" s="9"/>
      <c r="AK907" s="179"/>
      <c r="AL907" s="9"/>
      <c r="AM907" s="179"/>
      <c r="AN907" s="9"/>
      <c r="AO907" s="179"/>
      <c r="AP907" s="9"/>
      <c r="AQ907" s="179"/>
      <c r="AR907" s="9"/>
      <c r="AS907" s="179"/>
      <c r="AT907" s="9"/>
      <c r="AU907" s="179"/>
      <c r="AV907" s="9"/>
      <c r="AW907" s="179"/>
      <c r="AX907" s="9"/>
      <c r="AY907" s="297"/>
      <c r="AZ907" s="178"/>
      <c r="BA907" s="9"/>
      <c r="BB907" s="179"/>
      <c r="BC907" s="9"/>
      <c r="BD907" s="976"/>
      <c r="BE907" s="9"/>
      <c r="BF907" s="179"/>
      <c r="BG907" s="9"/>
      <c r="BH907" s="179"/>
      <c r="BI907" s="9"/>
      <c r="BJ907" s="179"/>
      <c r="BK907" s="9"/>
      <c r="BL907" s="179"/>
      <c r="BM907" s="9"/>
      <c r="BN907" s="179"/>
      <c r="BO907" s="9"/>
      <c r="BP907" s="179"/>
      <c r="BQ907" s="9"/>
      <c r="BR907" s="179"/>
      <c r="BS907" s="9"/>
      <c r="BT907" s="179"/>
      <c r="BU907" s="9"/>
      <c r="BV907" s="180"/>
      <c r="BW907" s="180"/>
      <c r="BX907" s="180"/>
      <c r="BY907"/>
      <c r="BZ907"/>
      <c r="CA907"/>
      <c r="CB907"/>
      <c r="CC907"/>
      <c r="CD907"/>
    </row>
    <row r="908" spans="1:82" s="2" customFormat="1" ht="12.75" hidden="1" customHeight="1" outlineLevel="1" x14ac:dyDescent="0.2">
      <c r="B908" s="103" t="s">
        <v>400</v>
      </c>
      <c r="C908" s="57"/>
      <c r="D908" s="9"/>
      <c r="E908" s="57"/>
      <c r="F908" s="9"/>
      <c r="G908" s="57"/>
      <c r="H908" s="9"/>
      <c r="I908" s="57"/>
      <c r="J908" s="9"/>
      <c r="K908" s="57"/>
      <c r="L908" s="9"/>
      <c r="M908" s="57"/>
      <c r="N908" s="9"/>
      <c r="O908" s="57"/>
      <c r="P908" s="9"/>
      <c r="Q908" s="57"/>
      <c r="R908" s="9"/>
      <c r="S908" s="57"/>
      <c r="T908" s="9"/>
      <c r="U908" s="57"/>
      <c r="V908" s="9"/>
      <c r="W908" s="57"/>
      <c r="X908" s="9"/>
      <c r="Y908" s="57"/>
      <c r="Z908" s="9"/>
      <c r="AA908" s="57"/>
      <c r="AB908" s="9"/>
      <c r="AC908" s="57"/>
      <c r="AD908" s="9"/>
      <c r="AE908" s="57"/>
      <c r="AF908" s="9"/>
      <c r="AG908" s="57"/>
      <c r="AH908" s="9"/>
      <c r="AI908" s="57"/>
      <c r="AJ908" s="9"/>
      <c r="AK908" s="57"/>
      <c r="AL908" s="9"/>
      <c r="AM908" s="57"/>
      <c r="AN908" s="9"/>
      <c r="AO908" s="57"/>
      <c r="AP908" s="9"/>
      <c r="AQ908" s="57"/>
      <c r="AR908" s="9"/>
      <c r="AS908" s="57"/>
      <c r="AT908" s="9"/>
      <c r="AU908" s="57"/>
      <c r="AV908" s="9"/>
      <c r="AW908" s="57"/>
      <c r="AX908" s="9"/>
      <c r="AY908" s="297"/>
      <c r="AZ908" s="178"/>
      <c r="BA908" s="9"/>
      <c r="BB908" s="57"/>
      <c r="BC908" s="9"/>
      <c r="BD908" s="911"/>
      <c r="BE908" s="9"/>
      <c r="BF908" s="57"/>
      <c r="BG908" s="9"/>
      <c r="BH908" s="57"/>
      <c r="BI908" s="9"/>
      <c r="BJ908" s="57"/>
      <c r="BK908" s="9"/>
      <c r="BL908" s="57"/>
      <c r="BM908" s="9"/>
      <c r="BN908" s="57"/>
      <c r="BO908" s="9"/>
      <c r="BP908" s="57"/>
      <c r="BQ908" s="9"/>
      <c r="BR908" s="57"/>
      <c r="BS908" s="9"/>
      <c r="BT908" s="57"/>
      <c r="BU908" s="9"/>
      <c r="BV908" s="180"/>
      <c r="BW908" s="180"/>
      <c r="BX908" s="180"/>
      <c r="BY908"/>
      <c r="BZ908"/>
      <c r="CA908"/>
      <c r="CB908"/>
      <c r="CC908"/>
      <c r="CD908"/>
    </row>
    <row r="909" spans="1:82" s="2" customFormat="1" ht="12.75" hidden="1" customHeight="1" outlineLevel="1" x14ac:dyDescent="0.2">
      <c r="B909" s="42" t="s">
        <v>195</v>
      </c>
      <c r="C909" s="191"/>
      <c r="D909" s="9"/>
      <c r="E909" s="191"/>
      <c r="F909" s="9"/>
      <c r="G909" s="191"/>
      <c r="H909" s="9"/>
      <c r="I909" s="191"/>
      <c r="J909" s="9"/>
      <c r="K909" s="191"/>
      <c r="L909" s="9"/>
      <c r="M909" s="191"/>
      <c r="N909" s="9"/>
      <c r="O909" s="191"/>
      <c r="P909" s="9"/>
      <c r="Q909" s="191"/>
      <c r="R909" s="9"/>
      <c r="S909" s="191"/>
      <c r="T909" s="9"/>
      <c r="U909" s="191"/>
      <c r="V909" s="9"/>
      <c r="W909" s="191"/>
      <c r="X909" s="9" t="str">
        <f t="shared" ref="X909:X916" si="3831">IF(ISERROR(W909/O909),"NA",IF(OR(W909/O909&gt;2,W909/O909&lt;0.5),"NM",W909/O909*100-100))</f>
        <v>NA</v>
      </c>
      <c r="Y909" s="191"/>
      <c r="Z909" s="191"/>
      <c r="AA909" s="191"/>
      <c r="AB909" s="191"/>
      <c r="AC909" s="191"/>
      <c r="AD909" s="9"/>
      <c r="AE909" s="191"/>
      <c r="AF909" s="9"/>
      <c r="AG909" s="191"/>
      <c r="AH909" s="9"/>
      <c r="AI909" s="191"/>
      <c r="AJ909" s="9"/>
      <c r="AK909" s="191"/>
      <c r="AL909" s="9"/>
      <c r="AM909" s="191"/>
      <c r="AN909" s="9"/>
      <c r="AO909" s="191"/>
      <c r="AP909" s="9"/>
      <c r="AQ909" s="191"/>
      <c r="AR909" s="9"/>
      <c r="AS909" s="191"/>
      <c r="AT909" s="9"/>
      <c r="AU909" s="191"/>
      <c r="AV909" s="9"/>
      <c r="AW909" s="191"/>
      <c r="AX909" s="9"/>
      <c r="AY909" s="297"/>
      <c r="AZ909" s="178"/>
      <c r="BA909" s="9"/>
      <c r="BB909" s="191"/>
      <c r="BC909" s="9"/>
      <c r="BD909" s="980"/>
      <c r="BE909" s="9"/>
      <c r="BF909" s="191"/>
      <c r="BG909" s="9"/>
      <c r="BH909" s="191"/>
      <c r="BI909" s="9"/>
      <c r="BJ909" s="191"/>
      <c r="BK909" s="9"/>
      <c r="BL909" s="191"/>
      <c r="BM909" s="9"/>
      <c r="BN909" s="191"/>
      <c r="BO909" s="9"/>
      <c r="BP909" s="191"/>
      <c r="BQ909" s="9"/>
      <c r="BR909" s="191"/>
      <c r="BS909" s="9"/>
      <c r="BT909" s="191"/>
      <c r="BU909" s="9"/>
      <c r="BV909" s="180"/>
      <c r="BW909" s="180"/>
      <c r="BX909" s="180"/>
      <c r="BY909"/>
      <c r="BZ909"/>
      <c r="CA909"/>
      <c r="CB909"/>
      <c r="CC909"/>
      <c r="CD909"/>
    </row>
    <row r="910" spans="1:82" s="2" customFormat="1" ht="12.75" hidden="1" customHeight="1" outlineLevel="1" x14ac:dyDescent="0.2">
      <c r="B910" s="42" t="s">
        <v>190</v>
      </c>
      <c r="C910" s="191"/>
      <c r="D910" s="9"/>
      <c r="E910" s="191"/>
      <c r="F910" s="9"/>
      <c r="G910" s="191"/>
      <c r="H910" s="9"/>
      <c r="I910" s="191"/>
      <c r="J910" s="9"/>
      <c r="K910" s="191"/>
      <c r="L910" s="9"/>
      <c r="M910" s="191"/>
      <c r="N910" s="9"/>
      <c r="O910" s="191"/>
      <c r="P910" s="9"/>
      <c r="Q910" s="191"/>
      <c r="R910" s="9"/>
      <c r="S910" s="191"/>
      <c r="T910" s="9"/>
      <c r="U910" s="191"/>
      <c r="V910" s="9"/>
      <c r="W910" s="191"/>
      <c r="X910" s="9" t="str">
        <f t="shared" si="3831"/>
        <v>NA</v>
      </c>
      <c r="Y910" s="191"/>
      <c r="Z910" s="191"/>
      <c r="AA910" s="191"/>
      <c r="AB910" s="191"/>
      <c r="AC910" s="191"/>
      <c r="AD910" s="9"/>
      <c r="AE910" s="191"/>
      <c r="AF910" s="9"/>
      <c r="AG910" s="191"/>
      <c r="AH910" s="9"/>
      <c r="AI910" s="191"/>
      <c r="AJ910" s="9"/>
      <c r="AK910" s="191"/>
      <c r="AL910" s="9"/>
      <c r="AM910" s="191"/>
      <c r="AN910" s="9"/>
      <c r="AO910" s="191"/>
      <c r="AP910" s="9"/>
      <c r="AQ910" s="191"/>
      <c r="AR910" s="9"/>
      <c r="AS910" s="191"/>
      <c r="AT910" s="9"/>
      <c r="AU910" s="191"/>
      <c r="AV910" s="9"/>
      <c r="AW910" s="191"/>
      <c r="AX910" s="9"/>
      <c r="AY910" s="297"/>
      <c r="AZ910" s="178"/>
      <c r="BA910" s="9"/>
      <c r="BB910" s="191"/>
      <c r="BC910" s="9"/>
      <c r="BD910" s="980"/>
      <c r="BE910" s="9"/>
      <c r="BF910" s="191"/>
      <c r="BG910" s="9"/>
      <c r="BH910" s="191"/>
      <c r="BI910" s="9"/>
      <c r="BJ910" s="191"/>
      <c r="BK910" s="9"/>
      <c r="BL910" s="191"/>
      <c r="BM910" s="9"/>
      <c r="BN910" s="191"/>
      <c r="BO910" s="9"/>
      <c r="BP910" s="191"/>
      <c r="BQ910" s="9"/>
      <c r="BR910" s="191"/>
      <c r="BS910" s="9"/>
      <c r="BT910" s="191"/>
      <c r="BU910" s="9"/>
      <c r="BV910" s="180"/>
      <c r="BW910" s="180"/>
      <c r="BX910" s="180"/>
      <c r="BY910"/>
      <c r="BZ910"/>
      <c r="CA910"/>
      <c r="CB910"/>
      <c r="CC910"/>
      <c r="CD910"/>
    </row>
    <row r="911" spans="1:82" s="2" customFormat="1" ht="12.75" hidden="1" customHeight="1" outlineLevel="1" x14ac:dyDescent="0.2">
      <c r="B911" s="189" t="s">
        <v>498</v>
      </c>
      <c r="C911" s="192"/>
      <c r="D911" s="9"/>
      <c r="E911" s="192"/>
      <c r="F911" s="9"/>
      <c r="G911" s="192"/>
      <c r="H911" s="9"/>
      <c r="I911" s="192"/>
      <c r="J911" s="9"/>
      <c r="K911" s="192"/>
      <c r="L911" s="9"/>
      <c r="M911" s="191"/>
      <c r="N911" s="9"/>
      <c r="O911" s="192"/>
      <c r="P911" s="9"/>
      <c r="Q911" s="192"/>
      <c r="R911" s="9"/>
      <c r="S911" s="192"/>
      <c r="T911" s="9"/>
      <c r="U911" s="192"/>
      <c r="V911" s="9"/>
      <c r="W911" s="192"/>
      <c r="X911" s="9" t="str">
        <f t="shared" si="3831"/>
        <v>NA</v>
      </c>
      <c r="Y911" s="192"/>
      <c r="Z911" s="192"/>
      <c r="AA911" s="192"/>
      <c r="AB911" s="192"/>
      <c r="AC911" s="192"/>
      <c r="AD911" s="9"/>
      <c r="AE911" s="192"/>
      <c r="AF911" s="9"/>
      <c r="AG911" s="192"/>
      <c r="AH911" s="9"/>
      <c r="AI911" s="192"/>
      <c r="AJ911" s="9"/>
      <c r="AK911" s="192"/>
      <c r="AL911" s="9"/>
      <c r="AM911" s="192"/>
      <c r="AN911" s="9"/>
      <c r="AO911" s="192"/>
      <c r="AP911" s="9"/>
      <c r="AQ911" s="192"/>
      <c r="AR911" s="9"/>
      <c r="AS911" s="192"/>
      <c r="AT911" s="9"/>
      <c r="AU911" s="192"/>
      <c r="AV911" s="9"/>
      <c r="AW911" s="192"/>
      <c r="AX911" s="9"/>
      <c r="AY911" s="297"/>
      <c r="AZ911" s="178"/>
      <c r="BA911" s="9"/>
      <c r="BB911" s="191"/>
      <c r="BC911" s="9"/>
      <c r="BD911" s="980"/>
      <c r="BE911" s="9"/>
      <c r="BF911" s="191"/>
      <c r="BG911" s="9"/>
      <c r="BH911" s="192"/>
      <c r="BI911" s="9"/>
      <c r="BJ911" s="192"/>
      <c r="BK911" s="9"/>
      <c r="BL911" s="192"/>
      <c r="BM911" s="9"/>
      <c r="BN911" s="192"/>
      <c r="BO911" s="9"/>
      <c r="BP911" s="192"/>
      <c r="BQ911" s="9"/>
      <c r="BR911" s="192"/>
      <c r="BS911" s="9"/>
      <c r="BT911" s="192"/>
      <c r="BU911" s="9"/>
      <c r="BV911" s="180"/>
      <c r="BW911" s="180"/>
      <c r="BX911" s="180"/>
      <c r="BY911"/>
      <c r="BZ911"/>
      <c r="CA911"/>
      <c r="CB911"/>
      <c r="CC911"/>
      <c r="CD911"/>
    </row>
    <row r="912" spans="1:82" s="2" customFormat="1" ht="12.75" hidden="1" customHeight="1" outlineLevel="1" x14ac:dyDescent="0.2">
      <c r="B912" s="42" t="s">
        <v>191</v>
      </c>
      <c r="C912" s="191"/>
      <c r="D912" s="9"/>
      <c r="E912" s="191"/>
      <c r="F912" s="9"/>
      <c r="G912" s="191"/>
      <c r="H912" s="9"/>
      <c r="I912" s="191"/>
      <c r="J912" s="9"/>
      <c r="K912" s="191"/>
      <c r="L912" s="9"/>
      <c r="M912" s="191"/>
      <c r="N912" s="9"/>
      <c r="O912" s="191"/>
      <c r="P912" s="9"/>
      <c r="Q912" s="191"/>
      <c r="R912" s="9"/>
      <c r="S912" s="191"/>
      <c r="T912" s="9"/>
      <c r="U912" s="191"/>
      <c r="V912" s="9"/>
      <c r="W912" s="191"/>
      <c r="X912" s="9" t="str">
        <f t="shared" si="3831"/>
        <v>NA</v>
      </c>
      <c r="Y912" s="191"/>
      <c r="Z912" s="191"/>
      <c r="AA912" s="191"/>
      <c r="AB912" s="191"/>
      <c r="AC912" s="191"/>
      <c r="AD912" s="9"/>
      <c r="AE912" s="191"/>
      <c r="AF912" s="9"/>
      <c r="AG912" s="191"/>
      <c r="AH912" s="9"/>
      <c r="AI912" s="191"/>
      <c r="AJ912" s="9"/>
      <c r="AK912" s="191"/>
      <c r="AL912" s="9"/>
      <c r="AM912" s="191"/>
      <c r="AN912" s="9"/>
      <c r="AO912" s="191"/>
      <c r="AP912" s="9"/>
      <c r="AQ912" s="191"/>
      <c r="AR912" s="9"/>
      <c r="AS912" s="191"/>
      <c r="AT912" s="9"/>
      <c r="AU912" s="191"/>
      <c r="AV912" s="9"/>
      <c r="AW912" s="191"/>
      <c r="AX912" s="9"/>
      <c r="AY912" s="297"/>
      <c r="AZ912" s="178"/>
      <c r="BA912" s="9"/>
      <c r="BB912" s="191"/>
      <c r="BC912" s="9"/>
      <c r="BD912" s="980"/>
      <c r="BE912" s="9"/>
      <c r="BF912" s="191"/>
      <c r="BG912" s="9"/>
      <c r="BH912" s="191"/>
      <c r="BI912" s="9"/>
      <c r="BJ912" s="191"/>
      <c r="BK912" s="9"/>
      <c r="BL912" s="191"/>
      <c r="BM912" s="9"/>
      <c r="BN912" s="191"/>
      <c r="BO912" s="9"/>
      <c r="BP912" s="191"/>
      <c r="BQ912" s="9"/>
      <c r="BR912" s="191"/>
      <c r="BS912" s="9"/>
      <c r="BT912" s="191"/>
      <c r="BU912" s="9"/>
      <c r="BV912" s="180"/>
      <c r="BW912" s="180"/>
      <c r="BX912" s="180"/>
      <c r="BY912"/>
      <c r="BZ912"/>
      <c r="CA912"/>
      <c r="CB912"/>
      <c r="CC912"/>
      <c r="CD912"/>
    </row>
    <row r="913" spans="1:82" s="2" customFormat="1" ht="12.75" hidden="1" customHeight="1" outlineLevel="1" x14ac:dyDescent="0.2">
      <c r="B913" s="42" t="s">
        <v>54</v>
      </c>
      <c r="C913" s="191"/>
      <c r="D913" s="9"/>
      <c r="E913" s="191"/>
      <c r="F913" s="9"/>
      <c r="G913" s="191"/>
      <c r="H913" s="9"/>
      <c r="I913" s="191"/>
      <c r="J913" s="9"/>
      <c r="K913" s="191"/>
      <c r="L913" s="9"/>
      <c r="M913" s="191"/>
      <c r="N913" s="9"/>
      <c r="O913" s="191"/>
      <c r="P913" s="9"/>
      <c r="Q913" s="191"/>
      <c r="R913" s="9"/>
      <c r="S913" s="191"/>
      <c r="T913" s="9"/>
      <c r="U913" s="191"/>
      <c r="V913" s="9"/>
      <c r="W913" s="191"/>
      <c r="X913" s="9" t="str">
        <f t="shared" si="3831"/>
        <v>NA</v>
      </c>
      <c r="Y913" s="191"/>
      <c r="Z913" s="191"/>
      <c r="AA913" s="191"/>
      <c r="AB913" s="191"/>
      <c r="AC913" s="191"/>
      <c r="AD913" s="9"/>
      <c r="AE913" s="191"/>
      <c r="AF913" s="9"/>
      <c r="AG913" s="191"/>
      <c r="AH913" s="9"/>
      <c r="AI913" s="191"/>
      <c r="AJ913" s="9"/>
      <c r="AK913" s="191"/>
      <c r="AL913" s="9"/>
      <c r="AM913" s="191"/>
      <c r="AN913" s="9"/>
      <c r="AO913" s="191"/>
      <c r="AP913" s="9"/>
      <c r="AQ913" s="191"/>
      <c r="AR913" s="9"/>
      <c r="AS913" s="191"/>
      <c r="AT913" s="9"/>
      <c r="AU913" s="191"/>
      <c r="AV913" s="9"/>
      <c r="AW913" s="191"/>
      <c r="AX913" s="9"/>
      <c r="AY913" s="297"/>
      <c r="AZ913" s="178"/>
      <c r="BA913" s="9"/>
      <c r="BB913" s="191"/>
      <c r="BC913" s="9"/>
      <c r="BD913" s="980"/>
      <c r="BE913" s="9"/>
      <c r="BF913" s="191"/>
      <c r="BG913" s="9"/>
      <c r="BH913" s="191"/>
      <c r="BI913" s="9"/>
      <c r="BJ913" s="191"/>
      <c r="BK913" s="9"/>
      <c r="BL913" s="191"/>
      <c r="BM913" s="9"/>
      <c r="BN913" s="191"/>
      <c r="BO913" s="9"/>
      <c r="BP913" s="191"/>
      <c r="BQ913" s="9"/>
      <c r="BR913" s="191"/>
      <c r="BS913" s="9"/>
      <c r="BT913" s="191"/>
      <c r="BU913" s="9"/>
      <c r="BV913" s="180"/>
      <c r="BW913" s="180"/>
      <c r="BX913" s="180"/>
      <c r="BY913"/>
      <c r="BZ913"/>
      <c r="CA913"/>
      <c r="CB913"/>
      <c r="CC913"/>
      <c r="CD913"/>
    </row>
    <row r="914" spans="1:82" s="2" customFormat="1" ht="12.75" hidden="1" customHeight="1" outlineLevel="1" x14ac:dyDescent="0.2">
      <c r="B914" s="42" t="s">
        <v>500</v>
      </c>
      <c r="C914" s="193"/>
      <c r="D914" s="9"/>
      <c r="E914" s="193"/>
      <c r="F914" s="9"/>
      <c r="G914" s="193"/>
      <c r="H914" s="9"/>
      <c r="I914" s="193"/>
      <c r="J914" s="9"/>
      <c r="K914" s="193"/>
      <c r="L914" s="9"/>
      <c r="M914" s="193"/>
      <c r="N914" s="9"/>
      <c r="O914" s="193"/>
      <c r="P914" s="9"/>
      <c r="Q914" s="193"/>
      <c r="R914" s="9"/>
      <c r="S914" s="193"/>
      <c r="T914" s="9"/>
      <c r="U914" s="193"/>
      <c r="V914" s="9"/>
      <c r="W914" s="193"/>
      <c r="X914" s="9" t="str">
        <f t="shared" si="3831"/>
        <v>NA</v>
      </c>
      <c r="Y914" s="193"/>
      <c r="Z914" s="193"/>
      <c r="AA914" s="193"/>
      <c r="AB914" s="193"/>
      <c r="AC914" s="193"/>
      <c r="AD914" s="9"/>
      <c r="AE914" s="193"/>
      <c r="AF914" s="9"/>
      <c r="AG914" s="193"/>
      <c r="AH914" s="9"/>
      <c r="AI914" s="193"/>
      <c r="AJ914" s="9"/>
      <c r="AK914" s="193"/>
      <c r="AL914" s="9"/>
      <c r="AM914" s="193"/>
      <c r="AN914" s="9"/>
      <c r="AO914" s="193"/>
      <c r="AP914" s="9"/>
      <c r="AQ914" s="193"/>
      <c r="AR914" s="9"/>
      <c r="AS914" s="193"/>
      <c r="AT914" s="9"/>
      <c r="AU914" s="193"/>
      <c r="AV914" s="9"/>
      <c r="AW914" s="193"/>
      <c r="AX914" s="9"/>
      <c r="AY914" s="297"/>
      <c r="AZ914" s="178"/>
      <c r="BA914" s="9"/>
      <c r="BB914" s="191"/>
      <c r="BC914" s="9"/>
      <c r="BD914" s="980"/>
      <c r="BE914" s="9"/>
      <c r="BF914" s="191"/>
      <c r="BG914" s="9"/>
      <c r="BH914" s="191"/>
      <c r="BI914" s="9"/>
      <c r="BJ914" s="191"/>
      <c r="BK914" s="9"/>
      <c r="BL914" s="191"/>
      <c r="BM914" s="9"/>
      <c r="BN914" s="193"/>
      <c r="BO914" s="9"/>
      <c r="BP914" s="193"/>
      <c r="BQ914" s="9"/>
      <c r="BR914" s="193"/>
      <c r="BS914" s="9"/>
      <c r="BT914" s="193"/>
      <c r="BU914" s="9"/>
      <c r="BV914" s="180"/>
      <c r="BW914" s="180"/>
      <c r="BX914" s="180"/>
      <c r="BY914"/>
      <c r="BZ914"/>
      <c r="CA914"/>
      <c r="CB914"/>
      <c r="CC914"/>
      <c r="CD914"/>
    </row>
    <row r="915" spans="1:82" s="2" customFormat="1" ht="12.75" hidden="1" customHeight="1" outlineLevel="1" x14ac:dyDescent="0.2">
      <c r="B915" s="42" t="s">
        <v>501</v>
      </c>
      <c r="C915" s="191"/>
      <c r="D915" s="9"/>
      <c r="E915" s="191"/>
      <c r="F915" s="9"/>
      <c r="G915" s="191"/>
      <c r="H915" s="9"/>
      <c r="I915" s="191"/>
      <c r="J915" s="9"/>
      <c r="K915" s="191"/>
      <c r="L915" s="9"/>
      <c r="M915" s="191"/>
      <c r="N915" s="9"/>
      <c r="O915" s="191"/>
      <c r="P915" s="9"/>
      <c r="Q915" s="191"/>
      <c r="R915" s="9"/>
      <c r="S915" s="191"/>
      <c r="T915" s="9"/>
      <c r="U915" s="191"/>
      <c r="V915" s="9"/>
      <c r="W915" s="191"/>
      <c r="X915" s="9" t="str">
        <f t="shared" si="3831"/>
        <v>NA</v>
      </c>
      <c r="Y915" s="191"/>
      <c r="Z915" s="191"/>
      <c r="AA915" s="191"/>
      <c r="AB915" s="191"/>
      <c r="AC915" s="191"/>
      <c r="AD915" s="9"/>
      <c r="AE915" s="191"/>
      <c r="AF915" s="9"/>
      <c r="AG915" s="191"/>
      <c r="AH915" s="9"/>
      <c r="AI915" s="191"/>
      <c r="AJ915" s="9"/>
      <c r="AK915" s="191"/>
      <c r="AL915" s="9"/>
      <c r="AM915" s="191"/>
      <c r="AN915" s="9"/>
      <c r="AO915" s="191"/>
      <c r="AP915" s="9"/>
      <c r="AQ915" s="191"/>
      <c r="AR915" s="9"/>
      <c r="AS915" s="191"/>
      <c r="AT915" s="9"/>
      <c r="AU915" s="191"/>
      <c r="AV915" s="9"/>
      <c r="AW915" s="191"/>
      <c r="AX915" s="9"/>
      <c r="AY915" s="297"/>
      <c r="AZ915" s="178"/>
      <c r="BA915" s="9"/>
      <c r="BB915" s="191"/>
      <c r="BC915" s="9"/>
      <c r="BD915" s="980"/>
      <c r="BE915" s="9"/>
      <c r="BF915" s="191"/>
      <c r="BG915" s="9"/>
      <c r="BH915" s="191"/>
      <c r="BI915" s="9"/>
      <c r="BJ915" s="191"/>
      <c r="BK915" s="9"/>
      <c r="BL915" s="191"/>
      <c r="BM915" s="9"/>
      <c r="BN915" s="191"/>
      <c r="BO915" s="9"/>
      <c r="BP915" s="191"/>
      <c r="BQ915" s="9"/>
      <c r="BR915" s="191"/>
      <c r="BS915" s="9"/>
      <c r="BT915" s="191"/>
      <c r="BU915" s="9"/>
      <c r="BV915" s="180"/>
      <c r="BW915" s="180"/>
      <c r="BX915" s="180"/>
      <c r="BY915"/>
      <c r="BZ915"/>
      <c r="CA915"/>
      <c r="CB915"/>
      <c r="CC915"/>
      <c r="CD915"/>
    </row>
    <row r="916" spans="1:82" s="2" customFormat="1" ht="12.75" hidden="1" customHeight="1" outlineLevel="1" x14ac:dyDescent="0.2">
      <c r="B916" s="80" t="s">
        <v>502</v>
      </c>
      <c r="C916" s="191"/>
      <c r="D916" s="9"/>
      <c r="E916" s="191"/>
      <c r="F916" s="9"/>
      <c r="G916" s="191"/>
      <c r="H916" s="9"/>
      <c r="I916" s="191"/>
      <c r="J916" s="9"/>
      <c r="K916" s="191"/>
      <c r="L916" s="9"/>
      <c r="M916" s="191"/>
      <c r="N916" s="9"/>
      <c r="O916" s="191"/>
      <c r="P916" s="9"/>
      <c r="Q916" s="191"/>
      <c r="R916" s="9"/>
      <c r="S916" s="191"/>
      <c r="T916" s="9"/>
      <c r="U916" s="191"/>
      <c r="V916" s="9"/>
      <c r="W916" s="191"/>
      <c r="X916" s="9" t="str">
        <f t="shared" si="3831"/>
        <v>NA</v>
      </c>
      <c r="Y916" s="191"/>
      <c r="Z916" s="191"/>
      <c r="AA916" s="191"/>
      <c r="AB916" s="191"/>
      <c r="AC916" s="191"/>
      <c r="AD916" s="9"/>
      <c r="AE916" s="191"/>
      <c r="AF916" s="9"/>
      <c r="AG916" s="191"/>
      <c r="AH916" s="9"/>
      <c r="AI916" s="191"/>
      <c r="AJ916" s="9"/>
      <c r="AK916" s="191"/>
      <c r="AL916" s="9"/>
      <c r="AM916" s="191"/>
      <c r="AN916" s="9"/>
      <c r="AO916" s="191"/>
      <c r="AP916" s="9"/>
      <c r="AQ916" s="191"/>
      <c r="AR916" s="9"/>
      <c r="AS916" s="191"/>
      <c r="AT916" s="9"/>
      <c r="AU916" s="191"/>
      <c r="AV916" s="9"/>
      <c r="AW916" s="191"/>
      <c r="AX916" s="9"/>
      <c r="AY916" s="297"/>
      <c r="AZ916" s="178"/>
      <c r="BA916" s="9"/>
      <c r="BB916" s="191"/>
      <c r="BC916" s="9"/>
      <c r="BD916" s="980"/>
      <c r="BE916" s="9"/>
      <c r="BF916" s="191"/>
      <c r="BG916" s="9"/>
      <c r="BH916" s="191"/>
      <c r="BI916" s="9"/>
      <c r="BJ916" s="191"/>
      <c r="BK916" s="9"/>
      <c r="BL916" s="191"/>
      <c r="BM916" s="9"/>
      <c r="BN916" s="191"/>
      <c r="BO916" s="9"/>
      <c r="BP916" s="191"/>
      <c r="BQ916" s="9"/>
      <c r="BR916" s="191"/>
      <c r="BS916" s="9"/>
      <c r="BT916" s="191"/>
      <c r="BU916" s="9"/>
      <c r="BV916" s="180"/>
      <c r="BW916" s="180"/>
      <c r="BX916" s="180"/>
      <c r="BY916"/>
      <c r="BZ916"/>
      <c r="CA916"/>
      <c r="CB916"/>
      <c r="CC916"/>
      <c r="CD916"/>
    </row>
    <row r="917" spans="1:82" s="2" customFormat="1" ht="12.75" customHeight="1" collapsed="1" x14ac:dyDescent="0.2">
      <c r="B917" s="103"/>
      <c r="C917" s="179"/>
      <c r="D917" s="9"/>
      <c r="E917" s="179"/>
      <c r="F917" s="9"/>
      <c r="G917" s="179"/>
      <c r="H917" s="9"/>
      <c r="I917" s="179"/>
      <c r="J917" s="9"/>
      <c r="K917" s="179"/>
      <c r="L917" s="9"/>
      <c r="M917" s="179"/>
      <c r="N917" s="9"/>
      <c r="O917" s="179"/>
      <c r="P917" s="9"/>
      <c r="Q917" s="179"/>
      <c r="R917" s="9"/>
      <c r="S917" s="179"/>
      <c r="T917" s="9"/>
      <c r="U917" s="179"/>
      <c r="V917" s="9"/>
      <c r="W917" s="179"/>
      <c r="X917" s="9"/>
      <c r="Y917" s="179"/>
      <c r="Z917" s="9"/>
      <c r="AA917" s="179"/>
      <c r="AB917" s="9"/>
      <c r="AC917" s="179"/>
      <c r="AD917" s="9"/>
      <c r="AE917" s="179"/>
      <c r="AF917" s="9"/>
      <c r="AG917" s="179"/>
      <c r="AH917" s="9"/>
      <c r="AI917" s="179"/>
      <c r="AJ917" s="9"/>
      <c r="AK917" s="179"/>
      <c r="AL917" s="9"/>
      <c r="AM917" s="179"/>
      <c r="AN917" s="9"/>
      <c r="AO917" s="179"/>
      <c r="AP917" s="9"/>
      <c r="AQ917" s="179"/>
      <c r="AR917" s="9"/>
      <c r="AS917" s="179"/>
      <c r="AT917" s="9"/>
      <c r="AU917" s="179"/>
      <c r="AV917" s="9"/>
      <c r="AW917" s="179"/>
      <c r="AX917" s="9"/>
      <c r="AY917" s="297"/>
      <c r="AZ917" s="178"/>
      <c r="BA917" s="9"/>
      <c r="BB917" s="179"/>
      <c r="BC917" s="9"/>
      <c r="BD917" s="976"/>
      <c r="BE917" s="9"/>
      <c r="BF917" s="179"/>
      <c r="BG917" s="9"/>
      <c r="BH917" s="179"/>
      <c r="BI917" s="9"/>
      <c r="BJ917" s="179"/>
      <c r="BK917" s="9"/>
      <c r="BL917" s="179"/>
      <c r="BM917" s="9"/>
      <c r="BN917" s="179"/>
      <c r="BO917" s="9"/>
      <c r="BP917" s="179"/>
      <c r="BQ917" s="9"/>
      <c r="BR917" s="179"/>
      <c r="BS917" s="9"/>
      <c r="BT917" s="179"/>
      <c r="BU917" s="9"/>
      <c r="BV917" s="180"/>
      <c r="BW917" s="180"/>
      <c r="BX917" s="180"/>
      <c r="BY917"/>
      <c r="BZ917"/>
      <c r="CA917"/>
      <c r="CB917"/>
      <c r="CC917"/>
      <c r="CD917"/>
    </row>
    <row r="918" spans="1:82" s="2" customFormat="1" ht="12.75" customHeight="1" x14ac:dyDescent="0.2">
      <c r="B918" s="103" t="s">
        <v>376</v>
      </c>
      <c r="C918" s="179"/>
      <c r="D918" s="9"/>
      <c r="E918" s="179"/>
      <c r="F918" s="9"/>
      <c r="G918" s="179"/>
      <c r="H918" s="9"/>
      <c r="I918" s="179"/>
      <c r="J918" s="9"/>
      <c r="K918" s="179"/>
      <c r="L918" s="9"/>
      <c r="M918" s="179"/>
      <c r="N918" s="9"/>
      <c r="O918" s="179"/>
      <c r="P918" s="9"/>
      <c r="Q918" s="179"/>
      <c r="R918" s="9"/>
      <c r="S918" s="179"/>
      <c r="T918" s="9"/>
      <c r="U918" s="179"/>
      <c r="V918" s="9"/>
      <c r="W918" s="179"/>
      <c r="X918" s="9"/>
      <c r="Y918" s="179"/>
      <c r="Z918" s="9"/>
      <c r="AA918" s="179"/>
      <c r="AB918" s="9"/>
      <c r="AC918" s="179"/>
      <c r="AD918" s="9"/>
      <c r="AE918" s="179"/>
      <c r="AF918" s="9"/>
      <c r="AG918" s="179"/>
      <c r="AH918" s="9"/>
      <c r="AI918" s="179"/>
      <c r="AJ918" s="9"/>
      <c r="AK918" s="179"/>
      <c r="AL918" s="9"/>
      <c r="AM918" s="179"/>
      <c r="AN918" s="9"/>
      <c r="AO918" s="179"/>
      <c r="AP918" s="9"/>
      <c r="AQ918" s="179"/>
      <c r="AR918" s="9"/>
      <c r="AS918" s="179"/>
      <c r="AT918" s="9"/>
      <c r="AU918" s="179"/>
      <c r="AV918" s="9"/>
      <c r="AW918" s="179"/>
      <c r="AX918" s="9"/>
      <c r="AY918" s="297"/>
      <c r="AZ918" s="178"/>
      <c r="BA918" s="9"/>
      <c r="BB918" s="179"/>
      <c r="BC918" s="9"/>
      <c r="BD918" s="976"/>
      <c r="BE918" s="9"/>
      <c r="BF918" s="179"/>
      <c r="BG918" s="9"/>
      <c r="BH918" s="179"/>
      <c r="BI918" s="9"/>
      <c r="BJ918" s="179"/>
      <c r="BK918" s="9"/>
      <c r="BL918" s="179"/>
      <c r="BM918" s="9"/>
      <c r="BN918" s="179"/>
      <c r="BO918" s="9"/>
      <c r="BP918" s="179"/>
      <c r="BQ918" s="9"/>
      <c r="BR918" s="179"/>
      <c r="BS918" s="9"/>
      <c r="BT918" s="179"/>
      <c r="BU918" s="9"/>
      <c r="BV918" s="180"/>
      <c r="BW918" s="180"/>
      <c r="BX918" s="180"/>
      <c r="BY918"/>
      <c r="BZ918"/>
      <c r="CA918"/>
      <c r="CB918"/>
      <c r="CC918"/>
      <c r="CD918"/>
    </row>
    <row r="919" spans="1:82" s="2" customFormat="1" ht="12.75" customHeight="1" x14ac:dyDescent="0.2">
      <c r="A919" s="2" t="s">
        <v>253</v>
      </c>
      <c r="B919" s="7" t="s">
        <v>254</v>
      </c>
      <c r="C919" s="179">
        <f>+C874+C889</f>
        <v>11893.1</v>
      </c>
      <c r="D919" s="9" t="str">
        <f>IF(ISERROR(C919/#REF!),"NA",IF(OR(C919/#REF!&gt;2,C919/#REF!&lt;0.5),"NM",C919/#REF!*100-100))</f>
        <v>NA</v>
      </c>
      <c r="E919" s="179">
        <f>+E874+E889</f>
        <v>11882.5</v>
      </c>
      <c r="F919" s="9" t="str">
        <f>IF(ISERROR(E919/#REF!),"NA",IF(OR(E919/#REF!&gt;2,E919/#REF!&lt;0.5),"NM",E919/#REF!*100-100))</f>
        <v>NA</v>
      </c>
      <c r="G919" s="179">
        <f>+G874+G889</f>
        <v>11889.400000000001</v>
      </c>
      <c r="H919" s="9" t="str">
        <f>IF(ISERROR(G919/#REF!),"NA",IF(OR(G919/#REF!&gt;2,G919/#REF!&lt;0.5),"NM",G919/#REF!*100-100))</f>
        <v>NA</v>
      </c>
      <c r="I919" s="179">
        <f>+I874+I889</f>
        <v>12102.4</v>
      </c>
      <c r="J919" s="9" t="str">
        <f>IF(ISERROR(I919/#REF!),"NA",IF(OR(I919/#REF!&gt;2,I919/#REF!&lt;0.5),"NM",I919/#REF!*100-100))</f>
        <v>NA</v>
      </c>
      <c r="K919" s="179">
        <f>+K874+K889</f>
        <v>12142.1</v>
      </c>
      <c r="L919" s="9">
        <f t="shared" ref="L919:L928" si="3832">IF(ISERROR(K919/C919),"NA",IF(OR(K919/C919&gt;2,K919/C919&lt;0.5),"NM",K919/C919*100-100))</f>
        <v>2.0936509404612735</v>
      </c>
      <c r="M919" s="179">
        <f>+M874+M889</f>
        <v>12331.8</v>
      </c>
      <c r="N919" s="9">
        <f t="shared" ref="N919:Z928" si="3833">IF(ISERROR(M919/E919),"NA",IF(OR(M919/E919&gt;2,M919/E919&lt;0.5),"NM",M919/E919*100-100))</f>
        <v>3.7811908268461991</v>
      </c>
      <c r="O919" s="179">
        <f>+O874+O889</f>
        <v>12465.5</v>
      </c>
      <c r="P919" s="9">
        <f t="shared" si="3833"/>
        <v>4.8454926236815936</v>
      </c>
      <c r="Q919" s="179">
        <f>+Q874+Q889</f>
        <v>12664.8</v>
      </c>
      <c r="R919" s="9">
        <f t="shared" si="3833"/>
        <v>4.6470121628767771</v>
      </c>
      <c r="S919" s="179">
        <f>+S874+S889</f>
        <v>12909.2</v>
      </c>
      <c r="T919" s="9">
        <f t="shared" si="3833"/>
        <v>6.3176880440780394</v>
      </c>
      <c r="U919" s="179">
        <f>+U874+U889</f>
        <v>13335.9</v>
      </c>
      <c r="V919" s="9">
        <f t="shared" si="3833"/>
        <v>8.1423636452099544</v>
      </c>
      <c r="W919" s="179">
        <f>+W874+W889</f>
        <v>13430.8</v>
      </c>
      <c r="X919" s="9">
        <f t="shared" si="3833"/>
        <v>7.7437728129637691</v>
      </c>
      <c r="Y919" s="179">
        <f>+Y874+Y889</f>
        <v>13484.900000000001</v>
      </c>
      <c r="Z919" s="9">
        <f t="shared" si="3833"/>
        <v>6.4754279578043423</v>
      </c>
      <c r="AA919" s="179">
        <f>+AA874+AA889</f>
        <v>13666.800000000001</v>
      </c>
      <c r="AB919" s="9">
        <f t="shared" ref="AB919:AB928" si="3834">IF(ISERROR(AA919/S919),"NA",IF(OR(AA919/S919&gt;2,AA919/S919&lt;0.5),"NM",AA919/S919*100-100))</f>
        <v>5.8686827998636488</v>
      </c>
      <c r="AC919" s="179">
        <f>+AC874+AC889</f>
        <v>13789.2</v>
      </c>
      <c r="AD919" s="9">
        <f t="shared" ref="AD919:AD928" si="3835">IF(ISERROR(AC919/U919),"NA",IF(OR(AC919/U919&gt;2,AC919/U919&lt;0.5),"NM",AC919/U919*100-100))</f>
        <v>3.3990956740827443</v>
      </c>
      <c r="AE919" s="179">
        <f>+AE874+AE889</f>
        <v>13981</v>
      </c>
      <c r="AF919" s="9">
        <f t="shared" ref="AF919:AF928" si="3836">IF(ISERROR(AE919/W919),"NA",IF(OR(AE919/W919&gt;2,AE919/W919&lt;0.5),"NM",AE919/W919*100-100))</f>
        <v>4.0965541888793098</v>
      </c>
      <c r="AG919" s="179">
        <f>+AG874+AG889</f>
        <v>14028.2</v>
      </c>
      <c r="AH919" s="9">
        <f t="shared" ref="AH919:AH928" si="3837">IF(ISERROR(AG919/Y919),"NA",IF(OR(AG919/Y919&gt;2,AG919/Y919&lt;0.5),"NM",AG919/Y919*100-100))</f>
        <v>4.0289509006369997</v>
      </c>
      <c r="AI919" s="179">
        <f>+AI874+AI889</f>
        <v>14197.400000000001</v>
      </c>
      <c r="AJ919" s="9">
        <f t="shared" ref="AJ919:AJ928" si="3838">IF(ISERROR(AI919/AA919),"NA",IF(OR(AI919/AA919&gt;2,AI919/AA919&lt;0.5),"NM",AI919/AA919*100-100))</f>
        <v>3.8824011473058988</v>
      </c>
      <c r="AK919" s="179">
        <f>+AK874+AK889</f>
        <v>14411</v>
      </c>
      <c r="AL919" s="9">
        <f t="shared" ref="AL919:AL928" si="3839">IF(ISERROR(AK919/AC919),"NA",IF(OR(AK919/AC919&gt;2,AK919/AC919&lt;0.5),"NM",AK919/AC919*100-100))</f>
        <v>4.5093261392974142</v>
      </c>
      <c r="AM919" s="179">
        <f>+AM874+AM889</f>
        <v>15124.8</v>
      </c>
      <c r="AN919" s="9">
        <f t="shared" ref="AN919:AN928" si="3840">IF(ISERROR(AM919/AE919),"NA",IF(OR(AM919/AE919&gt;2,AM919/AE919&lt;0.5),"NM",AM919/AE919*100-100))</f>
        <v>8.1811029253987471</v>
      </c>
      <c r="AO919" s="179">
        <f>+AO874+AO889</f>
        <v>15862.199999999999</v>
      </c>
      <c r="AP919" s="9">
        <f t="shared" ref="AP919:AP928" si="3841">IF(ISERROR(AO919/AG919),"NA",IF(OR(AO919/AG919&gt;2,AO919/AG919&lt;0.5),"NM",AO919/AG919*100-100))</f>
        <v>13.073665901541176</v>
      </c>
      <c r="AQ919" s="179">
        <f t="shared" ref="AQ919:AW919" si="3842">+AQ874+AQ889</f>
        <v>16020.220347073107</v>
      </c>
      <c r="AR919" s="9">
        <f t="shared" ref="AR919:AR928" si="3843">IF(ISERROR(AQ919/AI919),"NA",IF(OR(AQ919/AI919&gt;2,AQ919/AI919&lt;0.5),"NM",AQ919/AI919*100-100))</f>
        <v>12.839113831216324</v>
      </c>
      <c r="AS919" s="179">
        <f t="shared" si="3842"/>
        <v>16201.161564202181</v>
      </c>
      <c r="AT919" s="9">
        <f t="shared" ref="AT919:AT928" si="3844">IF(ISERROR(AS919/AK919),"NA",IF(OR(AS919/AK919&gt;2,AS919/AK919&lt;0.5),"NM",AS919/AK919*100-100))</f>
        <v>12.422188357519829</v>
      </c>
      <c r="AU919" s="179">
        <f t="shared" si="3842"/>
        <v>16391.976340336554</v>
      </c>
      <c r="AV919" s="9">
        <f t="shared" ref="AV919:AV928" si="3845">IF(ISERROR(AU919/AM919),"NA",IF(OR(AU919/AM919&gt;2,AU919/AM919&lt;0.5),"NM",AU919/AM919*100-100))</f>
        <v>8.3781361759266701</v>
      </c>
      <c r="AW919" s="179">
        <f t="shared" si="3842"/>
        <v>16622.596607549884</v>
      </c>
      <c r="AX919" s="9">
        <f t="shared" ref="AX919:AX928" si="3846">IF(ISERROR(AW919/AO919),"NA",IF(OR(AW919/AO919&gt;2,AW919/AO919&lt;0.5),"NM",AW919/AO919*100-100))</f>
        <v>4.7937650991028136</v>
      </c>
      <c r="AY919" s="297"/>
      <c r="AZ919" s="178"/>
      <c r="BA919" s="9" t="str">
        <f>IF(ISERROR(#REF!/#REF!),"NA",IF(OR(#REF!/#REF!&gt;2,#REF!/#REF!&lt;0.5),"NM",#REF!/#REF!*100-100))</f>
        <v>NA</v>
      </c>
      <c r="BB919" s="179">
        <f>+BB874+BB889</f>
        <v>13335.9</v>
      </c>
      <c r="BC919" s="9" t="str">
        <f>IF(ISERROR(BB919/#REF!),"NA",IF(OR(BB919/#REF!&gt;2,BB919/#REF!&lt;0.5),"NM",BB919/#REF!*100-100))</f>
        <v>NA</v>
      </c>
      <c r="BD919" s="976">
        <f>+BD874+BD889</f>
        <v>13430.8</v>
      </c>
      <c r="BE919" s="9">
        <f t="shared" ref="BE919:BS925" si="3847">IF(ISERROR(BD919/BB919),"NA",IF(OR(BD919/BB919&gt;2,BD919/BB919&lt;0.5),"NM",BD919/BB919*100-100))</f>
        <v>0.71161301449471637</v>
      </c>
      <c r="BF919" s="179">
        <f>+BF874+BF889</f>
        <v>13484.900000000001</v>
      </c>
      <c r="BG919" s="9">
        <f t="shared" si="3847"/>
        <v>0.40280549185456493</v>
      </c>
      <c r="BH919" s="179">
        <f>+BH874+BH889</f>
        <v>14028.2</v>
      </c>
      <c r="BI919" s="9">
        <f t="shared" si="3847"/>
        <v>4.0289509006369997</v>
      </c>
      <c r="BJ919" s="179">
        <f>+BJ874+BJ889</f>
        <v>15862.199999999999</v>
      </c>
      <c r="BK919" s="9">
        <f t="shared" si="3847"/>
        <v>13.073665901541176</v>
      </c>
      <c r="BL919" s="179">
        <f>+BL874+BL889</f>
        <v>16622.596607549884</v>
      </c>
      <c r="BM919" s="9">
        <f t="shared" si="3847"/>
        <v>4.7937650991028136</v>
      </c>
      <c r="BN919" s="179">
        <f>+BN874+BN889</f>
        <v>17420.465494481727</v>
      </c>
      <c r="BO919" s="9">
        <f t="shared" si="3847"/>
        <v>4.7999052480733155</v>
      </c>
      <c r="BP919" s="179">
        <f>+BP874+BP889</f>
        <v>18232.681834934952</v>
      </c>
      <c r="BQ919" s="9">
        <f t="shared" si="3847"/>
        <v>4.6624261602567998</v>
      </c>
      <c r="BR919" s="179">
        <f>+BR874+BR889</f>
        <v>19056.761268885632</v>
      </c>
      <c r="BS919" s="9">
        <f t="shared" si="3847"/>
        <v>4.519792762311539</v>
      </c>
      <c r="BT919" s="179">
        <f>+BT874+BT889</f>
        <v>19900.946480053222</v>
      </c>
      <c r="BU919" s="9">
        <f t="shared" ref="BU919:BU925" si="3848">IF(ISERROR(BT919/BR919),"NA",IF(OR(BT919/BR919&gt;2,BT919/BR919&lt;0.5),"NM",BT919/BR919*100-100))</f>
        <v>4.4298461803470701</v>
      </c>
      <c r="BV919" s="43">
        <f t="shared" ref="BV919:BV928" si="3849">IF(ISERROR(((BT919/BJ919)^0.2-1)*100),"NA",IF((((BT919/BJ919)^0.2-1)*100)&gt;100,"NM",IF((((BT919/BJ919)^0.2-1)*100)&lt;-50,"NM",((BT919/BJ919)^0.2-1)*100)))</f>
        <v>4.6410435480091605</v>
      </c>
      <c r="BW919" s="180"/>
      <c r="BX919" s="180"/>
      <c r="BY919"/>
      <c r="BZ919"/>
      <c r="CA919"/>
      <c r="CB919"/>
      <c r="CC919"/>
      <c r="CD919"/>
    </row>
    <row r="920" spans="1:82" s="2" customFormat="1" ht="12.75" customHeight="1" x14ac:dyDescent="0.2">
      <c r="A920" s="7" t="s">
        <v>211</v>
      </c>
      <c r="B920" s="17" t="s">
        <v>377</v>
      </c>
      <c r="C920" s="182">
        <f>C874/(C874+C889)*100</f>
        <v>23.463184535571045</v>
      </c>
      <c r="D920" s="9" t="str">
        <f>IF(ISERROR(C920/#REF!),"NA",IF(OR(C920/#REF!&gt;2,C920/#REF!&lt;0.5),"NM",C920/#REF!*100-100))</f>
        <v>NA</v>
      </c>
      <c r="E920" s="182">
        <f>E874/(E874+E889)*100</f>
        <v>21.700820534399327</v>
      </c>
      <c r="F920" s="9" t="str">
        <f>IF(ISERROR(E920/#REF!),"NA",IF(OR(E920/#REF!&gt;2,E920/#REF!&lt;0.5),"NM",E920/#REF!*100-100))</f>
        <v>NA</v>
      </c>
      <c r="G920" s="182">
        <f>G874/(G874+G889)*100</f>
        <v>21.8118660319276</v>
      </c>
      <c r="H920" s="9" t="str">
        <f>IF(ISERROR(G920/#REF!),"NA",IF(OR(G920/#REF!&gt;2,G920/#REF!&lt;0.5),"NM",G920/#REF!*100-100))</f>
        <v>NA</v>
      </c>
      <c r="I920" s="182">
        <f>I874/(I874+I889)*100</f>
        <v>21.494910100475938</v>
      </c>
      <c r="J920" s="9" t="str">
        <f>IF(ISERROR(I920/#REF!),"NA",IF(OR(I920/#REF!&gt;2,I920/#REF!&lt;0.5),"NM",I920/#REF!*100-100))</f>
        <v>NA</v>
      </c>
      <c r="K920" s="182">
        <f>K874/(K874+K889)*100</f>
        <v>20.721292033503264</v>
      </c>
      <c r="L920" s="9">
        <f t="shared" si="3832"/>
        <v>-11.685935035421011</v>
      </c>
      <c r="M920" s="182">
        <f>M874/(M874+M889)*100</f>
        <v>20.511198689566811</v>
      </c>
      <c r="N920" s="9">
        <f t="shared" si="3833"/>
        <v>-5.4819210312659408</v>
      </c>
      <c r="O920" s="182">
        <f>O874/(O874+O889)*100</f>
        <v>20.28959929405158</v>
      </c>
      <c r="P920" s="9">
        <f t="shared" si="3833"/>
        <v>-6.979076139784496</v>
      </c>
      <c r="Q920" s="182">
        <f>Q874/(Q874+Q889)*100</f>
        <v>19.986103215210662</v>
      </c>
      <c r="R920" s="9">
        <f t="shared" si="3833"/>
        <v>-7.019368204902932</v>
      </c>
      <c r="S920" s="182">
        <f>S874/(S874+S889)*100</f>
        <v>19.479131162271869</v>
      </c>
      <c r="T920" s="9">
        <f t="shared" si="3833"/>
        <v>-5.9946110948246059</v>
      </c>
      <c r="U920" s="182">
        <f>U874/(U874+U889)*100</f>
        <v>24.864463590758781</v>
      </c>
      <c r="V920" s="9">
        <f t="shared" si="3833"/>
        <v>21.223844432877016</v>
      </c>
      <c r="W920" s="182">
        <f>W874/(W874+W889)*100</f>
        <v>24.466896983053875</v>
      </c>
      <c r="X920" s="9">
        <f t="shared" si="3833"/>
        <v>20.588369580206418</v>
      </c>
      <c r="Y920" s="182">
        <f>Y874/(Y874+Y889)*100</f>
        <v>24.403592166052398</v>
      </c>
      <c r="Z920" s="9">
        <f t="shared" si="3833"/>
        <v>22.102802648791254</v>
      </c>
      <c r="AA920" s="182">
        <f>AA874/(AA874+AA889)*100</f>
        <v>23.920010536482568</v>
      </c>
      <c r="AB920" s="9">
        <f t="shared" si="3834"/>
        <v>22.798138875988514</v>
      </c>
      <c r="AC920" s="182">
        <f>AC874/(AC874+AC889)*100</f>
        <v>23.715661532213613</v>
      </c>
      <c r="AD920" s="9">
        <f t="shared" si="3835"/>
        <v>-4.6202567545922619</v>
      </c>
      <c r="AE920" s="182">
        <f>AE874/(AE874+AE889)*100</f>
        <v>23.447535941635074</v>
      </c>
      <c r="AF920" s="9">
        <f t="shared" si="3836"/>
        <v>-4.1662865631257802</v>
      </c>
      <c r="AG920" s="182">
        <f>AG874/(AG874+AG889)*100</f>
        <v>22.28154716927332</v>
      </c>
      <c r="AH920" s="9">
        <f t="shared" si="3837"/>
        <v>-8.6956255552042734</v>
      </c>
      <c r="AI920" s="182">
        <f>AI874/(AI874+AI889)*100</f>
        <v>22.019524701705944</v>
      </c>
      <c r="AJ920" s="9">
        <f t="shared" si="3838"/>
        <v>-7.9451713947952527</v>
      </c>
      <c r="AK920" s="182">
        <f>AK874/(AK874+AK889)*100</f>
        <v>21.697314551384363</v>
      </c>
      <c r="AL920" s="9">
        <f t="shared" si="3839"/>
        <v>-8.510607971393398</v>
      </c>
      <c r="AM920" s="182">
        <f>AM874/(AM874+AM889)*100</f>
        <v>20.994657780598754</v>
      </c>
      <c r="AN920" s="9">
        <f t="shared" si="3840"/>
        <v>-10.461134027652008</v>
      </c>
      <c r="AO920" s="182">
        <f>AO874/(AO874+AO889)*100</f>
        <v>20.037573602652849</v>
      </c>
      <c r="AP920" s="9">
        <f t="shared" si="3841"/>
        <v>-10.070995292979262</v>
      </c>
      <c r="AQ920" s="182">
        <f t="shared" ref="AQ920:AW920" si="3850">AQ874/(AQ874+AQ889)*100</f>
        <v>19.839926862059006</v>
      </c>
      <c r="AR920" s="9">
        <f t="shared" si="3843"/>
        <v>-9.8984781423464483</v>
      </c>
      <c r="AS920" s="182">
        <f t="shared" si="3850"/>
        <v>19.618346421672261</v>
      </c>
      <c r="AT920" s="9">
        <f t="shared" si="3844"/>
        <v>-9.581684059511673</v>
      </c>
      <c r="AU920" s="182">
        <f t="shared" si="3850"/>
        <v>19.389974302114826</v>
      </c>
      <c r="AV920" s="9">
        <f t="shared" si="3845"/>
        <v>-7.6432942858769621</v>
      </c>
      <c r="AW920" s="182">
        <f t="shared" si="3850"/>
        <v>19.120959709486002</v>
      </c>
      <c r="AX920" s="9">
        <f t="shared" si="3846"/>
        <v>-4.5744754896146418</v>
      </c>
      <c r="AY920" s="298"/>
      <c r="AZ920" s="184"/>
      <c r="BA920" s="9" t="str">
        <f>IF(ISERROR(#REF!/#REF!),"NA",IF(OR(#REF!/#REF!&gt;2,#REF!/#REF!&lt;0.5),"NM",#REF!/#REF!*100-100))</f>
        <v>NA</v>
      </c>
      <c r="BB920" s="182">
        <f>BB874/(BB874+BB889)*100</f>
        <v>24.864463590758781</v>
      </c>
      <c r="BC920" s="9" t="str">
        <f>IF(ISERROR(BB920/#REF!),"NA",IF(OR(BB920/#REF!&gt;2,BB920/#REF!&lt;0.5),"NM",BB920/#REF!*100-100))</f>
        <v>NA</v>
      </c>
      <c r="BD920" s="977">
        <f>BD874/(BD874+BD889)*100</f>
        <v>24.466896983053875</v>
      </c>
      <c r="BE920" s="9">
        <f t="shared" si="3847"/>
        <v>-1.5989349870900327</v>
      </c>
      <c r="BF920" s="182">
        <f>BF874/(BF874+BF889)*100</f>
        <v>24.403592166052398</v>
      </c>
      <c r="BG920" s="9">
        <f t="shared" si="3847"/>
        <v>-0.25873659845514396</v>
      </c>
      <c r="BH920" s="182">
        <f>BH874/(BH874+BH889)*100</f>
        <v>22.28154716927332</v>
      </c>
      <c r="BI920" s="9">
        <f t="shared" si="3847"/>
        <v>-8.6956255552042734</v>
      </c>
      <c r="BJ920" s="182">
        <f>BJ874/(BJ874+BJ889)*100</f>
        <v>20.037573602652849</v>
      </c>
      <c r="BK920" s="9">
        <f t="shared" si="3847"/>
        <v>-10.070995292979262</v>
      </c>
      <c r="BL920" s="182">
        <f>BL874/(BL874+BL889)*100</f>
        <v>19.120959709486002</v>
      </c>
      <c r="BM920" s="9">
        <f t="shared" si="3847"/>
        <v>-4.5744754896146418</v>
      </c>
      <c r="BN920" s="182">
        <f>BN874/(BN874+BN889)*100</f>
        <v>18.245207058369481</v>
      </c>
      <c r="BO920" s="9">
        <f t="shared" si="3847"/>
        <v>-4.5800664005481622</v>
      </c>
      <c r="BP920" s="182">
        <f>BP874/(BP874+BP889)*100</f>
        <v>17.432432753309982</v>
      </c>
      <c r="BQ920" s="9">
        <f t="shared" si="3847"/>
        <v>-4.4547277674585928</v>
      </c>
      <c r="BR920" s="182">
        <f>BR874/(BR874+BR889)*100</f>
        <v>16.678594831270935</v>
      </c>
      <c r="BS920" s="9">
        <f t="shared" si="3847"/>
        <v>-4.3243414886881482</v>
      </c>
      <c r="BT920" s="182">
        <f>BT874/(BT874+BT889)*100</f>
        <v>15.971099682046377</v>
      </c>
      <c r="BU920" s="9">
        <f t="shared" si="3848"/>
        <v>-4.2419349854225459</v>
      </c>
      <c r="BV920" s="43">
        <f t="shared" si="3849"/>
        <v>-4.4352038078441574</v>
      </c>
      <c r="BW920" s="180"/>
      <c r="BX920" s="180"/>
      <c r="BY920"/>
      <c r="BZ920"/>
      <c r="CA920"/>
      <c r="CB920"/>
      <c r="CC920"/>
      <c r="CD920"/>
    </row>
    <row r="921" spans="1:82" s="2" customFormat="1" ht="12.75" customHeight="1" x14ac:dyDescent="0.2">
      <c r="A921" s="7"/>
      <c r="B921" s="7" t="s">
        <v>378</v>
      </c>
      <c r="C921" s="182">
        <f>C860/C889*100</f>
        <v>29.832135873266978</v>
      </c>
      <c r="D921" s="9" t="str">
        <f>IF(ISERROR(C921/#REF!),"NA",IF(OR(C921/#REF!&gt;2,C921/#REF!&lt;0.5),"NM",C921/#REF!*100-100))</f>
        <v>NA</v>
      </c>
      <c r="E921" s="182">
        <f>E860/E889*100</f>
        <v>31.442728318232145</v>
      </c>
      <c r="F921" s="9" t="str">
        <f>IF(ISERROR(E921/#REF!),"NA",IF(OR(E921/#REF!&gt;2,E921/#REF!&lt;0.5),"NM",E921/#REF!*100-100))</f>
        <v>NA</v>
      </c>
      <c r="G921" s="182">
        <f>G860/G889*100</f>
        <v>32.353352481148008</v>
      </c>
      <c r="H921" s="9" t="str">
        <f>IF(ISERROR(G921/#REF!),"NA",IF(OR(G921/#REF!&gt;2,G921/#REF!&lt;0.5),"NM",G921/#REF!*100-100))</f>
        <v>NA</v>
      </c>
      <c r="I921" s="182">
        <f>I860/I889*100</f>
        <v>32.386064624776338</v>
      </c>
      <c r="J921" s="9" t="str">
        <f>IF(ISERROR(I921/#REF!),"NA",IF(OR(I921/#REF!&gt;2,I921/#REF!&lt;0.5),"NM",I921/#REF!*100-100))</f>
        <v>NA</v>
      </c>
      <c r="K921" s="182">
        <f>K860/K889*100</f>
        <v>31.63898151899523</v>
      </c>
      <c r="L921" s="9">
        <f t="shared" si="3832"/>
        <v>6.0567089577632061</v>
      </c>
      <c r="M921" s="182">
        <f>M860/M889*100</f>
        <v>30.898555455806743</v>
      </c>
      <c r="N921" s="9">
        <f t="shared" si="3833"/>
        <v>-1.7306795291993211</v>
      </c>
      <c r="O921" s="182">
        <f>O860/O889*100</f>
        <v>30.045389128750145</v>
      </c>
      <c r="P921" s="9">
        <f t="shared" si="3833"/>
        <v>-7.1336142173911981</v>
      </c>
      <c r="Q921" s="182">
        <f>Q860/Q889*100</f>
        <v>29.535406962974658</v>
      </c>
      <c r="R921" s="9">
        <f t="shared" si="3833"/>
        <v>-8.8021119417542337</v>
      </c>
      <c r="S921" s="182">
        <f>S860/S889*100</f>
        <v>29.061243337886982</v>
      </c>
      <c r="T921" s="9">
        <f t="shared" si="3833"/>
        <v>-8.1473487999626002</v>
      </c>
      <c r="U921" s="182">
        <f>U860/U889*100</f>
        <v>31.560878243512974</v>
      </c>
      <c r="V921" s="9">
        <f t="shared" si="3833"/>
        <v>2.143539650756594</v>
      </c>
      <c r="W921" s="182">
        <f>W860/W889*100</f>
        <v>31.001409603043957</v>
      </c>
      <c r="X921" s="9">
        <f t="shared" si="3833"/>
        <v>3.1819207606101685</v>
      </c>
      <c r="Y921" s="182">
        <f>Y860/Y889*100</f>
        <v>32.137216625302869</v>
      </c>
      <c r="Z921" s="9">
        <f t="shared" si="3833"/>
        <v>8.8091207464647994</v>
      </c>
      <c r="AA921" s="182">
        <f>AA860/AA889*100</f>
        <v>30.961654981390112</v>
      </c>
      <c r="AB921" s="9">
        <f t="shared" si="3834"/>
        <v>6.5393335770516501</v>
      </c>
      <c r="AC921" s="182">
        <f>AC860/AC889*100</f>
        <v>30.171118927654717</v>
      </c>
      <c r="AD921" s="9">
        <f t="shared" si="3835"/>
        <v>-4.4034240908486453</v>
      </c>
      <c r="AE921" s="182">
        <f>AE860/AE889*100</f>
        <v>29.670740367006758</v>
      </c>
      <c r="AF921" s="9">
        <f t="shared" si="3836"/>
        <v>-4.2922862317413575</v>
      </c>
      <c r="AG921" s="182">
        <f>AG860/AG889*100</f>
        <v>31.003898188488876</v>
      </c>
      <c r="AH921" s="9">
        <f t="shared" si="3837"/>
        <v>-3.5264984209045878</v>
      </c>
      <c r="AI921" s="182">
        <f>AI860/AI889*100</f>
        <v>30.988510730544117</v>
      </c>
      <c r="AJ921" s="9">
        <f t="shared" si="3838"/>
        <v>8.6738739160253431E-2</v>
      </c>
      <c r="AK921" s="182">
        <f>AK860/AK889*100</f>
        <v>30.59321883695787</v>
      </c>
      <c r="AL921" s="9">
        <f t="shared" si="3839"/>
        <v>1.3990197390931343</v>
      </c>
      <c r="AM921" s="182">
        <f>AM860/AM889*100</f>
        <v>29.134517214253435</v>
      </c>
      <c r="AN921" s="9">
        <f t="shared" si="3840"/>
        <v>-1.8072456100542382</v>
      </c>
      <c r="AO921" s="182">
        <f>AO860/AO889*100</f>
        <v>27.915135842570837</v>
      </c>
      <c r="AP921" s="9">
        <f t="shared" si="3841"/>
        <v>-9.9624967387643864</v>
      </c>
      <c r="AQ921" s="182">
        <f t="shared" ref="AQ921:AW921" si="3851">AQ860/AQ889*100</f>
        <v>27.8849025134013</v>
      </c>
      <c r="AR921" s="9">
        <f t="shared" si="3843"/>
        <v>-10.01535131562072</v>
      </c>
      <c r="AS921" s="182">
        <f t="shared" si="3851"/>
        <v>27.80985290998731</v>
      </c>
      <c r="AT921" s="9">
        <f t="shared" si="3844"/>
        <v>-9.0979832550608961</v>
      </c>
      <c r="AU921" s="182">
        <f t="shared" si="3851"/>
        <v>27.720000369992583</v>
      </c>
      <c r="AV921" s="9">
        <f t="shared" si="3845"/>
        <v>-4.8551236797870416</v>
      </c>
      <c r="AW921" s="182">
        <f t="shared" si="3851"/>
        <v>27.55399166726648</v>
      </c>
      <c r="AX921" s="9">
        <f t="shared" si="3846"/>
        <v>-1.2937217190740284</v>
      </c>
      <c r="AY921" s="298"/>
      <c r="AZ921" s="184"/>
      <c r="BA921" s="9" t="str">
        <f>IF(ISERROR(#REF!/#REF!),"NA",IF(OR(#REF!/#REF!&gt;2,#REF!/#REF!&lt;0.5),"NM",#REF!/#REF!*100-100))</f>
        <v>NA</v>
      </c>
      <c r="BB921" s="182">
        <f>BB860/BB889*100</f>
        <v>31.560878243512974</v>
      </c>
      <c r="BC921" s="9" t="str">
        <f>IF(ISERROR(BB921/#REF!),"NA",IF(OR(BB921/#REF!&gt;2,BB921/#REF!&lt;0.5),"NM",BB921/#REF!*100-100))</f>
        <v>NA</v>
      </c>
      <c r="BD921" s="977">
        <f>BD860/BD889*100</f>
        <v>31.001409603043957</v>
      </c>
      <c r="BE921" s="9">
        <f t="shared" si="3847"/>
        <v>-1.7726649941498778</v>
      </c>
      <c r="BF921" s="182">
        <f>BF860/BF889*100</f>
        <v>32.137216625302869</v>
      </c>
      <c r="BG921" s="9">
        <f t="shared" si="3847"/>
        <v>3.6637270266168542</v>
      </c>
      <c r="BH921" s="182">
        <f>BH860/BH889*100</f>
        <v>31.003898188488876</v>
      </c>
      <c r="BI921" s="9">
        <f t="shared" si="3847"/>
        <v>-3.5264984209045878</v>
      </c>
      <c r="BJ921" s="182">
        <f>BJ860/BJ889*100</f>
        <v>27.915135842570837</v>
      </c>
      <c r="BK921" s="9">
        <f t="shared" si="3847"/>
        <v>-9.9624967387643864</v>
      </c>
      <c r="BL921" s="182">
        <f>BL860/BL889*100</f>
        <v>27.55399166726648</v>
      </c>
      <c r="BM921" s="9">
        <f t="shared" si="3847"/>
        <v>-1.2937217190740284</v>
      </c>
      <c r="BN921" s="182">
        <f>BN860/BN889*100</f>
        <v>27.293082877127034</v>
      </c>
      <c r="BO921" s="9">
        <f t="shared" si="3847"/>
        <v>-0.94690015621003454</v>
      </c>
      <c r="BP921" s="182">
        <f>BP860/BP889*100</f>
        <v>27.089159181064314</v>
      </c>
      <c r="BQ921" s="9">
        <f t="shared" si="3847"/>
        <v>-0.74716255756368355</v>
      </c>
      <c r="BR921" s="182">
        <f>BR860/BR889*100</f>
        <v>26.940765284551865</v>
      </c>
      <c r="BS921" s="9">
        <f t="shared" si="3847"/>
        <v>-0.54779808971028388</v>
      </c>
      <c r="BT921" s="182">
        <f>BT860/BT889*100</f>
        <v>26.829292311492853</v>
      </c>
      <c r="BU921" s="9">
        <f t="shared" si="3848"/>
        <v>-0.41377062559885758</v>
      </c>
      <c r="BV921" s="43">
        <f t="shared" si="3849"/>
        <v>-0.79035529187935216</v>
      </c>
      <c r="BW921" s="180"/>
      <c r="BX921" s="180"/>
      <c r="BY921"/>
      <c r="BZ921"/>
      <c r="CA921"/>
      <c r="CB921"/>
      <c r="CC921"/>
      <c r="CD921"/>
    </row>
    <row r="922" spans="1:82" s="2" customFormat="1" ht="12.75" customHeight="1" x14ac:dyDescent="0.2">
      <c r="A922" s="7" t="s">
        <v>212</v>
      </c>
      <c r="B922" s="7" t="s">
        <v>379</v>
      </c>
      <c r="C922" s="182">
        <f>C875/(C875+C889)*100</f>
        <v>23.761265034004488</v>
      </c>
      <c r="D922" s="9" t="str">
        <f>IF(ISERROR(C922/#REF!),"NA",IF(OR(C922/#REF!&gt;2,C922/#REF!&lt;0.5),"NM",C922/#REF!*100-100))</f>
        <v>NA</v>
      </c>
      <c r="E922" s="182">
        <f>E875/(E875+E889)*100</f>
        <v>22.839158055366653</v>
      </c>
      <c r="F922" s="9" t="str">
        <f>IF(ISERROR(E922/#REF!),"NA",IF(OR(E922/#REF!&gt;2,E922/#REF!&lt;0.5),"NM",E922/#REF!*100-100))</f>
        <v>NA</v>
      </c>
      <c r="G922" s="182">
        <f>G875/(G875+G889)*100</f>
        <v>22.949216321726659</v>
      </c>
      <c r="H922" s="9" t="str">
        <f>IF(ISERROR(G922/#REF!),"NA",IF(OR(G922/#REF!&gt;2,G922/#REF!&lt;0.5),"NM",G922/#REF!*100-100))</f>
        <v>NA</v>
      </c>
      <c r="I922" s="182">
        <f>I875/(I875+I889)*100</f>
        <v>22.459805761854241</v>
      </c>
      <c r="J922" s="9" t="str">
        <f>IF(ISERROR(I922/#REF!),"NA",IF(OR(I922/#REF!&gt;2,I922/#REF!&lt;0.5),"NM",I922/#REF!*100-100))</f>
        <v>NA</v>
      </c>
      <c r="K922" s="182">
        <f>K875/(K875+K889)*100</f>
        <v>21.681081125060004</v>
      </c>
      <c r="L922" s="9">
        <f t="shared" si="3832"/>
        <v>-8.7545166722712651</v>
      </c>
      <c r="M922" s="182">
        <f>M875/(M875+M889)*100</f>
        <v>21.457645588282428</v>
      </c>
      <c r="N922" s="9">
        <f t="shared" si="3833"/>
        <v>-6.0488765117136296</v>
      </c>
      <c r="O922" s="182">
        <f>O875/(O875+O889)*100</f>
        <v>21.089121491764484</v>
      </c>
      <c r="P922" s="9">
        <f t="shared" si="3833"/>
        <v>-8.1052651379697522</v>
      </c>
      <c r="Q922" s="182">
        <f>Q875/(Q875+Q889)*100</f>
        <v>20.162611874448505</v>
      </c>
      <c r="R922" s="9">
        <f t="shared" si="3833"/>
        <v>-10.228022057551783</v>
      </c>
      <c r="S922" s="182">
        <f>S875/(S875+S889)*100</f>
        <v>19.648433876503507</v>
      </c>
      <c r="T922" s="9">
        <f t="shared" si="3833"/>
        <v>-9.3752116734025321</v>
      </c>
      <c r="U922" s="182">
        <f>U875/(U875+U889)*100</f>
        <v>25.014031805425631</v>
      </c>
      <c r="V922" s="9">
        <f t="shared" si="3833"/>
        <v>16.573981532649</v>
      </c>
      <c r="W922" s="182">
        <f>W875/(W875+W889)*100</f>
        <v>25.692918461222934</v>
      </c>
      <c r="X922" s="9">
        <f t="shared" si="3833"/>
        <v>21.830197958963254</v>
      </c>
      <c r="Y922" s="182">
        <f>Y875/(Y875+Y889)*100</f>
        <v>25.405385628567245</v>
      </c>
      <c r="Z922" s="9">
        <f t="shared" si="3833"/>
        <v>26.002453386323211</v>
      </c>
      <c r="AA922" s="182">
        <f>AA875/(AA875+AA889)*100</f>
        <v>24.596429141224416</v>
      </c>
      <c r="AB922" s="9">
        <f t="shared" si="3834"/>
        <v>25.182644559971507</v>
      </c>
      <c r="AC922" s="182">
        <f>AC875/(AC875+AC889)*100</f>
        <v>23.858676375849612</v>
      </c>
      <c r="AD922" s="9">
        <f t="shared" si="3835"/>
        <v>-4.618829297744071</v>
      </c>
      <c r="AE922" s="182">
        <f>AE875/(AE875+AE889)*100</f>
        <v>23.665385246310862</v>
      </c>
      <c r="AF922" s="9">
        <f t="shared" si="3836"/>
        <v>-7.8914087474030197</v>
      </c>
      <c r="AG922" s="182">
        <f>AG875/(AG875+AG889)*100</f>
        <v>22.565271740674451</v>
      </c>
      <c r="AH922" s="9">
        <f t="shared" si="3837"/>
        <v>-11.179180388819645</v>
      </c>
      <c r="AI922" s="182">
        <f>AI875/(AI875+AI889)*100</f>
        <v>22.344969804094855</v>
      </c>
      <c r="AJ922" s="9">
        <f t="shared" si="3838"/>
        <v>-9.1536024363635846</v>
      </c>
      <c r="AK922" s="182">
        <f>AK875/(AK875+AK889)*100</f>
        <v>21.924859890680139</v>
      </c>
      <c r="AL922" s="9">
        <f t="shared" si="3839"/>
        <v>-8.1052966003048397</v>
      </c>
      <c r="AM922" s="182">
        <f>AM875/(AM875+AM889)*100</f>
        <v>21.300613820174398</v>
      </c>
      <c r="AN922" s="9">
        <f t="shared" si="3840"/>
        <v>-9.9925329823443434</v>
      </c>
      <c r="AO922" s="182">
        <f>AO875/(AO875+AO889)*100</f>
        <v>20.236201160882171</v>
      </c>
      <c r="AP922" s="9">
        <f t="shared" si="3841"/>
        <v>-10.321482526594494</v>
      </c>
      <c r="AQ922" s="182">
        <f t="shared" ref="AQ922:AW922" si="3852">AQ875/(AQ875+AQ889)*100</f>
        <v>20.037086141331621</v>
      </c>
      <c r="AR922" s="9">
        <f t="shared" si="3843"/>
        <v>-10.328425963414375</v>
      </c>
      <c r="AS922" s="182">
        <f t="shared" si="3852"/>
        <v>19.813848021394186</v>
      </c>
      <c r="AT922" s="9">
        <f t="shared" si="3844"/>
        <v>-9.6283938862628986</v>
      </c>
      <c r="AU922" s="182">
        <f t="shared" si="3852"/>
        <v>19.583754577795233</v>
      </c>
      <c r="AV922" s="9">
        <f t="shared" si="3845"/>
        <v>-8.0601397540623054</v>
      </c>
      <c r="AW922" s="182">
        <f t="shared" si="3852"/>
        <v>19.312695609638432</v>
      </c>
      <c r="AX922" s="9">
        <f t="shared" si="3846"/>
        <v>-4.5636310091092298</v>
      </c>
      <c r="AY922" s="298"/>
      <c r="AZ922" s="184"/>
      <c r="BA922" s="9" t="str">
        <f>IF(ISERROR(#REF!/#REF!),"NA",IF(OR(#REF!/#REF!&gt;2,#REF!/#REF!&lt;0.5),"NM",#REF!/#REF!*100-100))</f>
        <v>NA</v>
      </c>
      <c r="BB922" s="182">
        <f>BB875/(BB875+BB889)*100</f>
        <v>25.014031805425631</v>
      </c>
      <c r="BC922" s="9" t="str">
        <f>IF(ISERROR(BB922/#REF!),"NA",IF(OR(BB922/#REF!&gt;2,BB922/#REF!&lt;0.5),"NM",BB922/#REF!*100-100))</f>
        <v>NA</v>
      </c>
      <c r="BD922" s="977">
        <f>BD875/(BD875+BD889)*100</f>
        <v>25.692918461222934</v>
      </c>
      <c r="BE922" s="9">
        <f t="shared" si="3847"/>
        <v>2.7140233173048642</v>
      </c>
      <c r="BF922" s="182">
        <f>BF875/(BF875+BF889)*100</f>
        <v>25.405385628567245</v>
      </c>
      <c r="BG922" s="9">
        <f t="shared" si="3847"/>
        <v>-1.1191131637678637</v>
      </c>
      <c r="BH922" s="182">
        <f>BH875/(BH875+BH889)*100</f>
        <v>22.565271740674451</v>
      </c>
      <c r="BI922" s="9">
        <f t="shared" si="3847"/>
        <v>-11.179180388819645</v>
      </c>
      <c r="BJ922" s="182">
        <f>BJ875/(BJ875+BJ889)*100</f>
        <v>20.236201160882171</v>
      </c>
      <c r="BK922" s="9">
        <f t="shared" si="3847"/>
        <v>-10.321482526594494</v>
      </c>
      <c r="BL922" s="182">
        <f>BL875/(BL875+BL889)*100</f>
        <v>19.312695609638432</v>
      </c>
      <c r="BM922" s="9">
        <f t="shared" si="3847"/>
        <v>-4.5636310091092298</v>
      </c>
      <c r="BN922" s="182">
        <f>BN875/(BN875+BN889)*100</f>
        <v>18.430162425103454</v>
      </c>
      <c r="BO922" s="9">
        <f t="shared" si="3847"/>
        <v>-4.5697048323721816</v>
      </c>
      <c r="BP922" s="182">
        <f>BP875/(BP875+BP889)*100</f>
        <v>17.610923693018599</v>
      </c>
      <c r="BQ922" s="9">
        <f t="shared" si="3847"/>
        <v>-4.4450977326655732</v>
      </c>
      <c r="BR922" s="182">
        <f>BR875/(BR875+BR889)*100</f>
        <v>16.850942468215308</v>
      </c>
      <c r="BS922" s="9">
        <f t="shared" si="3847"/>
        <v>-4.3153967279102261</v>
      </c>
      <c r="BT922" s="182">
        <f>BT875/(BT875+BT889)*100</f>
        <v>16.137552402444559</v>
      </c>
      <c r="BU922" s="9">
        <f t="shared" si="3848"/>
        <v>-4.2335321428837887</v>
      </c>
      <c r="BV922" s="43">
        <f t="shared" si="3849"/>
        <v>-4.4255658344630184</v>
      </c>
      <c r="BW922" s="180"/>
      <c r="BX922" s="180"/>
      <c r="BY922"/>
      <c r="BZ922"/>
      <c r="CA922"/>
      <c r="CB922"/>
      <c r="CC922"/>
      <c r="CD922"/>
    </row>
    <row r="923" spans="1:82" s="2" customFormat="1" ht="12.75" customHeight="1" x14ac:dyDescent="0.2">
      <c r="A923" s="7"/>
      <c r="B923" s="7" t="s">
        <v>380</v>
      </c>
      <c r="C923" s="182">
        <f>C875/C889*100</f>
        <v>31.16691934172654</v>
      </c>
      <c r="D923" s="9" t="str">
        <f>IF(ISERROR(C923/#REF!),"NA",IF(OR(C923/#REF!&gt;2,C923/#REF!&lt;0.5),"NM",C923/#REF!*100-100))</f>
        <v>NA</v>
      </c>
      <c r="E923" s="182">
        <f>E875/E889*100</f>
        <v>29.59941529896065</v>
      </c>
      <c r="F923" s="9" t="str">
        <f>IF(ISERROR(E923/#REF!),"NA",IF(OR(E923/#REF!&gt;2,E923/#REF!&lt;0.5),"NM",E923/#REF!*100-100))</f>
        <v>NA</v>
      </c>
      <c r="G923" s="182">
        <f>G875/G889*100</f>
        <v>29.784533298910297</v>
      </c>
      <c r="H923" s="9" t="str">
        <f>IF(ISERROR(G923/#REF!),"NA",IF(OR(G923/#REF!&gt;2,G923/#REF!&lt;0.5),"NM",G923/#REF!*100-100))</f>
        <v>NA</v>
      </c>
      <c r="I923" s="182">
        <f>I875/I889*100</f>
        <v>28.965372066098304</v>
      </c>
      <c r="J923" s="9" t="str">
        <f>IF(ISERROR(I923/#REF!),"NA",IF(OR(I923/#REF!&gt;2,I923/#REF!&lt;0.5),"NM",I923/#REF!*100-100))</f>
        <v>NA</v>
      </c>
      <c r="K923" s="182">
        <f>K875/K889*100</f>
        <v>27.683069986806704</v>
      </c>
      <c r="L923" s="9">
        <f t="shared" si="3832"/>
        <v>-11.178035649662775</v>
      </c>
      <c r="M923" s="182">
        <f>M875/M889*100</f>
        <v>27.319840039174082</v>
      </c>
      <c r="N923" s="9">
        <f t="shared" si="3833"/>
        <v>-7.7014198988809568</v>
      </c>
      <c r="O923" s="182">
        <f>O875/O889*100</f>
        <v>26.725239777381926</v>
      </c>
      <c r="P923" s="9">
        <f t="shared" si="3833"/>
        <v>-10.271416680684737</v>
      </c>
      <c r="Q923" s="182">
        <f>Q875/Q889*100</f>
        <v>25.254598563195703</v>
      </c>
      <c r="R923" s="9">
        <f t="shared" si="3833"/>
        <v>-12.811067969141575</v>
      </c>
      <c r="S923" s="182">
        <f>S875/S889*100</f>
        <v>24.453081407653972</v>
      </c>
      <c r="T923" s="9">
        <f t="shared" si="3833"/>
        <v>-11.667739816039514</v>
      </c>
      <c r="U923" s="182">
        <f>U875/U889*100</f>
        <v>33.358283433133735</v>
      </c>
      <c r="V923" s="9">
        <f t="shared" si="3833"/>
        <v>22.102777268465303</v>
      </c>
      <c r="W923" s="182">
        <f>W875/W889*100</f>
        <v>34.576675505436341</v>
      </c>
      <c r="X923" s="9">
        <f t="shared" si="3833"/>
        <v>29.378354669428376</v>
      </c>
      <c r="Y923" s="182">
        <f>Y875/Y889*100</f>
        <v>34.05793547247918</v>
      </c>
      <c r="Z923" s="9">
        <f t="shared" si="3833"/>
        <v>34.858352181898653</v>
      </c>
      <c r="AA923" s="182">
        <f>AA875/AA889*100</f>
        <v>32.619713975206047</v>
      </c>
      <c r="AB923" s="9">
        <f t="shared" si="3834"/>
        <v>33.397151186826989</v>
      </c>
      <c r="AC923" s="182">
        <f>AC875/AC889*100</f>
        <v>31.334727635706816</v>
      </c>
      <c r="AD923" s="9">
        <f t="shared" si="3835"/>
        <v>-6.0661268781503992</v>
      </c>
      <c r="AE923" s="182">
        <f>AE875/AE889*100</f>
        <v>31.002167657061701</v>
      </c>
      <c r="AF923" s="9">
        <f t="shared" si="3836"/>
        <v>-10.337916517776947</v>
      </c>
      <c r="AG923" s="182">
        <f>AG875/AG889*100</f>
        <v>29.14102270121532</v>
      </c>
      <c r="AH923" s="9">
        <f t="shared" si="3837"/>
        <v>-14.436907883735401</v>
      </c>
      <c r="AI923" s="182">
        <f>AI875/AI889*100</f>
        <v>28.774658573596355</v>
      </c>
      <c r="AJ923" s="9">
        <f t="shared" si="3838"/>
        <v>-11.787520284611588</v>
      </c>
      <c r="AK923" s="182">
        <f>AK875/AK889*100</f>
        <v>28.081742613565869</v>
      </c>
      <c r="AL923" s="9">
        <f t="shared" si="3839"/>
        <v>-10.381405129668593</v>
      </c>
      <c r="AM923" s="182">
        <f>AM875/AM889*100</f>
        <v>27.06579409844846</v>
      </c>
      <c r="AN923" s="9">
        <f t="shared" si="3840"/>
        <v>-12.697091384565212</v>
      </c>
      <c r="AO923" s="182">
        <f>AO875/AO889*100</f>
        <v>25.37015720840758</v>
      </c>
      <c r="AP923" s="9">
        <f t="shared" si="3841"/>
        <v>-12.940058869829841</v>
      </c>
      <c r="AQ923" s="182">
        <f t="shared" ref="AQ923:AW923" si="3853">AQ875/AQ889*100</f>
        <v>25.057973971216786</v>
      </c>
      <c r="AR923" s="9">
        <f t="shared" si="3843"/>
        <v>-12.916520252963153</v>
      </c>
      <c r="AS923" s="182">
        <f t="shared" si="3853"/>
        <v>24.709812770016264</v>
      </c>
      <c r="AT923" s="9">
        <f t="shared" si="3844"/>
        <v>-12.007551988318127</v>
      </c>
      <c r="AU923" s="182">
        <f t="shared" si="3853"/>
        <v>24.352983001103542</v>
      </c>
      <c r="AV923" s="9">
        <f t="shared" si="3845"/>
        <v>-10.023024218234298</v>
      </c>
      <c r="AW923" s="182">
        <f t="shared" si="3853"/>
        <v>23.935234614115345</v>
      </c>
      <c r="AX923" s="9">
        <f t="shared" si="3846"/>
        <v>-5.6559467980620326</v>
      </c>
      <c r="AY923" s="298"/>
      <c r="AZ923" s="184"/>
      <c r="BA923" s="9" t="str">
        <f>IF(ISERROR(#REF!/#REF!),"NA",IF(OR(#REF!/#REF!&gt;2,#REF!/#REF!&lt;0.5),"NM",#REF!/#REF!*100-100))</f>
        <v>NA</v>
      </c>
      <c r="BB923" s="182">
        <f>BB875/BB889*100</f>
        <v>33.358283433133735</v>
      </c>
      <c r="BC923" s="9" t="str">
        <f>IF(ISERROR(BB923/#REF!),"NA",IF(OR(BB923/#REF!&gt;2,BB923/#REF!&lt;0.5),"NM",BB923/#REF!*100-100))</f>
        <v>NA</v>
      </c>
      <c r="BD923" s="977">
        <f>BD875/BD889*100</f>
        <v>34.576675505436341</v>
      </c>
      <c r="BE923" s="9">
        <f t="shared" si="3847"/>
        <v>3.6524423528712333</v>
      </c>
      <c r="BF923" s="182">
        <f>BF875/BF889*100</f>
        <v>34.05793547247918</v>
      </c>
      <c r="BG923" s="9">
        <f t="shared" si="3847"/>
        <v>-1.5002600029479538</v>
      </c>
      <c r="BH923" s="182">
        <f>BH875/BH889*100</f>
        <v>29.14102270121532</v>
      </c>
      <c r="BI923" s="9">
        <f t="shared" si="3847"/>
        <v>-14.436907883735401</v>
      </c>
      <c r="BJ923" s="182">
        <f>BJ875/BJ889*100</f>
        <v>25.37015720840758</v>
      </c>
      <c r="BK923" s="9">
        <f t="shared" si="3847"/>
        <v>-12.940058869829841</v>
      </c>
      <c r="BL923" s="182">
        <f>BL875/BL889*100</f>
        <v>23.935234614115345</v>
      </c>
      <c r="BM923" s="9">
        <f t="shared" si="3847"/>
        <v>-5.6559467980620326</v>
      </c>
      <c r="BN923" s="182">
        <f>BN875/BN889*100</f>
        <v>22.594335079043258</v>
      </c>
      <c r="BO923" s="9">
        <f t="shared" si="3847"/>
        <v>-5.6021992543215617</v>
      </c>
      <c r="BP923" s="182">
        <f>BP875/BP889*100</f>
        <v>21.375313915888995</v>
      </c>
      <c r="BQ923" s="9">
        <f t="shared" si="3847"/>
        <v>-5.3952513268909286</v>
      </c>
      <c r="BR923" s="182">
        <f>BR875/BR889*100</f>
        <v>20.265945241500592</v>
      </c>
      <c r="BS923" s="9">
        <f t="shared" si="3847"/>
        <v>-5.1899526657419983</v>
      </c>
      <c r="BT923" s="182">
        <f>BT875/BT889*100</f>
        <v>19.242882678414649</v>
      </c>
      <c r="BU923" s="9">
        <f t="shared" si="3848"/>
        <v>-5.0481857662919083</v>
      </c>
      <c r="BV923" s="43">
        <f t="shared" si="3849"/>
        <v>-5.3785945025256137</v>
      </c>
      <c r="BW923" s="180"/>
      <c r="BX923" s="180"/>
      <c r="BY923"/>
      <c r="BZ923"/>
      <c r="CA923"/>
      <c r="CB923"/>
      <c r="CC923"/>
      <c r="CD923"/>
    </row>
    <row r="924" spans="1:82" s="2" customFormat="1" ht="12.75" customHeight="1" x14ac:dyDescent="0.2">
      <c r="A924" s="7"/>
      <c r="B924" s="7" t="s">
        <v>381</v>
      </c>
      <c r="C924" s="182">
        <f>(C875+C889)/C878*100</f>
        <v>17.741863582193353</v>
      </c>
      <c r="D924" s="9" t="str">
        <f>IF(ISERROR(C924/#REF!),"NA",IF(OR(C924/#REF!&gt;2,C924/#REF!&lt;0.5),"NM",C924/#REF!*100-100))</f>
        <v>NA</v>
      </c>
      <c r="E924" s="182">
        <f>(E875+E889)/E878*100</f>
        <v>18.348570802493175</v>
      </c>
      <c r="F924" s="9" t="str">
        <f>IF(ISERROR(E924/#REF!),"NA",IF(OR(E924/#REF!&gt;2,E924/#REF!&lt;0.5),"NM",E924/#REF!*100-100))</f>
        <v>NA</v>
      </c>
      <c r="G924" s="182">
        <f>(G875+G889)/G878*100</f>
        <v>18.324658222926288</v>
      </c>
      <c r="H924" s="9" t="str">
        <f>IF(ISERROR(G924/#REF!),"NA",IF(OR(G924/#REF!&gt;2,G924/#REF!&lt;0.5),"NM",G924/#REF!*100-100))</f>
        <v>NA</v>
      </c>
      <c r="I924" s="182">
        <f>(I875+I889)/I878*100</f>
        <v>18.639483516082318</v>
      </c>
      <c r="J924" s="9" t="str">
        <f>IF(ISERROR(I924/#REF!),"NA",IF(OR(I924/#REF!&gt;2,I924/#REF!&lt;0.5),"NM",I924/#REF!*100-100))</f>
        <v>NA</v>
      </c>
      <c r="K924" s="182">
        <f>(K875+K889)/K878*100</f>
        <v>18.697194561325045</v>
      </c>
      <c r="L924" s="9">
        <f t="shared" si="3832"/>
        <v>5.3846146133741684</v>
      </c>
      <c r="M924" s="182">
        <f>(M875+M889)/M878*100</f>
        <v>18.865534468554671</v>
      </c>
      <c r="N924" s="9">
        <f t="shared" si="3833"/>
        <v>2.8174601260565311</v>
      </c>
      <c r="O924" s="182">
        <f>(O875+O889)/O878*100</f>
        <v>19.326152419951441</v>
      </c>
      <c r="P924" s="9">
        <f t="shared" si="3833"/>
        <v>5.4652817249937442</v>
      </c>
      <c r="Q924" s="182">
        <f>(Q875+Q889)/Q878*100</f>
        <v>19.152872297083189</v>
      </c>
      <c r="R924" s="9">
        <f t="shared" si="3833"/>
        <v>2.7543079750998061</v>
      </c>
      <c r="S924" s="182">
        <f>(S875+S889)/S878*100</f>
        <v>19.593095374046012</v>
      </c>
      <c r="T924" s="9">
        <f t="shared" si="3833"/>
        <v>4.7916322942594292</v>
      </c>
      <c r="U924" s="182">
        <f>(U875+U889)/U878*100</f>
        <v>20.172490836518659</v>
      </c>
      <c r="V924" s="9">
        <f t="shared" si="3833"/>
        <v>6.9277463097716208</v>
      </c>
      <c r="W924" s="182">
        <f>(W875+W889)/W878*100</f>
        <v>20.020647704409345</v>
      </c>
      <c r="X924" s="9">
        <f t="shared" si="3833"/>
        <v>3.5935517291115815</v>
      </c>
      <c r="Y924" s="182">
        <f>(Y875+Y889)/Y878*100</f>
        <v>19.827780075010701</v>
      </c>
      <c r="Z924" s="9">
        <f t="shared" si="3833"/>
        <v>3.5237940683721547</v>
      </c>
      <c r="AA924" s="182">
        <f>(AA875+AA889)/AA878*100</f>
        <v>19.20240409520574</v>
      </c>
      <c r="AB924" s="9">
        <f t="shared" si="3834"/>
        <v>-1.9940253001462906</v>
      </c>
      <c r="AC924" s="182">
        <f>(AC875+AC889)/AC878*100</f>
        <v>18.533210629118464</v>
      </c>
      <c r="AD924" s="9">
        <f t="shared" si="3835"/>
        <v>-8.1263152908840226</v>
      </c>
      <c r="AE924" s="182">
        <f>(AE875+AE889)/AE878*100</f>
        <v>18.661042981529143</v>
      </c>
      <c r="AF924" s="9">
        <f t="shared" si="3836"/>
        <v>-6.7910126732851097</v>
      </c>
      <c r="AG924" s="182">
        <f>(AG875+AG889)/AG878*100</f>
        <v>18.828708712403365</v>
      </c>
      <c r="AH924" s="9">
        <f t="shared" si="3837"/>
        <v>-5.0387454310454274</v>
      </c>
      <c r="AI924" s="182">
        <f>(AI875+AI889)/AI878*100</f>
        <v>18.928564316013791</v>
      </c>
      <c r="AJ924" s="9">
        <f t="shared" si="3838"/>
        <v>-1.4260702870028581</v>
      </c>
      <c r="AK924" s="182">
        <f>(AK875+AK889)/AK878*100</f>
        <v>18.900444754809456</v>
      </c>
      <c r="AL924" s="9">
        <f t="shared" si="3839"/>
        <v>1.9814922143819587</v>
      </c>
      <c r="AM924" s="182">
        <f>(AM875+AM889)/AM878*100</f>
        <v>19.313355491362564</v>
      </c>
      <c r="AN924" s="9">
        <f t="shared" si="3840"/>
        <v>3.4955844133636447</v>
      </c>
      <c r="AO924" s="182">
        <f>(AO875+AO889)/AO878*100</f>
        <v>20.230835876760302</v>
      </c>
      <c r="AP924" s="9">
        <f t="shared" si="3841"/>
        <v>7.4467515843680303</v>
      </c>
      <c r="AQ924" s="182">
        <f t="shared" ref="AQ924:AW924" si="3854">(AQ875+AQ889)/AQ878*100</f>
        <v>20.047921445428461</v>
      </c>
      <c r="AR924" s="9">
        <f t="shared" si="3843"/>
        <v>5.913587056719777</v>
      </c>
      <c r="AS924" s="182">
        <f t="shared" si="3854"/>
        <v>19.897692859140292</v>
      </c>
      <c r="AT924" s="9">
        <f t="shared" si="3844"/>
        <v>5.2763208340749372</v>
      </c>
      <c r="AU924" s="182">
        <f t="shared" si="3854"/>
        <v>19.75946034412927</v>
      </c>
      <c r="AV924" s="9">
        <f t="shared" si="3845"/>
        <v>2.3098257212021736</v>
      </c>
      <c r="AW924" s="182">
        <f t="shared" si="3854"/>
        <v>19.674842263357782</v>
      </c>
      <c r="AX924" s="9">
        <f t="shared" si="3846"/>
        <v>-2.7482483511282112</v>
      </c>
      <c r="AY924" s="298"/>
      <c r="AZ924" s="184"/>
      <c r="BA924" s="9" t="str">
        <f>IF(ISERROR(#REF!/#REF!),"NA",IF(OR(#REF!/#REF!&gt;2,#REF!/#REF!&lt;0.5),"NM",#REF!/#REF!*100-100))</f>
        <v>NA</v>
      </c>
      <c r="BB924" s="182">
        <f>(BB875+BB889)/BB878*100</f>
        <v>20.172490836518659</v>
      </c>
      <c r="BC924" s="9" t="str">
        <f>IF(ISERROR(BB924/#REF!),"NA",IF(OR(BB924/#REF!&gt;2,BB924/#REF!&lt;0.5),"NM",BB924/#REF!*100-100))</f>
        <v>NA</v>
      </c>
      <c r="BD924" s="977">
        <f>(BD875+BD889)/BD878*100</f>
        <v>20.020647704409345</v>
      </c>
      <c r="BE924" s="9">
        <f t="shared" si="3847"/>
        <v>-0.75272376296946675</v>
      </c>
      <c r="BF924" s="182">
        <f>(BF875+BF889)/BF878*100</f>
        <v>19.827780075010701</v>
      </c>
      <c r="BG924" s="9">
        <f t="shared" si="3847"/>
        <v>-0.96334360529289143</v>
      </c>
      <c r="BH924" s="182">
        <f>(BH875+BH889)/BH878*100</f>
        <v>18.828708712403365</v>
      </c>
      <c r="BI924" s="9">
        <f t="shared" si="3847"/>
        <v>-5.0387454310454274</v>
      </c>
      <c r="BJ924" s="182">
        <f>(BJ875+BJ889)/BJ878*100</f>
        <v>20.230835876760302</v>
      </c>
      <c r="BK924" s="9">
        <f t="shared" si="3847"/>
        <v>7.4467515843680303</v>
      </c>
      <c r="BL924" s="182">
        <f>(BL875+BL889)/BL878*100</f>
        <v>19.674842263357782</v>
      </c>
      <c r="BM924" s="9">
        <f t="shared" si="3847"/>
        <v>-2.7482483511282112</v>
      </c>
      <c r="BN924" s="182">
        <f>(BN875+BN889)/BN878*100</f>
        <v>19.137361151482242</v>
      </c>
      <c r="BO924" s="9">
        <f t="shared" si="3847"/>
        <v>-2.7318191662280213</v>
      </c>
      <c r="BP924" s="182">
        <f>(BP875+BP889)/BP878*100</f>
        <v>18.579727429047217</v>
      </c>
      <c r="BQ924" s="9">
        <f t="shared" si="3847"/>
        <v>-2.9138485605254658</v>
      </c>
      <c r="BR924" s="182">
        <f>(BR875+BR889)/BR878*100</f>
        <v>18.004319272687237</v>
      </c>
      <c r="BS924" s="9">
        <f t="shared" si="3847"/>
        <v>-3.0969676953408793</v>
      </c>
      <c r="BT924" s="182">
        <f>(BT875+BT889)/BT878*100</f>
        <v>17.424871881592836</v>
      </c>
      <c r="BU924" s="9">
        <f t="shared" si="3848"/>
        <v>-3.2183798916153989</v>
      </c>
      <c r="BV924" s="43">
        <f t="shared" si="3849"/>
        <v>-2.9420412452112243</v>
      </c>
      <c r="BW924" s="180"/>
      <c r="BX924" s="180"/>
      <c r="BY924"/>
      <c r="BZ924"/>
      <c r="CA924"/>
      <c r="CB924"/>
      <c r="CC924"/>
      <c r="CD924"/>
    </row>
    <row r="925" spans="1:82" s="2" customFormat="1" ht="12.75" customHeight="1" x14ac:dyDescent="0.2">
      <c r="A925" s="7"/>
      <c r="B925" s="7" t="s">
        <v>382</v>
      </c>
      <c r="C925" s="182">
        <f>C889/C864*100</f>
        <v>4.5480731421056761</v>
      </c>
      <c r="D925" s="9" t="str">
        <f>IF(ISERROR(C925/#REF!),"NA",IF(OR(C925/#REF!&gt;2,C925/#REF!&lt;0.5),"NM",C925/#REF!*100-100))</f>
        <v>NA</v>
      </c>
      <c r="E925" s="182">
        <f>E889/E864*100</f>
        <v>4.7344911181538949</v>
      </c>
      <c r="F925" s="9" t="str">
        <f>IF(ISERROR(E925/#REF!),"NA",IF(OR(E925/#REF!&gt;2,E925/#REF!&lt;0.5),"NM",E925/#REF!*100-100))</f>
        <v>NA</v>
      </c>
      <c r="G925" s="182">
        <f>G889/G864*100</f>
        <v>4.6087580333863647</v>
      </c>
      <c r="H925" s="9" t="str">
        <f>IF(ISERROR(G925/#REF!),"NA",IF(OR(G925/#REF!&gt;2,G925/#REF!&lt;0.5),"NM",G925/#REF!*100-100))</f>
        <v>NA</v>
      </c>
      <c r="I925" s="182">
        <f>I889/I864*100</f>
        <v>4.5676083923614552</v>
      </c>
      <c r="J925" s="9" t="str">
        <f>IF(ISERROR(I925/#REF!),"NA",IF(OR(I925/#REF!&gt;2,I925/#REF!&lt;0.5),"NM",I925/#REF!*100-100))</f>
        <v>NA</v>
      </c>
      <c r="K925" s="182">
        <f>K889/K864*100</f>
        <v>4.5657658392626175</v>
      </c>
      <c r="L925" s="9">
        <f t="shared" si="3832"/>
        <v>0.38901522917791453</v>
      </c>
      <c r="M925" s="182">
        <f>M889/M864*100</f>
        <v>4.5022365584878754</v>
      </c>
      <c r="N925" s="9">
        <f t="shared" si="3833"/>
        <v>-4.9055865534410827</v>
      </c>
      <c r="O925" s="182">
        <f>O889/O864*100</f>
        <v>4.5992296893160471</v>
      </c>
      <c r="P925" s="9">
        <f t="shared" si="3833"/>
        <v>-0.20674428992134608</v>
      </c>
      <c r="Q925" s="182">
        <f>Q889/Q864*100</f>
        <v>4.626441425770853</v>
      </c>
      <c r="R925" s="9">
        <f t="shared" si="3833"/>
        <v>1.2880489822154146</v>
      </c>
      <c r="S925" s="182">
        <f>S889/S864*100</f>
        <v>4.67242542598472</v>
      </c>
      <c r="T925" s="9">
        <f t="shared" si="3833"/>
        <v>2.3360722051249354</v>
      </c>
      <c r="U925" s="182">
        <f>U889/U864*100</f>
        <v>4.5014023081142485</v>
      </c>
      <c r="V925" s="9">
        <f t="shared" si="3833"/>
        <v>-1.8529687696087649E-2</v>
      </c>
      <c r="W925" s="182">
        <f>W889/W864*100</f>
        <v>4.6990177396060391</v>
      </c>
      <c r="X925" s="9">
        <f t="shared" si="3833"/>
        <v>2.1696687713118195</v>
      </c>
      <c r="Y925" s="182">
        <f>Y889/Y864*100</f>
        <v>4.6427901282698238</v>
      </c>
      <c r="Z925" s="9">
        <f t="shared" si="3833"/>
        <v>0.35337532661503701</v>
      </c>
      <c r="AA925" s="182">
        <f>AA889/AA864*100</f>
        <v>4.7712045505334153</v>
      </c>
      <c r="AB925" s="9">
        <f t="shared" si="3834"/>
        <v>2.1140867010815327</v>
      </c>
      <c r="AC925" s="182">
        <f>AC889/AC864*100</f>
        <v>4.7150634151151873</v>
      </c>
      <c r="AD925" s="9">
        <f t="shared" si="3835"/>
        <v>4.7465454624171741</v>
      </c>
      <c r="AE925" s="182">
        <f>AE889/AE864*100</f>
        <v>4.647817964371419</v>
      </c>
      <c r="AF925" s="9">
        <f t="shared" si="3836"/>
        <v>-1.0895846338922865</v>
      </c>
      <c r="AG925" s="182">
        <f>AG889/AG864*100</f>
        <v>4.7673810997006854</v>
      </c>
      <c r="AH925" s="9">
        <f t="shared" si="3837"/>
        <v>2.6835365801316584</v>
      </c>
      <c r="AI925" s="182">
        <f>AI889/AI864*100</f>
        <v>4.6921586718603985</v>
      </c>
      <c r="AJ925" s="9">
        <f t="shared" si="3838"/>
        <v>-1.6567279360131408</v>
      </c>
      <c r="AK925" s="182">
        <f>AK889/AK864*100</f>
        <v>4.6964664752153826</v>
      </c>
      <c r="AL925" s="9">
        <f t="shared" si="3839"/>
        <v>-0.39441547785312991</v>
      </c>
      <c r="AM925" s="182">
        <f>AM889/AM864*100</f>
        <v>4.8205106689913855</v>
      </c>
      <c r="AN925" s="9">
        <f t="shared" si="3840"/>
        <v>3.7155651521589164</v>
      </c>
      <c r="AO925" s="182">
        <f>AO889/AO864*100</f>
        <v>4.9980356669294963</v>
      </c>
      <c r="AP925" s="9">
        <f t="shared" si="3841"/>
        <v>4.8381818529945662</v>
      </c>
      <c r="AQ925" s="182">
        <f t="shared" ref="AQ925:AW925" si="3855">AQ889/AQ864*100</f>
        <v>5.0373308116989453</v>
      </c>
      <c r="AR925" s="9">
        <f t="shared" si="3843"/>
        <v>7.3563611970029399</v>
      </c>
      <c r="AS925" s="182">
        <f t="shared" si="3855"/>
        <v>5.035503072647006</v>
      </c>
      <c r="AT925" s="9">
        <f t="shared" si="3844"/>
        <v>7.2189719488219026</v>
      </c>
      <c r="AU925" s="182">
        <f t="shared" si="3855"/>
        <v>5.0372817674363226</v>
      </c>
      <c r="AV925" s="9">
        <f t="shared" si="3845"/>
        <v>4.4968492620366618</v>
      </c>
      <c r="AW925" s="182">
        <f t="shared" si="3855"/>
        <v>5.0568057735101641</v>
      </c>
      <c r="AX925" s="9">
        <f t="shared" si="3846"/>
        <v>1.1758640893567929</v>
      </c>
      <c r="AY925" s="298"/>
      <c r="AZ925" s="184"/>
      <c r="BA925" s="9" t="str">
        <f>IF(ISERROR(#REF!/#REF!),"NA",IF(OR(#REF!/#REF!&gt;2,#REF!/#REF!&lt;0.5),"NM",#REF!/#REF!*100-100))</f>
        <v>NA</v>
      </c>
      <c r="BB925" s="182">
        <f>BB889/BB864*100</f>
        <v>4.5014023081142485</v>
      </c>
      <c r="BC925" s="9" t="str">
        <f>IF(ISERROR(BB925/#REF!),"NA",IF(OR(BB925/#REF!&gt;2,BB925/#REF!&lt;0.5),"NM",BB925/#REF!*100-100))</f>
        <v>NA</v>
      </c>
      <c r="BD925" s="977">
        <f>BD889/BD864*100</f>
        <v>4.6990177396060391</v>
      </c>
      <c r="BE925" s="9">
        <f t="shared" si="3847"/>
        <v>4.3900859768869935</v>
      </c>
      <c r="BF925" s="182">
        <f>BF889/BF864*100</f>
        <v>4.6427901282698238</v>
      </c>
      <c r="BG925" s="9">
        <f t="shared" si="3847"/>
        <v>-1.1965822316927301</v>
      </c>
      <c r="BH925" s="182">
        <f>BH889/BH864*100</f>
        <v>4.7673810997006854</v>
      </c>
      <c r="BI925" s="9">
        <f t="shared" si="3847"/>
        <v>2.6835365801316584</v>
      </c>
      <c r="BJ925" s="182">
        <f>BJ889/BJ864*100</f>
        <v>4.9980356669294963</v>
      </c>
      <c r="BK925" s="9">
        <f t="shared" si="3847"/>
        <v>4.8381818529945662</v>
      </c>
      <c r="BL925" s="182">
        <f>BL889/BL864*100</f>
        <v>5.0568057735101641</v>
      </c>
      <c r="BM925" s="9">
        <f t="shared" si="3847"/>
        <v>1.1758640893567929</v>
      </c>
      <c r="BN925" s="182">
        <f>BN889/BN864*100</f>
        <v>5.2183228544634144</v>
      </c>
      <c r="BO925" s="9">
        <f t="shared" si="3847"/>
        <v>3.1940534833144909</v>
      </c>
      <c r="BP925" s="182">
        <f>BP889/BP864*100</f>
        <v>5.3825950996954566</v>
      </c>
      <c r="BQ925" s="9">
        <f t="shared" si="3847"/>
        <v>3.1479893025693855</v>
      </c>
      <c r="BR925" s="182">
        <f>BR889/BR864*100</f>
        <v>5.5486352173177655</v>
      </c>
      <c r="BS925" s="9">
        <f t="shared" si="3847"/>
        <v>3.0847595731602269</v>
      </c>
      <c r="BT925" s="182">
        <f>BT889/BT864*100</f>
        <v>5.7195252259879688</v>
      </c>
      <c r="BU925" s="9">
        <f t="shared" si="3848"/>
        <v>3.0798566129710707</v>
      </c>
      <c r="BV925" s="43">
        <f t="shared" si="3849"/>
        <v>2.7335098236065836</v>
      </c>
      <c r="BW925" s="180"/>
      <c r="BX925" s="180"/>
      <c r="BY925"/>
      <c r="BZ925"/>
      <c r="CA925"/>
      <c r="CB925"/>
      <c r="CC925"/>
      <c r="CD925"/>
    </row>
    <row r="926" spans="1:82" s="2" customFormat="1" ht="12.75" customHeight="1" x14ac:dyDescent="0.2">
      <c r="A926" s="7"/>
      <c r="B926" s="7" t="s">
        <v>383</v>
      </c>
      <c r="C926" s="182">
        <f>C889/C878*100</f>
        <v>13.526172354456866</v>
      </c>
      <c r="D926" s="9" t="str">
        <f>IF(ISERROR(C926/#REF!),"NA",IF(OR(C926/#REF!&gt;2,C926/#REF!&lt;0.5),"NM",C926/#REF!*100-100))</f>
        <v>NA</v>
      </c>
      <c r="E926" s="182">
        <f>E889/E878*100</f>
        <v>14.157911716010901</v>
      </c>
      <c r="F926" s="9" t="str">
        <f>IF(ISERROR(E926/#REF!),"NA",IF(OR(E926/#REF!&gt;2,E926/#REF!&lt;0.5),"NM",E926/#REF!*100-100))</f>
        <v>NA</v>
      </c>
      <c r="G926" s="182">
        <f>G889/G878*100</f>
        <v>14.11929276712986</v>
      </c>
      <c r="H926" s="9" t="str">
        <f>IF(ISERROR(G926/#REF!),"NA",IF(OR(G926/#REF!&gt;2,G926/#REF!&lt;0.5),"NM",G926/#REF!*100-100))</f>
        <v>NA</v>
      </c>
      <c r="I926" s="182">
        <f>I889/I878*100</f>
        <v>14.453091723357392</v>
      </c>
      <c r="J926" s="9" t="str">
        <f>IF(ISERROR(I926/#REF!),"NA",IF(OR(I926/#REF!&gt;2,I926/#REF!&lt;0.5),"NM",I926/#REF!*100-100))</f>
        <v>NA</v>
      </c>
      <c r="K926" s="182">
        <f>K889/K878*100</f>
        <v>14.643440640373855</v>
      </c>
      <c r="L926" s="9">
        <f t="shared" si="3832"/>
        <v>8.260047681181959</v>
      </c>
      <c r="M926" s="182">
        <f>M889/M878*100</f>
        <v>14.817434943956947</v>
      </c>
      <c r="N926" s="9">
        <f t="shared" si="3833"/>
        <v>4.6583369156074355</v>
      </c>
      <c r="O926" s="182">
        <f>O889/O878*100</f>
        <v>15.250436656424302</v>
      </c>
      <c r="P926" s="9">
        <f t="shared" si="3833"/>
        <v>8.011335326424998</v>
      </c>
      <c r="Q926" s="182">
        <f>Q889/Q878*100</f>
        <v>15.291152993013535</v>
      </c>
      <c r="R926" s="9">
        <f t="shared" si="3833"/>
        <v>5.7984913241902802</v>
      </c>
      <c r="S926" s="182">
        <f>S889/S878*100</f>
        <v>15.743358985116314</v>
      </c>
      <c r="T926" s="9">
        <f t="shared" si="3833"/>
        <v>7.5113381598983011</v>
      </c>
      <c r="U926" s="182">
        <f>U889/U878*100</f>
        <v>15.126537562725309</v>
      </c>
      <c r="V926" s="9">
        <f t="shared" si="3833"/>
        <v>2.0860737363616693</v>
      </c>
      <c r="W926" s="182">
        <f>W889/W878*100</f>
        <v>14.876759014306751</v>
      </c>
      <c r="X926" s="9">
        <f t="shared" si="3833"/>
        <v>-2.4502750349783469</v>
      </c>
      <c r="Y926" s="182">
        <f>Y889/Y878*100</f>
        <v>14.790456085370012</v>
      </c>
      <c r="Z926" s="9">
        <f t="shared" si="3833"/>
        <v>-3.2744221961044389</v>
      </c>
      <c r="AA926" s="182">
        <f>AA889/AA878*100</f>
        <v>14.479298378516884</v>
      </c>
      <c r="AB926" s="9">
        <f t="shared" si="3834"/>
        <v>-8.0291671414878181</v>
      </c>
      <c r="AC926" s="182">
        <f>AC889/AC878*100</f>
        <v>14.111431883062528</v>
      </c>
      <c r="AD926" s="9">
        <f t="shared" si="3835"/>
        <v>-6.7107603141395344</v>
      </c>
      <c r="AE926" s="182">
        <f>AE889/AE878*100</f>
        <v>14.244835268970615</v>
      </c>
      <c r="AF926" s="9">
        <f t="shared" si="3836"/>
        <v>-4.2477245529649537</v>
      </c>
      <c r="AG926" s="182">
        <f>AG889/AG878*100</f>
        <v>14.5799594261895</v>
      </c>
      <c r="AH926" s="9">
        <f t="shared" si="3837"/>
        <v>-1.4231924828114302</v>
      </c>
      <c r="AI926" s="182">
        <f>AI889/AI878*100</f>
        <v>14.698982335251834</v>
      </c>
      <c r="AJ926" s="9">
        <f t="shared" si="3838"/>
        <v>1.5172279138946294</v>
      </c>
      <c r="AK926" s="182">
        <f>AK889/AK878*100</f>
        <v>14.75654872360208</v>
      </c>
      <c r="AL926" s="9">
        <f t="shared" si="3839"/>
        <v>4.5715902247585944</v>
      </c>
      <c r="AM926" s="182">
        <f>AM889/AM878*100</f>
        <v>15.199492222429978</v>
      </c>
      <c r="AN926" s="9">
        <f t="shared" si="3840"/>
        <v>6.7017760151911574</v>
      </c>
      <c r="AO926" s="182">
        <f>AO889/AO878*100</f>
        <v>16.136883232211169</v>
      </c>
      <c r="AP926" s="9">
        <f t="shared" si="3841"/>
        <v>10.678519469848567</v>
      </c>
      <c r="AQ926" s="182">
        <f t="shared" ref="AQ926:AW926" si="3856">AQ889/AQ878*100</f>
        <v>16.030902155861465</v>
      </c>
      <c r="AR926" s="9">
        <f t="shared" si="3843"/>
        <v>9.061306355987341</v>
      </c>
      <c r="AS926" s="182">
        <f t="shared" si="3856"/>
        <v>15.955194236266431</v>
      </c>
      <c r="AT926" s="9">
        <f t="shared" si="3844"/>
        <v>8.1228038826395732</v>
      </c>
      <c r="AU926" s="182">
        <f t="shared" si="3856"/>
        <v>15.889816124438219</v>
      </c>
      <c r="AV926" s="9">
        <f t="shared" si="3845"/>
        <v>4.5417563422910092</v>
      </c>
      <c r="AW926" s="182">
        <f t="shared" si="3856"/>
        <v>15.875099865358994</v>
      </c>
      <c r="AX926" s="9">
        <f t="shared" si="3846"/>
        <v>-1.6222672190477425</v>
      </c>
      <c r="AY926" s="298"/>
      <c r="AZ926" s="184"/>
      <c r="BA926" s="9" t="str">
        <f>IF(ISERROR(#REF!/#REF!),"NA",IF(OR(#REF!/#REF!&gt;2,#REF!/#REF!&lt;0.5),"NM",#REF!/#REF!*100-100))</f>
        <v>NA</v>
      </c>
      <c r="BB926" s="182">
        <f>BB889/BB878*100</f>
        <v>15.126537562725309</v>
      </c>
      <c r="BC926" s="9" t="str">
        <f>IF(ISERROR(BB926/#REF!),"NA",IF(OR(BB926/#REF!&gt;2,BB926/#REF!&lt;0.5),"NM",BB926/#REF!*100-100))</f>
        <v>NA</v>
      </c>
      <c r="BD926" s="977">
        <f>BD889/BD878*100</f>
        <v>14.876759014306751</v>
      </c>
      <c r="BE926" s="9">
        <f>IF(ISERROR(BD926/BB926),"NA",IF(OR(BD926/BB926&gt;2,BD926/BB926&lt;0.5),"NM",BD926/BB926*100-100))</f>
        <v>-1.6512605570362666</v>
      </c>
      <c r="BF926" s="182">
        <f>BF889/BF878*100</f>
        <v>14.790456085370012</v>
      </c>
      <c r="BG926" s="9">
        <f>IF(ISERROR(BF926/BD926),"NA",IF(OR(BF926/BD926&gt;2,BF926/BD926&lt;0.5),"NM",BF926/BD926*100-100))</f>
        <v>-0.58011915669094094</v>
      </c>
      <c r="BH926" s="182">
        <f>BH889/BH878*100</f>
        <v>14.5799594261895</v>
      </c>
      <c r="BI926" s="9">
        <f>IF(ISERROR(BH926/BF926),"NA",IF(OR(BH926/BF926&gt;2,BH926/BF926&lt;0.5),"NM",BH926/BF926*100-100))</f>
        <v>-1.4231924828114302</v>
      </c>
      <c r="BJ926" s="182">
        <f>BJ889/BJ878*100</f>
        <v>16.136883232211169</v>
      </c>
      <c r="BK926" s="9">
        <f>IF(ISERROR(BJ926/BH926),"NA",IF(OR(BJ926/BH926&gt;2,BJ926/BH926&lt;0.5),"NM",BJ926/BH926*100-100))</f>
        <v>10.678519469848567</v>
      </c>
      <c r="BL926" s="182">
        <f>BL889/BL878*100</f>
        <v>15.875099865358994</v>
      </c>
      <c r="BM926" s="9">
        <f>IF(ISERROR(BL926/BJ926),"NA",IF(OR(BL926/BJ926&gt;2,BL926/BJ926&lt;0.5),"NM",BL926/BJ926*100-100))</f>
        <v>-1.6222672190477425</v>
      </c>
      <c r="BN926" s="182">
        <f>BN889/BN878*100</f>
        <v>15.610314407385417</v>
      </c>
      <c r="BO926" s="9">
        <f>IF(ISERROR(BN926/BL926),"NA",IF(OR(BN926/BL926&gt;2,BN926/BL926&lt;0.5),"NM",BN926/BL926*100-100))</f>
        <v>-1.6679294002512961</v>
      </c>
      <c r="BP926" s="182">
        <f>BP889/BP878*100</f>
        <v>15.307665809146865</v>
      </c>
      <c r="BQ926" s="9">
        <f>IF(ISERROR(BP926/BN926),"NA",IF(OR(BP926/BN926&gt;2,BP926/BN926&lt;0.5),"NM",BP926/BN926*100-100))</f>
        <v>-1.9387732389000831</v>
      </c>
      <c r="BR926" s="182">
        <f>BR889/BR878*100</f>
        <v>14.970421790252908</v>
      </c>
      <c r="BS926" s="9">
        <f>IF(ISERROR(BR926/BP926),"NA",IF(OR(BR926/BP926&gt;2,BR926/BP926&lt;0.5),"NM",BR926/BP926*100-100))</f>
        <v>-2.2031054446749181</v>
      </c>
      <c r="BT926" s="182">
        <f>BT889/BT878*100</f>
        <v>14.612924050641961</v>
      </c>
      <c r="BU926" s="9">
        <f>IF(ISERROR(BT926/BR926),"NA",IF(OR(BT926/BR926&gt;2,BT926/BR926&lt;0.5),"NM",BT926/BR926*100-100))</f>
        <v>-2.3880271686380325</v>
      </c>
      <c r="BV926" s="43">
        <f t="shared" si="3849"/>
        <v>-1.9644715645387167</v>
      </c>
      <c r="BW926" s="180"/>
      <c r="BX926" s="180"/>
      <c r="BY926"/>
      <c r="BZ926"/>
      <c r="CA926"/>
      <c r="CB926"/>
      <c r="CC926"/>
      <c r="CD926"/>
    </row>
    <row r="927" spans="1:82" s="2" customFormat="1" ht="12.75" customHeight="1" x14ac:dyDescent="0.2">
      <c r="A927" s="7"/>
      <c r="B927" s="7" t="s">
        <v>444</v>
      </c>
      <c r="C927" s="182" t="e">
        <f>C731/AVERAGE(C864,#REF!)*400</f>
        <v>#REF!</v>
      </c>
      <c r="D927" s="9" t="str">
        <f>IF(ISERROR(C927/#REF!),"NA",IF(OR(C927/#REF!&gt;2,C927/#REF!&lt;0.5),"NM",C927/#REF!*100-100))</f>
        <v>NA</v>
      </c>
      <c r="E927" s="182">
        <f>E731/AVERAGE(E864,C864)*400</f>
        <v>0.448349208165986</v>
      </c>
      <c r="F927" s="9" t="str">
        <f>IF(ISERROR(E927/#REF!),"NA",IF(OR(E927/#REF!&gt;2,E927/#REF!&lt;0.5),"NM",E927/#REF!*100-100))</f>
        <v>NA</v>
      </c>
      <c r="G927" s="182">
        <f>G731/AVERAGE(G864,E864)*400</f>
        <v>0.49359861161578955</v>
      </c>
      <c r="H927" s="9" t="str">
        <f>IF(ISERROR(G927/#REF!),"NA",IF(OR(G927/#REF!&gt;2,G927/#REF!&lt;0.5),"NM",G927/#REF!*100-100))</f>
        <v>NA</v>
      </c>
      <c r="I927" s="182">
        <f>I731/AVERAGE(I864,G864)*400</f>
        <v>0.45573331400274292</v>
      </c>
      <c r="J927" s="9" t="str">
        <f>IF(ISERROR(I927/#REF!),"NA",IF(OR(I927/#REF!&gt;2,I927/#REF!&lt;0.5),"NM",I927/#REF!*100-100))</f>
        <v>NA</v>
      </c>
      <c r="K927" s="182">
        <f>K731/AVERAGE(K864,I864)*400</f>
        <v>0.56078653367405196</v>
      </c>
      <c r="L927" s="9" t="str">
        <f t="shared" si="3832"/>
        <v>NA</v>
      </c>
      <c r="M927" s="182">
        <f>M731/AVERAGE(M864,K864)*400</f>
        <v>0.57159524448437193</v>
      </c>
      <c r="N927" s="9">
        <f t="shared" si="3833"/>
        <v>27.488848886905657</v>
      </c>
      <c r="O927" s="182">
        <f>O731/AVERAGE(O864,M864)*400</f>
        <v>0.49497133581256442</v>
      </c>
      <c r="P927" s="9">
        <f t="shared" si="3833"/>
        <v>0.27810536019971721</v>
      </c>
      <c r="Q927" s="182">
        <f>Q731/AVERAGE(Q864,O864)*400</f>
        <v>0.5031372795364325</v>
      </c>
      <c r="R927" s="9">
        <f t="shared" si="3833"/>
        <v>10.401689777149855</v>
      </c>
      <c r="S927" s="182">
        <f>S731/AVERAGE(S864,Q864)*400</f>
        <v>0.76223457066417544</v>
      </c>
      <c r="T927" s="9">
        <f t="shared" si="3833"/>
        <v>35.922409846455395</v>
      </c>
      <c r="U927" s="182">
        <f>U731/AVERAGE(U864,S864)*400</f>
        <v>0.4304720359617607</v>
      </c>
      <c r="V927" s="9">
        <f t="shared" si="3833"/>
        <v>-24.689360152027945</v>
      </c>
      <c r="W927" s="182">
        <f>W731/AVERAGE(W864,U864)*400</f>
        <v>0.55317476842534263</v>
      </c>
      <c r="X927" s="9">
        <f t="shared" si="3833"/>
        <v>11.758950145512799</v>
      </c>
      <c r="Y927" s="182">
        <f>Y731/AVERAGE(Y864,W864)*400</f>
        <v>0.4659000565381477</v>
      </c>
      <c r="Z927" s="9">
        <f t="shared" si="3833"/>
        <v>-7.4010065468799127</v>
      </c>
      <c r="AA927" s="182">
        <f>AA731/AVERAGE(AA864,Y864)*400</f>
        <v>0.67292274531451235</v>
      </c>
      <c r="AB927" s="9">
        <f t="shared" si="3834"/>
        <v>-11.717105047051461</v>
      </c>
      <c r="AC927" s="182">
        <f>AC731/AVERAGE(AC864,AA864)*400</f>
        <v>0.58464521758216648</v>
      </c>
      <c r="AD927" s="9">
        <f t="shared" si="3835"/>
        <v>35.814912175642718</v>
      </c>
      <c r="AE927" s="182">
        <f>AE731/AVERAGE(AE864,AC864)*400</f>
        <v>0.54383920569831268</v>
      </c>
      <c r="AF927" s="9">
        <f t="shared" si="3836"/>
        <v>-1.6876335038932524</v>
      </c>
      <c r="AG927" s="182">
        <f>AG731/AVERAGE(AG864,AE864)*400</f>
        <v>0.55429026987443275</v>
      </c>
      <c r="AH927" s="9">
        <f t="shared" si="3837"/>
        <v>18.971925866046277</v>
      </c>
      <c r="AI927" s="182">
        <f>AI731/AVERAGE(AI864,AG864)*400</f>
        <v>0.60072236476967356</v>
      </c>
      <c r="AJ927" s="9">
        <f t="shared" si="3838"/>
        <v>-10.729371394794157</v>
      </c>
      <c r="AK927" s="182">
        <f>AK731/AVERAGE(AK864,AI864)*400</f>
        <v>0.51992656352269984</v>
      </c>
      <c r="AL927" s="9">
        <f t="shared" si="3839"/>
        <v>-11.069731199908603</v>
      </c>
      <c r="AM927" s="182">
        <f>AM731/AVERAGE(AM864,AK864)*400</f>
        <v>1.3277706375372165</v>
      </c>
      <c r="AN927" s="9" t="str">
        <f t="shared" si="3840"/>
        <v>NM</v>
      </c>
      <c r="AO927" s="182">
        <f>AO731/AVERAGE(AO864,AM864)*400</f>
        <v>1.342417000440336</v>
      </c>
      <c r="AP927" s="9" t="str">
        <f t="shared" si="3841"/>
        <v>NM</v>
      </c>
      <c r="AQ927" s="182">
        <f t="shared" ref="AQ927" si="3857">AQ731/AVERAGE(AQ864,AO864)*400</f>
        <v>0.60597585347313243</v>
      </c>
      <c r="AR927" s="9">
        <f t="shared" si="3843"/>
        <v>0.87452856952864977</v>
      </c>
      <c r="AS927" s="182">
        <f t="shared" ref="AS927" si="3858">AS731/AVERAGE(AS864,AQ864)*400</f>
        <v>0.61130417270190718</v>
      </c>
      <c r="AT927" s="9">
        <f t="shared" si="3844"/>
        <v>17.575099175562286</v>
      </c>
      <c r="AU927" s="182">
        <f t="shared" ref="AU927" si="3859">AU731/AVERAGE(AU864,AS864)*400</f>
        <v>0.62533888808155802</v>
      </c>
      <c r="AV927" s="9" t="str">
        <f t="shared" si="3845"/>
        <v>NM</v>
      </c>
      <c r="AW927" s="182">
        <f t="shared" ref="AW927" si="3860">AW731/AVERAGE(AW864,AU864)*400</f>
        <v>0.63821554191948515</v>
      </c>
      <c r="AX927" s="9" t="str">
        <f t="shared" si="3846"/>
        <v>NM</v>
      </c>
      <c r="AY927" s="298"/>
      <c r="AZ927" s="184"/>
      <c r="BA927" s="9" t="str">
        <f>IF(ISERROR(#REF!/#REF!),"NA",IF(OR(#REF!/#REF!&gt;2,#REF!/#REF!&lt;0.5),"NM",#REF!/#REF!*100-100))</f>
        <v>NA</v>
      </c>
      <c r="BB927" s="182" t="e">
        <f>BB731/AVERAGE(BB864,#REF!)*100</f>
        <v>#REF!</v>
      </c>
      <c r="BC927" s="9" t="str">
        <f>IF(ISERROR(BB927/#REF!),"NA",IF(OR(BB927/#REF!&gt;2,BB927/#REF!&lt;0.5),"NM",BB927/#REF!*100-100))</f>
        <v>NA</v>
      </c>
      <c r="BD927" s="977">
        <f>BD731/AVERAGE(BD864,BB864)*100</f>
        <v>0.52079420001532195</v>
      </c>
      <c r="BE927" s="9" t="str">
        <f>IF(ISERROR(BD927/BB927),"NA",IF(OR(BD927/BB927&gt;2,BD927/BB927&lt;0.5),"NM",BD927/BB927*100-100))</f>
        <v>NA</v>
      </c>
      <c r="BF927" s="182">
        <f>BF731/AVERAGE(BF864,BD864)*100</f>
        <v>0.55892673686987837</v>
      </c>
      <c r="BG927" s="9">
        <f>IF(ISERROR(BF927/BD927),"NA",IF(OR(BF927/BD927&gt;2,BF927/BD927&lt;0.5),"NM",BF927/BD927*100-100))</f>
        <v>7.3219972214426718</v>
      </c>
      <c r="BH927" s="182">
        <f>BH731/AVERAGE(BH864,BF864)*100</f>
        <v>0.58738507452964062</v>
      </c>
      <c r="BI927" s="9">
        <f>IF(ISERROR(BH927/BF927),"NA",IF(OR(BH927/BF927&gt;2,BH927/BF927&lt;0.5),"NM",BH927/BF927*100-100))</f>
        <v>5.0916042805781103</v>
      </c>
      <c r="BJ927" s="182">
        <f>BJ731/AVERAGE(BJ864,BH864)*100</f>
        <v>0.95774783341886649</v>
      </c>
      <c r="BK927" s="9">
        <f>IF(ISERROR(BJ927/BH927),"NA",IF(OR(BJ927/BH927&gt;2,BJ927/BH927&lt;0.5),"NM",BJ927/BH927*100-100))</f>
        <v>63.052803850319265</v>
      </c>
      <c r="BL927" s="182">
        <f>BL731/AVERAGE(BL864,BJ864)*100</f>
        <v>0.61824362941196742</v>
      </c>
      <c r="BM927" s="9">
        <f>IF(ISERROR(BL927/BJ927),"NA",IF(OR(BL927/BJ927&gt;2,BL927/BJ927&lt;0.5),"NM",BL927/BJ927*100-100))</f>
        <v>-35.448182930884116</v>
      </c>
      <c r="BN927" s="182">
        <f>BN731/AVERAGE(BN864,BL864)*100</f>
        <v>0.62545085029331304</v>
      </c>
      <c r="BO927" s="9">
        <f>IF(ISERROR(BN927/BL927),"NA",IF(OR(BN927/BL927&gt;2,BN927/BL927&lt;0.5),"NM",BN927/BL927*100-100))</f>
        <v>1.1657574034690299</v>
      </c>
      <c r="BP927" s="182">
        <f>BP731/AVERAGE(BP864,BN864)*100</f>
        <v>0.64023664286013715</v>
      </c>
      <c r="BQ927" s="9">
        <f>IF(ISERROR(BP927/BN927),"NA",IF(OR(BP927/BN927&gt;2,BP927/BN927&lt;0.5),"NM",BP927/BN927*100-100))</f>
        <v>2.3640214990338677</v>
      </c>
      <c r="BR927" s="182">
        <f>BR731/AVERAGE(BR864,BP864)*100</f>
        <v>0.65288392531194739</v>
      </c>
      <c r="BS927" s="9">
        <f>IF(ISERROR(BR927/BP927),"NA",IF(OR(BR927/BP927&gt;2,BR927/BP927&lt;0.5),"NM",BR927/BP927*100-100))</f>
        <v>1.9754074673562769</v>
      </c>
      <c r="BT927" s="182">
        <f>BT731/AVERAGE(BT864,BR864)*100</f>
        <v>0.66622722983134797</v>
      </c>
      <c r="BU927" s="9">
        <f>IF(ISERROR(BT927/BR927),"NA",IF(OR(BT927/BR927&gt;2,BT927/BR927&lt;0.5),"NM",BT927/BR927*100-100))</f>
        <v>2.0437483604800235</v>
      </c>
      <c r="BV927" s="43">
        <f t="shared" si="3849"/>
        <v>-7.0018647980356397</v>
      </c>
      <c r="BW927" s="180"/>
      <c r="BX927" s="180"/>
      <c r="BY927"/>
      <c r="BZ927"/>
      <c r="CA927"/>
      <c r="CB927"/>
      <c r="CC927"/>
      <c r="CD927"/>
    </row>
    <row r="928" spans="1:82" s="2" customFormat="1" ht="12.75" customHeight="1" x14ac:dyDescent="0.2">
      <c r="A928" s="7" t="s">
        <v>213</v>
      </c>
      <c r="B928" s="159" t="s">
        <v>134</v>
      </c>
      <c r="C928" s="190">
        <f>C940-(C859/C840)</f>
        <v>29.187180361404707</v>
      </c>
      <c r="D928" s="9" t="str">
        <f>IF(ISERROR(C928/#REF!),"NA",IF(OR(C928/#REF!&gt;2,C928/#REF!&lt;0.5),"NM",C928/#REF!*100-100))</f>
        <v>NA</v>
      </c>
      <c r="E928" s="190">
        <f>E940-(E859/E840)</f>
        <v>29.812861517522972</v>
      </c>
      <c r="F928" s="9" t="str">
        <f>IF(ISERROR(E928/#REF!),"NA",IF(OR(E928/#REF!&gt;2,E928/#REF!&lt;0.5),"NM",E928/#REF!*100-100))</f>
        <v>NA</v>
      </c>
      <c r="G928" s="190">
        <f>G940-(G859/G840)</f>
        <v>29.786321878189863</v>
      </c>
      <c r="H928" s="9" t="str">
        <f>IF(ISERROR(G928/#REF!),"NA",IF(OR(G928/#REF!&gt;2,G928/#REF!&lt;0.5),"NM",G928/#REF!*100-100))</f>
        <v>NA</v>
      </c>
      <c r="I928" s="190">
        <f>I940-(I859/I840)</f>
        <v>30.348915989159895</v>
      </c>
      <c r="J928" s="9" t="str">
        <f>IF(ISERROR(I928/#REF!),"NA",IF(OR(I928/#REF!&gt;2,I928/#REF!&lt;0.5),"NM",I928/#REF!*100-100))</f>
        <v>NA</v>
      </c>
      <c r="K928" s="190">
        <f>K940-(K859/K840)</f>
        <v>30.814450474898237</v>
      </c>
      <c r="L928" s="9">
        <f t="shared" si="3832"/>
        <v>5.5752905671057249</v>
      </c>
      <c r="M928" s="190">
        <f>M940-(M859/M840)</f>
        <v>31.519400953029272</v>
      </c>
      <c r="N928" s="9">
        <f t="shared" si="3833"/>
        <v>5.7241718796542216</v>
      </c>
      <c r="O928" s="190">
        <f>O940-(O859/O840)</f>
        <v>31.996934604904627</v>
      </c>
      <c r="P928" s="9">
        <f t="shared" si="3833"/>
        <v>7.4215699936198405</v>
      </c>
      <c r="Q928" s="190">
        <f>Q940-(Q859/Q840)</f>
        <v>32.635590336849269</v>
      </c>
      <c r="R928" s="9">
        <f t="shared" si="3833"/>
        <v>7.5346162232157781</v>
      </c>
      <c r="S928" s="190">
        <f>S940-(S859/S840)</f>
        <v>33.466711956521742</v>
      </c>
      <c r="T928" s="9">
        <f t="shared" si="3833"/>
        <v>8.6072003256526131</v>
      </c>
      <c r="U928" s="190">
        <f>U940-(U859/U840)</f>
        <v>34.000678656260604</v>
      </c>
      <c r="V928" s="9">
        <f t="shared" si="3833"/>
        <v>7.8722235455203275</v>
      </c>
      <c r="W928" s="190">
        <f>W940-(W859/W840)</f>
        <v>34.564565587734236</v>
      </c>
      <c r="X928" s="9">
        <f t="shared" si="3833"/>
        <v>8.0246155281263469</v>
      </c>
      <c r="Y928" s="190">
        <f>Y940-(Y859/Y840)</f>
        <v>34.983184625943721</v>
      </c>
      <c r="Z928" s="9">
        <f t="shared" si="3833"/>
        <v>7.1933562863845282</v>
      </c>
      <c r="AA928" s="190">
        <f>AA940-(AA859/AA840)</f>
        <v>35.804752066115711</v>
      </c>
      <c r="AB928" s="9">
        <f t="shared" si="3834"/>
        <v>6.9861661720202193</v>
      </c>
      <c r="AC928" s="190">
        <f>AC940-(AC859/AC840)</f>
        <v>36.524305555555557</v>
      </c>
      <c r="AD928" s="9">
        <f t="shared" si="3835"/>
        <v>7.4222839044133906</v>
      </c>
      <c r="AE928" s="190">
        <f>AE940-(AE859/AE840)</f>
        <v>37.201251303441083</v>
      </c>
      <c r="AF928" s="9">
        <f t="shared" si="3836"/>
        <v>7.6282912019079845</v>
      </c>
      <c r="AG928" s="190">
        <f>AG940-(AG859/AG840)</f>
        <v>37.895377128953768</v>
      </c>
      <c r="AH928" s="9">
        <f t="shared" si="3837"/>
        <v>8.3245494489668346</v>
      </c>
      <c r="AI928" s="190">
        <f>AI940-(AI859/AI840)</f>
        <v>38.428323498785147</v>
      </c>
      <c r="AJ928" s="9">
        <f t="shared" si="3838"/>
        <v>7.3274391841195978</v>
      </c>
      <c r="AK928" s="190">
        <f>AK940-(AK859/AK840)</f>
        <v>39.099792099792097</v>
      </c>
      <c r="AL928" s="9">
        <f t="shared" si="3839"/>
        <v>7.0514319302226909</v>
      </c>
      <c r="AM928" s="190">
        <f>AM940-(AM859/AM840)</f>
        <v>41.419064124783361</v>
      </c>
      <c r="AN928" s="9">
        <f t="shared" si="3840"/>
        <v>11.337825136414523</v>
      </c>
      <c r="AO928" s="190">
        <f>AO940-(AO859/AO840)</f>
        <v>43.888581314878891</v>
      </c>
      <c r="AP928" s="9">
        <f t="shared" si="3841"/>
        <v>15.815132715346564</v>
      </c>
      <c r="AQ928" s="190">
        <f t="shared" ref="AQ928:AW928" si="3861">AQ940-(AQ859/AQ840)</f>
        <v>44.597047567699974</v>
      </c>
      <c r="AR928" s="9">
        <f t="shared" si="3843"/>
        <v>16.05254538129887</v>
      </c>
      <c r="AS928" s="190">
        <f t="shared" si="3861"/>
        <v>45.351636255252018</v>
      </c>
      <c r="AT928" s="9">
        <f t="shared" si="3844"/>
        <v>15.989456259776787</v>
      </c>
      <c r="AU928" s="190">
        <f t="shared" si="3861"/>
        <v>46.142050552219629</v>
      </c>
      <c r="AV928" s="9">
        <f t="shared" si="3845"/>
        <v>11.402928886097754</v>
      </c>
      <c r="AW928" s="190">
        <f t="shared" si="3861"/>
        <v>47.01293382811609</v>
      </c>
      <c r="AX928" s="9">
        <f t="shared" si="3846"/>
        <v>7.118827767116727</v>
      </c>
      <c r="AY928" s="298"/>
      <c r="AZ928" s="184"/>
      <c r="BA928" s="9" t="str">
        <f>IF(ISERROR(#REF!/#REF!),"NA",IF(OR(#REF!/#REF!&gt;2,#REF!/#REF!&lt;0.5),"NM",#REF!/#REF!*100-100))</f>
        <v>NA</v>
      </c>
      <c r="BB928" s="190">
        <f>(BB889-BB886)/BB840</f>
        <v>34.128065395095362</v>
      </c>
      <c r="BC928" s="9" t="str">
        <f>IF(ISERROR(BB928/#REF!),"NA",IF(OR(BB928/#REF!&gt;2,BB928/#REF!&lt;0.5),"NM",BB928/#REF!*100-100))</f>
        <v>NA</v>
      </c>
      <c r="BD928" s="979">
        <f>(BD889-BD886)/BD840</f>
        <v>34.517522966995578</v>
      </c>
      <c r="BE928" s="9">
        <f>IF(ISERROR(BD928/BB928),"NA",IF(OR(BD928/BB928&gt;2,BD928/BB928&lt;0.5),"NM",BD928/BB928*100-100))</f>
        <v>1.1411651008972399</v>
      </c>
      <c r="BF928" s="190">
        <f>(BF889-BF886)/BF840</f>
        <v>34.983184625943721</v>
      </c>
      <c r="BG928" s="9">
        <f>IF(ISERROR(BF928/BD928),"NA",IF(OR(BF928/BD928&gt;2,BF928/BD928&lt;0.5),"NM",BF928/BD928*100-100))</f>
        <v>1.3490587357424033</v>
      </c>
      <c r="BH928" s="190">
        <f>(BH889-BH886)/BH840</f>
        <v>37.895377128953776</v>
      </c>
      <c r="BI928" s="9">
        <f>IF(ISERROR(BH928/BF928),"NA",IF(OR(BH928/BF928&gt;2,BH928/BF928&lt;0.5),"NM",BH928/BF928*100-100))</f>
        <v>8.3245494489668488</v>
      </c>
      <c r="BJ928" s="190">
        <f>(BJ889-BJ886)/BJ840</f>
        <v>43.888581314878891</v>
      </c>
      <c r="BK928" s="9">
        <f>IF(ISERROR(BJ928/BH928),"NA",IF(OR(BJ928/BH928&gt;2,BJ928/BH928&lt;0.5),"NM",BJ928/BH928*100-100))</f>
        <v>15.815132715346536</v>
      </c>
      <c r="BL928" s="190">
        <f>(BL889-BL886)/BL840</f>
        <v>47.01293382811609</v>
      </c>
      <c r="BM928" s="9">
        <f>IF(ISERROR(BL928/BJ928),"NA",IF(OR(BL928/BJ928&gt;2,BL928/BJ928&lt;0.5),"NM",BL928/BJ928*100-100))</f>
        <v>7.118827767116727</v>
      </c>
      <c r="BN928" s="190">
        <f>(BN889-BN886)/BN840</f>
        <v>50.264186162428132</v>
      </c>
      <c r="BO928" s="9">
        <f>IF(ISERROR(BN928/BL928),"NA",IF(OR(BN928/BL928&gt;2,BN928/BL928&lt;0.5),"NM",BN928/BL928*100-100))</f>
        <v>6.9156550539877912</v>
      </c>
      <c r="BP928" s="190">
        <f>(BP889-BP886)/BP840</f>
        <v>53.610377426784176</v>
      </c>
      <c r="BQ928" s="9">
        <f>IF(ISERROR(BP928/BN928),"NA",IF(OR(BP928/BN928&gt;2,BP928/BN928&lt;0.5),"NM",BP928/BN928*100-100))</f>
        <v>6.6572076856926969</v>
      </c>
      <c r="BR928" s="190">
        <f>(BR889-BR886)/BR840</f>
        <v>57.017063358175598</v>
      </c>
      <c r="BS928" s="9">
        <f>IF(ISERROR(BR928/BP928),"NA",IF(OR(BR928/BP928&gt;2,BR928/BP928&lt;0.5),"NM",BR928/BP928*100-100))</f>
        <v>6.3545270429105756</v>
      </c>
      <c r="BT928" s="190">
        <f>(BT889-BT886)/BT840</f>
        <v>60.470776913520517</v>
      </c>
      <c r="BU928" s="9">
        <f>IF(ISERROR(BT928/BR928),"NA",IF(OR(BT928/BR928&gt;2,BT928/BR928&lt;0.5),"NM",BT928/BR928*100-100))</f>
        <v>6.0573332822299761</v>
      </c>
      <c r="BV928" s="43">
        <f t="shared" si="3849"/>
        <v>6.6200301854420163</v>
      </c>
      <c r="BW928" s="180"/>
      <c r="BX928" s="180"/>
      <c r="BY928"/>
      <c r="BZ928"/>
      <c r="CA928"/>
      <c r="CB928"/>
      <c r="CC928"/>
      <c r="CD928"/>
    </row>
    <row r="929" spans="1:82" s="2" customFormat="1" ht="12.75" customHeight="1" x14ac:dyDescent="0.2">
      <c r="B929" s="7"/>
      <c r="C929" s="179"/>
      <c r="D929" s="9"/>
      <c r="E929" s="182"/>
      <c r="F929" s="9"/>
      <c r="G929" s="182"/>
      <c r="H929" s="9"/>
      <c r="I929" s="179"/>
      <c r="J929" s="9"/>
      <c r="K929" s="182"/>
      <c r="L929" s="9"/>
      <c r="M929" s="182"/>
      <c r="N929" s="9"/>
      <c r="O929" s="182"/>
      <c r="P929" s="9"/>
      <c r="Q929" s="182"/>
      <c r="R929" s="9"/>
      <c r="S929" s="182"/>
      <c r="T929" s="9"/>
      <c r="U929" s="179"/>
      <c r="V929" s="9"/>
      <c r="W929" s="179"/>
      <c r="X929" s="9"/>
      <c r="Y929" s="179"/>
      <c r="Z929" s="9"/>
      <c r="AA929" s="179"/>
      <c r="AB929" s="9"/>
      <c r="AC929" s="179"/>
      <c r="AD929" s="9"/>
      <c r="AE929" s="179"/>
      <c r="AF929" s="9"/>
      <c r="AG929" s="179"/>
      <c r="AH929" s="9"/>
      <c r="AI929" s="179"/>
      <c r="AJ929" s="9"/>
      <c r="AK929" s="179"/>
      <c r="AL929" s="9"/>
      <c r="AM929" s="179"/>
      <c r="AN929" s="9"/>
      <c r="AO929" s="179"/>
      <c r="AP929" s="9"/>
      <c r="AQ929" s="179"/>
      <c r="AR929" s="9"/>
      <c r="AS929" s="179"/>
      <c r="AT929" s="9"/>
      <c r="AU929" s="179"/>
      <c r="AV929" s="9"/>
      <c r="AW929" s="179"/>
      <c r="AX929" s="9"/>
      <c r="AY929" s="297"/>
      <c r="AZ929" s="178"/>
      <c r="BA929" s="9"/>
      <c r="BB929" s="179"/>
      <c r="BC929" s="9"/>
      <c r="BD929" s="976"/>
      <c r="BE929" s="9"/>
      <c r="BF929" s="179"/>
      <c r="BG929" s="9"/>
      <c r="BH929" s="179"/>
      <c r="BI929" s="9"/>
      <c r="BJ929" s="179"/>
      <c r="BK929" s="9"/>
      <c r="BL929" s="179"/>
      <c r="BM929" s="9"/>
      <c r="BN929" s="179"/>
      <c r="BO929" s="9"/>
      <c r="BP929" s="179"/>
      <c r="BQ929" s="9"/>
      <c r="BR929" s="179"/>
      <c r="BS929" s="9"/>
      <c r="BT929" s="179"/>
      <c r="BU929" s="9"/>
      <c r="BV929" s="180"/>
      <c r="BW929" s="180"/>
      <c r="BX929" s="180"/>
      <c r="BY929"/>
      <c r="BZ929"/>
      <c r="CA929"/>
      <c r="CB929"/>
      <c r="CC929"/>
      <c r="CD929"/>
    </row>
    <row r="930" spans="1:82" s="2" customFormat="1" ht="12.75" customHeight="1" x14ac:dyDescent="0.2">
      <c r="B930" s="103" t="s">
        <v>220</v>
      </c>
      <c r="C930" s="179"/>
      <c r="D930" s="9"/>
      <c r="E930" s="179"/>
      <c r="F930" s="9"/>
      <c r="G930" s="179"/>
      <c r="H930" s="9"/>
      <c r="I930" s="179"/>
      <c r="J930" s="9"/>
      <c r="K930" s="179"/>
      <c r="L930" s="9"/>
      <c r="M930" s="179"/>
      <c r="N930" s="9"/>
      <c r="O930" s="179"/>
      <c r="P930" s="9"/>
      <c r="Q930" s="179"/>
      <c r="R930" s="9"/>
      <c r="S930" s="179"/>
      <c r="T930" s="9"/>
      <c r="U930" s="179"/>
      <c r="V930" s="9"/>
      <c r="W930" s="179"/>
      <c r="X930" s="9"/>
      <c r="Y930" s="179"/>
      <c r="Z930" s="9"/>
      <c r="AA930" s="179"/>
      <c r="AB930" s="9"/>
      <c r="AC930" s="179"/>
      <c r="AD930" s="9"/>
      <c r="AE930" s="179"/>
      <c r="AF930" s="9"/>
      <c r="AG930" s="179"/>
      <c r="AH930" s="9"/>
      <c r="AI930" s="179"/>
      <c r="AJ930" s="9"/>
      <c r="AK930" s="179"/>
      <c r="AL930" s="9"/>
      <c r="AM930" s="179"/>
      <c r="AN930" s="9"/>
      <c r="AO930" s="179"/>
      <c r="AP930" s="9"/>
      <c r="AQ930" s="179"/>
      <c r="AR930" s="9"/>
      <c r="AS930" s="179"/>
      <c r="AT930" s="9"/>
      <c r="AU930" s="179"/>
      <c r="AV930" s="9"/>
      <c r="AW930" s="179"/>
      <c r="AX930" s="9"/>
      <c r="AY930" s="297"/>
      <c r="AZ930" s="178"/>
      <c r="BA930" s="9"/>
      <c r="BB930" s="179"/>
      <c r="BC930" s="9"/>
      <c r="BD930" s="976"/>
      <c r="BE930" s="9"/>
      <c r="BF930" s="179"/>
      <c r="BG930" s="9"/>
      <c r="BH930" s="179"/>
      <c r="BI930" s="9"/>
      <c r="BJ930" s="179"/>
      <c r="BK930" s="9"/>
      <c r="BL930" s="179"/>
      <c r="BM930" s="9"/>
      <c r="BN930" s="179"/>
      <c r="BO930" s="9"/>
      <c r="BP930" s="179"/>
      <c r="BQ930" s="9"/>
      <c r="BR930" s="179"/>
      <c r="BS930" s="9"/>
      <c r="BT930" s="179"/>
      <c r="BU930" s="9"/>
      <c r="BV930" s="180"/>
      <c r="BW930" s="180"/>
      <c r="BX930" s="180"/>
      <c r="BY930"/>
      <c r="BZ930"/>
      <c r="CA930"/>
      <c r="CB930"/>
      <c r="CC930"/>
      <c r="CD930"/>
    </row>
    <row r="931" spans="1:82" s="2" customFormat="1" ht="12.75" customHeight="1" x14ac:dyDescent="0.2">
      <c r="A931" s="2" t="s">
        <v>255</v>
      </c>
      <c r="B931" s="7" t="s">
        <v>254</v>
      </c>
      <c r="C931" s="179">
        <f>+C874+C887</f>
        <v>12514.1</v>
      </c>
      <c r="D931" s="9" t="str">
        <f>IF(ISERROR(C931/#REF!),"NA",IF(OR(C931/#REF!&gt;2,C931/#REF!&lt;0.5),"NM",C931/#REF!*100-100))</f>
        <v>NA</v>
      </c>
      <c r="E931" s="179">
        <f>+E874+E887</f>
        <v>11882</v>
      </c>
      <c r="F931" s="9" t="str">
        <f>IF(ISERROR(E931/#REF!),"NA",IF(OR(E931/#REF!&gt;2,E931/#REF!&lt;0.5),"NM",E931/#REF!*100-100))</f>
        <v>NA</v>
      </c>
      <c r="G931" s="179">
        <f>+G874+G887</f>
        <v>11871.7</v>
      </c>
      <c r="H931" s="9" t="str">
        <f>IF(ISERROR(G931/#REF!),"NA",IF(OR(G931/#REF!&gt;2,G931/#REF!&lt;0.5),"NM",G931/#REF!*100-100))</f>
        <v>NA</v>
      </c>
      <c r="I931" s="179">
        <f>+I874+I887</f>
        <v>12285.6</v>
      </c>
      <c r="J931" s="9" t="str">
        <f>IF(ISERROR(I931/#REF!),"NA",IF(OR(I931/#REF!&gt;2,I931/#REF!&lt;0.5),"NM",I931/#REF!*100-100))</f>
        <v>NA</v>
      </c>
      <c r="K931" s="179">
        <f>+K874+K887</f>
        <v>12503.9</v>
      </c>
      <c r="L931" s="9">
        <f t="shared" ref="L931:L940" si="3862">IF(ISERROR(K931/C931),"NA",IF(OR(K931/C931&gt;2,K931/C931&lt;0.5),"NM",K931/C931*100-100))</f>
        <v>-8.1508058909548708E-2</v>
      </c>
      <c r="M931" s="179">
        <f>+M874+M887</f>
        <v>12931.199999999999</v>
      </c>
      <c r="N931" s="9">
        <f t="shared" ref="N931:Z940" si="3863">IF(ISERROR(M931/E931),"NA",IF(OR(M931/E931&gt;2,M931/E931&lt;0.5),"NM",M931/E931*100-100))</f>
        <v>8.8301632721763781</v>
      </c>
      <c r="O931" s="179">
        <f>+O874+O887</f>
        <v>12845.599999999999</v>
      </c>
      <c r="P931" s="9">
        <f t="shared" si="3863"/>
        <v>8.2035428792843277</v>
      </c>
      <c r="Q931" s="179">
        <f>+Q874+Q887</f>
        <v>12715.2</v>
      </c>
      <c r="R931" s="9">
        <f t="shared" si="3863"/>
        <v>3.4967767142019852</v>
      </c>
      <c r="S931" s="179">
        <f>+S874+S887</f>
        <v>12937.2</v>
      </c>
      <c r="T931" s="9">
        <f t="shared" si="3863"/>
        <v>3.4653188205280117</v>
      </c>
      <c r="U931" s="179">
        <f>+U874+U887</f>
        <v>13009.3</v>
      </c>
      <c r="V931" s="9">
        <f t="shared" si="3863"/>
        <v>0.60396560257362353</v>
      </c>
      <c r="W931" s="179">
        <f>+W874+W887</f>
        <v>12906.4</v>
      </c>
      <c r="X931" s="9">
        <f t="shared" si="3863"/>
        <v>0.47331381951798335</v>
      </c>
      <c r="Y931" s="179">
        <f>+Y874+Y887</f>
        <v>12602.400000000001</v>
      </c>
      <c r="Z931" s="9">
        <f t="shared" si="3863"/>
        <v>-0.88712721781803339</v>
      </c>
      <c r="AA931" s="179">
        <f>+AA874+AA887</f>
        <v>13310.7</v>
      </c>
      <c r="AB931" s="9">
        <f t="shared" ref="AB931:AB940" si="3864">IF(ISERROR(AA931/S931),"NA",IF(OR(AA931/S931&gt;2,AA931/S931&lt;0.5),"NM",AA931/S931*100-100))</f>
        <v>2.8870234672108381</v>
      </c>
      <c r="AC931" s="179">
        <f>+AC874+AC887</f>
        <v>13769.900000000001</v>
      </c>
      <c r="AD931" s="9">
        <f t="shared" ref="AD931:AD940" si="3865">IF(ISERROR(AC931/U931),"NA",IF(OR(AC931/U931&gt;2,AC931/U931&lt;0.5),"NM",AC931/U931*100-100))</f>
        <v>5.8465866726111528</v>
      </c>
      <c r="AE931" s="179">
        <f>+AE874+AE887</f>
        <v>14072.8</v>
      </c>
      <c r="AF931" s="9">
        <f t="shared" ref="AF931:AF940" si="3866">IF(ISERROR(AE931/W931),"NA",IF(OR(AE931/W931&gt;2,AE931/W931&lt;0.5),"NM",AE931/W931*100-100))</f>
        <v>9.0373768053058967</v>
      </c>
      <c r="AG931" s="179">
        <f>+AG874+AG887</f>
        <v>13353</v>
      </c>
      <c r="AH931" s="9">
        <f t="shared" ref="AH931:AH940" si="3867">IF(ISERROR(AG931/Y931),"NA",IF(OR(AG931/Y931&gt;2,AG931/Y931&lt;0.5),"NM",AG931/Y931*100-100))</f>
        <v>5.9560083793563052</v>
      </c>
      <c r="AI931" s="179">
        <f>+AI874+AI887</f>
        <v>13742.3</v>
      </c>
      <c r="AJ931" s="9">
        <f t="shared" ref="AJ931:AJ940" si="3868">IF(ISERROR(AI931/AA931),"NA",IF(OR(AI931/AA931&gt;2,AI931/AA931&lt;0.5),"NM",AI931/AA931*100-100))</f>
        <v>3.2425041507959662</v>
      </c>
      <c r="AK931" s="179">
        <f>+AK874+AK887</f>
        <v>14294.900000000001</v>
      </c>
      <c r="AL931" s="9">
        <f t="shared" ref="AL931:AL940" si="3869">IF(ISERROR(AK931/AC931),"NA",IF(OR(AK931/AC931&gt;2,AK931/AC931&lt;0.5),"NM",AK931/AC931*100-100))</f>
        <v>3.8126638537680009</v>
      </c>
      <c r="AM931" s="179">
        <f>+AM874+AM887</f>
        <v>15171.8</v>
      </c>
      <c r="AN931" s="9">
        <f t="shared" ref="AN931:AN940" si="3870">IF(ISERROR(AM931/AE931),"NA",IF(OR(AM931/AE931&gt;2,AM931/AE931&lt;0.5),"NM",AM931/AE931*100-100))</f>
        <v>7.8093911659371287</v>
      </c>
      <c r="AO931" s="179">
        <f>+AO874+AO887</f>
        <v>16027.699999999999</v>
      </c>
      <c r="AP931" s="9">
        <f t="shared" ref="AP931:AP940" si="3871">IF(ISERROR(AO931/AG931),"NA",IF(OR(AO931/AG931&gt;2,AO931/AG931&lt;0.5),"NM",AO931/AG931*100-100))</f>
        <v>20.03070471055193</v>
      </c>
      <c r="AQ931" s="179">
        <f t="shared" ref="AQ931:AW931" si="3872">+AQ874+AQ887</f>
        <v>16185.720347073107</v>
      </c>
      <c r="AR931" s="9">
        <f t="shared" ref="AR931:AR940" si="3873">IF(ISERROR(AQ931/AI931),"NA",IF(OR(AQ931/AI931&gt;2,AQ931/AI931&lt;0.5),"NM",AQ931/AI931*100-100))</f>
        <v>17.780286757479516</v>
      </c>
      <c r="AS931" s="179">
        <f t="shared" si="3872"/>
        <v>16366.661564202181</v>
      </c>
      <c r="AT931" s="9">
        <f t="shared" ref="AT931:AT940" si="3874">IF(ISERROR(AS931/AK931),"NA",IF(OR(AS931/AK931&gt;2,AS931/AK931&lt;0.5),"NM",AS931/AK931*100-100))</f>
        <v>14.493011942736061</v>
      </c>
      <c r="AU931" s="179">
        <f t="shared" si="3872"/>
        <v>16557.476340336554</v>
      </c>
      <c r="AV931" s="9">
        <f t="shared" ref="AV931:AV940" si="3875">IF(ISERROR(AU931/AM931),"NA",IF(OR(AU931/AM931&gt;2,AU931/AM931&lt;0.5),"NM",AU931/AM931*100-100))</f>
        <v>9.1332362695036409</v>
      </c>
      <c r="AW931" s="179">
        <f t="shared" si="3872"/>
        <v>16788.096607549884</v>
      </c>
      <c r="AX931" s="9">
        <f t="shared" ref="AX931:AX940" si="3876">IF(ISERROR(AW931/AO931),"NA",IF(OR(AW931/AO931&gt;2,AW931/AO931&lt;0.5),"NM",AW931/AO931*100-100))</f>
        <v>4.7442652879070977</v>
      </c>
      <c r="AY931" s="297"/>
      <c r="AZ931" s="178"/>
      <c r="BA931" s="9" t="str">
        <f>IF(ISERROR(#REF!/#REF!),"NA",IF(OR(#REF!/#REF!&gt;2,#REF!/#REF!&lt;0.5),"NM",#REF!/#REF!*100-100))</f>
        <v>NA</v>
      </c>
      <c r="BB931" s="179">
        <f>+BB874+BB887</f>
        <v>13009.3</v>
      </c>
      <c r="BC931" s="9" t="str">
        <f>IF(ISERROR(BB931/#REF!),"NA",IF(OR(BB931/#REF!&gt;2,BB931/#REF!&lt;0.5),"NM",BB931/#REF!*100-100))</f>
        <v>NA</v>
      </c>
      <c r="BD931" s="976">
        <f>+BD874+BD887</f>
        <v>12906.4</v>
      </c>
      <c r="BE931" s="9">
        <f>IF(ISERROR(BD931/BB931),"NA",IF(OR(BD931/BB931&gt;2,BD931/BB931&lt;0.5),"NM",BD931/BB931*100-100))</f>
        <v>-0.79097261190071322</v>
      </c>
      <c r="BF931" s="179">
        <f>+BF874+BF887</f>
        <v>12602.400000000001</v>
      </c>
      <c r="BG931" s="9">
        <f>IF(ISERROR(BF931/BD931),"NA",IF(OR(BF931/BD931&gt;2,BF931/BD931&lt;0.5),"NM",BF931/BD931*100-100))</f>
        <v>-2.3554205665406158</v>
      </c>
      <c r="BH931" s="179">
        <f>+BH874+BH887</f>
        <v>13353</v>
      </c>
      <c r="BI931" s="9">
        <f>IF(ISERROR(BH931/BF931),"NA",IF(OR(BH931/BF931&gt;2,BH931/BF931&lt;0.5),"NM",BH931/BF931*100-100))</f>
        <v>5.9560083793563052</v>
      </c>
      <c r="BJ931" s="179">
        <f>+BJ874+BJ887</f>
        <v>16027.699999999999</v>
      </c>
      <c r="BK931" s="9">
        <f>IF(ISERROR(BJ931/BH931),"NA",IF(OR(BJ931/BH931&gt;2,BJ931/BH931&lt;0.5),"NM",BJ931/BH931*100-100))</f>
        <v>20.03070471055193</v>
      </c>
      <c r="BL931" s="179">
        <f>+BL874+BL887</f>
        <v>16788.096607549884</v>
      </c>
      <c r="BM931" s="9">
        <f>IF(ISERROR(BL931/BJ931),"NA",IF(OR(BL931/BJ931&gt;2,BL931/BJ931&lt;0.5),"NM",BL931/BJ931*100-100))</f>
        <v>4.7442652879070977</v>
      </c>
      <c r="BN931" s="179">
        <f>+BN874+BN887</f>
        <v>17585.965494481727</v>
      </c>
      <c r="BO931" s="9">
        <f>IF(ISERROR(BN931/BL931),"NA",IF(OR(BN931/BL931&gt;2,BN931/BL931&lt;0.5),"NM",BN931/BL931*100-100))</f>
        <v>4.752586940517304</v>
      </c>
      <c r="BP931" s="179">
        <f>+BP874+BP887</f>
        <v>18398.181834934952</v>
      </c>
      <c r="BQ931" s="9">
        <f>IF(ISERROR(BP931/BN931),"NA",IF(OR(BP931/BN931&gt;2,BP931/BN931&lt;0.5),"NM",BP931/BN931*100-100))</f>
        <v>4.6185484709843792</v>
      </c>
      <c r="BR931" s="179">
        <f>+BR874+BR887</f>
        <v>19222.261268885632</v>
      </c>
      <c r="BS931" s="9">
        <f>IF(ISERROR(BR931/BP931),"NA",IF(OR(BR931/BP931&gt;2,BR931/BP931&lt;0.5),"NM",BR931/BP931*100-100))</f>
        <v>4.4791351740306027</v>
      </c>
      <c r="BT931" s="179">
        <f>+BT874+BT887</f>
        <v>20066.446480053222</v>
      </c>
      <c r="BU931" s="9">
        <f>IF(ISERROR(BT931/BR931),"NA",IF(OR(BT931/BR931&gt;2,BT931/BR931&lt;0.5),"NM",BT931/BR931*100-100))</f>
        <v>4.39170605039088</v>
      </c>
      <c r="BV931" s="43">
        <f t="shared" ref="BV931:BV940" si="3877">IF(ISERROR(((BT931/BJ931)^0.2-1)*100),"NA",IF((((BT931/BJ931)^0.2-1)*100)&gt;100,"NM",IF((((BT931/BJ931)^0.2-1)*100)&lt;-50,"NM",((BT931/BJ931)^0.2-1)*100)))</f>
        <v>4.5971504683789632</v>
      </c>
      <c r="BW931" s="180"/>
      <c r="BX931" s="180"/>
      <c r="BY931"/>
      <c r="BZ931"/>
      <c r="CA931"/>
      <c r="CB931"/>
      <c r="CC931"/>
      <c r="CD931"/>
    </row>
    <row r="932" spans="1:82" s="2" customFormat="1" ht="12.75" customHeight="1" x14ac:dyDescent="0.2">
      <c r="A932" s="7" t="s">
        <v>208</v>
      </c>
      <c r="B932" s="17" t="s">
        <v>377</v>
      </c>
      <c r="C932" s="182">
        <f>C874/(C874+C887)*100</f>
        <v>22.298846900696017</v>
      </c>
      <c r="D932" s="9" t="str">
        <f>IF(ISERROR(C932/#REF!),"NA",IF(OR(C932/#REF!&gt;2,C932/#REF!&lt;0.5),"NM",C932/#REF!*100-100))</f>
        <v>NA</v>
      </c>
      <c r="E932" s="182">
        <f>E874/(E874+E887)*100</f>
        <v>21.701733714862819</v>
      </c>
      <c r="F932" s="9" t="str">
        <f>IF(ISERROR(E932/#REF!),"NA",IF(OR(E932/#REF!&gt;2,E932/#REF!&lt;0.5),"NM",E932/#REF!*100-100))</f>
        <v>NA</v>
      </c>
      <c r="G932" s="182">
        <f>G874/(G874+G887)*100</f>
        <v>21.844386229436392</v>
      </c>
      <c r="H932" s="9" t="str">
        <f>IF(ISERROR(G932/#REF!),"NA",IF(OR(G932/#REF!&gt;2,G932/#REF!&lt;0.5),"NM",G932/#REF!*100-100))</f>
        <v>NA</v>
      </c>
      <c r="I932" s="182">
        <f>I874/(I874+I887)*100</f>
        <v>21.174383017516444</v>
      </c>
      <c r="J932" s="9" t="str">
        <f>IF(ISERROR(I932/#REF!),"NA",IF(OR(I932/#REF!&gt;2,I932/#REF!&lt;0.5),"NM",I932/#REF!*100-100))</f>
        <v>NA</v>
      </c>
      <c r="K932" s="182">
        <f>K874/(K874+K887)*100</f>
        <v>20.121722022728907</v>
      </c>
      <c r="L932" s="9">
        <f t="shared" si="3862"/>
        <v>-9.7633966799384382</v>
      </c>
      <c r="M932" s="182">
        <f>M874/(M874+M887)*100</f>
        <v>19.560442959663451</v>
      </c>
      <c r="N932" s="9">
        <f t="shared" si="3863"/>
        <v>-9.866911018878028</v>
      </c>
      <c r="O932" s="182">
        <f>O874/(O874+O887)*100</f>
        <v>19.689232110605968</v>
      </c>
      <c r="P932" s="9">
        <f t="shared" si="3863"/>
        <v>-9.8659403665288039</v>
      </c>
      <c r="Q932" s="182">
        <f>Q874/(Q874+Q887)*100</f>
        <v>19.90688310054108</v>
      </c>
      <c r="R932" s="9">
        <f t="shared" si="3863"/>
        <v>-5.9860063734883227</v>
      </c>
      <c r="S932" s="182">
        <f>S874/(S874+S887)*100</f>
        <v>19.436972451535105</v>
      </c>
      <c r="T932" s="9">
        <f t="shared" si="3863"/>
        <v>-3.4030366308625588</v>
      </c>
      <c r="U932" s="182">
        <f>U874/(U874+U887)*100</f>
        <v>25.48868886104556</v>
      </c>
      <c r="V932" s="9">
        <f t="shared" si="3863"/>
        <v>30.307319285187134</v>
      </c>
      <c r="W932" s="182">
        <f>W874/(W874+W887)*100</f>
        <v>25.46101159114858</v>
      </c>
      <c r="X932" s="9">
        <f t="shared" si="3863"/>
        <v>29.314396052213425</v>
      </c>
      <c r="Y932" s="182">
        <f>Y874/(Y874+Y887)*100</f>
        <v>26.112486510505935</v>
      </c>
      <c r="Z932" s="9">
        <f t="shared" si="3863"/>
        <v>31.173154424140762</v>
      </c>
      <c r="AA932" s="182">
        <f>AA874/(AA874+AA887)*100</f>
        <v>24.559940498997047</v>
      </c>
      <c r="AB932" s="9">
        <f t="shared" si="3864"/>
        <v>26.356821054491618</v>
      </c>
      <c r="AC932" s="182">
        <f>AC874/(AC874+AC887)*100</f>
        <v>23.748901589699265</v>
      </c>
      <c r="AD932" s="9">
        <f t="shared" si="3865"/>
        <v>-6.8257228954809648</v>
      </c>
      <c r="AE932" s="182">
        <f>AE874/(AE874+AE887)*100</f>
        <v>23.294582456938208</v>
      </c>
      <c r="AF932" s="9">
        <f t="shared" si="3866"/>
        <v>-8.5088101329152295</v>
      </c>
      <c r="AG932" s="182">
        <f>AG874/(AG874+AG887)*100</f>
        <v>23.408222871264883</v>
      </c>
      <c r="AH932" s="9">
        <f t="shared" si="3867"/>
        <v>-10.356208851091353</v>
      </c>
      <c r="AI932" s="182">
        <f>AI874/(AI874+AI887)*100</f>
        <v>22.74873929400464</v>
      </c>
      <c r="AJ932" s="9">
        <f t="shared" si="3868"/>
        <v>-7.3746156065254809</v>
      </c>
      <c r="AK932" s="182">
        <f>AK874/(AK874+AK887)*100</f>
        <v>21.873535316791301</v>
      </c>
      <c r="AL932" s="9">
        <f t="shared" si="3869"/>
        <v>-7.8966442545762874</v>
      </c>
      <c r="AM932" s="182">
        <f>AM874/(AM874+AM887)*100</f>
        <v>20.929619425513124</v>
      </c>
      <c r="AN932" s="9">
        <f t="shared" si="3870"/>
        <v>-10.152416493392394</v>
      </c>
      <c r="AO932" s="182">
        <f>AO874/(AO874+AO887)*100</f>
        <v>19.830668155755351</v>
      </c>
      <c r="AP932" s="9">
        <f t="shared" si="3871"/>
        <v>-15.283324732443532</v>
      </c>
      <c r="AQ932" s="182">
        <f t="shared" ref="AQ932:AW932" si="3878">AQ874/(AQ874+AQ887)*100</f>
        <v>19.637062372542204</v>
      </c>
      <c r="AR932" s="9">
        <f t="shared" si="3873"/>
        <v>-13.678458754338578</v>
      </c>
      <c r="AS932" s="182">
        <f t="shared" si="3878"/>
        <v>19.419965321161918</v>
      </c>
      <c r="AT932" s="9">
        <f t="shared" si="3874"/>
        <v>-11.217071040847657</v>
      </c>
      <c r="AU932" s="182">
        <f t="shared" si="3878"/>
        <v>19.196162112319797</v>
      </c>
      <c r="AV932" s="9">
        <f t="shared" si="3875"/>
        <v>-8.2823164528268904</v>
      </c>
      <c r="AW932" s="182">
        <f t="shared" si="3878"/>
        <v>18.93246193598041</v>
      </c>
      <c r="AX932" s="9">
        <f t="shared" si="3876"/>
        <v>-4.5293795081446007</v>
      </c>
      <c r="AY932" s="298"/>
      <c r="AZ932" s="184"/>
      <c r="BA932" s="9" t="str">
        <f>IF(ISERROR(#REF!/#REF!),"NA",IF(OR(#REF!/#REF!&gt;2,#REF!/#REF!&lt;0.5),"NM",#REF!/#REF!*100-100))</f>
        <v>NA</v>
      </c>
      <c r="BB932" s="182">
        <f>BB874/(BB874+BB887)*100</f>
        <v>25.48868886104556</v>
      </c>
      <c r="BC932" s="9" t="str">
        <f>IF(ISERROR(BB932/#REF!),"NA",IF(OR(BB932/#REF!&gt;2,BB932/#REF!&lt;0.5),"NM",BB932/#REF!*100-100))</f>
        <v>NA</v>
      </c>
      <c r="BD932" s="977">
        <f>BD874/(BD874+BD887)*100</f>
        <v>25.46101159114858</v>
      </c>
      <c r="BE932" s="9">
        <f>IF(ISERROR(BD932/BB932),"NA",IF(OR(BD932/BB932&gt;2,BD932/BB932&lt;0.5),"NM",BD932/BB932*100-100))</f>
        <v>-0.10858647946885469</v>
      </c>
      <c r="BF932" s="182">
        <f>BF874/(BF874+BF887)*100</f>
        <v>26.112486510505935</v>
      </c>
      <c r="BG932" s="9">
        <f>IF(ISERROR(BF932/BD932),"NA",IF(OR(BF932/BD932&gt;2,BF932/BD932&lt;0.5),"NM",BF932/BD932*100-100))</f>
        <v>2.5587157722509346</v>
      </c>
      <c r="BH932" s="182">
        <f>BH874/(BH874+BH887)*100</f>
        <v>23.408222871264883</v>
      </c>
      <c r="BI932" s="9">
        <f>IF(ISERROR(BH932/BF932),"NA",IF(OR(BH932/BF932&gt;2,BH932/BF932&lt;0.5),"NM",BH932/BF932*100-100))</f>
        <v>-10.356208851091353</v>
      </c>
      <c r="BJ932" s="182">
        <f>BJ874/(BJ874+BJ887)*100</f>
        <v>19.830668155755351</v>
      </c>
      <c r="BK932" s="9">
        <f>IF(ISERROR(BJ932/BH932),"NA",IF(OR(BJ932/BH932&gt;2,BJ932/BH932&lt;0.5),"NM",BJ932/BH932*100-100))</f>
        <v>-15.283324732443532</v>
      </c>
      <c r="BL932" s="182">
        <f>BL874/(BL874+BL887)*100</f>
        <v>18.93246193598041</v>
      </c>
      <c r="BM932" s="9">
        <f>IF(ISERROR(BL932/BJ932),"NA",IF(OR(BL932/BJ932&gt;2,BL932/BJ932&lt;0.5),"NM",BL932/BJ932*100-100))</f>
        <v>-4.5293795081446007</v>
      </c>
      <c r="BN932" s="182">
        <f>BN874/(BN874+BN887)*100</f>
        <v>18.073502993039227</v>
      </c>
      <c r="BO932" s="9">
        <f>IF(ISERROR(BN932/BL932),"NA",IF(OR(BN932/BL932&gt;2,BN932/BL932&lt;0.5),"NM",BN932/BL932*100-100))</f>
        <v>-4.5369637918498285</v>
      </c>
      <c r="BP932" s="182">
        <f>BP874/(BP874+BP887)*100</f>
        <v>17.275620104834331</v>
      </c>
      <c r="BQ932" s="9">
        <f>IF(ISERROR(BP932/BN932),"NA",IF(OR(BP932/BN932&gt;2,BP932/BN932&lt;0.5),"NM",BP932/BN932*100-100))</f>
        <v>-4.4146554683515973</v>
      </c>
      <c r="BR932" s="182">
        <f>BR874/(BR874+BR887)*100</f>
        <v>16.534995313713477</v>
      </c>
      <c r="BS932" s="9">
        <f>IF(ISERROR(BR932/BP932),"NA",IF(OR(BR932/BP932&gt;2,BR932/BP932&lt;0.5),"NM",BR932/BP932*100-100))</f>
        <v>-4.2871097339863553</v>
      </c>
      <c r="BT932" s="182">
        <f>BT874/(BT874+BT887)*100</f>
        <v>15.839376459401745</v>
      </c>
      <c r="BU932" s="9">
        <f>IF(ISERROR(BT932/BR932),"NA",IF(OR(BT932/BR932&gt;2,BT932/BR932&lt;0.5),"NM",BT932/BR932*100-100))</f>
        <v>-4.2069492075078756</v>
      </c>
      <c r="BV932" s="43">
        <f t="shared" si="3877"/>
        <v>-4.3951010594392219</v>
      </c>
      <c r="BW932" s="180"/>
      <c r="BX932" s="180"/>
      <c r="BY932"/>
      <c r="BZ932"/>
      <c r="CA932"/>
      <c r="CB932"/>
      <c r="CC932"/>
      <c r="CD932"/>
    </row>
    <row r="933" spans="1:82" s="2" customFormat="1" ht="12.75" customHeight="1" x14ac:dyDescent="0.2">
      <c r="A933" s="7"/>
      <c r="B933" s="7" t="s">
        <v>378</v>
      </c>
      <c r="C933" s="182">
        <f>C860/C887*100</f>
        <v>27.926899502241969</v>
      </c>
      <c r="D933" s="9" t="str">
        <f>IF(ISERROR(C933/#REF!),"NA",IF(OR(C933/#REF!&gt;2,C933/#REF!&lt;0.5),"NM",C933/#REF!*100-100))</f>
        <v>NA</v>
      </c>
      <c r="E933" s="182">
        <f>E860/E887*100</f>
        <v>31.4444181697014</v>
      </c>
      <c r="F933" s="9" t="str">
        <f>IF(ISERROR(E933/#REF!),"NA",IF(OR(E933/#REF!&gt;2,E933/#REF!&lt;0.5),"NM",E933/#REF!*100-100))</f>
        <v>NA</v>
      </c>
      <c r="G933" s="182">
        <f>G860/G887*100</f>
        <v>32.415071564062771</v>
      </c>
      <c r="H933" s="9" t="str">
        <f>IF(ISERROR(G933/#REF!),"NA",IF(OR(G933/#REF!&gt;2,G933/#REF!&lt;0.5),"NM",G933/#REF!*100-100))</f>
        <v>NA</v>
      </c>
      <c r="I933" s="182">
        <f>I860/I887*100</f>
        <v>31.773404101526193</v>
      </c>
      <c r="J933" s="9" t="str">
        <f>IF(ISERROR(I933/#REF!),"NA",IF(OR(I933/#REF!&gt;2,I933/#REF!&lt;0.5),"NM",I933/#REF!*100-100))</f>
        <v>NA</v>
      </c>
      <c r="K933" s="182">
        <f>K860/K887*100</f>
        <v>30.492896404649628</v>
      </c>
      <c r="L933" s="9">
        <f t="shared" si="3862"/>
        <v>9.1882627436019675</v>
      </c>
      <c r="M933" s="182">
        <f>M860/M887*100</f>
        <v>29.118037262781442</v>
      </c>
      <c r="N933" s="9">
        <f t="shared" si="3863"/>
        <v>-7.3983906916794808</v>
      </c>
      <c r="O933" s="182">
        <f>O860/O887*100</f>
        <v>28.938389360629678</v>
      </c>
      <c r="P933" s="9">
        <f t="shared" si="3863"/>
        <v>-10.725511423172492</v>
      </c>
      <c r="Q933" s="182">
        <f>Q860/Q887*100</f>
        <v>29.389238020424198</v>
      </c>
      <c r="R933" s="9">
        <f t="shared" si="3863"/>
        <v>-7.5036532865154157</v>
      </c>
      <c r="S933" s="182">
        <f>S860/S887*100</f>
        <v>28.98317118569263</v>
      </c>
      <c r="T933" s="9">
        <f t="shared" si="3863"/>
        <v>-4.9510718789140356</v>
      </c>
      <c r="U933" s="182">
        <f>U860/U887*100</f>
        <v>32.624259805640953</v>
      </c>
      <c r="V933" s="9">
        <f t="shared" si="3863"/>
        <v>12.04141100314186</v>
      </c>
      <c r="W933" s="182">
        <f>W860/W887*100</f>
        <v>32.691288213465278</v>
      </c>
      <c r="X933" s="9">
        <f t="shared" si="3863"/>
        <v>12.968582342531377</v>
      </c>
      <c r="Y933" s="182">
        <f>Y860/Y887*100</f>
        <v>35.182997551441211</v>
      </c>
      <c r="Z933" s="9">
        <f t="shared" si="3863"/>
        <v>19.713881411252004</v>
      </c>
      <c r="AA933" s="182">
        <f>AA860/AA887*100</f>
        <v>32.059631931166351</v>
      </c>
      <c r="AB933" s="9">
        <f t="shared" si="3864"/>
        <v>10.614645049581029</v>
      </c>
      <c r="AC933" s="182">
        <f>AC860/AC887*100</f>
        <v>30.226577902225777</v>
      </c>
      <c r="AD933" s="9">
        <f t="shared" si="3865"/>
        <v>-7.3493833046308765</v>
      </c>
      <c r="AE933" s="182">
        <f>AE860/AE887*100</f>
        <v>29.418412910158782</v>
      </c>
      <c r="AF933" s="9">
        <f t="shared" si="3866"/>
        <v>-10.011460184546735</v>
      </c>
      <c r="AG933" s="182">
        <f>AG860/AG887*100</f>
        <v>33.05075630909429</v>
      </c>
      <c r="AH933" s="9">
        <f t="shared" si="3867"/>
        <v>-6.0604308635992794</v>
      </c>
      <c r="AI933" s="182">
        <f>AI860/AI887*100</f>
        <v>32.316952553197503</v>
      </c>
      <c r="AJ933" s="9">
        <f t="shared" si="3868"/>
        <v>0.80263124225390925</v>
      </c>
      <c r="AK933" s="182">
        <f>AK860/AK887*100</f>
        <v>30.911256167118843</v>
      </c>
      <c r="AL933" s="9">
        <f t="shared" si="3869"/>
        <v>2.2651530950933392</v>
      </c>
      <c r="AM933" s="182">
        <f>AM860/AM887*100</f>
        <v>29.020372778500221</v>
      </c>
      <c r="AN933" s="9">
        <f t="shared" si="3870"/>
        <v>-1.3530306100269343</v>
      </c>
      <c r="AO933" s="182">
        <f>AO860/AO887*100</f>
        <v>27.555586685656031</v>
      </c>
      <c r="AP933" s="9">
        <f t="shared" si="3871"/>
        <v>-16.626456508428518</v>
      </c>
      <c r="AQ933" s="182">
        <f t="shared" ref="AQ933:AW933" si="3879">AQ860/AQ887*100</f>
        <v>27.530106041658652</v>
      </c>
      <c r="AR933" s="9">
        <f t="shared" si="3873"/>
        <v>-14.812184111911975</v>
      </c>
      <c r="AS933" s="182">
        <f t="shared" si="3879"/>
        <v>27.46086599960514</v>
      </c>
      <c r="AT933" s="9">
        <f t="shared" si="3874"/>
        <v>-11.162245069755457</v>
      </c>
      <c r="AU933" s="182">
        <f t="shared" si="3879"/>
        <v>27.377102254716686</v>
      </c>
      <c r="AV933" s="9">
        <f t="shared" si="3875"/>
        <v>-5.6624721409538665</v>
      </c>
      <c r="AW933" s="182">
        <f t="shared" si="3879"/>
        <v>27.21892280038205</v>
      </c>
      <c r="AX933" s="9">
        <f t="shared" si="3876"/>
        <v>-1.2217627195331318</v>
      </c>
      <c r="AY933" s="298"/>
      <c r="AZ933" s="184"/>
      <c r="BA933" s="9" t="str">
        <f>IF(ISERROR(#REF!/#REF!),"NA",IF(OR(#REF!/#REF!&gt;2,#REF!/#REF!&lt;0.5),"NM",#REF!/#REF!*100-100))</f>
        <v>NA</v>
      </c>
      <c r="BB933" s="182">
        <f>BB860/BB887*100</f>
        <v>32.624259805640953</v>
      </c>
      <c r="BC933" s="9" t="str">
        <f>IF(ISERROR(BB933/#REF!),"NA",IF(OR(BB933/#REF!&gt;2,BB933/#REF!&lt;0.5),"NM",BB933/#REF!*100-100))</f>
        <v>NA</v>
      </c>
      <c r="BD933" s="977">
        <f>BD860/BD887*100</f>
        <v>32.691288213465278</v>
      </c>
      <c r="BE933" s="9">
        <f t="shared" ref="BE933:BS940" si="3880">IF(ISERROR(BD933/BB933),"NA",IF(OR(BD933/BB933&gt;2,BD933/BB933&lt;0.5),"NM",BD933/BB933*100-100))</f>
        <v>0.20545571983439004</v>
      </c>
      <c r="BF933" s="182">
        <f>BF860/BF887*100</f>
        <v>35.182997551441211</v>
      </c>
      <c r="BG933" s="9">
        <f t="shared" si="3880"/>
        <v>7.621936834381529</v>
      </c>
      <c r="BH933" s="182">
        <f>BH860/BH887*100</f>
        <v>33.05075630909429</v>
      </c>
      <c r="BI933" s="9">
        <f t="shared" si="3880"/>
        <v>-6.0604308635992794</v>
      </c>
      <c r="BJ933" s="182">
        <f>BJ860/BJ887*100</f>
        <v>27.555586685656031</v>
      </c>
      <c r="BK933" s="9">
        <f t="shared" si="3880"/>
        <v>-16.626456508428518</v>
      </c>
      <c r="BL933" s="182">
        <f>BL860/BL887*100</f>
        <v>27.21892280038205</v>
      </c>
      <c r="BM933" s="9">
        <f t="shared" si="3880"/>
        <v>-1.2217627195331318</v>
      </c>
      <c r="BN933" s="182">
        <f>BN860/BN887*100</f>
        <v>26.97956667496959</v>
      </c>
      <c r="BO933" s="9">
        <f t="shared" si="3880"/>
        <v>-0.87937398246009479</v>
      </c>
      <c r="BP933" s="182">
        <f>BP860/BP887*100</f>
        <v>26.794591499799964</v>
      </c>
      <c r="BQ933" s="9">
        <f t="shared" si="3880"/>
        <v>-0.68561210562820918</v>
      </c>
      <c r="BR933" s="182">
        <f>BR860/BR887*100</f>
        <v>26.66285857744014</v>
      </c>
      <c r="BS933" s="9">
        <f t="shared" si="3880"/>
        <v>-0.49163997279379146</v>
      </c>
      <c r="BT933" s="182">
        <f>BT860/BT887*100</f>
        <v>26.566369783253929</v>
      </c>
      <c r="BU933" s="9">
        <f t="shared" ref="BU933:BU940" si="3881">IF(ISERROR(BT933/BR933),"NA",IF(OR(BT933/BR933&gt;2,BT933/BR933&lt;0.5),"NM",BT933/BR933*100-100))</f>
        <v>-0.36188465653810908</v>
      </c>
      <c r="BV933" s="43">
        <f t="shared" si="3877"/>
        <v>-0.72851688690048766</v>
      </c>
      <c r="BW933" s="180"/>
      <c r="BX933" s="180"/>
      <c r="BY933"/>
      <c r="BZ933"/>
      <c r="CA933"/>
      <c r="CB933"/>
      <c r="CC933"/>
      <c r="CD933"/>
    </row>
    <row r="934" spans="1:82" s="2" customFormat="1" ht="12.75" customHeight="1" x14ac:dyDescent="0.2">
      <c r="A934" s="7" t="s">
        <v>209</v>
      </c>
      <c r="B934" s="7" t="s">
        <v>379</v>
      </c>
      <c r="C934" s="182">
        <f>C875/(C887+C875)*100</f>
        <v>22.586500644873652</v>
      </c>
      <c r="D934" s="9" t="str">
        <f>IF(ISERROR(C934/#REF!),"NA",IF(OR(C934/#REF!&gt;2,C934/#REF!&lt;0.5),"NM",C934/#REF!*100-100))</f>
        <v>NA</v>
      </c>
      <c r="E934" s="182">
        <f>E875/(E887+E875)*100</f>
        <v>22.840105164506152</v>
      </c>
      <c r="F934" s="9" t="str">
        <f>IF(ISERROR(E934/#REF!),"NA",IF(OR(E934/#REF!&gt;2,E934/#REF!&lt;0.5),"NM",E934/#REF!*100-100))</f>
        <v>NA</v>
      </c>
      <c r="G934" s="182">
        <f>G875/(G887+G875)*100</f>
        <v>22.982933793744607</v>
      </c>
      <c r="H934" s="9" t="str">
        <f>IF(ISERROR(G934/#REF!),"NA",IF(OR(G934/#REF!&gt;2,G934/#REF!&lt;0.5),"NM",G934/#REF!*100-100))</f>
        <v>NA</v>
      </c>
      <c r="I934" s="182">
        <f>I875/(I887+I875)*100</f>
        <v>22.128946141104194</v>
      </c>
      <c r="J934" s="9" t="str">
        <f>IF(ISERROR(I934/#REF!),"NA",IF(OR(I934/#REF!&gt;2,I934/#REF!&lt;0.5),"NM",I934/#REF!*100-100))</f>
        <v>NA</v>
      </c>
      <c r="K934" s="182">
        <f>K875/(K887+K875)*100</f>
        <v>21.061117389964199</v>
      </c>
      <c r="L934" s="9">
        <f t="shared" si="3862"/>
        <v>-6.7535174168543222</v>
      </c>
      <c r="M934" s="182">
        <f>M875/(M887+M875)*100</f>
        <v>20.474319179192342</v>
      </c>
      <c r="N934" s="9">
        <f t="shared" si="3863"/>
        <v>-10.358034554894573</v>
      </c>
      <c r="O934" s="182">
        <f>O875/(O887+O875)*100</f>
        <v>20.471172303209244</v>
      </c>
      <c r="P934" s="9">
        <f t="shared" si="3863"/>
        <v>-10.928811408833297</v>
      </c>
      <c r="Q934" s="182">
        <f>Q875/(Q887+Q875)*100</f>
        <v>20.082867725532047</v>
      </c>
      <c r="R934" s="9">
        <f t="shared" si="3863"/>
        <v>-9.2461629330444595</v>
      </c>
      <c r="S934" s="182">
        <f>S875/(S887+S875)*100</f>
        <v>19.605997963654314</v>
      </c>
      <c r="T934" s="9">
        <f t="shared" si="3863"/>
        <v>-6.9090324096634248</v>
      </c>
      <c r="U934" s="182">
        <f>U875/(U887+U875)*100</f>
        <v>25.640730597810663</v>
      </c>
      <c r="V934" s="9">
        <f t="shared" si="3863"/>
        <v>25.233617652443584</v>
      </c>
      <c r="W934" s="182">
        <f t="shared" ref="W934:Y934" si="3882">W875/(W887+W875)*100</f>
        <v>26.719226081657528</v>
      </c>
      <c r="X934" s="9">
        <f t="shared" si="3863"/>
        <v>30.521230957881102</v>
      </c>
      <c r="Y934" s="182">
        <f t="shared" si="3882"/>
        <v>27.159228693237374</v>
      </c>
      <c r="Z934" s="9">
        <f t="shared" si="3863"/>
        <v>35.23580926995254</v>
      </c>
      <c r="AA934" s="182">
        <f t="shared" ref="AA934:AC934" si="3883">AA875/(AA887+AA875)*100</f>
        <v>25.248449748014263</v>
      </c>
      <c r="AB934" s="9">
        <f t="shared" si="3864"/>
        <v>28.779212335020901</v>
      </c>
      <c r="AC934" s="182">
        <f t="shared" si="3883"/>
        <v>23.892054103422776</v>
      </c>
      <c r="AD934" s="9">
        <f t="shared" si="3865"/>
        <v>-6.8199168027497592</v>
      </c>
      <c r="AE934" s="182">
        <f t="shared" ref="AE934:AG934" si="3884">AE875/(AE887+AE875)*100</f>
        <v>23.511447136267332</v>
      </c>
      <c r="AF934" s="9">
        <f t="shared" si="3866"/>
        <v>-12.00550845143043</v>
      </c>
      <c r="AG934" s="182">
        <f t="shared" si="3884"/>
        <v>23.701918772940228</v>
      </c>
      <c r="AH934" s="9">
        <f t="shared" si="3867"/>
        <v>-12.729779476977612</v>
      </c>
      <c r="AI934" s="182">
        <f t="shared" ref="AI934:AK934" si="3885">AI875/(AI887+AI875)*100</f>
        <v>23.081771942790073</v>
      </c>
      <c r="AJ934" s="9">
        <f t="shared" si="3868"/>
        <v>-8.581429065341311</v>
      </c>
      <c r="AK934" s="182">
        <f t="shared" si="3885"/>
        <v>22.102407075448667</v>
      </c>
      <c r="AL934" s="9">
        <f t="shared" si="3869"/>
        <v>-7.490553220025248</v>
      </c>
      <c r="AM934" s="182">
        <f t="shared" ref="AM934:AO934" si="3886">AM875/(AM887+AM875)*100</f>
        <v>21.23488240778433</v>
      </c>
      <c r="AN934" s="9">
        <f t="shared" si="3870"/>
        <v>-9.6827928765444256</v>
      </c>
      <c r="AO934" s="182">
        <f t="shared" si="3886"/>
        <v>20.027758414658436</v>
      </c>
      <c r="AP934" s="9">
        <f t="shared" si="3871"/>
        <v>-15.501531304193279</v>
      </c>
      <c r="AQ934" s="182">
        <f t="shared" ref="AQ934:AW934" si="3887">AQ875/(AQ887+AQ875)*100</f>
        <v>19.832704463582104</v>
      </c>
      <c r="AR934" s="9">
        <f t="shared" si="3873"/>
        <v>-14.076334725345305</v>
      </c>
      <c r="AS934" s="182">
        <f t="shared" si="3887"/>
        <v>19.613972393282864</v>
      </c>
      <c r="AT934" s="9">
        <f t="shared" si="3874"/>
        <v>-11.258659175316481</v>
      </c>
      <c r="AU934" s="182">
        <f t="shared" si="3887"/>
        <v>19.388471333657076</v>
      </c>
      <c r="AV934" s="9">
        <f t="shared" si="3875"/>
        <v>-8.6951791805091005</v>
      </c>
      <c r="AW934" s="182">
        <f t="shared" si="3887"/>
        <v>19.12275457421088</v>
      </c>
      <c r="AX934" s="9">
        <f t="shared" si="3876"/>
        <v>-4.5187475388417795</v>
      </c>
      <c r="AY934" s="298"/>
      <c r="AZ934" s="184"/>
      <c r="BA934" s="9" t="str">
        <f>IF(ISERROR(#REF!/#REF!),"NA",IF(OR(#REF!/#REF!&gt;2,#REF!/#REF!&lt;0.5),"NM",#REF!/#REF!*100-100))</f>
        <v>NA</v>
      </c>
      <c r="BB934" s="182">
        <f>BB875/(BB887+BB875)*100</f>
        <v>25.640730597810663</v>
      </c>
      <c r="BC934" s="9" t="str">
        <f>IF(ISERROR(BB934/#REF!),"NA",IF(OR(BB934/#REF!&gt;2,BB934/#REF!&lt;0.5),"NM",BB934/#REF!*100-100))</f>
        <v>NA</v>
      </c>
      <c r="BD934" s="977">
        <f>BD875/(BD887+BD875)*100</f>
        <v>26.719226081657528</v>
      </c>
      <c r="BE934" s="9">
        <f t="shared" si="3880"/>
        <v>4.2061807862017417</v>
      </c>
      <c r="BF934" s="182">
        <f>BF875/(BF887+BF875)*100</f>
        <v>27.159228693237374</v>
      </c>
      <c r="BG934" s="9">
        <f t="shared" si="3880"/>
        <v>1.6467640575933586</v>
      </c>
      <c r="BH934" s="182">
        <f>BH875/(BH887+BH875)*100</f>
        <v>23.701918772940228</v>
      </c>
      <c r="BI934" s="9">
        <f t="shared" si="3880"/>
        <v>-12.729779476977612</v>
      </c>
      <c r="BJ934" s="182">
        <f>BJ875/(BJ887+BJ875)*100</f>
        <v>20.027758414658436</v>
      </c>
      <c r="BK934" s="9">
        <f t="shared" si="3880"/>
        <v>-15.501531304193279</v>
      </c>
      <c r="BL934" s="182">
        <f>BL875/(BL887+BL875)*100</f>
        <v>19.12275457421088</v>
      </c>
      <c r="BM934" s="9">
        <f t="shared" si="3880"/>
        <v>-4.5187475388417795</v>
      </c>
      <c r="BN934" s="182">
        <f>BN875/(BN887+BN875)*100</f>
        <v>18.257106463414978</v>
      </c>
      <c r="BO934" s="9">
        <f t="shared" si="3880"/>
        <v>-4.5267961131673076</v>
      </c>
      <c r="BP934" s="182">
        <f>BP875/(BP887+BP875)*100</f>
        <v>17.452844825117097</v>
      </c>
      <c r="BQ934" s="9">
        <f t="shared" si="3880"/>
        <v>-4.4051977234701667</v>
      </c>
      <c r="BR934" s="182">
        <f>BR875/(BR887+BR875)*100</f>
        <v>16.706156592221998</v>
      </c>
      <c r="BS934" s="9">
        <f t="shared" si="3880"/>
        <v>-4.2783181789395712</v>
      </c>
      <c r="BT934" s="182">
        <f>BT875/(BT887+BT875)*100</f>
        <v>16.004717824114501</v>
      </c>
      <c r="BU934" s="9">
        <f t="shared" si="3881"/>
        <v>-4.1986842649019138</v>
      </c>
      <c r="BV934" s="43">
        <f t="shared" si="3877"/>
        <v>-4.3856371163123793</v>
      </c>
      <c r="BW934" s="180"/>
      <c r="BX934" s="180"/>
      <c r="BY934"/>
      <c r="BZ934"/>
      <c r="CA934"/>
      <c r="CB934"/>
      <c r="CC934"/>
      <c r="CD934"/>
    </row>
    <row r="935" spans="1:82" s="2" customFormat="1" ht="12.75" customHeight="1" x14ac:dyDescent="0.2">
      <c r="A935" s="7"/>
      <c r="B935" s="7" t="s">
        <v>380</v>
      </c>
      <c r="C935" s="182">
        <f>C875/C887*100</f>
        <v>29.176436710683284</v>
      </c>
      <c r="D935" s="9" t="str">
        <f>IF(ISERROR(C935/#REF!),"NA",IF(OR(C935/#REF!&gt;2,C935/#REF!&lt;0.5),"NM",C935/#REF!*100-100))</f>
        <v>NA</v>
      </c>
      <c r="E935" s="182">
        <f>E875/E887*100</f>
        <v>29.601006083797323</v>
      </c>
      <c r="F935" s="9" t="str">
        <f>IF(ISERROR(E935/#REF!),"NA",IF(OR(E935/#REF!&gt;2,E935/#REF!&lt;0.5),"NM",E935/#REF!*100-100))</f>
        <v>NA</v>
      </c>
      <c r="G935" s="182">
        <f>G875/G887*100</f>
        <v>29.841351957234007</v>
      </c>
      <c r="H935" s="9" t="str">
        <f>IF(ISERROR(G935/#REF!),"NA",IF(OR(G935/#REF!&gt;2,G935/#REF!&lt;0.5),"NM",G935/#REF!*100-100))</f>
        <v>NA</v>
      </c>
      <c r="I935" s="182">
        <f>I875/I887*100</f>
        <v>28.417422192850207</v>
      </c>
      <c r="J935" s="9" t="str">
        <f>IF(ISERROR(I935/#REF!),"NA",IF(OR(I935/#REF!&gt;2,I935/#REF!&lt;0.5),"NM",I935/#REF!*100-100))</f>
        <v>NA</v>
      </c>
      <c r="K935" s="182">
        <f>K875/K887*100</f>
        <v>26.680283142602551</v>
      </c>
      <c r="L935" s="9">
        <f t="shared" si="3862"/>
        <v>-8.5553749857560177</v>
      </c>
      <c r="M935" s="182">
        <f>M875/M887*100</f>
        <v>25.745544040454536</v>
      </c>
      <c r="N935" s="9">
        <f t="shared" si="3863"/>
        <v>-13.024766902950461</v>
      </c>
      <c r="O935" s="182">
        <f>O875/O887*100</f>
        <v>25.740568415338682</v>
      </c>
      <c r="P935" s="9">
        <f t="shared" si="3863"/>
        <v>-13.74194958650736</v>
      </c>
      <c r="Q935" s="182">
        <f>Q875/Q887*100</f>
        <v>25.129615082482324</v>
      </c>
      <c r="R935" s="9">
        <f t="shared" si="3863"/>
        <v>-11.569688088017685</v>
      </c>
      <c r="S935" s="182">
        <f>S875/S887*100</f>
        <v>24.387388943257918</v>
      </c>
      <c r="T935" s="9">
        <f t="shared" si="3863"/>
        <v>-8.5939650156237803</v>
      </c>
      <c r="U935" s="182">
        <f>U875/U887*100</f>
        <v>34.482225019085149</v>
      </c>
      <c r="V935" s="9">
        <f t="shared" si="3863"/>
        <v>33.934730471814731</v>
      </c>
      <c r="W935" s="182">
        <f t="shared" ref="W935:Y935" si="3888">W875/W887*100</f>
        <v>36.461440911406093</v>
      </c>
      <c r="X935" s="9">
        <f t="shared" si="3863"/>
        <v>41.649711549022726</v>
      </c>
      <c r="Y935" s="182">
        <f t="shared" si="3888"/>
        <v>37.285751106147167</v>
      </c>
      <c r="Z935" s="9">
        <f t="shared" si="3863"/>
        <v>48.373745414583766</v>
      </c>
      <c r="AA935" s="182">
        <f t="shared" ref="AA935:AC935" si="3889">AA875/AA887*100</f>
        <v>33.776489802421921</v>
      </c>
      <c r="AB935" s="9">
        <f t="shared" si="3864"/>
        <v>38.49982005457656</v>
      </c>
      <c r="AC935" s="182">
        <f t="shared" si="3889"/>
        <v>31.392325495014141</v>
      </c>
      <c r="AD935" s="9">
        <f t="shared" si="3865"/>
        <v>-8.9608472839580884</v>
      </c>
      <c r="AE935" s="182">
        <f t="shared" ref="AE935:AG935" si="3890">AE875/AE887*100</f>
        <v>30.738517406851575</v>
      </c>
      <c r="AF935" s="9">
        <f t="shared" si="3866"/>
        <v>-15.69582375655439</v>
      </c>
      <c r="AG935" s="182">
        <f t="shared" si="3890"/>
        <v>31.064894938057947</v>
      </c>
      <c r="AH935" s="9">
        <f t="shared" si="3867"/>
        <v>-16.684272097347147</v>
      </c>
      <c r="AI935" s="182">
        <f t="shared" ref="AI935:AK935" si="3891">AI875/AI887*100</f>
        <v>30.008195099895442</v>
      </c>
      <c r="AJ935" s="9">
        <f t="shared" si="3868"/>
        <v>-11.156561041628066</v>
      </c>
      <c r="AK935" s="182">
        <f t="shared" si="3891"/>
        <v>28.373671439188403</v>
      </c>
      <c r="AL935" s="9">
        <f t="shared" si="3869"/>
        <v>-9.615898179652774</v>
      </c>
      <c r="AM935" s="182">
        <f t="shared" ref="AM935:AO935" si="3892">AM875/AM887*100</f>
        <v>26.959754593044583</v>
      </c>
      <c r="AN935" s="9">
        <f t="shared" si="3870"/>
        <v>-12.29325007381361</v>
      </c>
      <c r="AO935" s="182">
        <f t="shared" si="3892"/>
        <v>25.043387577533409</v>
      </c>
      <c r="AP935" s="9">
        <f t="shared" si="3871"/>
        <v>-19.383639869155076</v>
      </c>
      <c r="AQ935" s="182">
        <f t="shared" ref="AQ935:AW935" si="3893">AQ875/AQ887*100</f>
        <v>24.739146220259641</v>
      </c>
      <c r="AR935" s="9">
        <f t="shared" si="3873"/>
        <v>-17.55869975550165</v>
      </c>
      <c r="AS935" s="182">
        <f t="shared" si="3893"/>
        <v>24.399728382204451</v>
      </c>
      <c r="AT935" s="9">
        <f t="shared" si="3874"/>
        <v>-14.005741433571856</v>
      </c>
      <c r="AU935" s="182">
        <f t="shared" si="3893"/>
        <v>24.05173509847133</v>
      </c>
      <c r="AV935" s="9">
        <f t="shared" si="3875"/>
        <v>-10.786520643342584</v>
      </c>
      <c r="AW935" s="182">
        <f t="shared" si="3893"/>
        <v>23.644171452101975</v>
      </c>
      <c r="AX935" s="9">
        <f t="shared" si="3876"/>
        <v>-5.5871679544131609</v>
      </c>
      <c r="AY935" s="298"/>
      <c r="AZ935" s="184"/>
      <c r="BA935" s="9" t="str">
        <f>IF(ISERROR(#REF!/#REF!),"NA",IF(OR(#REF!/#REF!&gt;2,#REF!/#REF!&lt;0.5),"NM",#REF!/#REF!*100-100))</f>
        <v>NA</v>
      </c>
      <c r="BB935" s="182">
        <f>BB875/BB887*100</f>
        <v>34.482225019085149</v>
      </c>
      <c r="BC935" s="9" t="str">
        <f>IF(ISERROR(BB935/#REF!),"NA",IF(OR(BB935/#REF!&gt;2,BB935/#REF!&lt;0.5),"NM",BB935/#REF!*100-100))</f>
        <v>NA</v>
      </c>
      <c r="BD935" s="977">
        <f>BD875/BD887*100</f>
        <v>36.461440911406093</v>
      </c>
      <c r="BE935" s="9">
        <f t="shared" si="3880"/>
        <v>5.7398149081896293</v>
      </c>
      <c r="BF935" s="182">
        <f>BF875/BF887*100</f>
        <v>37.285751106147167</v>
      </c>
      <c r="BG935" s="9">
        <f t="shared" si="3880"/>
        <v>2.2607724054131211</v>
      </c>
      <c r="BH935" s="182">
        <f>BH875/BH887*100</f>
        <v>31.064894938057947</v>
      </c>
      <c r="BI935" s="9">
        <f t="shared" si="3880"/>
        <v>-16.684272097347147</v>
      </c>
      <c r="BJ935" s="182">
        <f>BJ875/BJ887*100</f>
        <v>25.043387577533409</v>
      </c>
      <c r="BK935" s="9">
        <f t="shared" si="3880"/>
        <v>-19.383639869155076</v>
      </c>
      <c r="BL935" s="182">
        <f>BL875/BL887*100</f>
        <v>23.644171452101975</v>
      </c>
      <c r="BM935" s="9">
        <f t="shared" si="3880"/>
        <v>-5.5871679544131609</v>
      </c>
      <c r="BN935" s="182">
        <f>BN875/BN887*100</f>
        <v>22.334793489104701</v>
      </c>
      <c r="BO935" s="9">
        <f t="shared" si="3880"/>
        <v>-5.5378466767160575</v>
      </c>
      <c r="BP935" s="182">
        <f>BP875/BP887*100</f>
        <v>21.142878622699737</v>
      </c>
      <c r="BQ935" s="9">
        <f t="shared" si="3880"/>
        <v>-5.336583331233399</v>
      </c>
      <c r="BR935" s="182">
        <f>BR875/BR887*100</f>
        <v>20.056892452944453</v>
      </c>
      <c r="BS935" s="9">
        <f t="shared" si="3880"/>
        <v>-5.1364158548842624</v>
      </c>
      <c r="BT935" s="182">
        <f>BT875/BT887*100</f>
        <v>19.054305681836677</v>
      </c>
      <c r="BU935" s="9">
        <f t="shared" si="3881"/>
        <v>-4.9987143993514849</v>
      </c>
      <c r="BV935" s="43">
        <f t="shared" si="3877"/>
        <v>-5.3196159948408317</v>
      </c>
      <c r="BW935" s="180"/>
      <c r="BX935" s="180"/>
      <c r="BY935"/>
      <c r="BZ935"/>
      <c r="CA935"/>
      <c r="CB935"/>
      <c r="CC935"/>
      <c r="CD935"/>
    </row>
    <row r="936" spans="1:82" s="2" customFormat="1" ht="12.75" customHeight="1" x14ac:dyDescent="0.2">
      <c r="A936" s="7"/>
      <c r="B936" s="7" t="s">
        <v>381</v>
      </c>
      <c r="C936" s="182">
        <f>(C887+C875)/C878*100</f>
        <v>18.66464971276239</v>
      </c>
      <c r="D936" s="9" t="str">
        <f>IF(ISERROR(C936/#REF!),"NA",IF(OR(C936/#REF!&gt;2,C936/#REF!&lt;0.5),"NM",C936/#REF!*100-100))</f>
        <v>NA</v>
      </c>
      <c r="E936" s="182">
        <f>(E887+E875)/E878*100</f>
        <v>18.34780994351382</v>
      </c>
      <c r="F936" s="9" t="str">
        <f>IF(ISERROR(E936/#REF!),"NA",IF(OR(E936/#REF!&gt;2,E936/#REF!&lt;0.5),"NM",E936/#REF!*100-100))</f>
        <v>NA</v>
      </c>
      <c r="G936" s="182">
        <f>(G887+G875)/G878*100</f>
        <v>18.297774746847264</v>
      </c>
      <c r="H936" s="9" t="str">
        <f>IF(ISERROR(G936/#REF!),"NA",IF(OR(G936/#REF!&gt;2,G936/#REF!&lt;0.5),"NM",G936/#REF!*100-100))</f>
        <v>NA</v>
      </c>
      <c r="I936" s="182">
        <f>(I887+I875)/I878*100</f>
        <v>18.918170644144531</v>
      </c>
      <c r="J936" s="9" t="str">
        <f>IF(ISERROR(I936/#REF!),"NA",IF(OR(I936/#REF!&gt;2,I936/#REF!&lt;0.5),"NM",I936/#REF!*100-100))</f>
        <v>NA</v>
      </c>
      <c r="K936" s="182">
        <f>(K887+K875)/K878*100</f>
        <v>19.247572889379736</v>
      </c>
      <c r="L936" s="9">
        <f t="shared" si="3862"/>
        <v>3.1231401906179883</v>
      </c>
      <c r="M936" s="182">
        <f>(M887+M875)/M878*100</f>
        <v>19.771595280744318</v>
      </c>
      <c r="N936" s="9">
        <f t="shared" si="3863"/>
        <v>7.7599743054555859</v>
      </c>
      <c r="O936" s="182">
        <f>(O887+O875)/O878*100</f>
        <v>19.909537681377415</v>
      </c>
      <c r="P936" s="9">
        <f t="shared" si="3863"/>
        <v>8.8085188326403596</v>
      </c>
      <c r="Q936" s="182">
        <f>(Q887+Q875)/Q878*100</f>
        <v>19.228923661933578</v>
      </c>
      <c r="R936" s="9">
        <f t="shared" si="3863"/>
        <v>1.6426166336819108</v>
      </c>
      <c r="S936" s="182">
        <f>(S887+S875)/S878*100</f>
        <v>19.63550336007561</v>
      </c>
      <c r="T936" s="9">
        <f t="shared" si="3863"/>
        <v>2.0154773431715398</v>
      </c>
      <c r="U936" s="182">
        <f>(U887+U875)/U878*100</f>
        <v>19.679444212967155</v>
      </c>
      <c r="V936" s="9">
        <f t="shared" si="3863"/>
        <v>-0.466078060311645</v>
      </c>
      <c r="W936" s="182">
        <f t="shared" ref="W936:Y936" si="3894">(W887+W875)/W878*100</f>
        <v>19.251638031663731</v>
      </c>
      <c r="X936" s="9">
        <f t="shared" si="3863"/>
        <v>-3.3044446347393404</v>
      </c>
      <c r="Y936" s="182">
        <f t="shared" si="3894"/>
        <v>18.547374988211569</v>
      </c>
      <c r="Z936" s="9">
        <f t="shared" si="3863"/>
        <v>-3.5443932572847672</v>
      </c>
      <c r="AA936" s="182">
        <f t="shared" ref="AA936:AC936" si="3895">(AA887+AA875)/AA878*100</f>
        <v>18.706517682576994</v>
      </c>
      <c r="AB936" s="9">
        <f t="shared" si="3864"/>
        <v>-4.731152853394633</v>
      </c>
      <c r="AC936" s="182">
        <f t="shared" si="3895"/>
        <v>18.507319324304021</v>
      </c>
      <c r="AD936" s="9">
        <f t="shared" si="3865"/>
        <v>-5.9560873568309347</v>
      </c>
      <c r="AE936" s="182">
        <f t="shared" ref="AE936:AG936" si="3896">(AE887+AE875)/AE878*100</f>
        <v>18.783223707852301</v>
      </c>
      <c r="AF936" s="9">
        <f t="shared" si="3866"/>
        <v>-2.4331141227620066</v>
      </c>
      <c r="AG936" s="182">
        <f t="shared" si="3896"/>
        <v>17.925760892677324</v>
      </c>
      <c r="AH936" s="9">
        <f t="shared" si="3867"/>
        <v>-3.3514936530335575</v>
      </c>
      <c r="AI936" s="182">
        <f t="shared" ref="AI936:AK936" si="3897">(AI887+AI875)/AI878*100</f>
        <v>18.324338318762081</v>
      </c>
      <c r="AJ936" s="9">
        <f t="shared" si="3868"/>
        <v>-2.0430278382110032</v>
      </c>
      <c r="AK936" s="182">
        <f t="shared" si="3897"/>
        <v>18.748618723118227</v>
      </c>
      <c r="AL936" s="9">
        <f t="shared" si="3869"/>
        <v>1.3038052382731138</v>
      </c>
      <c r="AM936" s="182">
        <f t="shared" ref="AM936:AO936" si="3898">(AM887+AM875)/AM878*100</f>
        <v>19.373138922702566</v>
      </c>
      <c r="AN936" s="9">
        <f t="shared" si="3870"/>
        <v>3.1406494647862502</v>
      </c>
      <c r="AO936" s="182">
        <f t="shared" si="3898"/>
        <v>20.441392190714396</v>
      </c>
      <c r="AP936" s="9">
        <f t="shared" si="3871"/>
        <v>14.033609580638256</v>
      </c>
      <c r="AQ936" s="182">
        <f t="shared" ref="AQ936:AW936" si="3899">(AQ887+AQ875)/AQ878*100</f>
        <v>20.254520995577106</v>
      </c>
      <c r="AR936" s="9">
        <f t="shared" si="3873"/>
        <v>10.533437241980707</v>
      </c>
      <c r="AS936" s="182">
        <f t="shared" si="3899"/>
        <v>20.100459732593674</v>
      </c>
      <c r="AT936" s="9">
        <f t="shared" si="3874"/>
        <v>7.2103498899817282</v>
      </c>
      <c r="AU936" s="182">
        <f t="shared" si="3899"/>
        <v>19.958480238581821</v>
      </c>
      <c r="AV936" s="9">
        <f t="shared" si="3875"/>
        <v>3.0214066920942741</v>
      </c>
      <c r="AW936" s="182">
        <f t="shared" si="3899"/>
        <v>19.870267033197987</v>
      </c>
      <c r="AX936" s="9">
        <f t="shared" si="3876"/>
        <v>-2.7939640910360595</v>
      </c>
      <c r="AY936" s="298"/>
      <c r="AZ936" s="184"/>
      <c r="BA936" s="9" t="str">
        <f>IF(ISERROR(#REF!/#REF!),"NA",IF(OR(#REF!/#REF!&gt;2,#REF!/#REF!&lt;0.5),"NM",#REF!/#REF!*100-100))</f>
        <v>NA</v>
      </c>
      <c r="BB936" s="182">
        <f>(BB887+BB875)/BB878*100</f>
        <v>19.679444212967155</v>
      </c>
      <c r="BC936" s="9" t="str">
        <f>IF(ISERROR(BB936/#REF!),"NA",IF(OR(BB936/#REF!&gt;2,BB936/#REF!&lt;0.5),"NM",BB936/#REF!*100-100))</f>
        <v>NA</v>
      </c>
      <c r="BD936" s="977">
        <f>(BD887+BD875)/BD878*100</f>
        <v>19.251638031663731</v>
      </c>
      <c r="BE936" s="9">
        <f t="shared" si="3880"/>
        <v>-2.1738732896812962</v>
      </c>
      <c r="BF936" s="182">
        <f>(BF887+BF875)/BF878*100</f>
        <v>18.547374988211569</v>
      </c>
      <c r="BG936" s="9">
        <f t="shared" si="3880"/>
        <v>-3.6581980312212323</v>
      </c>
      <c r="BH936" s="182">
        <f>(BH887+BH875)/BH878*100</f>
        <v>17.925760892677324</v>
      </c>
      <c r="BI936" s="9">
        <f t="shared" si="3880"/>
        <v>-3.3514936530335575</v>
      </c>
      <c r="BJ936" s="182">
        <f>(BJ887+BJ875)/BJ878*100</f>
        <v>20.441392190714396</v>
      </c>
      <c r="BK936" s="9">
        <f t="shared" si="3880"/>
        <v>14.033609580638256</v>
      </c>
      <c r="BL936" s="182">
        <f>(BL887+BL875)/BL878*100</f>
        <v>19.870267033197987</v>
      </c>
      <c r="BM936" s="9">
        <f t="shared" si="3880"/>
        <v>-2.7939640910360595</v>
      </c>
      <c r="BN936" s="182">
        <f>(BN887+BN875)/BN878*100</f>
        <v>19.318760895460624</v>
      </c>
      <c r="BO936" s="9">
        <f t="shared" si="3880"/>
        <v>-2.7755346056293178</v>
      </c>
      <c r="BP936" s="182">
        <f>(BP887+BP875)/BP878*100</f>
        <v>18.748013018435795</v>
      </c>
      <c r="BQ936" s="9">
        <f t="shared" si="3880"/>
        <v>-2.9543710391847071</v>
      </c>
      <c r="BR936" s="182">
        <f>(BR887+BR875)/BR878*100</f>
        <v>18.160355828622126</v>
      </c>
      <c r="BS936" s="9">
        <f t="shared" si="3880"/>
        <v>-3.1345038497455562</v>
      </c>
      <c r="BT936" s="182">
        <f>(BT887+BT875)/BT878*100</f>
        <v>17.569493332235293</v>
      </c>
      <c r="BU936" s="9">
        <f t="shared" si="3881"/>
        <v>-3.2535843568416709</v>
      </c>
      <c r="BV936" s="43">
        <f t="shared" si="3877"/>
        <v>-2.9825728114165173</v>
      </c>
      <c r="BW936" s="180"/>
      <c r="BX936" s="180"/>
      <c r="BY936"/>
      <c r="BZ936"/>
      <c r="CA936"/>
      <c r="CB936"/>
      <c r="CC936"/>
      <c r="CD936"/>
    </row>
    <row r="937" spans="1:82" s="2" customFormat="1" ht="12.75" customHeight="1" x14ac:dyDescent="0.2">
      <c r="A937" s="7"/>
      <c r="B937" s="7" t="s">
        <v>382</v>
      </c>
      <c r="C937" s="182">
        <f>C887/C863*100</f>
        <v>4.8433251362677074</v>
      </c>
      <c r="D937" s="9" t="str">
        <f>IF(ISERROR(C937/#REF!),"NA",IF(OR(C937/#REF!&gt;2,C937/#REF!&lt;0.5),"NM",C937/#REF!*100-100))</f>
        <v>NA</v>
      </c>
      <c r="E937" s="182">
        <f>E887/E863*100</f>
        <v>4.7342487279448093</v>
      </c>
      <c r="F937" s="9" t="str">
        <f>IF(ISERROR(E937/#REF!),"NA",IF(OR(E937/#REF!&gt;2,E937/#REF!&lt;0.5),"NM",E937/#REF!*100-100))</f>
        <v>NA</v>
      </c>
      <c r="G937" s="182">
        <f>G887/G863*100</f>
        <v>4.6003865387723772</v>
      </c>
      <c r="H937" s="9" t="str">
        <f>IF(ISERROR(G937/#REF!),"NA",IF(OR(G937/#REF!&gt;2,G937/#REF!&lt;0.5),"NM",G937/#REF!*100-100))</f>
        <v>NA</v>
      </c>
      <c r="I937" s="182">
        <f>I887/I863*100</f>
        <v>4.6515850318504999</v>
      </c>
      <c r="J937" s="9" t="str">
        <f>IF(ISERROR(I937/#REF!),"NA",IF(OR(I937/#REF!&gt;2,I937/#REF!&lt;0.5),"NM",I937/#REF!*100-100))</f>
        <v>NA</v>
      </c>
      <c r="K937" s="182">
        <f>K887/K863*100</f>
        <v>4.7292559112739525</v>
      </c>
      <c r="L937" s="9">
        <f t="shared" si="3862"/>
        <v>-2.3551841304145285</v>
      </c>
      <c r="M937" s="182">
        <f>M887/M863*100</f>
        <v>4.7644239731809348</v>
      </c>
      <c r="N937" s="9">
        <f t="shared" si="3863"/>
        <v>0.63738191569891001</v>
      </c>
      <c r="O937" s="182">
        <f>O887/O863*100</f>
        <v>4.7667805794953217</v>
      </c>
      <c r="P937" s="9">
        <f t="shared" si="3863"/>
        <v>3.6169578212735871</v>
      </c>
      <c r="Q937" s="182">
        <f>Q887/Q863*100</f>
        <v>4.6483816931173463</v>
      </c>
      <c r="R937" s="9">
        <f t="shared" si="3863"/>
        <v>-6.8865531022638038E-2</v>
      </c>
      <c r="S937" s="182">
        <f>S887/S863*100</f>
        <v>4.6844219800094296</v>
      </c>
      <c r="T937" s="9">
        <f t="shared" si="3863"/>
        <v>-0.94801237458189291</v>
      </c>
      <c r="U937" s="182">
        <f>U887/U863*100</f>
        <v>4.3610786306967135</v>
      </c>
      <c r="V937" s="9">
        <f t="shared" si="3863"/>
        <v>-8.4657735070317557</v>
      </c>
      <c r="W937" s="182">
        <f t="shared" ref="W937:Y937" si="3900">W887/W863*100</f>
        <v>4.4669663743572547</v>
      </c>
      <c r="X937" s="9">
        <f t="shared" si="3863"/>
        <v>-6.2896581904302735</v>
      </c>
      <c r="Y937" s="182">
        <f t="shared" si="3900"/>
        <v>4.2579791381154433</v>
      </c>
      <c r="Z937" s="9">
        <f t="shared" si="3863"/>
        <v>-8.3986768035842374</v>
      </c>
      <c r="AA937" s="182">
        <f t="shared" ref="AA937:AC937" si="3901">AA887/AA863*100</f>
        <v>4.6153421887208719</v>
      </c>
      <c r="AB937" s="9">
        <f t="shared" si="3864"/>
        <v>-1.4746705481135791</v>
      </c>
      <c r="AC937" s="182">
        <f t="shared" si="3901"/>
        <v>4.7068195246245423</v>
      </c>
      <c r="AD937" s="9">
        <f t="shared" si="3865"/>
        <v>7.927875720796024</v>
      </c>
      <c r="AE937" s="182">
        <f t="shared" ref="AE937:AG937" si="3902">AE887/AE863*100</f>
        <v>4.6858151927614822</v>
      </c>
      <c r="AF937" s="9">
        <f t="shared" si="3866"/>
        <v>4.8992716770946743</v>
      </c>
      <c r="AG937" s="182">
        <f t="shared" si="3902"/>
        <v>4.4853765750656871</v>
      </c>
      <c r="AH937" s="9">
        <f t="shared" si="3867"/>
        <v>5.3405014344642439</v>
      </c>
      <c r="AI937" s="182">
        <f t="shared" ref="AI937:AK937" si="3903">AI887/AI863*100</f>
        <v>4.5079746577436559</v>
      </c>
      <c r="AJ937" s="9">
        <f t="shared" si="3868"/>
        <v>-2.3263178890528309</v>
      </c>
      <c r="AK937" s="182">
        <f t="shared" si="3903"/>
        <v>4.6503929355300917</v>
      </c>
      <c r="AL937" s="9">
        <f t="shared" si="3869"/>
        <v>-1.1988262732243129</v>
      </c>
      <c r="AM937" s="182">
        <f t="shared" ref="AM937:AO937" si="3904">AM887/AM863*100</f>
        <v>4.8385535482080684</v>
      </c>
      <c r="AN937" s="9">
        <f t="shared" si="3870"/>
        <v>3.2595898293755283</v>
      </c>
      <c r="AO937" s="182">
        <f t="shared" si="3904"/>
        <v>5.059950886268159</v>
      </c>
      <c r="AP937" s="9">
        <f t="shared" si="3871"/>
        <v>12.809945867121698</v>
      </c>
      <c r="AQ937" s="182">
        <f t="shared" ref="AQ937:AW937" si="3905">AQ887/AQ863*100</f>
        <v>5.098939639515562</v>
      </c>
      <c r="AR937" s="9">
        <f t="shared" si="3873"/>
        <v>13.109323513093955</v>
      </c>
      <c r="AS937" s="182">
        <f t="shared" si="3905"/>
        <v>5.0962355803183108</v>
      </c>
      <c r="AT937" s="9">
        <f t="shared" si="3874"/>
        <v>9.5872037259878908</v>
      </c>
      <c r="AU937" s="182">
        <f t="shared" si="3905"/>
        <v>5.0971578093094356</v>
      </c>
      <c r="AV937" s="9">
        <f t="shared" si="3875"/>
        <v>5.3446605173387098</v>
      </c>
      <c r="AW937" s="182">
        <f t="shared" si="3905"/>
        <v>5.1158711519540381</v>
      </c>
      <c r="AX937" s="9">
        <f t="shared" si="3876"/>
        <v>1.1051543175574494</v>
      </c>
      <c r="AY937" s="298"/>
      <c r="AZ937" s="184"/>
      <c r="BA937" s="9" t="str">
        <f>IF(ISERROR(#REF!/#REF!),"NA",IF(OR(#REF!/#REF!&gt;2,#REF!/#REF!&lt;0.5),"NM",#REF!/#REF!*100-100))</f>
        <v>NA</v>
      </c>
      <c r="BB937" s="182">
        <f>BB887/BB863*100</f>
        <v>4.3610786306967135</v>
      </c>
      <c r="BC937" s="9" t="str">
        <f>IF(ISERROR(BB937/#REF!),"NA",IF(OR(BB937/#REF!&gt;2,BB937/#REF!&lt;0.5),"NM",BB937/#REF!*100-100))</f>
        <v>NA</v>
      </c>
      <c r="BD937" s="977">
        <f>BD887/BD863*100</f>
        <v>4.4669663743572547</v>
      </c>
      <c r="BE937" s="9">
        <f t="shared" si="3880"/>
        <v>2.4280173009314723</v>
      </c>
      <c r="BF937" s="182">
        <f>BF887/BF863*100</f>
        <v>4.2579791381154433</v>
      </c>
      <c r="BG937" s="9">
        <f t="shared" si="3880"/>
        <v>-4.6785048000698737</v>
      </c>
      <c r="BH937" s="182">
        <f>BH887/BH863*100</f>
        <v>4.4853765750656871</v>
      </c>
      <c r="BI937" s="9">
        <f t="shared" si="3880"/>
        <v>5.3405014344642439</v>
      </c>
      <c r="BJ937" s="182">
        <f>BJ887/BJ863*100</f>
        <v>5.059950886268159</v>
      </c>
      <c r="BK937" s="9">
        <f t="shared" si="3880"/>
        <v>12.809945867121698</v>
      </c>
      <c r="BL937" s="182">
        <f>BL887/BL863*100</f>
        <v>5.1158711519540381</v>
      </c>
      <c r="BM937" s="9">
        <f t="shared" si="3880"/>
        <v>1.1051543175574494</v>
      </c>
      <c r="BN937" s="182">
        <f>BN887/BN863*100</f>
        <v>5.2757632047157976</v>
      </c>
      <c r="BO937" s="9">
        <f t="shared" si="3880"/>
        <v>3.1254120366320848</v>
      </c>
      <c r="BP937" s="182">
        <f>BP887/BP863*100</f>
        <v>5.4385507293574804</v>
      </c>
      <c r="BQ937" s="9">
        <f t="shared" si="3880"/>
        <v>3.0855729934234688</v>
      </c>
      <c r="BR937" s="182">
        <f>BR887/BR863*100</f>
        <v>5.6032280508872754</v>
      </c>
      <c r="BS937" s="9">
        <f t="shared" si="3880"/>
        <v>3.0279633256128591</v>
      </c>
      <c r="BT937" s="182">
        <f>BT887/BT863*100</f>
        <v>5.7728625918601653</v>
      </c>
      <c r="BU937" s="9">
        <f t="shared" si="3881"/>
        <v>3.0274430994474528</v>
      </c>
      <c r="BV937" s="43">
        <f t="shared" si="3877"/>
        <v>2.6712817472644756</v>
      </c>
      <c r="BW937" s="180"/>
      <c r="BX937" s="180"/>
      <c r="BY937"/>
      <c r="BZ937"/>
      <c r="CA937"/>
      <c r="CB937"/>
      <c r="CC937"/>
      <c r="CD937"/>
    </row>
    <row r="938" spans="1:82" s="2" customFormat="1" ht="12.75" customHeight="1" x14ac:dyDescent="0.2">
      <c r="A938" s="7"/>
      <c r="B938" s="7" t="s">
        <v>383</v>
      </c>
      <c r="C938" s="182">
        <f>C887/C878*100</f>
        <v>14.448958485025903</v>
      </c>
      <c r="D938" s="9" t="str">
        <f>IF(ISERROR(C938/#REF!),"NA",IF(OR(C938/#REF!&gt;2,C938/#REF!&lt;0.5),"NM",C938/#REF!*100-100))</f>
        <v>NA</v>
      </c>
      <c r="E938" s="182">
        <f>E887/E878*100</f>
        <v>14.157150857031548</v>
      </c>
      <c r="F938" s="9" t="str">
        <f>IF(ISERROR(E938/#REF!),"NA",IF(OR(E938/#REF!&gt;2,E938/#REF!&lt;0.5),"NM",E938/#REF!*100-100))</f>
        <v>NA</v>
      </c>
      <c r="G938" s="182">
        <f>G887/G878*100</f>
        <v>14.092409291050837</v>
      </c>
      <c r="H938" s="9" t="str">
        <f>IF(ISERROR(G938/#REF!),"NA",IF(OR(G938/#REF!&gt;2,G938/#REF!&lt;0.5),"NM",G938/#REF!*100-100))</f>
        <v>NA</v>
      </c>
      <c r="I938" s="182">
        <f>I887/I878*100</f>
        <v>14.731778851419605</v>
      </c>
      <c r="J938" s="9" t="str">
        <f>IF(ISERROR(I938/#REF!),"NA",IF(OR(I938/#REF!&gt;2,I938/#REF!&lt;0.5),"NM",I938/#REF!*100-100))</f>
        <v>NA</v>
      </c>
      <c r="K938" s="182">
        <f>K887/K878*100</f>
        <v>15.193818968428543</v>
      </c>
      <c r="L938" s="9">
        <f t="shared" si="3862"/>
        <v>5.1551153958575782</v>
      </c>
      <c r="M938" s="182">
        <f>M887/M878*100</f>
        <v>15.723495756146594</v>
      </c>
      <c r="N938" s="9">
        <f t="shared" si="3863"/>
        <v>11.063983953643302</v>
      </c>
      <c r="O938" s="182">
        <f>O887/O878*100</f>
        <v>15.833821917850271</v>
      </c>
      <c r="P938" s="9">
        <f t="shared" si="3863"/>
        <v>12.357096581812257</v>
      </c>
      <c r="Q938" s="182">
        <f>Q887/Q878*100</f>
        <v>15.367204357863923</v>
      </c>
      <c r="R938" s="9">
        <f t="shared" si="3863"/>
        <v>4.3132978905876342</v>
      </c>
      <c r="S938" s="182">
        <f>S887/S878*100</f>
        <v>15.785766971145913</v>
      </c>
      <c r="T938" s="9">
        <f t="shared" si="3863"/>
        <v>3.8959790421841092</v>
      </c>
      <c r="U938" s="182">
        <f>U887/U878*100</f>
        <v>14.633490939173804</v>
      </c>
      <c r="V938" s="9">
        <f t="shared" si="3863"/>
        <v>-6.9323312950091776</v>
      </c>
      <c r="W938" s="182">
        <f t="shared" ref="W938:Y938" si="3906">W887/W878*100</f>
        <v>14.107749341561135</v>
      </c>
      <c r="X938" s="9">
        <f t="shared" si="3863"/>
        <v>-10.901174620028073</v>
      </c>
      <c r="Y938" s="182">
        <f t="shared" si="3906"/>
        <v>13.510050998570881</v>
      </c>
      <c r="Z938" s="9">
        <f t="shared" si="3863"/>
        <v>-12.085173828918812</v>
      </c>
      <c r="AA938" s="182">
        <f t="shared" ref="AA938:AC938" si="3907">AA887/AA878*100</f>
        <v>13.983411965888143</v>
      </c>
      <c r="AB938" s="9">
        <f t="shared" si="3864"/>
        <v>-11.417595410804012</v>
      </c>
      <c r="AC938" s="182">
        <f t="shared" si="3907"/>
        <v>14.085540578248088</v>
      </c>
      <c r="AD938" s="9">
        <f t="shared" si="3865"/>
        <v>-3.744495166623949</v>
      </c>
      <c r="AE938" s="182">
        <f t="shared" ref="AE938:AG938" si="3908">AE887/AE878*100</f>
        <v>14.367015995293771</v>
      </c>
      <c r="AF938" s="9">
        <f t="shared" si="3866"/>
        <v>1.8377605630463165</v>
      </c>
      <c r="AG938" s="182">
        <f t="shared" si="3908"/>
        <v>13.677011606463459</v>
      </c>
      <c r="AH938" s="9">
        <f t="shared" si="3867"/>
        <v>1.2358251490704077</v>
      </c>
      <c r="AI938" s="182">
        <f t="shared" ref="AI938:AK938" si="3909">AI887/AI878*100</f>
        <v>14.094756338000124</v>
      </c>
      <c r="AJ938" s="9">
        <f t="shared" si="3868"/>
        <v>0.79626040042015234</v>
      </c>
      <c r="AK938" s="182">
        <f t="shared" si="3909"/>
        <v>14.604722691910849</v>
      </c>
      <c r="AL938" s="9">
        <f t="shared" si="3869"/>
        <v>3.6859225301194272</v>
      </c>
      <c r="AM938" s="182">
        <f t="shared" ref="AM938:AO938" si="3910">AM887/AM878*100</f>
        <v>15.259275653769979</v>
      </c>
      <c r="AN938" s="9">
        <f t="shared" si="3870"/>
        <v>6.2104730639158845</v>
      </c>
      <c r="AO938" s="182">
        <f t="shared" si="3910"/>
        <v>16.347439546165262</v>
      </c>
      <c r="AP938" s="9">
        <f t="shared" si="3871"/>
        <v>19.524937292879201</v>
      </c>
      <c r="AQ938" s="182">
        <f t="shared" ref="AQ938:AW938" si="3911">AQ887/AQ878*100</f>
        <v>16.237501706010114</v>
      </c>
      <c r="AR938" s="9">
        <f t="shared" si="3873"/>
        <v>15.202429305095876</v>
      </c>
      <c r="AS938" s="182">
        <f t="shared" si="3911"/>
        <v>16.15796110971981</v>
      </c>
      <c r="AT938" s="9">
        <f t="shared" si="3874"/>
        <v>10.635179116884274</v>
      </c>
      <c r="AU938" s="182">
        <f t="shared" si="3911"/>
        <v>16.08883601889077</v>
      </c>
      <c r="AV938" s="9">
        <f t="shared" si="3875"/>
        <v>5.4364334450950196</v>
      </c>
      <c r="AW938" s="182">
        <f t="shared" si="3911"/>
        <v>16.070524635199202</v>
      </c>
      <c r="AX938" s="9">
        <f t="shared" si="3876"/>
        <v>-1.6939344548976578</v>
      </c>
      <c r="AY938" s="298"/>
      <c r="AZ938" s="184"/>
      <c r="BA938" s="9" t="str">
        <f>IF(ISERROR(#REF!/#REF!),"NA",IF(OR(#REF!/#REF!&gt;2,#REF!/#REF!&lt;0.5),"NM",#REF!/#REF!*100-100))</f>
        <v>NA</v>
      </c>
      <c r="BB938" s="182">
        <f>BB887/BB878*100</f>
        <v>14.633490939173804</v>
      </c>
      <c r="BC938" s="9" t="str">
        <f>IF(ISERROR(BB938/#REF!),"NA",IF(OR(BB938/#REF!&gt;2,BB938/#REF!&lt;0.5),"NM",BB938/#REF!*100-100))</f>
        <v>NA</v>
      </c>
      <c r="BD938" s="977">
        <f>BD887/BD878*100</f>
        <v>14.107749341561135</v>
      </c>
      <c r="BE938" s="9">
        <f t="shared" si="3880"/>
        <v>-3.5927284869891167</v>
      </c>
      <c r="BF938" s="182">
        <f>BF887/BF878*100</f>
        <v>13.510050998570881</v>
      </c>
      <c r="BG938" s="9">
        <f t="shared" si="3880"/>
        <v>-4.2366668737829514</v>
      </c>
      <c r="BH938" s="182">
        <f>BH887/BH878*100</f>
        <v>13.677011606463459</v>
      </c>
      <c r="BI938" s="9">
        <f t="shared" si="3880"/>
        <v>1.2358251490704077</v>
      </c>
      <c r="BJ938" s="182">
        <f>BJ887/BJ878*100</f>
        <v>16.347439546165262</v>
      </c>
      <c r="BK938" s="9">
        <f t="shared" si="3880"/>
        <v>19.524937292879201</v>
      </c>
      <c r="BL938" s="182">
        <f>BL887/BL878*100</f>
        <v>16.070524635199202</v>
      </c>
      <c r="BM938" s="9">
        <f t="shared" si="3880"/>
        <v>-1.6939344548976578</v>
      </c>
      <c r="BN938" s="182">
        <f>BN887/BN878*100</f>
        <v>15.791714151363795</v>
      </c>
      <c r="BO938" s="9">
        <f t="shared" si="3880"/>
        <v>-1.7349183686556842</v>
      </c>
      <c r="BP938" s="182">
        <f>BP887/BP878*100</f>
        <v>15.475951398535445</v>
      </c>
      <c r="BQ938" s="9">
        <f t="shared" si="3880"/>
        <v>-1.9995470396801664</v>
      </c>
      <c r="BR938" s="182">
        <f>BR887/BR878*100</f>
        <v>15.1264583461878</v>
      </c>
      <c r="BS938" s="9">
        <f t="shared" si="3880"/>
        <v>-2.2582976861811517</v>
      </c>
      <c r="BT938" s="182">
        <f>BT887/BT878*100</f>
        <v>14.757545501284422</v>
      </c>
      <c r="BU938" s="9">
        <f t="shared" si="3881"/>
        <v>-2.438858035769826</v>
      </c>
      <c r="BV938" s="43">
        <f t="shared" si="3877"/>
        <v>-2.0255400659813905</v>
      </c>
      <c r="BW938" s="180"/>
      <c r="BX938" s="180"/>
      <c r="BY938"/>
      <c r="BZ938"/>
      <c r="CA938"/>
      <c r="CB938"/>
      <c r="CC938"/>
      <c r="CD938"/>
    </row>
    <row r="939" spans="1:82" s="2" customFormat="1" ht="12.75" customHeight="1" x14ac:dyDescent="0.2">
      <c r="A939" s="7"/>
      <c r="B939" s="7" t="s">
        <v>444</v>
      </c>
      <c r="C939" s="182" t="e">
        <f>C731/AVERAGE(C863,#REF!)*400</f>
        <v>#REF!</v>
      </c>
      <c r="D939" s="9" t="str">
        <f>IF(ISERROR(C939/#REF!),"NA",IF(OR(C939/#REF!&gt;2,C939/#REF!&lt;0.5),"NM",C939/#REF!*100-100))</f>
        <v>NA</v>
      </c>
      <c r="E939" s="182">
        <f>E731/AVERAGE(E863,C863)*400</f>
        <v>0.4476489369092892</v>
      </c>
      <c r="F939" s="9" t="str">
        <f>IF(ISERROR(E939/#REF!),"NA",IF(OR(E939/#REF!&gt;2,E939/#REF!&lt;0.5),"NM",E939/#REF!*100-100))</f>
        <v>NA</v>
      </c>
      <c r="G939" s="182">
        <f>G731/AVERAGE(G863,E863)*400</f>
        <v>0.49362117186811355</v>
      </c>
      <c r="H939" s="9" t="str">
        <f>IF(ISERROR(G939/#REF!),"NA",IF(OR(G939/#REF!&gt;2,G939/#REF!&lt;0.5),"NM",G939/#REF!*100-100))</f>
        <v>NA</v>
      </c>
      <c r="I939" s="182">
        <f>I731/AVERAGE(I863,G863)*400</f>
        <v>0.45554929896349844</v>
      </c>
      <c r="J939" s="9" t="str">
        <f>IF(ISERROR(I939/#REF!),"NA",IF(OR(I939/#REF!&gt;2,I939/#REF!&lt;0.5),"NM",I939/#REF!*100-100))</f>
        <v>NA</v>
      </c>
      <c r="K939" s="182">
        <f>K731/AVERAGE(K863,I863)*400</f>
        <v>0.56005777980296401</v>
      </c>
      <c r="L939" s="9" t="str">
        <f t="shared" si="3862"/>
        <v>NA</v>
      </c>
      <c r="M939" s="182">
        <f>M731/AVERAGE(M863,K863)*400</f>
        <v>0.57031609052231336</v>
      </c>
      <c r="N939" s="9">
        <f t="shared" si="3863"/>
        <v>27.402534329681913</v>
      </c>
      <c r="O939" s="182">
        <f>O731/AVERAGE(O863,M863)*400</f>
        <v>0.49385614343103229</v>
      </c>
      <c r="P939" s="9">
        <f t="shared" si="3863"/>
        <v>4.760159740099823E-2</v>
      </c>
      <c r="Q939" s="182">
        <f>Q731/AVERAGE(Q863,O863)*400</f>
        <v>0.50263992999609974</v>
      </c>
      <c r="R939" s="9">
        <f t="shared" si="3863"/>
        <v>10.337109757329358</v>
      </c>
      <c r="S939" s="182">
        <f>S731/AVERAGE(S863,Q863)*400</f>
        <v>0.76209924086388225</v>
      </c>
      <c r="T939" s="9">
        <f t="shared" si="3863"/>
        <v>36.075110166668736</v>
      </c>
      <c r="U939" s="182">
        <f>U731/AVERAGE(U863,S863)*400</f>
        <v>0.43076103976497343</v>
      </c>
      <c r="V939" s="9">
        <f t="shared" si="3863"/>
        <v>-24.469772653535173</v>
      </c>
      <c r="W939" s="182">
        <f>W731/AVERAGE(W863,U863)*400</f>
        <v>0.55425043774953675</v>
      </c>
      <c r="X939" s="9">
        <f t="shared" si="3863"/>
        <v>12.229126866564656</v>
      </c>
      <c r="Y939" s="182">
        <f>Y731/AVERAGE(Y863,W863)*400</f>
        <v>0.4674101886113462</v>
      </c>
      <c r="Z939" s="9">
        <f t="shared" si="3863"/>
        <v>-7.0089420442635486</v>
      </c>
      <c r="AA939" s="182">
        <f>AA731/AVERAGE(AA863,Y863)*400</f>
        <v>0.67483328019174049</v>
      </c>
      <c r="AB939" s="9">
        <f t="shared" si="3864"/>
        <v>-11.450734496628144</v>
      </c>
      <c r="AC939" s="182">
        <f>AC731/AVERAGE(AC863,AA863)*400</f>
        <v>0.58514329701832002</v>
      </c>
      <c r="AD939" s="9">
        <f t="shared" si="3865"/>
        <v>35.839419771476713</v>
      </c>
      <c r="AE939" s="182">
        <f>AE731/AVERAGE(AE863,AC863)*400</f>
        <v>0.54375225221847656</v>
      </c>
      <c r="AF939" s="9">
        <f t="shared" si="3866"/>
        <v>-1.8941230923852288</v>
      </c>
      <c r="AG939" s="182">
        <f>AG731/AVERAGE(AG863,AE863)*400</f>
        <v>0.55499573608818331</v>
      </c>
      <c r="AH939" s="9">
        <f t="shared" si="3867"/>
        <v>18.738476312861224</v>
      </c>
      <c r="AI939" s="182">
        <f>AI731/AVERAGE(AI863,AG863)*400</f>
        <v>0.60218726530996181</v>
      </c>
      <c r="AJ939" s="9">
        <f t="shared" si="3868"/>
        <v>-10.765031455048842</v>
      </c>
      <c r="AK939" s="182">
        <f>AK731/AVERAGE(AK863,AI863)*400</f>
        <v>0.52055093462649726</v>
      </c>
      <c r="AL939" s="9">
        <f t="shared" si="3869"/>
        <v>-11.038725508941525</v>
      </c>
      <c r="AM939" s="182">
        <f>AM731/AVERAGE(AM863,AK863)*400</f>
        <v>1.3279586139780264</v>
      </c>
      <c r="AN939" s="9" t="str">
        <f t="shared" si="3870"/>
        <v>NM</v>
      </c>
      <c r="AO939" s="182">
        <f>AO731/AVERAGE(AO863,AM863)*400</f>
        <v>1.3418486044726694</v>
      </c>
      <c r="AP939" s="9" t="str">
        <f t="shared" si="3871"/>
        <v>NM</v>
      </c>
      <c r="AQ939" s="182">
        <f t="shared" ref="AQ939" si="3912">AQ731/AVERAGE(AQ863,AO863)*400</f>
        <v>0.60558182135047767</v>
      </c>
      <c r="AR939" s="9">
        <f t="shared" si="3873"/>
        <v>0.56370438832986736</v>
      </c>
      <c r="AS939" s="182">
        <f t="shared" ref="AS939" si="3913">AS731/AVERAGE(AS863,AQ863)*400</f>
        <v>0.61091042214955737</v>
      </c>
      <c r="AT939" s="9">
        <f t="shared" si="3874"/>
        <v>17.358433442808874</v>
      </c>
      <c r="AU939" s="182">
        <f t="shared" ref="AU939" si="3914">AU731/AVERAGE(AU863,AS863)*400</f>
        <v>0.62494180218765261</v>
      </c>
      <c r="AV939" s="9" t="str">
        <f t="shared" si="3875"/>
        <v>NM</v>
      </c>
      <c r="AW939" s="182">
        <f t="shared" ref="AW939" si="3915">AW731/AVERAGE(AW863,AU863)*400</f>
        <v>0.63781583456461077</v>
      </c>
      <c r="AX939" s="9" t="str">
        <f t="shared" si="3876"/>
        <v>NM</v>
      </c>
      <c r="AY939" s="298"/>
      <c r="AZ939" s="184"/>
      <c r="BA939" s="9" t="str">
        <f>IF(ISERROR(#REF!/#REF!),"NA",IF(OR(#REF!/#REF!&gt;2,#REF!/#REF!&lt;0.5),"NM",#REF!/#REF!*100-100))</f>
        <v>NA</v>
      </c>
      <c r="BB939" s="182" t="e">
        <f>BB731/AVERAGE(BB863,#REF!)*100</f>
        <v>#REF!</v>
      </c>
      <c r="BC939" s="9" t="str">
        <f>IF(ISERROR(BB939/#REF!),"NA",IF(OR(BB939/#REF!&gt;2,BB939/#REF!&lt;0.5),"NM",BB939/#REF!*100-100))</f>
        <v>NA</v>
      </c>
      <c r="BD939" s="977">
        <f>BD731/AVERAGE(BD863,BB863)*100</f>
        <v>0.52180690409575092</v>
      </c>
      <c r="BE939" s="9" t="str">
        <f t="shared" si="3880"/>
        <v>NA</v>
      </c>
      <c r="BF939" s="182">
        <f>BF731/AVERAGE(BF863,BD863)*100</f>
        <v>0.56073839836266093</v>
      </c>
      <c r="BG939" s="9">
        <f t="shared" si="3880"/>
        <v>7.4609005671121054</v>
      </c>
      <c r="BH939" s="182">
        <f>BH731/AVERAGE(BH863,BF863)*100</f>
        <v>0.58943336045070094</v>
      </c>
      <c r="BI939" s="9">
        <f t="shared" si="3880"/>
        <v>5.1173527926441977</v>
      </c>
      <c r="BJ939" s="182">
        <f>BJ731/AVERAGE(BJ863,BH863)*100</f>
        <v>0.95876071546024499</v>
      </c>
      <c r="BK939" s="9">
        <f t="shared" si="3880"/>
        <v>62.658033934004635</v>
      </c>
      <c r="BL939" s="182">
        <f>BL731/AVERAGE(BL863,BJ863)*100</f>
        <v>0.61785007094630617</v>
      </c>
      <c r="BM939" s="9">
        <f t="shared" si="3880"/>
        <v>-35.557427313893172</v>
      </c>
      <c r="BN939" s="182">
        <f>BN731/AVERAGE(BN863,BL863)*100</f>
        <v>0.62506684531179202</v>
      </c>
      <c r="BO939" s="9">
        <f t="shared" si="3880"/>
        <v>1.1680462145828585</v>
      </c>
      <c r="BP939" s="182">
        <f>BP731/AVERAGE(BP863,BN863)*100</f>
        <v>0.63985338524891056</v>
      </c>
      <c r="BQ939" s="9">
        <f t="shared" si="3880"/>
        <v>2.3655933838152521</v>
      </c>
      <c r="BR939" s="182">
        <f>BR731/AVERAGE(BR863,BP863)*100</f>
        <v>0.65250223812186059</v>
      </c>
      <c r="BS939" s="9">
        <f t="shared" si="3880"/>
        <v>1.9768361259868072</v>
      </c>
      <c r="BT939" s="182">
        <f>BT731/AVERAGE(BT863,BR863)*100</f>
        <v>0.66584628157312475</v>
      </c>
      <c r="BU939" s="9">
        <f t="shared" si="3881"/>
        <v>2.0450571157691684</v>
      </c>
      <c r="BV939" s="43">
        <f t="shared" si="3877"/>
        <v>-7.0321581072081081</v>
      </c>
      <c r="BW939" s="180"/>
      <c r="BX939" s="180"/>
      <c r="BY939"/>
      <c r="BZ939"/>
      <c r="CA939"/>
      <c r="CB939"/>
      <c r="CC939"/>
      <c r="CD939"/>
    </row>
    <row r="940" spans="1:82" s="2" customFormat="1" ht="12.75" customHeight="1" x14ac:dyDescent="0.2">
      <c r="A940" s="7" t="s">
        <v>210</v>
      </c>
      <c r="B940" s="7" t="s">
        <v>401</v>
      </c>
      <c r="C940" s="190">
        <f>(C887-C886)/C840</f>
        <v>31.304466416638256</v>
      </c>
      <c r="D940" s="9" t="str">
        <f>IF(ISERROR(C940/#REF!),"NA",IF(OR(C940/#REF!&gt;2,C940/#REF!&lt;0.5),"NM",C940/#REF!*100-100))</f>
        <v>NA</v>
      </c>
      <c r="E940" s="190">
        <f>(E887-E886)/E840</f>
        <v>29.811160258591361</v>
      </c>
      <c r="F940" s="9" t="str">
        <f>IF(ISERROR(E940/#REF!),"NA",IF(OR(E940/#REF!&gt;2,E940/#REF!&lt;0.5),"NM",E940/#REF!*100-100))</f>
        <v>NA</v>
      </c>
      <c r="G940" s="190">
        <f>(G887-G886)/G840</f>
        <v>29.726097312010889</v>
      </c>
      <c r="H940" s="9" t="str">
        <f>IF(ISERROR(G940/#REF!),"NA",IF(OR(G940/#REF!&gt;2,G940/#REF!&lt;0.5),"NM",G940/#REF!*100-100))</f>
        <v>NA</v>
      </c>
      <c r="I940" s="190">
        <f>(I887-I886)/I840</f>
        <v>30.969512195121954</v>
      </c>
      <c r="J940" s="9" t="str">
        <f>IF(ISERROR(I940/#REF!),"NA",IF(OR(I940/#REF!&gt;2,I940/#REF!&lt;0.5),"NM",I940/#REF!*100-100))</f>
        <v>NA</v>
      </c>
      <c r="K940" s="190">
        <f>(K887-K886)/K840</f>
        <v>32.041723202170964</v>
      </c>
      <c r="L940" s="9">
        <f t="shared" si="3862"/>
        <v>2.3551169207626401</v>
      </c>
      <c r="M940" s="190">
        <f>(M887-M886)/M840</f>
        <v>33.559564329475833</v>
      </c>
      <c r="N940" s="9">
        <f t="shared" si="3863"/>
        <v>12.573828185047617</v>
      </c>
      <c r="O940" s="190">
        <f>(O887-O886)/O840</f>
        <v>33.291553133514981</v>
      </c>
      <c r="P940" s="9">
        <f t="shared" si="3863"/>
        <v>11.994362341212764</v>
      </c>
      <c r="Q940" s="190">
        <f>(Q887-Q886)/Q840</f>
        <v>32.807077237155497</v>
      </c>
      <c r="R940" s="9">
        <f t="shared" si="3863"/>
        <v>5.9334645972337228</v>
      </c>
      <c r="S940" s="190">
        <f>(S887-S886)/S840</f>
        <v>33.561820652173914</v>
      </c>
      <c r="T940" s="9">
        <f t="shared" si="3863"/>
        <v>4.7441189114946241</v>
      </c>
      <c r="U940" s="190">
        <f>(U887-U886)/U840</f>
        <v>32.892432982694267</v>
      </c>
      <c r="V940" s="9">
        <f t="shared" si="3863"/>
        <v>-1.9879022869066745</v>
      </c>
      <c r="W940" s="190">
        <f t="shared" ref="W940:Y940" si="3916">(W887-W886)/W840</f>
        <v>32.777853492333897</v>
      </c>
      <c r="X940" s="9">
        <f t="shared" si="3863"/>
        <v>-1.5430329703180377</v>
      </c>
      <c r="Y940" s="190">
        <f t="shared" si="3916"/>
        <v>31.954701441317781</v>
      </c>
      <c r="Z940" s="9">
        <f t="shared" si="3863"/>
        <v>-2.5981460941371495</v>
      </c>
      <c r="AA940" s="190">
        <f t="shared" ref="AA940:AC940" si="3917">(AA887-AA886)/AA840</f>
        <v>34.578512396694222</v>
      </c>
      <c r="AB940" s="9">
        <f t="shared" si="3864"/>
        <v>3.0293104627935321</v>
      </c>
      <c r="AC940" s="190">
        <f t="shared" si="3917"/>
        <v>36.45729166666667</v>
      </c>
      <c r="AD940" s="9">
        <f t="shared" si="3865"/>
        <v>10.837929458875806</v>
      </c>
      <c r="AE940" s="190">
        <f t="shared" ref="AE940:AG940" si="3918">(AE887-AE886)/AE840</f>
        <v>37.520333680917624</v>
      </c>
      <c r="AF940" s="9">
        <f t="shared" si="3866"/>
        <v>14.468550204768292</v>
      </c>
      <c r="AG940" s="190">
        <f t="shared" si="3918"/>
        <v>35.548488008342019</v>
      </c>
      <c r="AH940" s="9">
        <f t="shared" si="3867"/>
        <v>11.246503346695121</v>
      </c>
      <c r="AI940" s="190">
        <f t="shared" ref="AI940:AK940" si="3919">(AI887-AI886)/AI840</f>
        <v>36.848663658451926</v>
      </c>
      <c r="AJ940" s="9">
        <f t="shared" si="3868"/>
        <v>6.5652079988690843</v>
      </c>
      <c r="AK940" s="190">
        <f t="shared" si="3919"/>
        <v>38.697505197505194</v>
      </c>
      <c r="AL940" s="9">
        <f t="shared" si="3869"/>
        <v>6.1447612491927828</v>
      </c>
      <c r="AM940" s="190">
        <f t="shared" ref="AM940:AO940" si="3920">(AM887-AM886)/AM840</f>
        <v>41.581975736568459</v>
      </c>
      <c r="AN940" s="9">
        <f t="shared" si="3870"/>
        <v>10.825175730557362</v>
      </c>
      <c r="AO940" s="190">
        <f t="shared" si="3920"/>
        <v>44.461245674740482</v>
      </c>
      <c r="AP940" s="9">
        <f t="shared" si="3871"/>
        <v>25.072114640450934</v>
      </c>
      <c r="AQ940" s="190">
        <f t="shared" ref="AQ940:AW940" si="3921">(AQ887-AQ886)/AQ840</f>
        <v>45.171795630900888</v>
      </c>
      <c r="AR940" s="9">
        <f t="shared" si="3873"/>
        <v>22.587337357999132</v>
      </c>
      <c r="AS940" s="190">
        <f t="shared" si="3921"/>
        <v>45.927988341807634</v>
      </c>
      <c r="AT940" s="9">
        <f t="shared" si="3874"/>
        <v>18.684623485155811</v>
      </c>
      <c r="AU940" s="190">
        <f t="shared" si="3921"/>
        <v>46.71997958291518</v>
      </c>
      <c r="AV940" s="9">
        <f t="shared" si="3875"/>
        <v>12.356324477935289</v>
      </c>
      <c r="AW940" s="190">
        <f t="shared" si="3921"/>
        <v>47.5916698266795</v>
      </c>
      <c r="AX940" s="9">
        <f t="shared" si="3876"/>
        <v>7.0407927273110431</v>
      </c>
      <c r="AY940" s="298"/>
      <c r="AZ940" s="184"/>
      <c r="BA940" s="9" t="str">
        <f>IF(ISERROR(#REF!/#REF!),"NA",IF(OR(#REF!/#REF!&gt;2,#REF!/#REF!&lt;0.5),"NM",#REF!/#REF!*100-100))</f>
        <v>NA</v>
      </c>
      <c r="BB940" s="190">
        <f>(BB887-BB886)/BB840</f>
        <v>33.015667574931875</v>
      </c>
      <c r="BC940" s="9" t="str">
        <f>IF(ISERROR(BB940/#REF!),"NA",IF(OR(BB940/#REF!&gt;2,BB940/#REF!&lt;0.5),"NM",BB940/#REF!*100-100))</f>
        <v>NA</v>
      </c>
      <c r="BD940" s="979">
        <f>(BD887-BD886)/BD840</f>
        <v>32.733242599523649</v>
      </c>
      <c r="BE940" s="9">
        <f t="shared" si="3880"/>
        <v>-0.85542712340206606</v>
      </c>
      <c r="BF940" s="190">
        <f>(BF887-BF886)/BF840</f>
        <v>31.954701441317781</v>
      </c>
      <c r="BG940" s="9">
        <f t="shared" si="3880"/>
        <v>-2.3784419030249069</v>
      </c>
      <c r="BH940" s="190">
        <f>(BH887-BH886)/BH840</f>
        <v>35.548488008342019</v>
      </c>
      <c r="BI940" s="9">
        <f t="shared" si="3880"/>
        <v>11.246503346695121</v>
      </c>
      <c r="BJ940" s="190">
        <f>(BJ887-BJ886)/BJ840</f>
        <v>44.461245674740482</v>
      </c>
      <c r="BK940" s="9">
        <f t="shared" si="3880"/>
        <v>25.072114640450934</v>
      </c>
      <c r="BL940" s="190">
        <f>(BL887-BL886)/BL840</f>
        <v>47.5916698266795</v>
      </c>
      <c r="BM940" s="9">
        <f t="shared" si="3880"/>
        <v>7.0407927273110431</v>
      </c>
      <c r="BN940" s="190">
        <f>(BN887-BN886)/BN840</f>
        <v>50.8482814127347</v>
      </c>
      <c r="BO940" s="9">
        <f t="shared" si="3880"/>
        <v>6.8428184972605663</v>
      </c>
      <c r="BP940" s="190">
        <f>(BP887-BP886)/BP840</f>
        <v>54.199745791307762</v>
      </c>
      <c r="BQ940" s="9">
        <f t="shared" si="3880"/>
        <v>6.5911064945721023</v>
      </c>
      <c r="BR940" s="190">
        <f>(BR887-BR886)/BR840</f>
        <v>57.611351636794687</v>
      </c>
      <c r="BS940" s="9">
        <f t="shared" si="3880"/>
        <v>6.2945052521520495</v>
      </c>
      <c r="BT940" s="190">
        <f>(BT887-BT886)/BT840</f>
        <v>61.069245190533543</v>
      </c>
      <c r="BU940" s="9">
        <f t="shared" si="3881"/>
        <v>6.0021045427623818</v>
      </c>
      <c r="BV940" s="43">
        <f t="shared" si="3877"/>
        <v>6.5536142077744497</v>
      </c>
      <c r="BW940" s="180"/>
      <c r="BX940" s="180"/>
      <c r="BY940"/>
      <c r="BZ940"/>
      <c r="CA940"/>
      <c r="CB940"/>
      <c r="CC940"/>
      <c r="CD940"/>
    </row>
    <row r="941" spans="1:82" s="2" customFormat="1" ht="12.75" customHeight="1" x14ac:dyDescent="0.2">
      <c r="A941" s="41"/>
      <c r="B941" s="42"/>
      <c r="C941" s="15"/>
      <c r="D941" s="40"/>
      <c r="E941" s="15"/>
      <c r="F941" s="40"/>
      <c r="G941" s="15"/>
      <c r="H941" s="40"/>
      <c r="I941" s="15"/>
      <c r="J941" s="40"/>
      <c r="K941" s="15"/>
      <c r="L941" s="40"/>
      <c r="M941" s="15"/>
      <c r="N941" s="40"/>
      <c r="O941" s="15"/>
      <c r="P941" s="40"/>
      <c r="Q941" s="15"/>
      <c r="R941" s="40"/>
      <c r="S941" s="15"/>
      <c r="T941" s="40"/>
      <c r="U941" s="15"/>
      <c r="V941" s="40"/>
      <c r="W941" s="15"/>
      <c r="X941" s="40"/>
      <c r="Y941" s="15"/>
      <c r="Z941" s="40"/>
      <c r="AA941" s="15"/>
      <c r="AB941" s="40"/>
      <c r="AC941" s="15"/>
      <c r="AD941" s="40"/>
      <c r="AE941" s="15"/>
      <c r="AF941" s="40"/>
      <c r="AG941" s="15"/>
      <c r="AH941" s="40"/>
      <c r="AI941" s="15"/>
      <c r="AJ941" s="40"/>
      <c r="AK941" s="15"/>
      <c r="AL941" s="40"/>
      <c r="AM941" s="15"/>
      <c r="AN941" s="40"/>
      <c r="AO941" s="15"/>
      <c r="AP941" s="40"/>
      <c r="AQ941" s="15"/>
      <c r="AR941" s="40"/>
      <c r="AS941" s="15"/>
      <c r="AT941" s="40"/>
      <c r="AU941" s="15"/>
      <c r="AV941" s="40"/>
      <c r="AW941" s="15"/>
      <c r="AX941" s="40"/>
      <c r="AY941" s="279"/>
      <c r="AZ941" s="15"/>
      <c r="BA941" s="40"/>
      <c r="BB941" s="15"/>
      <c r="BC941" s="40"/>
      <c r="BD941" s="924"/>
      <c r="BE941" s="40"/>
      <c r="BF941" s="15"/>
      <c r="BG941" s="40"/>
      <c r="BH941" s="15"/>
      <c r="BI941" s="40"/>
      <c r="BJ941" s="15"/>
      <c r="BK941" s="40"/>
      <c r="BL941" s="15"/>
      <c r="BM941" s="40"/>
      <c r="BN941" s="15"/>
      <c r="BO941" s="40"/>
      <c r="BP941" s="15"/>
      <c r="BQ941" s="40"/>
      <c r="BR941" s="15"/>
      <c r="BS941" s="40"/>
      <c r="BT941" s="15"/>
      <c r="BU941" s="40"/>
      <c r="BV941" s="194"/>
      <c r="BW941" s="194"/>
      <c r="BX941" s="194"/>
      <c r="BY941"/>
      <c r="BZ941"/>
      <c r="CA941"/>
      <c r="CB941"/>
      <c r="CC941"/>
      <c r="CD941"/>
    </row>
    <row r="942" spans="1:82" s="265" customFormat="1" ht="12.75" customHeight="1" x14ac:dyDescent="0.2">
      <c r="B942" s="266" t="s">
        <v>194</v>
      </c>
      <c r="C942" s="268"/>
      <c r="D942" s="269"/>
      <c r="E942" s="268"/>
      <c r="F942" s="269"/>
      <c r="G942" s="268"/>
      <c r="H942" s="269"/>
      <c r="I942" s="268"/>
      <c r="J942" s="269"/>
      <c r="K942" s="268"/>
      <c r="L942" s="269"/>
      <c r="M942" s="268"/>
      <c r="N942" s="269"/>
      <c r="O942" s="268"/>
      <c r="P942" s="269"/>
      <c r="Q942" s="268"/>
      <c r="R942" s="269"/>
      <c r="S942" s="268"/>
      <c r="T942" s="269"/>
      <c r="U942" s="268"/>
      <c r="V942" s="269"/>
      <c r="W942" s="268"/>
      <c r="X942" s="269"/>
      <c r="Y942" s="268"/>
      <c r="Z942" s="269"/>
      <c r="AA942" s="268"/>
      <c r="AB942" s="269"/>
      <c r="AC942" s="268"/>
      <c r="AD942" s="269"/>
      <c r="AE942" s="268"/>
      <c r="AF942" s="269"/>
      <c r="AG942" s="268"/>
      <c r="AH942" s="269"/>
      <c r="AI942" s="268"/>
      <c r="AJ942" s="269"/>
      <c r="AK942" s="268"/>
      <c r="AL942" s="269"/>
      <c r="AM942" s="268"/>
      <c r="AN942" s="269"/>
      <c r="AO942" s="268"/>
      <c r="AP942" s="269"/>
      <c r="AQ942" s="268"/>
      <c r="AR942" s="269"/>
      <c r="AS942" s="268"/>
      <c r="AT942" s="269"/>
      <c r="AU942" s="268"/>
      <c r="AV942" s="269"/>
      <c r="AW942" s="268"/>
      <c r="AX942" s="269"/>
      <c r="AY942" s="281"/>
      <c r="AZ942" s="267"/>
      <c r="BA942" s="269"/>
      <c r="BB942" s="268"/>
      <c r="BC942" s="269"/>
      <c r="BD942" s="907"/>
      <c r="BE942" s="269"/>
      <c r="BF942" s="268"/>
      <c r="BG942" s="269"/>
      <c r="BH942" s="268"/>
      <c r="BI942" s="269"/>
      <c r="BJ942" s="268"/>
      <c r="BK942" s="269"/>
      <c r="BL942" s="268"/>
      <c r="BM942" s="269"/>
      <c r="BN942" s="268"/>
      <c r="BO942" s="269"/>
      <c r="BP942" s="268"/>
      <c r="BQ942" s="269"/>
      <c r="BR942" s="268"/>
      <c r="BS942" s="269"/>
      <c r="BT942" s="268"/>
      <c r="BU942" s="269"/>
      <c r="BV942" s="270"/>
      <c r="BW942" s="270"/>
      <c r="BX942" s="270"/>
      <c r="BY942"/>
      <c r="BZ942"/>
      <c r="CA942"/>
      <c r="CB942"/>
      <c r="CC942"/>
      <c r="CD942"/>
    </row>
    <row r="943" spans="1:82" s="2" customFormat="1" ht="12.75" hidden="1" customHeight="1" outlineLevel="1" x14ac:dyDescent="0.2">
      <c r="A943" s="41"/>
      <c r="B943" s="42"/>
      <c r="C943" s="15"/>
      <c r="D943" s="40"/>
      <c r="E943" s="15"/>
      <c r="F943" s="40"/>
      <c r="G943" s="15"/>
      <c r="H943" s="40"/>
      <c r="I943" s="15"/>
      <c r="J943" s="40"/>
      <c r="K943" s="15"/>
      <c r="L943" s="40"/>
      <c r="M943" s="15"/>
      <c r="N943" s="40"/>
      <c r="O943" s="15"/>
      <c r="P943" s="40"/>
      <c r="Q943" s="15"/>
      <c r="R943" s="40"/>
      <c r="S943" s="15"/>
      <c r="T943" s="40"/>
      <c r="U943" s="15"/>
      <c r="V943" s="40"/>
      <c r="W943" s="15"/>
      <c r="X943" s="40"/>
      <c r="Y943" s="15"/>
      <c r="Z943" s="40"/>
      <c r="AA943" s="15"/>
      <c r="AB943" s="40"/>
      <c r="AC943" s="15"/>
      <c r="AD943" s="40"/>
      <c r="AE943" s="15"/>
      <c r="AF943" s="40"/>
      <c r="AG943" s="15"/>
      <c r="AH943" s="40"/>
      <c r="AI943" s="15"/>
      <c r="AJ943" s="40"/>
      <c r="AK943" s="15"/>
      <c r="AL943" s="40"/>
      <c r="AM943" s="15"/>
      <c r="AN943" s="40"/>
      <c r="AO943" s="15"/>
      <c r="AP943" s="40"/>
      <c r="AQ943" s="15"/>
      <c r="AR943" s="40"/>
      <c r="AS943" s="15"/>
      <c r="AT943" s="40"/>
      <c r="AU943" s="15"/>
      <c r="AV943" s="40"/>
      <c r="AW943" s="15"/>
      <c r="AX943" s="40"/>
      <c r="AY943" s="279"/>
      <c r="AZ943" s="15"/>
      <c r="BA943" s="40"/>
      <c r="BB943" s="15"/>
      <c r="BC943" s="40"/>
      <c r="BD943" s="924"/>
      <c r="BE943" s="40"/>
      <c r="BF943" s="15"/>
      <c r="BG943" s="40"/>
      <c r="BH943" s="15"/>
      <c r="BI943" s="40"/>
      <c r="BJ943" s="15"/>
      <c r="BK943" s="40"/>
      <c r="BL943" s="15"/>
      <c r="BM943" s="40"/>
      <c r="BN943" s="15"/>
      <c r="BO943" s="40"/>
      <c r="BP943" s="15"/>
      <c r="BQ943" s="40"/>
      <c r="BR943" s="15"/>
      <c r="BS943" s="40"/>
      <c r="BT943" s="15"/>
      <c r="BU943" s="40"/>
      <c r="BV943" s="194"/>
      <c r="BW943" s="194"/>
      <c r="BX943" s="194"/>
      <c r="BY943"/>
      <c r="BZ943"/>
      <c r="CA943"/>
      <c r="CB943"/>
      <c r="CC943"/>
      <c r="CD943"/>
    </row>
    <row r="944" spans="1:82" s="2" customFormat="1" ht="12.75" hidden="1" customHeight="1" outlineLevel="1" x14ac:dyDescent="0.2">
      <c r="B944" s="7" t="s">
        <v>350</v>
      </c>
      <c r="C944" s="8" t="s">
        <v>351</v>
      </c>
      <c r="D944" s="9"/>
      <c r="E944" s="8" t="s">
        <v>351</v>
      </c>
      <c r="F944" s="9"/>
      <c r="G944" s="8" t="s">
        <v>351</v>
      </c>
      <c r="H944" s="9"/>
      <c r="I944" s="8" t="s">
        <v>351</v>
      </c>
      <c r="J944" s="226"/>
      <c r="K944" s="8" t="s">
        <v>351</v>
      </c>
      <c r="L944" s="226"/>
      <c r="M944" s="51" t="s">
        <v>351</v>
      </c>
      <c r="N944" s="226"/>
      <c r="O944" s="8" t="s">
        <v>351</v>
      </c>
      <c r="P944" s="226"/>
      <c r="Q944" s="8" t="s">
        <v>351</v>
      </c>
      <c r="R944" s="226"/>
      <c r="S944" s="8" t="s">
        <v>351</v>
      </c>
      <c r="T944" s="226"/>
      <c r="U944" s="8" t="s">
        <v>351</v>
      </c>
      <c r="V944" s="226"/>
      <c r="W944" s="8" t="s">
        <v>351</v>
      </c>
      <c r="X944" s="226"/>
      <c r="Y944" s="8" t="s">
        <v>351</v>
      </c>
      <c r="Z944" s="226"/>
      <c r="AA944" s="8" t="s">
        <v>351</v>
      </c>
      <c r="AB944" s="226"/>
      <c r="AC944" s="8" t="s">
        <v>351</v>
      </c>
      <c r="AD944" s="226"/>
      <c r="AE944" s="8" t="s">
        <v>351</v>
      </c>
      <c r="AF944" s="226"/>
      <c r="AG944" s="8" t="s">
        <v>351</v>
      </c>
      <c r="AH944" s="9"/>
      <c r="AI944" s="8" t="s">
        <v>351</v>
      </c>
      <c r="AJ944" s="9"/>
      <c r="AK944" s="8" t="s">
        <v>351</v>
      </c>
      <c r="AL944" s="9"/>
      <c r="AM944" s="8" t="s">
        <v>351</v>
      </c>
      <c r="AN944" s="9"/>
      <c r="AO944" s="8" t="s">
        <v>351</v>
      </c>
      <c r="AP944" s="9"/>
      <c r="AQ944" s="8" t="s">
        <v>351</v>
      </c>
      <c r="AR944" s="9"/>
      <c r="AS944" s="8" t="s">
        <v>351</v>
      </c>
      <c r="AT944" s="9"/>
      <c r="AU944" s="8" t="s">
        <v>351</v>
      </c>
      <c r="AV944" s="9"/>
      <c r="AW944" s="8" t="s">
        <v>351</v>
      </c>
      <c r="AX944" s="9"/>
      <c r="AY944" s="271"/>
      <c r="AZ944" s="8"/>
      <c r="BA944" s="9"/>
      <c r="BB944" s="8" t="s">
        <v>351</v>
      </c>
      <c r="BC944" s="9" t="str">
        <f>IF(ISERROR(BB944/#REF!),"NA",IF(OR(BB944/#REF!&gt;2,BB944/#REF!&lt;0.5),"NM",BB944/#REF!*100-100))</f>
        <v>NA</v>
      </c>
      <c r="BD944" s="981" t="s">
        <v>351</v>
      </c>
      <c r="BE944" s="9" t="str">
        <f t="shared" ref="BE944:BS948" si="3922">IF(ISERROR(BD944/BB944),"NA",IF(OR(BD944/BB944&gt;2,BD944/BB944&lt;0.5),"NM",BD944/BB944*100-100))</f>
        <v>NA</v>
      </c>
      <c r="BF944" s="51" t="s">
        <v>351</v>
      </c>
      <c r="BG944" s="9" t="str">
        <f t="shared" si="3922"/>
        <v>NA</v>
      </c>
      <c r="BH944" s="8" t="s">
        <v>351</v>
      </c>
      <c r="BI944" s="9" t="str">
        <f t="shared" si="3922"/>
        <v>NA</v>
      </c>
      <c r="BJ944" s="8" t="s">
        <v>351</v>
      </c>
      <c r="BK944" s="9" t="str">
        <f t="shared" si="3922"/>
        <v>NA</v>
      </c>
      <c r="BL944" s="8" t="s">
        <v>351</v>
      </c>
      <c r="BM944" s="9" t="str">
        <f t="shared" si="3922"/>
        <v>NA</v>
      </c>
      <c r="BN944" s="8" t="s">
        <v>351</v>
      </c>
      <c r="BO944" s="9" t="str">
        <f t="shared" si="3922"/>
        <v>NA</v>
      </c>
      <c r="BP944" s="8" t="s">
        <v>351</v>
      </c>
      <c r="BQ944" s="9" t="str">
        <f t="shared" si="3922"/>
        <v>NA</v>
      </c>
      <c r="BR944" s="8" t="s">
        <v>351</v>
      </c>
      <c r="BS944" s="9" t="str">
        <f t="shared" si="3922"/>
        <v>NA</v>
      </c>
      <c r="BT944" s="8" t="s">
        <v>351</v>
      </c>
      <c r="BU944" s="9" t="str">
        <f t="shared" ref="BU944:BU948" si="3923">IF(ISERROR(BT944/BR944),"NA",IF(OR(BT944/BR944&gt;2,BT944/BR944&lt;0.5),"NM",BT944/BR944*100-100))</f>
        <v>NA</v>
      </c>
      <c r="BV944" s="229"/>
      <c r="BW944" s="229"/>
      <c r="BX944" s="8"/>
      <c r="BY944"/>
      <c r="BZ944"/>
      <c r="CA944"/>
      <c r="CB944"/>
      <c r="CC944"/>
      <c r="CD944"/>
    </row>
    <row r="945" spans="1:16203" s="2" customFormat="1" ht="12.75" hidden="1" customHeight="1" outlineLevel="1" x14ac:dyDescent="0.2">
      <c r="B945" s="185" t="s">
        <v>473</v>
      </c>
      <c r="C945" s="8">
        <v>0</v>
      </c>
      <c r="D945" s="9"/>
      <c r="E945" s="8">
        <v>0</v>
      </c>
      <c r="F945" s="9"/>
      <c r="G945" s="8">
        <v>0</v>
      </c>
      <c r="H945" s="9"/>
      <c r="I945" s="8">
        <v>0</v>
      </c>
      <c r="J945" s="226"/>
      <c r="K945" s="8">
        <v>0</v>
      </c>
      <c r="L945" s="226"/>
      <c r="M945" s="51">
        <v>0</v>
      </c>
      <c r="N945" s="226"/>
      <c r="O945" s="8">
        <v>0</v>
      </c>
      <c r="P945" s="226"/>
      <c r="Q945" s="8">
        <v>0</v>
      </c>
      <c r="R945" s="226"/>
      <c r="S945" s="8">
        <v>0</v>
      </c>
      <c r="T945" s="226"/>
      <c r="U945" s="8">
        <v>0</v>
      </c>
      <c r="V945" s="226"/>
      <c r="W945" s="8">
        <v>0</v>
      </c>
      <c r="X945" s="226"/>
      <c r="Y945" s="8">
        <v>0</v>
      </c>
      <c r="Z945" s="226"/>
      <c r="AA945" s="8">
        <v>0</v>
      </c>
      <c r="AB945" s="226"/>
      <c r="AC945" s="8">
        <v>0</v>
      </c>
      <c r="AD945" s="226"/>
      <c r="AE945" s="8">
        <v>0</v>
      </c>
      <c r="AF945" s="226"/>
      <c r="AG945" s="8">
        <v>0</v>
      </c>
      <c r="AH945" s="9"/>
      <c r="AI945" s="8">
        <v>0</v>
      </c>
      <c r="AJ945" s="9"/>
      <c r="AK945" s="8">
        <v>0</v>
      </c>
      <c r="AL945" s="9"/>
      <c r="AM945" s="8">
        <v>0</v>
      </c>
      <c r="AN945" s="9"/>
      <c r="AO945" s="8">
        <v>0</v>
      </c>
      <c r="AP945" s="9"/>
      <c r="AQ945" s="8">
        <v>0</v>
      </c>
      <c r="AR945" s="9"/>
      <c r="AS945" s="8">
        <v>0</v>
      </c>
      <c r="AT945" s="9"/>
      <c r="AU945" s="8">
        <v>0</v>
      </c>
      <c r="AV945" s="9"/>
      <c r="AW945" s="8">
        <v>0</v>
      </c>
      <c r="AX945" s="9"/>
      <c r="AY945" s="271"/>
      <c r="AZ945" s="8"/>
      <c r="BA945" s="9"/>
      <c r="BB945" s="8">
        <v>0</v>
      </c>
      <c r="BC945" s="9" t="str">
        <f>IF(ISERROR(BB945/#REF!),"NA",IF(OR(BB945/#REF!&gt;2,BB945/#REF!&lt;0.5),"NM",BB945/#REF!*100-100))</f>
        <v>NA</v>
      </c>
      <c r="BD945" s="981">
        <v>0</v>
      </c>
      <c r="BE945" s="9" t="str">
        <f t="shared" si="3922"/>
        <v>NA</v>
      </c>
      <c r="BF945" s="51">
        <v>0</v>
      </c>
      <c r="BG945" s="9" t="str">
        <f t="shared" si="3922"/>
        <v>NA</v>
      </c>
      <c r="BH945" s="8">
        <v>0</v>
      </c>
      <c r="BI945" s="9" t="str">
        <f t="shared" si="3922"/>
        <v>NA</v>
      </c>
      <c r="BJ945" s="8">
        <v>0</v>
      </c>
      <c r="BK945" s="9" t="str">
        <f t="shared" si="3922"/>
        <v>NA</v>
      </c>
      <c r="BL945" s="8">
        <v>0</v>
      </c>
      <c r="BM945" s="9" t="str">
        <f t="shared" si="3922"/>
        <v>NA</v>
      </c>
      <c r="BN945" s="8">
        <v>0</v>
      </c>
      <c r="BO945" s="9" t="str">
        <f t="shared" si="3922"/>
        <v>NA</v>
      </c>
      <c r="BP945" s="8">
        <v>0</v>
      </c>
      <c r="BQ945" s="9" t="str">
        <f t="shared" si="3922"/>
        <v>NA</v>
      </c>
      <c r="BR945" s="8">
        <v>0</v>
      </c>
      <c r="BS945" s="9" t="str">
        <f t="shared" si="3922"/>
        <v>NA</v>
      </c>
      <c r="BT945" s="8">
        <v>0</v>
      </c>
      <c r="BU945" s="9" t="str">
        <f t="shared" si="3923"/>
        <v>NA</v>
      </c>
      <c r="BV945" s="229"/>
      <c r="BW945" s="229"/>
      <c r="BX945" s="8"/>
      <c r="BY945"/>
      <c r="BZ945"/>
      <c r="CA945"/>
      <c r="CB945"/>
      <c r="CC945"/>
      <c r="CD945"/>
    </row>
    <row r="946" spans="1:16203" s="2" customFormat="1" ht="12.75" hidden="1" customHeight="1" outlineLevel="1" x14ac:dyDescent="0.2">
      <c r="B946" s="7" t="s">
        <v>201</v>
      </c>
      <c r="C946" s="8">
        <f>+C842</f>
        <v>297.10000000000002</v>
      </c>
      <c r="D946" s="9"/>
      <c r="E946" s="8">
        <f>+E842</f>
        <v>297.2</v>
      </c>
      <c r="F946" s="9"/>
      <c r="G946" s="8">
        <f>+G842</f>
        <v>298.60000000000002</v>
      </c>
      <c r="H946" s="9"/>
      <c r="I946" s="8">
        <f>+I842</f>
        <v>299.3</v>
      </c>
      <c r="J946" s="226"/>
      <c r="K946" s="8">
        <f>+K842</f>
        <v>299.5</v>
      </c>
      <c r="L946" s="226"/>
      <c r="M946" s="51">
        <f>+M842</f>
        <v>298.3</v>
      </c>
      <c r="N946" s="226"/>
      <c r="O946" s="8">
        <f>+O842</f>
        <v>298.2</v>
      </c>
      <c r="P946" s="226"/>
      <c r="Q946" s="8">
        <f>+Q842</f>
        <v>298.3</v>
      </c>
      <c r="R946" s="226"/>
      <c r="S946" s="8">
        <f>+S842</f>
        <v>298.5</v>
      </c>
      <c r="T946" s="226"/>
      <c r="U946" s="8">
        <f>+U842</f>
        <v>298.39999999999998</v>
      </c>
      <c r="V946" s="226"/>
      <c r="W946" s="8">
        <f>+W842</f>
        <v>298.5</v>
      </c>
      <c r="X946" s="226"/>
      <c r="Y946" s="8">
        <f>+Y842</f>
        <v>296.2</v>
      </c>
      <c r="Z946" s="226"/>
      <c r="AA946" s="8">
        <f>+AA842</f>
        <v>294.3</v>
      </c>
      <c r="AB946" s="226"/>
      <c r="AC946" s="8">
        <f>+AC842</f>
        <v>292.60000000000002</v>
      </c>
      <c r="AD946" s="226"/>
      <c r="AE946" s="8">
        <f>+AE842</f>
        <v>291.39999999999998</v>
      </c>
      <c r="AF946" s="226"/>
      <c r="AG946" s="8">
        <f>+AG842</f>
        <v>292</v>
      </c>
      <c r="AH946" s="9"/>
      <c r="AI946" s="8">
        <f>+AI842</f>
        <v>292.39999999999998</v>
      </c>
      <c r="AJ946" s="9"/>
      <c r="AK946" s="8">
        <f>+AK842</f>
        <v>292.7</v>
      </c>
      <c r="AL946" s="9"/>
      <c r="AM946" s="8">
        <f t="shared" ref="AM946:AO946" si="3924">+AM842</f>
        <v>293.05</v>
      </c>
      <c r="AN946" s="9"/>
      <c r="AO946" s="8">
        <f t="shared" si="3924"/>
        <v>293.60000000000002</v>
      </c>
      <c r="AP946" s="9"/>
      <c r="AQ946" s="8">
        <f t="shared" ref="AQ946:AW946" si="3925">+AQ842</f>
        <v>292.77612675568662</v>
      </c>
      <c r="AR946" s="9"/>
      <c r="AS946" s="8">
        <f t="shared" si="3925"/>
        <v>291.85155908304898</v>
      </c>
      <c r="AT946" s="9"/>
      <c r="AU946" s="8">
        <f t="shared" si="3925"/>
        <v>291.05910299434498</v>
      </c>
      <c r="AV946" s="9"/>
      <c r="AW946" s="8">
        <f t="shared" si="3925"/>
        <v>290.46769136970227</v>
      </c>
      <c r="AX946" s="9"/>
      <c r="AY946" s="271"/>
      <c r="AZ946" s="11"/>
      <c r="BA946" s="9"/>
      <c r="BB946" s="8">
        <f t="shared" ref="BB946:BP946" si="3926">+BB842</f>
        <v>298.05</v>
      </c>
      <c r="BC946" s="9" t="str">
        <f>IF(ISERROR(BB946/#REF!),"NA",IF(OR(BB946/#REF!&gt;2,BB946/#REF!&lt;0.5),"NM",BB946/#REF!*100-100))</f>
        <v>NA</v>
      </c>
      <c r="BD946" s="981">
        <f t="shared" si="3926"/>
        <v>298.57499999999999</v>
      </c>
      <c r="BE946" s="9">
        <f t="shared" si="3922"/>
        <v>0.17614494212378418</v>
      </c>
      <c r="BF946" s="51">
        <f t="shared" si="3926"/>
        <v>297.89999999999998</v>
      </c>
      <c r="BG946" s="9">
        <f t="shared" si="3922"/>
        <v>-0.2260738507912663</v>
      </c>
      <c r="BH946" s="8">
        <f t="shared" si="3926"/>
        <v>292.57500000000005</v>
      </c>
      <c r="BI946" s="9">
        <f t="shared" si="3922"/>
        <v>-1.7875125881167975</v>
      </c>
      <c r="BJ946" s="8">
        <f t="shared" ref="BJ946" si="3927">+BJ842</f>
        <v>292.9375</v>
      </c>
      <c r="BK946" s="9">
        <f t="shared" si="3922"/>
        <v>0.12389985473808451</v>
      </c>
      <c r="BL946" s="8">
        <f t="shared" ref="BL946" si="3928">+BL842</f>
        <v>291.53862005069573</v>
      </c>
      <c r="BM946" s="9">
        <f t="shared" si="3922"/>
        <v>-0.47753529312713283</v>
      </c>
      <c r="BN946" s="8">
        <f t="shared" si="3926"/>
        <v>288.41373510154278</v>
      </c>
      <c r="BO946" s="9">
        <f t="shared" si="3922"/>
        <v>-1.0718596900162254</v>
      </c>
      <c r="BP946" s="8">
        <f t="shared" si="3926"/>
        <v>286.37664877403301</v>
      </c>
      <c r="BQ946" s="9">
        <f t="shared" si="3922"/>
        <v>-0.70630697487155203</v>
      </c>
      <c r="BR946" s="8">
        <f t="shared" ref="BR946:BT946" si="3929">+BR842</f>
        <v>283.94673762494762</v>
      </c>
      <c r="BS946" s="9">
        <f t="shared" si="3922"/>
        <v>-0.84850184520551863</v>
      </c>
      <c r="BT946" s="8">
        <f t="shared" si="3929"/>
        <v>281.81183897264901</v>
      </c>
      <c r="BU946" s="9">
        <f t="shared" si="3923"/>
        <v>-0.75186588518529618</v>
      </c>
      <c r="BV946" s="10"/>
      <c r="BW946" s="10"/>
      <c r="BX946" s="10"/>
      <c r="BY946"/>
      <c r="BZ946"/>
      <c r="CA946"/>
      <c r="CB946"/>
      <c r="CC946"/>
      <c r="CD946"/>
    </row>
    <row r="947" spans="1:16203" s="2" customFormat="1" ht="12.75" hidden="1" customHeight="1" outlineLevel="1" x14ac:dyDescent="0.2">
      <c r="B947" s="7" t="s">
        <v>431</v>
      </c>
      <c r="C947" s="8">
        <f>C840</f>
        <v>293.3</v>
      </c>
      <c r="D947" s="9"/>
      <c r="E947" s="8">
        <f>E840</f>
        <v>293.89999999999998</v>
      </c>
      <c r="F947" s="9"/>
      <c r="G947" s="8">
        <f>G840</f>
        <v>293.89999999999998</v>
      </c>
      <c r="H947" s="9"/>
      <c r="I947" s="8">
        <f>I840</f>
        <v>295.2</v>
      </c>
      <c r="J947" s="226"/>
      <c r="K947" s="8">
        <f>K840</f>
        <v>294.8</v>
      </c>
      <c r="L947" s="226"/>
      <c r="M947" s="51">
        <f>M840</f>
        <v>293.8</v>
      </c>
      <c r="N947" s="226"/>
      <c r="O947" s="8">
        <f>O840</f>
        <v>293.60000000000002</v>
      </c>
      <c r="P947" s="226"/>
      <c r="Q947" s="8">
        <f>Q840</f>
        <v>293.89999999999998</v>
      </c>
      <c r="R947" s="226"/>
      <c r="S947" s="8">
        <f>S840</f>
        <v>294.39999999999998</v>
      </c>
      <c r="T947" s="226"/>
      <c r="U947" s="8">
        <f>U840</f>
        <v>294.7</v>
      </c>
      <c r="V947" s="226"/>
      <c r="W947" s="8">
        <f>W840</f>
        <v>293.5</v>
      </c>
      <c r="X947" s="226"/>
      <c r="Y947" s="8">
        <f>Y840</f>
        <v>291.39999999999998</v>
      </c>
      <c r="Z947" s="226"/>
      <c r="AA947" s="8">
        <f>AA840</f>
        <v>290.39999999999998</v>
      </c>
      <c r="AB947" s="226"/>
      <c r="AC947" s="8">
        <f>AC840</f>
        <v>288</v>
      </c>
      <c r="AD947" s="226"/>
      <c r="AE947" s="8">
        <f>AE840</f>
        <v>287.7</v>
      </c>
      <c r="AF947" s="226"/>
      <c r="AG947" s="8">
        <f>AG840</f>
        <v>287.7</v>
      </c>
      <c r="AH947" s="9"/>
      <c r="AI947" s="8">
        <f>AI840</f>
        <v>288.10000000000002</v>
      </c>
      <c r="AJ947" s="9"/>
      <c r="AK947" s="8">
        <f>AK840</f>
        <v>288.60000000000002</v>
      </c>
      <c r="AL947" s="9"/>
      <c r="AM947" s="8">
        <f t="shared" ref="AM947:AO947" si="3930">AM840</f>
        <v>288.5</v>
      </c>
      <c r="AN947" s="9"/>
      <c r="AO947" s="8">
        <f t="shared" si="3930"/>
        <v>289</v>
      </c>
      <c r="AP947" s="9"/>
      <c r="AQ947" s="8">
        <f t="shared" ref="AQ947:AW947" si="3931">AQ840</f>
        <v>287.9522535113731</v>
      </c>
      <c r="AR947" s="9"/>
      <c r="AS947" s="8">
        <f t="shared" si="3931"/>
        <v>287.15086465472478</v>
      </c>
      <c r="AT947" s="9"/>
      <c r="AU947" s="8">
        <f t="shared" si="3931"/>
        <v>286.3673413339651</v>
      </c>
      <c r="AV947" s="9"/>
      <c r="AW947" s="8">
        <f t="shared" si="3931"/>
        <v>285.96804140543935</v>
      </c>
      <c r="AX947" s="9"/>
      <c r="AY947" s="271"/>
      <c r="AZ947" s="11"/>
      <c r="BA947" s="9"/>
      <c r="BB947" s="8">
        <f t="shared" ref="BB947:BP947" si="3932">BB840</f>
        <v>293.60000000000002</v>
      </c>
      <c r="BC947" s="9" t="str">
        <f>IF(ISERROR(BB947/#REF!),"NA",IF(OR(BB947/#REF!&gt;2,BB947/#REF!&lt;0.5),"NM",BB947/#REF!*100-100))</f>
        <v>NA</v>
      </c>
      <c r="BD947" s="981">
        <f t="shared" si="3932"/>
        <v>293.89999999999998</v>
      </c>
      <c r="BE947" s="9">
        <f t="shared" si="3922"/>
        <v>0.10217983651223506</v>
      </c>
      <c r="BF947" s="51">
        <f t="shared" si="3932"/>
        <v>291.39999999999998</v>
      </c>
      <c r="BG947" s="9">
        <f t="shared" si="3922"/>
        <v>-0.85062946580470111</v>
      </c>
      <c r="BH947" s="8">
        <f t="shared" si="3932"/>
        <v>287.7</v>
      </c>
      <c r="BI947" s="9">
        <f t="shared" si="3922"/>
        <v>-1.2697323266986871</v>
      </c>
      <c r="BJ947" s="8">
        <f t="shared" ref="BJ947" si="3933">BJ840</f>
        <v>289</v>
      </c>
      <c r="BK947" s="9">
        <f t="shared" si="3922"/>
        <v>0.45185957594718218</v>
      </c>
      <c r="BL947" s="8">
        <f t="shared" ref="BL947" si="3934">BL840</f>
        <v>285.96804140543935</v>
      </c>
      <c r="BM947" s="9">
        <f t="shared" si="3922"/>
        <v>-1.0491206209552502</v>
      </c>
      <c r="BN947" s="8">
        <f t="shared" si="3932"/>
        <v>283.34419756561175</v>
      </c>
      <c r="BO947" s="9">
        <f t="shared" si="3922"/>
        <v>-0.91753044393782091</v>
      </c>
      <c r="BP947" s="8">
        <f t="shared" si="3932"/>
        <v>280.80909998245437</v>
      </c>
      <c r="BQ947" s="9">
        <f t="shared" si="3922"/>
        <v>-0.89470601654736015</v>
      </c>
      <c r="BR947" s="8">
        <f t="shared" ref="BR947:BT947" si="3935">BR840</f>
        <v>278.48437526744095</v>
      </c>
      <c r="BS947" s="9">
        <f t="shared" si="3922"/>
        <v>-0.82786658806949731</v>
      </c>
      <c r="BT947" s="8">
        <f t="shared" si="3935"/>
        <v>276.53930267785705</v>
      </c>
      <c r="BU947" s="9">
        <f t="shared" si="3923"/>
        <v>-0.69844945078730802</v>
      </c>
      <c r="BV947" s="10"/>
      <c r="BW947" s="10"/>
      <c r="BX947" s="10"/>
      <c r="BY947"/>
      <c r="BZ947"/>
      <c r="CA947"/>
      <c r="CB947"/>
      <c r="CC947"/>
      <c r="CD947"/>
    </row>
    <row r="948" spans="1:16203" s="2" customFormat="1" ht="12.75" hidden="1" customHeight="1" outlineLevel="1" x14ac:dyDescent="0.2">
      <c r="B948" s="7" t="s">
        <v>329</v>
      </c>
      <c r="C948" s="208">
        <f>C705/100</f>
        <v>0.25936507936507924</v>
      </c>
      <c r="D948" s="208"/>
      <c r="E948" s="208">
        <f>E705/100</f>
        <v>0.25907725907725915</v>
      </c>
      <c r="F948" s="208"/>
      <c r="G948" s="208">
        <f>G705/100</f>
        <v>0.25242988058872579</v>
      </c>
      <c r="H948" s="208"/>
      <c r="I948" s="208">
        <f>I705/100</f>
        <v>0.27152317880794696</v>
      </c>
      <c r="J948" s="226"/>
      <c r="K948" s="208">
        <f>K705/100</f>
        <v>0.20888445220863511</v>
      </c>
      <c r="L948" s="226"/>
      <c r="M948" s="208">
        <f>M705/100</f>
        <v>0.25747126436781598</v>
      </c>
      <c r="N948" s="226"/>
      <c r="O948" s="208">
        <f>O705/100</f>
        <v>0.18430292488081451</v>
      </c>
      <c r="P948" s="226"/>
      <c r="Q948" s="208">
        <f>Q705/100</f>
        <v>0.18163227016885583</v>
      </c>
      <c r="R948" s="226"/>
      <c r="S948" s="208">
        <f>S705/100</f>
        <v>0.18968510700513538</v>
      </c>
      <c r="T948" s="226"/>
      <c r="U948" s="208">
        <f>U705/100</f>
        <v>0.21121160562371272</v>
      </c>
      <c r="V948" s="226"/>
      <c r="W948" s="208">
        <f>W705/100</f>
        <v>0.19809428284854561</v>
      </c>
      <c r="X948" s="226"/>
      <c r="Y948" s="208">
        <f>Y705/100</f>
        <v>0.21835524619747368</v>
      </c>
      <c r="Z948" s="226"/>
      <c r="AA948" s="208">
        <f>AA705/100</f>
        <v>0.1964636542239685</v>
      </c>
      <c r="AB948" s="226"/>
      <c r="AC948" s="208">
        <f>AC705/100</f>
        <v>0.21822820037105739</v>
      </c>
      <c r="AD948" s="226"/>
      <c r="AE948" s="208">
        <f>AE705/100</f>
        <v>0.19380403458213277</v>
      </c>
      <c r="AF948" s="226"/>
      <c r="AG948" s="208">
        <f>AG705/100</f>
        <v>0.19965576592082587</v>
      </c>
      <c r="AH948" s="9"/>
      <c r="AI948" s="208">
        <f>AI705/100</f>
        <v>0.2163705583756346</v>
      </c>
      <c r="AJ948" s="9"/>
      <c r="AK948" s="208">
        <f>AK705/100</f>
        <v>0.22426693629929231</v>
      </c>
      <c r="AL948" s="9"/>
      <c r="AM948" s="208">
        <f t="shared" ref="AM948:AO948" si="3936">AM705/100</f>
        <v>0.17487304040627102</v>
      </c>
      <c r="AN948" s="9"/>
      <c r="AO948" s="208">
        <f t="shared" si="3936"/>
        <v>0.22646085997794882</v>
      </c>
      <c r="AP948" s="9"/>
      <c r="AQ948" s="208">
        <f t="shared" ref="AQ948:AW948" si="3937">AQ705/100</f>
        <v>0.18999999999999997</v>
      </c>
      <c r="AR948" s="9"/>
      <c r="AS948" s="208">
        <f t="shared" si="3937"/>
        <v>0.18999999999999997</v>
      </c>
      <c r="AT948" s="9"/>
      <c r="AU948" s="208">
        <f t="shared" si="3937"/>
        <v>0.19</v>
      </c>
      <c r="AV948" s="9"/>
      <c r="AW948" s="208">
        <f t="shared" si="3937"/>
        <v>0.18999999999999997</v>
      </c>
      <c r="AX948" s="9"/>
      <c r="AY948" s="271"/>
      <c r="AZ948" s="11"/>
      <c r="BA948" s="9"/>
      <c r="BB948" s="208">
        <f>BB705/100</f>
        <v>0.26087866108786634</v>
      </c>
      <c r="BC948" s="9" t="str">
        <f>IF(ISERROR(BB948/#REF!),"NA",IF(OR(BB948/#REF!&gt;2,BB948/#REF!&lt;0.5),"NM",BB948/#REF!*100-100))</f>
        <v>NA</v>
      </c>
      <c r="BD948" s="982">
        <f>BD705/100</f>
        <v>0.20785255480317302</v>
      </c>
      <c r="BE948" s="9">
        <f t="shared" si="3922"/>
        <v>-20.325965360131022</v>
      </c>
      <c r="BF948" s="223">
        <f>BF705/100</f>
        <v>0.20417436085385499</v>
      </c>
      <c r="BG948" s="9">
        <f t="shared" si="3922"/>
        <v>-1.7696169059846767</v>
      </c>
      <c r="BH948" s="208">
        <f>BH705/100</f>
        <v>0.20231317792293388</v>
      </c>
      <c r="BI948" s="9">
        <f t="shared" si="3922"/>
        <v>-0.91156544981340915</v>
      </c>
      <c r="BJ948" s="208">
        <f>BJ705/100</f>
        <v>0.2108662005657255</v>
      </c>
      <c r="BK948" s="9">
        <f t="shared" si="3922"/>
        <v>4.2276151907661159</v>
      </c>
      <c r="BL948" s="208">
        <f>BL705/100</f>
        <v>0.18999999999999992</v>
      </c>
      <c r="BM948" s="9">
        <f t="shared" si="3922"/>
        <v>-9.8954695013920571</v>
      </c>
      <c r="BN948" s="208">
        <f>BN705/100</f>
        <v>0.18999999999999992</v>
      </c>
      <c r="BO948" s="9">
        <f t="shared" si="3922"/>
        <v>0</v>
      </c>
      <c r="BP948" s="208">
        <f>BP705/100</f>
        <v>0.19</v>
      </c>
      <c r="BQ948" s="9">
        <f t="shared" si="3922"/>
        <v>4.2632564145606011E-14</v>
      </c>
      <c r="BR948" s="208">
        <f>BR705/100</f>
        <v>0.19000000000000011</v>
      </c>
      <c r="BS948" s="9">
        <f t="shared" si="3922"/>
        <v>7.1054273576010019E-14</v>
      </c>
      <c r="BT948" s="208">
        <f>BT705/100</f>
        <v>0.19000000000000011</v>
      </c>
      <c r="BU948" s="9">
        <f t="shared" si="3923"/>
        <v>0</v>
      </c>
      <c r="BV948" s="10"/>
      <c r="BW948" s="10"/>
      <c r="BX948" s="10"/>
      <c r="BY948"/>
      <c r="BZ948"/>
      <c r="CA948"/>
      <c r="CB948"/>
      <c r="CC948"/>
      <c r="CD948"/>
    </row>
    <row r="949" spans="1:16203" s="2" customFormat="1" ht="12.75" hidden="1" customHeight="1" outlineLevel="1" x14ac:dyDescent="0.2">
      <c r="C949" s="7"/>
      <c r="D949" s="231"/>
      <c r="E949" s="7"/>
      <c r="F949" s="231"/>
      <c r="G949" s="7"/>
      <c r="H949" s="231"/>
      <c r="J949" s="231"/>
      <c r="L949" s="231"/>
      <c r="M949" s="41"/>
      <c r="N949" s="231"/>
      <c r="P949" s="231"/>
      <c r="R949" s="231"/>
      <c r="T949" s="231"/>
      <c r="V949" s="231"/>
      <c r="X949" s="231"/>
      <c r="Z949" s="231"/>
      <c r="AB949" s="231"/>
      <c r="AD949" s="231"/>
      <c r="AF949" s="231"/>
      <c r="AH949" s="231"/>
      <c r="AJ949" s="231"/>
      <c r="AL949" s="231"/>
      <c r="AN949" s="231"/>
      <c r="AP949" s="231"/>
      <c r="AR949" s="231"/>
      <c r="AT949" s="231"/>
      <c r="AV949" s="231"/>
      <c r="AX949" s="231"/>
      <c r="AY949" s="273"/>
      <c r="BA949" s="231"/>
      <c r="BD949" s="927"/>
      <c r="BF949" s="41"/>
      <c r="BV949" s="227"/>
      <c r="BW949" s="227"/>
      <c r="BX949" s="7"/>
      <c r="BY949"/>
      <c r="BZ949"/>
      <c r="CA949"/>
      <c r="CB949"/>
      <c r="CC949"/>
      <c r="CD949"/>
    </row>
    <row r="950" spans="1:16203" s="2" customFormat="1" ht="12.75" hidden="1" customHeight="1" outlineLevel="1" x14ac:dyDescent="0.2">
      <c r="B950" s="4" t="s">
        <v>465</v>
      </c>
      <c r="C950" s="7"/>
      <c r="D950" s="231"/>
      <c r="E950" s="7"/>
      <c r="F950" s="231"/>
      <c r="G950" s="7"/>
      <c r="H950" s="231"/>
      <c r="J950" s="231"/>
      <c r="L950" s="231"/>
      <c r="M950" s="41"/>
      <c r="N950" s="231"/>
      <c r="P950" s="231"/>
      <c r="R950" s="231"/>
      <c r="T950" s="231"/>
      <c r="V950" s="231"/>
      <c r="X950" s="231"/>
      <c r="Z950" s="231"/>
      <c r="AB950" s="231"/>
      <c r="AD950" s="231"/>
      <c r="AF950" s="231"/>
      <c r="AH950" s="231"/>
      <c r="AJ950" s="231"/>
      <c r="AL950" s="231"/>
      <c r="AN950" s="231"/>
      <c r="AP950" s="231"/>
      <c r="AR950" s="231"/>
      <c r="AT950" s="231"/>
      <c r="AV950" s="231"/>
      <c r="AX950" s="231"/>
      <c r="AY950" s="273"/>
      <c r="BA950" s="231"/>
      <c r="BD950" s="927"/>
      <c r="BF950" s="41"/>
      <c r="BV950" s="227"/>
      <c r="BW950" s="227"/>
      <c r="BX950" s="7"/>
      <c r="BY950"/>
      <c r="BZ950"/>
      <c r="CA950"/>
      <c r="CB950"/>
      <c r="CC950"/>
      <c r="CD950"/>
    </row>
    <row r="951" spans="1:16203" s="2" customFormat="1" ht="12.75" hidden="1" customHeight="1" outlineLevel="1" x14ac:dyDescent="0.2">
      <c r="B951" s="80" t="s">
        <v>49</v>
      </c>
      <c r="D951" s="231"/>
      <c r="F951" s="231"/>
      <c r="H951" s="231"/>
      <c r="J951" s="231"/>
      <c r="L951" s="231"/>
      <c r="M951" s="41"/>
      <c r="N951" s="231"/>
      <c r="P951" s="231"/>
      <c r="R951" s="231"/>
      <c r="T951" s="231"/>
      <c r="V951" s="231"/>
      <c r="X951" s="231"/>
      <c r="Z951" s="231"/>
      <c r="AB951" s="231"/>
      <c r="AD951" s="231"/>
      <c r="AF951" s="231"/>
      <c r="AH951" s="231"/>
      <c r="AJ951" s="231"/>
      <c r="AL951" s="231"/>
      <c r="AN951" s="231"/>
      <c r="AP951" s="231"/>
      <c r="AR951" s="231"/>
      <c r="AT951" s="231"/>
      <c r="AV951" s="231"/>
      <c r="AX951" s="231"/>
      <c r="AY951" s="273"/>
      <c r="BA951" s="231"/>
      <c r="BD951" s="927"/>
      <c r="BF951" s="41"/>
      <c r="BV951" s="227"/>
      <c r="BW951" s="227"/>
      <c r="BX951" s="7"/>
      <c r="BY951"/>
      <c r="BZ951"/>
      <c r="CA951"/>
      <c r="CB951"/>
      <c r="CC951"/>
      <c r="CD951"/>
    </row>
    <row r="952" spans="1:16203" s="2" customFormat="1" ht="12.75" hidden="1" customHeight="1" outlineLevel="1" x14ac:dyDescent="0.2">
      <c r="A952" s="2" t="s">
        <v>124</v>
      </c>
      <c r="B952" s="250" t="s">
        <v>556</v>
      </c>
      <c r="C952" s="710">
        <f>C65</f>
        <v>92.992307692307705</v>
      </c>
      <c r="D952" s="710"/>
      <c r="E952" s="710">
        <f>E65</f>
        <v>119.79999999999995</v>
      </c>
      <c r="F952" s="710"/>
      <c r="G952" s="710">
        <f>G65</f>
        <v>102.90000000000003</v>
      </c>
      <c r="H952" s="710"/>
      <c r="I952" s="710">
        <f>I65</f>
        <v>118.38461538461539</v>
      </c>
      <c r="J952" s="226"/>
      <c r="K952" s="710">
        <f>K65</f>
        <v>117.92307692307686</v>
      </c>
      <c r="L952" s="226"/>
      <c r="M952" s="710">
        <f>M65</f>
        <v>144.06923076923078</v>
      </c>
      <c r="N952" s="226"/>
      <c r="O952" s="710">
        <f>O65</f>
        <v>145.5</v>
      </c>
      <c r="P952" s="226"/>
      <c r="Q952" s="710">
        <f>Q65</f>
        <v>138.69999999999999</v>
      </c>
      <c r="R952" s="226"/>
      <c r="S952" s="710">
        <f>S65</f>
        <v>132.56923076923078</v>
      </c>
      <c r="T952" s="226"/>
      <c r="U952" s="710">
        <f>U65</f>
        <v>138.78461538461536</v>
      </c>
      <c r="V952" s="226"/>
      <c r="W952" s="710">
        <f>W65</f>
        <v>129.13846153846151</v>
      </c>
      <c r="X952" s="226"/>
      <c r="Y952" s="710">
        <f>Y65</f>
        <v>124.69999999999999</v>
      </c>
      <c r="Z952" s="226"/>
      <c r="AA952" s="710">
        <f>AA65</f>
        <v>114</v>
      </c>
      <c r="AB952" s="226"/>
      <c r="AC952" s="710">
        <f>AC65</f>
        <v>124.5</v>
      </c>
      <c r="AD952" s="226"/>
      <c r="AE952" s="710">
        <f>AE65</f>
        <v>145.29999999999998</v>
      </c>
      <c r="AF952" s="226"/>
      <c r="AG952" s="710">
        <f>AG65</f>
        <v>124.00000000000006</v>
      </c>
      <c r="AH952" s="9"/>
      <c r="AI952" s="710">
        <f>AI65</f>
        <v>138.69999999999999</v>
      </c>
      <c r="AJ952" s="9"/>
      <c r="AK952" s="710">
        <f>AK65</f>
        <v>147.5</v>
      </c>
      <c r="AL952" s="9"/>
      <c r="AM952" s="710">
        <f>AM65</f>
        <v>149</v>
      </c>
      <c r="AN952" s="9"/>
      <c r="AO952" s="710">
        <f>AO65</f>
        <v>126.60000000000002</v>
      </c>
      <c r="AP952" s="9"/>
      <c r="AQ952" s="710">
        <f>AQ65</f>
        <v>142.05612240496151</v>
      </c>
      <c r="AR952" s="9"/>
      <c r="AS952" s="710">
        <f>AS65</f>
        <v>142.19182518538878</v>
      </c>
      <c r="AT952" s="9"/>
      <c r="AU952" s="710">
        <f>AU65</f>
        <v>143.63086237263838</v>
      </c>
      <c r="AV952" s="9"/>
      <c r="AW952" s="710">
        <f>AW65</f>
        <v>153.34038105962878</v>
      </c>
      <c r="AX952" s="9"/>
      <c r="AY952" s="273"/>
      <c r="BA952" s="9"/>
      <c r="BB952" s="710">
        <f>BB65</f>
        <v>434.07692307692309</v>
      </c>
      <c r="BC952" s="9" t="str">
        <f>IF(ISERROR(BB952/#REF!),"NA",IF(OR(BB952/#REF!&gt;2,BB952/#REF!&lt;0.5),"NM",BB952/#REF!*100-100))</f>
        <v>NA</v>
      </c>
      <c r="BD952" s="983">
        <f>BD65</f>
        <v>546.19230769230774</v>
      </c>
      <c r="BE952" s="9">
        <f t="shared" ref="BE952:BS961" si="3938">IF(ISERROR(BD952/BB952),"NA",IF(OR(BD952/BB952&gt;2,BD952/BB952&lt;0.5),"NM",BD952/BB952*100-100))</f>
        <v>25.82846003898635</v>
      </c>
      <c r="BF952" s="110">
        <f>BF65</f>
        <v>525.19230769230774</v>
      </c>
      <c r="BG952" s="9">
        <f t="shared" si="3938"/>
        <v>-3.8447996619956371</v>
      </c>
      <c r="BH952" s="710">
        <f>BH65</f>
        <v>507.79999999999984</v>
      </c>
      <c r="BI952" s="9">
        <f t="shared" si="3938"/>
        <v>-3.3116074697913263</v>
      </c>
      <c r="BJ952" s="710">
        <f>BJ65</f>
        <v>561.79999999999995</v>
      </c>
      <c r="BK952" s="9">
        <f t="shared" si="3938"/>
        <v>10.634107916502586</v>
      </c>
      <c r="BL952" s="710">
        <f>BL65</f>
        <v>581.21919102261722</v>
      </c>
      <c r="BM952" s="9">
        <f t="shared" si="3938"/>
        <v>3.4566021756171637</v>
      </c>
      <c r="BN952" s="710">
        <f>BN65</f>
        <v>602.06469029652203</v>
      </c>
      <c r="BO952" s="9">
        <f t="shared" si="3938"/>
        <v>3.586512557719999</v>
      </c>
      <c r="BP952" s="710">
        <f>BP65</f>
        <v>623.87014885527947</v>
      </c>
      <c r="BQ952" s="9">
        <f t="shared" si="3938"/>
        <v>3.6217800030787544</v>
      </c>
      <c r="BR952" s="710">
        <f>BR65</f>
        <v>648.12151853782029</v>
      </c>
      <c r="BS952" s="9">
        <f t="shared" si="3938"/>
        <v>3.887246364814672</v>
      </c>
      <c r="BT952" s="710">
        <f>BT65</f>
        <v>672.55931623420452</v>
      </c>
      <c r="BU952" s="9">
        <f t="shared" ref="BU952:BU961" si="3939">IF(ISERROR(BT952/BR952),"NA",IF(OR(BT952/BR952&gt;2,BT952/BR952&lt;0.5),"NM",BT952/BR952*100-100))</f>
        <v>3.770557989112362</v>
      </c>
      <c r="BV952" s="180"/>
      <c r="BW952" s="180"/>
      <c r="BX952" s="180"/>
      <c r="BY952"/>
      <c r="BZ952"/>
      <c r="CA952"/>
      <c r="CB952"/>
      <c r="CC952"/>
      <c r="CD952"/>
    </row>
    <row r="953" spans="1:16203" s="2" customFormat="1" ht="12.75" hidden="1" customHeight="1" outlineLevel="1" x14ac:dyDescent="0.2">
      <c r="A953" s="2" t="s">
        <v>125</v>
      </c>
      <c r="B953" s="250" t="s">
        <v>557</v>
      </c>
      <c r="C953" s="710">
        <f>C114</f>
        <v>76.700000000000045</v>
      </c>
      <c r="D953" s="710"/>
      <c r="E953" s="710">
        <f>E114</f>
        <v>76.700000000000045</v>
      </c>
      <c r="F953" s="710"/>
      <c r="G953" s="710">
        <f>G114</f>
        <v>80.200000000000045</v>
      </c>
      <c r="H953" s="710"/>
      <c r="I953" s="710">
        <f>I114</f>
        <v>67.899999999999977</v>
      </c>
      <c r="J953" s="226"/>
      <c r="K953" s="710">
        <f>K114</f>
        <v>67.669230769230865</v>
      </c>
      <c r="L953" s="226"/>
      <c r="M953" s="710">
        <f>M114</f>
        <v>69.384615384615387</v>
      </c>
      <c r="N953" s="226"/>
      <c r="O953" s="710">
        <f>O114</f>
        <v>62.100000000000136</v>
      </c>
      <c r="P953" s="226"/>
      <c r="Q953" s="710">
        <f>Q114</f>
        <v>59.700000000000159</v>
      </c>
      <c r="R953" s="226"/>
      <c r="S953" s="710">
        <f>S114</f>
        <v>56.484615384615296</v>
      </c>
      <c r="T953" s="226"/>
      <c r="U953" s="710">
        <f>U114</f>
        <v>73.5</v>
      </c>
      <c r="V953" s="226"/>
      <c r="W953" s="710">
        <f>W114</f>
        <v>60.823076923077011</v>
      </c>
      <c r="X953" s="226"/>
      <c r="Y953" s="710">
        <f>Y114</f>
        <v>62.100000000000023</v>
      </c>
      <c r="Z953" s="226"/>
      <c r="AA953" s="710">
        <f>AA114</f>
        <v>67.399999999999977</v>
      </c>
      <c r="AB953" s="226"/>
      <c r="AC953" s="710">
        <f>AC114</f>
        <v>70.199999999999932</v>
      </c>
      <c r="AD953" s="226"/>
      <c r="AE953" s="710">
        <f>AE114</f>
        <v>66.400000000000006</v>
      </c>
      <c r="AF953" s="226"/>
      <c r="AG953" s="710">
        <f>AG114</f>
        <v>75.499999999999773</v>
      </c>
      <c r="AH953" s="9"/>
      <c r="AI953" s="710">
        <f>AI114</f>
        <v>94.500000000000114</v>
      </c>
      <c r="AJ953" s="9"/>
      <c r="AK953" s="710">
        <f>AK114</f>
        <v>89.300000000000182</v>
      </c>
      <c r="AL953" s="9"/>
      <c r="AM953" s="710">
        <f>AM114</f>
        <v>83.100000000000136</v>
      </c>
      <c r="AN953" s="9"/>
      <c r="AO953" s="710">
        <f>AO114</f>
        <v>75.099999999999682</v>
      </c>
      <c r="AP953" s="9"/>
      <c r="AQ953" s="710">
        <f>AQ114</f>
        <v>89.527146472392815</v>
      </c>
      <c r="AR953" s="9"/>
      <c r="AS953" s="710">
        <f>AS114</f>
        <v>85.40283843558268</v>
      </c>
      <c r="AT953" s="9"/>
      <c r="AU953" s="710">
        <f>AU114</f>
        <v>86.414754059509278</v>
      </c>
      <c r="AV953" s="9"/>
      <c r="AW953" s="710">
        <f>AW114</f>
        <v>85.269450972957202</v>
      </c>
      <c r="AX953" s="9"/>
      <c r="AY953" s="273"/>
      <c r="BA953" s="9"/>
      <c r="BB953" s="710">
        <f>BB114</f>
        <v>301.49999999999955</v>
      </c>
      <c r="BC953" s="9" t="str">
        <f>IF(ISERROR(BB953/#REF!),"NA",IF(OR(BB953/#REF!&gt;2,BB953/#REF!&lt;0.5),"NM",BB953/#REF!*100-100))</f>
        <v>NA</v>
      </c>
      <c r="BD953" s="983">
        <f>BD114</f>
        <v>258.85384615384595</v>
      </c>
      <c r="BE953" s="9">
        <f t="shared" si="3938"/>
        <v>-14.144661308840355</v>
      </c>
      <c r="BF953" s="110">
        <f>BF114</f>
        <v>252.90769230769178</v>
      </c>
      <c r="BG953" s="9">
        <f t="shared" si="3938"/>
        <v>-2.2971085554665365</v>
      </c>
      <c r="BH953" s="710">
        <f>BH114</f>
        <v>279.50000000000034</v>
      </c>
      <c r="BI953" s="9">
        <f t="shared" si="3938"/>
        <v>10.514629843664821</v>
      </c>
      <c r="BJ953" s="710">
        <f>BJ114</f>
        <v>342</v>
      </c>
      <c r="BK953" s="9">
        <f t="shared" si="3938"/>
        <v>22.361359570661747</v>
      </c>
      <c r="BL953" s="710">
        <f>BL114</f>
        <v>346.61418994044107</v>
      </c>
      <c r="BM953" s="9">
        <f t="shared" si="3938"/>
        <v>1.3491783451581938</v>
      </c>
      <c r="BN953" s="710">
        <f>BN114</f>
        <v>358.31452402740069</v>
      </c>
      <c r="BO953" s="9">
        <f t="shared" si="3938"/>
        <v>3.3756073543815575</v>
      </c>
      <c r="BP953" s="710">
        <f>BP114</f>
        <v>378.78907885412536</v>
      </c>
      <c r="BQ953" s="9">
        <f t="shared" si="3938"/>
        <v>5.7141291948185113</v>
      </c>
      <c r="BR953" s="710">
        <f>BR114</f>
        <v>399.70905001593383</v>
      </c>
      <c r="BS953" s="9">
        <f t="shared" si="3938"/>
        <v>5.5228548893472578</v>
      </c>
      <c r="BT953" s="710">
        <f>BT114</f>
        <v>421.11411200071416</v>
      </c>
      <c r="BU953" s="9">
        <f t="shared" si="3939"/>
        <v>5.3551607060002766</v>
      </c>
      <c r="BV953" s="180"/>
      <c r="BW953" s="180"/>
      <c r="BX953" s="180"/>
      <c r="BY953"/>
      <c r="BZ953"/>
      <c r="CA953"/>
      <c r="CB953"/>
      <c r="CC953"/>
      <c r="CD953"/>
    </row>
    <row r="954" spans="1:16203" s="252" customFormat="1" ht="12.75" hidden="1" customHeight="1" outlineLevel="1" x14ac:dyDescent="0.2">
      <c r="B954" s="253" t="s">
        <v>547</v>
      </c>
      <c r="C954" s="580">
        <f>C952+C953</f>
        <v>169.69230769230774</v>
      </c>
      <c r="D954" s="580"/>
      <c r="E954" s="580">
        <f t="shared" ref="E954:W954" si="3940">E952+E953</f>
        <v>196.5</v>
      </c>
      <c r="F954" s="580"/>
      <c r="G954" s="580">
        <f t="shared" si="3940"/>
        <v>183.10000000000008</v>
      </c>
      <c r="H954" s="580"/>
      <c r="I954" s="580">
        <f t="shared" si="3940"/>
        <v>186.28461538461536</v>
      </c>
      <c r="J954" s="682"/>
      <c r="K954" s="580">
        <f t="shared" si="3940"/>
        <v>185.59230769230771</v>
      </c>
      <c r="L954" s="682"/>
      <c r="M954" s="580">
        <f t="shared" si="3940"/>
        <v>213.45384615384617</v>
      </c>
      <c r="N954" s="682"/>
      <c r="O954" s="580">
        <f t="shared" si="3940"/>
        <v>207.60000000000014</v>
      </c>
      <c r="P954" s="682"/>
      <c r="Q954" s="580">
        <f t="shared" si="3940"/>
        <v>198.40000000000015</v>
      </c>
      <c r="R954" s="682"/>
      <c r="S954" s="580">
        <f t="shared" si="3940"/>
        <v>189.05384615384608</v>
      </c>
      <c r="T954" s="682"/>
      <c r="U954" s="580">
        <f t="shared" si="3940"/>
        <v>212.28461538461536</v>
      </c>
      <c r="V954" s="682"/>
      <c r="W954" s="580">
        <f t="shared" si="3940"/>
        <v>189.96153846153851</v>
      </c>
      <c r="X954" s="682"/>
      <c r="Y954" s="580">
        <f t="shared" ref="Y954:AA954" si="3941">Y952+Y953</f>
        <v>186.8</v>
      </c>
      <c r="Z954" s="682"/>
      <c r="AA954" s="580">
        <f t="shared" si="3941"/>
        <v>181.39999999999998</v>
      </c>
      <c r="AB954" s="681"/>
      <c r="AC954" s="580">
        <f t="shared" ref="AC954:AE954" si="3942">AC952+AC953</f>
        <v>194.69999999999993</v>
      </c>
      <c r="AD954" s="681"/>
      <c r="AE954" s="580">
        <f t="shared" si="3942"/>
        <v>211.7</v>
      </c>
      <c r="AF954" s="681"/>
      <c r="AG954" s="580">
        <f t="shared" ref="AG954:AI954" si="3943">AG952+AG953</f>
        <v>199.49999999999983</v>
      </c>
      <c r="AH954" s="254"/>
      <c r="AI954" s="580">
        <f t="shared" si="3943"/>
        <v>233.2000000000001</v>
      </c>
      <c r="AJ954" s="254"/>
      <c r="AK954" s="580">
        <f t="shared" ref="AK954" si="3944">AK952+AK953</f>
        <v>236.80000000000018</v>
      </c>
      <c r="AL954" s="254"/>
      <c r="AM954" s="580">
        <f t="shared" ref="AM954:AO954" si="3945">AM952+AM953</f>
        <v>232.10000000000014</v>
      </c>
      <c r="AN954" s="254"/>
      <c r="AO954" s="580">
        <f t="shared" si="3945"/>
        <v>201.6999999999997</v>
      </c>
      <c r="AP954" s="254"/>
      <c r="AQ954" s="580">
        <f t="shared" ref="AQ954:AW954" si="3946">AQ952+AQ953</f>
        <v>231.58326887735433</v>
      </c>
      <c r="AR954" s="254"/>
      <c r="AS954" s="580">
        <f t="shared" si="3946"/>
        <v>227.59466362097146</v>
      </c>
      <c r="AT954" s="254"/>
      <c r="AU954" s="580">
        <f t="shared" si="3946"/>
        <v>230.04561643214765</v>
      </c>
      <c r="AV954" s="254"/>
      <c r="AW954" s="580">
        <f t="shared" si="3946"/>
        <v>238.60983203258598</v>
      </c>
      <c r="AX954" s="254"/>
      <c r="AY954" s="273"/>
      <c r="BA954" s="254"/>
      <c r="BB954" s="580">
        <f t="shared" ref="BB954" si="3947">BB952+BB953</f>
        <v>735.57692307692264</v>
      </c>
      <c r="BC954" s="565" t="str">
        <f>IF(ISERROR(BB954/#REF!),"NA",IF(OR(BB954/#REF!&gt;2,BB954/#REF!&lt;0.5),"NM",BB954/#REF!*100-100))</f>
        <v>NA</v>
      </c>
      <c r="BD954" s="984">
        <f t="shared" ref="BD954" si="3948">BD952+BD953</f>
        <v>805.04615384615363</v>
      </c>
      <c r="BE954" s="565">
        <f t="shared" si="3938"/>
        <v>9.4441830065359795</v>
      </c>
      <c r="BF954" s="848">
        <f t="shared" ref="BF954" si="3949">BF952+BF953</f>
        <v>778.09999999999945</v>
      </c>
      <c r="BG954" s="565">
        <f t="shared" si="3938"/>
        <v>-3.3471563981043175</v>
      </c>
      <c r="BH954" s="580">
        <f t="shared" ref="BH954" si="3950">BH952+BH953</f>
        <v>787.30000000000018</v>
      </c>
      <c r="BI954" s="565">
        <f t="shared" si="3938"/>
        <v>1.182367304973738</v>
      </c>
      <c r="BJ954" s="580">
        <f t="shared" ref="BJ954" si="3951">BJ952+BJ953</f>
        <v>903.8</v>
      </c>
      <c r="BK954" s="565">
        <f t="shared" si="3938"/>
        <v>14.797408865743648</v>
      </c>
      <c r="BL954" s="580">
        <f t="shared" ref="BL954" si="3952">BL952+BL953</f>
        <v>927.83338096305829</v>
      </c>
      <c r="BM954" s="565">
        <f t="shared" si="3938"/>
        <v>2.6591481481587067</v>
      </c>
      <c r="BN954" s="580">
        <f t="shared" ref="BN954" si="3953">BN952+BN953</f>
        <v>960.37921432392272</v>
      </c>
      <c r="BO954" s="565">
        <f t="shared" si="3938"/>
        <v>3.5077239112784468</v>
      </c>
      <c r="BP954" s="580">
        <f t="shared" ref="BP954:BR954" si="3954">BP952+BP953</f>
        <v>1002.6592277094048</v>
      </c>
      <c r="BQ954" s="565">
        <f t="shared" si="3938"/>
        <v>4.4024290358310054</v>
      </c>
      <c r="BR954" s="580">
        <f t="shared" si="3954"/>
        <v>1047.8305685537541</v>
      </c>
      <c r="BS954" s="565">
        <f t="shared" si="3938"/>
        <v>4.5051538544699952</v>
      </c>
      <c r="BT954" s="580">
        <f t="shared" ref="BT954" si="3955">BT952+BT953</f>
        <v>1093.6734282349187</v>
      </c>
      <c r="BU954" s="565">
        <f t="shared" si="3939"/>
        <v>4.3750259876878914</v>
      </c>
      <c r="BV954" s="255"/>
      <c r="BW954" s="255"/>
      <c r="BX954" s="255"/>
      <c r="BY954"/>
      <c r="BZ954"/>
      <c r="CA954"/>
      <c r="CB954"/>
      <c r="CC954"/>
      <c r="CD954"/>
    </row>
    <row r="955" spans="1:16203" s="2" customFormat="1" ht="12.75" hidden="1" customHeight="1" outlineLevel="1" x14ac:dyDescent="0.2">
      <c r="A955" s="252"/>
      <c r="B955" s="253" t="s">
        <v>190</v>
      </c>
      <c r="C955" s="580">
        <f>C187</f>
        <v>56.984615384615402</v>
      </c>
      <c r="D955" s="580"/>
      <c r="E955" s="580">
        <f>E187</f>
        <v>67.246153846153845</v>
      </c>
      <c r="F955" s="580"/>
      <c r="G955" s="580">
        <f>G187</f>
        <v>72.199999999999989</v>
      </c>
      <c r="H955" s="580"/>
      <c r="I955" s="580">
        <f>I187</f>
        <v>82.400000000000034</v>
      </c>
      <c r="J955" s="682"/>
      <c r="K955" s="580">
        <f>K187</f>
        <v>80.599999999999994</v>
      </c>
      <c r="L955" s="682"/>
      <c r="M955" s="580">
        <f>M187</f>
        <v>83.699999999999974</v>
      </c>
      <c r="N955" s="682"/>
      <c r="O955" s="580">
        <f>O187</f>
        <v>85.7</v>
      </c>
      <c r="P955" s="682"/>
      <c r="Q955" s="580">
        <f>Q187</f>
        <v>100.10000000000001</v>
      </c>
      <c r="R955" s="682"/>
      <c r="S955" s="580">
        <f>S187</f>
        <v>92.59999999999998</v>
      </c>
      <c r="T955" s="682"/>
      <c r="U955" s="580">
        <f>U187</f>
        <v>98.500000000000028</v>
      </c>
      <c r="V955" s="682"/>
      <c r="W955" s="580">
        <f>W187</f>
        <v>95.4</v>
      </c>
      <c r="X955" s="682"/>
      <c r="Y955" s="580">
        <f>Y187</f>
        <v>102.00000000000003</v>
      </c>
      <c r="Z955" s="682"/>
      <c r="AA955" s="580">
        <f>AA187</f>
        <v>79.700000000000017</v>
      </c>
      <c r="AB955" s="681"/>
      <c r="AC955" s="580">
        <f>AC187</f>
        <v>117.49999999999996</v>
      </c>
      <c r="AD955" s="681"/>
      <c r="AE955" s="580">
        <f>AE187</f>
        <v>112.9</v>
      </c>
      <c r="AF955" s="681"/>
      <c r="AG955" s="580">
        <f>AG187</f>
        <v>133.70000000000002</v>
      </c>
      <c r="AH955" s="254"/>
      <c r="AI955" s="580">
        <f>AI187</f>
        <v>100</v>
      </c>
      <c r="AJ955" s="254"/>
      <c r="AK955" s="580">
        <f>AK187</f>
        <v>115.40000000000002</v>
      </c>
      <c r="AL955" s="254"/>
      <c r="AM955" s="580">
        <f>AM187</f>
        <v>130.20000000000002</v>
      </c>
      <c r="AN955" s="254"/>
      <c r="AO955" s="580">
        <f>AO187</f>
        <v>124.10000000000001</v>
      </c>
      <c r="AP955" s="254"/>
      <c r="AQ955" s="580">
        <f t="shared" ref="AQ955" si="3956">AQ187</f>
        <v>128.93566912992608</v>
      </c>
      <c r="AR955" s="254"/>
      <c r="AS955" s="580">
        <f t="shared" ref="AS955" si="3957">AS187</f>
        <v>129.57417779295389</v>
      </c>
      <c r="AT955" s="254"/>
      <c r="AU955" s="580">
        <f t="shared" ref="AU955" si="3958">AU187</f>
        <v>131.61129112913176</v>
      </c>
      <c r="AV955" s="254"/>
      <c r="AW955" s="580">
        <f t="shared" ref="AW955" si="3959">AW187</f>
        <v>134.67239232122225</v>
      </c>
      <c r="AX955" s="254"/>
      <c r="AY955" s="273"/>
      <c r="AZ955" s="252"/>
      <c r="BA955" s="254"/>
      <c r="BB955" s="580">
        <f>BB187</f>
        <v>278.83076923076925</v>
      </c>
      <c r="BC955" s="565" t="str">
        <f>IF(ISERROR(BB955/#REF!),"NA",IF(OR(BB955/#REF!&gt;2,BB955/#REF!&lt;0.5),"NM",BB955/#REF!*100-100))</f>
        <v>NA</v>
      </c>
      <c r="BD955" s="984">
        <f>BD187</f>
        <v>350.1</v>
      </c>
      <c r="BE955" s="565">
        <f t="shared" si="3938"/>
        <v>25.560030898256443</v>
      </c>
      <c r="BF955" s="848">
        <f>BF187</f>
        <v>388.5</v>
      </c>
      <c r="BG955" s="565">
        <f t="shared" si="3938"/>
        <v>10.968294772922007</v>
      </c>
      <c r="BH955" s="580">
        <f>BH187</f>
        <v>443.80000000000007</v>
      </c>
      <c r="BI955" s="565">
        <f t="shared" si="3938"/>
        <v>14.23423423423425</v>
      </c>
      <c r="BJ955" s="580">
        <f>BJ187</f>
        <v>469.70000000000005</v>
      </c>
      <c r="BK955" s="565">
        <f t="shared" si="3938"/>
        <v>5.8359621451104005</v>
      </c>
      <c r="BL955" s="580">
        <f>BL187</f>
        <v>524.79353037323403</v>
      </c>
      <c r="BM955" s="565">
        <f t="shared" si="3938"/>
        <v>11.729514663239087</v>
      </c>
      <c r="BN955" s="580">
        <f>BN187</f>
        <v>550.50015402645852</v>
      </c>
      <c r="BO955" s="565">
        <f t="shared" si="3938"/>
        <v>4.8984261743741229</v>
      </c>
      <c r="BP955" s="580">
        <f>BP187</f>
        <v>563.85419045671711</v>
      </c>
      <c r="BQ955" s="565">
        <f t="shared" si="3938"/>
        <v>2.42580067100522</v>
      </c>
      <c r="BR955" s="580">
        <f>BR187</f>
        <v>598.21777251477977</v>
      </c>
      <c r="BS955" s="565">
        <f t="shared" si="3938"/>
        <v>6.0944092709905249</v>
      </c>
      <c r="BT955" s="580">
        <f>BT187</f>
        <v>618.99998773386778</v>
      </c>
      <c r="BU955" s="565">
        <f t="shared" si="3939"/>
        <v>3.4740216981056875</v>
      </c>
      <c r="BV955" s="255"/>
      <c r="BW955" s="255"/>
      <c r="BX955" s="255"/>
      <c r="BY955"/>
      <c r="BZ955"/>
      <c r="CA955"/>
      <c r="CB955"/>
      <c r="CC955"/>
      <c r="CD955"/>
      <c r="CE955" s="252"/>
      <c r="CF955" s="252"/>
      <c r="CG955" s="252"/>
      <c r="CH955" s="252"/>
      <c r="CI955" s="252"/>
      <c r="CJ955" s="252"/>
      <c r="CK955" s="252"/>
      <c r="CL955" s="252"/>
      <c r="CM955" s="252"/>
      <c r="CN955" s="252"/>
      <c r="CO955" s="252"/>
      <c r="CP955" s="252"/>
      <c r="CQ955" s="252"/>
      <c r="CR955" s="252"/>
      <c r="CS955" s="252"/>
      <c r="CT955" s="252"/>
      <c r="CU955" s="252"/>
      <c r="CV955" s="252"/>
      <c r="CW955" s="252"/>
      <c r="CX955" s="252"/>
      <c r="CY955" s="252"/>
      <c r="CZ955" s="252"/>
      <c r="DA955" s="252"/>
      <c r="DB955" s="252"/>
      <c r="DC955" s="252"/>
      <c r="DD955" s="252"/>
      <c r="DE955" s="252"/>
      <c r="DF955" s="252"/>
      <c r="DG955" s="252"/>
      <c r="DH955" s="252"/>
      <c r="DI955" s="252"/>
      <c r="DJ955" s="252"/>
      <c r="DK955" s="252"/>
      <c r="DL955" s="252"/>
      <c r="DM955" s="252"/>
      <c r="DN955" s="252"/>
      <c r="DO955" s="252"/>
      <c r="DP955" s="252"/>
      <c r="DQ955" s="252"/>
      <c r="DR955" s="252"/>
      <c r="DS955" s="252"/>
      <c r="DT955" s="252"/>
      <c r="DU955" s="252"/>
      <c r="DV955" s="252"/>
      <c r="DW955" s="252"/>
      <c r="DX955" s="252"/>
      <c r="DY955" s="252"/>
      <c r="DZ955" s="252"/>
      <c r="EA955" s="252"/>
      <c r="EB955" s="252"/>
      <c r="EC955" s="252"/>
      <c r="ED955" s="252"/>
      <c r="EE955" s="252"/>
      <c r="EF955" s="252"/>
      <c r="EG955" s="252"/>
      <c r="EH955" s="252"/>
      <c r="EI955" s="252"/>
      <c r="EJ955" s="252"/>
      <c r="EK955" s="252"/>
      <c r="EL955" s="252"/>
      <c r="EM955" s="252"/>
      <c r="EN955" s="252"/>
      <c r="EO955" s="252"/>
      <c r="EP955" s="252"/>
      <c r="EQ955" s="252"/>
      <c r="ER955" s="252"/>
      <c r="ES955" s="252"/>
      <c r="ET955" s="252"/>
      <c r="EU955" s="252"/>
      <c r="EV955" s="252"/>
      <c r="EW955" s="252"/>
      <c r="EX955" s="252"/>
      <c r="EY955" s="252"/>
      <c r="EZ955" s="252"/>
      <c r="FA955" s="252"/>
      <c r="FB955" s="252"/>
      <c r="FC955" s="252"/>
      <c r="FD955" s="252"/>
      <c r="FE955" s="252"/>
      <c r="FF955" s="252"/>
      <c r="FG955" s="252"/>
      <c r="FH955" s="252"/>
      <c r="FI955" s="252"/>
      <c r="FJ955" s="252"/>
      <c r="FK955" s="252"/>
      <c r="FL955" s="252"/>
      <c r="FM955" s="252"/>
      <c r="FN955" s="252"/>
      <c r="FO955" s="252"/>
      <c r="FP955" s="252"/>
      <c r="FQ955" s="252"/>
      <c r="FR955" s="252"/>
      <c r="FS955" s="252"/>
      <c r="FT955" s="252"/>
      <c r="FU955" s="252"/>
      <c r="FV955" s="252"/>
      <c r="FW955" s="252"/>
      <c r="FX955" s="252"/>
      <c r="FY955" s="252"/>
      <c r="FZ955" s="252"/>
      <c r="GA955" s="252"/>
      <c r="GB955" s="252"/>
      <c r="GC955" s="252"/>
      <c r="GD955" s="252"/>
      <c r="GE955" s="252"/>
      <c r="GF955" s="252"/>
      <c r="GG955" s="252"/>
      <c r="GH955" s="252"/>
      <c r="GI955" s="252"/>
      <c r="GJ955" s="252"/>
      <c r="GK955" s="252"/>
      <c r="GL955" s="252"/>
      <c r="GM955" s="252"/>
      <c r="GN955" s="252"/>
      <c r="GO955" s="252"/>
      <c r="GP955" s="252"/>
      <c r="GQ955" s="252"/>
      <c r="GR955" s="252"/>
      <c r="GS955" s="252"/>
      <c r="GT955" s="252"/>
      <c r="GU955" s="252"/>
      <c r="GV955" s="252"/>
      <c r="GW955" s="252"/>
      <c r="GX955" s="252"/>
      <c r="GY955" s="252"/>
      <c r="GZ955" s="252"/>
      <c r="HA955" s="252"/>
      <c r="HB955" s="252"/>
      <c r="HC955" s="252"/>
      <c r="HD955" s="252"/>
      <c r="HE955" s="252"/>
      <c r="HF955" s="252"/>
      <c r="HG955" s="252"/>
      <c r="HH955" s="252"/>
      <c r="HI955" s="252"/>
      <c r="HJ955" s="252"/>
      <c r="HK955" s="252"/>
      <c r="HL955" s="252"/>
      <c r="HM955" s="252"/>
      <c r="HN955" s="252"/>
      <c r="HO955" s="252"/>
      <c r="HP955" s="252"/>
      <c r="HQ955" s="252"/>
      <c r="HR955" s="252"/>
      <c r="HS955" s="252"/>
      <c r="HT955" s="252"/>
      <c r="HU955" s="252"/>
      <c r="HV955" s="252"/>
      <c r="HW955" s="252"/>
      <c r="HX955" s="252"/>
      <c r="HY955" s="252"/>
      <c r="HZ955" s="252"/>
      <c r="IA955" s="252"/>
      <c r="IB955" s="252"/>
      <c r="IC955" s="252"/>
      <c r="ID955" s="252"/>
      <c r="IE955" s="252"/>
      <c r="IF955" s="252"/>
      <c r="IG955" s="252"/>
      <c r="IH955" s="252"/>
      <c r="II955" s="252"/>
      <c r="IJ955" s="252"/>
      <c r="IK955" s="252"/>
      <c r="IL955" s="252"/>
      <c r="IM955" s="252"/>
      <c r="IN955" s="252"/>
      <c r="IO955" s="252"/>
      <c r="IP955" s="252"/>
      <c r="IQ955" s="252"/>
      <c r="IR955" s="252"/>
      <c r="IS955" s="252"/>
      <c r="IT955" s="252"/>
      <c r="IU955" s="252"/>
      <c r="IV955" s="252"/>
      <c r="IW955" s="252"/>
      <c r="IX955" s="252"/>
      <c r="IY955" s="252"/>
      <c r="IZ955" s="252"/>
      <c r="JA955" s="252"/>
      <c r="JB955" s="252"/>
      <c r="JC955" s="252"/>
      <c r="JD955" s="252"/>
      <c r="JE955" s="252"/>
      <c r="JF955" s="252"/>
      <c r="JG955" s="252"/>
      <c r="JH955" s="252"/>
      <c r="JI955" s="252"/>
      <c r="JJ955" s="252"/>
      <c r="JK955" s="252"/>
      <c r="JL955" s="252"/>
      <c r="JM955" s="252"/>
      <c r="JN955" s="252"/>
      <c r="JO955" s="252"/>
      <c r="JP955" s="252"/>
      <c r="JQ955" s="252"/>
      <c r="JR955" s="252"/>
      <c r="JS955" s="252"/>
      <c r="JT955" s="252"/>
      <c r="JU955" s="252"/>
      <c r="JV955" s="252"/>
      <c r="JW955" s="252"/>
      <c r="JX955" s="252"/>
      <c r="JY955" s="252"/>
      <c r="JZ955" s="252"/>
      <c r="KA955" s="252"/>
      <c r="KB955" s="252"/>
      <c r="KC955" s="252"/>
      <c r="KD955" s="252"/>
      <c r="KE955" s="252"/>
      <c r="KF955" s="252"/>
      <c r="KG955" s="252"/>
      <c r="KH955" s="252"/>
      <c r="KI955" s="252"/>
      <c r="KJ955" s="252"/>
      <c r="KK955" s="252"/>
      <c r="KL955" s="252"/>
      <c r="KM955" s="252"/>
      <c r="KN955" s="252"/>
      <c r="KO955" s="252"/>
      <c r="KP955" s="252"/>
      <c r="KQ955" s="252"/>
      <c r="KR955" s="252"/>
      <c r="KS955" s="252"/>
      <c r="KT955" s="252"/>
      <c r="KU955" s="252"/>
      <c r="KV955" s="252"/>
      <c r="KW955" s="252"/>
      <c r="KX955" s="252"/>
      <c r="KY955" s="252"/>
      <c r="KZ955" s="252"/>
      <c r="LA955" s="252"/>
      <c r="LB955" s="252"/>
      <c r="LC955" s="252"/>
      <c r="LD955" s="252"/>
      <c r="LE955" s="252"/>
      <c r="LF955" s="252"/>
      <c r="LG955" s="252"/>
      <c r="LH955" s="252"/>
      <c r="LI955" s="252"/>
      <c r="LJ955" s="252"/>
      <c r="LK955" s="252"/>
      <c r="LL955" s="252"/>
      <c r="LM955" s="252"/>
      <c r="LN955" s="252"/>
      <c r="LO955" s="252"/>
      <c r="LP955" s="252"/>
      <c r="LQ955" s="252"/>
      <c r="LR955" s="252"/>
      <c r="LS955" s="252"/>
      <c r="LT955" s="252"/>
      <c r="LU955" s="252"/>
      <c r="LV955" s="252"/>
      <c r="LW955" s="252"/>
      <c r="LX955" s="252"/>
      <c r="LY955" s="252"/>
      <c r="LZ955" s="252"/>
      <c r="MA955" s="252"/>
      <c r="MB955" s="252"/>
      <c r="MC955" s="252"/>
      <c r="MD955" s="252"/>
      <c r="ME955" s="252"/>
      <c r="MF955" s="252"/>
      <c r="MG955" s="252"/>
      <c r="MH955" s="252"/>
      <c r="MI955" s="252"/>
      <c r="MJ955" s="252"/>
      <c r="MK955" s="252"/>
      <c r="ML955" s="252"/>
      <c r="MM955" s="252"/>
      <c r="MN955" s="252"/>
      <c r="MO955" s="252"/>
      <c r="MP955" s="252"/>
      <c r="MQ955" s="252"/>
      <c r="MR955" s="252"/>
      <c r="MS955" s="252"/>
      <c r="MT955" s="252"/>
      <c r="MU955" s="252"/>
      <c r="MV955" s="252"/>
      <c r="MW955" s="252"/>
      <c r="MX955" s="252"/>
      <c r="MY955" s="252"/>
      <c r="MZ955" s="252"/>
      <c r="NA955" s="252"/>
      <c r="NB955" s="252"/>
      <c r="NC955" s="252"/>
      <c r="ND955" s="252"/>
      <c r="NE955" s="252"/>
      <c r="NF955" s="252"/>
      <c r="NG955" s="252"/>
      <c r="NH955" s="252"/>
      <c r="NI955" s="252"/>
      <c r="NJ955" s="252"/>
      <c r="NK955" s="252"/>
      <c r="NL955" s="252"/>
      <c r="NM955" s="252"/>
      <c r="NN955" s="252"/>
      <c r="NO955" s="252"/>
      <c r="NP955" s="252"/>
      <c r="NQ955" s="252"/>
      <c r="NR955" s="252"/>
      <c r="NS955" s="252"/>
      <c r="NT955" s="252"/>
      <c r="NU955" s="252"/>
      <c r="NV955" s="252"/>
      <c r="NW955" s="252"/>
      <c r="NX955" s="252"/>
      <c r="NY955" s="252"/>
      <c r="NZ955" s="252"/>
      <c r="OA955" s="252"/>
      <c r="OB955" s="252"/>
      <c r="OC955" s="252"/>
      <c r="OD955" s="252"/>
      <c r="OE955" s="252"/>
      <c r="OF955" s="252"/>
      <c r="OG955" s="252"/>
      <c r="OH955" s="252"/>
      <c r="OI955" s="252"/>
      <c r="OJ955" s="252"/>
      <c r="OK955" s="252"/>
      <c r="OL955" s="252"/>
      <c r="OM955" s="252"/>
      <c r="ON955" s="252"/>
      <c r="OO955" s="252"/>
      <c r="OP955" s="252"/>
      <c r="OQ955" s="252"/>
      <c r="OR955" s="252"/>
      <c r="OS955" s="252"/>
      <c r="OT955" s="252"/>
      <c r="OU955" s="252"/>
      <c r="OV955" s="252"/>
      <c r="OW955" s="252"/>
      <c r="OX955" s="252"/>
      <c r="OY955" s="252"/>
      <c r="OZ955" s="252"/>
      <c r="PA955" s="252"/>
      <c r="PB955" s="252"/>
      <c r="PC955" s="252"/>
      <c r="PD955" s="252"/>
      <c r="PE955" s="252"/>
      <c r="PF955" s="252"/>
      <c r="PG955" s="252"/>
      <c r="PH955" s="252"/>
      <c r="PI955" s="252"/>
      <c r="PJ955" s="252"/>
      <c r="PK955" s="252"/>
      <c r="PL955" s="252"/>
      <c r="PM955" s="252"/>
      <c r="PN955" s="252"/>
      <c r="PO955" s="252"/>
      <c r="PP955" s="252"/>
      <c r="PQ955" s="252"/>
      <c r="PR955" s="252"/>
      <c r="PS955" s="252"/>
      <c r="PT955" s="252"/>
      <c r="PU955" s="252"/>
      <c r="PV955" s="252"/>
      <c r="PW955" s="252"/>
      <c r="PX955" s="252"/>
      <c r="PY955" s="252"/>
      <c r="PZ955" s="252"/>
      <c r="QA955" s="252"/>
      <c r="QB955" s="252"/>
      <c r="QC955" s="252"/>
      <c r="QD955" s="252"/>
      <c r="QE955" s="252"/>
      <c r="QF955" s="252"/>
      <c r="QG955" s="252"/>
      <c r="QH955" s="252"/>
      <c r="QI955" s="252"/>
      <c r="QJ955" s="252"/>
      <c r="QK955" s="252"/>
      <c r="QL955" s="252"/>
      <c r="QM955" s="252"/>
      <c r="QN955" s="252"/>
      <c r="QO955" s="252"/>
      <c r="QP955" s="252"/>
      <c r="QQ955" s="252"/>
      <c r="QR955" s="252"/>
      <c r="QS955" s="252"/>
      <c r="QT955" s="252"/>
      <c r="QU955" s="252"/>
      <c r="QV955" s="252"/>
      <c r="QW955" s="252"/>
      <c r="QX955" s="252"/>
      <c r="QY955" s="252"/>
      <c r="QZ955" s="252"/>
      <c r="RA955" s="252"/>
      <c r="RB955" s="252"/>
      <c r="RC955" s="252"/>
      <c r="RD955" s="252"/>
      <c r="RE955" s="252"/>
      <c r="RF955" s="252"/>
      <c r="RG955" s="252"/>
      <c r="RH955" s="252"/>
      <c r="RI955" s="252"/>
      <c r="RJ955" s="252"/>
      <c r="RK955" s="252"/>
      <c r="RL955" s="252"/>
      <c r="RM955" s="252"/>
      <c r="RN955" s="252"/>
      <c r="RO955" s="252"/>
      <c r="RP955" s="252"/>
      <c r="RQ955" s="252"/>
      <c r="RR955" s="252"/>
      <c r="RS955" s="252"/>
      <c r="RT955" s="252"/>
      <c r="RU955" s="252"/>
      <c r="RV955" s="252"/>
      <c r="RW955" s="252"/>
      <c r="RX955" s="252"/>
      <c r="RY955" s="252"/>
      <c r="RZ955" s="252"/>
      <c r="SA955" s="252"/>
      <c r="SB955" s="252"/>
      <c r="SC955" s="252"/>
      <c r="SD955" s="252"/>
      <c r="SE955" s="252"/>
      <c r="SF955" s="252"/>
      <c r="SG955" s="252"/>
      <c r="SH955" s="252"/>
      <c r="SI955" s="252"/>
      <c r="SJ955" s="252"/>
      <c r="SK955" s="252"/>
      <c r="SL955" s="252"/>
      <c r="SM955" s="252"/>
      <c r="SN955" s="252"/>
      <c r="SO955" s="252"/>
      <c r="SP955" s="252"/>
      <c r="SQ955" s="252"/>
      <c r="SR955" s="252"/>
      <c r="SS955" s="252"/>
      <c r="ST955" s="252"/>
      <c r="SU955" s="252"/>
      <c r="SV955" s="252"/>
      <c r="SW955" s="252"/>
      <c r="SX955" s="252"/>
      <c r="SY955" s="252"/>
      <c r="SZ955" s="252"/>
      <c r="TA955" s="252"/>
      <c r="TB955" s="252"/>
      <c r="TC955" s="252"/>
      <c r="TD955" s="252"/>
      <c r="TE955" s="252"/>
      <c r="TF955" s="252"/>
      <c r="TG955" s="252"/>
      <c r="TH955" s="252"/>
      <c r="TI955" s="252"/>
      <c r="TJ955" s="252"/>
      <c r="TK955" s="252"/>
      <c r="TL955" s="252"/>
      <c r="TM955" s="252"/>
      <c r="TN955" s="252"/>
      <c r="TO955" s="252"/>
      <c r="TP955" s="252"/>
      <c r="TQ955" s="252"/>
      <c r="TR955" s="252"/>
      <c r="TS955" s="252"/>
      <c r="TT955" s="252"/>
      <c r="TU955" s="252"/>
      <c r="TV955" s="252"/>
      <c r="TW955" s="252"/>
      <c r="TX955" s="252"/>
      <c r="TY955" s="252"/>
      <c r="TZ955" s="252"/>
      <c r="UA955" s="252"/>
      <c r="UB955" s="252"/>
      <c r="UC955" s="252"/>
      <c r="UD955" s="252"/>
      <c r="UE955" s="252"/>
      <c r="UF955" s="252"/>
      <c r="UG955" s="252"/>
      <c r="UH955" s="252"/>
      <c r="UI955" s="252"/>
      <c r="UJ955" s="252"/>
      <c r="UK955" s="252"/>
      <c r="UL955" s="252"/>
      <c r="UM955" s="252"/>
      <c r="UN955" s="252"/>
      <c r="UO955" s="252"/>
      <c r="UP955" s="252"/>
      <c r="UQ955" s="252"/>
      <c r="UR955" s="252"/>
      <c r="US955" s="252"/>
      <c r="UT955" s="252"/>
      <c r="UU955" s="252"/>
      <c r="UV955" s="252"/>
      <c r="UW955" s="252"/>
      <c r="UX955" s="252"/>
      <c r="UY955" s="252"/>
      <c r="UZ955" s="252"/>
      <c r="VA955" s="252"/>
      <c r="VB955" s="252"/>
      <c r="VC955" s="252"/>
      <c r="VD955" s="252"/>
      <c r="VE955" s="252"/>
      <c r="VF955" s="252"/>
      <c r="VG955" s="252"/>
      <c r="VH955" s="252"/>
      <c r="VI955" s="252"/>
      <c r="VJ955" s="252"/>
      <c r="VK955" s="252"/>
      <c r="VL955" s="252"/>
      <c r="VM955" s="252"/>
      <c r="VN955" s="252"/>
      <c r="VO955" s="252"/>
      <c r="VP955" s="252"/>
      <c r="VQ955" s="252"/>
      <c r="VR955" s="252"/>
      <c r="VS955" s="252"/>
      <c r="VT955" s="252"/>
      <c r="VU955" s="252"/>
      <c r="VV955" s="252"/>
      <c r="VW955" s="252"/>
      <c r="VX955" s="252"/>
      <c r="VY955" s="252"/>
      <c r="VZ955" s="252"/>
      <c r="WA955" s="252"/>
      <c r="WB955" s="252"/>
      <c r="WC955" s="252"/>
      <c r="WD955" s="252"/>
      <c r="WE955" s="252"/>
      <c r="WF955" s="252"/>
      <c r="WG955" s="252"/>
      <c r="WH955" s="252"/>
      <c r="WI955" s="252"/>
      <c r="WJ955" s="252"/>
      <c r="WK955" s="252"/>
      <c r="WL955" s="252"/>
      <c r="WM955" s="252"/>
      <c r="WN955" s="252"/>
      <c r="WO955" s="252"/>
      <c r="WP955" s="252"/>
      <c r="WQ955" s="252"/>
      <c r="WR955" s="252"/>
      <c r="WS955" s="252"/>
      <c r="WT955" s="252"/>
      <c r="WU955" s="252"/>
      <c r="WV955" s="252"/>
      <c r="WW955" s="252"/>
      <c r="WX955" s="252"/>
      <c r="WY955" s="252"/>
      <c r="WZ955" s="252"/>
      <c r="XA955" s="252"/>
      <c r="XB955" s="252"/>
      <c r="XC955" s="252"/>
      <c r="XD955" s="252"/>
      <c r="XE955" s="252"/>
      <c r="XF955" s="252"/>
      <c r="XG955" s="252"/>
      <c r="XH955" s="252"/>
      <c r="XI955" s="252"/>
      <c r="XJ955" s="252"/>
      <c r="XK955" s="252"/>
      <c r="XL955" s="252"/>
      <c r="XM955" s="252"/>
      <c r="XN955" s="252"/>
      <c r="XO955" s="252"/>
      <c r="XP955" s="252"/>
      <c r="XQ955" s="252"/>
      <c r="XR955" s="252"/>
      <c r="XS955" s="252"/>
      <c r="XT955" s="252"/>
      <c r="XU955" s="252"/>
      <c r="XV955" s="252"/>
      <c r="XW955" s="252"/>
      <c r="XX955" s="252"/>
      <c r="XY955" s="252"/>
      <c r="XZ955" s="252"/>
      <c r="YA955" s="252"/>
      <c r="YB955" s="252"/>
      <c r="YC955" s="252"/>
      <c r="YD955" s="252"/>
      <c r="YE955" s="252"/>
      <c r="YF955" s="252"/>
      <c r="YG955" s="252"/>
      <c r="YH955" s="252"/>
      <c r="YI955" s="252"/>
      <c r="YJ955" s="252"/>
      <c r="YK955" s="252"/>
      <c r="YL955" s="252"/>
      <c r="YM955" s="252"/>
      <c r="YN955" s="252"/>
      <c r="YO955" s="252"/>
      <c r="YP955" s="252"/>
      <c r="YQ955" s="252"/>
      <c r="YR955" s="252"/>
      <c r="YS955" s="252"/>
      <c r="YT955" s="252"/>
      <c r="YU955" s="252"/>
      <c r="YV955" s="252"/>
      <c r="YW955" s="252"/>
      <c r="YX955" s="252"/>
      <c r="YY955" s="252"/>
      <c r="YZ955" s="252"/>
      <c r="ZA955" s="252"/>
      <c r="ZB955" s="252"/>
      <c r="ZC955" s="252"/>
      <c r="ZD955" s="252"/>
      <c r="ZE955" s="252"/>
      <c r="ZF955" s="252"/>
      <c r="ZG955" s="252"/>
      <c r="ZH955" s="252"/>
      <c r="ZI955" s="252"/>
      <c r="ZJ955" s="252"/>
      <c r="ZK955" s="252"/>
      <c r="ZL955" s="252"/>
      <c r="ZM955" s="252"/>
      <c r="ZN955" s="252"/>
      <c r="ZO955" s="252"/>
      <c r="ZP955" s="252"/>
      <c r="ZQ955" s="252"/>
      <c r="ZR955" s="252"/>
      <c r="ZS955" s="252"/>
      <c r="ZT955" s="252"/>
      <c r="ZU955" s="252"/>
      <c r="ZV955" s="252"/>
      <c r="ZW955" s="252"/>
      <c r="ZX955" s="252"/>
      <c r="ZY955" s="252"/>
      <c r="ZZ955" s="252"/>
      <c r="AAA955" s="252"/>
      <c r="AAB955" s="252"/>
      <c r="AAC955" s="252"/>
      <c r="AAD955" s="252"/>
      <c r="AAE955" s="252"/>
      <c r="AAF955" s="252"/>
      <c r="AAG955" s="252"/>
      <c r="AAH955" s="252"/>
      <c r="AAI955" s="252"/>
      <c r="AAJ955" s="252"/>
      <c r="AAK955" s="252"/>
      <c r="AAL955" s="252"/>
      <c r="AAM955" s="252"/>
      <c r="AAN955" s="252"/>
      <c r="AAO955" s="252"/>
      <c r="AAP955" s="252"/>
      <c r="AAQ955" s="252"/>
      <c r="AAR955" s="252"/>
      <c r="AAS955" s="252"/>
      <c r="AAT955" s="252"/>
      <c r="AAU955" s="252"/>
      <c r="AAV955" s="252"/>
      <c r="AAW955" s="252"/>
      <c r="AAX955" s="252"/>
      <c r="AAY955" s="252"/>
      <c r="AAZ955" s="252"/>
      <c r="ABA955" s="252"/>
      <c r="ABB955" s="252"/>
      <c r="ABC955" s="252"/>
      <c r="ABD955" s="252"/>
      <c r="ABE955" s="252"/>
      <c r="ABF955" s="252"/>
      <c r="ABG955" s="252"/>
      <c r="ABH955" s="252"/>
      <c r="ABI955" s="252"/>
      <c r="ABJ955" s="252"/>
      <c r="ABK955" s="252"/>
      <c r="ABL955" s="252"/>
      <c r="ABM955" s="252"/>
      <c r="ABN955" s="252"/>
      <c r="ABO955" s="252"/>
      <c r="ABP955" s="252"/>
      <c r="ABQ955" s="252"/>
      <c r="ABR955" s="252"/>
      <c r="ABS955" s="252"/>
      <c r="ABT955" s="252"/>
      <c r="ABU955" s="252"/>
      <c r="ABV955" s="252"/>
      <c r="ABW955" s="252"/>
      <c r="ABX955" s="252"/>
      <c r="ABY955" s="252"/>
      <c r="ABZ955" s="252"/>
      <c r="ACA955" s="252"/>
      <c r="ACB955" s="252"/>
      <c r="ACC955" s="252"/>
      <c r="ACD955" s="252"/>
      <c r="ACE955" s="252"/>
      <c r="ACF955" s="252"/>
      <c r="ACG955" s="252"/>
      <c r="ACH955" s="252"/>
      <c r="ACI955" s="252"/>
      <c r="ACJ955" s="252"/>
      <c r="ACK955" s="252"/>
      <c r="ACL955" s="252"/>
      <c r="ACM955" s="252"/>
      <c r="ACN955" s="252"/>
      <c r="ACO955" s="252"/>
      <c r="ACP955" s="252"/>
      <c r="ACQ955" s="252"/>
      <c r="ACR955" s="252"/>
      <c r="ACS955" s="252"/>
      <c r="ACT955" s="252"/>
      <c r="ACU955" s="252"/>
      <c r="ACV955" s="252"/>
      <c r="ACW955" s="252"/>
      <c r="ACX955" s="252"/>
      <c r="ACY955" s="252"/>
      <c r="ACZ955" s="252"/>
      <c r="ADA955" s="252"/>
      <c r="ADB955" s="252"/>
      <c r="ADC955" s="252"/>
      <c r="ADD955" s="252"/>
      <c r="ADE955" s="252"/>
      <c r="ADF955" s="252"/>
      <c r="ADG955" s="252"/>
      <c r="ADH955" s="252"/>
      <c r="ADI955" s="252"/>
      <c r="ADJ955" s="252"/>
      <c r="ADK955" s="252"/>
      <c r="ADL955" s="252"/>
      <c r="ADM955" s="252"/>
      <c r="ADN955" s="252"/>
      <c r="ADO955" s="252"/>
      <c r="ADP955" s="252"/>
      <c r="ADQ955" s="252"/>
      <c r="ADR955" s="252"/>
      <c r="ADS955" s="252"/>
      <c r="ADT955" s="252"/>
      <c r="ADU955" s="252"/>
      <c r="ADV955" s="252"/>
      <c r="ADW955" s="252"/>
      <c r="ADX955" s="252"/>
      <c r="ADY955" s="252"/>
      <c r="ADZ955" s="252"/>
      <c r="AEA955" s="252"/>
      <c r="AEB955" s="252"/>
      <c r="AEC955" s="252"/>
      <c r="AED955" s="252"/>
      <c r="AEE955" s="252"/>
      <c r="AEF955" s="252"/>
      <c r="AEG955" s="252"/>
      <c r="AEH955" s="252"/>
      <c r="AEI955" s="252"/>
      <c r="AEJ955" s="252"/>
      <c r="AEK955" s="252"/>
      <c r="AEL955" s="252"/>
      <c r="AEM955" s="252"/>
      <c r="AEN955" s="252"/>
      <c r="AEO955" s="252"/>
      <c r="AEP955" s="252"/>
      <c r="AEQ955" s="252"/>
      <c r="AER955" s="252"/>
      <c r="AES955" s="252"/>
      <c r="AET955" s="252"/>
      <c r="AEU955" s="252"/>
      <c r="AEV955" s="252"/>
      <c r="AEW955" s="252"/>
      <c r="AEX955" s="252"/>
      <c r="AEY955" s="252"/>
      <c r="AEZ955" s="252"/>
      <c r="AFA955" s="252"/>
      <c r="AFB955" s="252"/>
      <c r="AFC955" s="252"/>
      <c r="AFD955" s="252"/>
      <c r="AFE955" s="252"/>
      <c r="AFF955" s="252"/>
      <c r="AFG955" s="252"/>
      <c r="AFH955" s="252"/>
      <c r="AFI955" s="252"/>
      <c r="AFJ955" s="252"/>
      <c r="AFK955" s="252"/>
      <c r="AFL955" s="252"/>
      <c r="AFM955" s="252"/>
      <c r="AFN955" s="252"/>
      <c r="AFO955" s="252"/>
      <c r="AFP955" s="252"/>
      <c r="AFQ955" s="252"/>
      <c r="AFR955" s="252"/>
      <c r="AFS955" s="252"/>
      <c r="AFT955" s="252"/>
      <c r="AFU955" s="252"/>
      <c r="AFV955" s="252"/>
      <c r="AFW955" s="252"/>
      <c r="AFX955" s="252"/>
      <c r="AFY955" s="252"/>
      <c r="AFZ955" s="252"/>
      <c r="AGA955" s="252"/>
      <c r="AGB955" s="252"/>
      <c r="AGC955" s="252"/>
      <c r="AGD955" s="252"/>
      <c r="AGE955" s="252"/>
      <c r="AGF955" s="252"/>
      <c r="AGG955" s="252"/>
      <c r="AGH955" s="252"/>
      <c r="AGI955" s="252"/>
      <c r="AGJ955" s="252"/>
      <c r="AGK955" s="252"/>
      <c r="AGL955" s="252"/>
      <c r="AGM955" s="252"/>
      <c r="AGN955" s="252"/>
      <c r="AGO955" s="252"/>
      <c r="AGP955" s="252"/>
      <c r="AGQ955" s="252"/>
      <c r="AGR955" s="252"/>
      <c r="AGS955" s="252"/>
      <c r="AGT955" s="252"/>
      <c r="AGU955" s="252"/>
      <c r="AGV955" s="252"/>
      <c r="AGW955" s="252"/>
      <c r="AGX955" s="252"/>
      <c r="AGY955" s="252"/>
      <c r="AGZ955" s="252"/>
      <c r="AHA955" s="252"/>
      <c r="AHB955" s="252"/>
      <c r="AHC955" s="252"/>
      <c r="AHD955" s="252"/>
      <c r="AHE955" s="252"/>
      <c r="AHF955" s="252"/>
      <c r="AHG955" s="252"/>
      <c r="AHH955" s="252"/>
      <c r="AHI955" s="252"/>
      <c r="AHJ955" s="252"/>
      <c r="AHK955" s="252"/>
      <c r="AHL955" s="252"/>
      <c r="AHM955" s="252"/>
      <c r="AHN955" s="252"/>
      <c r="AHO955" s="252"/>
      <c r="AHP955" s="252"/>
      <c r="AHQ955" s="252"/>
      <c r="AHR955" s="252"/>
      <c r="AHS955" s="252"/>
      <c r="AHT955" s="252"/>
      <c r="AHU955" s="252"/>
      <c r="AHV955" s="252"/>
      <c r="AHW955" s="252"/>
      <c r="AHX955" s="252"/>
      <c r="AHY955" s="252"/>
      <c r="AHZ955" s="252"/>
      <c r="AIA955" s="252"/>
      <c r="AIB955" s="252"/>
      <c r="AIC955" s="252"/>
      <c r="AID955" s="252"/>
      <c r="AIE955" s="252"/>
      <c r="AIF955" s="252"/>
      <c r="AIG955" s="252"/>
      <c r="AIH955" s="252"/>
      <c r="AII955" s="252"/>
      <c r="AIJ955" s="252"/>
      <c r="AIK955" s="252"/>
      <c r="AIL955" s="252"/>
      <c r="AIM955" s="252"/>
      <c r="AIN955" s="252"/>
      <c r="AIO955" s="252"/>
      <c r="AIP955" s="252"/>
      <c r="AIQ955" s="252"/>
      <c r="AIR955" s="252"/>
      <c r="AIS955" s="252"/>
      <c r="AIT955" s="252"/>
      <c r="AIU955" s="252"/>
      <c r="AIV955" s="252"/>
      <c r="AIW955" s="252"/>
      <c r="AIX955" s="252"/>
      <c r="AIY955" s="252"/>
      <c r="AIZ955" s="252"/>
      <c r="AJA955" s="252"/>
      <c r="AJB955" s="252"/>
      <c r="AJC955" s="252"/>
      <c r="AJD955" s="252"/>
      <c r="AJE955" s="252"/>
      <c r="AJF955" s="252"/>
      <c r="AJG955" s="252"/>
      <c r="AJH955" s="252"/>
      <c r="AJI955" s="252"/>
      <c r="AJJ955" s="252"/>
      <c r="AJK955" s="252"/>
      <c r="AJL955" s="252"/>
      <c r="AJM955" s="252"/>
      <c r="AJN955" s="252"/>
      <c r="AJO955" s="252"/>
      <c r="AJP955" s="252"/>
      <c r="AJQ955" s="252"/>
      <c r="AJR955" s="252"/>
      <c r="AJS955" s="252"/>
      <c r="AJT955" s="252"/>
      <c r="AJU955" s="252"/>
      <c r="AJV955" s="252"/>
      <c r="AJW955" s="252"/>
      <c r="AJX955" s="252"/>
      <c r="AJY955" s="252"/>
      <c r="AJZ955" s="252"/>
      <c r="AKA955" s="252"/>
      <c r="AKB955" s="252"/>
      <c r="AKC955" s="252"/>
      <c r="AKD955" s="252"/>
      <c r="AKE955" s="252"/>
      <c r="AKF955" s="252"/>
      <c r="AKG955" s="252"/>
      <c r="AKH955" s="252"/>
      <c r="AKI955" s="252"/>
      <c r="AKJ955" s="252"/>
      <c r="AKK955" s="252"/>
      <c r="AKL955" s="252"/>
      <c r="AKM955" s="252"/>
      <c r="AKN955" s="252"/>
      <c r="AKO955" s="252"/>
      <c r="AKP955" s="252"/>
      <c r="AKQ955" s="252"/>
      <c r="AKR955" s="252"/>
      <c r="AKS955" s="252"/>
      <c r="AKT955" s="252"/>
      <c r="AKU955" s="252"/>
      <c r="AKV955" s="252"/>
      <c r="AKW955" s="252"/>
      <c r="AKX955" s="252"/>
      <c r="AKY955" s="252"/>
      <c r="AKZ955" s="252"/>
      <c r="ALA955" s="252"/>
      <c r="ALB955" s="252"/>
      <c r="ALC955" s="252"/>
      <c r="ALD955" s="252"/>
      <c r="ALE955" s="252"/>
      <c r="ALF955" s="252"/>
      <c r="ALG955" s="252"/>
      <c r="ALH955" s="252"/>
      <c r="ALI955" s="252"/>
      <c r="ALJ955" s="252"/>
      <c r="ALK955" s="252"/>
      <c r="ALL955" s="252"/>
      <c r="ALM955" s="252"/>
      <c r="ALN955" s="252"/>
      <c r="ALO955" s="252"/>
      <c r="ALP955" s="252"/>
      <c r="ALQ955" s="252"/>
      <c r="ALR955" s="252"/>
      <c r="ALS955" s="252"/>
      <c r="ALT955" s="252"/>
      <c r="ALU955" s="252"/>
      <c r="ALV955" s="252"/>
      <c r="ALW955" s="252"/>
      <c r="ALX955" s="252"/>
      <c r="ALY955" s="252"/>
      <c r="ALZ955" s="252"/>
      <c r="AMA955" s="252"/>
      <c r="AMB955" s="252"/>
      <c r="AMC955" s="252"/>
      <c r="AMD955" s="252"/>
      <c r="AME955" s="252"/>
      <c r="AMF955" s="252"/>
      <c r="AMG955" s="252"/>
      <c r="AMH955" s="252"/>
      <c r="AMI955" s="252"/>
      <c r="AMJ955" s="252"/>
      <c r="AMK955" s="252"/>
      <c r="AML955" s="252"/>
      <c r="AMM955" s="252"/>
      <c r="AMN955" s="252"/>
      <c r="AMO955" s="252"/>
      <c r="AMP955" s="252"/>
      <c r="AMQ955" s="252"/>
      <c r="AMR955" s="252"/>
      <c r="AMS955" s="252"/>
      <c r="AMT955" s="252"/>
      <c r="AMU955" s="252"/>
      <c r="AMV955" s="252"/>
      <c r="AMW955" s="252"/>
      <c r="AMX955" s="252"/>
      <c r="AMY955" s="252"/>
      <c r="AMZ955" s="252"/>
      <c r="ANA955" s="252"/>
      <c r="ANB955" s="252"/>
      <c r="ANC955" s="252"/>
      <c r="AND955" s="252"/>
      <c r="ANE955" s="252"/>
      <c r="ANF955" s="252"/>
      <c r="ANG955" s="252"/>
      <c r="ANH955" s="252"/>
      <c r="ANI955" s="252"/>
      <c r="ANJ955" s="252"/>
      <c r="ANK955" s="252"/>
      <c r="ANL955" s="252"/>
      <c r="ANM955" s="252"/>
      <c r="ANN955" s="252"/>
      <c r="ANO955" s="252"/>
      <c r="ANP955" s="252"/>
      <c r="ANQ955" s="252"/>
      <c r="ANR955" s="252"/>
      <c r="ANS955" s="252"/>
      <c r="ANT955" s="252"/>
      <c r="ANU955" s="252"/>
      <c r="ANV955" s="252"/>
      <c r="ANW955" s="252"/>
      <c r="ANX955" s="252"/>
      <c r="ANY955" s="252"/>
      <c r="ANZ955" s="252"/>
      <c r="AOA955" s="252"/>
      <c r="AOB955" s="252"/>
      <c r="AOC955" s="252"/>
      <c r="AOD955" s="252"/>
      <c r="AOE955" s="252"/>
      <c r="AOF955" s="252"/>
      <c r="AOG955" s="252"/>
      <c r="AOH955" s="252"/>
      <c r="AOI955" s="252"/>
      <c r="AOJ955" s="252"/>
      <c r="AOK955" s="252"/>
      <c r="AOL955" s="252"/>
      <c r="AOM955" s="252"/>
      <c r="AON955" s="252"/>
      <c r="AOO955" s="252"/>
      <c r="AOP955" s="252"/>
      <c r="AOQ955" s="252"/>
      <c r="AOR955" s="252"/>
      <c r="AOS955" s="252"/>
      <c r="AOT955" s="252"/>
      <c r="AOU955" s="252"/>
      <c r="AOV955" s="252"/>
      <c r="AOW955" s="252"/>
      <c r="AOX955" s="252"/>
      <c r="AOY955" s="252"/>
      <c r="AOZ955" s="252"/>
      <c r="APA955" s="252"/>
      <c r="APB955" s="252"/>
      <c r="APC955" s="252"/>
      <c r="APD955" s="252"/>
      <c r="APE955" s="252"/>
      <c r="APF955" s="252"/>
      <c r="APG955" s="252"/>
      <c r="APH955" s="252"/>
      <c r="API955" s="252"/>
      <c r="APJ955" s="252"/>
      <c r="APK955" s="252"/>
      <c r="APL955" s="252"/>
      <c r="APM955" s="252"/>
      <c r="APN955" s="252"/>
      <c r="APO955" s="252"/>
      <c r="APP955" s="252"/>
      <c r="APQ955" s="252"/>
      <c r="APR955" s="252"/>
      <c r="APS955" s="252"/>
      <c r="APT955" s="252"/>
      <c r="APU955" s="252"/>
      <c r="APV955" s="252"/>
      <c r="APW955" s="252"/>
      <c r="APX955" s="252"/>
      <c r="APY955" s="252"/>
      <c r="APZ955" s="252"/>
      <c r="AQA955" s="252"/>
      <c r="AQB955" s="252"/>
      <c r="AQC955" s="252"/>
      <c r="AQD955" s="252"/>
      <c r="AQE955" s="252"/>
      <c r="AQF955" s="252"/>
      <c r="AQG955" s="252"/>
      <c r="AQH955" s="252"/>
      <c r="AQI955" s="252"/>
      <c r="AQJ955" s="252"/>
      <c r="AQK955" s="252"/>
      <c r="AQL955" s="252"/>
      <c r="AQM955" s="252"/>
      <c r="AQN955" s="252"/>
      <c r="AQO955" s="252"/>
      <c r="AQP955" s="252"/>
      <c r="AQQ955" s="252"/>
      <c r="AQR955" s="252"/>
      <c r="AQS955" s="252"/>
      <c r="AQT955" s="252"/>
      <c r="AQU955" s="252"/>
      <c r="AQV955" s="252"/>
      <c r="AQW955" s="252"/>
      <c r="AQX955" s="252"/>
      <c r="AQY955" s="252"/>
      <c r="AQZ955" s="252"/>
      <c r="ARA955" s="252"/>
      <c r="ARB955" s="252"/>
      <c r="ARC955" s="252"/>
      <c r="ARD955" s="252"/>
      <c r="ARE955" s="252"/>
      <c r="ARF955" s="252"/>
      <c r="ARG955" s="252"/>
      <c r="ARH955" s="252"/>
      <c r="ARI955" s="252"/>
      <c r="ARJ955" s="252"/>
      <c r="ARK955" s="252"/>
      <c r="ARL955" s="252"/>
      <c r="ARM955" s="252"/>
      <c r="ARN955" s="252"/>
      <c r="ARO955" s="252"/>
      <c r="ARP955" s="252"/>
      <c r="ARQ955" s="252"/>
      <c r="ARR955" s="252"/>
      <c r="ARS955" s="252"/>
      <c r="ART955" s="252"/>
      <c r="ARU955" s="252"/>
      <c r="ARV955" s="252"/>
      <c r="ARW955" s="252"/>
      <c r="ARX955" s="252"/>
      <c r="ARY955" s="252"/>
      <c r="ARZ955" s="252"/>
      <c r="ASA955" s="252"/>
      <c r="ASB955" s="252"/>
      <c r="ASC955" s="252"/>
      <c r="ASD955" s="252"/>
      <c r="ASE955" s="252"/>
      <c r="ASF955" s="252"/>
      <c r="ASG955" s="252"/>
      <c r="ASH955" s="252"/>
      <c r="ASI955" s="252"/>
      <c r="ASJ955" s="252"/>
      <c r="ASK955" s="252"/>
      <c r="ASL955" s="252"/>
      <c r="ASM955" s="252"/>
      <c r="ASN955" s="252"/>
      <c r="ASO955" s="252"/>
      <c r="ASP955" s="252"/>
      <c r="ASQ955" s="252"/>
      <c r="ASR955" s="252"/>
      <c r="ASS955" s="252"/>
      <c r="AST955" s="252"/>
      <c r="ASU955" s="252"/>
      <c r="ASV955" s="252"/>
      <c r="ASW955" s="252"/>
      <c r="ASX955" s="252"/>
      <c r="ASY955" s="252"/>
      <c r="ASZ955" s="252"/>
      <c r="ATA955" s="252"/>
      <c r="ATB955" s="252"/>
      <c r="ATC955" s="252"/>
      <c r="ATD955" s="252"/>
      <c r="ATE955" s="252"/>
      <c r="ATF955" s="252"/>
      <c r="ATG955" s="252"/>
      <c r="ATH955" s="252"/>
      <c r="ATI955" s="252"/>
      <c r="ATJ955" s="252"/>
      <c r="ATK955" s="252"/>
      <c r="ATL955" s="252"/>
      <c r="ATM955" s="252"/>
      <c r="ATN955" s="252"/>
      <c r="ATO955" s="252"/>
      <c r="ATP955" s="252"/>
      <c r="ATQ955" s="252"/>
      <c r="ATR955" s="252"/>
      <c r="ATS955" s="252"/>
      <c r="ATT955" s="252"/>
      <c r="ATU955" s="252"/>
      <c r="ATV955" s="252"/>
      <c r="ATW955" s="252"/>
      <c r="ATX955" s="252"/>
      <c r="ATY955" s="252"/>
      <c r="ATZ955" s="252"/>
      <c r="AUA955" s="252"/>
      <c r="AUB955" s="252"/>
      <c r="AUC955" s="252"/>
      <c r="AUD955" s="252"/>
      <c r="AUE955" s="252"/>
      <c r="AUF955" s="252"/>
      <c r="AUG955" s="252"/>
      <c r="AUH955" s="252"/>
      <c r="AUI955" s="252"/>
      <c r="AUJ955" s="252"/>
      <c r="AUK955" s="252"/>
      <c r="AUL955" s="252"/>
      <c r="AUM955" s="252"/>
      <c r="AUN955" s="252"/>
      <c r="AUO955" s="252"/>
      <c r="AUP955" s="252"/>
      <c r="AUQ955" s="252"/>
      <c r="AUR955" s="252"/>
      <c r="AUS955" s="252"/>
      <c r="AUT955" s="252"/>
      <c r="AUU955" s="252"/>
      <c r="AUV955" s="252"/>
      <c r="AUW955" s="252"/>
      <c r="AUX955" s="252"/>
      <c r="AUY955" s="252"/>
      <c r="AUZ955" s="252"/>
      <c r="AVA955" s="252"/>
      <c r="AVB955" s="252"/>
      <c r="AVC955" s="252"/>
      <c r="AVD955" s="252"/>
      <c r="AVE955" s="252"/>
      <c r="AVF955" s="252"/>
      <c r="AVG955" s="252"/>
      <c r="AVH955" s="252"/>
      <c r="AVI955" s="252"/>
      <c r="AVJ955" s="252"/>
      <c r="AVK955" s="252"/>
      <c r="AVL955" s="252"/>
      <c r="AVM955" s="252"/>
      <c r="AVN955" s="252"/>
      <c r="AVO955" s="252"/>
      <c r="AVP955" s="252"/>
      <c r="AVQ955" s="252"/>
      <c r="AVR955" s="252"/>
      <c r="AVS955" s="252"/>
      <c r="AVT955" s="252"/>
      <c r="AVU955" s="252"/>
      <c r="AVV955" s="252"/>
      <c r="AVW955" s="252"/>
      <c r="AVX955" s="252"/>
      <c r="AVY955" s="252"/>
      <c r="AVZ955" s="252"/>
      <c r="AWA955" s="252"/>
      <c r="AWB955" s="252"/>
      <c r="AWC955" s="252"/>
      <c r="AWD955" s="252"/>
      <c r="AWE955" s="252"/>
      <c r="AWF955" s="252"/>
      <c r="AWG955" s="252"/>
      <c r="AWH955" s="252"/>
      <c r="AWI955" s="252"/>
      <c r="AWJ955" s="252"/>
      <c r="AWK955" s="252"/>
      <c r="AWL955" s="252"/>
      <c r="AWM955" s="252"/>
      <c r="AWN955" s="252"/>
      <c r="AWO955" s="252"/>
      <c r="AWP955" s="252"/>
      <c r="AWQ955" s="252"/>
      <c r="AWR955" s="252"/>
      <c r="AWS955" s="252"/>
      <c r="AWT955" s="252"/>
      <c r="AWU955" s="252"/>
      <c r="AWV955" s="252"/>
      <c r="AWW955" s="252"/>
      <c r="AWX955" s="252"/>
      <c r="AWY955" s="252"/>
      <c r="AWZ955" s="252"/>
      <c r="AXA955" s="252"/>
      <c r="AXB955" s="252"/>
      <c r="AXC955" s="252"/>
      <c r="AXD955" s="252"/>
      <c r="AXE955" s="252"/>
      <c r="AXF955" s="252"/>
      <c r="AXG955" s="252"/>
      <c r="AXH955" s="252"/>
      <c r="AXI955" s="252"/>
      <c r="AXJ955" s="252"/>
      <c r="AXK955" s="252"/>
      <c r="AXL955" s="252"/>
      <c r="AXM955" s="252"/>
      <c r="AXN955" s="252"/>
      <c r="AXO955" s="252"/>
      <c r="AXP955" s="252"/>
      <c r="AXQ955" s="252"/>
      <c r="AXR955" s="252"/>
      <c r="AXS955" s="252"/>
      <c r="AXT955" s="252"/>
      <c r="AXU955" s="252"/>
      <c r="AXV955" s="252"/>
      <c r="AXW955" s="252"/>
      <c r="AXX955" s="252"/>
      <c r="AXY955" s="252"/>
      <c r="AXZ955" s="252"/>
      <c r="AYA955" s="252"/>
      <c r="AYB955" s="252"/>
      <c r="AYC955" s="252"/>
      <c r="AYD955" s="252"/>
      <c r="AYE955" s="252"/>
      <c r="AYF955" s="252"/>
      <c r="AYG955" s="252"/>
      <c r="AYH955" s="252"/>
      <c r="AYI955" s="252"/>
      <c r="AYJ955" s="252"/>
      <c r="AYK955" s="252"/>
      <c r="AYL955" s="252"/>
      <c r="AYM955" s="252"/>
      <c r="AYN955" s="252"/>
      <c r="AYO955" s="252"/>
      <c r="AYP955" s="252"/>
      <c r="AYQ955" s="252"/>
      <c r="AYR955" s="252"/>
      <c r="AYS955" s="252"/>
      <c r="AYT955" s="252"/>
      <c r="AYU955" s="252"/>
      <c r="AYV955" s="252"/>
      <c r="AYW955" s="252"/>
      <c r="AYX955" s="252"/>
      <c r="AYY955" s="252"/>
      <c r="AYZ955" s="252"/>
      <c r="AZA955" s="252"/>
      <c r="AZB955" s="252"/>
      <c r="AZC955" s="252"/>
      <c r="AZD955" s="252"/>
      <c r="AZE955" s="252"/>
      <c r="AZF955" s="252"/>
      <c r="AZG955" s="252"/>
      <c r="AZH955" s="252"/>
      <c r="AZI955" s="252"/>
      <c r="AZJ955" s="252"/>
      <c r="AZK955" s="252"/>
      <c r="AZL955" s="252"/>
      <c r="AZM955" s="252"/>
      <c r="AZN955" s="252"/>
      <c r="AZO955" s="252"/>
      <c r="AZP955" s="252"/>
      <c r="AZQ955" s="252"/>
      <c r="AZR955" s="252"/>
      <c r="AZS955" s="252"/>
      <c r="AZT955" s="252"/>
      <c r="AZU955" s="252"/>
      <c r="AZV955" s="252"/>
      <c r="AZW955" s="252"/>
      <c r="AZX955" s="252"/>
      <c r="AZY955" s="252"/>
      <c r="AZZ955" s="252"/>
      <c r="BAA955" s="252"/>
      <c r="BAB955" s="252"/>
      <c r="BAC955" s="252"/>
      <c r="BAD955" s="252"/>
      <c r="BAE955" s="252"/>
      <c r="BAF955" s="252"/>
      <c r="BAG955" s="252"/>
      <c r="BAH955" s="252"/>
      <c r="BAI955" s="252"/>
      <c r="BAJ955" s="252"/>
      <c r="BAK955" s="252"/>
      <c r="BAL955" s="252"/>
      <c r="BAM955" s="252"/>
      <c r="BAN955" s="252"/>
      <c r="BAO955" s="252"/>
      <c r="BAP955" s="252"/>
      <c r="BAQ955" s="252"/>
      <c r="BAR955" s="252"/>
      <c r="BAS955" s="252"/>
      <c r="BAT955" s="252"/>
      <c r="BAU955" s="252"/>
      <c r="BAV955" s="252"/>
      <c r="BAW955" s="252"/>
      <c r="BAX955" s="252"/>
      <c r="BAY955" s="252"/>
      <c r="BAZ955" s="252"/>
      <c r="BBA955" s="252"/>
      <c r="BBB955" s="252"/>
      <c r="BBC955" s="252"/>
      <c r="BBD955" s="252"/>
      <c r="BBE955" s="252"/>
      <c r="BBF955" s="252"/>
      <c r="BBG955" s="252"/>
      <c r="BBH955" s="252"/>
      <c r="BBI955" s="252"/>
      <c r="BBJ955" s="252"/>
      <c r="BBK955" s="252"/>
      <c r="BBL955" s="252"/>
      <c r="BBM955" s="252"/>
      <c r="BBN955" s="252"/>
      <c r="BBO955" s="252"/>
      <c r="BBP955" s="252"/>
      <c r="BBQ955" s="252"/>
      <c r="BBR955" s="252"/>
      <c r="BBS955" s="252"/>
      <c r="BBT955" s="252"/>
      <c r="BBU955" s="252"/>
      <c r="BBV955" s="252"/>
      <c r="BBW955" s="252"/>
      <c r="BBX955" s="252"/>
      <c r="BBY955" s="252"/>
      <c r="BBZ955" s="252"/>
      <c r="BCA955" s="252"/>
      <c r="BCB955" s="252"/>
      <c r="BCC955" s="252"/>
      <c r="BCD955" s="252"/>
      <c r="BCE955" s="252"/>
      <c r="BCF955" s="252"/>
      <c r="BCG955" s="252"/>
      <c r="BCH955" s="252"/>
      <c r="BCI955" s="252"/>
      <c r="BCJ955" s="252"/>
      <c r="BCK955" s="252"/>
      <c r="BCL955" s="252"/>
      <c r="BCM955" s="252"/>
      <c r="BCN955" s="252"/>
      <c r="BCO955" s="252"/>
      <c r="BCP955" s="252"/>
      <c r="BCQ955" s="252"/>
      <c r="BCR955" s="252"/>
      <c r="BCS955" s="252"/>
      <c r="BCT955" s="252"/>
      <c r="BCU955" s="252"/>
      <c r="BCV955" s="252"/>
      <c r="BCW955" s="252"/>
      <c r="BCX955" s="252"/>
      <c r="BCY955" s="252"/>
      <c r="BCZ955" s="252"/>
      <c r="BDA955" s="252"/>
      <c r="BDB955" s="252"/>
      <c r="BDC955" s="252"/>
      <c r="BDD955" s="252"/>
      <c r="BDE955" s="252"/>
      <c r="BDF955" s="252"/>
      <c r="BDG955" s="252"/>
      <c r="BDH955" s="252"/>
      <c r="BDI955" s="252"/>
      <c r="BDJ955" s="252"/>
      <c r="BDK955" s="252"/>
      <c r="BDL955" s="252"/>
      <c r="BDM955" s="252"/>
      <c r="BDN955" s="252"/>
      <c r="BDO955" s="252"/>
      <c r="BDP955" s="252"/>
      <c r="BDQ955" s="252"/>
      <c r="BDR955" s="252"/>
      <c r="BDS955" s="252"/>
      <c r="BDT955" s="252"/>
      <c r="BDU955" s="252"/>
      <c r="BDV955" s="252"/>
      <c r="BDW955" s="252"/>
      <c r="BDX955" s="252"/>
      <c r="BDY955" s="252"/>
      <c r="BDZ955" s="252"/>
      <c r="BEA955" s="252"/>
      <c r="BEB955" s="252"/>
      <c r="BEC955" s="252"/>
      <c r="BED955" s="252"/>
      <c r="BEE955" s="252"/>
      <c r="BEF955" s="252"/>
      <c r="BEG955" s="252"/>
      <c r="BEH955" s="252"/>
      <c r="BEI955" s="252"/>
      <c r="BEJ955" s="252"/>
      <c r="BEK955" s="252"/>
      <c r="BEL955" s="252"/>
      <c r="BEM955" s="252"/>
      <c r="BEN955" s="252"/>
      <c r="BEO955" s="252"/>
      <c r="BEP955" s="252"/>
      <c r="BEQ955" s="252"/>
      <c r="BER955" s="252"/>
      <c r="BES955" s="252"/>
      <c r="BET955" s="252"/>
      <c r="BEU955" s="252"/>
      <c r="BEV955" s="252"/>
      <c r="BEW955" s="252"/>
      <c r="BEX955" s="252"/>
      <c r="BEY955" s="252"/>
      <c r="BEZ955" s="252"/>
      <c r="BFA955" s="252"/>
      <c r="BFB955" s="252"/>
      <c r="BFC955" s="252"/>
      <c r="BFD955" s="252"/>
      <c r="BFE955" s="252"/>
      <c r="BFF955" s="252"/>
      <c r="BFG955" s="252"/>
      <c r="BFH955" s="252"/>
      <c r="BFI955" s="252"/>
      <c r="BFJ955" s="252"/>
      <c r="BFK955" s="252"/>
      <c r="BFL955" s="252"/>
      <c r="BFM955" s="252"/>
      <c r="BFN955" s="252"/>
      <c r="BFO955" s="252"/>
      <c r="BFP955" s="252"/>
      <c r="BFQ955" s="252"/>
      <c r="BFR955" s="252"/>
      <c r="BFS955" s="252"/>
      <c r="BFT955" s="252"/>
      <c r="BFU955" s="252"/>
      <c r="BFV955" s="252"/>
      <c r="BFW955" s="252"/>
      <c r="BFX955" s="252"/>
      <c r="BFY955" s="252"/>
      <c r="BFZ955" s="252"/>
      <c r="BGA955" s="252"/>
      <c r="BGB955" s="252"/>
      <c r="BGC955" s="252"/>
      <c r="BGD955" s="252"/>
      <c r="BGE955" s="252"/>
      <c r="BGF955" s="252"/>
      <c r="BGG955" s="252"/>
      <c r="BGH955" s="252"/>
      <c r="BGI955" s="252"/>
      <c r="BGJ955" s="252"/>
      <c r="BGK955" s="252"/>
      <c r="BGL955" s="252"/>
      <c r="BGM955" s="252"/>
      <c r="BGN955" s="252"/>
      <c r="BGO955" s="252"/>
      <c r="BGP955" s="252"/>
      <c r="BGQ955" s="252"/>
      <c r="BGR955" s="252"/>
      <c r="BGS955" s="252"/>
      <c r="BGT955" s="252"/>
      <c r="BGU955" s="252"/>
      <c r="BGV955" s="252"/>
      <c r="BGW955" s="252"/>
      <c r="BGX955" s="252"/>
      <c r="BGY955" s="252"/>
      <c r="BGZ955" s="252"/>
      <c r="BHA955" s="252"/>
      <c r="BHB955" s="252"/>
      <c r="BHC955" s="252"/>
      <c r="BHD955" s="252"/>
      <c r="BHE955" s="252"/>
      <c r="BHF955" s="252"/>
      <c r="BHG955" s="252"/>
      <c r="BHH955" s="252"/>
      <c r="BHI955" s="252"/>
      <c r="BHJ955" s="252"/>
      <c r="BHK955" s="252"/>
      <c r="BHL955" s="252"/>
      <c r="BHM955" s="252"/>
      <c r="BHN955" s="252"/>
      <c r="BHO955" s="252"/>
      <c r="BHP955" s="252"/>
      <c r="BHQ955" s="252"/>
      <c r="BHR955" s="252"/>
      <c r="BHS955" s="252"/>
      <c r="BHT955" s="252"/>
      <c r="BHU955" s="252"/>
      <c r="BHV955" s="252"/>
      <c r="BHW955" s="252"/>
      <c r="BHX955" s="252"/>
      <c r="BHY955" s="252"/>
      <c r="BHZ955" s="252"/>
      <c r="BIA955" s="252"/>
      <c r="BIB955" s="252"/>
      <c r="BIC955" s="252"/>
      <c r="BID955" s="252"/>
      <c r="BIE955" s="252"/>
      <c r="BIF955" s="252"/>
      <c r="BIG955" s="252"/>
      <c r="BIH955" s="252"/>
      <c r="BII955" s="252"/>
      <c r="BIJ955" s="252"/>
      <c r="BIK955" s="252"/>
      <c r="BIL955" s="252"/>
      <c r="BIM955" s="252"/>
      <c r="BIN955" s="252"/>
      <c r="BIO955" s="252"/>
      <c r="BIP955" s="252"/>
      <c r="BIQ955" s="252"/>
      <c r="BIR955" s="252"/>
      <c r="BIS955" s="252"/>
      <c r="BIT955" s="252"/>
      <c r="BIU955" s="252"/>
      <c r="BIV955" s="252"/>
      <c r="BIW955" s="252"/>
      <c r="BIX955" s="252"/>
      <c r="BIY955" s="252"/>
      <c r="BIZ955" s="252"/>
      <c r="BJA955" s="252"/>
      <c r="BJB955" s="252"/>
      <c r="BJC955" s="252"/>
      <c r="BJD955" s="252"/>
      <c r="BJE955" s="252"/>
      <c r="BJF955" s="252"/>
      <c r="BJG955" s="252"/>
      <c r="BJH955" s="252"/>
      <c r="BJI955" s="252"/>
      <c r="BJJ955" s="252"/>
      <c r="BJK955" s="252"/>
      <c r="BJL955" s="252"/>
      <c r="BJM955" s="252"/>
      <c r="BJN955" s="252"/>
      <c r="BJO955" s="252"/>
      <c r="BJP955" s="252"/>
      <c r="BJQ955" s="252"/>
      <c r="BJR955" s="252"/>
      <c r="BJS955" s="252"/>
      <c r="BJT955" s="252"/>
      <c r="BJU955" s="252"/>
      <c r="BJV955" s="252"/>
      <c r="BJW955" s="252"/>
      <c r="BJX955" s="252"/>
      <c r="BJY955" s="252"/>
      <c r="BJZ955" s="252"/>
      <c r="BKA955" s="252"/>
      <c r="BKB955" s="252"/>
      <c r="BKC955" s="252"/>
      <c r="BKD955" s="252"/>
      <c r="BKE955" s="252"/>
      <c r="BKF955" s="252"/>
      <c r="BKG955" s="252"/>
      <c r="BKH955" s="252"/>
      <c r="BKI955" s="252"/>
      <c r="BKJ955" s="252"/>
      <c r="BKK955" s="252"/>
      <c r="BKL955" s="252"/>
      <c r="BKM955" s="252"/>
      <c r="BKN955" s="252"/>
      <c r="BKO955" s="252"/>
      <c r="BKP955" s="252"/>
      <c r="BKQ955" s="252"/>
      <c r="BKR955" s="252"/>
      <c r="BKS955" s="252"/>
      <c r="BKT955" s="252"/>
      <c r="BKU955" s="252"/>
      <c r="BKV955" s="252"/>
      <c r="BKW955" s="252"/>
      <c r="BKX955" s="252"/>
      <c r="BKY955" s="252"/>
      <c r="BKZ955" s="252"/>
      <c r="BLA955" s="252"/>
      <c r="BLB955" s="252"/>
      <c r="BLC955" s="252"/>
      <c r="BLD955" s="252"/>
      <c r="BLE955" s="252"/>
      <c r="BLF955" s="252"/>
      <c r="BLG955" s="252"/>
      <c r="BLH955" s="252"/>
      <c r="BLI955" s="252"/>
      <c r="BLJ955" s="252"/>
      <c r="BLK955" s="252"/>
      <c r="BLL955" s="252"/>
      <c r="BLM955" s="252"/>
      <c r="BLN955" s="252"/>
      <c r="BLO955" s="252"/>
      <c r="BLP955" s="252"/>
      <c r="BLQ955" s="252"/>
      <c r="BLR955" s="252"/>
      <c r="BLS955" s="252"/>
      <c r="BLT955" s="252"/>
      <c r="BLU955" s="252"/>
      <c r="BLV955" s="252"/>
      <c r="BLW955" s="252"/>
      <c r="BLX955" s="252"/>
      <c r="BLY955" s="252"/>
      <c r="BLZ955" s="252"/>
      <c r="BMA955" s="252"/>
      <c r="BMB955" s="252"/>
      <c r="BMC955" s="252"/>
      <c r="BMD955" s="252"/>
      <c r="BME955" s="252"/>
      <c r="BMF955" s="252"/>
      <c r="BMG955" s="252"/>
      <c r="BMH955" s="252"/>
      <c r="BMI955" s="252"/>
      <c r="BMJ955" s="252"/>
      <c r="BMK955" s="252"/>
      <c r="BML955" s="252"/>
      <c r="BMM955" s="252"/>
      <c r="BMN955" s="252"/>
      <c r="BMO955" s="252"/>
      <c r="BMP955" s="252"/>
      <c r="BMQ955" s="252"/>
      <c r="BMR955" s="252"/>
      <c r="BMS955" s="252"/>
      <c r="BMT955" s="252"/>
      <c r="BMU955" s="252"/>
      <c r="BMV955" s="252"/>
      <c r="BMW955" s="252"/>
      <c r="BMX955" s="252"/>
      <c r="BMY955" s="252"/>
      <c r="BMZ955" s="252"/>
      <c r="BNA955" s="252"/>
      <c r="BNB955" s="252"/>
      <c r="BNC955" s="252"/>
      <c r="BND955" s="252"/>
      <c r="BNE955" s="252"/>
      <c r="BNF955" s="252"/>
      <c r="BNG955" s="252"/>
      <c r="BNH955" s="252"/>
      <c r="BNI955" s="252"/>
      <c r="BNJ955" s="252"/>
      <c r="BNK955" s="252"/>
      <c r="BNL955" s="252"/>
      <c r="BNM955" s="252"/>
      <c r="BNN955" s="252"/>
      <c r="BNO955" s="252"/>
      <c r="BNP955" s="252"/>
      <c r="BNQ955" s="252"/>
      <c r="BNR955" s="252"/>
      <c r="BNS955" s="252"/>
      <c r="BNT955" s="252"/>
      <c r="BNU955" s="252"/>
      <c r="BNV955" s="252"/>
      <c r="BNW955" s="252"/>
      <c r="BNX955" s="252"/>
      <c r="BNY955" s="252"/>
      <c r="BNZ955" s="252"/>
      <c r="BOA955" s="252"/>
      <c r="BOB955" s="252"/>
      <c r="BOC955" s="252"/>
      <c r="BOD955" s="252"/>
      <c r="BOE955" s="252"/>
      <c r="BOF955" s="252"/>
      <c r="BOG955" s="252"/>
      <c r="BOH955" s="252"/>
      <c r="BOI955" s="252"/>
      <c r="BOJ955" s="252"/>
      <c r="BOK955" s="252"/>
      <c r="BOL955" s="252"/>
      <c r="BOM955" s="252"/>
      <c r="BON955" s="252"/>
      <c r="BOO955" s="252"/>
      <c r="BOP955" s="252"/>
      <c r="BOQ955" s="252"/>
      <c r="BOR955" s="252"/>
      <c r="BOS955" s="252"/>
      <c r="BOT955" s="252"/>
      <c r="BOU955" s="252"/>
      <c r="BOV955" s="252"/>
      <c r="BOW955" s="252"/>
      <c r="BOX955" s="252"/>
      <c r="BOY955" s="252"/>
      <c r="BOZ955" s="252"/>
      <c r="BPA955" s="252"/>
      <c r="BPB955" s="252"/>
      <c r="BPC955" s="252"/>
      <c r="BPD955" s="252"/>
      <c r="BPE955" s="252"/>
      <c r="BPF955" s="252"/>
      <c r="BPG955" s="252"/>
      <c r="BPH955" s="252"/>
      <c r="BPI955" s="252"/>
      <c r="BPJ955" s="252"/>
      <c r="BPK955" s="252"/>
      <c r="BPL955" s="252"/>
      <c r="BPM955" s="252"/>
      <c r="BPN955" s="252"/>
      <c r="BPO955" s="252"/>
      <c r="BPP955" s="252"/>
      <c r="BPQ955" s="252"/>
      <c r="BPR955" s="252"/>
      <c r="BPS955" s="252"/>
      <c r="BPT955" s="252"/>
      <c r="BPU955" s="252"/>
      <c r="BPV955" s="252"/>
      <c r="BPW955" s="252"/>
      <c r="BPX955" s="252"/>
      <c r="BPY955" s="252"/>
      <c r="BPZ955" s="252"/>
      <c r="BQA955" s="252"/>
      <c r="BQB955" s="252"/>
      <c r="BQC955" s="252"/>
      <c r="BQD955" s="252"/>
      <c r="BQE955" s="252"/>
      <c r="BQF955" s="252"/>
      <c r="BQG955" s="252"/>
      <c r="BQH955" s="252"/>
      <c r="BQI955" s="252"/>
      <c r="BQJ955" s="252"/>
      <c r="BQK955" s="252"/>
      <c r="BQL955" s="252"/>
      <c r="BQM955" s="252"/>
      <c r="BQN955" s="252"/>
      <c r="BQO955" s="252"/>
      <c r="BQP955" s="252"/>
      <c r="BQQ955" s="252"/>
      <c r="BQR955" s="252"/>
      <c r="BQS955" s="252"/>
      <c r="BQT955" s="252"/>
      <c r="BQU955" s="252"/>
      <c r="BQV955" s="252"/>
      <c r="BQW955" s="252"/>
      <c r="BQX955" s="252"/>
      <c r="BQY955" s="252"/>
      <c r="BQZ955" s="252"/>
      <c r="BRA955" s="252"/>
      <c r="BRB955" s="252"/>
      <c r="BRC955" s="252"/>
      <c r="BRD955" s="252"/>
      <c r="BRE955" s="252"/>
      <c r="BRF955" s="252"/>
      <c r="BRG955" s="252"/>
      <c r="BRH955" s="252"/>
      <c r="BRI955" s="252"/>
      <c r="BRJ955" s="252"/>
      <c r="BRK955" s="252"/>
      <c r="BRL955" s="252"/>
      <c r="BRM955" s="252"/>
      <c r="BRN955" s="252"/>
      <c r="BRO955" s="252"/>
      <c r="BRP955" s="252"/>
      <c r="BRQ955" s="252"/>
      <c r="BRR955" s="252"/>
      <c r="BRS955" s="252"/>
      <c r="BRT955" s="252"/>
      <c r="BRU955" s="252"/>
      <c r="BRV955" s="252"/>
      <c r="BRW955" s="252"/>
      <c r="BRX955" s="252"/>
      <c r="BRY955" s="252"/>
      <c r="BRZ955" s="252"/>
      <c r="BSA955" s="252"/>
      <c r="BSB955" s="252"/>
      <c r="BSC955" s="252"/>
      <c r="BSD955" s="252"/>
      <c r="BSE955" s="252"/>
      <c r="BSF955" s="252"/>
      <c r="BSG955" s="252"/>
      <c r="BSH955" s="252"/>
      <c r="BSI955" s="252"/>
      <c r="BSJ955" s="252"/>
      <c r="BSK955" s="252"/>
      <c r="BSL955" s="252"/>
      <c r="BSM955" s="252"/>
      <c r="BSN955" s="252"/>
      <c r="BSO955" s="252"/>
      <c r="BSP955" s="252"/>
      <c r="BSQ955" s="252"/>
      <c r="BSR955" s="252"/>
      <c r="BSS955" s="252"/>
      <c r="BST955" s="252"/>
      <c r="BSU955" s="252"/>
      <c r="BSV955" s="252"/>
      <c r="BSW955" s="252"/>
      <c r="BSX955" s="252"/>
      <c r="BSY955" s="252"/>
      <c r="BSZ955" s="252"/>
      <c r="BTA955" s="252"/>
      <c r="BTB955" s="252"/>
      <c r="BTC955" s="252"/>
      <c r="BTD955" s="252"/>
      <c r="BTE955" s="252"/>
      <c r="BTF955" s="252"/>
      <c r="BTG955" s="252"/>
      <c r="BTH955" s="252"/>
      <c r="BTI955" s="252"/>
      <c r="BTJ955" s="252"/>
      <c r="BTK955" s="252"/>
      <c r="BTL955" s="252"/>
      <c r="BTM955" s="252"/>
      <c r="BTN955" s="252"/>
      <c r="BTO955" s="252"/>
      <c r="BTP955" s="252"/>
      <c r="BTQ955" s="252"/>
      <c r="BTR955" s="252"/>
      <c r="BTS955" s="252"/>
      <c r="BTT955" s="252"/>
      <c r="BTU955" s="252"/>
      <c r="BTV955" s="252"/>
      <c r="BTW955" s="252"/>
      <c r="BTX955" s="252"/>
      <c r="BTY955" s="252"/>
      <c r="BTZ955" s="252"/>
      <c r="BUA955" s="252"/>
      <c r="BUB955" s="252"/>
      <c r="BUC955" s="252"/>
      <c r="BUD955" s="252"/>
      <c r="BUE955" s="252"/>
      <c r="BUF955" s="252"/>
      <c r="BUG955" s="252"/>
      <c r="BUH955" s="252"/>
      <c r="BUI955" s="252"/>
      <c r="BUJ955" s="252"/>
      <c r="BUK955" s="252"/>
      <c r="BUL955" s="252"/>
      <c r="BUM955" s="252"/>
      <c r="BUN955" s="252"/>
      <c r="BUO955" s="252"/>
      <c r="BUP955" s="252"/>
      <c r="BUQ955" s="252"/>
      <c r="BUR955" s="252"/>
      <c r="BUS955" s="252"/>
      <c r="BUT955" s="252"/>
      <c r="BUU955" s="252"/>
      <c r="BUV955" s="252"/>
      <c r="BUW955" s="252"/>
      <c r="BUX955" s="252"/>
      <c r="BUY955" s="252"/>
      <c r="BUZ955" s="252"/>
      <c r="BVA955" s="252"/>
      <c r="BVB955" s="252"/>
      <c r="BVC955" s="252"/>
      <c r="BVD955" s="252"/>
      <c r="BVE955" s="252"/>
      <c r="BVF955" s="252"/>
      <c r="BVG955" s="252"/>
      <c r="BVH955" s="252"/>
      <c r="BVI955" s="252"/>
      <c r="BVJ955" s="252"/>
      <c r="BVK955" s="252"/>
      <c r="BVL955" s="252"/>
      <c r="BVM955" s="252"/>
      <c r="BVN955" s="252"/>
      <c r="BVO955" s="252"/>
      <c r="BVP955" s="252"/>
      <c r="BVQ955" s="252"/>
      <c r="BVR955" s="252"/>
      <c r="BVS955" s="252"/>
      <c r="BVT955" s="252"/>
      <c r="BVU955" s="252"/>
      <c r="BVV955" s="252"/>
      <c r="BVW955" s="252"/>
      <c r="BVX955" s="252"/>
      <c r="BVY955" s="252"/>
      <c r="BVZ955" s="252"/>
      <c r="BWA955" s="252"/>
      <c r="BWB955" s="252"/>
      <c r="BWC955" s="252"/>
      <c r="BWD955" s="252"/>
      <c r="BWE955" s="252"/>
      <c r="BWF955" s="252"/>
      <c r="BWG955" s="252"/>
      <c r="BWH955" s="252"/>
      <c r="BWI955" s="252"/>
      <c r="BWJ955" s="252"/>
      <c r="BWK955" s="252"/>
      <c r="BWL955" s="252"/>
      <c r="BWM955" s="252"/>
      <c r="BWN955" s="252"/>
      <c r="BWO955" s="252"/>
      <c r="BWP955" s="252"/>
      <c r="BWQ955" s="252"/>
      <c r="BWR955" s="252"/>
      <c r="BWS955" s="252"/>
      <c r="BWT955" s="252"/>
      <c r="BWU955" s="252"/>
      <c r="BWV955" s="252"/>
      <c r="BWW955" s="252"/>
      <c r="BWX955" s="252"/>
      <c r="BWY955" s="252"/>
      <c r="BWZ955" s="252"/>
      <c r="BXA955" s="252"/>
      <c r="BXB955" s="252"/>
      <c r="BXC955" s="252"/>
      <c r="BXD955" s="252"/>
      <c r="BXE955" s="252"/>
      <c r="BXF955" s="252"/>
      <c r="BXG955" s="252"/>
      <c r="BXH955" s="252"/>
      <c r="BXI955" s="252"/>
      <c r="BXJ955" s="252"/>
      <c r="BXK955" s="252"/>
      <c r="BXL955" s="252"/>
      <c r="BXM955" s="252"/>
      <c r="BXN955" s="252"/>
      <c r="BXO955" s="252"/>
      <c r="BXP955" s="252"/>
      <c r="BXQ955" s="252"/>
      <c r="BXR955" s="252"/>
      <c r="BXS955" s="252"/>
      <c r="BXT955" s="252"/>
      <c r="BXU955" s="252"/>
      <c r="BXV955" s="252"/>
      <c r="BXW955" s="252"/>
      <c r="BXX955" s="252"/>
      <c r="BXY955" s="252"/>
      <c r="BXZ955" s="252"/>
      <c r="BYA955" s="252"/>
      <c r="BYB955" s="252"/>
      <c r="BYC955" s="252"/>
      <c r="BYD955" s="252"/>
      <c r="BYE955" s="252"/>
      <c r="BYF955" s="252"/>
      <c r="BYG955" s="252"/>
      <c r="BYH955" s="252"/>
      <c r="BYI955" s="252"/>
      <c r="BYJ955" s="252"/>
      <c r="BYK955" s="252"/>
      <c r="BYL955" s="252"/>
      <c r="BYM955" s="252"/>
      <c r="BYN955" s="252"/>
      <c r="BYO955" s="252"/>
      <c r="BYP955" s="252"/>
      <c r="BYQ955" s="252"/>
      <c r="BYR955" s="252"/>
      <c r="BYS955" s="252"/>
      <c r="BYT955" s="252"/>
      <c r="BYU955" s="252"/>
      <c r="BYV955" s="252"/>
      <c r="BYW955" s="252"/>
      <c r="BYX955" s="252"/>
      <c r="BYY955" s="252"/>
      <c r="BYZ955" s="252"/>
      <c r="BZA955" s="252"/>
      <c r="BZB955" s="252"/>
      <c r="BZC955" s="252"/>
      <c r="BZD955" s="252"/>
      <c r="BZE955" s="252"/>
      <c r="BZF955" s="252"/>
      <c r="BZG955" s="252"/>
      <c r="BZH955" s="252"/>
      <c r="BZI955" s="252"/>
      <c r="BZJ955" s="252"/>
      <c r="BZK955" s="252"/>
      <c r="BZL955" s="252"/>
      <c r="BZM955" s="252"/>
      <c r="BZN955" s="252"/>
      <c r="BZO955" s="252"/>
      <c r="BZP955" s="252"/>
      <c r="BZQ955" s="252"/>
      <c r="BZR955" s="252"/>
      <c r="BZS955" s="252"/>
      <c r="BZT955" s="252"/>
      <c r="BZU955" s="252"/>
      <c r="BZV955" s="252"/>
      <c r="BZW955" s="252"/>
      <c r="BZX955" s="252"/>
      <c r="BZY955" s="252"/>
      <c r="BZZ955" s="252"/>
      <c r="CAA955" s="252"/>
      <c r="CAB955" s="252"/>
      <c r="CAC955" s="252"/>
      <c r="CAD955" s="252"/>
      <c r="CAE955" s="252"/>
      <c r="CAF955" s="252"/>
      <c r="CAG955" s="252"/>
      <c r="CAH955" s="252"/>
      <c r="CAI955" s="252"/>
      <c r="CAJ955" s="252"/>
      <c r="CAK955" s="252"/>
      <c r="CAL955" s="252"/>
      <c r="CAM955" s="252"/>
      <c r="CAN955" s="252"/>
      <c r="CAO955" s="252"/>
      <c r="CAP955" s="252"/>
      <c r="CAQ955" s="252"/>
      <c r="CAR955" s="252"/>
      <c r="CAS955" s="252"/>
      <c r="CAT955" s="252"/>
      <c r="CAU955" s="252"/>
      <c r="CAV955" s="252"/>
      <c r="CAW955" s="252"/>
      <c r="CAX955" s="252"/>
      <c r="CAY955" s="252"/>
      <c r="CAZ955" s="252"/>
      <c r="CBA955" s="252"/>
      <c r="CBB955" s="252"/>
      <c r="CBC955" s="252"/>
      <c r="CBD955" s="252"/>
      <c r="CBE955" s="252"/>
      <c r="CBF955" s="252"/>
      <c r="CBG955" s="252"/>
      <c r="CBH955" s="252"/>
      <c r="CBI955" s="252"/>
      <c r="CBJ955" s="252"/>
      <c r="CBK955" s="252"/>
      <c r="CBL955" s="252"/>
      <c r="CBM955" s="252"/>
      <c r="CBN955" s="252"/>
      <c r="CBO955" s="252"/>
      <c r="CBP955" s="252"/>
      <c r="CBQ955" s="252"/>
      <c r="CBR955" s="252"/>
      <c r="CBS955" s="252"/>
      <c r="CBT955" s="252"/>
      <c r="CBU955" s="252"/>
      <c r="CBV955" s="252"/>
      <c r="CBW955" s="252"/>
      <c r="CBX955" s="252"/>
      <c r="CBY955" s="252"/>
      <c r="CBZ955" s="252"/>
      <c r="CCA955" s="252"/>
      <c r="CCB955" s="252"/>
      <c r="CCC955" s="252"/>
      <c r="CCD955" s="252"/>
      <c r="CCE955" s="252"/>
      <c r="CCF955" s="252"/>
      <c r="CCG955" s="252"/>
      <c r="CCH955" s="252"/>
      <c r="CCI955" s="252"/>
      <c r="CCJ955" s="252"/>
      <c r="CCK955" s="252"/>
      <c r="CCL955" s="252"/>
      <c r="CCM955" s="252"/>
      <c r="CCN955" s="252"/>
      <c r="CCO955" s="252"/>
      <c r="CCP955" s="252"/>
      <c r="CCQ955" s="252"/>
      <c r="CCR955" s="252"/>
      <c r="CCS955" s="252"/>
      <c r="CCT955" s="252"/>
      <c r="CCU955" s="252"/>
      <c r="CCV955" s="252"/>
      <c r="CCW955" s="252"/>
      <c r="CCX955" s="252"/>
      <c r="CCY955" s="252"/>
      <c r="CCZ955" s="252"/>
      <c r="CDA955" s="252"/>
      <c r="CDB955" s="252"/>
      <c r="CDC955" s="252"/>
      <c r="CDD955" s="252"/>
      <c r="CDE955" s="252"/>
      <c r="CDF955" s="252"/>
      <c r="CDG955" s="252"/>
      <c r="CDH955" s="252"/>
      <c r="CDI955" s="252"/>
      <c r="CDJ955" s="252"/>
      <c r="CDK955" s="252"/>
      <c r="CDL955" s="252"/>
      <c r="CDM955" s="252"/>
      <c r="CDN955" s="252"/>
      <c r="CDO955" s="252"/>
      <c r="CDP955" s="252"/>
      <c r="CDQ955" s="252"/>
      <c r="CDR955" s="252"/>
      <c r="CDS955" s="252"/>
      <c r="CDT955" s="252"/>
      <c r="CDU955" s="252"/>
      <c r="CDV955" s="252"/>
      <c r="CDW955" s="252"/>
      <c r="CDX955" s="252"/>
      <c r="CDY955" s="252"/>
      <c r="CDZ955" s="252"/>
      <c r="CEA955" s="252"/>
      <c r="CEB955" s="252"/>
      <c r="CEC955" s="252"/>
      <c r="CED955" s="252"/>
      <c r="CEE955" s="252"/>
      <c r="CEF955" s="252"/>
      <c r="CEG955" s="252"/>
      <c r="CEH955" s="252"/>
      <c r="CEI955" s="252"/>
      <c r="CEJ955" s="252"/>
      <c r="CEK955" s="252"/>
      <c r="CEL955" s="252"/>
      <c r="CEM955" s="252"/>
      <c r="CEN955" s="252"/>
      <c r="CEO955" s="252"/>
      <c r="CEP955" s="252"/>
      <c r="CEQ955" s="252"/>
      <c r="CER955" s="252"/>
      <c r="CES955" s="252"/>
      <c r="CET955" s="252"/>
      <c r="CEU955" s="252"/>
      <c r="CEV955" s="252"/>
      <c r="CEW955" s="252"/>
      <c r="CEX955" s="252"/>
      <c r="CEY955" s="252"/>
      <c r="CEZ955" s="252"/>
      <c r="CFA955" s="252"/>
      <c r="CFB955" s="252"/>
      <c r="CFC955" s="252"/>
      <c r="CFD955" s="252"/>
      <c r="CFE955" s="252"/>
      <c r="CFF955" s="252"/>
      <c r="CFG955" s="252"/>
      <c r="CFH955" s="252"/>
      <c r="CFI955" s="252"/>
      <c r="CFJ955" s="252"/>
      <c r="CFK955" s="252"/>
      <c r="CFL955" s="252"/>
      <c r="CFM955" s="252"/>
      <c r="CFN955" s="252"/>
      <c r="CFO955" s="252"/>
      <c r="CFP955" s="252"/>
      <c r="CFQ955" s="252"/>
      <c r="CFR955" s="252"/>
      <c r="CFS955" s="252"/>
      <c r="CFT955" s="252"/>
      <c r="CFU955" s="252"/>
      <c r="CFV955" s="252"/>
      <c r="CFW955" s="252"/>
      <c r="CFX955" s="252"/>
      <c r="CFY955" s="252"/>
      <c r="CFZ955" s="252"/>
      <c r="CGA955" s="252"/>
      <c r="CGB955" s="252"/>
      <c r="CGC955" s="252"/>
      <c r="CGD955" s="252"/>
      <c r="CGE955" s="252"/>
      <c r="CGF955" s="252"/>
      <c r="CGG955" s="252"/>
      <c r="CGH955" s="252"/>
      <c r="CGI955" s="252"/>
      <c r="CGJ955" s="252"/>
      <c r="CGK955" s="252"/>
      <c r="CGL955" s="252"/>
      <c r="CGM955" s="252"/>
      <c r="CGN955" s="252"/>
      <c r="CGO955" s="252"/>
      <c r="CGP955" s="252"/>
      <c r="CGQ955" s="252"/>
      <c r="CGR955" s="252"/>
      <c r="CGS955" s="252"/>
      <c r="CGT955" s="252"/>
      <c r="CGU955" s="252"/>
      <c r="CGV955" s="252"/>
      <c r="CGW955" s="252"/>
      <c r="CGX955" s="252"/>
      <c r="CGY955" s="252"/>
      <c r="CGZ955" s="252"/>
      <c r="CHA955" s="252"/>
      <c r="CHB955" s="252"/>
      <c r="CHC955" s="252"/>
      <c r="CHD955" s="252"/>
      <c r="CHE955" s="252"/>
      <c r="CHF955" s="252"/>
      <c r="CHG955" s="252"/>
      <c r="CHH955" s="252"/>
      <c r="CHI955" s="252"/>
      <c r="CHJ955" s="252"/>
      <c r="CHK955" s="252"/>
      <c r="CHL955" s="252"/>
      <c r="CHM955" s="252"/>
      <c r="CHN955" s="252"/>
      <c r="CHO955" s="252"/>
      <c r="CHP955" s="252"/>
      <c r="CHQ955" s="252"/>
      <c r="CHR955" s="252"/>
      <c r="CHS955" s="252"/>
      <c r="CHT955" s="252"/>
      <c r="CHU955" s="252"/>
      <c r="CHV955" s="252"/>
      <c r="CHW955" s="252"/>
      <c r="CHX955" s="252"/>
      <c r="CHY955" s="252"/>
      <c r="CHZ955" s="252"/>
      <c r="CIA955" s="252"/>
      <c r="CIB955" s="252"/>
      <c r="CIC955" s="252"/>
      <c r="CID955" s="252"/>
      <c r="CIE955" s="252"/>
      <c r="CIF955" s="252"/>
      <c r="CIG955" s="252"/>
      <c r="CIH955" s="252"/>
      <c r="CII955" s="252"/>
      <c r="CIJ955" s="252"/>
      <c r="CIK955" s="252"/>
      <c r="CIL955" s="252"/>
      <c r="CIM955" s="252"/>
      <c r="CIN955" s="252"/>
      <c r="CIO955" s="252"/>
      <c r="CIP955" s="252"/>
      <c r="CIQ955" s="252"/>
      <c r="CIR955" s="252"/>
      <c r="CIS955" s="252"/>
      <c r="CIT955" s="252"/>
      <c r="CIU955" s="252"/>
      <c r="CIV955" s="252"/>
      <c r="CIW955" s="252"/>
      <c r="CIX955" s="252"/>
      <c r="CIY955" s="252"/>
      <c r="CIZ955" s="252"/>
      <c r="CJA955" s="252"/>
      <c r="CJB955" s="252"/>
      <c r="CJC955" s="252"/>
      <c r="CJD955" s="252"/>
      <c r="CJE955" s="252"/>
      <c r="CJF955" s="252"/>
      <c r="CJG955" s="252"/>
      <c r="CJH955" s="252"/>
      <c r="CJI955" s="252"/>
      <c r="CJJ955" s="252"/>
      <c r="CJK955" s="252"/>
      <c r="CJL955" s="252"/>
      <c r="CJM955" s="252"/>
      <c r="CJN955" s="252"/>
      <c r="CJO955" s="252"/>
      <c r="CJP955" s="252"/>
      <c r="CJQ955" s="252"/>
      <c r="CJR955" s="252"/>
      <c r="CJS955" s="252"/>
      <c r="CJT955" s="252"/>
      <c r="CJU955" s="252"/>
      <c r="CJV955" s="252"/>
      <c r="CJW955" s="252"/>
      <c r="CJX955" s="252"/>
      <c r="CJY955" s="252"/>
      <c r="CJZ955" s="252"/>
      <c r="CKA955" s="252"/>
      <c r="CKB955" s="252"/>
      <c r="CKC955" s="252"/>
      <c r="CKD955" s="252"/>
      <c r="CKE955" s="252"/>
      <c r="CKF955" s="252"/>
      <c r="CKG955" s="252"/>
      <c r="CKH955" s="252"/>
      <c r="CKI955" s="252"/>
      <c r="CKJ955" s="252"/>
      <c r="CKK955" s="252"/>
      <c r="CKL955" s="252"/>
      <c r="CKM955" s="252"/>
      <c r="CKN955" s="252"/>
      <c r="CKO955" s="252"/>
      <c r="CKP955" s="252"/>
      <c r="CKQ955" s="252"/>
      <c r="CKR955" s="252"/>
      <c r="CKS955" s="252"/>
      <c r="CKT955" s="252"/>
      <c r="CKU955" s="252"/>
      <c r="CKV955" s="252"/>
      <c r="CKW955" s="252"/>
      <c r="CKX955" s="252"/>
      <c r="CKY955" s="252"/>
      <c r="CKZ955" s="252"/>
      <c r="CLA955" s="252"/>
      <c r="CLB955" s="252"/>
      <c r="CLC955" s="252"/>
      <c r="CLD955" s="252"/>
      <c r="CLE955" s="252"/>
      <c r="CLF955" s="252"/>
      <c r="CLG955" s="252"/>
      <c r="CLH955" s="252"/>
      <c r="CLI955" s="252"/>
      <c r="CLJ955" s="252"/>
      <c r="CLK955" s="252"/>
      <c r="CLL955" s="252"/>
      <c r="CLM955" s="252"/>
      <c r="CLN955" s="252"/>
      <c r="CLO955" s="252"/>
      <c r="CLP955" s="252"/>
      <c r="CLQ955" s="252"/>
      <c r="CLR955" s="252"/>
      <c r="CLS955" s="252"/>
      <c r="CLT955" s="252"/>
      <c r="CLU955" s="252"/>
      <c r="CLV955" s="252"/>
      <c r="CLW955" s="252"/>
      <c r="CLX955" s="252"/>
      <c r="CLY955" s="252"/>
      <c r="CLZ955" s="252"/>
      <c r="CMA955" s="252"/>
      <c r="CMB955" s="252"/>
      <c r="CMC955" s="252"/>
      <c r="CMD955" s="252"/>
      <c r="CME955" s="252"/>
      <c r="CMF955" s="252"/>
      <c r="CMG955" s="252"/>
      <c r="CMH955" s="252"/>
      <c r="CMI955" s="252"/>
      <c r="CMJ955" s="252"/>
      <c r="CMK955" s="252"/>
      <c r="CML955" s="252"/>
      <c r="CMM955" s="252"/>
      <c r="CMN955" s="252"/>
      <c r="CMO955" s="252"/>
      <c r="CMP955" s="252"/>
      <c r="CMQ955" s="252"/>
      <c r="CMR955" s="252"/>
      <c r="CMS955" s="252"/>
      <c r="CMT955" s="252"/>
      <c r="CMU955" s="252"/>
      <c r="CMV955" s="252"/>
      <c r="CMW955" s="252"/>
      <c r="CMX955" s="252"/>
      <c r="CMY955" s="252"/>
      <c r="CMZ955" s="252"/>
      <c r="CNA955" s="252"/>
      <c r="CNB955" s="252"/>
      <c r="CNC955" s="252"/>
      <c r="CND955" s="252"/>
      <c r="CNE955" s="252"/>
      <c r="CNF955" s="252"/>
      <c r="CNG955" s="252"/>
      <c r="CNH955" s="252"/>
      <c r="CNI955" s="252"/>
      <c r="CNJ955" s="252"/>
      <c r="CNK955" s="252"/>
      <c r="CNL955" s="252"/>
      <c r="CNM955" s="252"/>
      <c r="CNN955" s="252"/>
      <c r="CNO955" s="252"/>
      <c r="CNP955" s="252"/>
      <c r="CNQ955" s="252"/>
      <c r="CNR955" s="252"/>
      <c r="CNS955" s="252"/>
      <c r="CNT955" s="252"/>
      <c r="CNU955" s="252"/>
      <c r="CNV955" s="252"/>
      <c r="CNW955" s="252"/>
      <c r="CNX955" s="252"/>
      <c r="CNY955" s="252"/>
      <c r="CNZ955" s="252"/>
      <c r="COA955" s="252"/>
      <c r="COB955" s="252"/>
      <c r="COC955" s="252"/>
      <c r="COD955" s="252"/>
      <c r="COE955" s="252"/>
      <c r="COF955" s="252"/>
      <c r="COG955" s="252"/>
      <c r="COH955" s="252"/>
      <c r="COI955" s="252"/>
      <c r="COJ955" s="252"/>
      <c r="COK955" s="252"/>
      <c r="COL955" s="252"/>
      <c r="COM955" s="252"/>
      <c r="CON955" s="252"/>
      <c r="COO955" s="252"/>
      <c r="COP955" s="252"/>
      <c r="COQ955" s="252"/>
      <c r="COR955" s="252"/>
      <c r="COS955" s="252"/>
      <c r="COT955" s="252"/>
      <c r="COU955" s="252"/>
      <c r="COV955" s="252"/>
      <c r="COW955" s="252"/>
      <c r="COX955" s="252"/>
      <c r="COY955" s="252"/>
      <c r="COZ955" s="252"/>
      <c r="CPA955" s="252"/>
      <c r="CPB955" s="252"/>
      <c r="CPC955" s="252"/>
      <c r="CPD955" s="252"/>
      <c r="CPE955" s="252"/>
      <c r="CPF955" s="252"/>
      <c r="CPG955" s="252"/>
      <c r="CPH955" s="252"/>
      <c r="CPI955" s="252"/>
      <c r="CPJ955" s="252"/>
      <c r="CPK955" s="252"/>
      <c r="CPL955" s="252"/>
      <c r="CPM955" s="252"/>
      <c r="CPN955" s="252"/>
      <c r="CPO955" s="252"/>
      <c r="CPP955" s="252"/>
      <c r="CPQ955" s="252"/>
      <c r="CPR955" s="252"/>
      <c r="CPS955" s="252"/>
      <c r="CPT955" s="252"/>
      <c r="CPU955" s="252"/>
      <c r="CPV955" s="252"/>
      <c r="CPW955" s="252"/>
      <c r="CPX955" s="252"/>
      <c r="CPY955" s="252"/>
      <c r="CPZ955" s="252"/>
      <c r="CQA955" s="252"/>
      <c r="CQB955" s="252"/>
      <c r="CQC955" s="252"/>
      <c r="CQD955" s="252"/>
      <c r="CQE955" s="252"/>
      <c r="CQF955" s="252"/>
      <c r="CQG955" s="252"/>
      <c r="CQH955" s="252"/>
      <c r="CQI955" s="252"/>
      <c r="CQJ955" s="252"/>
      <c r="CQK955" s="252"/>
      <c r="CQL955" s="252"/>
      <c r="CQM955" s="252"/>
      <c r="CQN955" s="252"/>
      <c r="CQO955" s="252"/>
      <c r="CQP955" s="252"/>
      <c r="CQQ955" s="252"/>
      <c r="CQR955" s="252"/>
      <c r="CQS955" s="252"/>
      <c r="CQT955" s="252"/>
      <c r="CQU955" s="252"/>
      <c r="CQV955" s="252"/>
      <c r="CQW955" s="252"/>
      <c r="CQX955" s="252"/>
      <c r="CQY955" s="252"/>
      <c r="CQZ955" s="252"/>
      <c r="CRA955" s="252"/>
      <c r="CRB955" s="252"/>
      <c r="CRC955" s="252"/>
      <c r="CRD955" s="252"/>
      <c r="CRE955" s="252"/>
      <c r="CRF955" s="252"/>
      <c r="CRG955" s="252"/>
      <c r="CRH955" s="252"/>
      <c r="CRI955" s="252"/>
      <c r="CRJ955" s="252"/>
      <c r="CRK955" s="252"/>
      <c r="CRL955" s="252"/>
      <c r="CRM955" s="252"/>
      <c r="CRN955" s="252"/>
      <c r="CRO955" s="252"/>
      <c r="CRP955" s="252"/>
      <c r="CRQ955" s="252"/>
      <c r="CRR955" s="252"/>
      <c r="CRS955" s="252"/>
      <c r="CRT955" s="252"/>
      <c r="CRU955" s="252"/>
      <c r="CRV955" s="252"/>
      <c r="CRW955" s="252"/>
      <c r="CRX955" s="252"/>
      <c r="CRY955" s="252"/>
      <c r="CRZ955" s="252"/>
      <c r="CSA955" s="252"/>
      <c r="CSB955" s="252"/>
      <c r="CSC955" s="252"/>
      <c r="CSD955" s="252"/>
      <c r="CSE955" s="252"/>
      <c r="CSF955" s="252"/>
      <c r="CSG955" s="252"/>
      <c r="CSH955" s="252"/>
      <c r="CSI955" s="252"/>
      <c r="CSJ955" s="252"/>
      <c r="CSK955" s="252"/>
      <c r="CSL955" s="252"/>
      <c r="CSM955" s="252"/>
      <c r="CSN955" s="252"/>
      <c r="CSO955" s="252"/>
      <c r="CSP955" s="252"/>
      <c r="CSQ955" s="252"/>
      <c r="CSR955" s="252"/>
      <c r="CSS955" s="252"/>
      <c r="CST955" s="252"/>
      <c r="CSU955" s="252"/>
      <c r="CSV955" s="252"/>
      <c r="CSW955" s="252"/>
      <c r="CSX955" s="252"/>
      <c r="CSY955" s="252"/>
      <c r="CSZ955" s="252"/>
      <c r="CTA955" s="252"/>
      <c r="CTB955" s="252"/>
      <c r="CTC955" s="252"/>
      <c r="CTD955" s="252"/>
      <c r="CTE955" s="252"/>
      <c r="CTF955" s="252"/>
      <c r="CTG955" s="252"/>
      <c r="CTH955" s="252"/>
      <c r="CTI955" s="252"/>
      <c r="CTJ955" s="252"/>
      <c r="CTK955" s="252"/>
      <c r="CTL955" s="252"/>
      <c r="CTM955" s="252"/>
      <c r="CTN955" s="252"/>
      <c r="CTO955" s="252"/>
      <c r="CTP955" s="252"/>
      <c r="CTQ955" s="252"/>
      <c r="CTR955" s="252"/>
      <c r="CTS955" s="252"/>
      <c r="CTT955" s="252"/>
      <c r="CTU955" s="252"/>
      <c r="CTV955" s="252"/>
      <c r="CTW955" s="252"/>
      <c r="CTX955" s="252"/>
      <c r="CTY955" s="252"/>
      <c r="CTZ955" s="252"/>
      <c r="CUA955" s="252"/>
      <c r="CUB955" s="252"/>
      <c r="CUC955" s="252"/>
      <c r="CUD955" s="252"/>
      <c r="CUE955" s="252"/>
      <c r="CUF955" s="252"/>
      <c r="CUG955" s="252"/>
      <c r="CUH955" s="252"/>
      <c r="CUI955" s="252"/>
      <c r="CUJ955" s="252"/>
      <c r="CUK955" s="252"/>
      <c r="CUL955" s="252"/>
      <c r="CUM955" s="252"/>
      <c r="CUN955" s="252"/>
      <c r="CUO955" s="252"/>
      <c r="CUP955" s="252"/>
      <c r="CUQ955" s="252"/>
      <c r="CUR955" s="252"/>
      <c r="CUS955" s="252"/>
      <c r="CUT955" s="252"/>
      <c r="CUU955" s="252"/>
      <c r="CUV955" s="252"/>
      <c r="CUW955" s="252"/>
      <c r="CUX955" s="252"/>
      <c r="CUY955" s="252"/>
      <c r="CUZ955" s="252"/>
      <c r="CVA955" s="252"/>
      <c r="CVB955" s="252"/>
      <c r="CVC955" s="252"/>
      <c r="CVD955" s="252"/>
      <c r="CVE955" s="252"/>
      <c r="CVF955" s="252"/>
      <c r="CVG955" s="252"/>
      <c r="CVH955" s="252"/>
      <c r="CVI955" s="252"/>
      <c r="CVJ955" s="252"/>
      <c r="CVK955" s="252"/>
      <c r="CVL955" s="252"/>
      <c r="CVM955" s="252"/>
      <c r="CVN955" s="252"/>
      <c r="CVO955" s="252"/>
      <c r="CVP955" s="252"/>
      <c r="CVQ955" s="252"/>
      <c r="CVR955" s="252"/>
      <c r="CVS955" s="252"/>
      <c r="CVT955" s="252"/>
      <c r="CVU955" s="252"/>
      <c r="CVV955" s="252"/>
      <c r="CVW955" s="252"/>
      <c r="CVX955" s="252"/>
      <c r="CVY955" s="252"/>
      <c r="CVZ955" s="252"/>
      <c r="CWA955" s="252"/>
      <c r="CWB955" s="252"/>
      <c r="CWC955" s="252"/>
      <c r="CWD955" s="252"/>
      <c r="CWE955" s="252"/>
      <c r="CWF955" s="252"/>
      <c r="CWG955" s="252"/>
      <c r="CWH955" s="252"/>
      <c r="CWI955" s="252"/>
      <c r="CWJ955" s="252"/>
      <c r="CWK955" s="252"/>
      <c r="CWL955" s="252"/>
      <c r="CWM955" s="252"/>
      <c r="CWN955" s="252"/>
      <c r="CWO955" s="252"/>
      <c r="CWP955" s="252"/>
      <c r="CWQ955" s="252"/>
      <c r="CWR955" s="252"/>
      <c r="CWS955" s="252"/>
      <c r="CWT955" s="252"/>
      <c r="CWU955" s="252"/>
      <c r="CWV955" s="252"/>
      <c r="CWW955" s="252"/>
      <c r="CWX955" s="252"/>
      <c r="CWY955" s="252"/>
      <c r="CWZ955" s="252"/>
      <c r="CXA955" s="252"/>
      <c r="CXB955" s="252"/>
      <c r="CXC955" s="252"/>
      <c r="CXD955" s="252"/>
      <c r="CXE955" s="252"/>
      <c r="CXF955" s="252"/>
      <c r="CXG955" s="252"/>
      <c r="CXH955" s="252"/>
      <c r="CXI955" s="252"/>
      <c r="CXJ955" s="252"/>
      <c r="CXK955" s="252"/>
      <c r="CXL955" s="252"/>
      <c r="CXM955" s="252"/>
      <c r="CXN955" s="252"/>
      <c r="CXO955" s="252"/>
      <c r="CXP955" s="252"/>
      <c r="CXQ955" s="252"/>
      <c r="CXR955" s="252"/>
      <c r="CXS955" s="252"/>
      <c r="CXT955" s="252"/>
      <c r="CXU955" s="252"/>
      <c r="CXV955" s="252"/>
      <c r="CXW955" s="252"/>
      <c r="CXX955" s="252"/>
      <c r="CXY955" s="252"/>
      <c r="CXZ955" s="252"/>
      <c r="CYA955" s="252"/>
      <c r="CYB955" s="252"/>
      <c r="CYC955" s="252"/>
      <c r="CYD955" s="252"/>
      <c r="CYE955" s="252"/>
      <c r="CYF955" s="252"/>
      <c r="CYG955" s="252"/>
      <c r="CYH955" s="252"/>
      <c r="CYI955" s="252"/>
      <c r="CYJ955" s="252"/>
      <c r="CYK955" s="252"/>
      <c r="CYL955" s="252"/>
      <c r="CYM955" s="252"/>
      <c r="CYN955" s="252"/>
      <c r="CYO955" s="252"/>
      <c r="CYP955" s="252"/>
      <c r="CYQ955" s="252"/>
      <c r="CYR955" s="252"/>
      <c r="CYS955" s="252"/>
      <c r="CYT955" s="252"/>
      <c r="CYU955" s="252"/>
      <c r="CYV955" s="252"/>
      <c r="CYW955" s="252"/>
      <c r="CYX955" s="252"/>
      <c r="CYY955" s="252"/>
      <c r="CYZ955" s="252"/>
      <c r="CZA955" s="252"/>
      <c r="CZB955" s="252"/>
      <c r="CZC955" s="252"/>
      <c r="CZD955" s="252"/>
      <c r="CZE955" s="252"/>
      <c r="CZF955" s="252"/>
      <c r="CZG955" s="252"/>
      <c r="CZH955" s="252"/>
      <c r="CZI955" s="252"/>
      <c r="CZJ955" s="252"/>
      <c r="CZK955" s="252"/>
      <c r="CZL955" s="252"/>
      <c r="CZM955" s="252"/>
      <c r="CZN955" s="252"/>
      <c r="CZO955" s="252"/>
      <c r="CZP955" s="252"/>
      <c r="CZQ955" s="252"/>
      <c r="CZR955" s="252"/>
      <c r="CZS955" s="252"/>
      <c r="CZT955" s="252"/>
      <c r="CZU955" s="252"/>
      <c r="CZV955" s="252"/>
      <c r="CZW955" s="252"/>
      <c r="CZX955" s="252"/>
      <c r="CZY955" s="252"/>
      <c r="CZZ955" s="252"/>
      <c r="DAA955" s="252"/>
      <c r="DAB955" s="252"/>
      <c r="DAC955" s="252"/>
      <c r="DAD955" s="252"/>
      <c r="DAE955" s="252"/>
      <c r="DAF955" s="252"/>
      <c r="DAG955" s="252"/>
      <c r="DAH955" s="252"/>
      <c r="DAI955" s="252"/>
      <c r="DAJ955" s="252"/>
      <c r="DAK955" s="252"/>
      <c r="DAL955" s="252"/>
      <c r="DAM955" s="252"/>
      <c r="DAN955" s="252"/>
      <c r="DAO955" s="252"/>
      <c r="DAP955" s="252"/>
      <c r="DAQ955" s="252"/>
      <c r="DAR955" s="252"/>
      <c r="DAS955" s="252"/>
      <c r="DAT955" s="252"/>
      <c r="DAU955" s="252"/>
      <c r="DAV955" s="252"/>
      <c r="DAW955" s="252"/>
      <c r="DAX955" s="252"/>
      <c r="DAY955" s="252"/>
      <c r="DAZ955" s="252"/>
      <c r="DBA955" s="252"/>
      <c r="DBB955" s="252"/>
      <c r="DBC955" s="252"/>
      <c r="DBD955" s="252"/>
      <c r="DBE955" s="252"/>
      <c r="DBF955" s="252"/>
      <c r="DBG955" s="252"/>
      <c r="DBH955" s="252"/>
      <c r="DBI955" s="252"/>
      <c r="DBJ955" s="252"/>
      <c r="DBK955" s="252"/>
      <c r="DBL955" s="252"/>
      <c r="DBM955" s="252"/>
      <c r="DBN955" s="252"/>
      <c r="DBO955" s="252"/>
      <c r="DBP955" s="252"/>
      <c r="DBQ955" s="252"/>
      <c r="DBR955" s="252"/>
      <c r="DBS955" s="252"/>
      <c r="DBT955" s="252"/>
      <c r="DBU955" s="252"/>
      <c r="DBV955" s="252"/>
      <c r="DBW955" s="252"/>
      <c r="DBX955" s="252"/>
      <c r="DBY955" s="252"/>
      <c r="DBZ955" s="252"/>
      <c r="DCA955" s="252"/>
      <c r="DCB955" s="252"/>
      <c r="DCC955" s="252"/>
      <c r="DCD955" s="252"/>
      <c r="DCE955" s="252"/>
      <c r="DCF955" s="252"/>
      <c r="DCG955" s="252"/>
      <c r="DCH955" s="252"/>
      <c r="DCI955" s="252"/>
      <c r="DCJ955" s="252"/>
      <c r="DCK955" s="252"/>
      <c r="DCL955" s="252"/>
      <c r="DCM955" s="252"/>
      <c r="DCN955" s="252"/>
      <c r="DCO955" s="252"/>
      <c r="DCP955" s="252"/>
      <c r="DCQ955" s="252"/>
      <c r="DCR955" s="252"/>
      <c r="DCS955" s="252"/>
      <c r="DCT955" s="252"/>
      <c r="DCU955" s="252"/>
      <c r="DCV955" s="252"/>
      <c r="DCW955" s="252"/>
      <c r="DCX955" s="252"/>
      <c r="DCY955" s="252"/>
      <c r="DCZ955" s="252"/>
      <c r="DDA955" s="252"/>
      <c r="DDB955" s="252"/>
      <c r="DDC955" s="252"/>
      <c r="DDD955" s="252"/>
      <c r="DDE955" s="252"/>
      <c r="DDF955" s="252"/>
      <c r="DDG955" s="252"/>
      <c r="DDH955" s="252"/>
      <c r="DDI955" s="252"/>
      <c r="DDJ955" s="252"/>
      <c r="DDK955" s="252"/>
      <c r="DDL955" s="252"/>
      <c r="DDM955" s="252"/>
      <c r="DDN955" s="252"/>
      <c r="DDO955" s="252"/>
      <c r="DDP955" s="252"/>
      <c r="DDQ955" s="252"/>
      <c r="DDR955" s="252"/>
      <c r="DDS955" s="252"/>
      <c r="DDT955" s="252"/>
      <c r="DDU955" s="252"/>
      <c r="DDV955" s="252"/>
      <c r="DDW955" s="252"/>
      <c r="DDX955" s="252"/>
      <c r="DDY955" s="252"/>
      <c r="DDZ955" s="252"/>
      <c r="DEA955" s="252"/>
      <c r="DEB955" s="252"/>
      <c r="DEC955" s="252"/>
      <c r="DED955" s="252"/>
      <c r="DEE955" s="252"/>
      <c r="DEF955" s="252"/>
      <c r="DEG955" s="252"/>
      <c r="DEH955" s="252"/>
      <c r="DEI955" s="252"/>
      <c r="DEJ955" s="252"/>
      <c r="DEK955" s="252"/>
      <c r="DEL955" s="252"/>
      <c r="DEM955" s="252"/>
      <c r="DEN955" s="252"/>
      <c r="DEO955" s="252"/>
      <c r="DEP955" s="252"/>
      <c r="DEQ955" s="252"/>
      <c r="DER955" s="252"/>
      <c r="DES955" s="252"/>
      <c r="DET955" s="252"/>
      <c r="DEU955" s="252"/>
      <c r="DEV955" s="252"/>
      <c r="DEW955" s="252"/>
      <c r="DEX955" s="252"/>
      <c r="DEY955" s="252"/>
      <c r="DEZ955" s="252"/>
      <c r="DFA955" s="252"/>
      <c r="DFB955" s="252"/>
      <c r="DFC955" s="252"/>
      <c r="DFD955" s="252"/>
      <c r="DFE955" s="252"/>
      <c r="DFF955" s="252"/>
      <c r="DFG955" s="252"/>
      <c r="DFH955" s="252"/>
      <c r="DFI955" s="252"/>
      <c r="DFJ955" s="252"/>
      <c r="DFK955" s="252"/>
      <c r="DFL955" s="252"/>
      <c r="DFM955" s="252"/>
      <c r="DFN955" s="252"/>
      <c r="DFO955" s="252"/>
      <c r="DFP955" s="252"/>
      <c r="DFQ955" s="252"/>
      <c r="DFR955" s="252"/>
      <c r="DFS955" s="252"/>
      <c r="DFT955" s="252"/>
      <c r="DFU955" s="252"/>
      <c r="DFV955" s="252"/>
      <c r="DFW955" s="252"/>
      <c r="DFX955" s="252"/>
      <c r="DFY955" s="252"/>
      <c r="DFZ955" s="252"/>
      <c r="DGA955" s="252"/>
      <c r="DGB955" s="252"/>
      <c r="DGC955" s="252"/>
      <c r="DGD955" s="252"/>
      <c r="DGE955" s="252"/>
      <c r="DGF955" s="252"/>
      <c r="DGG955" s="252"/>
      <c r="DGH955" s="252"/>
      <c r="DGI955" s="252"/>
      <c r="DGJ955" s="252"/>
      <c r="DGK955" s="252"/>
      <c r="DGL955" s="252"/>
      <c r="DGM955" s="252"/>
      <c r="DGN955" s="252"/>
      <c r="DGO955" s="252"/>
      <c r="DGP955" s="252"/>
      <c r="DGQ955" s="252"/>
      <c r="DGR955" s="252"/>
      <c r="DGS955" s="252"/>
      <c r="DGT955" s="252"/>
      <c r="DGU955" s="252"/>
      <c r="DGV955" s="252"/>
      <c r="DGW955" s="252"/>
      <c r="DGX955" s="252"/>
      <c r="DGY955" s="252"/>
      <c r="DGZ955" s="252"/>
      <c r="DHA955" s="252"/>
      <c r="DHB955" s="252"/>
      <c r="DHC955" s="252"/>
      <c r="DHD955" s="252"/>
      <c r="DHE955" s="252"/>
      <c r="DHF955" s="252"/>
      <c r="DHG955" s="252"/>
      <c r="DHH955" s="252"/>
      <c r="DHI955" s="252"/>
      <c r="DHJ955" s="252"/>
      <c r="DHK955" s="252"/>
      <c r="DHL955" s="252"/>
      <c r="DHM955" s="252"/>
      <c r="DHN955" s="252"/>
      <c r="DHO955" s="252"/>
      <c r="DHP955" s="252"/>
      <c r="DHQ955" s="252"/>
      <c r="DHR955" s="252"/>
      <c r="DHS955" s="252"/>
      <c r="DHT955" s="252"/>
      <c r="DHU955" s="252"/>
      <c r="DHV955" s="252"/>
      <c r="DHW955" s="252"/>
      <c r="DHX955" s="252"/>
      <c r="DHY955" s="252"/>
      <c r="DHZ955" s="252"/>
      <c r="DIA955" s="252"/>
      <c r="DIB955" s="252"/>
      <c r="DIC955" s="252"/>
      <c r="DID955" s="252"/>
      <c r="DIE955" s="252"/>
      <c r="DIF955" s="252"/>
      <c r="DIG955" s="252"/>
      <c r="DIH955" s="252"/>
      <c r="DII955" s="252"/>
      <c r="DIJ955" s="252"/>
      <c r="DIK955" s="252"/>
      <c r="DIL955" s="252"/>
      <c r="DIM955" s="252"/>
      <c r="DIN955" s="252"/>
      <c r="DIO955" s="252"/>
      <c r="DIP955" s="252"/>
      <c r="DIQ955" s="252"/>
      <c r="DIR955" s="252"/>
      <c r="DIS955" s="252"/>
      <c r="DIT955" s="252"/>
      <c r="DIU955" s="252"/>
      <c r="DIV955" s="252"/>
      <c r="DIW955" s="252"/>
      <c r="DIX955" s="252"/>
      <c r="DIY955" s="252"/>
      <c r="DIZ955" s="252"/>
      <c r="DJA955" s="252"/>
      <c r="DJB955" s="252"/>
      <c r="DJC955" s="252"/>
      <c r="DJD955" s="252"/>
      <c r="DJE955" s="252"/>
      <c r="DJF955" s="252"/>
      <c r="DJG955" s="252"/>
      <c r="DJH955" s="252"/>
      <c r="DJI955" s="252"/>
      <c r="DJJ955" s="252"/>
      <c r="DJK955" s="252"/>
      <c r="DJL955" s="252"/>
      <c r="DJM955" s="252"/>
      <c r="DJN955" s="252"/>
      <c r="DJO955" s="252"/>
      <c r="DJP955" s="252"/>
      <c r="DJQ955" s="252"/>
      <c r="DJR955" s="252"/>
      <c r="DJS955" s="252"/>
      <c r="DJT955" s="252"/>
      <c r="DJU955" s="252"/>
      <c r="DJV955" s="252"/>
      <c r="DJW955" s="252"/>
      <c r="DJX955" s="252"/>
      <c r="DJY955" s="252"/>
      <c r="DJZ955" s="252"/>
      <c r="DKA955" s="252"/>
      <c r="DKB955" s="252"/>
      <c r="DKC955" s="252"/>
      <c r="DKD955" s="252"/>
      <c r="DKE955" s="252"/>
      <c r="DKF955" s="252"/>
      <c r="DKG955" s="252"/>
      <c r="DKH955" s="252"/>
      <c r="DKI955" s="252"/>
      <c r="DKJ955" s="252"/>
      <c r="DKK955" s="252"/>
      <c r="DKL955" s="252"/>
      <c r="DKM955" s="252"/>
      <c r="DKN955" s="252"/>
      <c r="DKO955" s="252"/>
      <c r="DKP955" s="252"/>
      <c r="DKQ955" s="252"/>
      <c r="DKR955" s="252"/>
      <c r="DKS955" s="252"/>
      <c r="DKT955" s="252"/>
      <c r="DKU955" s="252"/>
      <c r="DKV955" s="252"/>
      <c r="DKW955" s="252"/>
      <c r="DKX955" s="252"/>
      <c r="DKY955" s="252"/>
      <c r="DKZ955" s="252"/>
      <c r="DLA955" s="252"/>
      <c r="DLB955" s="252"/>
      <c r="DLC955" s="252"/>
      <c r="DLD955" s="252"/>
      <c r="DLE955" s="252"/>
      <c r="DLF955" s="252"/>
      <c r="DLG955" s="252"/>
      <c r="DLH955" s="252"/>
      <c r="DLI955" s="252"/>
      <c r="DLJ955" s="252"/>
      <c r="DLK955" s="252"/>
      <c r="DLL955" s="252"/>
      <c r="DLM955" s="252"/>
      <c r="DLN955" s="252"/>
      <c r="DLO955" s="252"/>
      <c r="DLP955" s="252"/>
      <c r="DLQ955" s="252"/>
      <c r="DLR955" s="252"/>
      <c r="DLS955" s="252"/>
      <c r="DLT955" s="252"/>
      <c r="DLU955" s="252"/>
      <c r="DLV955" s="252"/>
      <c r="DLW955" s="252"/>
      <c r="DLX955" s="252"/>
      <c r="DLY955" s="252"/>
      <c r="DLZ955" s="252"/>
      <c r="DMA955" s="252"/>
      <c r="DMB955" s="252"/>
      <c r="DMC955" s="252"/>
      <c r="DMD955" s="252"/>
      <c r="DME955" s="252"/>
      <c r="DMF955" s="252"/>
      <c r="DMG955" s="252"/>
      <c r="DMH955" s="252"/>
      <c r="DMI955" s="252"/>
      <c r="DMJ955" s="252"/>
      <c r="DMK955" s="252"/>
      <c r="DML955" s="252"/>
      <c r="DMM955" s="252"/>
      <c r="DMN955" s="252"/>
      <c r="DMO955" s="252"/>
      <c r="DMP955" s="252"/>
      <c r="DMQ955" s="252"/>
      <c r="DMR955" s="252"/>
      <c r="DMS955" s="252"/>
      <c r="DMT955" s="252"/>
      <c r="DMU955" s="252"/>
      <c r="DMV955" s="252"/>
      <c r="DMW955" s="252"/>
      <c r="DMX955" s="252"/>
      <c r="DMY955" s="252"/>
      <c r="DMZ955" s="252"/>
      <c r="DNA955" s="252"/>
      <c r="DNB955" s="252"/>
      <c r="DNC955" s="252"/>
      <c r="DND955" s="252"/>
      <c r="DNE955" s="252"/>
      <c r="DNF955" s="252"/>
      <c r="DNG955" s="252"/>
      <c r="DNH955" s="252"/>
      <c r="DNI955" s="252"/>
      <c r="DNJ955" s="252"/>
      <c r="DNK955" s="252"/>
      <c r="DNL955" s="252"/>
      <c r="DNM955" s="252"/>
      <c r="DNN955" s="252"/>
      <c r="DNO955" s="252"/>
      <c r="DNP955" s="252"/>
      <c r="DNQ955" s="252"/>
      <c r="DNR955" s="252"/>
      <c r="DNS955" s="252"/>
      <c r="DNT955" s="252"/>
      <c r="DNU955" s="252"/>
      <c r="DNV955" s="252"/>
      <c r="DNW955" s="252"/>
      <c r="DNX955" s="252"/>
      <c r="DNY955" s="252"/>
      <c r="DNZ955" s="252"/>
      <c r="DOA955" s="252"/>
      <c r="DOB955" s="252"/>
      <c r="DOC955" s="252"/>
      <c r="DOD955" s="252"/>
      <c r="DOE955" s="252"/>
      <c r="DOF955" s="252"/>
      <c r="DOG955" s="252"/>
      <c r="DOH955" s="252"/>
      <c r="DOI955" s="252"/>
      <c r="DOJ955" s="252"/>
      <c r="DOK955" s="252"/>
      <c r="DOL955" s="252"/>
      <c r="DOM955" s="252"/>
      <c r="DON955" s="252"/>
      <c r="DOO955" s="252"/>
      <c r="DOP955" s="252"/>
      <c r="DOQ955" s="252"/>
      <c r="DOR955" s="252"/>
      <c r="DOS955" s="252"/>
      <c r="DOT955" s="252"/>
      <c r="DOU955" s="252"/>
      <c r="DOV955" s="252"/>
      <c r="DOW955" s="252"/>
      <c r="DOX955" s="252"/>
      <c r="DOY955" s="252"/>
      <c r="DOZ955" s="252"/>
      <c r="DPA955" s="252"/>
      <c r="DPB955" s="252"/>
      <c r="DPC955" s="252"/>
      <c r="DPD955" s="252"/>
      <c r="DPE955" s="252"/>
      <c r="DPF955" s="252"/>
      <c r="DPG955" s="252"/>
      <c r="DPH955" s="252"/>
      <c r="DPI955" s="252"/>
      <c r="DPJ955" s="252"/>
      <c r="DPK955" s="252"/>
      <c r="DPL955" s="252"/>
      <c r="DPM955" s="252"/>
      <c r="DPN955" s="252"/>
      <c r="DPO955" s="252"/>
      <c r="DPP955" s="252"/>
      <c r="DPQ955" s="252"/>
      <c r="DPR955" s="252"/>
      <c r="DPS955" s="252"/>
      <c r="DPT955" s="252"/>
      <c r="DPU955" s="252"/>
      <c r="DPV955" s="252"/>
      <c r="DPW955" s="252"/>
      <c r="DPX955" s="252"/>
      <c r="DPY955" s="252"/>
      <c r="DPZ955" s="252"/>
      <c r="DQA955" s="252"/>
      <c r="DQB955" s="252"/>
      <c r="DQC955" s="252"/>
      <c r="DQD955" s="252"/>
      <c r="DQE955" s="252"/>
      <c r="DQF955" s="252"/>
      <c r="DQG955" s="252"/>
      <c r="DQH955" s="252"/>
      <c r="DQI955" s="252"/>
      <c r="DQJ955" s="252"/>
      <c r="DQK955" s="252"/>
      <c r="DQL955" s="252"/>
      <c r="DQM955" s="252"/>
      <c r="DQN955" s="252"/>
      <c r="DQO955" s="252"/>
      <c r="DQP955" s="252"/>
      <c r="DQQ955" s="252"/>
      <c r="DQR955" s="252"/>
      <c r="DQS955" s="252"/>
      <c r="DQT955" s="252"/>
      <c r="DQU955" s="252"/>
      <c r="DQV955" s="252"/>
      <c r="DQW955" s="252"/>
      <c r="DQX955" s="252"/>
      <c r="DQY955" s="252"/>
      <c r="DQZ955" s="252"/>
      <c r="DRA955" s="252"/>
      <c r="DRB955" s="252"/>
      <c r="DRC955" s="252"/>
      <c r="DRD955" s="252"/>
      <c r="DRE955" s="252"/>
      <c r="DRF955" s="252"/>
      <c r="DRG955" s="252"/>
      <c r="DRH955" s="252"/>
      <c r="DRI955" s="252"/>
      <c r="DRJ955" s="252"/>
      <c r="DRK955" s="252"/>
      <c r="DRL955" s="252"/>
      <c r="DRM955" s="252"/>
      <c r="DRN955" s="252"/>
      <c r="DRO955" s="252"/>
      <c r="DRP955" s="252"/>
      <c r="DRQ955" s="252"/>
      <c r="DRR955" s="252"/>
      <c r="DRS955" s="252"/>
      <c r="DRT955" s="252"/>
      <c r="DRU955" s="252"/>
      <c r="DRV955" s="252"/>
      <c r="DRW955" s="252"/>
      <c r="DRX955" s="252"/>
      <c r="DRY955" s="252"/>
      <c r="DRZ955" s="252"/>
      <c r="DSA955" s="252"/>
      <c r="DSB955" s="252"/>
      <c r="DSC955" s="252"/>
      <c r="DSD955" s="252"/>
      <c r="DSE955" s="252"/>
      <c r="DSF955" s="252"/>
      <c r="DSG955" s="252"/>
      <c r="DSH955" s="252"/>
      <c r="DSI955" s="252"/>
      <c r="DSJ955" s="252"/>
      <c r="DSK955" s="252"/>
      <c r="DSL955" s="252"/>
      <c r="DSM955" s="252"/>
      <c r="DSN955" s="252"/>
      <c r="DSO955" s="252"/>
      <c r="DSP955" s="252"/>
      <c r="DSQ955" s="252"/>
      <c r="DSR955" s="252"/>
      <c r="DSS955" s="252"/>
      <c r="DST955" s="252"/>
      <c r="DSU955" s="252"/>
      <c r="DSV955" s="252"/>
      <c r="DSW955" s="252"/>
      <c r="DSX955" s="252"/>
      <c r="DSY955" s="252"/>
      <c r="DSZ955" s="252"/>
      <c r="DTA955" s="252"/>
      <c r="DTB955" s="252"/>
      <c r="DTC955" s="252"/>
      <c r="DTD955" s="252"/>
      <c r="DTE955" s="252"/>
      <c r="DTF955" s="252"/>
      <c r="DTG955" s="252"/>
      <c r="DTH955" s="252"/>
      <c r="DTI955" s="252"/>
      <c r="DTJ955" s="252"/>
      <c r="DTK955" s="252"/>
      <c r="DTL955" s="252"/>
      <c r="DTM955" s="252"/>
      <c r="DTN955" s="252"/>
      <c r="DTO955" s="252"/>
      <c r="DTP955" s="252"/>
      <c r="DTQ955" s="252"/>
      <c r="DTR955" s="252"/>
      <c r="DTS955" s="252"/>
      <c r="DTT955" s="252"/>
      <c r="DTU955" s="252"/>
      <c r="DTV955" s="252"/>
      <c r="DTW955" s="252"/>
      <c r="DTX955" s="252"/>
      <c r="DTY955" s="252"/>
      <c r="DTZ955" s="252"/>
      <c r="DUA955" s="252"/>
      <c r="DUB955" s="252"/>
      <c r="DUC955" s="252"/>
      <c r="DUD955" s="252"/>
      <c r="DUE955" s="252"/>
      <c r="DUF955" s="252"/>
      <c r="DUG955" s="252"/>
      <c r="DUH955" s="252"/>
      <c r="DUI955" s="252"/>
      <c r="DUJ955" s="252"/>
      <c r="DUK955" s="252"/>
      <c r="DUL955" s="252"/>
      <c r="DUM955" s="252"/>
      <c r="DUN955" s="252"/>
      <c r="DUO955" s="252"/>
      <c r="DUP955" s="252"/>
      <c r="DUQ955" s="252"/>
      <c r="DUR955" s="252"/>
      <c r="DUS955" s="252"/>
      <c r="DUT955" s="252"/>
      <c r="DUU955" s="252"/>
      <c r="DUV955" s="252"/>
      <c r="DUW955" s="252"/>
      <c r="DUX955" s="252"/>
      <c r="DUY955" s="252"/>
      <c r="DUZ955" s="252"/>
      <c r="DVA955" s="252"/>
      <c r="DVB955" s="252"/>
      <c r="DVC955" s="252"/>
      <c r="DVD955" s="252"/>
      <c r="DVE955" s="252"/>
      <c r="DVF955" s="252"/>
      <c r="DVG955" s="252"/>
      <c r="DVH955" s="252"/>
      <c r="DVI955" s="252"/>
      <c r="DVJ955" s="252"/>
      <c r="DVK955" s="252"/>
      <c r="DVL955" s="252"/>
      <c r="DVM955" s="252"/>
      <c r="DVN955" s="252"/>
      <c r="DVO955" s="252"/>
      <c r="DVP955" s="252"/>
      <c r="DVQ955" s="252"/>
      <c r="DVR955" s="252"/>
      <c r="DVS955" s="252"/>
      <c r="DVT955" s="252"/>
      <c r="DVU955" s="252"/>
      <c r="DVV955" s="252"/>
      <c r="DVW955" s="252"/>
      <c r="DVX955" s="252"/>
      <c r="DVY955" s="252"/>
      <c r="DVZ955" s="252"/>
      <c r="DWA955" s="252"/>
      <c r="DWB955" s="252"/>
      <c r="DWC955" s="252"/>
      <c r="DWD955" s="252"/>
      <c r="DWE955" s="252"/>
      <c r="DWF955" s="252"/>
      <c r="DWG955" s="252"/>
      <c r="DWH955" s="252"/>
      <c r="DWI955" s="252"/>
      <c r="DWJ955" s="252"/>
      <c r="DWK955" s="252"/>
      <c r="DWL955" s="252"/>
      <c r="DWM955" s="252"/>
      <c r="DWN955" s="252"/>
      <c r="DWO955" s="252"/>
      <c r="DWP955" s="252"/>
      <c r="DWQ955" s="252"/>
      <c r="DWR955" s="252"/>
      <c r="DWS955" s="252"/>
      <c r="DWT955" s="252"/>
      <c r="DWU955" s="252"/>
      <c r="DWV955" s="252"/>
      <c r="DWW955" s="252"/>
      <c r="DWX955" s="252"/>
      <c r="DWY955" s="252"/>
      <c r="DWZ955" s="252"/>
      <c r="DXA955" s="252"/>
      <c r="DXB955" s="252"/>
      <c r="DXC955" s="252"/>
      <c r="DXD955" s="252"/>
      <c r="DXE955" s="252"/>
      <c r="DXF955" s="252"/>
      <c r="DXG955" s="252"/>
      <c r="DXH955" s="252"/>
      <c r="DXI955" s="252"/>
      <c r="DXJ955" s="252"/>
      <c r="DXK955" s="252"/>
      <c r="DXL955" s="252"/>
      <c r="DXM955" s="252"/>
      <c r="DXN955" s="252"/>
      <c r="DXO955" s="252"/>
      <c r="DXP955" s="252"/>
      <c r="DXQ955" s="252"/>
      <c r="DXR955" s="252"/>
      <c r="DXS955" s="252"/>
      <c r="DXT955" s="252"/>
      <c r="DXU955" s="252"/>
      <c r="DXV955" s="252"/>
      <c r="DXW955" s="252"/>
      <c r="DXX955" s="252"/>
      <c r="DXY955" s="252"/>
      <c r="DXZ955" s="252"/>
      <c r="DYA955" s="252"/>
      <c r="DYB955" s="252"/>
      <c r="DYC955" s="252"/>
      <c r="DYD955" s="252"/>
      <c r="DYE955" s="252"/>
      <c r="DYF955" s="252"/>
      <c r="DYG955" s="252"/>
      <c r="DYH955" s="252"/>
      <c r="DYI955" s="252"/>
      <c r="DYJ955" s="252"/>
      <c r="DYK955" s="252"/>
      <c r="DYL955" s="252"/>
      <c r="DYM955" s="252"/>
      <c r="DYN955" s="252"/>
      <c r="DYO955" s="252"/>
      <c r="DYP955" s="252"/>
      <c r="DYQ955" s="252"/>
      <c r="DYR955" s="252"/>
      <c r="DYS955" s="252"/>
      <c r="DYT955" s="252"/>
      <c r="DYU955" s="252"/>
      <c r="DYV955" s="252"/>
      <c r="DYW955" s="252"/>
      <c r="DYX955" s="252"/>
      <c r="DYY955" s="252"/>
      <c r="DYZ955" s="252"/>
      <c r="DZA955" s="252"/>
      <c r="DZB955" s="252"/>
      <c r="DZC955" s="252"/>
      <c r="DZD955" s="252"/>
      <c r="DZE955" s="252"/>
      <c r="DZF955" s="252"/>
      <c r="DZG955" s="252"/>
      <c r="DZH955" s="252"/>
      <c r="DZI955" s="252"/>
      <c r="DZJ955" s="252"/>
      <c r="DZK955" s="252"/>
      <c r="DZL955" s="252"/>
      <c r="DZM955" s="252"/>
      <c r="DZN955" s="252"/>
      <c r="DZO955" s="252"/>
      <c r="DZP955" s="252"/>
      <c r="DZQ955" s="252"/>
      <c r="DZR955" s="252"/>
      <c r="DZS955" s="252"/>
      <c r="DZT955" s="252"/>
      <c r="DZU955" s="252"/>
      <c r="DZV955" s="252"/>
      <c r="DZW955" s="252"/>
      <c r="DZX955" s="252"/>
      <c r="DZY955" s="252"/>
      <c r="DZZ955" s="252"/>
      <c r="EAA955" s="252"/>
      <c r="EAB955" s="252"/>
      <c r="EAC955" s="252"/>
      <c r="EAD955" s="252"/>
      <c r="EAE955" s="252"/>
      <c r="EAF955" s="252"/>
      <c r="EAG955" s="252"/>
      <c r="EAH955" s="252"/>
      <c r="EAI955" s="252"/>
      <c r="EAJ955" s="252"/>
      <c r="EAK955" s="252"/>
      <c r="EAL955" s="252"/>
      <c r="EAM955" s="252"/>
      <c r="EAN955" s="252"/>
      <c r="EAO955" s="252"/>
      <c r="EAP955" s="252"/>
      <c r="EAQ955" s="252"/>
      <c r="EAR955" s="252"/>
      <c r="EAS955" s="252"/>
      <c r="EAT955" s="252"/>
      <c r="EAU955" s="252"/>
      <c r="EAV955" s="252"/>
      <c r="EAW955" s="252"/>
      <c r="EAX955" s="252"/>
      <c r="EAY955" s="252"/>
      <c r="EAZ955" s="252"/>
      <c r="EBA955" s="252"/>
      <c r="EBB955" s="252"/>
      <c r="EBC955" s="252"/>
      <c r="EBD955" s="252"/>
      <c r="EBE955" s="252"/>
      <c r="EBF955" s="252"/>
      <c r="EBG955" s="252"/>
      <c r="EBH955" s="252"/>
      <c r="EBI955" s="252"/>
      <c r="EBJ955" s="252"/>
      <c r="EBK955" s="252"/>
      <c r="EBL955" s="252"/>
      <c r="EBM955" s="252"/>
      <c r="EBN955" s="252"/>
      <c r="EBO955" s="252"/>
      <c r="EBP955" s="252"/>
      <c r="EBQ955" s="252"/>
      <c r="EBR955" s="252"/>
      <c r="EBS955" s="252"/>
      <c r="EBT955" s="252"/>
      <c r="EBU955" s="252"/>
      <c r="EBV955" s="252"/>
      <c r="EBW955" s="252"/>
      <c r="EBX955" s="252"/>
      <c r="EBY955" s="252"/>
      <c r="EBZ955" s="252"/>
      <c r="ECA955" s="252"/>
      <c r="ECB955" s="252"/>
      <c r="ECC955" s="252"/>
      <c r="ECD955" s="252"/>
      <c r="ECE955" s="252"/>
      <c r="ECF955" s="252"/>
      <c r="ECG955" s="252"/>
      <c r="ECH955" s="252"/>
      <c r="ECI955" s="252"/>
      <c r="ECJ955" s="252"/>
      <c r="ECK955" s="252"/>
      <c r="ECL955" s="252"/>
      <c r="ECM955" s="252"/>
      <c r="ECN955" s="252"/>
      <c r="ECO955" s="252"/>
      <c r="ECP955" s="252"/>
      <c r="ECQ955" s="252"/>
      <c r="ECR955" s="252"/>
      <c r="ECS955" s="252"/>
      <c r="ECT955" s="252"/>
      <c r="ECU955" s="252"/>
      <c r="ECV955" s="252"/>
      <c r="ECW955" s="252"/>
      <c r="ECX955" s="252"/>
      <c r="ECY955" s="252"/>
      <c r="ECZ955" s="252"/>
      <c r="EDA955" s="252"/>
      <c r="EDB955" s="252"/>
      <c r="EDC955" s="252"/>
      <c r="EDD955" s="252"/>
      <c r="EDE955" s="252"/>
      <c r="EDF955" s="252"/>
      <c r="EDG955" s="252"/>
      <c r="EDH955" s="252"/>
      <c r="EDI955" s="252"/>
      <c r="EDJ955" s="252"/>
      <c r="EDK955" s="252"/>
      <c r="EDL955" s="252"/>
      <c r="EDM955" s="252"/>
      <c r="EDN955" s="252"/>
      <c r="EDO955" s="252"/>
      <c r="EDP955" s="252"/>
      <c r="EDQ955" s="252"/>
      <c r="EDR955" s="252"/>
      <c r="EDS955" s="252"/>
      <c r="EDT955" s="252"/>
      <c r="EDU955" s="252"/>
      <c r="EDV955" s="252"/>
      <c r="EDW955" s="252"/>
      <c r="EDX955" s="252"/>
      <c r="EDY955" s="252"/>
      <c r="EDZ955" s="252"/>
      <c r="EEA955" s="252"/>
      <c r="EEB955" s="252"/>
      <c r="EEC955" s="252"/>
      <c r="EED955" s="252"/>
      <c r="EEE955" s="252"/>
      <c r="EEF955" s="252"/>
      <c r="EEG955" s="252"/>
      <c r="EEH955" s="252"/>
      <c r="EEI955" s="252"/>
      <c r="EEJ955" s="252"/>
      <c r="EEK955" s="252"/>
      <c r="EEL955" s="252"/>
      <c r="EEM955" s="252"/>
      <c r="EEN955" s="252"/>
      <c r="EEO955" s="252"/>
      <c r="EEP955" s="252"/>
      <c r="EEQ955" s="252"/>
      <c r="EER955" s="252"/>
      <c r="EES955" s="252"/>
      <c r="EET955" s="252"/>
      <c r="EEU955" s="252"/>
      <c r="EEV955" s="252"/>
      <c r="EEW955" s="252"/>
      <c r="EEX955" s="252"/>
      <c r="EEY955" s="252"/>
      <c r="EEZ955" s="252"/>
      <c r="EFA955" s="252"/>
      <c r="EFB955" s="252"/>
      <c r="EFC955" s="252"/>
      <c r="EFD955" s="252"/>
      <c r="EFE955" s="252"/>
      <c r="EFF955" s="252"/>
      <c r="EFG955" s="252"/>
      <c r="EFH955" s="252"/>
      <c r="EFI955" s="252"/>
      <c r="EFJ955" s="252"/>
      <c r="EFK955" s="252"/>
      <c r="EFL955" s="252"/>
      <c r="EFM955" s="252"/>
      <c r="EFN955" s="252"/>
      <c r="EFO955" s="252"/>
      <c r="EFP955" s="252"/>
      <c r="EFQ955" s="252"/>
      <c r="EFR955" s="252"/>
      <c r="EFS955" s="252"/>
      <c r="EFT955" s="252"/>
      <c r="EFU955" s="252"/>
      <c r="EFV955" s="252"/>
      <c r="EFW955" s="252"/>
      <c r="EFX955" s="252"/>
      <c r="EFY955" s="252"/>
      <c r="EFZ955" s="252"/>
      <c r="EGA955" s="252"/>
      <c r="EGB955" s="252"/>
      <c r="EGC955" s="252"/>
      <c r="EGD955" s="252"/>
      <c r="EGE955" s="252"/>
      <c r="EGF955" s="252"/>
      <c r="EGG955" s="252"/>
      <c r="EGH955" s="252"/>
      <c r="EGI955" s="252"/>
      <c r="EGJ955" s="252"/>
      <c r="EGK955" s="252"/>
      <c r="EGL955" s="252"/>
      <c r="EGM955" s="252"/>
      <c r="EGN955" s="252"/>
      <c r="EGO955" s="252"/>
      <c r="EGP955" s="252"/>
      <c r="EGQ955" s="252"/>
      <c r="EGR955" s="252"/>
      <c r="EGS955" s="252"/>
      <c r="EGT955" s="252"/>
      <c r="EGU955" s="252"/>
      <c r="EGV955" s="252"/>
      <c r="EGW955" s="252"/>
      <c r="EGX955" s="252"/>
      <c r="EGY955" s="252"/>
      <c r="EGZ955" s="252"/>
      <c r="EHA955" s="252"/>
      <c r="EHB955" s="252"/>
      <c r="EHC955" s="252"/>
      <c r="EHD955" s="252"/>
      <c r="EHE955" s="252"/>
      <c r="EHF955" s="252"/>
      <c r="EHG955" s="252"/>
      <c r="EHH955" s="252"/>
      <c r="EHI955" s="252"/>
      <c r="EHJ955" s="252"/>
      <c r="EHK955" s="252"/>
      <c r="EHL955" s="252"/>
      <c r="EHM955" s="252"/>
      <c r="EHN955" s="252"/>
      <c r="EHO955" s="252"/>
      <c r="EHP955" s="252"/>
      <c r="EHQ955" s="252"/>
      <c r="EHR955" s="252"/>
      <c r="EHS955" s="252"/>
      <c r="EHT955" s="252"/>
      <c r="EHU955" s="252"/>
      <c r="EHV955" s="252"/>
      <c r="EHW955" s="252"/>
      <c r="EHX955" s="252"/>
      <c r="EHY955" s="252"/>
      <c r="EHZ955" s="252"/>
      <c r="EIA955" s="252"/>
      <c r="EIB955" s="252"/>
      <c r="EIC955" s="252"/>
      <c r="EID955" s="252"/>
      <c r="EIE955" s="252"/>
      <c r="EIF955" s="252"/>
      <c r="EIG955" s="252"/>
      <c r="EIH955" s="252"/>
      <c r="EII955" s="252"/>
      <c r="EIJ955" s="252"/>
      <c r="EIK955" s="252"/>
      <c r="EIL955" s="252"/>
      <c r="EIM955" s="252"/>
      <c r="EIN955" s="252"/>
      <c r="EIO955" s="252"/>
      <c r="EIP955" s="252"/>
      <c r="EIQ955" s="252"/>
      <c r="EIR955" s="252"/>
      <c r="EIS955" s="252"/>
      <c r="EIT955" s="252"/>
      <c r="EIU955" s="252"/>
      <c r="EIV955" s="252"/>
      <c r="EIW955" s="252"/>
      <c r="EIX955" s="252"/>
      <c r="EIY955" s="252"/>
      <c r="EIZ955" s="252"/>
      <c r="EJA955" s="252"/>
      <c r="EJB955" s="252"/>
      <c r="EJC955" s="252"/>
      <c r="EJD955" s="252"/>
      <c r="EJE955" s="252"/>
      <c r="EJF955" s="252"/>
      <c r="EJG955" s="252"/>
      <c r="EJH955" s="252"/>
      <c r="EJI955" s="252"/>
      <c r="EJJ955" s="252"/>
      <c r="EJK955" s="252"/>
      <c r="EJL955" s="252"/>
      <c r="EJM955" s="252"/>
      <c r="EJN955" s="252"/>
      <c r="EJO955" s="252"/>
      <c r="EJP955" s="252"/>
      <c r="EJQ955" s="252"/>
      <c r="EJR955" s="252"/>
      <c r="EJS955" s="252"/>
      <c r="EJT955" s="252"/>
      <c r="EJU955" s="252"/>
      <c r="EJV955" s="252"/>
      <c r="EJW955" s="252"/>
      <c r="EJX955" s="252"/>
      <c r="EJY955" s="252"/>
      <c r="EJZ955" s="252"/>
      <c r="EKA955" s="252"/>
      <c r="EKB955" s="252"/>
      <c r="EKC955" s="252"/>
      <c r="EKD955" s="252"/>
      <c r="EKE955" s="252"/>
      <c r="EKF955" s="252"/>
      <c r="EKG955" s="252"/>
      <c r="EKH955" s="252"/>
      <c r="EKI955" s="252"/>
      <c r="EKJ955" s="252"/>
      <c r="EKK955" s="252"/>
      <c r="EKL955" s="252"/>
      <c r="EKM955" s="252"/>
      <c r="EKN955" s="252"/>
      <c r="EKO955" s="252"/>
      <c r="EKP955" s="252"/>
      <c r="EKQ955" s="252"/>
      <c r="EKR955" s="252"/>
      <c r="EKS955" s="252"/>
      <c r="EKT955" s="252"/>
      <c r="EKU955" s="252"/>
      <c r="EKV955" s="252"/>
      <c r="EKW955" s="252"/>
      <c r="EKX955" s="252"/>
      <c r="EKY955" s="252"/>
      <c r="EKZ955" s="252"/>
      <c r="ELA955" s="252"/>
      <c r="ELB955" s="252"/>
      <c r="ELC955" s="252"/>
      <c r="ELD955" s="252"/>
      <c r="ELE955" s="252"/>
      <c r="ELF955" s="252"/>
      <c r="ELG955" s="252"/>
      <c r="ELH955" s="252"/>
      <c r="ELI955" s="252"/>
      <c r="ELJ955" s="252"/>
      <c r="ELK955" s="252"/>
      <c r="ELL955" s="252"/>
      <c r="ELM955" s="252"/>
      <c r="ELN955" s="252"/>
      <c r="ELO955" s="252"/>
      <c r="ELP955" s="252"/>
      <c r="ELQ955" s="252"/>
      <c r="ELR955" s="252"/>
      <c r="ELS955" s="252"/>
      <c r="ELT955" s="252"/>
      <c r="ELU955" s="252"/>
      <c r="ELV955" s="252"/>
      <c r="ELW955" s="252"/>
      <c r="ELX955" s="252"/>
      <c r="ELY955" s="252"/>
      <c r="ELZ955" s="252"/>
      <c r="EMA955" s="252"/>
      <c r="EMB955" s="252"/>
      <c r="EMC955" s="252"/>
      <c r="EMD955" s="252"/>
      <c r="EME955" s="252"/>
      <c r="EMF955" s="252"/>
      <c r="EMG955" s="252"/>
      <c r="EMH955" s="252"/>
      <c r="EMI955" s="252"/>
      <c r="EMJ955" s="252"/>
      <c r="EMK955" s="252"/>
      <c r="EML955" s="252"/>
      <c r="EMM955" s="252"/>
      <c r="EMN955" s="252"/>
      <c r="EMO955" s="252"/>
      <c r="EMP955" s="252"/>
      <c r="EMQ955" s="252"/>
      <c r="EMR955" s="252"/>
      <c r="EMS955" s="252"/>
      <c r="EMT955" s="252"/>
      <c r="EMU955" s="252"/>
      <c r="EMV955" s="252"/>
      <c r="EMW955" s="252"/>
      <c r="EMX955" s="252"/>
      <c r="EMY955" s="252"/>
      <c r="EMZ955" s="252"/>
      <c r="ENA955" s="252"/>
      <c r="ENB955" s="252"/>
      <c r="ENC955" s="252"/>
      <c r="END955" s="252"/>
      <c r="ENE955" s="252"/>
      <c r="ENF955" s="252"/>
      <c r="ENG955" s="252"/>
      <c r="ENH955" s="252"/>
      <c r="ENI955" s="252"/>
      <c r="ENJ955" s="252"/>
      <c r="ENK955" s="252"/>
      <c r="ENL955" s="252"/>
      <c r="ENM955" s="252"/>
      <c r="ENN955" s="252"/>
      <c r="ENO955" s="252"/>
      <c r="ENP955" s="252"/>
      <c r="ENQ955" s="252"/>
      <c r="ENR955" s="252"/>
      <c r="ENS955" s="252"/>
      <c r="ENT955" s="252"/>
      <c r="ENU955" s="252"/>
      <c r="ENV955" s="252"/>
      <c r="ENW955" s="252"/>
      <c r="ENX955" s="252"/>
      <c r="ENY955" s="252"/>
      <c r="ENZ955" s="252"/>
      <c r="EOA955" s="252"/>
      <c r="EOB955" s="252"/>
      <c r="EOC955" s="252"/>
      <c r="EOD955" s="252"/>
      <c r="EOE955" s="252"/>
      <c r="EOF955" s="252"/>
      <c r="EOG955" s="252"/>
      <c r="EOH955" s="252"/>
      <c r="EOI955" s="252"/>
      <c r="EOJ955" s="252"/>
      <c r="EOK955" s="252"/>
      <c r="EOL955" s="252"/>
      <c r="EOM955" s="252"/>
      <c r="EON955" s="252"/>
      <c r="EOO955" s="252"/>
      <c r="EOP955" s="252"/>
      <c r="EOQ955" s="252"/>
      <c r="EOR955" s="252"/>
      <c r="EOS955" s="252"/>
      <c r="EOT955" s="252"/>
      <c r="EOU955" s="252"/>
      <c r="EOV955" s="252"/>
      <c r="EOW955" s="252"/>
      <c r="EOX955" s="252"/>
      <c r="EOY955" s="252"/>
      <c r="EOZ955" s="252"/>
      <c r="EPA955" s="252"/>
      <c r="EPB955" s="252"/>
      <c r="EPC955" s="252"/>
      <c r="EPD955" s="252"/>
      <c r="EPE955" s="252"/>
      <c r="EPF955" s="252"/>
      <c r="EPG955" s="252"/>
      <c r="EPH955" s="252"/>
      <c r="EPI955" s="252"/>
      <c r="EPJ955" s="252"/>
      <c r="EPK955" s="252"/>
      <c r="EPL955" s="252"/>
      <c r="EPM955" s="252"/>
      <c r="EPN955" s="252"/>
      <c r="EPO955" s="252"/>
      <c r="EPP955" s="252"/>
      <c r="EPQ955" s="252"/>
      <c r="EPR955" s="252"/>
      <c r="EPS955" s="252"/>
      <c r="EPT955" s="252"/>
      <c r="EPU955" s="252"/>
      <c r="EPV955" s="252"/>
      <c r="EPW955" s="252"/>
      <c r="EPX955" s="252"/>
      <c r="EPY955" s="252"/>
      <c r="EPZ955" s="252"/>
      <c r="EQA955" s="252"/>
      <c r="EQB955" s="252"/>
      <c r="EQC955" s="252"/>
      <c r="EQD955" s="252"/>
      <c r="EQE955" s="252"/>
      <c r="EQF955" s="252"/>
      <c r="EQG955" s="252"/>
      <c r="EQH955" s="252"/>
      <c r="EQI955" s="252"/>
      <c r="EQJ955" s="252"/>
      <c r="EQK955" s="252"/>
      <c r="EQL955" s="252"/>
      <c r="EQM955" s="252"/>
      <c r="EQN955" s="252"/>
      <c r="EQO955" s="252"/>
      <c r="EQP955" s="252"/>
      <c r="EQQ955" s="252"/>
      <c r="EQR955" s="252"/>
      <c r="EQS955" s="252"/>
      <c r="EQT955" s="252"/>
      <c r="EQU955" s="252"/>
      <c r="EQV955" s="252"/>
      <c r="EQW955" s="252"/>
      <c r="EQX955" s="252"/>
      <c r="EQY955" s="252"/>
      <c r="EQZ955" s="252"/>
      <c r="ERA955" s="252"/>
      <c r="ERB955" s="252"/>
      <c r="ERC955" s="252"/>
      <c r="ERD955" s="252"/>
      <c r="ERE955" s="252"/>
      <c r="ERF955" s="252"/>
      <c r="ERG955" s="252"/>
      <c r="ERH955" s="252"/>
      <c r="ERI955" s="252"/>
      <c r="ERJ955" s="252"/>
      <c r="ERK955" s="252"/>
      <c r="ERL955" s="252"/>
      <c r="ERM955" s="252"/>
      <c r="ERN955" s="252"/>
      <c r="ERO955" s="252"/>
      <c r="ERP955" s="252"/>
      <c r="ERQ955" s="252"/>
      <c r="ERR955" s="252"/>
      <c r="ERS955" s="252"/>
      <c r="ERT955" s="252"/>
      <c r="ERU955" s="252"/>
      <c r="ERV955" s="252"/>
      <c r="ERW955" s="252"/>
      <c r="ERX955" s="252"/>
      <c r="ERY955" s="252"/>
      <c r="ERZ955" s="252"/>
      <c r="ESA955" s="252"/>
      <c r="ESB955" s="252"/>
      <c r="ESC955" s="252"/>
      <c r="ESD955" s="252"/>
      <c r="ESE955" s="252"/>
      <c r="ESF955" s="252"/>
      <c r="ESG955" s="252"/>
      <c r="ESH955" s="252"/>
      <c r="ESI955" s="252"/>
      <c r="ESJ955" s="252"/>
      <c r="ESK955" s="252"/>
      <c r="ESL955" s="252"/>
      <c r="ESM955" s="252"/>
      <c r="ESN955" s="252"/>
      <c r="ESO955" s="252"/>
      <c r="ESP955" s="252"/>
      <c r="ESQ955" s="252"/>
      <c r="ESR955" s="252"/>
      <c r="ESS955" s="252"/>
      <c r="EST955" s="252"/>
      <c r="ESU955" s="252"/>
      <c r="ESV955" s="252"/>
      <c r="ESW955" s="252"/>
      <c r="ESX955" s="252"/>
      <c r="ESY955" s="252"/>
      <c r="ESZ955" s="252"/>
      <c r="ETA955" s="252"/>
      <c r="ETB955" s="252"/>
      <c r="ETC955" s="252"/>
      <c r="ETD955" s="252"/>
      <c r="ETE955" s="252"/>
      <c r="ETF955" s="252"/>
      <c r="ETG955" s="252"/>
      <c r="ETH955" s="252"/>
      <c r="ETI955" s="252"/>
      <c r="ETJ955" s="252"/>
      <c r="ETK955" s="252"/>
      <c r="ETL955" s="252"/>
      <c r="ETM955" s="252"/>
      <c r="ETN955" s="252"/>
      <c r="ETO955" s="252"/>
      <c r="ETP955" s="252"/>
      <c r="ETQ955" s="252"/>
      <c r="ETR955" s="252"/>
      <c r="ETS955" s="252"/>
      <c r="ETT955" s="252"/>
      <c r="ETU955" s="252"/>
      <c r="ETV955" s="252"/>
      <c r="ETW955" s="252"/>
      <c r="ETX955" s="252"/>
      <c r="ETY955" s="252"/>
      <c r="ETZ955" s="252"/>
      <c r="EUA955" s="252"/>
      <c r="EUB955" s="252"/>
      <c r="EUC955" s="252"/>
      <c r="EUD955" s="252"/>
      <c r="EUE955" s="252"/>
      <c r="EUF955" s="252"/>
      <c r="EUG955" s="252"/>
      <c r="EUH955" s="252"/>
      <c r="EUI955" s="252"/>
      <c r="EUJ955" s="252"/>
      <c r="EUK955" s="252"/>
      <c r="EUL955" s="252"/>
      <c r="EUM955" s="252"/>
      <c r="EUN955" s="252"/>
      <c r="EUO955" s="252"/>
      <c r="EUP955" s="252"/>
      <c r="EUQ955" s="252"/>
      <c r="EUR955" s="252"/>
      <c r="EUS955" s="252"/>
      <c r="EUT955" s="252"/>
      <c r="EUU955" s="252"/>
      <c r="EUV955" s="252"/>
      <c r="EUW955" s="252"/>
      <c r="EUX955" s="252"/>
      <c r="EUY955" s="252"/>
      <c r="EUZ955" s="252"/>
      <c r="EVA955" s="252"/>
      <c r="EVB955" s="252"/>
      <c r="EVC955" s="252"/>
      <c r="EVD955" s="252"/>
      <c r="EVE955" s="252"/>
      <c r="EVF955" s="252"/>
      <c r="EVG955" s="252"/>
      <c r="EVH955" s="252"/>
      <c r="EVI955" s="252"/>
      <c r="EVJ955" s="252"/>
      <c r="EVK955" s="252"/>
      <c r="EVL955" s="252"/>
      <c r="EVM955" s="252"/>
      <c r="EVN955" s="252"/>
      <c r="EVO955" s="252"/>
      <c r="EVP955" s="252"/>
      <c r="EVQ955" s="252"/>
      <c r="EVR955" s="252"/>
      <c r="EVS955" s="252"/>
      <c r="EVT955" s="252"/>
      <c r="EVU955" s="252"/>
      <c r="EVV955" s="252"/>
      <c r="EVW955" s="252"/>
      <c r="EVX955" s="252"/>
      <c r="EVY955" s="252"/>
      <c r="EVZ955" s="252"/>
      <c r="EWA955" s="252"/>
      <c r="EWB955" s="252"/>
      <c r="EWC955" s="252"/>
      <c r="EWD955" s="252"/>
      <c r="EWE955" s="252"/>
      <c r="EWF955" s="252"/>
      <c r="EWG955" s="252"/>
      <c r="EWH955" s="252"/>
      <c r="EWI955" s="252"/>
      <c r="EWJ955" s="252"/>
      <c r="EWK955" s="252"/>
      <c r="EWL955" s="252"/>
      <c r="EWM955" s="252"/>
      <c r="EWN955" s="252"/>
      <c r="EWO955" s="252"/>
      <c r="EWP955" s="252"/>
      <c r="EWQ955" s="252"/>
      <c r="EWR955" s="252"/>
      <c r="EWS955" s="252"/>
      <c r="EWT955" s="252"/>
      <c r="EWU955" s="252"/>
      <c r="EWV955" s="252"/>
      <c r="EWW955" s="252"/>
      <c r="EWX955" s="252"/>
      <c r="EWY955" s="252"/>
      <c r="EWZ955" s="252"/>
      <c r="EXA955" s="252"/>
      <c r="EXB955" s="252"/>
      <c r="EXC955" s="252"/>
      <c r="EXD955" s="252"/>
      <c r="EXE955" s="252"/>
      <c r="EXF955" s="252"/>
      <c r="EXG955" s="252"/>
      <c r="EXH955" s="252"/>
      <c r="EXI955" s="252"/>
      <c r="EXJ955" s="252"/>
      <c r="EXK955" s="252"/>
      <c r="EXL955" s="252"/>
      <c r="EXM955" s="252"/>
      <c r="EXN955" s="252"/>
      <c r="EXO955" s="252"/>
      <c r="EXP955" s="252"/>
      <c r="EXQ955" s="252"/>
      <c r="EXR955" s="252"/>
      <c r="EXS955" s="252"/>
      <c r="EXT955" s="252"/>
      <c r="EXU955" s="252"/>
      <c r="EXV955" s="252"/>
      <c r="EXW955" s="252"/>
      <c r="EXX955" s="252"/>
      <c r="EXY955" s="252"/>
      <c r="EXZ955" s="252"/>
      <c r="EYA955" s="252"/>
      <c r="EYB955" s="252"/>
      <c r="EYC955" s="252"/>
      <c r="EYD955" s="252"/>
      <c r="EYE955" s="252"/>
      <c r="EYF955" s="252"/>
      <c r="EYG955" s="252"/>
      <c r="EYH955" s="252"/>
      <c r="EYI955" s="252"/>
      <c r="EYJ955" s="252"/>
      <c r="EYK955" s="252"/>
      <c r="EYL955" s="252"/>
      <c r="EYM955" s="252"/>
      <c r="EYN955" s="252"/>
      <c r="EYO955" s="252"/>
      <c r="EYP955" s="252"/>
      <c r="EYQ955" s="252"/>
      <c r="EYR955" s="252"/>
      <c r="EYS955" s="252"/>
      <c r="EYT955" s="252"/>
      <c r="EYU955" s="252"/>
      <c r="EYV955" s="252"/>
      <c r="EYW955" s="252"/>
      <c r="EYX955" s="252"/>
      <c r="EYY955" s="252"/>
      <c r="EYZ955" s="252"/>
      <c r="EZA955" s="252"/>
      <c r="EZB955" s="252"/>
      <c r="EZC955" s="252"/>
      <c r="EZD955" s="252"/>
      <c r="EZE955" s="252"/>
      <c r="EZF955" s="252"/>
      <c r="EZG955" s="252"/>
      <c r="EZH955" s="252"/>
      <c r="EZI955" s="252"/>
      <c r="EZJ955" s="252"/>
      <c r="EZK955" s="252"/>
      <c r="EZL955" s="252"/>
      <c r="EZM955" s="252"/>
      <c r="EZN955" s="252"/>
      <c r="EZO955" s="252"/>
      <c r="EZP955" s="252"/>
      <c r="EZQ955" s="252"/>
      <c r="EZR955" s="252"/>
      <c r="EZS955" s="252"/>
      <c r="EZT955" s="252"/>
      <c r="EZU955" s="252"/>
      <c r="EZV955" s="252"/>
      <c r="EZW955" s="252"/>
      <c r="EZX955" s="252"/>
      <c r="EZY955" s="252"/>
      <c r="EZZ955" s="252"/>
      <c r="FAA955" s="252"/>
      <c r="FAB955" s="252"/>
      <c r="FAC955" s="252"/>
      <c r="FAD955" s="252"/>
      <c r="FAE955" s="252"/>
      <c r="FAF955" s="252"/>
      <c r="FAG955" s="252"/>
      <c r="FAH955" s="252"/>
      <c r="FAI955" s="252"/>
      <c r="FAJ955" s="252"/>
      <c r="FAK955" s="252"/>
      <c r="FAL955" s="252"/>
      <c r="FAM955" s="252"/>
      <c r="FAN955" s="252"/>
      <c r="FAO955" s="252"/>
      <c r="FAP955" s="252"/>
      <c r="FAQ955" s="252"/>
      <c r="FAR955" s="252"/>
      <c r="FAS955" s="252"/>
      <c r="FAT955" s="252"/>
      <c r="FAU955" s="252"/>
      <c r="FAV955" s="252"/>
      <c r="FAW955" s="252"/>
      <c r="FAX955" s="252"/>
      <c r="FAY955" s="252"/>
      <c r="FAZ955" s="252"/>
      <c r="FBA955" s="252"/>
      <c r="FBB955" s="252"/>
      <c r="FBC955" s="252"/>
      <c r="FBD955" s="252"/>
      <c r="FBE955" s="252"/>
      <c r="FBF955" s="252"/>
      <c r="FBG955" s="252"/>
      <c r="FBH955" s="252"/>
      <c r="FBI955" s="252"/>
      <c r="FBJ955" s="252"/>
      <c r="FBK955" s="252"/>
      <c r="FBL955" s="252"/>
      <c r="FBM955" s="252"/>
      <c r="FBN955" s="252"/>
      <c r="FBO955" s="252"/>
      <c r="FBP955" s="252"/>
      <c r="FBQ955" s="252"/>
      <c r="FBR955" s="252"/>
      <c r="FBS955" s="252"/>
      <c r="FBT955" s="252"/>
      <c r="FBU955" s="252"/>
      <c r="FBV955" s="252"/>
      <c r="FBW955" s="252"/>
      <c r="FBX955" s="252"/>
      <c r="FBY955" s="252"/>
      <c r="FBZ955" s="252"/>
      <c r="FCA955" s="252"/>
      <c r="FCB955" s="252"/>
      <c r="FCC955" s="252"/>
      <c r="FCD955" s="252"/>
      <c r="FCE955" s="252"/>
      <c r="FCF955" s="252"/>
      <c r="FCG955" s="252"/>
      <c r="FCH955" s="252"/>
      <c r="FCI955" s="252"/>
      <c r="FCJ955" s="252"/>
      <c r="FCK955" s="252"/>
      <c r="FCL955" s="252"/>
      <c r="FCM955" s="252"/>
      <c r="FCN955" s="252"/>
      <c r="FCO955" s="252"/>
      <c r="FCP955" s="252"/>
      <c r="FCQ955" s="252"/>
      <c r="FCR955" s="252"/>
      <c r="FCS955" s="252"/>
      <c r="FCT955" s="252"/>
      <c r="FCU955" s="252"/>
      <c r="FCV955" s="252"/>
      <c r="FCW955" s="252"/>
      <c r="FCX955" s="252"/>
      <c r="FCY955" s="252"/>
      <c r="FCZ955" s="252"/>
      <c r="FDA955" s="252"/>
      <c r="FDB955" s="252"/>
      <c r="FDC955" s="252"/>
      <c r="FDD955" s="252"/>
      <c r="FDE955" s="252"/>
      <c r="FDF955" s="252"/>
      <c r="FDG955" s="252"/>
      <c r="FDH955" s="252"/>
      <c r="FDI955" s="252"/>
      <c r="FDJ955" s="252"/>
      <c r="FDK955" s="252"/>
      <c r="FDL955" s="252"/>
      <c r="FDM955" s="252"/>
      <c r="FDN955" s="252"/>
      <c r="FDO955" s="252"/>
      <c r="FDP955" s="252"/>
      <c r="FDQ955" s="252"/>
      <c r="FDR955" s="252"/>
      <c r="FDS955" s="252"/>
      <c r="FDT955" s="252"/>
      <c r="FDU955" s="252"/>
      <c r="FDV955" s="252"/>
      <c r="FDW955" s="252"/>
      <c r="FDX955" s="252"/>
      <c r="FDY955" s="252"/>
      <c r="FDZ955" s="252"/>
      <c r="FEA955" s="252"/>
      <c r="FEB955" s="252"/>
      <c r="FEC955" s="252"/>
      <c r="FED955" s="252"/>
      <c r="FEE955" s="252"/>
      <c r="FEF955" s="252"/>
      <c r="FEG955" s="252"/>
      <c r="FEH955" s="252"/>
      <c r="FEI955" s="252"/>
      <c r="FEJ955" s="252"/>
      <c r="FEK955" s="252"/>
      <c r="FEL955" s="252"/>
      <c r="FEM955" s="252"/>
      <c r="FEN955" s="252"/>
      <c r="FEO955" s="252"/>
      <c r="FEP955" s="252"/>
      <c r="FEQ955" s="252"/>
      <c r="FER955" s="252"/>
      <c r="FES955" s="252"/>
      <c r="FET955" s="252"/>
      <c r="FEU955" s="252"/>
      <c r="FEV955" s="252"/>
      <c r="FEW955" s="252"/>
      <c r="FEX955" s="252"/>
      <c r="FEY955" s="252"/>
      <c r="FEZ955" s="252"/>
      <c r="FFA955" s="252"/>
      <c r="FFB955" s="252"/>
      <c r="FFC955" s="252"/>
      <c r="FFD955" s="252"/>
      <c r="FFE955" s="252"/>
      <c r="FFF955" s="252"/>
      <c r="FFG955" s="252"/>
      <c r="FFH955" s="252"/>
      <c r="FFI955" s="252"/>
      <c r="FFJ955" s="252"/>
      <c r="FFK955" s="252"/>
      <c r="FFL955" s="252"/>
      <c r="FFM955" s="252"/>
      <c r="FFN955" s="252"/>
      <c r="FFO955" s="252"/>
      <c r="FFP955" s="252"/>
      <c r="FFQ955" s="252"/>
      <c r="FFR955" s="252"/>
      <c r="FFS955" s="252"/>
      <c r="FFT955" s="252"/>
      <c r="FFU955" s="252"/>
      <c r="FFV955" s="252"/>
      <c r="FFW955" s="252"/>
      <c r="FFX955" s="252"/>
      <c r="FFY955" s="252"/>
      <c r="FFZ955" s="252"/>
      <c r="FGA955" s="252"/>
      <c r="FGB955" s="252"/>
      <c r="FGC955" s="252"/>
      <c r="FGD955" s="252"/>
      <c r="FGE955" s="252"/>
      <c r="FGF955" s="252"/>
      <c r="FGG955" s="252"/>
      <c r="FGH955" s="252"/>
      <c r="FGI955" s="252"/>
      <c r="FGJ955" s="252"/>
      <c r="FGK955" s="252"/>
      <c r="FGL955" s="252"/>
      <c r="FGM955" s="252"/>
      <c r="FGN955" s="252"/>
      <c r="FGO955" s="252"/>
      <c r="FGP955" s="252"/>
      <c r="FGQ955" s="252"/>
      <c r="FGR955" s="252"/>
      <c r="FGS955" s="252"/>
      <c r="FGT955" s="252"/>
      <c r="FGU955" s="252"/>
      <c r="FGV955" s="252"/>
      <c r="FGW955" s="252"/>
      <c r="FGX955" s="252"/>
      <c r="FGY955" s="252"/>
      <c r="FGZ955" s="252"/>
      <c r="FHA955" s="252"/>
      <c r="FHB955" s="252"/>
      <c r="FHC955" s="252"/>
      <c r="FHD955" s="252"/>
      <c r="FHE955" s="252"/>
      <c r="FHF955" s="252"/>
      <c r="FHG955" s="252"/>
      <c r="FHH955" s="252"/>
      <c r="FHI955" s="252"/>
      <c r="FHJ955" s="252"/>
      <c r="FHK955" s="252"/>
      <c r="FHL955" s="252"/>
      <c r="FHM955" s="252"/>
      <c r="FHN955" s="252"/>
      <c r="FHO955" s="252"/>
      <c r="FHP955" s="252"/>
      <c r="FHQ955" s="252"/>
      <c r="FHR955" s="252"/>
      <c r="FHS955" s="252"/>
      <c r="FHT955" s="252"/>
      <c r="FHU955" s="252"/>
      <c r="FHV955" s="252"/>
      <c r="FHW955" s="252"/>
      <c r="FHX955" s="252"/>
      <c r="FHY955" s="252"/>
      <c r="FHZ955" s="252"/>
      <c r="FIA955" s="252"/>
      <c r="FIB955" s="252"/>
      <c r="FIC955" s="252"/>
      <c r="FID955" s="252"/>
      <c r="FIE955" s="252"/>
      <c r="FIF955" s="252"/>
      <c r="FIG955" s="252"/>
      <c r="FIH955" s="252"/>
      <c r="FII955" s="252"/>
      <c r="FIJ955" s="252"/>
      <c r="FIK955" s="252"/>
      <c r="FIL955" s="252"/>
      <c r="FIM955" s="252"/>
      <c r="FIN955" s="252"/>
      <c r="FIO955" s="252"/>
      <c r="FIP955" s="252"/>
      <c r="FIQ955" s="252"/>
      <c r="FIR955" s="252"/>
      <c r="FIS955" s="252"/>
      <c r="FIT955" s="252"/>
      <c r="FIU955" s="252"/>
      <c r="FIV955" s="252"/>
      <c r="FIW955" s="252"/>
      <c r="FIX955" s="252"/>
      <c r="FIY955" s="252"/>
      <c r="FIZ955" s="252"/>
      <c r="FJA955" s="252"/>
      <c r="FJB955" s="252"/>
      <c r="FJC955" s="252"/>
      <c r="FJD955" s="252"/>
      <c r="FJE955" s="252"/>
      <c r="FJF955" s="252"/>
      <c r="FJG955" s="252"/>
      <c r="FJH955" s="252"/>
      <c r="FJI955" s="252"/>
      <c r="FJJ955" s="252"/>
      <c r="FJK955" s="252"/>
      <c r="FJL955" s="252"/>
      <c r="FJM955" s="252"/>
      <c r="FJN955" s="252"/>
      <c r="FJO955" s="252"/>
      <c r="FJP955" s="252"/>
      <c r="FJQ955" s="252"/>
      <c r="FJR955" s="252"/>
      <c r="FJS955" s="252"/>
      <c r="FJT955" s="252"/>
      <c r="FJU955" s="252"/>
      <c r="FJV955" s="252"/>
      <c r="FJW955" s="252"/>
      <c r="FJX955" s="252"/>
      <c r="FJY955" s="252"/>
      <c r="FJZ955" s="252"/>
      <c r="FKA955" s="252"/>
      <c r="FKB955" s="252"/>
      <c r="FKC955" s="252"/>
      <c r="FKD955" s="252"/>
      <c r="FKE955" s="252"/>
      <c r="FKF955" s="252"/>
      <c r="FKG955" s="252"/>
      <c r="FKH955" s="252"/>
      <c r="FKI955" s="252"/>
      <c r="FKJ955" s="252"/>
      <c r="FKK955" s="252"/>
      <c r="FKL955" s="252"/>
      <c r="FKM955" s="252"/>
      <c r="FKN955" s="252"/>
      <c r="FKO955" s="252"/>
      <c r="FKP955" s="252"/>
      <c r="FKQ955" s="252"/>
      <c r="FKR955" s="252"/>
      <c r="FKS955" s="252"/>
      <c r="FKT955" s="252"/>
      <c r="FKU955" s="252"/>
      <c r="FKV955" s="252"/>
      <c r="FKW955" s="252"/>
      <c r="FKX955" s="252"/>
      <c r="FKY955" s="252"/>
      <c r="FKZ955" s="252"/>
      <c r="FLA955" s="252"/>
      <c r="FLB955" s="252"/>
      <c r="FLC955" s="252"/>
      <c r="FLD955" s="252"/>
      <c r="FLE955" s="252"/>
      <c r="FLF955" s="252"/>
      <c r="FLG955" s="252"/>
      <c r="FLH955" s="252"/>
      <c r="FLI955" s="252"/>
      <c r="FLJ955" s="252"/>
      <c r="FLK955" s="252"/>
      <c r="FLL955" s="252"/>
      <c r="FLM955" s="252"/>
      <c r="FLN955" s="252"/>
      <c r="FLO955" s="252"/>
      <c r="FLP955" s="252"/>
      <c r="FLQ955" s="252"/>
      <c r="FLR955" s="252"/>
      <c r="FLS955" s="252"/>
      <c r="FLT955" s="252"/>
      <c r="FLU955" s="252"/>
      <c r="FLV955" s="252"/>
      <c r="FLW955" s="252"/>
      <c r="FLX955" s="252"/>
      <c r="FLY955" s="252"/>
      <c r="FLZ955" s="252"/>
      <c r="FMA955" s="252"/>
      <c r="FMB955" s="252"/>
      <c r="FMC955" s="252"/>
      <c r="FMD955" s="252"/>
      <c r="FME955" s="252"/>
      <c r="FMF955" s="252"/>
      <c r="FMG955" s="252"/>
      <c r="FMH955" s="252"/>
      <c r="FMI955" s="252"/>
      <c r="FMJ955" s="252"/>
      <c r="FMK955" s="252"/>
      <c r="FML955" s="252"/>
      <c r="FMM955" s="252"/>
      <c r="FMN955" s="252"/>
      <c r="FMO955" s="252"/>
      <c r="FMP955" s="252"/>
      <c r="FMQ955" s="252"/>
      <c r="FMR955" s="252"/>
      <c r="FMS955" s="252"/>
      <c r="FMT955" s="252"/>
      <c r="FMU955" s="252"/>
      <c r="FMV955" s="252"/>
      <c r="FMW955" s="252"/>
      <c r="FMX955" s="252"/>
      <c r="FMY955" s="252"/>
      <c r="FMZ955" s="252"/>
      <c r="FNA955" s="252"/>
      <c r="FNB955" s="252"/>
      <c r="FNC955" s="252"/>
      <c r="FND955" s="252"/>
      <c r="FNE955" s="252"/>
      <c r="FNF955" s="252"/>
      <c r="FNG955" s="252"/>
      <c r="FNH955" s="252"/>
      <c r="FNI955" s="252"/>
      <c r="FNJ955" s="252"/>
      <c r="FNK955" s="252"/>
      <c r="FNL955" s="252"/>
      <c r="FNM955" s="252"/>
      <c r="FNN955" s="252"/>
      <c r="FNO955" s="252"/>
      <c r="FNP955" s="252"/>
      <c r="FNQ955" s="252"/>
      <c r="FNR955" s="252"/>
      <c r="FNS955" s="252"/>
      <c r="FNT955" s="252"/>
      <c r="FNU955" s="252"/>
      <c r="FNV955" s="252"/>
      <c r="FNW955" s="252"/>
      <c r="FNX955" s="252"/>
      <c r="FNY955" s="252"/>
      <c r="FNZ955" s="252"/>
      <c r="FOA955" s="252"/>
      <c r="FOB955" s="252"/>
      <c r="FOC955" s="252"/>
      <c r="FOD955" s="252"/>
      <c r="FOE955" s="252"/>
      <c r="FOF955" s="252"/>
      <c r="FOG955" s="252"/>
      <c r="FOH955" s="252"/>
      <c r="FOI955" s="252"/>
      <c r="FOJ955" s="252"/>
      <c r="FOK955" s="252"/>
      <c r="FOL955" s="252"/>
      <c r="FOM955" s="252"/>
      <c r="FON955" s="252"/>
      <c r="FOO955" s="252"/>
      <c r="FOP955" s="252"/>
      <c r="FOQ955" s="252"/>
      <c r="FOR955" s="252"/>
      <c r="FOS955" s="252"/>
      <c r="FOT955" s="252"/>
      <c r="FOU955" s="252"/>
      <c r="FOV955" s="252"/>
      <c r="FOW955" s="252"/>
      <c r="FOX955" s="252"/>
      <c r="FOY955" s="252"/>
      <c r="FOZ955" s="252"/>
      <c r="FPA955" s="252"/>
      <c r="FPB955" s="252"/>
      <c r="FPC955" s="252"/>
      <c r="FPD955" s="252"/>
      <c r="FPE955" s="252"/>
      <c r="FPF955" s="252"/>
      <c r="FPG955" s="252"/>
      <c r="FPH955" s="252"/>
      <c r="FPI955" s="252"/>
      <c r="FPJ955" s="252"/>
      <c r="FPK955" s="252"/>
      <c r="FPL955" s="252"/>
      <c r="FPM955" s="252"/>
      <c r="FPN955" s="252"/>
      <c r="FPO955" s="252"/>
      <c r="FPP955" s="252"/>
      <c r="FPQ955" s="252"/>
      <c r="FPR955" s="252"/>
      <c r="FPS955" s="252"/>
      <c r="FPT955" s="252"/>
      <c r="FPU955" s="252"/>
      <c r="FPV955" s="252"/>
      <c r="FPW955" s="252"/>
      <c r="FPX955" s="252"/>
      <c r="FPY955" s="252"/>
      <c r="FPZ955" s="252"/>
      <c r="FQA955" s="252"/>
      <c r="FQB955" s="252"/>
      <c r="FQC955" s="252"/>
      <c r="FQD955" s="252"/>
      <c r="FQE955" s="252"/>
      <c r="FQF955" s="252"/>
      <c r="FQG955" s="252"/>
      <c r="FQH955" s="252"/>
      <c r="FQI955" s="252"/>
      <c r="FQJ955" s="252"/>
      <c r="FQK955" s="252"/>
      <c r="FQL955" s="252"/>
      <c r="FQM955" s="252"/>
      <c r="FQN955" s="252"/>
      <c r="FQO955" s="252"/>
      <c r="FQP955" s="252"/>
      <c r="FQQ955" s="252"/>
      <c r="FQR955" s="252"/>
      <c r="FQS955" s="252"/>
      <c r="FQT955" s="252"/>
      <c r="FQU955" s="252"/>
      <c r="FQV955" s="252"/>
      <c r="FQW955" s="252"/>
      <c r="FQX955" s="252"/>
      <c r="FQY955" s="252"/>
      <c r="FQZ955" s="252"/>
      <c r="FRA955" s="252"/>
      <c r="FRB955" s="252"/>
      <c r="FRC955" s="252"/>
      <c r="FRD955" s="252"/>
      <c r="FRE955" s="252"/>
      <c r="FRF955" s="252"/>
      <c r="FRG955" s="252"/>
      <c r="FRH955" s="252"/>
      <c r="FRI955" s="252"/>
      <c r="FRJ955" s="252"/>
      <c r="FRK955" s="252"/>
      <c r="FRL955" s="252"/>
      <c r="FRM955" s="252"/>
      <c r="FRN955" s="252"/>
      <c r="FRO955" s="252"/>
      <c r="FRP955" s="252"/>
      <c r="FRQ955" s="252"/>
      <c r="FRR955" s="252"/>
      <c r="FRS955" s="252"/>
      <c r="FRT955" s="252"/>
      <c r="FRU955" s="252"/>
      <c r="FRV955" s="252"/>
      <c r="FRW955" s="252"/>
      <c r="FRX955" s="252"/>
      <c r="FRY955" s="252"/>
      <c r="FRZ955" s="252"/>
      <c r="FSA955" s="252"/>
      <c r="FSB955" s="252"/>
      <c r="FSC955" s="252"/>
      <c r="FSD955" s="252"/>
      <c r="FSE955" s="252"/>
      <c r="FSF955" s="252"/>
      <c r="FSG955" s="252"/>
      <c r="FSH955" s="252"/>
      <c r="FSI955" s="252"/>
      <c r="FSJ955" s="252"/>
      <c r="FSK955" s="252"/>
      <c r="FSL955" s="252"/>
      <c r="FSM955" s="252"/>
      <c r="FSN955" s="252"/>
      <c r="FSO955" s="252"/>
      <c r="FSP955" s="252"/>
      <c r="FSQ955" s="252"/>
      <c r="FSR955" s="252"/>
      <c r="FSS955" s="252"/>
      <c r="FST955" s="252"/>
      <c r="FSU955" s="252"/>
      <c r="FSV955" s="252"/>
      <c r="FSW955" s="252"/>
      <c r="FSX955" s="252"/>
      <c r="FSY955" s="252"/>
      <c r="FSZ955" s="252"/>
      <c r="FTA955" s="252"/>
      <c r="FTB955" s="252"/>
      <c r="FTC955" s="252"/>
      <c r="FTD955" s="252"/>
      <c r="FTE955" s="252"/>
      <c r="FTF955" s="252"/>
      <c r="FTG955" s="252"/>
      <c r="FTH955" s="252"/>
      <c r="FTI955" s="252"/>
      <c r="FTJ955" s="252"/>
      <c r="FTK955" s="252"/>
      <c r="FTL955" s="252"/>
      <c r="FTM955" s="252"/>
      <c r="FTN955" s="252"/>
      <c r="FTO955" s="252"/>
      <c r="FTP955" s="252"/>
      <c r="FTQ955" s="252"/>
      <c r="FTR955" s="252"/>
      <c r="FTS955" s="252"/>
      <c r="FTT955" s="252"/>
      <c r="FTU955" s="252"/>
      <c r="FTV955" s="252"/>
      <c r="FTW955" s="252"/>
      <c r="FTX955" s="252"/>
      <c r="FTY955" s="252"/>
      <c r="FTZ955" s="252"/>
      <c r="FUA955" s="252"/>
      <c r="FUB955" s="252"/>
      <c r="FUC955" s="252"/>
      <c r="FUD955" s="252"/>
      <c r="FUE955" s="252"/>
      <c r="FUF955" s="252"/>
      <c r="FUG955" s="252"/>
      <c r="FUH955" s="252"/>
      <c r="FUI955" s="252"/>
      <c r="FUJ955" s="252"/>
      <c r="FUK955" s="252"/>
      <c r="FUL955" s="252"/>
      <c r="FUM955" s="252"/>
      <c r="FUN955" s="252"/>
      <c r="FUO955" s="252"/>
      <c r="FUP955" s="252"/>
      <c r="FUQ955" s="252"/>
      <c r="FUR955" s="252"/>
      <c r="FUS955" s="252"/>
      <c r="FUT955" s="252"/>
      <c r="FUU955" s="252"/>
      <c r="FUV955" s="252"/>
      <c r="FUW955" s="252"/>
      <c r="FUX955" s="252"/>
      <c r="FUY955" s="252"/>
      <c r="FUZ955" s="252"/>
      <c r="FVA955" s="252"/>
      <c r="FVB955" s="252"/>
      <c r="FVC955" s="252"/>
      <c r="FVD955" s="252"/>
      <c r="FVE955" s="252"/>
      <c r="FVF955" s="252"/>
      <c r="FVG955" s="252"/>
      <c r="FVH955" s="252"/>
      <c r="FVI955" s="252"/>
      <c r="FVJ955" s="252"/>
      <c r="FVK955" s="252"/>
      <c r="FVL955" s="252"/>
      <c r="FVM955" s="252"/>
      <c r="FVN955" s="252"/>
      <c r="FVO955" s="252"/>
      <c r="FVP955" s="252"/>
      <c r="FVQ955" s="252"/>
      <c r="FVR955" s="252"/>
      <c r="FVS955" s="252"/>
      <c r="FVT955" s="252"/>
      <c r="FVU955" s="252"/>
      <c r="FVV955" s="252"/>
      <c r="FVW955" s="252"/>
      <c r="FVX955" s="252"/>
      <c r="FVY955" s="252"/>
      <c r="FVZ955" s="252"/>
      <c r="FWA955" s="252"/>
      <c r="FWB955" s="252"/>
      <c r="FWC955" s="252"/>
      <c r="FWD955" s="252"/>
      <c r="FWE955" s="252"/>
      <c r="FWF955" s="252"/>
      <c r="FWG955" s="252"/>
      <c r="FWH955" s="252"/>
      <c r="FWI955" s="252"/>
      <c r="FWJ955" s="252"/>
      <c r="FWK955" s="252"/>
      <c r="FWL955" s="252"/>
      <c r="FWM955" s="252"/>
      <c r="FWN955" s="252"/>
      <c r="FWO955" s="252"/>
      <c r="FWP955" s="252"/>
      <c r="FWQ955" s="252"/>
      <c r="FWR955" s="252"/>
      <c r="FWS955" s="252"/>
      <c r="FWT955" s="252"/>
      <c r="FWU955" s="252"/>
      <c r="FWV955" s="252"/>
      <c r="FWW955" s="252"/>
      <c r="FWX955" s="252"/>
      <c r="FWY955" s="252"/>
      <c r="FWZ955" s="252"/>
      <c r="FXA955" s="252"/>
      <c r="FXB955" s="252"/>
      <c r="FXC955" s="252"/>
      <c r="FXD955" s="252"/>
      <c r="FXE955" s="252"/>
      <c r="FXF955" s="252"/>
      <c r="FXG955" s="252"/>
      <c r="FXH955" s="252"/>
      <c r="FXI955" s="252"/>
      <c r="FXJ955" s="252"/>
      <c r="FXK955" s="252"/>
      <c r="FXL955" s="252"/>
      <c r="FXM955" s="252"/>
      <c r="FXN955" s="252"/>
      <c r="FXO955" s="252"/>
      <c r="FXP955" s="252"/>
      <c r="FXQ955" s="252"/>
      <c r="FXR955" s="252"/>
      <c r="FXS955" s="252"/>
      <c r="FXT955" s="252"/>
      <c r="FXU955" s="252"/>
      <c r="FXV955" s="252"/>
      <c r="FXW955" s="252"/>
      <c r="FXX955" s="252"/>
      <c r="FXY955" s="252"/>
      <c r="FXZ955" s="252"/>
      <c r="FYA955" s="252"/>
      <c r="FYB955" s="252"/>
      <c r="FYC955" s="252"/>
      <c r="FYD955" s="252"/>
      <c r="FYE955" s="252"/>
      <c r="FYF955" s="252"/>
      <c r="FYG955" s="252"/>
      <c r="FYH955" s="252"/>
      <c r="FYI955" s="252"/>
      <c r="FYJ955" s="252"/>
      <c r="FYK955" s="252"/>
      <c r="FYL955" s="252"/>
      <c r="FYM955" s="252"/>
      <c r="FYN955" s="252"/>
      <c r="FYO955" s="252"/>
      <c r="FYP955" s="252"/>
      <c r="FYQ955" s="252"/>
      <c r="FYR955" s="252"/>
      <c r="FYS955" s="252"/>
      <c r="FYT955" s="252"/>
      <c r="FYU955" s="252"/>
      <c r="FYV955" s="252"/>
      <c r="FYW955" s="252"/>
      <c r="FYX955" s="252"/>
      <c r="FYY955" s="252"/>
      <c r="FYZ955" s="252"/>
      <c r="FZA955" s="252"/>
      <c r="FZB955" s="252"/>
      <c r="FZC955" s="252"/>
      <c r="FZD955" s="252"/>
      <c r="FZE955" s="252"/>
      <c r="FZF955" s="252"/>
      <c r="FZG955" s="252"/>
      <c r="FZH955" s="252"/>
      <c r="FZI955" s="252"/>
      <c r="FZJ955" s="252"/>
      <c r="FZK955" s="252"/>
      <c r="FZL955" s="252"/>
      <c r="FZM955" s="252"/>
      <c r="FZN955" s="252"/>
      <c r="FZO955" s="252"/>
      <c r="FZP955" s="252"/>
      <c r="FZQ955" s="252"/>
      <c r="FZR955" s="252"/>
      <c r="FZS955" s="252"/>
      <c r="FZT955" s="252"/>
      <c r="FZU955" s="252"/>
      <c r="FZV955" s="252"/>
      <c r="FZW955" s="252"/>
      <c r="FZX955" s="252"/>
      <c r="FZY955" s="252"/>
      <c r="FZZ955" s="252"/>
      <c r="GAA955" s="252"/>
      <c r="GAB955" s="252"/>
      <c r="GAC955" s="252"/>
      <c r="GAD955" s="252"/>
      <c r="GAE955" s="252"/>
      <c r="GAF955" s="252"/>
      <c r="GAG955" s="252"/>
      <c r="GAH955" s="252"/>
      <c r="GAI955" s="252"/>
      <c r="GAJ955" s="252"/>
      <c r="GAK955" s="252"/>
      <c r="GAL955" s="252"/>
      <c r="GAM955" s="252"/>
      <c r="GAN955" s="252"/>
      <c r="GAO955" s="252"/>
      <c r="GAP955" s="252"/>
      <c r="GAQ955" s="252"/>
      <c r="GAR955" s="252"/>
      <c r="GAS955" s="252"/>
      <c r="GAT955" s="252"/>
      <c r="GAU955" s="252"/>
      <c r="GAV955" s="252"/>
      <c r="GAW955" s="252"/>
      <c r="GAX955" s="252"/>
      <c r="GAY955" s="252"/>
      <c r="GAZ955" s="252"/>
      <c r="GBA955" s="252"/>
      <c r="GBB955" s="252"/>
      <c r="GBC955" s="252"/>
      <c r="GBD955" s="252"/>
      <c r="GBE955" s="252"/>
      <c r="GBF955" s="252"/>
      <c r="GBG955" s="252"/>
      <c r="GBH955" s="252"/>
      <c r="GBI955" s="252"/>
      <c r="GBJ955" s="252"/>
      <c r="GBK955" s="252"/>
      <c r="GBL955" s="252"/>
      <c r="GBM955" s="252"/>
      <c r="GBN955" s="252"/>
      <c r="GBO955" s="252"/>
      <c r="GBP955" s="252"/>
      <c r="GBQ955" s="252"/>
      <c r="GBR955" s="252"/>
      <c r="GBS955" s="252"/>
      <c r="GBT955" s="252"/>
      <c r="GBU955" s="252"/>
      <c r="GBV955" s="252"/>
      <c r="GBW955" s="252"/>
      <c r="GBX955" s="252"/>
      <c r="GBY955" s="252"/>
      <c r="GBZ955" s="252"/>
      <c r="GCA955" s="252"/>
      <c r="GCB955" s="252"/>
      <c r="GCC955" s="252"/>
      <c r="GCD955" s="252"/>
      <c r="GCE955" s="252"/>
      <c r="GCF955" s="252"/>
      <c r="GCG955" s="252"/>
      <c r="GCH955" s="252"/>
      <c r="GCI955" s="252"/>
      <c r="GCJ955" s="252"/>
      <c r="GCK955" s="252"/>
      <c r="GCL955" s="252"/>
      <c r="GCM955" s="252"/>
      <c r="GCN955" s="252"/>
      <c r="GCO955" s="252"/>
      <c r="GCP955" s="252"/>
      <c r="GCQ955" s="252"/>
      <c r="GCR955" s="252"/>
      <c r="GCS955" s="252"/>
      <c r="GCT955" s="252"/>
      <c r="GCU955" s="252"/>
      <c r="GCV955" s="252"/>
      <c r="GCW955" s="252"/>
      <c r="GCX955" s="252"/>
      <c r="GCY955" s="252"/>
      <c r="GCZ955" s="252"/>
      <c r="GDA955" s="252"/>
      <c r="GDB955" s="252"/>
      <c r="GDC955" s="252"/>
      <c r="GDD955" s="252"/>
      <c r="GDE955" s="252"/>
      <c r="GDF955" s="252"/>
      <c r="GDG955" s="252"/>
      <c r="GDH955" s="252"/>
      <c r="GDI955" s="252"/>
      <c r="GDJ955" s="252"/>
      <c r="GDK955" s="252"/>
      <c r="GDL955" s="252"/>
      <c r="GDM955" s="252"/>
      <c r="GDN955" s="252"/>
      <c r="GDO955" s="252"/>
      <c r="GDP955" s="252"/>
      <c r="GDQ955" s="252"/>
      <c r="GDR955" s="252"/>
      <c r="GDS955" s="252"/>
      <c r="GDT955" s="252"/>
      <c r="GDU955" s="252"/>
      <c r="GDV955" s="252"/>
      <c r="GDW955" s="252"/>
      <c r="GDX955" s="252"/>
      <c r="GDY955" s="252"/>
      <c r="GDZ955" s="252"/>
      <c r="GEA955" s="252"/>
      <c r="GEB955" s="252"/>
      <c r="GEC955" s="252"/>
      <c r="GED955" s="252"/>
      <c r="GEE955" s="252"/>
      <c r="GEF955" s="252"/>
      <c r="GEG955" s="252"/>
      <c r="GEH955" s="252"/>
      <c r="GEI955" s="252"/>
      <c r="GEJ955" s="252"/>
      <c r="GEK955" s="252"/>
      <c r="GEL955" s="252"/>
      <c r="GEM955" s="252"/>
      <c r="GEN955" s="252"/>
      <c r="GEO955" s="252"/>
      <c r="GEP955" s="252"/>
      <c r="GEQ955" s="252"/>
      <c r="GER955" s="252"/>
      <c r="GES955" s="252"/>
      <c r="GET955" s="252"/>
      <c r="GEU955" s="252"/>
      <c r="GEV955" s="252"/>
      <c r="GEW955" s="252"/>
      <c r="GEX955" s="252"/>
      <c r="GEY955" s="252"/>
      <c r="GEZ955" s="252"/>
      <c r="GFA955" s="252"/>
      <c r="GFB955" s="252"/>
      <c r="GFC955" s="252"/>
      <c r="GFD955" s="252"/>
      <c r="GFE955" s="252"/>
      <c r="GFF955" s="252"/>
      <c r="GFG955" s="252"/>
      <c r="GFH955" s="252"/>
      <c r="GFI955" s="252"/>
      <c r="GFJ955" s="252"/>
      <c r="GFK955" s="252"/>
      <c r="GFL955" s="252"/>
      <c r="GFM955" s="252"/>
      <c r="GFN955" s="252"/>
      <c r="GFO955" s="252"/>
      <c r="GFP955" s="252"/>
      <c r="GFQ955" s="252"/>
      <c r="GFR955" s="252"/>
      <c r="GFS955" s="252"/>
      <c r="GFT955" s="252"/>
      <c r="GFU955" s="252"/>
      <c r="GFV955" s="252"/>
      <c r="GFW955" s="252"/>
      <c r="GFX955" s="252"/>
      <c r="GFY955" s="252"/>
      <c r="GFZ955" s="252"/>
      <c r="GGA955" s="252"/>
      <c r="GGB955" s="252"/>
      <c r="GGC955" s="252"/>
      <c r="GGD955" s="252"/>
      <c r="GGE955" s="252"/>
      <c r="GGF955" s="252"/>
      <c r="GGG955" s="252"/>
      <c r="GGH955" s="252"/>
      <c r="GGI955" s="252"/>
      <c r="GGJ955" s="252"/>
      <c r="GGK955" s="252"/>
      <c r="GGL955" s="252"/>
      <c r="GGM955" s="252"/>
      <c r="GGN955" s="252"/>
      <c r="GGO955" s="252"/>
      <c r="GGP955" s="252"/>
      <c r="GGQ955" s="252"/>
      <c r="GGR955" s="252"/>
      <c r="GGS955" s="252"/>
      <c r="GGT955" s="252"/>
      <c r="GGU955" s="252"/>
      <c r="GGV955" s="252"/>
      <c r="GGW955" s="252"/>
      <c r="GGX955" s="252"/>
      <c r="GGY955" s="252"/>
      <c r="GGZ955" s="252"/>
      <c r="GHA955" s="252"/>
      <c r="GHB955" s="252"/>
      <c r="GHC955" s="252"/>
      <c r="GHD955" s="252"/>
      <c r="GHE955" s="252"/>
      <c r="GHF955" s="252"/>
      <c r="GHG955" s="252"/>
      <c r="GHH955" s="252"/>
      <c r="GHI955" s="252"/>
      <c r="GHJ955" s="252"/>
      <c r="GHK955" s="252"/>
      <c r="GHL955" s="252"/>
      <c r="GHM955" s="252"/>
      <c r="GHN955" s="252"/>
      <c r="GHO955" s="252"/>
      <c r="GHP955" s="252"/>
      <c r="GHQ955" s="252"/>
      <c r="GHR955" s="252"/>
      <c r="GHS955" s="252"/>
      <c r="GHT955" s="252"/>
      <c r="GHU955" s="252"/>
      <c r="GHV955" s="252"/>
      <c r="GHW955" s="252"/>
      <c r="GHX955" s="252"/>
      <c r="GHY955" s="252"/>
      <c r="GHZ955" s="252"/>
      <c r="GIA955" s="252"/>
      <c r="GIB955" s="252"/>
      <c r="GIC955" s="252"/>
      <c r="GID955" s="252"/>
      <c r="GIE955" s="252"/>
      <c r="GIF955" s="252"/>
      <c r="GIG955" s="252"/>
      <c r="GIH955" s="252"/>
      <c r="GII955" s="252"/>
      <c r="GIJ955" s="252"/>
      <c r="GIK955" s="252"/>
      <c r="GIL955" s="252"/>
      <c r="GIM955" s="252"/>
      <c r="GIN955" s="252"/>
      <c r="GIO955" s="252"/>
      <c r="GIP955" s="252"/>
      <c r="GIQ955" s="252"/>
      <c r="GIR955" s="252"/>
      <c r="GIS955" s="252"/>
      <c r="GIT955" s="252"/>
      <c r="GIU955" s="252"/>
      <c r="GIV955" s="252"/>
      <c r="GIW955" s="252"/>
      <c r="GIX955" s="252"/>
      <c r="GIY955" s="252"/>
      <c r="GIZ955" s="252"/>
      <c r="GJA955" s="252"/>
      <c r="GJB955" s="252"/>
      <c r="GJC955" s="252"/>
      <c r="GJD955" s="252"/>
      <c r="GJE955" s="252"/>
      <c r="GJF955" s="252"/>
      <c r="GJG955" s="252"/>
      <c r="GJH955" s="252"/>
      <c r="GJI955" s="252"/>
      <c r="GJJ955" s="252"/>
      <c r="GJK955" s="252"/>
      <c r="GJL955" s="252"/>
      <c r="GJM955" s="252"/>
      <c r="GJN955" s="252"/>
      <c r="GJO955" s="252"/>
      <c r="GJP955" s="252"/>
      <c r="GJQ955" s="252"/>
      <c r="GJR955" s="252"/>
      <c r="GJS955" s="252"/>
      <c r="GJT955" s="252"/>
      <c r="GJU955" s="252"/>
      <c r="GJV955" s="252"/>
      <c r="GJW955" s="252"/>
      <c r="GJX955" s="252"/>
      <c r="GJY955" s="252"/>
      <c r="GJZ955" s="252"/>
      <c r="GKA955" s="252"/>
      <c r="GKB955" s="252"/>
      <c r="GKC955" s="252"/>
      <c r="GKD955" s="252"/>
      <c r="GKE955" s="252"/>
      <c r="GKF955" s="252"/>
      <c r="GKG955" s="252"/>
      <c r="GKH955" s="252"/>
      <c r="GKI955" s="252"/>
      <c r="GKJ955" s="252"/>
      <c r="GKK955" s="252"/>
      <c r="GKL955" s="252"/>
      <c r="GKM955" s="252"/>
      <c r="GKN955" s="252"/>
      <c r="GKO955" s="252"/>
      <c r="GKP955" s="252"/>
      <c r="GKQ955" s="252"/>
      <c r="GKR955" s="252"/>
      <c r="GKS955" s="252"/>
      <c r="GKT955" s="252"/>
      <c r="GKU955" s="252"/>
      <c r="GKV955" s="252"/>
      <c r="GKW955" s="252"/>
      <c r="GKX955" s="252"/>
      <c r="GKY955" s="252"/>
      <c r="GKZ955" s="252"/>
      <c r="GLA955" s="252"/>
      <c r="GLB955" s="252"/>
      <c r="GLC955" s="252"/>
      <c r="GLD955" s="252"/>
      <c r="GLE955" s="252"/>
      <c r="GLF955" s="252"/>
      <c r="GLG955" s="252"/>
      <c r="GLH955" s="252"/>
      <c r="GLI955" s="252"/>
      <c r="GLJ955" s="252"/>
      <c r="GLK955" s="252"/>
      <c r="GLL955" s="252"/>
      <c r="GLM955" s="252"/>
      <c r="GLN955" s="252"/>
      <c r="GLO955" s="252"/>
      <c r="GLP955" s="252"/>
      <c r="GLQ955" s="252"/>
      <c r="GLR955" s="252"/>
      <c r="GLS955" s="252"/>
      <c r="GLT955" s="252"/>
      <c r="GLU955" s="252"/>
      <c r="GLV955" s="252"/>
      <c r="GLW955" s="252"/>
      <c r="GLX955" s="252"/>
      <c r="GLY955" s="252"/>
      <c r="GLZ955" s="252"/>
      <c r="GMA955" s="252"/>
      <c r="GMB955" s="252"/>
      <c r="GMC955" s="252"/>
      <c r="GMD955" s="252"/>
      <c r="GME955" s="252"/>
      <c r="GMF955" s="252"/>
      <c r="GMG955" s="252"/>
      <c r="GMH955" s="252"/>
      <c r="GMI955" s="252"/>
      <c r="GMJ955" s="252"/>
      <c r="GMK955" s="252"/>
      <c r="GML955" s="252"/>
      <c r="GMM955" s="252"/>
      <c r="GMN955" s="252"/>
      <c r="GMO955" s="252"/>
      <c r="GMP955" s="252"/>
      <c r="GMQ955" s="252"/>
      <c r="GMR955" s="252"/>
      <c r="GMS955" s="252"/>
      <c r="GMT955" s="252"/>
      <c r="GMU955" s="252"/>
      <c r="GMV955" s="252"/>
      <c r="GMW955" s="252"/>
      <c r="GMX955" s="252"/>
      <c r="GMY955" s="252"/>
      <c r="GMZ955" s="252"/>
      <c r="GNA955" s="252"/>
      <c r="GNB955" s="252"/>
      <c r="GNC955" s="252"/>
      <c r="GND955" s="252"/>
      <c r="GNE955" s="252"/>
      <c r="GNF955" s="252"/>
      <c r="GNG955" s="252"/>
      <c r="GNH955" s="252"/>
      <c r="GNI955" s="252"/>
      <c r="GNJ955" s="252"/>
      <c r="GNK955" s="252"/>
      <c r="GNL955" s="252"/>
      <c r="GNM955" s="252"/>
      <c r="GNN955" s="252"/>
      <c r="GNO955" s="252"/>
      <c r="GNP955" s="252"/>
      <c r="GNQ955" s="252"/>
      <c r="GNR955" s="252"/>
      <c r="GNS955" s="252"/>
      <c r="GNT955" s="252"/>
      <c r="GNU955" s="252"/>
      <c r="GNV955" s="252"/>
      <c r="GNW955" s="252"/>
      <c r="GNX955" s="252"/>
      <c r="GNY955" s="252"/>
      <c r="GNZ955" s="252"/>
      <c r="GOA955" s="252"/>
      <c r="GOB955" s="252"/>
      <c r="GOC955" s="252"/>
      <c r="GOD955" s="252"/>
      <c r="GOE955" s="252"/>
      <c r="GOF955" s="252"/>
      <c r="GOG955" s="252"/>
      <c r="GOH955" s="252"/>
      <c r="GOI955" s="252"/>
      <c r="GOJ955" s="252"/>
      <c r="GOK955" s="252"/>
      <c r="GOL955" s="252"/>
      <c r="GOM955" s="252"/>
      <c r="GON955" s="252"/>
      <c r="GOO955" s="252"/>
      <c r="GOP955" s="252"/>
      <c r="GOQ955" s="252"/>
      <c r="GOR955" s="252"/>
      <c r="GOS955" s="252"/>
      <c r="GOT955" s="252"/>
      <c r="GOU955" s="252"/>
      <c r="GOV955" s="252"/>
      <c r="GOW955" s="252"/>
      <c r="GOX955" s="252"/>
      <c r="GOY955" s="252"/>
      <c r="GOZ955" s="252"/>
      <c r="GPA955" s="252"/>
      <c r="GPB955" s="252"/>
      <c r="GPC955" s="252"/>
      <c r="GPD955" s="252"/>
      <c r="GPE955" s="252"/>
      <c r="GPF955" s="252"/>
      <c r="GPG955" s="252"/>
      <c r="GPH955" s="252"/>
      <c r="GPI955" s="252"/>
      <c r="GPJ955" s="252"/>
      <c r="GPK955" s="252"/>
      <c r="GPL955" s="252"/>
      <c r="GPM955" s="252"/>
      <c r="GPN955" s="252"/>
      <c r="GPO955" s="252"/>
      <c r="GPP955" s="252"/>
      <c r="GPQ955" s="252"/>
      <c r="GPR955" s="252"/>
      <c r="GPS955" s="252"/>
      <c r="GPT955" s="252"/>
      <c r="GPU955" s="252"/>
      <c r="GPV955" s="252"/>
      <c r="GPW955" s="252"/>
      <c r="GPX955" s="252"/>
      <c r="GPY955" s="252"/>
      <c r="GPZ955" s="252"/>
      <c r="GQA955" s="252"/>
      <c r="GQB955" s="252"/>
      <c r="GQC955" s="252"/>
      <c r="GQD955" s="252"/>
      <c r="GQE955" s="252"/>
      <c r="GQF955" s="252"/>
      <c r="GQG955" s="252"/>
      <c r="GQH955" s="252"/>
      <c r="GQI955" s="252"/>
      <c r="GQJ955" s="252"/>
      <c r="GQK955" s="252"/>
      <c r="GQL955" s="252"/>
      <c r="GQM955" s="252"/>
      <c r="GQN955" s="252"/>
      <c r="GQO955" s="252"/>
      <c r="GQP955" s="252"/>
      <c r="GQQ955" s="252"/>
      <c r="GQR955" s="252"/>
      <c r="GQS955" s="252"/>
      <c r="GQT955" s="252"/>
      <c r="GQU955" s="252"/>
      <c r="GQV955" s="252"/>
      <c r="GQW955" s="252"/>
      <c r="GQX955" s="252"/>
      <c r="GQY955" s="252"/>
      <c r="GQZ955" s="252"/>
      <c r="GRA955" s="252"/>
      <c r="GRB955" s="252"/>
      <c r="GRC955" s="252"/>
      <c r="GRD955" s="252"/>
      <c r="GRE955" s="252"/>
      <c r="GRF955" s="252"/>
      <c r="GRG955" s="252"/>
      <c r="GRH955" s="252"/>
      <c r="GRI955" s="252"/>
      <c r="GRJ955" s="252"/>
      <c r="GRK955" s="252"/>
      <c r="GRL955" s="252"/>
      <c r="GRM955" s="252"/>
      <c r="GRN955" s="252"/>
      <c r="GRO955" s="252"/>
      <c r="GRP955" s="252"/>
      <c r="GRQ955" s="252"/>
      <c r="GRR955" s="252"/>
      <c r="GRS955" s="252"/>
      <c r="GRT955" s="252"/>
      <c r="GRU955" s="252"/>
      <c r="GRV955" s="252"/>
      <c r="GRW955" s="252"/>
      <c r="GRX955" s="252"/>
      <c r="GRY955" s="252"/>
      <c r="GRZ955" s="252"/>
      <c r="GSA955" s="252"/>
      <c r="GSB955" s="252"/>
      <c r="GSC955" s="252"/>
      <c r="GSD955" s="252"/>
      <c r="GSE955" s="252"/>
      <c r="GSF955" s="252"/>
      <c r="GSG955" s="252"/>
      <c r="GSH955" s="252"/>
      <c r="GSI955" s="252"/>
      <c r="GSJ955" s="252"/>
      <c r="GSK955" s="252"/>
      <c r="GSL955" s="252"/>
      <c r="GSM955" s="252"/>
      <c r="GSN955" s="252"/>
      <c r="GSO955" s="252"/>
      <c r="GSP955" s="252"/>
      <c r="GSQ955" s="252"/>
      <c r="GSR955" s="252"/>
      <c r="GSS955" s="252"/>
      <c r="GST955" s="252"/>
      <c r="GSU955" s="252"/>
      <c r="GSV955" s="252"/>
      <c r="GSW955" s="252"/>
      <c r="GSX955" s="252"/>
      <c r="GSY955" s="252"/>
      <c r="GSZ955" s="252"/>
      <c r="GTA955" s="252"/>
      <c r="GTB955" s="252"/>
      <c r="GTC955" s="252"/>
      <c r="GTD955" s="252"/>
      <c r="GTE955" s="252"/>
      <c r="GTF955" s="252"/>
      <c r="GTG955" s="252"/>
      <c r="GTH955" s="252"/>
      <c r="GTI955" s="252"/>
      <c r="GTJ955" s="252"/>
      <c r="GTK955" s="252"/>
      <c r="GTL955" s="252"/>
      <c r="GTM955" s="252"/>
      <c r="GTN955" s="252"/>
      <c r="GTO955" s="252"/>
      <c r="GTP955" s="252"/>
      <c r="GTQ955" s="252"/>
      <c r="GTR955" s="252"/>
      <c r="GTS955" s="252"/>
      <c r="GTT955" s="252"/>
      <c r="GTU955" s="252"/>
      <c r="GTV955" s="252"/>
      <c r="GTW955" s="252"/>
      <c r="GTX955" s="252"/>
      <c r="GTY955" s="252"/>
      <c r="GTZ955" s="252"/>
      <c r="GUA955" s="252"/>
      <c r="GUB955" s="252"/>
      <c r="GUC955" s="252"/>
      <c r="GUD955" s="252"/>
      <c r="GUE955" s="252"/>
      <c r="GUF955" s="252"/>
      <c r="GUG955" s="252"/>
      <c r="GUH955" s="252"/>
      <c r="GUI955" s="252"/>
      <c r="GUJ955" s="252"/>
      <c r="GUK955" s="252"/>
      <c r="GUL955" s="252"/>
      <c r="GUM955" s="252"/>
      <c r="GUN955" s="252"/>
      <c r="GUO955" s="252"/>
      <c r="GUP955" s="252"/>
      <c r="GUQ955" s="252"/>
      <c r="GUR955" s="252"/>
      <c r="GUS955" s="252"/>
      <c r="GUT955" s="252"/>
      <c r="GUU955" s="252"/>
      <c r="GUV955" s="252"/>
      <c r="GUW955" s="252"/>
      <c r="GUX955" s="252"/>
      <c r="GUY955" s="252"/>
      <c r="GUZ955" s="252"/>
      <c r="GVA955" s="252"/>
      <c r="GVB955" s="252"/>
      <c r="GVC955" s="252"/>
      <c r="GVD955" s="252"/>
      <c r="GVE955" s="252"/>
      <c r="GVF955" s="252"/>
      <c r="GVG955" s="252"/>
      <c r="GVH955" s="252"/>
      <c r="GVI955" s="252"/>
      <c r="GVJ955" s="252"/>
      <c r="GVK955" s="252"/>
      <c r="GVL955" s="252"/>
      <c r="GVM955" s="252"/>
      <c r="GVN955" s="252"/>
      <c r="GVO955" s="252"/>
      <c r="GVP955" s="252"/>
      <c r="GVQ955" s="252"/>
      <c r="GVR955" s="252"/>
      <c r="GVS955" s="252"/>
      <c r="GVT955" s="252"/>
      <c r="GVU955" s="252"/>
      <c r="GVV955" s="252"/>
      <c r="GVW955" s="252"/>
      <c r="GVX955" s="252"/>
      <c r="GVY955" s="252"/>
      <c r="GVZ955" s="252"/>
      <c r="GWA955" s="252"/>
      <c r="GWB955" s="252"/>
      <c r="GWC955" s="252"/>
      <c r="GWD955" s="252"/>
      <c r="GWE955" s="252"/>
      <c r="GWF955" s="252"/>
      <c r="GWG955" s="252"/>
      <c r="GWH955" s="252"/>
      <c r="GWI955" s="252"/>
      <c r="GWJ955" s="252"/>
      <c r="GWK955" s="252"/>
      <c r="GWL955" s="252"/>
      <c r="GWM955" s="252"/>
      <c r="GWN955" s="252"/>
      <c r="GWO955" s="252"/>
      <c r="GWP955" s="252"/>
      <c r="GWQ955" s="252"/>
      <c r="GWR955" s="252"/>
      <c r="GWS955" s="252"/>
      <c r="GWT955" s="252"/>
      <c r="GWU955" s="252"/>
      <c r="GWV955" s="252"/>
      <c r="GWW955" s="252"/>
      <c r="GWX955" s="252"/>
      <c r="GWY955" s="252"/>
      <c r="GWZ955" s="252"/>
      <c r="GXA955" s="252"/>
      <c r="GXB955" s="252"/>
      <c r="GXC955" s="252"/>
      <c r="GXD955" s="252"/>
      <c r="GXE955" s="252"/>
      <c r="GXF955" s="252"/>
      <c r="GXG955" s="252"/>
      <c r="GXH955" s="252"/>
      <c r="GXI955" s="252"/>
      <c r="GXJ955" s="252"/>
      <c r="GXK955" s="252"/>
      <c r="GXL955" s="252"/>
      <c r="GXM955" s="252"/>
      <c r="GXN955" s="252"/>
      <c r="GXO955" s="252"/>
      <c r="GXP955" s="252"/>
      <c r="GXQ955" s="252"/>
      <c r="GXR955" s="252"/>
      <c r="GXS955" s="252"/>
      <c r="GXT955" s="252"/>
      <c r="GXU955" s="252"/>
      <c r="GXV955" s="252"/>
      <c r="GXW955" s="252"/>
      <c r="GXX955" s="252"/>
      <c r="GXY955" s="252"/>
      <c r="GXZ955" s="252"/>
      <c r="GYA955" s="252"/>
      <c r="GYB955" s="252"/>
      <c r="GYC955" s="252"/>
      <c r="GYD955" s="252"/>
      <c r="GYE955" s="252"/>
      <c r="GYF955" s="252"/>
      <c r="GYG955" s="252"/>
      <c r="GYH955" s="252"/>
      <c r="GYI955" s="252"/>
      <c r="GYJ955" s="252"/>
      <c r="GYK955" s="252"/>
      <c r="GYL955" s="252"/>
      <c r="GYM955" s="252"/>
      <c r="GYN955" s="252"/>
      <c r="GYO955" s="252"/>
      <c r="GYP955" s="252"/>
      <c r="GYQ955" s="252"/>
      <c r="GYR955" s="252"/>
      <c r="GYS955" s="252"/>
      <c r="GYT955" s="252"/>
      <c r="GYU955" s="252"/>
      <c r="GYV955" s="252"/>
      <c r="GYW955" s="252"/>
      <c r="GYX955" s="252"/>
      <c r="GYY955" s="252"/>
      <c r="GYZ955" s="252"/>
      <c r="GZA955" s="252"/>
      <c r="GZB955" s="252"/>
      <c r="GZC955" s="252"/>
      <c r="GZD955" s="252"/>
      <c r="GZE955" s="252"/>
      <c r="GZF955" s="252"/>
      <c r="GZG955" s="252"/>
      <c r="GZH955" s="252"/>
      <c r="GZI955" s="252"/>
      <c r="GZJ955" s="252"/>
      <c r="GZK955" s="252"/>
      <c r="GZL955" s="252"/>
      <c r="GZM955" s="252"/>
      <c r="GZN955" s="252"/>
      <c r="GZO955" s="252"/>
      <c r="GZP955" s="252"/>
      <c r="GZQ955" s="252"/>
      <c r="GZR955" s="252"/>
      <c r="GZS955" s="252"/>
      <c r="GZT955" s="252"/>
      <c r="GZU955" s="252"/>
      <c r="GZV955" s="252"/>
      <c r="GZW955" s="252"/>
      <c r="GZX955" s="252"/>
      <c r="GZY955" s="252"/>
      <c r="GZZ955" s="252"/>
      <c r="HAA955" s="252"/>
      <c r="HAB955" s="252"/>
      <c r="HAC955" s="252"/>
      <c r="HAD955" s="252"/>
      <c r="HAE955" s="252"/>
      <c r="HAF955" s="252"/>
      <c r="HAG955" s="252"/>
      <c r="HAH955" s="252"/>
      <c r="HAI955" s="252"/>
      <c r="HAJ955" s="252"/>
      <c r="HAK955" s="252"/>
      <c r="HAL955" s="252"/>
      <c r="HAM955" s="252"/>
      <c r="HAN955" s="252"/>
      <c r="HAO955" s="252"/>
      <c r="HAP955" s="252"/>
      <c r="HAQ955" s="252"/>
      <c r="HAR955" s="252"/>
      <c r="HAS955" s="252"/>
      <c r="HAT955" s="252"/>
      <c r="HAU955" s="252"/>
      <c r="HAV955" s="252"/>
      <c r="HAW955" s="252"/>
      <c r="HAX955" s="252"/>
      <c r="HAY955" s="252"/>
      <c r="HAZ955" s="252"/>
      <c r="HBA955" s="252"/>
      <c r="HBB955" s="252"/>
      <c r="HBC955" s="252"/>
      <c r="HBD955" s="252"/>
      <c r="HBE955" s="252"/>
      <c r="HBF955" s="252"/>
      <c r="HBG955" s="252"/>
      <c r="HBH955" s="252"/>
      <c r="HBI955" s="252"/>
      <c r="HBJ955" s="252"/>
      <c r="HBK955" s="252"/>
      <c r="HBL955" s="252"/>
      <c r="HBM955" s="252"/>
      <c r="HBN955" s="252"/>
      <c r="HBO955" s="252"/>
      <c r="HBP955" s="252"/>
      <c r="HBQ955" s="252"/>
      <c r="HBR955" s="252"/>
      <c r="HBS955" s="252"/>
      <c r="HBT955" s="252"/>
      <c r="HBU955" s="252"/>
      <c r="HBV955" s="252"/>
      <c r="HBW955" s="252"/>
      <c r="HBX955" s="252"/>
      <c r="HBY955" s="252"/>
      <c r="HBZ955" s="252"/>
      <c r="HCA955" s="252"/>
      <c r="HCB955" s="252"/>
      <c r="HCC955" s="252"/>
      <c r="HCD955" s="252"/>
      <c r="HCE955" s="252"/>
      <c r="HCF955" s="252"/>
      <c r="HCG955" s="252"/>
      <c r="HCH955" s="252"/>
      <c r="HCI955" s="252"/>
      <c r="HCJ955" s="252"/>
      <c r="HCK955" s="252"/>
      <c r="HCL955" s="252"/>
      <c r="HCM955" s="252"/>
      <c r="HCN955" s="252"/>
      <c r="HCO955" s="252"/>
      <c r="HCP955" s="252"/>
      <c r="HCQ955" s="252"/>
      <c r="HCR955" s="252"/>
      <c r="HCS955" s="252"/>
      <c r="HCT955" s="252"/>
      <c r="HCU955" s="252"/>
      <c r="HCV955" s="252"/>
      <c r="HCW955" s="252"/>
      <c r="HCX955" s="252"/>
      <c r="HCY955" s="252"/>
      <c r="HCZ955" s="252"/>
      <c r="HDA955" s="252"/>
      <c r="HDB955" s="252"/>
      <c r="HDC955" s="252"/>
      <c r="HDD955" s="252"/>
      <c r="HDE955" s="252"/>
      <c r="HDF955" s="252"/>
      <c r="HDG955" s="252"/>
      <c r="HDH955" s="252"/>
      <c r="HDI955" s="252"/>
      <c r="HDJ955" s="252"/>
      <c r="HDK955" s="252"/>
      <c r="HDL955" s="252"/>
      <c r="HDM955" s="252"/>
      <c r="HDN955" s="252"/>
      <c r="HDO955" s="252"/>
      <c r="HDP955" s="252"/>
      <c r="HDQ955" s="252"/>
      <c r="HDR955" s="252"/>
      <c r="HDS955" s="252"/>
      <c r="HDT955" s="252"/>
      <c r="HDU955" s="252"/>
      <c r="HDV955" s="252"/>
      <c r="HDW955" s="252"/>
      <c r="HDX955" s="252"/>
      <c r="HDY955" s="252"/>
      <c r="HDZ955" s="252"/>
      <c r="HEA955" s="252"/>
      <c r="HEB955" s="252"/>
      <c r="HEC955" s="252"/>
      <c r="HED955" s="252"/>
      <c r="HEE955" s="252"/>
      <c r="HEF955" s="252"/>
      <c r="HEG955" s="252"/>
      <c r="HEH955" s="252"/>
      <c r="HEI955" s="252"/>
      <c r="HEJ955" s="252"/>
      <c r="HEK955" s="252"/>
      <c r="HEL955" s="252"/>
      <c r="HEM955" s="252"/>
      <c r="HEN955" s="252"/>
      <c r="HEO955" s="252"/>
      <c r="HEP955" s="252"/>
      <c r="HEQ955" s="252"/>
      <c r="HER955" s="252"/>
      <c r="HES955" s="252"/>
      <c r="HET955" s="252"/>
      <c r="HEU955" s="252"/>
      <c r="HEV955" s="252"/>
      <c r="HEW955" s="252"/>
      <c r="HEX955" s="252"/>
      <c r="HEY955" s="252"/>
      <c r="HEZ955" s="252"/>
      <c r="HFA955" s="252"/>
      <c r="HFB955" s="252"/>
      <c r="HFC955" s="252"/>
      <c r="HFD955" s="252"/>
      <c r="HFE955" s="252"/>
      <c r="HFF955" s="252"/>
      <c r="HFG955" s="252"/>
      <c r="HFH955" s="252"/>
      <c r="HFI955" s="252"/>
      <c r="HFJ955" s="252"/>
      <c r="HFK955" s="252"/>
      <c r="HFL955" s="252"/>
      <c r="HFM955" s="252"/>
      <c r="HFN955" s="252"/>
      <c r="HFO955" s="252"/>
      <c r="HFP955" s="252"/>
      <c r="HFQ955" s="252"/>
      <c r="HFR955" s="252"/>
      <c r="HFS955" s="252"/>
      <c r="HFT955" s="252"/>
      <c r="HFU955" s="252"/>
      <c r="HFV955" s="252"/>
      <c r="HFW955" s="252"/>
      <c r="HFX955" s="252"/>
      <c r="HFY955" s="252"/>
      <c r="HFZ955" s="252"/>
      <c r="HGA955" s="252"/>
      <c r="HGB955" s="252"/>
      <c r="HGC955" s="252"/>
      <c r="HGD955" s="252"/>
      <c r="HGE955" s="252"/>
      <c r="HGF955" s="252"/>
      <c r="HGG955" s="252"/>
      <c r="HGH955" s="252"/>
      <c r="HGI955" s="252"/>
      <c r="HGJ955" s="252"/>
      <c r="HGK955" s="252"/>
      <c r="HGL955" s="252"/>
      <c r="HGM955" s="252"/>
      <c r="HGN955" s="252"/>
      <c r="HGO955" s="252"/>
      <c r="HGP955" s="252"/>
      <c r="HGQ955" s="252"/>
      <c r="HGR955" s="252"/>
      <c r="HGS955" s="252"/>
      <c r="HGT955" s="252"/>
      <c r="HGU955" s="252"/>
      <c r="HGV955" s="252"/>
      <c r="HGW955" s="252"/>
      <c r="HGX955" s="252"/>
      <c r="HGY955" s="252"/>
      <c r="HGZ955" s="252"/>
      <c r="HHA955" s="252"/>
      <c r="HHB955" s="252"/>
      <c r="HHC955" s="252"/>
      <c r="HHD955" s="252"/>
      <c r="HHE955" s="252"/>
      <c r="HHF955" s="252"/>
      <c r="HHG955" s="252"/>
      <c r="HHH955" s="252"/>
      <c r="HHI955" s="252"/>
      <c r="HHJ955" s="252"/>
      <c r="HHK955" s="252"/>
      <c r="HHL955" s="252"/>
      <c r="HHM955" s="252"/>
      <c r="HHN955" s="252"/>
      <c r="HHO955" s="252"/>
      <c r="HHP955" s="252"/>
      <c r="HHQ955" s="252"/>
      <c r="HHR955" s="252"/>
      <c r="HHS955" s="252"/>
      <c r="HHT955" s="252"/>
      <c r="HHU955" s="252"/>
      <c r="HHV955" s="252"/>
      <c r="HHW955" s="252"/>
      <c r="HHX955" s="252"/>
      <c r="HHY955" s="252"/>
      <c r="HHZ955" s="252"/>
      <c r="HIA955" s="252"/>
      <c r="HIB955" s="252"/>
      <c r="HIC955" s="252"/>
      <c r="HID955" s="252"/>
      <c r="HIE955" s="252"/>
      <c r="HIF955" s="252"/>
      <c r="HIG955" s="252"/>
      <c r="HIH955" s="252"/>
      <c r="HII955" s="252"/>
      <c r="HIJ955" s="252"/>
      <c r="HIK955" s="252"/>
      <c r="HIL955" s="252"/>
      <c r="HIM955" s="252"/>
      <c r="HIN955" s="252"/>
      <c r="HIO955" s="252"/>
      <c r="HIP955" s="252"/>
      <c r="HIQ955" s="252"/>
      <c r="HIR955" s="252"/>
      <c r="HIS955" s="252"/>
      <c r="HIT955" s="252"/>
      <c r="HIU955" s="252"/>
      <c r="HIV955" s="252"/>
      <c r="HIW955" s="252"/>
      <c r="HIX955" s="252"/>
      <c r="HIY955" s="252"/>
      <c r="HIZ955" s="252"/>
      <c r="HJA955" s="252"/>
      <c r="HJB955" s="252"/>
      <c r="HJC955" s="252"/>
      <c r="HJD955" s="252"/>
      <c r="HJE955" s="252"/>
      <c r="HJF955" s="252"/>
      <c r="HJG955" s="252"/>
      <c r="HJH955" s="252"/>
      <c r="HJI955" s="252"/>
      <c r="HJJ955" s="252"/>
      <c r="HJK955" s="252"/>
      <c r="HJL955" s="252"/>
      <c r="HJM955" s="252"/>
      <c r="HJN955" s="252"/>
      <c r="HJO955" s="252"/>
      <c r="HJP955" s="252"/>
      <c r="HJQ955" s="252"/>
      <c r="HJR955" s="252"/>
      <c r="HJS955" s="252"/>
      <c r="HJT955" s="252"/>
      <c r="HJU955" s="252"/>
      <c r="HJV955" s="252"/>
      <c r="HJW955" s="252"/>
      <c r="HJX955" s="252"/>
      <c r="HJY955" s="252"/>
      <c r="HJZ955" s="252"/>
      <c r="HKA955" s="252"/>
      <c r="HKB955" s="252"/>
      <c r="HKC955" s="252"/>
      <c r="HKD955" s="252"/>
      <c r="HKE955" s="252"/>
      <c r="HKF955" s="252"/>
      <c r="HKG955" s="252"/>
      <c r="HKH955" s="252"/>
      <c r="HKI955" s="252"/>
      <c r="HKJ955" s="252"/>
      <c r="HKK955" s="252"/>
      <c r="HKL955" s="252"/>
      <c r="HKM955" s="252"/>
      <c r="HKN955" s="252"/>
      <c r="HKO955" s="252"/>
      <c r="HKP955" s="252"/>
      <c r="HKQ955" s="252"/>
      <c r="HKR955" s="252"/>
      <c r="HKS955" s="252"/>
      <c r="HKT955" s="252"/>
      <c r="HKU955" s="252"/>
      <c r="HKV955" s="252"/>
      <c r="HKW955" s="252"/>
      <c r="HKX955" s="252"/>
      <c r="HKY955" s="252"/>
      <c r="HKZ955" s="252"/>
      <c r="HLA955" s="252"/>
      <c r="HLB955" s="252"/>
      <c r="HLC955" s="252"/>
      <c r="HLD955" s="252"/>
      <c r="HLE955" s="252"/>
      <c r="HLF955" s="252"/>
      <c r="HLG955" s="252"/>
      <c r="HLH955" s="252"/>
      <c r="HLI955" s="252"/>
      <c r="HLJ955" s="252"/>
      <c r="HLK955" s="252"/>
      <c r="HLL955" s="252"/>
      <c r="HLM955" s="252"/>
      <c r="HLN955" s="252"/>
      <c r="HLO955" s="252"/>
      <c r="HLP955" s="252"/>
      <c r="HLQ955" s="252"/>
      <c r="HLR955" s="252"/>
      <c r="HLS955" s="252"/>
      <c r="HLT955" s="252"/>
      <c r="HLU955" s="252"/>
      <c r="HLV955" s="252"/>
      <c r="HLW955" s="252"/>
      <c r="HLX955" s="252"/>
      <c r="HLY955" s="252"/>
      <c r="HLZ955" s="252"/>
      <c r="HMA955" s="252"/>
      <c r="HMB955" s="252"/>
      <c r="HMC955" s="252"/>
      <c r="HMD955" s="252"/>
      <c r="HME955" s="252"/>
      <c r="HMF955" s="252"/>
      <c r="HMG955" s="252"/>
      <c r="HMH955" s="252"/>
      <c r="HMI955" s="252"/>
      <c r="HMJ955" s="252"/>
      <c r="HMK955" s="252"/>
      <c r="HML955" s="252"/>
      <c r="HMM955" s="252"/>
      <c r="HMN955" s="252"/>
      <c r="HMO955" s="252"/>
      <c r="HMP955" s="252"/>
      <c r="HMQ955" s="252"/>
      <c r="HMR955" s="252"/>
      <c r="HMS955" s="252"/>
      <c r="HMT955" s="252"/>
      <c r="HMU955" s="252"/>
      <c r="HMV955" s="252"/>
      <c r="HMW955" s="252"/>
      <c r="HMX955" s="252"/>
      <c r="HMY955" s="252"/>
      <c r="HMZ955" s="252"/>
      <c r="HNA955" s="252"/>
      <c r="HNB955" s="252"/>
      <c r="HNC955" s="252"/>
      <c r="HND955" s="252"/>
      <c r="HNE955" s="252"/>
      <c r="HNF955" s="252"/>
      <c r="HNG955" s="252"/>
      <c r="HNH955" s="252"/>
      <c r="HNI955" s="252"/>
      <c r="HNJ955" s="252"/>
      <c r="HNK955" s="252"/>
      <c r="HNL955" s="252"/>
      <c r="HNM955" s="252"/>
      <c r="HNN955" s="252"/>
      <c r="HNO955" s="252"/>
      <c r="HNP955" s="252"/>
      <c r="HNQ955" s="252"/>
      <c r="HNR955" s="252"/>
      <c r="HNS955" s="252"/>
      <c r="HNT955" s="252"/>
      <c r="HNU955" s="252"/>
      <c r="HNV955" s="252"/>
      <c r="HNW955" s="252"/>
      <c r="HNX955" s="252"/>
      <c r="HNY955" s="252"/>
      <c r="HNZ955" s="252"/>
      <c r="HOA955" s="252"/>
      <c r="HOB955" s="252"/>
      <c r="HOC955" s="252"/>
      <c r="HOD955" s="252"/>
      <c r="HOE955" s="252"/>
      <c r="HOF955" s="252"/>
      <c r="HOG955" s="252"/>
      <c r="HOH955" s="252"/>
      <c r="HOI955" s="252"/>
      <c r="HOJ955" s="252"/>
      <c r="HOK955" s="252"/>
      <c r="HOL955" s="252"/>
      <c r="HOM955" s="252"/>
      <c r="HON955" s="252"/>
      <c r="HOO955" s="252"/>
      <c r="HOP955" s="252"/>
      <c r="HOQ955" s="252"/>
      <c r="HOR955" s="252"/>
      <c r="HOS955" s="252"/>
      <c r="HOT955" s="252"/>
      <c r="HOU955" s="252"/>
      <c r="HOV955" s="252"/>
      <c r="HOW955" s="252"/>
      <c r="HOX955" s="252"/>
      <c r="HOY955" s="252"/>
      <c r="HOZ955" s="252"/>
      <c r="HPA955" s="252"/>
      <c r="HPB955" s="252"/>
      <c r="HPC955" s="252"/>
      <c r="HPD955" s="252"/>
      <c r="HPE955" s="252"/>
      <c r="HPF955" s="252"/>
      <c r="HPG955" s="252"/>
      <c r="HPH955" s="252"/>
      <c r="HPI955" s="252"/>
      <c r="HPJ955" s="252"/>
      <c r="HPK955" s="252"/>
      <c r="HPL955" s="252"/>
      <c r="HPM955" s="252"/>
      <c r="HPN955" s="252"/>
      <c r="HPO955" s="252"/>
      <c r="HPP955" s="252"/>
      <c r="HPQ955" s="252"/>
      <c r="HPR955" s="252"/>
      <c r="HPS955" s="252"/>
      <c r="HPT955" s="252"/>
      <c r="HPU955" s="252"/>
      <c r="HPV955" s="252"/>
      <c r="HPW955" s="252"/>
      <c r="HPX955" s="252"/>
      <c r="HPY955" s="252"/>
      <c r="HPZ955" s="252"/>
      <c r="HQA955" s="252"/>
      <c r="HQB955" s="252"/>
      <c r="HQC955" s="252"/>
      <c r="HQD955" s="252"/>
      <c r="HQE955" s="252"/>
      <c r="HQF955" s="252"/>
      <c r="HQG955" s="252"/>
      <c r="HQH955" s="252"/>
      <c r="HQI955" s="252"/>
      <c r="HQJ955" s="252"/>
      <c r="HQK955" s="252"/>
      <c r="HQL955" s="252"/>
      <c r="HQM955" s="252"/>
      <c r="HQN955" s="252"/>
      <c r="HQO955" s="252"/>
      <c r="HQP955" s="252"/>
      <c r="HQQ955" s="252"/>
      <c r="HQR955" s="252"/>
      <c r="HQS955" s="252"/>
      <c r="HQT955" s="252"/>
      <c r="HQU955" s="252"/>
      <c r="HQV955" s="252"/>
      <c r="HQW955" s="252"/>
      <c r="HQX955" s="252"/>
      <c r="HQY955" s="252"/>
      <c r="HQZ955" s="252"/>
      <c r="HRA955" s="252"/>
      <c r="HRB955" s="252"/>
      <c r="HRC955" s="252"/>
      <c r="HRD955" s="252"/>
      <c r="HRE955" s="252"/>
      <c r="HRF955" s="252"/>
      <c r="HRG955" s="252"/>
      <c r="HRH955" s="252"/>
      <c r="HRI955" s="252"/>
      <c r="HRJ955" s="252"/>
      <c r="HRK955" s="252"/>
      <c r="HRL955" s="252"/>
      <c r="HRM955" s="252"/>
      <c r="HRN955" s="252"/>
      <c r="HRO955" s="252"/>
      <c r="HRP955" s="252"/>
      <c r="HRQ955" s="252"/>
      <c r="HRR955" s="252"/>
      <c r="HRS955" s="252"/>
      <c r="HRT955" s="252"/>
      <c r="HRU955" s="252"/>
      <c r="HRV955" s="252"/>
      <c r="HRW955" s="252"/>
      <c r="HRX955" s="252"/>
      <c r="HRY955" s="252"/>
      <c r="HRZ955" s="252"/>
      <c r="HSA955" s="252"/>
      <c r="HSB955" s="252"/>
      <c r="HSC955" s="252"/>
      <c r="HSD955" s="252"/>
      <c r="HSE955" s="252"/>
      <c r="HSF955" s="252"/>
      <c r="HSG955" s="252"/>
      <c r="HSH955" s="252"/>
      <c r="HSI955" s="252"/>
      <c r="HSJ955" s="252"/>
      <c r="HSK955" s="252"/>
      <c r="HSL955" s="252"/>
      <c r="HSM955" s="252"/>
      <c r="HSN955" s="252"/>
      <c r="HSO955" s="252"/>
      <c r="HSP955" s="252"/>
      <c r="HSQ955" s="252"/>
      <c r="HSR955" s="252"/>
      <c r="HSS955" s="252"/>
      <c r="HST955" s="252"/>
      <c r="HSU955" s="252"/>
      <c r="HSV955" s="252"/>
      <c r="HSW955" s="252"/>
      <c r="HSX955" s="252"/>
      <c r="HSY955" s="252"/>
      <c r="HSZ955" s="252"/>
      <c r="HTA955" s="252"/>
      <c r="HTB955" s="252"/>
      <c r="HTC955" s="252"/>
      <c r="HTD955" s="252"/>
      <c r="HTE955" s="252"/>
      <c r="HTF955" s="252"/>
      <c r="HTG955" s="252"/>
      <c r="HTH955" s="252"/>
      <c r="HTI955" s="252"/>
      <c r="HTJ955" s="252"/>
      <c r="HTK955" s="252"/>
      <c r="HTL955" s="252"/>
      <c r="HTM955" s="252"/>
      <c r="HTN955" s="252"/>
      <c r="HTO955" s="252"/>
      <c r="HTP955" s="252"/>
      <c r="HTQ955" s="252"/>
      <c r="HTR955" s="252"/>
      <c r="HTS955" s="252"/>
      <c r="HTT955" s="252"/>
      <c r="HTU955" s="252"/>
      <c r="HTV955" s="252"/>
      <c r="HTW955" s="252"/>
      <c r="HTX955" s="252"/>
      <c r="HTY955" s="252"/>
      <c r="HTZ955" s="252"/>
      <c r="HUA955" s="252"/>
      <c r="HUB955" s="252"/>
      <c r="HUC955" s="252"/>
      <c r="HUD955" s="252"/>
      <c r="HUE955" s="252"/>
      <c r="HUF955" s="252"/>
      <c r="HUG955" s="252"/>
      <c r="HUH955" s="252"/>
      <c r="HUI955" s="252"/>
      <c r="HUJ955" s="252"/>
      <c r="HUK955" s="252"/>
      <c r="HUL955" s="252"/>
      <c r="HUM955" s="252"/>
      <c r="HUN955" s="252"/>
      <c r="HUO955" s="252"/>
      <c r="HUP955" s="252"/>
      <c r="HUQ955" s="252"/>
      <c r="HUR955" s="252"/>
      <c r="HUS955" s="252"/>
      <c r="HUT955" s="252"/>
      <c r="HUU955" s="252"/>
      <c r="HUV955" s="252"/>
      <c r="HUW955" s="252"/>
      <c r="HUX955" s="252"/>
      <c r="HUY955" s="252"/>
      <c r="HUZ955" s="252"/>
      <c r="HVA955" s="252"/>
      <c r="HVB955" s="252"/>
      <c r="HVC955" s="252"/>
      <c r="HVD955" s="252"/>
      <c r="HVE955" s="252"/>
      <c r="HVF955" s="252"/>
      <c r="HVG955" s="252"/>
      <c r="HVH955" s="252"/>
      <c r="HVI955" s="252"/>
      <c r="HVJ955" s="252"/>
      <c r="HVK955" s="252"/>
      <c r="HVL955" s="252"/>
      <c r="HVM955" s="252"/>
      <c r="HVN955" s="252"/>
      <c r="HVO955" s="252"/>
      <c r="HVP955" s="252"/>
      <c r="HVQ955" s="252"/>
      <c r="HVR955" s="252"/>
      <c r="HVS955" s="252"/>
      <c r="HVT955" s="252"/>
      <c r="HVU955" s="252"/>
      <c r="HVV955" s="252"/>
      <c r="HVW955" s="252"/>
      <c r="HVX955" s="252"/>
      <c r="HVY955" s="252"/>
      <c r="HVZ955" s="252"/>
      <c r="HWA955" s="252"/>
      <c r="HWB955" s="252"/>
      <c r="HWC955" s="252"/>
      <c r="HWD955" s="252"/>
      <c r="HWE955" s="252"/>
      <c r="HWF955" s="252"/>
      <c r="HWG955" s="252"/>
      <c r="HWH955" s="252"/>
      <c r="HWI955" s="252"/>
      <c r="HWJ955" s="252"/>
      <c r="HWK955" s="252"/>
      <c r="HWL955" s="252"/>
      <c r="HWM955" s="252"/>
      <c r="HWN955" s="252"/>
      <c r="HWO955" s="252"/>
      <c r="HWP955" s="252"/>
      <c r="HWQ955" s="252"/>
      <c r="HWR955" s="252"/>
      <c r="HWS955" s="252"/>
      <c r="HWT955" s="252"/>
      <c r="HWU955" s="252"/>
      <c r="HWV955" s="252"/>
      <c r="HWW955" s="252"/>
      <c r="HWX955" s="252"/>
      <c r="HWY955" s="252"/>
      <c r="HWZ955" s="252"/>
      <c r="HXA955" s="252"/>
      <c r="HXB955" s="252"/>
      <c r="HXC955" s="252"/>
      <c r="HXD955" s="252"/>
      <c r="HXE955" s="252"/>
      <c r="HXF955" s="252"/>
      <c r="HXG955" s="252"/>
      <c r="HXH955" s="252"/>
      <c r="HXI955" s="252"/>
      <c r="HXJ955" s="252"/>
      <c r="HXK955" s="252"/>
      <c r="HXL955" s="252"/>
      <c r="HXM955" s="252"/>
      <c r="HXN955" s="252"/>
      <c r="HXO955" s="252"/>
      <c r="HXP955" s="252"/>
      <c r="HXQ955" s="252"/>
      <c r="HXR955" s="252"/>
      <c r="HXS955" s="252"/>
      <c r="HXT955" s="252"/>
      <c r="HXU955" s="252"/>
      <c r="HXV955" s="252"/>
      <c r="HXW955" s="252"/>
      <c r="HXX955" s="252"/>
      <c r="HXY955" s="252"/>
      <c r="HXZ955" s="252"/>
      <c r="HYA955" s="252"/>
      <c r="HYB955" s="252"/>
      <c r="HYC955" s="252"/>
      <c r="HYD955" s="252"/>
      <c r="HYE955" s="252"/>
      <c r="HYF955" s="252"/>
      <c r="HYG955" s="252"/>
      <c r="HYH955" s="252"/>
      <c r="HYI955" s="252"/>
      <c r="HYJ955" s="252"/>
      <c r="HYK955" s="252"/>
      <c r="HYL955" s="252"/>
      <c r="HYM955" s="252"/>
      <c r="HYN955" s="252"/>
      <c r="HYO955" s="252"/>
      <c r="HYP955" s="252"/>
      <c r="HYQ955" s="252"/>
      <c r="HYR955" s="252"/>
      <c r="HYS955" s="252"/>
      <c r="HYT955" s="252"/>
      <c r="HYU955" s="252"/>
      <c r="HYV955" s="252"/>
      <c r="HYW955" s="252"/>
      <c r="HYX955" s="252"/>
      <c r="HYY955" s="252"/>
      <c r="HYZ955" s="252"/>
      <c r="HZA955" s="252"/>
      <c r="HZB955" s="252"/>
      <c r="HZC955" s="252"/>
      <c r="HZD955" s="252"/>
      <c r="HZE955" s="252"/>
      <c r="HZF955" s="252"/>
      <c r="HZG955" s="252"/>
      <c r="HZH955" s="252"/>
      <c r="HZI955" s="252"/>
      <c r="HZJ955" s="252"/>
      <c r="HZK955" s="252"/>
      <c r="HZL955" s="252"/>
      <c r="HZM955" s="252"/>
      <c r="HZN955" s="252"/>
      <c r="HZO955" s="252"/>
      <c r="HZP955" s="252"/>
      <c r="HZQ955" s="252"/>
      <c r="HZR955" s="252"/>
      <c r="HZS955" s="252"/>
      <c r="HZT955" s="252"/>
      <c r="HZU955" s="252"/>
      <c r="HZV955" s="252"/>
      <c r="HZW955" s="252"/>
      <c r="HZX955" s="252"/>
      <c r="HZY955" s="252"/>
      <c r="HZZ955" s="252"/>
      <c r="IAA955" s="252"/>
      <c r="IAB955" s="252"/>
      <c r="IAC955" s="252"/>
      <c r="IAD955" s="252"/>
      <c r="IAE955" s="252"/>
      <c r="IAF955" s="252"/>
      <c r="IAG955" s="252"/>
      <c r="IAH955" s="252"/>
      <c r="IAI955" s="252"/>
      <c r="IAJ955" s="252"/>
      <c r="IAK955" s="252"/>
      <c r="IAL955" s="252"/>
      <c r="IAM955" s="252"/>
      <c r="IAN955" s="252"/>
      <c r="IAO955" s="252"/>
      <c r="IAP955" s="252"/>
      <c r="IAQ955" s="252"/>
      <c r="IAR955" s="252"/>
      <c r="IAS955" s="252"/>
      <c r="IAT955" s="252"/>
      <c r="IAU955" s="252"/>
      <c r="IAV955" s="252"/>
      <c r="IAW955" s="252"/>
      <c r="IAX955" s="252"/>
      <c r="IAY955" s="252"/>
      <c r="IAZ955" s="252"/>
      <c r="IBA955" s="252"/>
      <c r="IBB955" s="252"/>
      <c r="IBC955" s="252"/>
      <c r="IBD955" s="252"/>
      <c r="IBE955" s="252"/>
      <c r="IBF955" s="252"/>
      <c r="IBG955" s="252"/>
      <c r="IBH955" s="252"/>
      <c r="IBI955" s="252"/>
      <c r="IBJ955" s="252"/>
      <c r="IBK955" s="252"/>
      <c r="IBL955" s="252"/>
      <c r="IBM955" s="252"/>
      <c r="IBN955" s="252"/>
      <c r="IBO955" s="252"/>
      <c r="IBP955" s="252"/>
      <c r="IBQ955" s="252"/>
      <c r="IBR955" s="252"/>
      <c r="IBS955" s="252"/>
      <c r="IBT955" s="252"/>
      <c r="IBU955" s="252"/>
      <c r="IBV955" s="252"/>
      <c r="IBW955" s="252"/>
      <c r="IBX955" s="252"/>
      <c r="IBY955" s="252"/>
      <c r="IBZ955" s="252"/>
      <c r="ICA955" s="252"/>
      <c r="ICB955" s="252"/>
      <c r="ICC955" s="252"/>
      <c r="ICD955" s="252"/>
      <c r="ICE955" s="252"/>
      <c r="ICF955" s="252"/>
      <c r="ICG955" s="252"/>
      <c r="ICH955" s="252"/>
      <c r="ICI955" s="252"/>
      <c r="ICJ955" s="252"/>
      <c r="ICK955" s="252"/>
      <c r="ICL955" s="252"/>
      <c r="ICM955" s="252"/>
      <c r="ICN955" s="252"/>
      <c r="ICO955" s="252"/>
      <c r="ICP955" s="252"/>
      <c r="ICQ955" s="252"/>
      <c r="ICR955" s="252"/>
      <c r="ICS955" s="252"/>
      <c r="ICT955" s="252"/>
      <c r="ICU955" s="252"/>
      <c r="ICV955" s="252"/>
      <c r="ICW955" s="252"/>
      <c r="ICX955" s="252"/>
      <c r="ICY955" s="252"/>
      <c r="ICZ955" s="252"/>
      <c r="IDA955" s="252"/>
      <c r="IDB955" s="252"/>
      <c r="IDC955" s="252"/>
      <c r="IDD955" s="252"/>
      <c r="IDE955" s="252"/>
      <c r="IDF955" s="252"/>
      <c r="IDG955" s="252"/>
      <c r="IDH955" s="252"/>
      <c r="IDI955" s="252"/>
      <c r="IDJ955" s="252"/>
      <c r="IDK955" s="252"/>
      <c r="IDL955" s="252"/>
      <c r="IDM955" s="252"/>
      <c r="IDN955" s="252"/>
      <c r="IDO955" s="252"/>
      <c r="IDP955" s="252"/>
      <c r="IDQ955" s="252"/>
      <c r="IDR955" s="252"/>
      <c r="IDS955" s="252"/>
      <c r="IDT955" s="252"/>
      <c r="IDU955" s="252"/>
      <c r="IDV955" s="252"/>
      <c r="IDW955" s="252"/>
      <c r="IDX955" s="252"/>
      <c r="IDY955" s="252"/>
      <c r="IDZ955" s="252"/>
      <c r="IEA955" s="252"/>
      <c r="IEB955" s="252"/>
      <c r="IEC955" s="252"/>
      <c r="IED955" s="252"/>
      <c r="IEE955" s="252"/>
      <c r="IEF955" s="252"/>
      <c r="IEG955" s="252"/>
      <c r="IEH955" s="252"/>
      <c r="IEI955" s="252"/>
      <c r="IEJ955" s="252"/>
      <c r="IEK955" s="252"/>
      <c r="IEL955" s="252"/>
      <c r="IEM955" s="252"/>
      <c r="IEN955" s="252"/>
      <c r="IEO955" s="252"/>
      <c r="IEP955" s="252"/>
      <c r="IEQ955" s="252"/>
      <c r="IER955" s="252"/>
      <c r="IES955" s="252"/>
      <c r="IET955" s="252"/>
      <c r="IEU955" s="252"/>
      <c r="IEV955" s="252"/>
      <c r="IEW955" s="252"/>
      <c r="IEX955" s="252"/>
      <c r="IEY955" s="252"/>
      <c r="IEZ955" s="252"/>
      <c r="IFA955" s="252"/>
      <c r="IFB955" s="252"/>
      <c r="IFC955" s="252"/>
      <c r="IFD955" s="252"/>
      <c r="IFE955" s="252"/>
      <c r="IFF955" s="252"/>
      <c r="IFG955" s="252"/>
      <c r="IFH955" s="252"/>
      <c r="IFI955" s="252"/>
      <c r="IFJ955" s="252"/>
      <c r="IFK955" s="252"/>
      <c r="IFL955" s="252"/>
      <c r="IFM955" s="252"/>
      <c r="IFN955" s="252"/>
      <c r="IFO955" s="252"/>
      <c r="IFP955" s="252"/>
      <c r="IFQ955" s="252"/>
      <c r="IFR955" s="252"/>
      <c r="IFS955" s="252"/>
      <c r="IFT955" s="252"/>
      <c r="IFU955" s="252"/>
      <c r="IFV955" s="252"/>
      <c r="IFW955" s="252"/>
      <c r="IFX955" s="252"/>
      <c r="IFY955" s="252"/>
      <c r="IFZ955" s="252"/>
      <c r="IGA955" s="252"/>
      <c r="IGB955" s="252"/>
      <c r="IGC955" s="252"/>
      <c r="IGD955" s="252"/>
      <c r="IGE955" s="252"/>
      <c r="IGF955" s="252"/>
      <c r="IGG955" s="252"/>
      <c r="IGH955" s="252"/>
      <c r="IGI955" s="252"/>
      <c r="IGJ955" s="252"/>
      <c r="IGK955" s="252"/>
      <c r="IGL955" s="252"/>
      <c r="IGM955" s="252"/>
      <c r="IGN955" s="252"/>
      <c r="IGO955" s="252"/>
      <c r="IGP955" s="252"/>
      <c r="IGQ955" s="252"/>
      <c r="IGR955" s="252"/>
      <c r="IGS955" s="252"/>
      <c r="IGT955" s="252"/>
      <c r="IGU955" s="252"/>
      <c r="IGV955" s="252"/>
      <c r="IGW955" s="252"/>
      <c r="IGX955" s="252"/>
      <c r="IGY955" s="252"/>
      <c r="IGZ955" s="252"/>
      <c r="IHA955" s="252"/>
      <c r="IHB955" s="252"/>
      <c r="IHC955" s="252"/>
      <c r="IHD955" s="252"/>
      <c r="IHE955" s="252"/>
      <c r="IHF955" s="252"/>
      <c r="IHG955" s="252"/>
      <c r="IHH955" s="252"/>
      <c r="IHI955" s="252"/>
      <c r="IHJ955" s="252"/>
      <c r="IHK955" s="252"/>
      <c r="IHL955" s="252"/>
      <c r="IHM955" s="252"/>
      <c r="IHN955" s="252"/>
      <c r="IHO955" s="252"/>
      <c r="IHP955" s="252"/>
      <c r="IHQ955" s="252"/>
      <c r="IHR955" s="252"/>
      <c r="IHS955" s="252"/>
      <c r="IHT955" s="252"/>
      <c r="IHU955" s="252"/>
      <c r="IHV955" s="252"/>
      <c r="IHW955" s="252"/>
      <c r="IHX955" s="252"/>
      <c r="IHY955" s="252"/>
      <c r="IHZ955" s="252"/>
      <c r="IIA955" s="252"/>
      <c r="IIB955" s="252"/>
      <c r="IIC955" s="252"/>
      <c r="IID955" s="252"/>
      <c r="IIE955" s="252"/>
      <c r="IIF955" s="252"/>
      <c r="IIG955" s="252"/>
      <c r="IIH955" s="252"/>
      <c r="III955" s="252"/>
      <c r="IIJ955" s="252"/>
      <c r="IIK955" s="252"/>
      <c r="IIL955" s="252"/>
      <c r="IIM955" s="252"/>
      <c r="IIN955" s="252"/>
      <c r="IIO955" s="252"/>
      <c r="IIP955" s="252"/>
      <c r="IIQ955" s="252"/>
      <c r="IIR955" s="252"/>
      <c r="IIS955" s="252"/>
      <c r="IIT955" s="252"/>
      <c r="IIU955" s="252"/>
      <c r="IIV955" s="252"/>
      <c r="IIW955" s="252"/>
      <c r="IIX955" s="252"/>
      <c r="IIY955" s="252"/>
      <c r="IIZ955" s="252"/>
      <c r="IJA955" s="252"/>
      <c r="IJB955" s="252"/>
      <c r="IJC955" s="252"/>
      <c r="IJD955" s="252"/>
      <c r="IJE955" s="252"/>
      <c r="IJF955" s="252"/>
      <c r="IJG955" s="252"/>
      <c r="IJH955" s="252"/>
      <c r="IJI955" s="252"/>
      <c r="IJJ955" s="252"/>
      <c r="IJK955" s="252"/>
      <c r="IJL955" s="252"/>
      <c r="IJM955" s="252"/>
      <c r="IJN955" s="252"/>
      <c r="IJO955" s="252"/>
      <c r="IJP955" s="252"/>
      <c r="IJQ955" s="252"/>
      <c r="IJR955" s="252"/>
      <c r="IJS955" s="252"/>
      <c r="IJT955" s="252"/>
      <c r="IJU955" s="252"/>
      <c r="IJV955" s="252"/>
      <c r="IJW955" s="252"/>
      <c r="IJX955" s="252"/>
      <c r="IJY955" s="252"/>
      <c r="IJZ955" s="252"/>
      <c r="IKA955" s="252"/>
      <c r="IKB955" s="252"/>
      <c r="IKC955" s="252"/>
      <c r="IKD955" s="252"/>
      <c r="IKE955" s="252"/>
      <c r="IKF955" s="252"/>
      <c r="IKG955" s="252"/>
      <c r="IKH955" s="252"/>
      <c r="IKI955" s="252"/>
      <c r="IKJ955" s="252"/>
      <c r="IKK955" s="252"/>
      <c r="IKL955" s="252"/>
      <c r="IKM955" s="252"/>
      <c r="IKN955" s="252"/>
      <c r="IKO955" s="252"/>
      <c r="IKP955" s="252"/>
      <c r="IKQ955" s="252"/>
      <c r="IKR955" s="252"/>
      <c r="IKS955" s="252"/>
      <c r="IKT955" s="252"/>
      <c r="IKU955" s="252"/>
      <c r="IKV955" s="252"/>
      <c r="IKW955" s="252"/>
      <c r="IKX955" s="252"/>
      <c r="IKY955" s="252"/>
      <c r="IKZ955" s="252"/>
      <c r="ILA955" s="252"/>
      <c r="ILB955" s="252"/>
      <c r="ILC955" s="252"/>
      <c r="ILD955" s="252"/>
      <c r="ILE955" s="252"/>
      <c r="ILF955" s="252"/>
      <c r="ILG955" s="252"/>
      <c r="ILH955" s="252"/>
      <c r="ILI955" s="252"/>
      <c r="ILJ955" s="252"/>
      <c r="ILK955" s="252"/>
      <c r="ILL955" s="252"/>
      <c r="ILM955" s="252"/>
      <c r="ILN955" s="252"/>
      <c r="ILO955" s="252"/>
      <c r="ILP955" s="252"/>
      <c r="ILQ955" s="252"/>
      <c r="ILR955" s="252"/>
      <c r="ILS955" s="252"/>
      <c r="ILT955" s="252"/>
      <c r="ILU955" s="252"/>
      <c r="ILV955" s="252"/>
      <c r="ILW955" s="252"/>
      <c r="ILX955" s="252"/>
      <c r="ILY955" s="252"/>
      <c r="ILZ955" s="252"/>
      <c r="IMA955" s="252"/>
      <c r="IMB955" s="252"/>
      <c r="IMC955" s="252"/>
      <c r="IMD955" s="252"/>
      <c r="IME955" s="252"/>
      <c r="IMF955" s="252"/>
      <c r="IMG955" s="252"/>
      <c r="IMH955" s="252"/>
      <c r="IMI955" s="252"/>
      <c r="IMJ955" s="252"/>
      <c r="IMK955" s="252"/>
      <c r="IML955" s="252"/>
      <c r="IMM955" s="252"/>
      <c r="IMN955" s="252"/>
      <c r="IMO955" s="252"/>
      <c r="IMP955" s="252"/>
      <c r="IMQ955" s="252"/>
      <c r="IMR955" s="252"/>
      <c r="IMS955" s="252"/>
      <c r="IMT955" s="252"/>
      <c r="IMU955" s="252"/>
      <c r="IMV955" s="252"/>
      <c r="IMW955" s="252"/>
      <c r="IMX955" s="252"/>
      <c r="IMY955" s="252"/>
      <c r="IMZ955" s="252"/>
      <c r="INA955" s="252"/>
      <c r="INB955" s="252"/>
      <c r="INC955" s="252"/>
      <c r="IND955" s="252"/>
      <c r="INE955" s="252"/>
      <c r="INF955" s="252"/>
      <c r="ING955" s="252"/>
      <c r="INH955" s="252"/>
      <c r="INI955" s="252"/>
      <c r="INJ955" s="252"/>
      <c r="INK955" s="252"/>
      <c r="INL955" s="252"/>
      <c r="INM955" s="252"/>
      <c r="INN955" s="252"/>
      <c r="INO955" s="252"/>
      <c r="INP955" s="252"/>
      <c r="INQ955" s="252"/>
      <c r="INR955" s="252"/>
      <c r="INS955" s="252"/>
      <c r="INT955" s="252"/>
      <c r="INU955" s="252"/>
      <c r="INV955" s="252"/>
      <c r="INW955" s="252"/>
      <c r="INX955" s="252"/>
      <c r="INY955" s="252"/>
      <c r="INZ955" s="252"/>
      <c r="IOA955" s="252"/>
      <c r="IOB955" s="252"/>
      <c r="IOC955" s="252"/>
      <c r="IOD955" s="252"/>
      <c r="IOE955" s="252"/>
      <c r="IOF955" s="252"/>
      <c r="IOG955" s="252"/>
      <c r="IOH955" s="252"/>
      <c r="IOI955" s="252"/>
      <c r="IOJ955" s="252"/>
      <c r="IOK955" s="252"/>
      <c r="IOL955" s="252"/>
      <c r="IOM955" s="252"/>
      <c r="ION955" s="252"/>
      <c r="IOO955" s="252"/>
      <c r="IOP955" s="252"/>
      <c r="IOQ955" s="252"/>
      <c r="IOR955" s="252"/>
      <c r="IOS955" s="252"/>
      <c r="IOT955" s="252"/>
      <c r="IOU955" s="252"/>
      <c r="IOV955" s="252"/>
      <c r="IOW955" s="252"/>
      <c r="IOX955" s="252"/>
      <c r="IOY955" s="252"/>
      <c r="IOZ955" s="252"/>
      <c r="IPA955" s="252"/>
      <c r="IPB955" s="252"/>
      <c r="IPC955" s="252"/>
      <c r="IPD955" s="252"/>
      <c r="IPE955" s="252"/>
      <c r="IPF955" s="252"/>
      <c r="IPG955" s="252"/>
      <c r="IPH955" s="252"/>
      <c r="IPI955" s="252"/>
      <c r="IPJ955" s="252"/>
      <c r="IPK955" s="252"/>
      <c r="IPL955" s="252"/>
      <c r="IPM955" s="252"/>
      <c r="IPN955" s="252"/>
      <c r="IPO955" s="252"/>
      <c r="IPP955" s="252"/>
      <c r="IPQ955" s="252"/>
      <c r="IPR955" s="252"/>
      <c r="IPS955" s="252"/>
      <c r="IPT955" s="252"/>
      <c r="IPU955" s="252"/>
      <c r="IPV955" s="252"/>
      <c r="IPW955" s="252"/>
      <c r="IPX955" s="252"/>
      <c r="IPY955" s="252"/>
      <c r="IPZ955" s="252"/>
      <c r="IQA955" s="252"/>
      <c r="IQB955" s="252"/>
      <c r="IQC955" s="252"/>
      <c r="IQD955" s="252"/>
      <c r="IQE955" s="252"/>
      <c r="IQF955" s="252"/>
      <c r="IQG955" s="252"/>
      <c r="IQH955" s="252"/>
      <c r="IQI955" s="252"/>
      <c r="IQJ955" s="252"/>
      <c r="IQK955" s="252"/>
      <c r="IQL955" s="252"/>
      <c r="IQM955" s="252"/>
      <c r="IQN955" s="252"/>
      <c r="IQO955" s="252"/>
      <c r="IQP955" s="252"/>
      <c r="IQQ955" s="252"/>
      <c r="IQR955" s="252"/>
      <c r="IQS955" s="252"/>
      <c r="IQT955" s="252"/>
      <c r="IQU955" s="252"/>
      <c r="IQV955" s="252"/>
      <c r="IQW955" s="252"/>
      <c r="IQX955" s="252"/>
      <c r="IQY955" s="252"/>
      <c r="IQZ955" s="252"/>
      <c r="IRA955" s="252"/>
      <c r="IRB955" s="252"/>
      <c r="IRC955" s="252"/>
      <c r="IRD955" s="252"/>
      <c r="IRE955" s="252"/>
      <c r="IRF955" s="252"/>
      <c r="IRG955" s="252"/>
      <c r="IRH955" s="252"/>
      <c r="IRI955" s="252"/>
      <c r="IRJ955" s="252"/>
      <c r="IRK955" s="252"/>
      <c r="IRL955" s="252"/>
      <c r="IRM955" s="252"/>
      <c r="IRN955" s="252"/>
      <c r="IRO955" s="252"/>
      <c r="IRP955" s="252"/>
      <c r="IRQ955" s="252"/>
      <c r="IRR955" s="252"/>
      <c r="IRS955" s="252"/>
      <c r="IRT955" s="252"/>
      <c r="IRU955" s="252"/>
      <c r="IRV955" s="252"/>
      <c r="IRW955" s="252"/>
      <c r="IRX955" s="252"/>
      <c r="IRY955" s="252"/>
      <c r="IRZ955" s="252"/>
      <c r="ISA955" s="252"/>
      <c r="ISB955" s="252"/>
      <c r="ISC955" s="252"/>
      <c r="ISD955" s="252"/>
      <c r="ISE955" s="252"/>
      <c r="ISF955" s="252"/>
      <c r="ISG955" s="252"/>
      <c r="ISH955" s="252"/>
      <c r="ISI955" s="252"/>
      <c r="ISJ955" s="252"/>
      <c r="ISK955" s="252"/>
      <c r="ISL955" s="252"/>
      <c r="ISM955" s="252"/>
      <c r="ISN955" s="252"/>
      <c r="ISO955" s="252"/>
      <c r="ISP955" s="252"/>
      <c r="ISQ955" s="252"/>
      <c r="ISR955" s="252"/>
      <c r="ISS955" s="252"/>
      <c r="IST955" s="252"/>
      <c r="ISU955" s="252"/>
      <c r="ISV955" s="252"/>
      <c r="ISW955" s="252"/>
      <c r="ISX955" s="252"/>
      <c r="ISY955" s="252"/>
      <c r="ISZ955" s="252"/>
      <c r="ITA955" s="252"/>
      <c r="ITB955" s="252"/>
      <c r="ITC955" s="252"/>
      <c r="ITD955" s="252"/>
      <c r="ITE955" s="252"/>
      <c r="ITF955" s="252"/>
      <c r="ITG955" s="252"/>
      <c r="ITH955" s="252"/>
      <c r="ITI955" s="252"/>
      <c r="ITJ955" s="252"/>
      <c r="ITK955" s="252"/>
      <c r="ITL955" s="252"/>
      <c r="ITM955" s="252"/>
      <c r="ITN955" s="252"/>
      <c r="ITO955" s="252"/>
      <c r="ITP955" s="252"/>
      <c r="ITQ955" s="252"/>
      <c r="ITR955" s="252"/>
      <c r="ITS955" s="252"/>
      <c r="ITT955" s="252"/>
      <c r="ITU955" s="252"/>
      <c r="ITV955" s="252"/>
      <c r="ITW955" s="252"/>
      <c r="ITX955" s="252"/>
      <c r="ITY955" s="252"/>
      <c r="ITZ955" s="252"/>
      <c r="IUA955" s="252"/>
      <c r="IUB955" s="252"/>
      <c r="IUC955" s="252"/>
      <c r="IUD955" s="252"/>
      <c r="IUE955" s="252"/>
      <c r="IUF955" s="252"/>
      <c r="IUG955" s="252"/>
      <c r="IUH955" s="252"/>
      <c r="IUI955" s="252"/>
      <c r="IUJ955" s="252"/>
      <c r="IUK955" s="252"/>
      <c r="IUL955" s="252"/>
      <c r="IUM955" s="252"/>
      <c r="IUN955" s="252"/>
      <c r="IUO955" s="252"/>
      <c r="IUP955" s="252"/>
      <c r="IUQ955" s="252"/>
      <c r="IUR955" s="252"/>
      <c r="IUS955" s="252"/>
      <c r="IUT955" s="252"/>
      <c r="IUU955" s="252"/>
      <c r="IUV955" s="252"/>
      <c r="IUW955" s="252"/>
      <c r="IUX955" s="252"/>
      <c r="IUY955" s="252"/>
      <c r="IUZ955" s="252"/>
      <c r="IVA955" s="252"/>
      <c r="IVB955" s="252"/>
      <c r="IVC955" s="252"/>
      <c r="IVD955" s="252"/>
      <c r="IVE955" s="252"/>
      <c r="IVF955" s="252"/>
      <c r="IVG955" s="252"/>
      <c r="IVH955" s="252"/>
      <c r="IVI955" s="252"/>
      <c r="IVJ955" s="252"/>
      <c r="IVK955" s="252"/>
      <c r="IVL955" s="252"/>
      <c r="IVM955" s="252"/>
      <c r="IVN955" s="252"/>
      <c r="IVO955" s="252"/>
      <c r="IVP955" s="252"/>
      <c r="IVQ955" s="252"/>
      <c r="IVR955" s="252"/>
      <c r="IVS955" s="252"/>
      <c r="IVT955" s="252"/>
      <c r="IVU955" s="252"/>
      <c r="IVV955" s="252"/>
      <c r="IVW955" s="252"/>
      <c r="IVX955" s="252"/>
      <c r="IVY955" s="252"/>
      <c r="IVZ955" s="252"/>
      <c r="IWA955" s="252"/>
      <c r="IWB955" s="252"/>
      <c r="IWC955" s="252"/>
      <c r="IWD955" s="252"/>
      <c r="IWE955" s="252"/>
      <c r="IWF955" s="252"/>
      <c r="IWG955" s="252"/>
      <c r="IWH955" s="252"/>
      <c r="IWI955" s="252"/>
      <c r="IWJ955" s="252"/>
      <c r="IWK955" s="252"/>
      <c r="IWL955" s="252"/>
      <c r="IWM955" s="252"/>
      <c r="IWN955" s="252"/>
      <c r="IWO955" s="252"/>
      <c r="IWP955" s="252"/>
      <c r="IWQ955" s="252"/>
      <c r="IWR955" s="252"/>
      <c r="IWS955" s="252"/>
      <c r="IWT955" s="252"/>
      <c r="IWU955" s="252"/>
      <c r="IWV955" s="252"/>
      <c r="IWW955" s="252"/>
      <c r="IWX955" s="252"/>
      <c r="IWY955" s="252"/>
      <c r="IWZ955" s="252"/>
      <c r="IXA955" s="252"/>
      <c r="IXB955" s="252"/>
      <c r="IXC955" s="252"/>
      <c r="IXD955" s="252"/>
      <c r="IXE955" s="252"/>
      <c r="IXF955" s="252"/>
      <c r="IXG955" s="252"/>
      <c r="IXH955" s="252"/>
      <c r="IXI955" s="252"/>
      <c r="IXJ955" s="252"/>
      <c r="IXK955" s="252"/>
      <c r="IXL955" s="252"/>
      <c r="IXM955" s="252"/>
      <c r="IXN955" s="252"/>
      <c r="IXO955" s="252"/>
      <c r="IXP955" s="252"/>
      <c r="IXQ955" s="252"/>
      <c r="IXR955" s="252"/>
      <c r="IXS955" s="252"/>
      <c r="IXT955" s="252"/>
      <c r="IXU955" s="252"/>
      <c r="IXV955" s="252"/>
      <c r="IXW955" s="252"/>
      <c r="IXX955" s="252"/>
      <c r="IXY955" s="252"/>
      <c r="IXZ955" s="252"/>
      <c r="IYA955" s="252"/>
      <c r="IYB955" s="252"/>
      <c r="IYC955" s="252"/>
      <c r="IYD955" s="252"/>
      <c r="IYE955" s="252"/>
      <c r="IYF955" s="252"/>
      <c r="IYG955" s="252"/>
      <c r="IYH955" s="252"/>
      <c r="IYI955" s="252"/>
      <c r="IYJ955" s="252"/>
      <c r="IYK955" s="252"/>
      <c r="IYL955" s="252"/>
      <c r="IYM955" s="252"/>
      <c r="IYN955" s="252"/>
      <c r="IYO955" s="252"/>
      <c r="IYP955" s="252"/>
      <c r="IYQ955" s="252"/>
      <c r="IYR955" s="252"/>
      <c r="IYS955" s="252"/>
      <c r="IYT955" s="252"/>
      <c r="IYU955" s="252"/>
      <c r="IYV955" s="252"/>
      <c r="IYW955" s="252"/>
      <c r="IYX955" s="252"/>
      <c r="IYY955" s="252"/>
      <c r="IYZ955" s="252"/>
      <c r="IZA955" s="252"/>
      <c r="IZB955" s="252"/>
      <c r="IZC955" s="252"/>
      <c r="IZD955" s="252"/>
      <c r="IZE955" s="252"/>
      <c r="IZF955" s="252"/>
      <c r="IZG955" s="252"/>
      <c r="IZH955" s="252"/>
      <c r="IZI955" s="252"/>
      <c r="IZJ955" s="252"/>
      <c r="IZK955" s="252"/>
      <c r="IZL955" s="252"/>
      <c r="IZM955" s="252"/>
      <c r="IZN955" s="252"/>
      <c r="IZO955" s="252"/>
      <c r="IZP955" s="252"/>
      <c r="IZQ955" s="252"/>
      <c r="IZR955" s="252"/>
      <c r="IZS955" s="252"/>
      <c r="IZT955" s="252"/>
      <c r="IZU955" s="252"/>
      <c r="IZV955" s="252"/>
      <c r="IZW955" s="252"/>
      <c r="IZX955" s="252"/>
      <c r="IZY955" s="252"/>
      <c r="IZZ955" s="252"/>
      <c r="JAA955" s="252"/>
      <c r="JAB955" s="252"/>
      <c r="JAC955" s="252"/>
      <c r="JAD955" s="252"/>
      <c r="JAE955" s="252"/>
      <c r="JAF955" s="252"/>
      <c r="JAG955" s="252"/>
      <c r="JAH955" s="252"/>
      <c r="JAI955" s="252"/>
      <c r="JAJ955" s="252"/>
      <c r="JAK955" s="252"/>
      <c r="JAL955" s="252"/>
      <c r="JAM955" s="252"/>
      <c r="JAN955" s="252"/>
      <c r="JAO955" s="252"/>
      <c r="JAP955" s="252"/>
      <c r="JAQ955" s="252"/>
      <c r="JAR955" s="252"/>
      <c r="JAS955" s="252"/>
      <c r="JAT955" s="252"/>
      <c r="JAU955" s="252"/>
      <c r="JAV955" s="252"/>
      <c r="JAW955" s="252"/>
      <c r="JAX955" s="252"/>
      <c r="JAY955" s="252"/>
      <c r="JAZ955" s="252"/>
      <c r="JBA955" s="252"/>
      <c r="JBB955" s="252"/>
      <c r="JBC955" s="252"/>
      <c r="JBD955" s="252"/>
      <c r="JBE955" s="252"/>
      <c r="JBF955" s="252"/>
      <c r="JBG955" s="252"/>
      <c r="JBH955" s="252"/>
      <c r="JBI955" s="252"/>
      <c r="JBJ955" s="252"/>
      <c r="JBK955" s="252"/>
      <c r="JBL955" s="252"/>
      <c r="JBM955" s="252"/>
      <c r="JBN955" s="252"/>
      <c r="JBO955" s="252"/>
      <c r="JBP955" s="252"/>
      <c r="JBQ955" s="252"/>
      <c r="JBR955" s="252"/>
      <c r="JBS955" s="252"/>
      <c r="JBT955" s="252"/>
      <c r="JBU955" s="252"/>
      <c r="JBV955" s="252"/>
      <c r="JBW955" s="252"/>
      <c r="JBX955" s="252"/>
      <c r="JBY955" s="252"/>
      <c r="JBZ955" s="252"/>
      <c r="JCA955" s="252"/>
      <c r="JCB955" s="252"/>
      <c r="JCC955" s="252"/>
      <c r="JCD955" s="252"/>
      <c r="JCE955" s="252"/>
      <c r="JCF955" s="252"/>
      <c r="JCG955" s="252"/>
      <c r="JCH955" s="252"/>
      <c r="JCI955" s="252"/>
      <c r="JCJ955" s="252"/>
      <c r="JCK955" s="252"/>
      <c r="JCL955" s="252"/>
      <c r="JCM955" s="252"/>
      <c r="JCN955" s="252"/>
      <c r="JCO955" s="252"/>
      <c r="JCP955" s="252"/>
      <c r="JCQ955" s="252"/>
      <c r="JCR955" s="252"/>
      <c r="JCS955" s="252"/>
      <c r="JCT955" s="252"/>
      <c r="JCU955" s="252"/>
      <c r="JCV955" s="252"/>
      <c r="JCW955" s="252"/>
      <c r="JCX955" s="252"/>
      <c r="JCY955" s="252"/>
      <c r="JCZ955" s="252"/>
      <c r="JDA955" s="252"/>
      <c r="JDB955" s="252"/>
      <c r="JDC955" s="252"/>
      <c r="JDD955" s="252"/>
      <c r="JDE955" s="252"/>
      <c r="JDF955" s="252"/>
      <c r="JDG955" s="252"/>
      <c r="JDH955" s="252"/>
      <c r="JDI955" s="252"/>
      <c r="JDJ955" s="252"/>
      <c r="JDK955" s="252"/>
      <c r="JDL955" s="252"/>
      <c r="JDM955" s="252"/>
      <c r="JDN955" s="252"/>
      <c r="JDO955" s="252"/>
      <c r="JDP955" s="252"/>
      <c r="JDQ955" s="252"/>
      <c r="JDR955" s="252"/>
      <c r="JDS955" s="252"/>
      <c r="JDT955" s="252"/>
      <c r="JDU955" s="252"/>
      <c r="JDV955" s="252"/>
      <c r="JDW955" s="252"/>
      <c r="JDX955" s="252"/>
      <c r="JDY955" s="252"/>
      <c r="JDZ955" s="252"/>
      <c r="JEA955" s="252"/>
      <c r="JEB955" s="252"/>
      <c r="JEC955" s="252"/>
      <c r="JED955" s="252"/>
      <c r="JEE955" s="252"/>
      <c r="JEF955" s="252"/>
      <c r="JEG955" s="252"/>
      <c r="JEH955" s="252"/>
      <c r="JEI955" s="252"/>
      <c r="JEJ955" s="252"/>
      <c r="JEK955" s="252"/>
      <c r="JEL955" s="252"/>
      <c r="JEM955" s="252"/>
      <c r="JEN955" s="252"/>
      <c r="JEO955" s="252"/>
      <c r="JEP955" s="252"/>
      <c r="JEQ955" s="252"/>
      <c r="JER955" s="252"/>
      <c r="JES955" s="252"/>
      <c r="JET955" s="252"/>
      <c r="JEU955" s="252"/>
      <c r="JEV955" s="252"/>
      <c r="JEW955" s="252"/>
      <c r="JEX955" s="252"/>
      <c r="JEY955" s="252"/>
      <c r="JEZ955" s="252"/>
      <c r="JFA955" s="252"/>
      <c r="JFB955" s="252"/>
      <c r="JFC955" s="252"/>
      <c r="JFD955" s="252"/>
      <c r="JFE955" s="252"/>
      <c r="JFF955" s="252"/>
      <c r="JFG955" s="252"/>
      <c r="JFH955" s="252"/>
      <c r="JFI955" s="252"/>
      <c r="JFJ955" s="252"/>
      <c r="JFK955" s="252"/>
      <c r="JFL955" s="252"/>
      <c r="JFM955" s="252"/>
      <c r="JFN955" s="252"/>
      <c r="JFO955" s="252"/>
      <c r="JFP955" s="252"/>
      <c r="JFQ955" s="252"/>
      <c r="JFR955" s="252"/>
      <c r="JFS955" s="252"/>
      <c r="JFT955" s="252"/>
      <c r="JFU955" s="252"/>
      <c r="JFV955" s="252"/>
      <c r="JFW955" s="252"/>
      <c r="JFX955" s="252"/>
      <c r="JFY955" s="252"/>
      <c r="JFZ955" s="252"/>
      <c r="JGA955" s="252"/>
      <c r="JGB955" s="252"/>
      <c r="JGC955" s="252"/>
      <c r="JGD955" s="252"/>
      <c r="JGE955" s="252"/>
      <c r="JGF955" s="252"/>
      <c r="JGG955" s="252"/>
      <c r="JGH955" s="252"/>
      <c r="JGI955" s="252"/>
      <c r="JGJ955" s="252"/>
      <c r="JGK955" s="252"/>
      <c r="JGL955" s="252"/>
      <c r="JGM955" s="252"/>
      <c r="JGN955" s="252"/>
      <c r="JGO955" s="252"/>
      <c r="JGP955" s="252"/>
      <c r="JGQ955" s="252"/>
      <c r="JGR955" s="252"/>
      <c r="JGS955" s="252"/>
      <c r="JGT955" s="252"/>
      <c r="JGU955" s="252"/>
      <c r="JGV955" s="252"/>
      <c r="JGW955" s="252"/>
      <c r="JGX955" s="252"/>
      <c r="JGY955" s="252"/>
      <c r="JGZ955" s="252"/>
      <c r="JHA955" s="252"/>
      <c r="JHB955" s="252"/>
      <c r="JHC955" s="252"/>
      <c r="JHD955" s="252"/>
      <c r="JHE955" s="252"/>
      <c r="JHF955" s="252"/>
      <c r="JHG955" s="252"/>
      <c r="JHH955" s="252"/>
      <c r="JHI955" s="252"/>
      <c r="JHJ955" s="252"/>
      <c r="JHK955" s="252"/>
      <c r="JHL955" s="252"/>
      <c r="JHM955" s="252"/>
      <c r="JHN955" s="252"/>
      <c r="JHO955" s="252"/>
      <c r="JHP955" s="252"/>
      <c r="JHQ955" s="252"/>
      <c r="JHR955" s="252"/>
      <c r="JHS955" s="252"/>
      <c r="JHT955" s="252"/>
      <c r="JHU955" s="252"/>
      <c r="JHV955" s="252"/>
      <c r="JHW955" s="252"/>
      <c r="JHX955" s="252"/>
      <c r="JHY955" s="252"/>
      <c r="JHZ955" s="252"/>
      <c r="JIA955" s="252"/>
      <c r="JIB955" s="252"/>
      <c r="JIC955" s="252"/>
      <c r="JID955" s="252"/>
      <c r="JIE955" s="252"/>
      <c r="JIF955" s="252"/>
      <c r="JIG955" s="252"/>
      <c r="JIH955" s="252"/>
      <c r="JII955" s="252"/>
      <c r="JIJ955" s="252"/>
      <c r="JIK955" s="252"/>
      <c r="JIL955" s="252"/>
      <c r="JIM955" s="252"/>
      <c r="JIN955" s="252"/>
      <c r="JIO955" s="252"/>
      <c r="JIP955" s="252"/>
      <c r="JIQ955" s="252"/>
      <c r="JIR955" s="252"/>
      <c r="JIS955" s="252"/>
      <c r="JIT955" s="252"/>
      <c r="JIU955" s="252"/>
      <c r="JIV955" s="252"/>
      <c r="JIW955" s="252"/>
      <c r="JIX955" s="252"/>
      <c r="JIY955" s="252"/>
      <c r="JIZ955" s="252"/>
      <c r="JJA955" s="252"/>
      <c r="JJB955" s="252"/>
      <c r="JJC955" s="252"/>
      <c r="JJD955" s="252"/>
      <c r="JJE955" s="252"/>
      <c r="JJF955" s="252"/>
      <c r="JJG955" s="252"/>
      <c r="JJH955" s="252"/>
      <c r="JJI955" s="252"/>
      <c r="JJJ955" s="252"/>
      <c r="JJK955" s="252"/>
      <c r="JJL955" s="252"/>
      <c r="JJM955" s="252"/>
      <c r="JJN955" s="252"/>
      <c r="JJO955" s="252"/>
      <c r="JJP955" s="252"/>
      <c r="JJQ955" s="252"/>
      <c r="JJR955" s="252"/>
      <c r="JJS955" s="252"/>
      <c r="JJT955" s="252"/>
      <c r="JJU955" s="252"/>
      <c r="JJV955" s="252"/>
      <c r="JJW955" s="252"/>
      <c r="JJX955" s="252"/>
      <c r="JJY955" s="252"/>
      <c r="JJZ955" s="252"/>
      <c r="JKA955" s="252"/>
      <c r="JKB955" s="252"/>
      <c r="JKC955" s="252"/>
      <c r="JKD955" s="252"/>
      <c r="JKE955" s="252"/>
      <c r="JKF955" s="252"/>
      <c r="JKG955" s="252"/>
      <c r="JKH955" s="252"/>
      <c r="JKI955" s="252"/>
      <c r="JKJ955" s="252"/>
      <c r="JKK955" s="252"/>
      <c r="JKL955" s="252"/>
      <c r="JKM955" s="252"/>
      <c r="JKN955" s="252"/>
      <c r="JKO955" s="252"/>
      <c r="JKP955" s="252"/>
      <c r="JKQ955" s="252"/>
      <c r="JKR955" s="252"/>
      <c r="JKS955" s="252"/>
      <c r="JKT955" s="252"/>
      <c r="JKU955" s="252"/>
      <c r="JKV955" s="252"/>
      <c r="JKW955" s="252"/>
      <c r="JKX955" s="252"/>
      <c r="JKY955" s="252"/>
      <c r="JKZ955" s="252"/>
      <c r="JLA955" s="252"/>
      <c r="JLB955" s="252"/>
      <c r="JLC955" s="252"/>
      <c r="JLD955" s="252"/>
      <c r="JLE955" s="252"/>
      <c r="JLF955" s="252"/>
      <c r="JLG955" s="252"/>
      <c r="JLH955" s="252"/>
      <c r="JLI955" s="252"/>
      <c r="JLJ955" s="252"/>
      <c r="JLK955" s="252"/>
      <c r="JLL955" s="252"/>
      <c r="JLM955" s="252"/>
      <c r="JLN955" s="252"/>
      <c r="JLO955" s="252"/>
      <c r="JLP955" s="252"/>
      <c r="JLQ955" s="252"/>
      <c r="JLR955" s="252"/>
      <c r="JLS955" s="252"/>
      <c r="JLT955" s="252"/>
      <c r="JLU955" s="252"/>
      <c r="JLV955" s="252"/>
      <c r="JLW955" s="252"/>
      <c r="JLX955" s="252"/>
      <c r="JLY955" s="252"/>
      <c r="JLZ955" s="252"/>
      <c r="JMA955" s="252"/>
      <c r="JMB955" s="252"/>
      <c r="JMC955" s="252"/>
      <c r="JMD955" s="252"/>
      <c r="JME955" s="252"/>
      <c r="JMF955" s="252"/>
      <c r="JMG955" s="252"/>
      <c r="JMH955" s="252"/>
      <c r="JMI955" s="252"/>
      <c r="JMJ955" s="252"/>
      <c r="JMK955" s="252"/>
      <c r="JML955" s="252"/>
      <c r="JMM955" s="252"/>
      <c r="JMN955" s="252"/>
      <c r="JMO955" s="252"/>
      <c r="JMP955" s="252"/>
      <c r="JMQ955" s="252"/>
      <c r="JMR955" s="252"/>
      <c r="JMS955" s="252"/>
      <c r="JMT955" s="252"/>
      <c r="JMU955" s="252"/>
      <c r="JMV955" s="252"/>
      <c r="JMW955" s="252"/>
      <c r="JMX955" s="252"/>
      <c r="JMY955" s="252"/>
      <c r="JMZ955" s="252"/>
      <c r="JNA955" s="252"/>
      <c r="JNB955" s="252"/>
      <c r="JNC955" s="252"/>
      <c r="JND955" s="252"/>
      <c r="JNE955" s="252"/>
      <c r="JNF955" s="252"/>
      <c r="JNG955" s="252"/>
      <c r="JNH955" s="252"/>
      <c r="JNI955" s="252"/>
      <c r="JNJ955" s="252"/>
      <c r="JNK955" s="252"/>
      <c r="JNL955" s="252"/>
      <c r="JNM955" s="252"/>
      <c r="JNN955" s="252"/>
      <c r="JNO955" s="252"/>
      <c r="JNP955" s="252"/>
      <c r="JNQ955" s="252"/>
      <c r="JNR955" s="252"/>
      <c r="JNS955" s="252"/>
      <c r="JNT955" s="252"/>
      <c r="JNU955" s="252"/>
      <c r="JNV955" s="252"/>
      <c r="JNW955" s="252"/>
      <c r="JNX955" s="252"/>
      <c r="JNY955" s="252"/>
      <c r="JNZ955" s="252"/>
      <c r="JOA955" s="252"/>
      <c r="JOB955" s="252"/>
      <c r="JOC955" s="252"/>
      <c r="JOD955" s="252"/>
      <c r="JOE955" s="252"/>
      <c r="JOF955" s="252"/>
      <c r="JOG955" s="252"/>
      <c r="JOH955" s="252"/>
      <c r="JOI955" s="252"/>
      <c r="JOJ955" s="252"/>
      <c r="JOK955" s="252"/>
      <c r="JOL955" s="252"/>
      <c r="JOM955" s="252"/>
      <c r="JON955" s="252"/>
      <c r="JOO955" s="252"/>
      <c r="JOP955" s="252"/>
      <c r="JOQ955" s="252"/>
      <c r="JOR955" s="252"/>
      <c r="JOS955" s="252"/>
      <c r="JOT955" s="252"/>
      <c r="JOU955" s="252"/>
      <c r="JOV955" s="252"/>
      <c r="JOW955" s="252"/>
      <c r="JOX955" s="252"/>
      <c r="JOY955" s="252"/>
      <c r="JOZ955" s="252"/>
      <c r="JPA955" s="252"/>
      <c r="JPB955" s="252"/>
      <c r="JPC955" s="252"/>
      <c r="JPD955" s="252"/>
      <c r="JPE955" s="252"/>
      <c r="JPF955" s="252"/>
      <c r="JPG955" s="252"/>
      <c r="JPH955" s="252"/>
      <c r="JPI955" s="252"/>
      <c r="JPJ955" s="252"/>
      <c r="JPK955" s="252"/>
      <c r="JPL955" s="252"/>
      <c r="JPM955" s="252"/>
      <c r="JPN955" s="252"/>
      <c r="JPO955" s="252"/>
      <c r="JPP955" s="252"/>
      <c r="JPQ955" s="252"/>
      <c r="JPR955" s="252"/>
      <c r="JPS955" s="252"/>
      <c r="JPT955" s="252"/>
      <c r="JPU955" s="252"/>
      <c r="JPV955" s="252"/>
      <c r="JPW955" s="252"/>
      <c r="JPX955" s="252"/>
      <c r="JPY955" s="252"/>
      <c r="JPZ955" s="252"/>
      <c r="JQA955" s="252"/>
      <c r="JQB955" s="252"/>
      <c r="JQC955" s="252"/>
      <c r="JQD955" s="252"/>
      <c r="JQE955" s="252"/>
      <c r="JQF955" s="252"/>
      <c r="JQG955" s="252"/>
      <c r="JQH955" s="252"/>
      <c r="JQI955" s="252"/>
      <c r="JQJ955" s="252"/>
      <c r="JQK955" s="252"/>
      <c r="JQL955" s="252"/>
      <c r="JQM955" s="252"/>
      <c r="JQN955" s="252"/>
      <c r="JQO955" s="252"/>
      <c r="JQP955" s="252"/>
      <c r="JQQ955" s="252"/>
      <c r="JQR955" s="252"/>
      <c r="JQS955" s="252"/>
      <c r="JQT955" s="252"/>
      <c r="JQU955" s="252"/>
      <c r="JQV955" s="252"/>
      <c r="JQW955" s="252"/>
      <c r="JQX955" s="252"/>
      <c r="JQY955" s="252"/>
      <c r="JQZ955" s="252"/>
      <c r="JRA955" s="252"/>
      <c r="JRB955" s="252"/>
      <c r="JRC955" s="252"/>
      <c r="JRD955" s="252"/>
      <c r="JRE955" s="252"/>
      <c r="JRF955" s="252"/>
      <c r="JRG955" s="252"/>
      <c r="JRH955" s="252"/>
      <c r="JRI955" s="252"/>
      <c r="JRJ955" s="252"/>
      <c r="JRK955" s="252"/>
      <c r="JRL955" s="252"/>
      <c r="JRM955" s="252"/>
      <c r="JRN955" s="252"/>
      <c r="JRO955" s="252"/>
      <c r="JRP955" s="252"/>
      <c r="JRQ955" s="252"/>
      <c r="JRR955" s="252"/>
      <c r="JRS955" s="252"/>
      <c r="JRT955" s="252"/>
      <c r="JRU955" s="252"/>
      <c r="JRV955" s="252"/>
      <c r="JRW955" s="252"/>
      <c r="JRX955" s="252"/>
      <c r="JRY955" s="252"/>
      <c r="JRZ955" s="252"/>
      <c r="JSA955" s="252"/>
      <c r="JSB955" s="252"/>
      <c r="JSC955" s="252"/>
      <c r="JSD955" s="252"/>
      <c r="JSE955" s="252"/>
      <c r="JSF955" s="252"/>
      <c r="JSG955" s="252"/>
      <c r="JSH955" s="252"/>
      <c r="JSI955" s="252"/>
      <c r="JSJ955" s="252"/>
      <c r="JSK955" s="252"/>
      <c r="JSL955" s="252"/>
      <c r="JSM955" s="252"/>
      <c r="JSN955" s="252"/>
      <c r="JSO955" s="252"/>
      <c r="JSP955" s="252"/>
      <c r="JSQ955" s="252"/>
      <c r="JSR955" s="252"/>
      <c r="JSS955" s="252"/>
      <c r="JST955" s="252"/>
      <c r="JSU955" s="252"/>
      <c r="JSV955" s="252"/>
      <c r="JSW955" s="252"/>
      <c r="JSX955" s="252"/>
      <c r="JSY955" s="252"/>
      <c r="JSZ955" s="252"/>
      <c r="JTA955" s="252"/>
      <c r="JTB955" s="252"/>
      <c r="JTC955" s="252"/>
      <c r="JTD955" s="252"/>
      <c r="JTE955" s="252"/>
      <c r="JTF955" s="252"/>
      <c r="JTG955" s="252"/>
      <c r="JTH955" s="252"/>
      <c r="JTI955" s="252"/>
      <c r="JTJ955" s="252"/>
      <c r="JTK955" s="252"/>
      <c r="JTL955" s="252"/>
      <c r="JTM955" s="252"/>
      <c r="JTN955" s="252"/>
      <c r="JTO955" s="252"/>
      <c r="JTP955" s="252"/>
      <c r="JTQ955" s="252"/>
      <c r="JTR955" s="252"/>
      <c r="JTS955" s="252"/>
      <c r="JTT955" s="252"/>
      <c r="JTU955" s="252"/>
      <c r="JTV955" s="252"/>
      <c r="JTW955" s="252"/>
      <c r="JTX955" s="252"/>
      <c r="JTY955" s="252"/>
      <c r="JTZ955" s="252"/>
      <c r="JUA955" s="252"/>
      <c r="JUB955" s="252"/>
      <c r="JUC955" s="252"/>
      <c r="JUD955" s="252"/>
      <c r="JUE955" s="252"/>
      <c r="JUF955" s="252"/>
      <c r="JUG955" s="252"/>
      <c r="JUH955" s="252"/>
      <c r="JUI955" s="252"/>
      <c r="JUJ955" s="252"/>
      <c r="JUK955" s="252"/>
      <c r="JUL955" s="252"/>
      <c r="JUM955" s="252"/>
      <c r="JUN955" s="252"/>
      <c r="JUO955" s="252"/>
      <c r="JUP955" s="252"/>
      <c r="JUQ955" s="252"/>
      <c r="JUR955" s="252"/>
      <c r="JUS955" s="252"/>
      <c r="JUT955" s="252"/>
      <c r="JUU955" s="252"/>
      <c r="JUV955" s="252"/>
      <c r="JUW955" s="252"/>
      <c r="JUX955" s="252"/>
      <c r="JUY955" s="252"/>
      <c r="JUZ955" s="252"/>
      <c r="JVA955" s="252"/>
      <c r="JVB955" s="252"/>
      <c r="JVC955" s="252"/>
      <c r="JVD955" s="252"/>
      <c r="JVE955" s="252"/>
      <c r="JVF955" s="252"/>
      <c r="JVG955" s="252"/>
      <c r="JVH955" s="252"/>
      <c r="JVI955" s="252"/>
      <c r="JVJ955" s="252"/>
      <c r="JVK955" s="252"/>
      <c r="JVL955" s="252"/>
      <c r="JVM955" s="252"/>
      <c r="JVN955" s="252"/>
      <c r="JVO955" s="252"/>
      <c r="JVP955" s="252"/>
      <c r="JVQ955" s="252"/>
      <c r="JVR955" s="252"/>
      <c r="JVS955" s="252"/>
      <c r="JVT955" s="252"/>
      <c r="JVU955" s="252"/>
      <c r="JVV955" s="252"/>
      <c r="JVW955" s="252"/>
      <c r="JVX955" s="252"/>
      <c r="JVY955" s="252"/>
      <c r="JVZ955" s="252"/>
      <c r="JWA955" s="252"/>
      <c r="JWB955" s="252"/>
      <c r="JWC955" s="252"/>
      <c r="JWD955" s="252"/>
      <c r="JWE955" s="252"/>
      <c r="JWF955" s="252"/>
      <c r="JWG955" s="252"/>
      <c r="JWH955" s="252"/>
      <c r="JWI955" s="252"/>
      <c r="JWJ955" s="252"/>
      <c r="JWK955" s="252"/>
      <c r="JWL955" s="252"/>
      <c r="JWM955" s="252"/>
      <c r="JWN955" s="252"/>
      <c r="JWO955" s="252"/>
      <c r="JWP955" s="252"/>
      <c r="JWQ955" s="252"/>
      <c r="JWR955" s="252"/>
      <c r="JWS955" s="252"/>
      <c r="JWT955" s="252"/>
      <c r="JWU955" s="252"/>
      <c r="JWV955" s="252"/>
      <c r="JWW955" s="252"/>
      <c r="JWX955" s="252"/>
      <c r="JWY955" s="252"/>
      <c r="JWZ955" s="252"/>
      <c r="JXA955" s="252"/>
      <c r="JXB955" s="252"/>
      <c r="JXC955" s="252"/>
      <c r="JXD955" s="252"/>
      <c r="JXE955" s="252"/>
      <c r="JXF955" s="252"/>
      <c r="JXG955" s="252"/>
      <c r="JXH955" s="252"/>
      <c r="JXI955" s="252"/>
      <c r="JXJ955" s="252"/>
      <c r="JXK955" s="252"/>
      <c r="JXL955" s="252"/>
      <c r="JXM955" s="252"/>
      <c r="JXN955" s="252"/>
      <c r="JXO955" s="252"/>
      <c r="JXP955" s="252"/>
      <c r="JXQ955" s="252"/>
      <c r="JXR955" s="252"/>
      <c r="JXS955" s="252"/>
      <c r="JXT955" s="252"/>
      <c r="JXU955" s="252"/>
      <c r="JXV955" s="252"/>
      <c r="JXW955" s="252"/>
      <c r="JXX955" s="252"/>
      <c r="JXY955" s="252"/>
      <c r="JXZ955" s="252"/>
      <c r="JYA955" s="252"/>
      <c r="JYB955" s="252"/>
      <c r="JYC955" s="252"/>
      <c r="JYD955" s="252"/>
      <c r="JYE955" s="252"/>
      <c r="JYF955" s="252"/>
      <c r="JYG955" s="252"/>
      <c r="JYH955" s="252"/>
      <c r="JYI955" s="252"/>
      <c r="JYJ955" s="252"/>
      <c r="JYK955" s="252"/>
      <c r="JYL955" s="252"/>
      <c r="JYM955" s="252"/>
      <c r="JYN955" s="252"/>
      <c r="JYO955" s="252"/>
      <c r="JYP955" s="252"/>
      <c r="JYQ955" s="252"/>
      <c r="JYR955" s="252"/>
      <c r="JYS955" s="252"/>
      <c r="JYT955" s="252"/>
      <c r="JYU955" s="252"/>
      <c r="JYV955" s="252"/>
      <c r="JYW955" s="252"/>
      <c r="JYX955" s="252"/>
      <c r="JYY955" s="252"/>
      <c r="JYZ955" s="252"/>
      <c r="JZA955" s="252"/>
      <c r="JZB955" s="252"/>
      <c r="JZC955" s="252"/>
      <c r="JZD955" s="252"/>
      <c r="JZE955" s="252"/>
      <c r="JZF955" s="252"/>
      <c r="JZG955" s="252"/>
      <c r="JZH955" s="252"/>
      <c r="JZI955" s="252"/>
      <c r="JZJ955" s="252"/>
      <c r="JZK955" s="252"/>
      <c r="JZL955" s="252"/>
      <c r="JZM955" s="252"/>
      <c r="JZN955" s="252"/>
      <c r="JZO955" s="252"/>
      <c r="JZP955" s="252"/>
      <c r="JZQ955" s="252"/>
      <c r="JZR955" s="252"/>
      <c r="JZS955" s="252"/>
      <c r="JZT955" s="252"/>
      <c r="JZU955" s="252"/>
      <c r="JZV955" s="252"/>
      <c r="JZW955" s="252"/>
      <c r="JZX955" s="252"/>
      <c r="JZY955" s="252"/>
      <c r="JZZ955" s="252"/>
      <c r="KAA955" s="252"/>
      <c r="KAB955" s="252"/>
      <c r="KAC955" s="252"/>
      <c r="KAD955" s="252"/>
      <c r="KAE955" s="252"/>
      <c r="KAF955" s="252"/>
      <c r="KAG955" s="252"/>
      <c r="KAH955" s="252"/>
      <c r="KAI955" s="252"/>
      <c r="KAJ955" s="252"/>
      <c r="KAK955" s="252"/>
      <c r="KAL955" s="252"/>
      <c r="KAM955" s="252"/>
      <c r="KAN955" s="252"/>
      <c r="KAO955" s="252"/>
      <c r="KAP955" s="252"/>
      <c r="KAQ955" s="252"/>
      <c r="KAR955" s="252"/>
      <c r="KAS955" s="252"/>
      <c r="KAT955" s="252"/>
      <c r="KAU955" s="252"/>
      <c r="KAV955" s="252"/>
      <c r="KAW955" s="252"/>
      <c r="KAX955" s="252"/>
      <c r="KAY955" s="252"/>
      <c r="KAZ955" s="252"/>
      <c r="KBA955" s="252"/>
      <c r="KBB955" s="252"/>
      <c r="KBC955" s="252"/>
      <c r="KBD955" s="252"/>
      <c r="KBE955" s="252"/>
      <c r="KBF955" s="252"/>
      <c r="KBG955" s="252"/>
      <c r="KBH955" s="252"/>
      <c r="KBI955" s="252"/>
      <c r="KBJ955" s="252"/>
      <c r="KBK955" s="252"/>
      <c r="KBL955" s="252"/>
      <c r="KBM955" s="252"/>
      <c r="KBN955" s="252"/>
      <c r="KBO955" s="252"/>
      <c r="KBP955" s="252"/>
      <c r="KBQ955" s="252"/>
      <c r="KBR955" s="252"/>
      <c r="KBS955" s="252"/>
      <c r="KBT955" s="252"/>
      <c r="KBU955" s="252"/>
      <c r="KBV955" s="252"/>
      <c r="KBW955" s="252"/>
      <c r="KBX955" s="252"/>
      <c r="KBY955" s="252"/>
      <c r="KBZ955" s="252"/>
      <c r="KCA955" s="252"/>
      <c r="KCB955" s="252"/>
      <c r="KCC955" s="252"/>
      <c r="KCD955" s="252"/>
      <c r="KCE955" s="252"/>
      <c r="KCF955" s="252"/>
      <c r="KCG955" s="252"/>
      <c r="KCH955" s="252"/>
      <c r="KCI955" s="252"/>
      <c r="KCJ955" s="252"/>
      <c r="KCK955" s="252"/>
      <c r="KCL955" s="252"/>
      <c r="KCM955" s="252"/>
      <c r="KCN955" s="252"/>
      <c r="KCO955" s="252"/>
      <c r="KCP955" s="252"/>
      <c r="KCQ955" s="252"/>
      <c r="KCR955" s="252"/>
      <c r="KCS955" s="252"/>
      <c r="KCT955" s="252"/>
      <c r="KCU955" s="252"/>
      <c r="KCV955" s="252"/>
      <c r="KCW955" s="252"/>
      <c r="KCX955" s="252"/>
      <c r="KCY955" s="252"/>
      <c r="KCZ955" s="252"/>
      <c r="KDA955" s="252"/>
      <c r="KDB955" s="252"/>
      <c r="KDC955" s="252"/>
      <c r="KDD955" s="252"/>
      <c r="KDE955" s="252"/>
      <c r="KDF955" s="252"/>
      <c r="KDG955" s="252"/>
      <c r="KDH955" s="252"/>
      <c r="KDI955" s="252"/>
      <c r="KDJ955" s="252"/>
      <c r="KDK955" s="252"/>
      <c r="KDL955" s="252"/>
      <c r="KDM955" s="252"/>
      <c r="KDN955" s="252"/>
      <c r="KDO955" s="252"/>
      <c r="KDP955" s="252"/>
      <c r="KDQ955" s="252"/>
      <c r="KDR955" s="252"/>
      <c r="KDS955" s="252"/>
      <c r="KDT955" s="252"/>
      <c r="KDU955" s="252"/>
      <c r="KDV955" s="252"/>
      <c r="KDW955" s="252"/>
      <c r="KDX955" s="252"/>
      <c r="KDY955" s="252"/>
      <c r="KDZ955" s="252"/>
      <c r="KEA955" s="252"/>
      <c r="KEB955" s="252"/>
      <c r="KEC955" s="252"/>
      <c r="KED955" s="252"/>
      <c r="KEE955" s="252"/>
      <c r="KEF955" s="252"/>
      <c r="KEG955" s="252"/>
      <c r="KEH955" s="252"/>
      <c r="KEI955" s="252"/>
      <c r="KEJ955" s="252"/>
      <c r="KEK955" s="252"/>
      <c r="KEL955" s="252"/>
      <c r="KEM955" s="252"/>
      <c r="KEN955" s="252"/>
      <c r="KEO955" s="252"/>
      <c r="KEP955" s="252"/>
      <c r="KEQ955" s="252"/>
      <c r="KER955" s="252"/>
      <c r="KES955" s="252"/>
      <c r="KET955" s="252"/>
      <c r="KEU955" s="252"/>
      <c r="KEV955" s="252"/>
      <c r="KEW955" s="252"/>
      <c r="KEX955" s="252"/>
      <c r="KEY955" s="252"/>
      <c r="KEZ955" s="252"/>
      <c r="KFA955" s="252"/>
      <c r="KFB955" s="252"/>
      <c r="KFC955" s="252"/>
      <c r="KFD955" s="252"/>
      <c r="KFE955" s="252"/>
      <c r="KFF955" s="252"/>
      <c r="KFG955" s="252"/>
      <c r="KFH955" s="252"/>
      <c r="KFI955" s="252"/>
      <c r="KFJ955" s="252"/>
      <c r="KFK955" s="252"/>
      <c r="KFL955" s="252"/>
      <c r="KFM955" s="252"/>
      <c r="KFN955" s="252"/>
      <c r="KFO955" s="252"/>
      <c r="KFP955" s="252"/>
      <c r="KFQ955" s="252"/>
      <c r="KFR955" s="252"/>
      <c r="KFS955" s="252"/>
      <c r="KFT955" s="252"/>
      <c r="KFU955" s="252"/>
      <c r="KFV955" s="252"/>
      <c r="KFW955" s="252"/>
      <c r="KFX955" s="252"/>
      <c r="KFY955" s="252"/>
      <c r="KFZ955" s="252"/>
      <c r="KGA955" s="252"/>
      <c r="KGB955" s="252"/>
      <c r="KGC955" s="252"/>
      <c r="KGD955" s="252"/>
      <c r="KGE955" s="252"/>
      <c r="KGF955" s="252"/>
      <c r="KGG955" s="252"/>
      <c r="KGH955" s="252"/>
      <c r="KGI955" s="252"/>
      <c r="KGJ955" s="252"/>
      <c r="KGK955" s="252"/>
      <c r="KGL955" s="252"/>
      <c r="KGM955" s="252"/>
      <c r="KGN955" s="252"/>
      <c r="KGO955" s="252"/>
      <c r="KGP955" s="252"/>
      <c r="KGQ955" s="252"/>
      <c r="KGR955" s="252"/>
      <c r="KGS955" s="252"/>
      <c r="KGT955" s="252"/>
      <c r="KGU955" s="252"/>
      <c r="KGV955" s="252"/>
      <c r="KGW955" s="252"/>
      <c r="KGX955" s="252"/>
      <c r="KGY955" s="252"/>
      <c r="KGZ955" s="252"/>
      <c r="KHA955" s="252"/>
      <c r="KHB955" s="252"/>
      <c r="KHC955" s="252"/>
      <c r="KHD955" s="252"/>
      <c r="KHE955" s="252"/>
      <c r="KHF955" s="252"/>
      <c r="KHG955" s="252"/>
      <c r="KHH955" s="252"/>
      <c r="KHI955" s="252"/>
      <c r="KHJ955" s="252"/>
      <c r="KHK955" s="252"/>
      <c r="KHL955" s="252"/>
      <c r="KHM955" s="252"/>
      <c r="KHN955" s="252"/>
      <c r="KHO955" s="252"/>
      <c r="KHP955" s="252"/>
      <c r="KHQ955" s="252"/>
      <c r="KHR955" s="252"/>
      <c r="KHS955" s="252"/>
      <c r="KHT955" s="252"/>
      <c r="KHU955" s="252"/>
      <c r="KHV955" s="252"/>
      <c r="KHW955" s="252"/>
      <c r="KHX955" s="252"/>
      <c r="KHY955" s="252"/>
      <c r="KHZ955" s="252"/>
      <c r="KIA955" s="252"/>
      <c r="KIB955" s="252"/>
      <c r="KIC955" s="252"/>
      <c r="KID955" s="252"/>
      <c r="KIE955" s="252"/>
      <c r="KIF955" s="252"/>
      <c r="KIG955" s="252"/>
      <c r="KIH955" s="252"/>
      <c r="KII955" s="252"/>
      <c r="KIJ955" s="252"/>
      <c r="KIK955" s="252"/>
      <c r="KIL955" s="252"/>
      <c r="KIM955" s="252"/>
      <c r="KIN955" s="252"/>
      <c r="KIO955" s="252"/>
      <c r="KIP955" s="252"/>
      <c r="KIQ955" s="252"/>
      <c r="KIR955" s="252"/>
      <c r="KIS955" s="252"/>
      <c r="KIT955" s="252"/>
      <c r="KIU955" s="252"/>
      <c r="KIV955" s="252"/>
      <c r="KIW955" s="252"/>
      <c r="KIX955" s="252"/>
      <c r="KIY955" s="252"/>
      <c r="KIZ955" s="252"/>
      <c r="KJA955" s="252"/>
      <c r="KJB955" s="252"/>
      <c r="KJC955" s="252"/>
      <c r="KJD955" s="252"/>
      <c r="KJE955" s="252"/>
      <c r="KJF955" s="252"/>
      <c r="KJG955" s="252"/>
      <c r="KJH955" s="252"/>
      <c r="KJI955" s="252"/>
      <c r="KJJ955" s="252"/>
      <c r="KJK955" s="252"/>
      <c r="KJL955" s="252"/>
      <c r="KJM955" s="252"/>
      <c r="KJN955" s="252"/>
      <c r="KJO955" s="252"/>
      <c r="KJP955" s="252"/>
      <c r="KJQ955" s="252"/>
      <c r="KJR955" s="252"/>
      <c r="KJS955" s="252"/>
      <c r="KJT955" s="252"/>
      <c r="KJU955" s="252"/>
      <c r="KJV955" s="252"/>
      <c r="KJW955" s="252"/>
      <c r="KJX955" s="252"/>
      <c r="KJY955" s="252"/>
      <c r="KJZ955" s="252"/>
      <c r="KKA955" s="252"/>
      <c r="KKB955" s="252"/>
      <c r="KKC955" s="252"/>
      <c r="KKD955" s="252"/>
      <c r="KKE955" s="252"/>
      <c r="KKF955" s="252"/>
      <c r="KKG955" s="252"/>
      <c r="KKH955" s="252"/>
      <c r="KKI955" s="252"/>
      <c r="KKJ955" s="252"/>
      <c r="KKK955" s="252"/>
      <c r="KKL955" s="252"/>
      <c r="KKM955" s="252"/>
      <c r="KKN955" s="252"/>
      <c r="KKO955" s="252"/>
      <c r="KKP955" s="252"/>
      <c r="KKQ955" s="252"/>
      <c r="KKR955" s="252"/>
      <c r="KKS955" s="252"/>
      <c r="KKT955" s="252"/>
      <c r="KKU955" s="252"/>
      <c r="KKV955" s="252"/>
      <c r="KKW955" s="252"/>
      <c r="KKX955" s="252"/>
      <c r="KKY955" s="252"/>
      <c r="KKZ955" s="252"/>
      <c r="KLA955" s="252"/>
      <c r="KLB955" s="252"/>
      <c r="KLC955" s="252"/>
      <c r="KLD955" s="252"/>
      <c r="KLE955" s="252"/>
      <c r="KLF955" s="252"/>
      <c r="KLG955" s="252"/>
      <c r="KLH955" s="252"/>
      <c r="KLI955" s="252"/>
      <c r="KLJ955" s="252"/>
      <c r="KLK955" s="252"/>
      <c r="KLL955" s="252"/>
      <c r="KLM955" s="252"/>
      <c r="KLN955" s="252"/>
      <c r="KLO955" s="252"/>
      <c r="KLP955" s="252"/>
      <c r="KLQ955" s="252"/>
      <c r="KLR955" s="252"/>
      <c r="KLS955" s="252"/>
      <c r="KLT955" s="252"/>
      <c r="KLU955" s="252"/>
      <c r="KLV955" s="252"/>
      <c r="KLW955" s="252"/>
      <c r="KLX955" s="252"/>
      <c r="KLY955" s="252"/>
      <c r="KLZ955" s="252"/>
      <c r="KMA955" s="252"/>
      <c r="KMB955" s="252"/>
      <c r="KMC955" s="252"/>
      <c r="KMD955" s="252"/>
      <c r="KME955" s="252"/>
      <c r="KMF955" s="252"/>
      <c r="KMG955" s="252"/>
      <c r="KMH955" s="252"/>
      <c r="KMI955" s="252"/>
      <c r="KMJ955" s="252"/>
      <c r="KMK955" s="252"/>
      <c r="KML955" s="252"/>
      <c r="KMM955" s="252"/>
      <c r="KMN955" s="252"/>
      <c r="KMO955" s="252"/>
      <c r="KMP955" s="252"/>
      <c r="KMQ955" s="252"/>
      <c r="KMR955" s="252"/>
      <c r="KMS955" s="252"/>
      <c r="KMT955" s="252"/>
      <c r="KMU955" s="252"/>
      <c r="KMV955" s="252"/>
      <c r="KMW955" s="252"/>
      <c r="KMX955" s="252"/>
      <c r="KMY955" s="252"/>
      <c r="KMZ955" s="252"/>
      <c r="KNA955" s="252"/>
      <c r="KNB955" s="252"/>
      <c r="KNC955" s="252"/>
      <c r="KND955" s="252"/>
      <c r="KNE955" s="252"/>
      <c r="KNF955" s="252"/>
      <c r="KNG955" s="252"/>
      <c r="KNH955" s="252"/>
      <c r="KNI955" s="252"/>
      <c r="KNJ955" s="252"/>
      <c r="KNK955" s="252"/>
      <c r="KNL955" s="252"/>
      <c r="KNM955" s="252"/>
      <c r="KNN955" s="252"/>
      <c r="KNO955" s="252"/>
      <c r="KNP955" s="252"/>
      <c r="KNQ955" s="252"/>
      <c r="KNR955" s="252"/>
      <c r="KNS955" s="252"/>
      <c r="KNT955" s="252"/>
      <c r="KNU955" s="252"/>
      <c r="KNV955" s="252"/>
      <c r="KNW955" s="252"/>
      <c r="KNX955" s="252"/>
      <c r="KNY955" s="252"/>
      <c r="KNZ955" s="252"/>
      <c r="KOA955" s="252"/>
      <c r="KOB955" s="252"/>
      <c r="KOC955" s="252"/>
      <c r="KOD955" s="252"/>
      <c r="KOE955" s="252"/>
      <c r="KOF955" s="252"/>
      <c r="KOG955" s="252"/>
      <c r="KOH955" s="252"/>
      <c r="KOI955" s="252"/>
      <c r="KOJ955" s="252"/>
      <c r="KOK955" s="252"/>
      <c r="KOL955" s="252"/>
      <c r="KOM955" s="252"/>
      <c r="KON955" s="252"/>
      <c r="KOO955" s="252"/>
      <c r="KOP955" s="252"/>
      <c r="KOQ955" s="252"/>
      <c r="KOR955" s="252"/>
      <c r="KOS955" s="252"/>
      <c r="KOT955" s="252"/>
      <c r="KOU955" s="252"/>
      <c r="KOV955" s="252"/>
      <c r="KOW955" s="252"/>
      <c r="KOX955" s="252"/>
      <c r="KOY955" s="252"/>
      <c r="KOZ955" s="252"/>
      <c r="KPA955" s="252"/>
      <c r="KPB955" s="252"/>
      <c r="KPC955" s="252"/>
      <c r="KPD955" s="252"/>
      <c r="KPE955" s="252"/>
      <c r="KPF955" s="252"/>
      <c r="KPG955" s="252"/>
      <c r="KPH955" s="252"/>
      <c r="KPI955" s="252"/>
      <c r="KPJ955" s="252"/>
      <c r="KPK955" s="252"/>
      <c r="KPL955" s="252"/>
      <c r="KPM955" s="252"/>
      <c r="KPN955" s="252"/>
      <c r="KPO955" s="252"/>
      <c r="KPP955" s="252"/>
      <c r="KPQ955" s="252"/>
      <c r="KPR955" s="252"/>
      <c r="KPS955" s="252"/>
      <c r="KPT955" s="252"/>
      <c r="KPU955" s="252"/>
      <c r="KPV955" s="252"/>
      <c r="KPW955" s="252"/>
      <c r="KPX955" s="252"/>
      <c r="KPY955" s="252"/>
      <c r="KPZ955" s="252"/>
      <c r="KQA955" s="252"/>
      <c r="KQB955" s="252"/>
      <c r="KQC955" s="252"/>
      <c r="KQD955" s="252"/>
      <c r="KQE955" s="252"/>
      <c r="KQF955" s="252"/>
      <c r="KQG955" s="252"/>
      <c r="KQH955" s="252"/>
      <c r="KQI955" s="252"/>
      <c r="KQJ955" s="252"/>
      <c r="KQK955" s="252"/>
      <c r="KQL955" s="252"/>
      <c r="KQM955" s="252"/>
      <c r="KQN955" s="252"/>
      <c r="KQO955" s="252"/>
      <c r="KQP955" s="252"/>
      <c r="KQQ955" s="252"/>
      <c r="KQR955" s="252"/>
      <c r="KQS955" s="252"/>
      <c r="KQT955" s="252"/>
      <c r="KQU955" s="252"/>
      <c r="KQV955" s="252"/>
      <c r="KQW955" s="252"/>
      <c r="KQX955" s="252"/>
      <c r="KQY955" s="252"/>
      <c r="KQZ955" s="252"/>
      <c r="KRA955" s="252"/>
      <c r="KRB955" s="252"/>
      <c r="KRC955" s="252"/>
      <c r="KRD955" s="252"/>
      <c r="KRE955" s="252"/>
      <c r="KRF955" s="252"/>
      <c r="KRG955" s="252"/>
      <c r="KRH955" s="252"/>
      <c r="KRI955" s="252"/>
      <c r="KRJ955" s="252"/>
      <c r="KRK955" s="252"/>
      <c r="KRL955" s="252"/>
      <c r="KRM955" s="252"/>
      <c r="KRN955" s="252"/>
      <c r="KRO955" s="252"/>
      <c r="KRP955" s="252"/>
      <c r="KRQ955" s="252"/>
      <c r="KRR955" s="252"/>
      <c r="KRS955" s="252"/>
      <c r="KRT955" s="252"/>
      <c r="KRU955" s="252"/>
      <c r="KRV955" s="252"/>
      <c r="KRW955" s="252"/>
      <c r="KRX955" s="252"/>
      <c r="KRY955" s="252"/>
      <c r="KRZ955" s="252"/>
      <c r="KSA955" s="252"/>
      <c r="KSB955" s="252"/>
      <c r="KSC955" s="252"/>
      <c r="KSD955" s="252"/>
      <c r="KSE955" s="252"/>
      <c r="KSF955" s="252"/>
      <c r="KSG955" s="252"/>
      <c r="KSH955" s="252"/>
      <c r="KSI955" s="252"/>
      <c r="KSJ955" s="252"/>
      <c r="KSK955" s="252"/>
      <c r="KSL955" s="252"/>
      <c r="KSM955" s="252"/>
      <c r="KSN955" s="252"/>
      <c r="KSO955" s="252"/>
      <c r="KSP955" s="252"/>
      <c r="KSQ955" s="252"/>
      <c r="KSR955" s="252"/>
      <c r="KSS955" s="252"/>
      <c r="KST955" s="252"/>
      <c r="KSU955" s="252"/>
      <c r="KSV955" s="252"/>
      <c r="KSW955" s="252"/>
      <c r="KSX955" s="252"/>
      <c r="KSY955" s="252"/>
      <c r="KSZ955" s="252"/>
      <c r="KTA955" s="252"/>
      <c r="KTB955" s="252"/>
      <c r="KTC955" s="252"/>
      <c r="KTD955" s="252"/>
      <c r="KTE955" s="252"/>
      <c r="KTF955" s="252"/>
      <c r="KTG955" s="252"/>
      <c r="KTH955" s="252"/>
      <c r="KTI955" s="252"/>
      <c r="KTJ955" s="252"/>
      <c r="KTK955" s="252"/>
      <c r="KTL955" s="252"/>
      <c r="KTM955" s="252"/>
      <c r="KTN955" s="252"/>
      <c r="KTO955" s="252"/>
      <c r="KTP955" s="252"/>
      <c r="KTQ955" s="252"/>
      <c r="KTR955" s="252"/>
      <c r="KTS955" s="252"/>
      <c r="KTT955" s="252"/>
      <c r="KTU955" s="252"/>
      <c r="KTV955" s="252"/>
      <c r="KTW955" s="252"/>
      <c r="KTX955" s="252"/>
      <c r="KTY955" s="252"/>
      <c r="KTZ955" s="252"/>
      <c r="KUA955" s="252"/>
      <c r="KUB955" s="252"/>
      <c r="KUC955" s="252"/>
      <c r="KUD955" s="252"/>
      <c r="KUE955" s="252"/>
      <c r="KUF955" s="252"/>
      <c r="KUG955" s="252"/>
      <c r="KUH955" s="252"/>
      <c r="KUI955" s="252"/>
      <c r="KUJ955" s="252"/>
      <c r="KUK955" s="252"/>
      <c r="KUL955" s="252"/>
      <c r="KUM955" s="252"/>
      <c r="KUN955" s="252"/>
      <c r="KUO955" s="252"/>
      <c r="KUP955" s="252"/>
      <c r="KUQ955" s="252"/>
      <c r="KUR955" s="252"/>
      <c r="KUS955" s="252"/>
      <c r="KUT955" s="252"/>
      <c r="KUU955" s="252"/>
      <c r="KUV955" s="252"/>
      <c r="KUW955" s="252"/>
      <c r="KUX955" s="252"/>
      <c r="KUY955" s="252"/>
      <c r="KUZ955" s="252"/>
      <c r="KVA955" s="252"/>
      <c r="KVB955" s="252"/>
      <c r="KVC955" s="252"/>
      <c r="KVD955" s="252"/>
      <c r="KVE955" s="252"/>
      <c r="KVF955" s="252"/>
      <c r="KVG955" s="252"/>
      <c r="KVH955" s="252"/>
      <c r="KVI955" s="252"/>
      <c r="KVJ955" s="252"/>
      <c r="KVK955" s="252"/>
      <c r="KVL955" s="252"/>
      <c r="KVM955" s="252"/>
      <c r="KVN955" s="252"/>
      <c r="KVO955" s="252"/>
      <c r="KVP955" s="252"/>
      <c r="KVQ955" s="252"/>
      <c r="KVR955" s="252"/>
      <c r="KVS955" s="252"/>
      <c r="KVT955" s="252"/>
      <c r="KVU955" s="252"/>
      <c r="KVV955" s="252"/>
      <c r="KVW955" s="252"/>
      <c r="KVX955" s="252"/>
      <c r="KVY955" s="252"/>
      <c r="KVZ955" s="252"/>
      <c r="KWA955" s="252"/>
      <c r="KWB955" s="252"/>
      <c r="KWC955" s="252"/>
      <c r="KWD955" s="252"/>
      <c r="KWE955" s="252"/>
      <c r="KWF955" s="252"/>
      <c r="KWG955" s="252"/>
      <c r="KWH955" s="252"/>
      <c r="KWI955" s="252"/>
      <c r="KWJ955" s="252"/>
      <c r="KWK955" s="252"/>
      <c r="KWL955" s="252"/>
      <c r="KWM955" s="252"/>
      <c r="KWN955" s="252"/>
      <c r="KWO955" s="252"/>
      <c r="KWP955" s="252"/>
      <c r="KWQ955" s="252"/>
      <c r="KWR955" s="252"/>
      <c r="KWS955" s="252"/>
      <c r="KWT955" s="252"/>
      <c r="KWU955" s="252"/>
      <c r="KWV955" s="252"/>
      <c r="KWW955" s="252"/>
      <c r="KWX955" s="252"/>
      <c r="KWY955" s="252"/>
      <c r="KWZ955" s="252"/>
      <c r="KXA955" s="252"/>
      <c r="KXB955" s="252"/>
      <c r="KXC955" s="252"/>
      <c r="KXD955" s="252"/>
      <c r="KXE955" s="252"/>
      <c r="KXF955" s="252"/>
      <c r="KXG955" s="252"/>
      <c r="KXH955" s="252"/>
      <c r="KXI955" s="252"/>
      <c r="KXJ955" s="252"/>
      <c r="KXK955" s="252"/>
      <c r="KXL955" s="252"/>
      <c r="KXM955" s="252"/>
      <c r="KXN955" s="252"/>
      <c r="KXO955" s="252"/>
      <c r="KXP955" s="252"/>
      <c r="KXQ955" s="252"/>
      <c r="KXR955" s="252"/>
      <c r="KXS955" s="252"/>
      <c r="KXT955" s="252"/>
      <c r="KXU955" s="252"/>
      <c r="KXV955" s="252"/>
      <c r="KXW955" s="252"/>
      <c r="KXX955" s="252"/>
      <c r="KXY955" s="252"/>
      <c r="KXZ955" s="252"/>
      <c r="KYA955" s="252"/>
      <c r="KYB955" s="252"/>
      <c r="KYC955" s="252"/>
      <c r="KYD955" s="252"/>
      <c r="KYE955" s="252"/>
      <c r="KYF955" s="252"/>
      <c r="KYG955" s="252"/>
      <c r="KYH955" s="252"/>
      <c r="KYI955" s="252"/>
      <c r="KYJ955" s="252"/>
      <c r="KYK955" s="252"/>
      <c r="KYL955" s="252"/>
      <c r="KYM955" s="252"/>
      <c r="KYN955" s="252"/>
      <c r="KYO955" s="252"/>
      <c r="KYP955" s="252"/>
      <c r="KYQ955" s="252"/>
      <c r="KYR955" s="252"/>
      <c r="KYS955" s="252"/>
      <c r="KYT955" s="252"/>
      <c r="KYU955" s="252"/>
      <c r="KYV955" s="252"/>
      <c r="KYW955" s="252"/>
      <c r="KYX955" s="252"/>
      <c r="KYY955" s="252"/>
      <c r="KYZ955" s="252"/>
      <c r="KZA955" s="252"/>
      <c r="KZB955" s="252"/>
      <c r="KZC955" s="252"/>
      <c r="KZD955" s="252"/>
      <c r="KZE955" s="252"/>
      <c r="KZF955" s="252"/>
      <c r="KZG955" s="252"/>
      <c r="KZH955" s="252"/>
      <c r="KZI955" s="252"/>
      <c r="KZJ955" s="252"/>
      <c r="KZK955" s="252"/>
      <c r="KZL955" s="252"/>
      <c r="KZM955" s="252"/>
      <c r="KZN955" s="252"/>
      <c r="KZO955" s="252"/>
      <c r="KZP955" s="252"/>
      <c r="KZQ955" s="252"/>
      <c r="KZR955" s="252"/>
      <c r="KZS955" s="252"/>
      <c r="KZT955" s="252"/>
      <c r="KZU955" s="252"/>
      <c r="KZV955" s="252"/>
      <c r="KZW955" s="252"/>
      <c r="KZX955" s="252"/>
      <c r="KZY955" s="252"/>
      <c r="KZZ955" s="252"/>
      <c r="LAA955" s="252"/>
      <c r="LAB955" s="252"/>
      <c r="LAC955" s="252"/>
      <c r="LAD955" s="252"/>
      <c r="LAE955" s="252"/>
      <c r="LAF955" s="252"/>
      <c r="LAG955" s="252"/>
      <c r="LAH955" s="252"/>
      <c r="LAI955" s="252"/>
      <c r="LAJ955" s="252"/>
      <c r="LAK955" s="252"/>
      <c r="LAL955" s="252"/>
      <c r="LAM955" s="252"/>
      <c r="LAN955" s="252"/>
      <c r="LAO955" s="252"/>
      <c r="LAP955" s="252"/>
      <c r="LAQ955" s="252"/>
      <c r="LAR955" s="252"/>
      <c r="LAS955" s="252"/>
      <c r="LAT955" s="252"/>
      <c r="LAU955" s="252"/>
      <c r="LAV955" s="252"/>
      <c r="LAW955" s="252"/>
      <c r="LAX955" s="252"/>
      <c r="LAY955" s="252"/>
      <c r="LAZ955" s="252"/>
      <c r="LBA955" s="252"/>
      <c r="LBB955" s="252"/>
      <c r="LBC955" s="252"/>
      <c r="LBD955" s="252"/>
      <c r="LBE955" s="252"/>
      <c r="LBF955" s="252"/>
      <c r="LBG955" s="252"/>
      <c r="LBH955" s="252"/>
      <c r="LBI955" s="252"/>
      <c r="LBJ955" s="252"/>
      <c r="LBK955" s="252"/>
      <c r="LBL955" s="252"/>
      <c r="LBM955" s="252"/>
      <c r="LBN955" s="252"/>
      <c r="LBO955" s="252"/>
      <c r="LBP955" s="252"/>
      <c r="LBQ955" s="252"/>
      <c r="LBR955" s="252"/>
      <c r="LBS955" s="252"/>
      <c r="LBT955" s="252"/>
      <c r="LBU955" s="252"/>
      <c r="LBV955" s="252"/>
      <c r="LBW955" s="252"/>
      <c r="LBX955" s="252"/>
      <c r="LBY955" s="252"/>
      <c r="LBZ955" s="252"/>
      <c r="LCA955" s="252"/>
      <c r="LCB955" s="252"/>
      <c r="LCC955" s="252"/>
      <c r="LCD955" s="252"/>
      <c r="LCE955" s="252"/>
      <c r="LCF955" s="252"/>
      <c r="LCG955" s="252"/>
      <c r="LCH955" s="252"/>
      <c r="LCI955" s="252"/>
      <c r="LCJ955" s="252"/>
      <c r="LCK955" s="252"/>
      <c r="LCL955" s="252"/>
      <c r="LCM955" s="252"/>
      <c r="LCN955" s="252"/>
      <c r="LCO955" s="252"/>
      <c r="LCP955" s="252"/>
      <c r="LCQ955" s="252"/>
      <c r="LCR955" s="252"/>
      <c r="LCS955" s="252"/>
      <c r="LCT955" s="252"/>
      <c r="LCU955" s="252"/>
      <c r="LCV955" s="252"/>
      <c r="LCW955" s="252"/>
      <c r="LCX955" s="252"/>
      <c r="LCY955" s="252"/>
      <c r="LCZ955" s="252"/>
      <c r="LDA955" s="252"/>
      <c r="LDB955" s="252"/>
      <c r="LDC955" s="252"/>
      <c r="LDD955" s="252"/>
      <c r="LDE955" s="252"/>
      <c r="LDF955" s="252"/>
      <c r="LDG955" s="252"/>
      <c r="LDH955" s="252"/>
      <c r="LDI955" s="252"/>
      <c r="LDJ955" s="252"/>
      <c r="LDK955" s="252"/>
      <c r="LDL955" s="252"/>
      <c r="LDM955" s="252"/>
      <c r="LDN955" s="252"/>
      <c r="LDO955" s="252"/>
      <c r="LDP955" s="252"/>
      <c r="LDQ955" s="252"/>
      <c r="LDR955" s="252"/>
      <c r="LDS955" s="252"/>
      <c r="LDT955" s="252"/>
      <c r="LDU955" s="252"/>
      <c r="LDV955" s="252"/>
      <c r="LDW955" s="252"/>
      <c r="LDX955" s="252"/>
      <c r="LDY955" s="252"/>
      <c r="LDZ955" s="252"/>
      <c r="LEA955" s="252"/>
      <c r="LEB955" s="252"/>
      <c r="LEC955" s="252"/>
      <c r="LED955" s="252"/>
      <c r="LEE955" s="252"/>
      <c r="LEF955" s="252"/>
      <c r="LEG955" s="252"/>
      <c r="LEH955" s="252"/>
      <c r="LEI955" s="252"/>
      <c r="LEJ955" s="252"/>
      <c r="LEK955" s="252"/>
      <c r="LEL955" s="252"/>
      <c r="LEM955" s="252"/>
      <c r="LEN955" s="252"/>
      <c r="LEO955" s="252"/>
      <c r="LEP955" s="252"/>
      <c r="LEQ955" s="252"/>
      <c r="LER955" s="252"/>
      <c r="LES955" s="252"/>
      <c r="LET955" s="252"/>
      <c r="LEU955" s="252"/>
      <c r="LEV955" s="252"/>
      <c r="LEW955" s="252"/>
      <c r="LEX955" s="252"/>
      <c r="LEY955" s="252"/>
      <c r="LEZ955" s="252"/>
      <c r="LFA955" s="252"/>
      <c r="LFB955" s="252"/>
      <c r="LFC955" s="252"/>
      <c r="LFD955" s="252"/>
      <c r="LFE955" s="252"/>
      <c r="LFF955" s="252"/>
      <c r="LFG955" s="252"/>
      <c r="LFH955" s="252"/>
      <c r="LFI955" s="252"/>
      <c r="LFJ955" s="252"/>
      <c r="LFK955" s="252"/>
      <c r="LFL955" s="252"/>
      <c r="LFM955" s="252"/>
      <c r="LFN955" s="252"/>
      <c r="LFO955" s="252"/>
      <c r="LFP955" s="252"/>
      <c r="LFQ955" s="252"/>
      <c r="LFR955" s="252"/>
      <c r="LFS955" s="252"/>
      <c r="LFT955" s="252"/>
      <c r="LFU955" s="252"/>
      <c r="LFV955" s="252"/>
      <c r="LFW955" s="252"/>
      <c r="LFX955" s="252"/>
      <c r="LFY955" s="252"/>
      <c r="LFZ955" s="252"/>
      <c r="LGA955" s="252"/>
      <c r="LGB955" s="252"/>
      <c r="LGC955" s="252"/>
      <c r="LGD955" s="252"/>
      <c r="LGE955" s="252"/>
      <c r="LGF955" s="252"/>
      <c r="LGG955" s="252"/>
      <c r="LGH955" s="252"/>
      <c r="LGI955" s="252"/>
      <c r="LGJ955" s="252"/>
      <c r="LGK955" s="252"/>
      <c r="LGL955" s="252"/>
      <c r="LGM955" s="252"/>
      <c r="LGN955" s="252"/>
      <c r="LGO955" s="252"/>
      <c r="LGP955" s="252"/>
      <c r="LGQ955" s="252"/>
      <c r="LGR955" s="252"/>
      <c r="LGS955" s="252"/>
      <c r="LGT955" s="252"/>
      <c r="LGU955" s="252"/>
      <c r="LGV955" s="252"/>
      <c r="LGW955" s="252"/>
      <c r="LGX955" s="252"/>
      <c r="LGY955" s="252"/>
      <c r="LGZ955" s="252"/>
      <c r="LHA955" s="252"/>
      <c r="LHB955" s="252"/>
      <c r="LHC955" s="252"/>
      <c r="LHD955" s="252"/>
      <c r="LHE955" s="252"/>
      <c r="LHF955" s="252"/>
      <c r="LHG955" s="252"/>
      <c r="LHH955" s="252"/>
      <c r="LHI955" s="252"/>
      <c r="LHJ955" s="252"/>
      <c r="LHK955" s="252"/>
      <c r="LHL955" s="252"/>
      <c r="LHM955" s="252"/>
      <c r="LHN955" s="252"/>
      <c r="LHO955" s="252"/>
      <c r="LHP955" s="252"/>
      <c r="LHQ955" s="252"/>
      <c r="LHR955" s="252"/>
      <c r="LHS955" s="252"/>
      <c r="LHT955" s="252"/>
      <c r="LHU955" s="252"/>
      <c r="LHV955" s="252"/>
      <c r="LHW955" s="252"/>
      <c r="LHX955" s="252"/>
      <c r="LHY955" s="252"/>
      <c r="LHZ955" s="252"/>
      <c r="LIA955" s="252"/>
      <c r="LIB955" s="252"/>
      <c r="LIC955" s="252"/>
      <c r="LID955" s="252"/>
      <c r="LIE955" s="252"/>
      <c r="LIF955" s="252"/>
      <c r="LIG955" s="252"/>
      <c r="LIH955" s="252"/>
      <c r="LII955" s="252"/>
      <c r="LIJ955" s="252"/>
      <c r="LIK955" s="252"/>
      <c r="LIL955" s="252"/>
      <c r="LIM955" s="252"/>
      <c r="LIN955" s="252"/>
      <c r="LIO955" s="252"/>
      <c r="LIP955" s="252"/>
      <c r="LIQ955" s="252"/>
      <c r="LIR955" s="252"/>
      <c r="LIS955" s="252"/>
      <c r="LIT955" s="252"/>
      <c r="LIU955" s="252"/>
      <c r="LIV955" s="252"/>
      <c r="LIW955" s="252"/>
      <c r="LIX955" s="252"/>
      <c r="LIY955" s="252"/>
      <c r="LIZ955" s="252"/>
      <c r="LJA955" s="252"/>
      <c r="LJB955" s="252"/>
      <c r="LJC955" s="252"/>
      <c r="LJD955" s="252"/>
      <c r="LJE955" s="252"/>
      <c r="LJF955" s="252"/>
      <c r="LJG955" s="252"/>
      <c r="LJH955" s="252"/>
      <c r="LJI955" s="252"/>
      <c r="LJJ955" s="252"/>
      <c r="LJK955" s="252"/>
      <c r="LJL955" s="252"/>
      <c r="LJM955" s="252"/>
      <c r="LJN955" s="252"/>
      <c r="LJO955" s="252"/>
      <c r="LJP955" s="252"/>
      <c r="LJQ955" s="252"/>
      <c r="LJR955" s="252"/>
      <c r="LJS955" s="252"/>
      <c r="LJT955" s="252"/>
      <c r="LJU955" s="252"/>
      <c r="LJV955" s="252"/>
      <c r="LJW955" s="252"/>
      <c r="LJX955" s="252"/>
      <c r="LJY955" s="252"/>
      <c r="LJZ955" s="252"/>
      <c r="LKA955" s="252"/>
      <c r="LKB955" s="252"/>
      <c r="LKC955" s="252"/>
      <c r="LKD955" s="252"/>
      <c r="LKE955" s="252"/>
      <c r="LKF955" s="252"/>
      <c r="LKG955" s="252"/>
      <c r="LKH955" s="252"/>
      <c r="LKI955" s="252"/>
      <c r="LKJ955" s="252"/>
      <c r="LKK955" s="252"/>
      <c r="LKL955" s="252"/>
      <c r="LKM955" s="252"/>
      <c r="LKN955" s="252"/>
      <c r="LKO955" s="252"/>
      <c r="LKP955" s="252"/>
      <c r="LKQ955" s="252"/>
      <c r="LKR955" s="252"/>
      <c r="LKS955" s="252"/>
      <c r="LKT955" s="252"/>
      <c r="LKU955" s="252"/>
      <c r="LKV955" s="252"/>
      <c r="LKW955" s="252"/>
      <c r="LKX955" s="252"/>
      <c r="LKY955" s="252"/>
      <c r="LKZ955" s="252"/>
      <c r="LLA955" s="252"/>
      <c r="LLB955" s="252"/>
      <c r="LLC955" s="252"/>
      <c r="LLD955" s="252"/>
      <c r="LLE955" s="252"/>
      <c r="LLF955" s="252"/>
      <c r="LLG955" s="252"/>
      <c r="LLH955" s="252"/>
      <c r="LLI955" s="252"/>
      <c r="LLJ955" s="252"/>
      <c r="LLK955" s="252"/>
      <c r="LLL955" s="252"/>
      <c r="LLM955" s="252"/>
      <c r="LLN955" s="252"/>
      <c r="LLO955" s="252"/>
      <c r="LLP955" s="252"/>
      <c r="LLQ955" s="252"/>
      <c r="LLR955" s="252"/>
      <c r="LLS955" s="252"/>
      <c r="LLT955" s="252"/>
      <c r="LLU955" s="252"/>
      <c r="LLV955" s="252"/>
      <c r="LLW955" s="252"/>
      <c r="LLX955" s="252"/>
      <c r="LLY955" s="252"/>
      <c r="LLZ955" s="252"/>
      <c r="LMA955" s="252"/>
      <c r="LMB955" s="252"/>
      <c r="LMC955" s="252"/>
      <c r="LMD955" s="252"/>
      <c r="LME955" s="252"/>
      <c r="LMF955" s="252"/>
      <c r="LMG955" s="252"/>
      <c r="LMH955" s="252"/>
      <c r="LMI955" s="252"/>
      <c r="LMJ955" s="252"/>
      <c r="LMK955" s="252"/>
      <c r="LML955" s="252"/>
      <c r="LMM955" s="252"/>
      <c r="LMN955" s="252"/>
      <c r="LMO955" s="252"/>
      <c r="LMP955" s="252"/>
      <c r="LMQ955" s="252"/>
      <c r="LMR955" s="252"/>
      <c r="LMS955" s="252"/>
      <c r="LMT955" s="252"/>
      <c r="LMU955" s="252"/>
      <c r="LMV955" s="252"/>
      <c r="LMW955" s="252"/>
      <c r="LMX955" s="252"/>
      <c r="LMY955" s="252"/>
      <c r="LMZ955" s="252"/>
      <c r="LNA955" s="252"/>
      <c r="LNB955" s="252"/>
      <c r="LNC955" s="252"/>
      <c r="LND955" s="252"/>
      <c r="LNE955" s="252"/>
      <c r="LNF955" s="252"/>
      <c r="LNG955" s="252"/>
      <c r="LNH955" s="252"/>
      <c r="LNI955" s="252"/>
      <c r="LNJ955" s="252"/>
      <c r="LNK955" s="252"/>
      <c r="LNL955" s="252"/>
      <c r="LNM955" s="252"/>
      <c r="LNN955" s="252"/>
      <c r="LNO955" s="252"/>
      <c r="LNP955" s="252"/>
      <c r="LNQ955" s="252"/>
      <c r="LNR955" s="252"/>
      <c r="LNS955" s="252"/>
      <c r="LNT955" s="252"/>
      <c r="LNU955" s="252"/>
      <c r="LNV955" s="252"/>
      <c r="LNW955" s="252"/>
      <c r="LNX955" s="252"/>
      <c r="LNY955" s="252"/>
      <c r="LNZ955" s="252"/>
      <c r="LOA955" s="252"/>
      <c r="LOB955" s="252"/>
      <c r="LOC955" s="252"/>
      <c r="LOD955" s="252"/>
      <c r="LOE955" s="252"/>
      <c r="LOF955" s="252"/>
      <c r="LOG955" s="252"/>
      <c r="LOH955" s="252"/>
      <c r="LOI955" s="252"/>
      <c r="LOJ955" s="252"/>
      <c r="LOK955" s="252"/>
      <c r="LOL955" s="252"/>
      <c r="LOM955" s="252"/>
      <c r="LON955" s="252"/>
      <c r="LOO955" s="252"/>
      <c r="LOP955" s="252"/>
      <c r="LOQ955" s="252"/>
      <c r="LOR955" s="252"/>
      <c r="LOS955" s="252"/>
      <c r="LOT955" s="252"/>
      <c r="LOU955" s="252"/>
      <c r="LOV955" s="252"/>
      <c r="LOW955" s="252"/>
      <c r="LOX955" s="252"/>
      <c r="LOY955" s="252"/>
      <c r="LOZ955" s="252"/>
      <c r="LPA955" s="252"/>
      <c r="LPB955" s="252"/>
      <c r="LPC955" s="252"/>
      <c r="LPD955" s="252"/>
      <c r="LPE955" s="252"/>
      <c r="LPF955" s="252"/>
      <c r="LPG955" s="252"/>
      <c r="LPH955" s="252"/>
      <c r="LPI955" s="252"/>
      <c r="LPJ955" s="252"/>
      <c r="LPK955" s="252"/>
      <c r="LPL955" s="252"/>
      <c r="LPM955" s="252"/>
      <c r="LPN955" s="252"/>
      <c r="LPO955" s="252"/>
      <c r="LPP955" s="252"/>
      <c r="LPQ955" s="252"/>
      <c r="LPR955" s="252"/>
      <c r="LPS955" s="252"/>
      <c r="LPT955" s="252"/>
      <c r="LPU955" s="252"/>
      <c r="LPV955" s="252"/>
      <c r="LPW955" s="252"/>
      <c r="LPX955" s="252"/>
      <c r="LPY955" s="252"/>
      <c r="LPZ955" s="252"/>
      <c r="LQA955" s="252"/>
      <c r="LQB955" s="252"/>
      <c r="LQC955" s="252"/>
      <c r="LQD955" s="252"/>
      <c r="LQE955" s="252"/>
      <c r="LQF955" s="252"/>
      <c r="LQG955" s="252"/>
      <c r="LQH955" s="252"/>
      <c r="LQI955" s="252"/>
      <c r="LQJ955" s="252"/>
      <c r="LQK955" s="252"/>
      <c r="LQL955" s="252"/>
      <c r="LQM955" s="252"/>
      <c r="LQN955" s="252"/>
      <c r="LQO955" s="252"/>
      <c r="LQP955" s="252"/>
      <c r="LQQ955" s="252"/>
      <c r="LQR955" s="252"/>
      <c r="LQS955" s="252"/>
      <c r="LQT955" s="252"/>
      <c r="LQU955" s="252"/>
      <c r="LQV955" s="252"/>
      <c r="LQW955" s="252"/>
      <c r="LQX955" s="252"/>
      <c r="LQY955" s="252"/>
      <c r="LQZ955" s="252"/>
      <c r="LRA955" s="252"/>
      <c r="LRB955" s="252"/>
      <c r="LRC955" s="252"/>
      <c r="LRD955" s="252"/>
      <c r="LRE955" s="252"/>
      <c r="LRF955" s="252"/>
      <c r="LRG955" s="252"/>
      <c r="LRH955" s="252"/>
      <c r="LRI955" s="252"/>
      <c r="LRJ955" s="252"/>
      <c r="LRK955" s="252"/>
      <c r="LRL955" s="252"/>
      <c r="LRM955" s="252"/>
      <c r="LRN955" s="252"/>
      <c r="LRO955" s="252"/>
      <c r="LRP955" s="252"/>
      <c r="LRQ955" s="252"/>
      <c r="LRR955" s="252"/>
      <c r="LRS955" s="252"/>
      <c r="LRT955" s="252"/>
      <c r="LRU955" s="252"/>
      <c r="LRV955" s="252"/>
      <c r="LRW955" s="252"/>
      <c r="LRX955" s="252"/>
      <c r="LRY955" s="252"/>
      <c r="LRZ955" s="252"/>
      <c r="LSA955" s="252"/>
      <c r="LSB955" s="252"/>
      <c r="LSC955" s="252"/>
      <c r="LSD955" s="252"/>
      <c r="LSE955" s="252"/>
      <c r="LSF955" s="252"/>
      <c r="LSG955" s="252"/>
      <c r="LSH955" s="252"/>
      <c r="LSI955" s="252"/>
      <c r="LSJ955" s="252"/>
      <c r="LSK955" s="252"/>
      <c r="LSL955" s="252"/>
      <c r="LSM955" s="252"/>
      <c r="LSN955" s="252"/>
      <c r="LSO955" s="252"/>
      <c r="LSP955" s="252"/>
      <c r="LSQ955" s="252"/>
      <c r="LSR955" s="252"/>
      <c r="LSS955" s="252"/>
      <c r="LST955" s="252"/>
      <c r="LSU955" s="252"/>
      <c r="LSV955" s="252"/>
      <c r="LSW955" s="252"/>
      <c r="LSX955" s="252"/>
      <c r="LSY955" s="252"/>
      <c r="LSZ955" s="252"/>
      <c r="LTA955" s="252"/>
      <c r="LTB955" s="252"/>
      <c r="LTC955" s="252"/>
      <c r="LTD955" s="252"/>
      <c r="LTE955" s="252"/>
      <c r="LTF955" s="252"/>
      <c r="LTG955" s="252"/>
      <c r="LTH955" s="252"/>
      <c r="LTI955" s="252"/>
      <c r="LTJ955" s="252"/>
      <c r="LTK955" s="252"/>
      <c r="LTL955" s="252"/>
      <c r="LTM955" s="252"/>
      <c r="LTN955" s="252"/>
      <c r="LTO955" s="252"/>
      <c r="LTP955" s="252"/>
      <c r="LTQ955" s="252"/>
      <c r="LTR955" s="252"/>
      <c r="LTS955" s="252"/>
      <c r="LTT955" s="252"/>
      <c r="LTU955" s="252"/>
      <c r="LTV955" s="252"/>
      <c r="LTW955" s="252"/>
      <c r="LTX955" s="252"/>
      <c r="LTY955" s="252"/>
      <c r="LTZ955" s="252"/>
      <c r="LUA955" s="252"/>
      <c r="LUB955" s="252"/>
      <c r="LUC955" s="252"/>
      <c r="LUD955" s="252"/>
      <c r="LUE955" s="252"/>
      <c r="LUF955" s="252"/>
      <c r="LUG955" s="252"/>
      <c r="LUH955" s="252"/>
      <c r="LUI955" s="252"/>
      <c r="LUJ955" s="252"/>
      <c r="LUK955" s="252"/>
      <c r="LUL955" s="252"/>
      <c r="LUM955" s="252"/>
      <c r="LUN955" s="252"/>
      <c r="LUO955" s="252"/>
      <c r="LUP955" s="252"/>
      <c r="LUQ955" s="252"/>
      <c r="LUR955" s="252"/>
      <c r="LUS955" s="252"/>
      <c r="LUT955" s="252"/>
      <c r="LUU955" s="252"/>
      <c r="LUV955" s="252"/>
      <c r="LUW955" s="252"/>
      <c r="LUX955" s="252"/>
      <c r="LUY955" s="252"/>
      <c r="LUZ955" s="252"/>
      <c r="LVA955" s="252"/>
      <c r="LVB955" s="252"/>
      <c r="LVC955" s="252"/>
      <c r="LVD955" s="252"/>
      <c r="LVE955" s="252"/>
      <c r="LVF955" s="252"/>
      <c r="LVG955" s="252"/>
      <c r="LVH955" s="252"/>
      <c r="LVI955" s="252"/>
      <c r="LVJ955" s="252"/>
      <c r="LVK955" s="252"/>
      <c r="LVL955" s="252"/>
      <c r="LVM955" s="252"/>
      <c r="LVN955" s="252"/>
      <c r="LVO955" s="252"/>
      <c r="LVP955" s="252"/>
      <c r="LVQ955" s="252"/>
      <c r="LVR955" s="252"/>
      <c r="LVS955" s="252"/>
      <c r="LVT955" s="252"/>
      <c r="LVU955" s="252"/>
      <c r="LVV955" s="252"/>
      <c r="LVW955" s="252"/>
      <c r="LVX955" s="252"/>
      <c r="LVY955" s="252"/>
      <c r="LVZ955" s="252"/>
      <c r="LWA955" s="252"/>
      <c r="LWB955" s="252"/>
      <c r="LWC955" s="252"/>
      <c r="LWD955" s="252"/>
      <c r="LWE955" s="252"/>
      <c r="LWF955" s="252"/>
      <c r="LWG955" s="252"/>
      <c r="LWH955" s="252"/>
      <c r="LWI955" s="252"/>
      <c r="LWJ955" s="252"/>
      <c r="LWK955" s="252"/>
      <c r="LWL955" s="252"/>
      <c r="LWM955" s="252"/>
      <c r="LWN955" s="252"/>
      <c r="LWO955" s="252"/>
      <c r="LWP955" s="252"/>
      <c r="LWQ955" s="252"/>
      <c r="LWR955" s="252"/>
      <c r="LWS955" s="252"/>
      <c r="LWT955" s="252"/>
      <c r="LWU955" s="252"/>
      <c r="LWV955" s="252"/>
      <c r="LWW955" s="252"/>
      <c r="LWX955" s="252"/>
      <c r="LWY955" s="252"/>
      <c r="LWZ955" s="252"/>
      <c r="LXA955" s="252"/>
      <c r="LXB955" s="252"/>
      <c r="LXC955" s="252"/>
      <c r="LXD955" s="252"/>
      <c r="LXE955" s="252"/>
      <c r="LXF955" s="252"/>
      <c r="LXG955" s="252"/>
      <c r="LXH955" s="252"/>
      <c r="LXI955" s="252"/>
      <c r="LXJ955" s="252"/>
      <c r="LXK955" s="252"/>
      <c r="LXL955" s="252"/>
      <c r="LXM955" s="252"/>
      <c r="LXN955" s="252"/>
      <c r="LXO955" s="252"/>
      <c r="LXP955" s="252"/>
      <c r="LXQ955" s="252"/>
      <c r="LXR955" s="252"/>
      <c r="LXS955" s="252"/>
      <c r="LXT955" s="252"/>
      <c r="LXU955" s="252"/>
      <c r="LXV955" s="252"/>
      <c r="LXW955" s="252"/>
      <c r="LXX955" s="252"/>
      <c r="LXY955" s="252"/>
      <c r="LXZ955" s="252"/>
      <c r="LYA955" s="252"/>
      <c r="LYB955" s="252"/>
      <c r="LYC955" s="252"/>
      <c r="LYD955" s="252"/>
      <c r="LYE955" s="252"/>
      <c r="LYF955" s="252"/>
      <c r="LYG955" s="252"/>
      <c r="LYH955" s="252"/>
      <c r="LYI955" s="252"/>
      <c r="LYJ955" s="252"/>
      <c r="LYK955" s="252"/>
      <c r="LYL955" s="252"/>
      <c r="LYM955" s="252"/>
      <c r="LYN955" s="252"/>
      <c r="LYO955" s="252"/>
      <c r="LYP955" s="252"/>
      <c r="LYQ955" s="252"/>
      <c r="LYR955" s="252"/>
      <c r="LYS955" s="252"/>
      <c r="LYT955" s="252"/>
      <c r="LYU955" s="252"/>
      <c r="LYV955" s="252"/>
      <c r="LYW955" s="252"/>
      <c r="LYX955" s="252"/>
      <c r="LYY955" s="252"/>
      <c r="LYZ955" s="252"/>
      <c r="LZA955" s="252"/>
      <c r="LZB955" s="252"/>
      <c r="LZC955" s="252"/>
      <c r="LZD955" s="252"/>
      <c r="LZE955" s="252"/>
      <c r="LZF955" s="252"/>
      <c r="LZG955" s="252"/>
      <c r="LZH955" s="252"/>
      <c r="LZI955" s="252"/>
      <c r="LZJ955" s="252"/>
      <c r="LZK955" s="252"/>
      <c r="LZL955" s="252"/>
      <c r="LZM955" s="252"/>
      <c r="LZN955" s="252"/>
      <c r="LZO955" s="252"/>
      <c r="LZP955" s="252"/>
      <c r="LZQ955" s="252"/>
      <c r="LZR955" s="252"/>
      <c r="LZS955" s="252"/>
      <c r="LZT955" s="252"/>
      <c r="LZU955" s="252"/>
      <c r="LZV955" s="252"/>
      <c r="LZW955" s="252"/>
      <c r="LZX955" s="252"/>
      <c r="LZY955" s="252"/>
      <c r="LZZ955" s="252"/>
      <c r="MAA955" s="252"/>
      <c r="MAB955" s="252"/>
      <c r="MAC955" s="252"/>
      <c r="MAD955" s="252"/>
      <c r="MAE955" s="252"/>
      <c r="MAF955" s="252"/>
      <c r="MAG955" s="252"/>
      <c r="MAH955" s="252"/>
      <c r="MAI955" s="252"/>
      <c r="MAJ955" s="252"/>
      <c r="MAK955" s="252"/>
      <c r="MAL955" s="252"/>
      <c r="MAM955" s="252"/>
      <c r="MAN955" s="252"/>
      <c r="MAO955" s="252"/>
      <c r="MAP955" s="252"/>
      <c r="MAQ955" s="252"/>
      <c r="MAR955" s="252"/>
      <c r="MAS955" s="252"/>
      <c r="MAT955" s="252"/>
      <c r="MAU955" s="252"/>
      <c r="MAV955" s="252"/>
      <c r="MAW955" s="252"/>
      <c r="MAX955" s="252"/>
      <c r="MAY955" s="252"/>
      <c r="MAZ955" s="252"/>
      <c r="MBA955" s="252"/>
      <c r="MBB955" s="252"/>
      <c r="MBC955" s="252"/>
      <c r="MBD955" s="252"/>
      <c r="MBE955" s="252"/>
      <c r="MBF955" s="252"/>
      <c r="MBG955" s="252"/>
      <c r="MBH955" s="252"/>
      <c r="MBI955" s="252"/>
      <c r="MBJ955" s="252"/>
      <c r="MBK955" s="252"/>
      <c r="MBL955" s="252"/>
      <c r="MBM955" s="252"/>
      <c r="MBN955" s="252"/>
      <c r="MBO955" s="252"/>
      <c r="MBP955" s="252"/>
      <c r="MBQ955" s="252"/>
      <c r="MBR955" s="252"/>
      <c r="MBS955" s="252"/>
      <c r="MBT955" s="252"/>
      <c r="MBU955" s="252"/>
      <c r="MBV955" s="252"/>
      <c r="MBW955" s="252"/>
      <c r="MBX955" s="252"/>
      <c r="MBY955" s="252"/>
      <c r="MBZ955" s="252"/>
      <c r="MCA955" s="252"/>
      <c r="MCB955" s="252"/>
      <c r="MCC955" s="252"/>
      <c r="MCD955" s="252"/>
      <c r="MCE955" s="252"/>
      <c r="MCF955" s="252"/>
      <c r="MCG955" s="252"/>
      <c r="MCH955" s="252"/>
      <c r="MCI955" s="252"/>
      <c r="MCJ955" s="252"/>
      <c r="MCK955" s="252"/>
      <c r="MCL955" s="252"/>
      <c r="MCM955" s="252"/>
      <c r="MCN955" s="252"/>
      <c r="MCO955" s="252"/>
      <c r="MCP955" s="252"/>
      <c r="MCQ955" s="252"/>
      <c r="MCR955" s="252"/>
      <c r="MCS955" s="252"/>
      <c r="MCT955" s="252"/>
      <c r="MCU955" s="252"/>
      <c r="MCV955" s="252"/>
      <c r="MCW955" s="252"/>
      <c r="MCX955" s="252"/>
      <c r="MCY955" s="252"/>
      <c r="MCZ955" s="252"/>
      <c r="MDA955" s="252"/>
      <c r="MDB955" s="252"/>
      <c r="MDC955" s="252"/>
      <c r="MDD955" s="252"/>
      <c r="MDE955" s="252"/>
      <c r="MDF955" s="252"/>
      <c r="MDG955" s="252"/>
      <c r="MDH955" s="252"/>
      <c r="MDI955" s="252"/>
      <c r="MDJ955" s="252"/>
      <c r="MDK955" s="252"/>
      <c r="MDL955" s="252"/>
      <c r="MDM955" s="252"/>
      <c r="MDN955" s="252"/>
      <c r="MDO955" s="252"/>
      <c r="MDP955" s="252"/>
      <c r="MDQ955" s="252"/>
      <c r="MDR955" s="252"/>
      <c r="MDS955" s="252"/>
      <c r="MDT955" s="252"/>
      <c r="MDU955" s="252"/>
      <c r="MDV955" s="252"/>
      <c r="MDW955" s="252"/>
      <c r="MDX955" s="252"/>
      <c r="MDY955" s="252"/>
      <c r="MDZ955" s="252"/>
      <c r="MEA955" s="252"/>
      <c r="MEB955" s="252"/>
      <c r="MEC955" s="252"/>
      <c r="MED955" s="252"/>
      <c r="MEE955" s="252"/>
      <c r="MEF955" s="252"/>
      <c r="MEG955" s="252"/>
      <c r="MEH955" s="252"/>
      <c r="MEI955" s="252"/>
      <c r="MEJ955" s="252"/>
      <c r="MEK955" s="252"/>
      <c r="MEL955" s="252"/>
      <c r="MEM955" s="252"/>
      <c r="MEN955" s="252"/>
      <c r="MEO955" s="252"/>
      <c r="MEP955" s="252"/>
      <c r="MEQ955" s="252"/>
      <c r="MER955" s="252"/>
      <c r="MES955" s="252"/>
      <c r="MET955" s="252"/>
      <c r="MEU955" s="252"/>
      <c r="MEV955" s="252"/>
      <c r="MEW955" s="252"/>
      <c r="MEX955" s="252"/>
      <c r="MEY955" s="252"/>
      <c r="MEZ955" s="252"/>
      <c r="MFA955" s="252"/>
      <c r="MFB955" s="252"/>
      <c r="MFC955" s="252"/>
      <c r="MFD955" s="252"/>
      <c r="MFE955" s="252"/>
      <c r="MFF955" s="252"/>
      <c r="MFG955" s="252"/>
      <c r="MFH955" s="252"/>
      <c r="MFI955" s="252"/>
      <c r="MFJ955" s="252"/>
      <c r="MFK955" s="252"/>
      <c r="MFL955" s="252"/>
      <c r="MFM955" s="252"/>
      <c r="MFN955" s="252"/>
      <c r="MFO955" s="252"/>
      <c r="MFP955" s="252"/>
      <c r="MFQ955" s="252"/>
      <c r="MFR955" s="252"/>
      <c r="MFS955" s="252"/>
      <c r="MFT955" s="252"/>
      <c r="MFU955" s="252"/>
      <c r="MFV955" s="252"/>
      <c r="MFW955" s="252"/>
      <c r="MFX955" s="252"/>
      <c r="MFY955" s="252"/>
      <c r="MFZ955" s="252"/>
      <c r="MGA955" s="252"/>
      <c r="MGB955" s="252"/>
      <c r="MGC955" s="252"/>
      <c r="MGD955" s="252"/>
      <c r="MGE955" s="252"/>
      <c r="MGF955" s="252"/>
      <c r="MGG955" s="252"/>
      <c r="MGH955" s="252"/>
      <c r="MGI955" s="252"/>
      <c r="MGJ955" s="252"/>
      <c r="MGK955" s="252"/>
      <c r="MGL955" s="252"/>
      <c r="MGM955" s="252"/>
      <c r="MGN955" s="252"/>
      <c r="MGO955" s="252"/>
      <c r="MGP955" s="252"/>
      <c r="MGQ955" s="252"/>
      <c r="MGR955" s="252"/>
      <c r="MGS955" s="252"/>
      <c r="MGT955" s="252"/>
      <c r="MGU955" s="252"/>
      <c r="MGV955" s="252"/>
      <c r="MGW955" s="252"/>
      <c r="MGX955" s="252"/>
      <c r="MGY955" s="252"/>
      <c r="MGZ955" s="252"/>
      <c r="MHA955" s="252"/>
      <c r="MHB955" s="252"/>
      <c r="MHC955" s="252"/>
      <c r="MHD955" s="252"/>
      <c r="MHE955" s="252"/>
      <c r="MHF955" s="252"/>
      <c r="MHG955" s="252"/>
      <c r="MHH955" s="252"/>
      <c r="MHI955" s="252"/>
      <c r="MHJ955" s="252"/>
      <c r="MHK955" s="252"/>
      <c r="MHL955" s="252"/>
      <c r="MHM955" s="252"/>
      <c r="MHN955" s="252"/>
      <c r="MHO955" s="252"/>
      <c r="MHP955" s="252"/>
      <c r="MHQ955" s="252"/>
      <c r="MHR955" s="252"/>
      <c r="MHS955" s="252"/>
      <c r="MHT955" s="252"/>
      <c r="MHU955" s="252"/>
      <c r="MHV955" s="252"/>
      <c r="MHW955" s="252"/>
      <c r="MHX955" s="252"/>
      <c r="MHY955" s="252"/>
      <c r="MHZ955" s="252"/>
      <c r="MIA955" s="252"/>
      <c r="MIB955" s="252"/>
      <c r="MIC955" s="252"/>
      <c r="MID955" s="252"/>
      <c r="MIE955" s="252"/>
      <c r="MIF955" s="252"/>
      <c r="MIG955" s="252"/>
      <c r="MIH955" s="252"/>
      <c r="MII955" s="252"/>
      <c r="MIJ955" s="252"/>
      <c r="MIK955" s="252"/>
      <c r="MIL955" s="252"/>
      <c r="MIM955" s="252"/>
      <c r="MIN955" s="252"/>
      <c r="MIO955" s="252"/>
      <c r="MIP955" s="252"/>
      <c r="MIQ955" s="252"/>
      <c r="MIR955" s="252"/>
      <c r="MIS955" s="252"/>
      <c r="MIT955" s="252"/>
      <c r="MIU955" s="252"/>
      <c r="MIV955" s="252"/>
      <c r="MIW955" s="252"/>
      <c r="MIX955" s="252"/>
      <c r="MIY955" s="252"/>
      <c r="MIZ955" s="252"/>
      <c r="MJA955" s="252"/>
      <c r="MJB955" s="252"/>
      <c r="MJC955" s="252"/>
      <c r="MJD955" s="252"/>
      <c r="MJE955" s="252"/>
      <c r="MJF955" s="252"/>
      <c r="MJG955" s="252"/>
      <c r="MJH955" s="252"/>
      <c r="MJI955" s="252"/>
      <c r="MJJ955" s="252"/>
      <c r="MJK955" s="252"/>
      <c r="MJL955" s="252"/>
      <c r="MJM955" s="252"/>
      <c r="MJN955" s="252"/>
      <c r="MJO955" s="252"/>
      <c r="MJP955" s="252"/>
      <c r="MJQ955" s="252"/>
      <c r="MJR955" s="252"/>
      <c r="MJS955" s="252"/>
      <c r="MJT955" s="252"/>
      <c r="MJU955" s="252"/>
      <c r="MJV955" s="252"/>
      <c r="MJW955" s="252"/>
      <c r="MJX955" s="252"/>
      <c r="MJY955" s="252"/>
      <c r="MJZ955" s="252"/>
      <c r="MKA955" s="252"/>
      <c r="MKB955" s="252"/>
      <c r="MKC955" s="252"/>
      <c r="MKD955" s="252"/>
      <c r="MKE955" s="252"/>
      <c r="MKF955" s="252"/>
      <c r="MKG955" s="252"/>
      <c r="MKH955" s="252"/>
      <c r="MKI955" s="252"/>
      <c r="MKJ955" s="252"/>
      <c r="MKK955" s="252"/>
      <c r="MKL955" s="252"/>
      <c r="MKM955" s="252"/>
      <c r="MKN955" s="252"/>
      <c r="MKO955" s="252"/>
      <c r="MKP955" s="252"/>
      <c r="MKQ955" s="252"/>
      <c r="MKR955" s="252"/>
      <c r="MKS955" s="252"/>
      <c r="MKT955" s="252"/>
      <c r="MKU955" s="252"/>
      <c r="MKV955" s="252"/>
      <c r="MKW955" s="252"/>
      <c r="MKX955" s="252"/>
      <c r="MKY955" s="252"/>
      <c r="MKZ955" s="252"/>
      <c r="MLA955" s="252"/>
      <c r="MLB955" s="252"/>
      <c r="MLC955" s="252"/>
      <c r="MLD955" s="252"/>
      <c r="MLE955" s="252"/>
      <c r="MLF955" s="252"/>
      <c r="MLG955" s="252"/>
      <c r="MLH955" s="252"/>
      <c r="MLI955" s="252"/>
      <c r="MLJ955" s="252"/>
      <c r="MLK955" s="252"/>
      <c r="MLL955" s="252"/>
      <c r="MLM955" s="252"/>
      <c r="MLN955" s="252"/>
      <c r="MLO955" s="252"/>
      <c r="MLP955" s="252"/>
      <c r="MLQ955" s="252"/>
      <c r="MLR955" s="252"/>
      <c r="MLS955" s="252"/>
      <c r="MLT955" s="252"/>
      <c r="MLU955" s="252"/>
      <c r="MLV955" s="252"/>
      <c r="MLW955" s="252"/>
      <c r="MLX955" s="252"/>
      <c r="MLY955" s="252"/>
      <c r="MLZ955" s="252"/>
      <c r="MMA955" s="252"/>
      <c r="MMB955" s="252"/>
      <c r="MMC955" s="252"/>
      <c r="MMD955" s="252"/>
      <c r="MME955" s="252"/>
      <c r="MMF955" s="252"/>
      <c r="MMG955" s="252"/>
      <c r="MMH955" s="252"/>
      <c r="MMI955" s="252"/>
      <c r="MMJ955" s="252"/>
      <c r="MMK955" s="252"/>
      <c r="MML955" s="252"/>
      <c r="MMM955" s="252"/>
      <c r="MMN955" s="252"/>
      <c r="MMO955" s="252"/>
      <c r="MMP955" s="252"/>
      <c r="MMQ955" s="252"/>
      <c r="MMR955" s="252"/>
      <c r="MMS955" s="252"/>
      <c r="MMT955" s="252"/>
      <c r="MMU955" s="252"/>
      <c r="MMV955" s="252"/>
      <c r="MMW955" s="252"/>
      <c r="MMX955" s="252"/>
      <c r="MMY955" s="252"/>
      <c r="MMZ955" s="252"/>
      <c r="MNA955" s="252"/>
      <c r="MNB955" s="252"/>
      <c r="MNC955" s="252"/>
      <c r="MND955" s="252"/>
      <c r="MNE955" s="252"/>
      <c r="MNF955" s="252"/>
      <c r="MNG955" s="252"/>
      <c r="MNH955" s="252"/>
      <c r="MNI955" s="252"/>
      <c r="MNJ955" s="252"/>
      <c r="MNK955" s="252"/>
      <c r="MNL955" s="252"/>
      <c r="MNM955" s="252"/>
      <c r="MNN955" s="252"/>
      <c r="MNO955" s="252"/>
      <c r="MNP955" s="252"/>
      <c r="MNQ955" s="252"/>
      <c r="MNR955" s="252"/>
      <c r="MNS955" s="252"/>
      <c r="MNT955" s="252"/>
      <c r="MNU955" s="252"/>
      <c r="MNV955" s="252"/>
      <c r="MNW955" s="252"/>
      <c r="MNX955" s="252"/>
      <c r="MNY955" s="252"/>
      <c r="MNZ955" s="252"/>
      <c r="MOA955" s="252"/>
      <c r="MOB955" s="252"/>
      <c r="MOC955" s="252"/>
      <c r="MOD955" s="252"/>
      <c r="MOE955" s="252"/>
      <c r="MOF955" s="252"/>
      <c r="MOG955" s="252"/>
      <c r="MOH955" s="252"/>
      <c r="MOI955" s="252"/>
      <c r="MOJ955" s="252"/>
      <c r="MOK955" s="252"/>
      <c r="MOL955" s="252"/>
      <c r="MOM955" s="252"/>
      <c r="MON955" s="252"/>
      <c r="MOO955" s="252"/>
      <c r="MOP955" s="252"/>
      <c r="MOQ955" s="252"/>
      <c r="MOR955" s="252"/>
      <c r="MOS955" s="252"/>
      <c r="MOT955" s="252"/>
      <c r="MOU955" s="252"/>
      <c r="MOV955" s="252"/>
      <c r="MOW955" s="252"/>
      <c r="MOX955" s="252"/>
      <c r="MOY955" s="252"/>
      <c r="MOZ955" s="252"/>
      <c r="MPA955" s="252"/>
      <c r="MPB955" s="252"/>
      <c r="MPC955" s="252"/>
      <c r="MPD955" s="252"/>
      <c r="MPE955" s="252"/>
      <c r="MPF955" s="252"/>
      <c r="MPG955" s="252"/>
      <c r="MPH955" s="252"/>
      <c r="MPI955" s="252"/>
      <c r="MPJ955" s="252"/>
      <c r="MPK955" s="252"/>
      <c r="MPL955" s="252"/>
      <c r="MPM955" s="252"/>
      <c r="MPN955" s="252"/>
      <c r="MPO955" s="252"/>
      <c r="MPP955" s="252"/>
      <c r="MPQ955" s="252"/>
      <c r="MPR955" s="252"/>
      <c r="MPS955" s="252"/>
      <c r="MPT955" s="252"/>
      <c r="MPU955" s="252"/>
      <c r="MPV955" s="252"/>
      <c r="MPW955" s="252"/>
      <c r="MPX955" s="252"/>
      <c r="MPY955" s="252"/>
      <c r="MPZ955" s="252"/>
      <c r="MQA955" s="252"/>
      <c r="MQB955" s="252"/>
      <c r="MQC955" s="252"/>
      <c r="MQD955" s="252"/>
      <c r="MQE955" s="252"/>
      <c r="MQF955" s="252"/>
      <c r="MQG955" s="252"/>
      <c r="MQH955" s="252"/>
      <c r="MQI955" s="252"/>
      <c r="MQJ955" s="252"/>
      <c r="MQK955" s="252"/>
      <c r="MQL955" s="252"/>
      <c r="MQM955" s="252"/>
      <c r="MQN955" s="252"/>
      <c r="MQO955" s="252"/>
      <c r="MQP955" s="252"/>
      <c r="MQQ955" s="252"/>
      <c r="MQR955" s="252"/>
      <c r="MQS955" s="252"/>
      <c r="MQT955" s="252"/>
      <c r="MQU955" s="252"/>
      <c r="MQV955" s="252"/>
      <c r="MQW955" s="252"/>
      <c r="MQX955" s="252"/>
      <c r="MQY955" s="252"/>
      <c r="MQZ955" s="252"/>
      <c r="MRA955" s="252"/>
      <c r="MRB955" s="252"/>
      <c r="MRC955" s="252"/>
      <c r="MRD955" s="252"/>
      <c r="MRE955" s="252"/>
      <c r="MRF955" s="252"/>
      <c r="MRG955" s="252"/>
      <c r="MRH955" s="252"/>
      <c r="MRI955" s="252"/>
      <c r="MRJ955" s="252"/>
      <c r="MRK955" s="252"/>
      <c r="MRL955" s="252"/>
      <c r="MRM955" s="252"/>
      <c r="MRN955" s="252"/>
      <c r="MRO955" s="252"/>
      <c r="MRP955" s="252"/>
      <c r="MRQ955" s="252"/>
      <c r="MRR955" s="252"/>
      <c r="MRS955" s="252"/>
      <c r="MRT955" s="252"/>
      <c r="MRU955" s="252"/>
      <c r="MRV955" s="252"/>
      <c r="MRW955" s="252"/>
      <c r="MRX955" s="252"/>
      <c r="MRY955" s="252"/>
      <c r="MRZ955" s="252"/>
      <c r="MSA955" s="252"/>
      <c r="MSB955" s="252"/>
      <c r="MSC955" s="252"/>
      <c r="MSD955" s="252"/>
      <c r="MSE955" s="252"/>
      <c r="MSF955" s="252"/>
      <c r="MSG955" s="252"/>
      <c r="MSH955" s="252"/>
      <c r="MSI955" s="252"/>
      <c r="MSJ955" s="252"/>
      <c r="MSK955" s="252"/>
      <c r="MSL955" s="252"/>
      <c r="MSM955" s="252"/>
      <c r="MSN955" s="252"/>
      <c r="MSO955" s="252"/>
      <c r="MSP955" s="252"/>
      <c r="MSQ955" s="252"/>
      <c r="MSR955" s="252"/>
      <c r="MSS955" s="252"/>
      <c r="MST955" s="252"/>
      <c r="MSU955" s="252"/>
      <c r="MSV955" s="252"/>
      <c r="MSW955" s="252"/>
      <c r="MSX955" s="252"/>
      <c r="MSY955" s="252"/>
      <c r="MSZ955" s="252"/>
      <c r="MTA955" s="252"/>
      <c r="MTB955" s="252"/>
      <c r="MTC955" s="252"/>
      <c r="MTD955" s="252"/>
      <c r="MTE955" s="252"/>
      <c r="MTF955" s="252"/>
      <c r="MTG955" s="252"/>
      <c r="MTH955" s="252"/>
      <c r="MTI955" s="252"/>
      <c r="MTJ955" s="252"/>
      <c r="MTK955" s="252"/>
      <c r="MTL955" s="252"/>
      <c r="MTM955" s="252"/>
      <c r="MTN955" s="252"/>
      <c r="MTO955" s="252"/>
      <c r="MTP955" s="252"/>
      <c r="MTQ955" s="252"/>
      <c r="MTR955" s="252"/>
      <c r="MTS955" s="252"/>
      <c r="MTT955" s="252"/>
      <c r="MTU955" s="252"/>
      <c r="MTV955" s="252"/>
      <c r="MTW955" s="252"/>
      <c r="MTX955" s="252"/>
      <c r="MTY955" s="252"/>
      <c r="MTZ955" s="252"/>
      <c r="MUA955" s="252"/>
      <c r="MUB955" s="252"/>
      <c r="MUC955" s="252"/>
      <c r="MUD955" s="252"/>
      <c r="MUE955" s="252"/>
      <c r="MUF955" s="252"/>
      <c r="MUG955" s="252"/>
      <c r="MUH955" s="252"/>
      <c r="MUI955" s="252"/>
      <c r="MUJ955" s="252"/>
      <c r="MUK955" s="252"/>
      <c r="MUL955" s="252"/>
      <c r="MUM955" s="252"/>
      <c r="MUN955" s="252"/>
      <c r="MUO955" s="252"/>
      <c r="MUP955" s="252"/>
      <c r="MUQ955" s="252"/>
      <c r="MUR955" s="252"/>
      <c r="MUS955" s="252"/>
      <c r="MUT955" s="252"/>
      <c r="MUU955" s="252"/>
      <c r="MUV955" s="252"/>
      <c r="MUW955" s="252"/>
      <c r="MUX955" s="252"/>
      <c r="MUY955" s="252"/>
      <c r="MUZ955" s="252"/>
      <c r="MVA955" s="252"/>
      <c r="MVB955" s="252"/>
      <c r="MVC955" s="252"/>
      <c r="MVD955" s="252"/>
      <c r="MVE955" s="252"/>
      <c r="MVF955" s="252"/>
      <c r="MVG955" s="252"/>
      <c r="MVH955" s="252"/>
      <c r="MVI955" s="252"/>
      <c r="MVJ955" s="252"/>
      <c r="MVK955" s="252"/>
      <c r="MVL955" s="252"/>
      <c r="MVM955" s="252"/>
      <c r="MVN955" s="252"/>
      <c r="MVO955" s="252"/>
      <c r="MVP955" s="252"/>
      <c r="MVQ955" s="252"/>
      <c r="MVR955" s="252"/>
      <c r="MVS955" s="252"/>
      <c r="MVT955" s="252"/>
      <c r="MVU955" s="252"/>
      <c r="MVV955" s="252"/>
      <c r="MVW955" s="252"/>
      <c r="MVX955" s="252"/>
      <c r="MVY955" s="252"/>
      <c r="MVZ955" s="252"/>
      <c r="MWA955" s="252"/>
      <c r="MWB955" s="252"/>
      <c r="MWC955" s="252"/>
      <c r="MWD955" s="252"/>
      <c r="MWE955" s="252"/>
      <c r="MWF955" s="252"/>
      <c r="MWG955" s="252"/>
      <c r="MWH955" s="252"/>
      <c r="MWI955" s="252"/>
      <c r="MWJ955" s="252"/>
      <c r="MWK955" s="252"/>
      <c r="MWL955" s="252"/>
      <c r="MWM955" s="252"/>
      <c r="MWN955" s="252"/>
      <c r="MWO955" s="252"/>
      <c r="MWP955" s="252"/>
      <c r="MWQ955" s="252"/>
      <c r="MWR955" s="252"/>
      <c r="MWS955" s="252"/>
      <c r="MWT955" s="252"/>
      <c r="MWU955" s="252"/>
      <c r="MWV955" s="252"/>
      <c r="MWW955" s="252"/>
      <c r="MWX955" s="252"/>
      <c r="MWY955" s="252"/>
      <c r="MWZ955" s="252"/>
      <c r="MXA955" s="252"/>
      <c r="MXB955" s="252"/>
      <c r="MXC955" s="252"/>
      <c r="MXD955" s="252"/>
      <c r="MXE955" s="252"/>
      <c r="MXF955" s="252"/>
      <c r="MXG955" s="252"/>
      <c r="MXH955" s="252"/>
      <c r="MXI955" s="252"/>
      <c r="MXJ955" s="252"/>
      <c r="MXK955" s="252"/>
      <c r="MXL955" s="252"/>
      <c r="MXM955" s="252"/>
      <c r="MXN955" s="252"/>
      <c r="MXO955" s="252"/>
      <c r="MXP955" s="252"/>
      <c r="MXQ955" s="252"/>
      <c r="MXR955" s="252"/>
      <c r="MXS955" s="252"/>
      <c r="MXT955" s="252"/>
      <c r="MXU955" s="252"/>
      <c r="MXV955" s="252"/>
      <c r="MXW955" s="252"/>
      <c r="MXX955" s="252"/>
      <c r="MXY955" s="252"/>
      <c r="MXZ955" s="252"/>
      <c r="MYA955" s="252"/>
      <c r="MYB955" s="252"/>
      <c r="MYC955" s="252"/>
      <c r="MYD955" s="252"/>
      <c r="MYE955" s="252"/>
      <c r="MYF955" s="252"/>
      <c r="MYG955" s="252"/>
      <c r="MYH955" s="252"/>
      <c r="MYI955" s="252"/>
      <c r="MYJ955" s="252"/>
      <c r="MYK955" s="252"/>
      <c r="MYL955" s="252"/>
      <c r="MYM955" s="252"/>
      <c r="MYN955" s="252"/>
      <c r="MYO955" s="252"/>
      <c r="MYP955" s="252"/>
      <c r="MYQ955" s="252"/>
      <c r="MYR955" s="252"/>
      <c r="MYS955" s="252"/>
      <c r="MYT955" s="252"/>
      <c r="MYU955" s="252"/>
      <c r="MYV955" s="252"/>
      <c r="MYW955" s="252"/>
      <c r="MYX955" s="252"/>
      <c r="MYY955" s="252"/>
      <c r="MYZ955" s="252"/>
      <c r="MZA955" s="252"/>
      <c r="MZB955" s="252"/>
      <c r="MZC955" s="252"/>
      <c r="MZD955" s="252"/>
      <c r="MZE955" s="252"/>
      <c r="MZF955" s="252"/>
      <c r="MZG955" s="252"/>
      <c r="MZH955" s="252"/>
      <c r="MZI955" s="252"/>
      <c r="MZJ955" s="252"/>
      <c r="MZK955" s="252"/>
      <c r="MZL955" s="252"/>
      <c r="MZM955" s="252"/>
      <c r="MZN955" s="252"/>
      <c r="MZO955" s="252"/>
      <c r="MZP955" s="252"/>
      <c r="MZQ955" s="252"/>
      <c r="MZR955" s="252"/>
      <c r="MZS955" s="252"/>
      <c r="MZT955" s="252"/>
      <c r="MZU955" s="252"/>
      <c r="MZV955" s="252"/>
      <c r="MZW955" s="252"/>
      <c r="MZX955" s="252"/>
      <c r="MZY955" s="252"/>
      <c r="MZZ955" s="252"/>
      <c r="NAA955" s="252"/>
      <c r="NAB955" s="252"/>
      <c r="NAC955" s="252"/>
      <c r="NAD955" s="252"/>
      <c r="NAE955" s="252"/>
      <c r="NAF955" s="252"/>
      <c r="NAG955" s="252"/>
      <c r="NAH955" s="252"/>
      <c r="NAI955" s="252"/>
      <c r="NAJ955" s="252"/>
      <c r="NAK955" s="252"/>
      <c r="NAL955" s="252"/>
      <c r="NAM955" s="252"/>
      <c r="NAN955" s="252"/>
      <c r="NAO955" s="252"/>
      <c r="NAP955" s="252"/>
      <c r="NAQ955" s="252"/>
      <c r="NAR955" s="252"/>
      <c r="NAS955" s="252"/>
      <c r="NAT955" s="252"/>
      <c r="NAU955" s="252"/>
      <c r="NAV955" s="252"/>
      <c r="NAW955" s="252"/>
      <c r="NAX955" s="252"/>
      <c r="NAY955" s="252"/>
      <c r="NAZ955" s="252"/>
      <c r="NBA955" s="252"/>
      <c r="NBB955" s="252"/>
      <c r="NBC955" s="252"/>
      <c r="NBD955" s="252"/>
      <c r="NBE955" s="252"/>
      <c r="NBF955" s="252"/>
      <c r="NBG955" s="252"/>
      <c r="NBH955" s="252"/>
      <c r="NBI955" s="252"/>
      <c r="NBJ955" s="252"/>
      <c r="NBK955" s="252"/>
      <c r="NBL955" s="252"/>
      <c r="NBM955" s="252"/>
      <c r="NBN955" s="252"/>
      <c r="NBO955" s="252"/>
      <c r="NBP955" s="252"/>
      <c r="NBQ955" s="252"/>
      <c r="NBR955" s="252"/>
      <c r="NBS955" s="252"/>
      <c r="NBT955" s="252"/>
      <c r="NBU955" s="252"/>
      <c r="NBV955" s="252"/>
      <c r="NBW955" s="252"/>
      <c r="NBX955" s="252"/>
      <c r="NBY955" s="252"/>
      <c r="NBZ955" s="252"/>
      <c r="NCA955" s="252"/>
      <c r="NCB955" s="252"/>
      <c r="NCC955" s="252"/>
      <c r="NCD955" s="252"/>
      <c r="NCE955" s="252"/>
      <c r="NCF955" s="252"/>
      <c r="NCG955" s="252"/>
      <c r="NCH955" s="252"/>
      <c r="NCI955" s="252"/>
      <c r="NCJ955" s="252"/>
      <c r="NCK955" s="252"/>
      <c r="NCL955" s="252"/>
      <c r="NCM955" s="252"/>
      <c r="NCN955" s="252"/>
      <c r="NCO955" s="252"/>
      <c r="NCP955" s="252"/>
      <c r="NCQ955" s="252"/>
      <c r="NCR955" s="252"/>
      <c r="NCS955" s="252"/>
      <c r="NCT955" s="252"/>
      <c r="NCU955" s="252"/>
      <c r="NCV955" s="252"/>
      <c r="NCW955" s="252"/>
      <c r="NCX955" s="252"/>
      <c r="NCY955" s="252"/>
      <c r="NCZ955" s="252"/>
      <c r="NDA955" s="252"/>
      <c r="NDB955" s="252"/>
      <c r="NDC955" s="252"/>
      <c r="NDD955" s="252"/>
      <c r="NDE955" s="252"/>
      <c r="NDF955" s="252"/>
      <c r="NDG955" s="252"/>
      <c r="NDH955" s="252"/>
      <c r="NDI955" s="252"/>
      <c r="NDJ955" s="252"/>
      <c r="NDK955" s="252"/>
      <c r="NDL955" s="252"/>
      <c r="NDM955" s="252"/>
      <c r="NDN955" s="252"/>
      <c r="NDO955" s="252"/>
      <c r="NDP955" s="252"/>
      <c r="NDQ955" s="252"/>
      <c r="NDR955" s="252"/>
      <c r="NDS955" s="252"/>
      <c r="NDT955" s="252"/>
      <c r="NDU955" s="252"/>
      <c r="NDV955" s="252"/>
      <c r="NDW955" s="252"/>
      <c r="NDX955" s="252"/>
      <c r="NDY955" s="252"/>
      <c r="NDZ955" s="252"/>
      <c r="NEA955" s="252"/>
      <c r="NEB955" s="252"/>
      <c r="NEC955" s="252"/>
      <c r="NED955" s="252"/>
      <c r="NEE955" s="252"/>
      <c r="NEF955" s="252"/>
      <c r="NEG955" s="252"/>
      <c r="NEH955" s="252"/>
      <c r="NEI955" s="252"/>
      <c r="NEJ955" s="252"/>
      <c r="NEK955" s="252"/>
      <c r="NEL955" s="252"/>
      <c r="NEM955" s="252"/>
      <c r="NEN955" s="252"/>
      <c r="NEO955" s="252"/>
      <c r="NEP955" s="252"/>
      <c r="NEQ955" s="252"/>
      <c r="NER955" s="252"/>
      <c r="NES955" s="252"/>
      <c r="NET955" s="252"/>
      <c r="NEU955" s="252"/>
      <c r="NEV955" s="252"/>
      <c r="NEW955" s="252"/>
      <c r="NEX955" s="252"/>
      <c r="NEY955" s="252"/>
      <c r="NEZ955" s="252"/>
      <c r="NFA955" s="252"/>
      <c r="NFB955" s="252"/>
      <c r="NFC955" s="252"/>
      <c r="NFD955" s="252"/>
      <c r="NFE955" s="252"/>
      <c r="NFF955" s="252"/>
      <c r="NFG955" s="252"/>
      <c r="NFH955" s="252"/>
      <c r="NFI955" s="252"/>
      <c r="NFJ955" s="252"/>
      <c r="NFK955" s="252"/>
      <c r="NFL955" s="252"/>
      <c r="NFM955" s="252"/>
      <c r="NFN955" s="252"/>
      <c r="NFO955" s="252"/>
      <c r="NFP955" s="252"/>
      <c r="NFQ955" s="252"/>
      <c r="NFR955" s="252"/>
      <c r="NFS955" s="252"/>
      <c r="NFT955" s="252"/>
      <c r="NFU955" s="252"/>
      <c r="NFV955" s="252"/>
      <c r="NFW955" s="252"/>
      <c r="NFX955" s="252"/>
      <c r="NFY955" s="252"/>
      <c r="NFZ955" s="252"/>
      <c r="NGA955" s="252"/>
      <c r="NGB955" s="252"/>
      <c r="NGC955" s="252"/>
      <c r="NGD955" s="252"/>
      <c r="NGE955" s="252"/>
      <c r="NGF955" s="252"/>
      <c r="NGG955" s="252"/>
      <c r="NGH955" s="252"/>
      <c r="NGI955" s="252"/>
      <c r="NGJ955" s="252"/>
      <c r="NGK955" s="252"/>
      <c r="NGL955" s="252"/>
      <c r="NGM955" s="252"/>
      <c r="NGN955" s="252"/>
      <c r="NGO955" s="252"/>
      <c r="NGP955" s="252"/>
      <c r="NGQ955" s="252"/>
      <c r="NGR955" s="252"/>
      <c r="NGS955" s="252"/>
      <c r="NGT955" s="252"/>
      <c r="NGU955" s="252"/>
      <c r="NGV955" s="252"/>
      <c r="NGW955" s="252"/>
      <c r="NGX955" s="252"/>
      <c r="NGY955" s="252"/>
      <c r="NGZ955" s="252"/>
      <c r="NHA955" s="252"/>
      <c r="NHB955" s="252"/>
      <c r="NHC955" s="252"/>
      <c r="NHD955" s="252"/>
      <c r="NHE955" s="252"/>
      <c r="NHF955" s="252"/>
      <c r="NHG955" s="252"/>
      <c r="NHH955" s="252"/>
      <c r="NHI955" s="252"/>
      <c r="NHJ955" s="252"/>
      <c r="NHK955" s="252"/>
      <c r="NHL955" s="252"/>
      <c r="NHM955" s="252"/>
      <c r="NHN955" s="252"/>
      <c r="NHO955" s="252"/>
      <c r="NHP955" s="252"/>
      <c r="NHQ955" s="252"/>
      <c r="NHR955" s="252"/>
      <c r="NHS955" s="252"/>
      <c r="NHT955" s="252"/>
      <c r="NHU955" s="252"/>
      <c r="NHV955" s="252"/>
      <c r="NHW955" s="252"/>
      <c r="NHX955" s="252"/>
      <c r="NHY955" s="252"/>
      <c r="NHZ955" s="252"/>
      <c r="NIA955" s="252"/>
      <c r="NIB955" s="252"/>
      <c r="NIC955" s="252"/>
      <c r="NID955" s="252"/>
      <c r="NIE955" s="252"/>
      <c r="NIF955" s="252"/>
      <c r="NIG955" s="252"/>
      <c r="NIH955" s="252"/>
      <c r="NII955" s="252"/>
      <c r="NIJ955" s="252"/>
      <c r="NIK955" s="252"/>
      <c r="NIL955" s="252"/>
      <c r="NIM955" s="252"/>
      <c r="NIN955" s="252"/>
      <c r="NIO955" s="252"/>
      <c r="NIP955" s="252"/>
      <c r="NIQ955" s="252"/>
      <c r="NIR955" s="252"/>
      <c r="NIS955" s="252"/>
      <c r="NIT955" s="252"/>
      <c r="NIU955" s="252"/>
      <c r="NIV955" s="252"/>
      <c r="NIW955" s="252"/>
      <c r="NIX955" s="252"/>
      <c r="NIY955" s="252"/>
      <c r="NIZ955" s="252"/>
      <c r="NJA955" s="252"/>
      <c r="NJB955" s="252"/>
      <c r="NJC955" s="252"/>
      <c r="NJD955" s="252"/>
      <c r="NJE955" s="252"/>
      <c r="NJF955" s="252"/>
      <c r="NJG955" s="252"/>
      <c r="NJH955" s="252"/>
      <c r="NJI955" s="252"/>
      <c r="NJJ955" s="252"/>
      <c r="NJK955" s="252"/>
      <c r="NJL955" s="252"/>
      <c r="NJM955" s="252"/>
      <c r="NJN955" s="252"/>
      <c r="NJO955" s="252"/>
      <c r="NJP955" s="252"/>
      <c r="NJQ955" s="252"/>
      <c r="NJR955" s="252"/>
      <c r="NJS955" s="252"/>
      <c r="NJT955" s="252"/>
      <c r="NJU955" s="252"/>
      <c r="NJV955" s="252"/>
      <c r="NJW955" s="252"/>
      <c r="NJX955" s="252"/>
      <c r="NJY955" s="252"/>
      <c r="NJZ955" s="252"/>
      <c r="NKA955" s="252"/>
      <c r="NKB955" s="252"/>
      <c r="NKC955" s="252"/>
      <c r="NKD955" s="252"/>
      <c r="NKE955" s="252"/>
      <c r="NKF955" s="252"/>
      <c r="NKG955" s="252"/>
      <c r="NKH955" s="252"/>
      <c r="NKI955" s="252"/>
      <c r="NKJ955" s="252"/>
      <c r="NKK955" s="252"/>
      <c r="NKL955" s="252"/>
      <c r="NKM955" s="252"/>
      <c r="NKN955" s="252"/>
      <c r="NKO955" s="252"/>
      <c r="NKP955" s="252"/>
      <c r="NKQ955" s="252"/>
      <c r="NKR955" s="252"/>
      <c r="NKS955" s="252"/>
      <c r="NKT955" s="252"/>
      <c r="NKU955" s="252"/>
      <c r="NKV955" s="252"/>
      <c r="NKW955" s="252"/>
      <c r="NKX955" s="252"/>
      <c r="NKY955" s="252"/>
      <c r="NKZ955" s="252"/>
      <c r="NLA955" s="252"/>
      <c r="NLB955" s="252"/>
      <c r="NLC955" s="252"/>
      <c r="NLD955" s="252"/>
      <c r="NLE955" s="252"/>
      <c r="NLF955" s="252"/>
      <c r="NLG955" s="252"/>
      <c r="NLH955" s="252"/>
      <c r="NLI955" s="252"/>
      <c r="NLJ955" s="252"/>
      <c r="NLK955" s="252"/>
      <c r="NLL955" s="252"/>
      <c r="NLM955" s="252"/>
      <c r="NLN955" s="252"/>
      <c r="NLO955" s="252"/>
      <c r="NLP955" s="252"/>
      <c r="NLQ955" s="252"/>
      <c r="NLR955" s="252"/>
      <c r="NLS955" s="252"/>
      <c r="NLT955" s="252"/>
      <c r="NLU955" s="252"/>
      <c r="NLV955" s="252"/>
      <c r="NLW955" s="252"/>
      <c r="NLX955" s="252"/>
      <c r="NLY955" s="252"/>
      <c r="NLZ955" s="252"/>
      <c r="NMA955" s="252"/>
      <c r="NMB955" s="252"/>
      <c r="NMC955" s="252"/>
      <c r="NMD955" s="252"/>
      <c r="NME955" s="252"/>
      <c r="NMF955" s="252"/>
      <c r="NMG955" s="252"/>
      <c r="NMH955" s="252"/>
      <c r="NMI955" s="252"/>
      <c r="NMJ955" s="252"/>
      <c r="NMK955" s="252"/>
      <c r="NML955" s="252"/>
      <c r="NMM955" s="252"/>
      <c r="NMN955" s="252"/>
      <c r="NMO955" s="252"/>
      <c r="NMP955" s="252"/>
      <c r="NMQ955" s="252"/>
      <c r="NMR955" s="252"/>
      <c r="NMS955" s="252"/>
      <c r="NMT955" s="252"/>
      <c r="NMU955" s="252"/>
      <c r="NMV955" s="252"/>
      <c r="NMW955" s="252"/>
      <c r="NMX955" s="252"/>
      <c r="NMY955" s="252"/>
      <c r="NMZ955" s="252"/>
      <c r="NNA955" s="252"/>
      <c r="NNB955" s="252"/>
      <c r="NNC955" s="252"/>
      <c r="NND955" s="252"/>
      <c r="NNE955" s="252"/>
      <c r="NNF955" s="252"/>
      <c r="NNG955" s="252"/>
      <c r="NNH955" s="252"/>
      <c r="NNI955" s="252"/>
      <c r="NNJ955" s="252"/>
      <c r="NNK955" s="252"/>
      <c r="NNL955" s="252"/>
      <c r="NNM955" s="252"/>
      <c r="NNN955" s="252"/>
      <c r="NNO955" s="252"/>
      <c r="NNP955" s="252"/>
      <c r="NNQ955" s="252"/>
      <c r="NNR955" s="252"/>
      <c r="NNS955" s="252"/>
      <c r="NNT955" s="252"/>
      <c r="NNU955" s="252"/>
      <c r="NNV955" s="252"/>
      <c r="NNW955" s="252"/>
      <c r="NNX955" s="252"/>
      <c r="NNY955" s="252"/>
      <c r="NNZ955" s="252"/>
      <c r="NOA955" s="252"/>
      <c r="NOB955" s="252"/>
      <c r="NOC955" s="252"/>
      <c r="NOD955" s="252"/>
      <c r="NOE955" s="252"/>
      <c r="NOF955" s="252"/>
      <c r="NOG955" s="252"/>
      <c r="NOH955" s="252"/>
      <c r="NOI955" s="252"/>
      <c r="NOJ955" s="252"/>
      <c r="NOK955" s="252"/>
      <c r="NOL955" s="252"/>
      <c r="NOM955" s="252"/>
      <c r="NON955" s="252"/>
      <c r="NOO955" s="252"/>
      <c r="NOP955" s="252"/>
      <c r="NOQ955" s="252"/>
      <c r="NOR955" s="252"/>
      <c r="NOS955" s="252"/>
      <c r="NOT955" s="252"/>
      <c r="NOU955" s="252"/>
      <c r="NOV955" s="252"/>
      <c r="NOW955" s="252"/>
      <c r="NOX955" s="252"/>
      <c r="NOY955" s="252"/>
      <c r="NOZ955" s="252"/>
      <c r="NPA955" s="252"/>
      <c r="NPB955" s="252"/>
      <c r="NPC955" s="252"/>
      <c r="NPD955" s="252"/>
      <c r="NPE955" s="252"/>
      <c r="NPF955" s="252"/>
      <c r="NPG955" s="252"/>
      <c r="NPH955" s="252"/>
      <c r="NPI955" s="252"/>
      <c r="NPJ955" s="252"/>
      <c r="NPK955" s="252"/>
      <c r="NPL955" s="252"/>
      <c r="NPM955" s="252"/>
      <c r="NPN955" s="252"/>
      <c r="NPO955" s="252"/>
      <c r="NPP955" s="252"/>
      <c r="NPQ955" s="252"/>
      <c r="NPR955" s="252"/>
      <c r="NPS955" s="252"/>
      <c r="NPT955" s="252"/>
      <c r="NPU955" s="252"/>
      <c r="NPV955" s="252"/>
      <c r="NPW955" s="252"/>
      <c r="NPX955" s="252"/>
      <c r="NPY955" s="252"/>
      <c r="NPZ955" s="252"/>
      <c r="NQA955" s="252"/>
      <c r="NQB955" s="252"/>
      <c r="NQC955" s="252"/>
      <c r="NQD955" s="252"/>
      <c r="NQE955" s="252"/>
      <c r="NQF955" s="252"/>
      <c r="NQG955" s="252"/>
      <c r="NQH955" s="252"/>
      <c r="NQI955" s="252"/>
      <c r="NQJ955" s="252"/>
      <c r="NQK955" s="252"/>
      <c r="NQL955" s="252"/>
      <c r="NQM955" s="252"/>
      <c r="NQN955" s="252"/>
      <c r="NQO955" s="252"/>
      <c r="NQP955" s="252"/>
      <c r="NQQ955" s="252"/>
      <c r="NQR955" s="252"/>
      <c r="NQS955" s="252"/>
      <c r="NQT955" s="252"/>
      <c r="NQU955" s="252"/>
      <c r="NQV955" s="252"/>
      <c r="NQW955" s="252"/>
      <c r="NQX955" s="252"/>
      <c r="NQY955" s="252"/>
      <c r="NQZ955" s="252"/>
      <c r="NRA955" s="252"/>
      <c r="NRB955" s="252"/>
      <c r="NRC955" s="252"/>
      <c r="NRD955" s="252"/>
      <c r="NRE955" s="252"/>
      <c r="NRF955" s="252"/>
      <c r="NRG955" s="252"/>
      <c r="NRH955" s="252"/>
      <c r="NRI955" s="252"/>
      <c r="NRJ955" s="252"/>
      <c r="NRK955" s="252"/>
      <c r="NRL955" s="252"/>
      <c r="NRM955" s="252"/>
      <c r="NRN955" s="252"/>
      <c r="NRO955" s="252"/>
      <c r="NRP955" s="252"/>
      <c r="NRQ955" s="252"/>
      <c r="NRR955" s="252"/>
      <c r="NRS955" s="252"/>
      <c r="NRT955" s="252"/>
      <c r="NRU955" s="252"/>
      <c r="NRV955" s="252"/>
      <c r="NRW955" s="252"/>
      <c r="NRX955" s="252"/>
      <c r="NRY955" s="252"/>
      <c r="NRZ955" s="252"/>
      <c r="NSA955" s="252"/>
      <c r="NSB955" s="252"/>
      <c r="NSC955" s="252"/>
      <c r="NSD955" s="252"/>
      <c r="NSE955" s="252"/>
      <c r="NSF955" s="252"/>
      <c r="NSG955" s="252"/>
      <c r="NSH955" s="252"/>
      <c r="NSI955" s="252"/>
      <c r="NSJ955" s="252"/>
      <c r="NSK955" s="252"/>
      <c r="NSL955" s="252"/>
      <c r="NSM955" s="252"/>
      <c r="NSN955" s="252"/>
      <c r="NSO955" s="252"/>
      <c r="NSP955" s="252"/>
      <c r="NSQ955" s="252"/>
      <c r="NSR955" s="252"/>
      <c r="NSS955" s="252"/>
      <c r="NST955" s="252"/>
      <c r="NSU955" s="252"/>
      <c r="NSV955" s="252"/>
      <c r="NSW955" s="252"/>
      <c r="NSX955" s="252"/>
      <c r="NSY955" s="252"/>
      <c r="NSZ955" s="252"/>
      <c r="NTA955" s="252"/>
      <c r="NTB955" s="252"/>
      <c r="NTC955" s="252"/>
      <c r="NTD955" s="252"/>
      <c r="NTE955" s="252"/>
      <c r="NTF955" s="252"/>
      <c r="NTG955" s="252"/>
      <c r="NTH955" s="252"/>
      <c r="NTI955" s="252"/>
      <c r="NTJ955" s="252"/>
      <c r="NTK955" s="252"/>
      <c r="NTL955" s="252"/>
      <c r="NTM955" s="252"/>
      <c r="NTN955" s="252"/>
      <c r="NTO955" s="252"/>
      <c r="NTP955" s="252"/>
      <c r="NTQ955" s="252"/>
      <c r="NTR955" s="252"/>
      <c r="NTS955" s="252"/>
      <c r="NTT955" s="252"/>
      <c r="NTU955" s="252"/>
      <c r="NTV955" s="252"/>
      <c r="NTW955" s="252"/>
      <c r="NTX955" s="252"/>
      <c r="NTY955" s="252"/>
      <c r="NTZ955" s="252"/>
      <c r="NUA955" s="252"/>
      <c r="NUB955" s="252"/>
      <c r="NUC955" s="252"/>
      <c r="NUD955" s="252"/>
      <c r="NUE955" s="252"/>
      <c r="NUF955" s="252"/>
      <c r="NUG955" s="252"/>
      <c r="NUH955" s="252"/>
      <c r="NUI955" s="252"/>
      <c r="NUJ955" s="252"/>
      <c r="NUK955" s="252"/>
      <c r="NUL955" s="252"/>
      <c r="NUM955" s="252"/>
      <c r="NUN955" s="252"/>
      <c r="NUO955" s="252"/>
      <c r="NUP955" s="252"/>
      <c r="NUQ955" s="252"/>
      <c r="NUR955" s="252"/>
      <c r="NUS955" s="252"/>
      <c r="NUT955" s="252"/>
      <c r="NUU955" s="252"/>
      <c r="NUV955" s="252"/>
      <c r="NUW955" s="252"/>
      <c r="NUX955" s="252"/>
      <c r="NUY955" s="252"/>
      <c r="NUZ955" s="252"/>
      <c r="NVA955" s="252"/>
      <c r="NVB955" s="252"/>
      <c r="NVC955" s="252"/>
      <c r="NVD955" s="252"/>
      <c r="NVE955" s="252"/>
      <c r="NVF955" s="252"/>
      <c r="NVG955" s="252"/>
      <c r="NVH955" s="252"/>
      <c r="NVI955" s="252"/>
      <c r="NVJ955" s="252"/>
      <c r="NVK955" s="252"/>
      <c r="NVL955" s="252"/>
      <c r="NVM955" s="252"/>
      <c r="NVN955" s="252"/>
      <c r="NVO955" s="252"/>
      <c r="NVP955" s="252"/>
      <c r="NVQ955" s="252"/>
      <c r="NVR955" s="252"/>
      <c r="NVS955" s="252"/>
      <c r="NVT955" s="252"/>
      <c r="NVU955" s="252"/>
      <c r="NVV955" s="252"/>
      <c r="NVW955" s="252"/>
      <c r="NVX955" s="252"/>
      <c r="NVY955" s="252"/>
      <c r="NVZ955" s="252"/>
      <c r="NWA955" s="252"/>
      <c r="NWB955" s="252"/>
      <c r="NWC955" s="252"/>
      <c r="NWD955" s="252"/>
      <c r="NWE955" s="252"/>
      <c r="NWF955" s="252"/>
      <c r="NWG955" s="252"/>
      <c r="NWH955" s="252"/>
      <c r="NWI955" s="252"/>
      <c r="NWJ955" s="252"/>
      <c r="NWK955" s="252"/>
      <c r="NWL955" s="252"/>
      <c r="NWM955" s="252"/>
      <c r="NWN955" s="252"/>
      <c r="NWO955" s="252"/>
      <c r="NWP955" s="252"/>
      <c r="NWQ955" s="252"/>
      <c r="NWR955" s="252"/>
      <c r="NWS955" s="252"/>
      <c r="NWT955" s="252"/>
      <c r="NWU955" s="252"/>
      <c r="NWV955" s="252"/>
      <c r="NWW955" s="252"/>
      <c r="NWX955" s="252"/>
      <c r="NWY955" s="252"/>
      <c r="NWZ955" s="252"/>
      <c r="NXA955" s="252"/>
      <c r="NXB955" s="252"/>
      <c r="NXC955" s="252"/>
      <c r="NXD955" s="252"/>
      <c r="NXE955" s="252"/>
      <c r="NXF955" s="252"/>
      <c r="NXG955" s="252"/>
      <c r="NXH955" s="252"/>
      <c r="NXI955" s="252"/>
      <c r="NXJ955" s="252"/>
      <c r="NXK955" s="252"/>
      <c r="NXL955" s="252"/>
      <c r="NXM955" s="252"/>
      <c r="NXN955" s="252"/>
      <c r="NXO955" s="252"/>
      <c r="NXP955" s="252"/>
      <c r="NXQ955" s="252"/>
      <c r="NXR955" s="252"/>
      <c r="NXS955" s="252"/>
      <c r="NXT955" s="252"/>
      <c r="NXU955" s="252"/>
      <c r="NXV955" s="252"/>
      <c r="NXW955" s="252"/>
      <c r="NXX955" s="252"/>
      <c r="NXY955" s="252"/>
      <c r="NXZ955" s="252"/>
      <c r="NYA955" s="252"/>
      <c r="NYB955" s="252"/>
      <c r="NYC955" s="252"/>
      <c r="NYD955" s="252"/>
      <c r="NYE955" s="252"/>
      <c r="NYF955" s="252"/>
      <c r="NYG955" s="252"/>
      <c r="NYH955" s="252"/>
      <c r="NYI955" s="252"/>
      <c r="NYJ955" s="252"/>
      <c r="NYK955" s="252"/>
      <c r="NYL955" s="252"/>
      <c r="NYM955" s="252"/>
      <c r="NYN955" s="252"/>
      <c r="NYO955" s="252"/>
      <c r="NYP955" s="252"/>
      <c r="NYQ955" s="252"/>
      <c r="NYR955" s="252"/>
      <c r="NYS955" s="252"/>
      <c r="NYT955" s="252"/>
      <c r="NYU955" s="252"/>
      <c r="NYV955" s="252"/>
      <c r="NYW955" s="252"/>
      <c r="NYX955" s="252"/>
      <c r="NYY955" s="252"/>
      <c r="NYZ955" s="252"/>
      <c r="NZA955" s="252"/>
      <c r="NZB955" s="252"/>
      <c r="NZC955" s="252"/>
      <c r="NZD955" s="252"/>
      <c r="NZE955" s="252"/>
      <c r="NZF955" s="252"/>
      <c r="NZG955" s="252"/>
      <c r="NZH955" s="252"/>
      <c r="NZI955" s="252"/>
      <c r="NZJ955" s="252"/>
      <c r="NZK955" s="252"/>
      <c r="NZL955" s="252"/>
      <c r="NZM955" s="252"/>
      <c r="NZN955" s="252"/>
      <c r="NZO955" s="252"/>
      <c r="NZP955" s="252"/>
      <c r="NZQ955" s="252"/>
      <c r="NZR955" s="252"/>
      <c r="NZS955" s="252"/>
      <c r="NZT955" s="252"/>
      <c r="NZU955" s="252"/>
      <c r="NZV955" s="252"/>
      <c r="NZW955" s="252"/>
      <c r="NZX955" s="252"/>
      <c r="NZY955" s="252"/>
      <c r="NZZ955" s="252"/>
      <c r="OAA955" s="252"/>
      <c r="OAB955" s="252"/>
      <c r="OAC955" s="252"/>
      <c r="OAD955" s="252"/>
      <c r="OAE955" s="252"/>
      <c r="OAF955" s="252"/>
      <c r="OAG955" s="252"/>
      <c r="OAH955" s="252"/>
      <c r="OAI955" s="252"/>
      <c r="OAJ955" s="252"/>
      <c r="OAK955" s="252"/>
      <c r="OAL955" s="252"/>
      <c r="OAM955" s="252"/>
      <c r="OAN955" s="252"/>
      <c r="OAO955" s="252"/>
      <c r="OAP955" s="252"/>
      <c r="OAQ955" s="252"/>
      <c r="OAR955" s="252"/>
      <c r="OAS955" s="252"/>
      <c r="OAT955" s="252"/>
      <c r="OAU955" s="252"/>
      <c r="OAV955" s="252"/>
      <c r="OAW955" s="252"/>
      <c r="OAX955" s="252"/>
      <c r="OAY955" s="252"/>
      <c r="OAZ955" s="252"/>
      <c r="OBA955" s="252"/>
      <c r="OBB955" s="252"/>
      <c r="OBC955" s="252"/>
      <c r="OBD955" s="252"/>
      <c r="OBE955" s="252"/>
      <c r="OBF955" s="252"/>
      <c r="OBG955" s="252"/>
      <c r="OBH955" s="252"/>
      <c r="OBI955" s="252"/>
      <c r="OBJ955" s="252"/>
      <c r="OBK955" s="252"/>
      <c r="OBL955" s="252"/>
      <c r="OBM955" s="252"/>
      <c r="OBN955" s="252"/>
      <c r="OBO955" s="252"/>
      <c r="OBP955" s="252"/>
      <c r="OBQ955" s="252"/>
      <c r="OBR955" s="252"/>
      <c r="OBS955" s="252"/>
      <c r="OBT955" s="252"/>
      <c r="OBU955" s="252"/>
      <c r="OBV955" s="252"/>
      <c r="OBW955" s="252"/>
      <c r="OBX955" s="252"/>
      <c r="OBY955" s="252"/>
      <c r="OBZ955" s="252"/>
      <c r="OCA955" s="252"/>
      <c r="OCB955" s="252"/>
      <c r="OCC955" s="252"/>
      <c r="OCD955" s="252"/>
      <c r="OCE955" s="252"/>
      <c r="OCF955" s="252"/>
      <c r="OCG955" s="252"/>
      <c r="OCH955" s="252"/>
      <c r="OCI955" s="252"/>
      <c r="OCJ955" s="252"/>
      <c r="OCK955" s="252"/>
      <c r="OCL955" s="252"/>
      <c r="OCM955" s="252"/>
      <c r="OCN955" s="252"/>
      <c r="OCO955" s="252"/>
      <c r="OCP955" s="252"/>
      <c r="OCQ955" s="252"/>
      <c r="OCR955" s="252"/>
      <c r="OCS955" s="252"/>
      <c r="OCT955" s="252"/>
      <c r="OCU955" s="252"/>
      <c r="OCV955" s="252"/>
      <c r="OCW955" s="252"/>
      <c r="OCX955" s="252"/>
      <c r="OCY955" s="252"/>
      <c r="OCZ955" s="252"/>
      <c r="ODA955" s="252"/>
      <c r="ODB955" s="252"/>
      <c r="ODC955" s="252"/>
      <c r="ODD955" s="252"/>
      <c r="ODE955" s="252"/>
      <c r="ODF955" s="252"/>
      <c r="ODG955" s="252"/>
      <c r="ODH955" s="252"/>
      <c r="ODI955" s="252"/>
      <c r="ODJ955" s="252"/>
      <c r="ODK955" s="252"/>
      <c r="ODL955" s="252"/>
      <c r="ODM955" s="252"/>
      <c r="ODN955" s="252"/>
      <c r="ODO955" s="252"/>
      <c r="ODP955" s="252"/>
      <c r="ODQ955" s="252"/>
      <c r="ODR955" s="252"/>
      <c r="ODS955" s="252"/>
      <c r="ODT955" s="252"/>
      <c r="ODU955" s="252"/>
      <c r="ODV955" s="252"/>
      <c r="ODW955" s="252"/>
      <c r="ODX955" s="252"/>
      <c r="ODY955" s="252"/>
      <c r="ODZ955" s="252"/>
      <c r="OEA955" s="252"/>
      <c r="OEB955" s="252"/>
      <c r="OEC955" s="252"/>
      <c r="OED955" s="252"/>
      <c r="OEE955" s="252"/>
      <c r="OEF955" s="252"/>
      <c r="OEG955" s="252"/>
      <c r="OEH955" s="252"/>
      <c r="OEI955" s="252"/>
      <c r="OEJ955" s="252"/>
      <c r="OEK955" s="252"/>
      <c r="OEL955" s="252"/>
      <c r="OEM955" s="252"/>
      <c r="OEN955" s="252"/>
      <c r="OEO955" s="252"/>
      <c r="OEP955" s="252"/>
      <c r="OEQ955" s="252"/>
      <c r="OER955" s="252"/>
      <c r="OES955" s="252"/>
      <c r="OET955" s="252"/>
      <c r="OEU955" s="252"/>
      <c r="OEV955" s="252"/>
      <c r="OEW955" s="252"/>
      <c r="OEX955" s="252"/>
      <c r="OEY955" s="252"/>
      <c r="OEZ955" s="252"/>
      <c r="OFA955" s="252"/>
      <c r="OFB955" s="252"/>
      <c r="OFC955" s="252"/>
      <c r="OFD955" s="252"/>
      <c r="OFE955" s="252"/>
      <c r="OFF955" s="252"/>
      <c r="OFG955" s="252"/>
      <c r="OFH955" s="252"/>
      <c r="OFI955" s="252"/>
      <c r="OFJ955" s="252"/>
      <c r="OFK955" s="252"/>
      <c r="OFL955" s="252"/>
      <c r="OFM955" s="252"/>
      <c r="OFN955" s="252"/>
      <c r="OFO955" s="252"/>
      <c r="OFP955" s="252"/>
      <c r="OFQ955" s="252"/>
      <c r="OFR955" s="252"/>
      <c r="OFS955" s="252"/>
      <c r="OFT955" s="252"/>
      <c r="OFU955" s="252"/>
      <c r="OFV955" s="252"/>
      <c r="OFW955" s="252"/>
      <c r="OFX955" s="252"/>
      <c r="OFY955" s="252"/>
      <c r="OFZ955" s="252"/>
      <c r="OGA955" s="252"/>
      <c r="OGB955" s="252"/>
      <c r="OGC955" s="252"/>
      <c r="OGD955" s="252"/>
      <c r="OGE955" s="252"/>
      <c r="OGF955" s="252"/>
      <c r="OGG955" s="252"/>
      <c r="OGH955" s="252"/>
      <c r="OGI955" s="252"/>
      <c r="OGJ955" s="252"/>
      <c r="OGK955" s="252"/>
      <c r="OGL955" s="252"/>
      <c r="OGM955" s="252"/>
      <c r="OGN955" s="252"/>
      <c r="OGO955" s="252"/>
      <c r="OGP955" s="252"/>
      <c r="OGQ955" s="252"/>
      <c r="OGR955" s="252"/>
      <c r="OGS955" s="252"/>
      <c r="OGT955" s="252"/>
      <c r="OGU955" s="252"/>
      <c r="OGV955" s="252"/>
      <c r="OGW955" s="252"/>
      <c r="OGX955" s="252"/>
      <c r="OGY955" s="252"/>
      <c r="OGZ955" s="252"/>
      <c r="OHA955" s="252"/>
      <c r="OHB955" s="252"/>
      <c r="OHC955" s="252"/>
      <c r="OHD955" s="252"/>
      <c r="OHE955" s="252"/>
      <c r="OHF955" s="252"/>
      <c r="OHG955" s="252"/>
      <c r="OHH955" s="252"/>
      <c r="OHI955" s="252"/>
      <c r="OHJ955" s="252"/>
      <c r="OHK955" s="252"/>
      <c r="OHL955" s="252"/>
      <c r="OHM955" s="252"/>
      <c r="OHN955" s="252"/>
      <c r="OHO955" s="252"/>
      <c r="OHP955" s="252"/>
      <c r="OHQ955" s="252"/>
      <c r="OHR955" s="252"/>
      <c r="OHS955" s="252"/>
      <c r="OHT955" s="252"/>
      <c r="OHU955" s="252"/>
      <c r="OHV955" s="252"/>
      <c r="OHW955" s="252"/>
      <c r="OHX955" s="252"/>
      <c r="OHY955" s="252"/>
      <c r="OHZ955" s="252"/>
      <c r="OIA955" s="252"/>
      <c r="OIB955" s="252"/>
      <c r="OIC955" s="252"/>
      <c r="OID955" s="252"/>
      <c r="OIE955" s="252"/>
      <c r="OIF955" s="252"/>
      <c r="OIG955" s="252"/>
      <c r="OIH955" s="252"/>
      <c r="OII955" s="252"/>
      <c r="OIJ955" s="252"/>
      <c r="OIK955" s="252"/>
      <c r="OIL955" s="252"/>
      <c r="OIM955" s="252"/>
      <c r="OIN955" s="252"/>
      <c r="OIO955" s="252"/>
      <c r="OIP955" s="252"/>
      <c r="OIQ955" s="252"/>
      <c r="OIR955" s="252"/>
      <c r="OIS955" s="252"/>
      <c r="OIT955" s="252"/>
      <c r="OIU955" s="252"/>
      <c r="OIV955" s="252"/>
      <c r="OIW955" s="252"/>
      <c r="OIX955" s="252"/>
      <c r="OIY955" s="252"/>
      <c r="OIZ955" s="252"/>
      <c r="OJA955" s="252"/>
      <c r="OJB955" s="252"/>
      <c r="OJC955" s="252"/>
      <c r="OJD955" s="252"/>
      <c r="OJE955" s="252"/>
      <c r="OJF955" s="252"/>
      <c r="OJG955" s="252"/>
      <c r="OJH955" s="252"/>
      <c r="OJI955" s="252"/>
      <c r="OJJ955" s="252"/>
      <c r="OJK955" s="252"/>
      <c r="OJL955" s="252"/>
      <c r="OJM955" s="252"/>
      <c r="OJN955" s="252"/>
      <c r="OJO955" s="252"/>
      <c r="OJP955" s="252"/>
      <c r="OJQ955" s="252"/>
      <c r="OJR955" s="252"/>
      <c r="OJS955" s="252"/>
      <c r="OJT955" s="252"/>
      <c r="OJU955" s="252"/>
      <c r="OJV955" s="252"/>
      <c r="OJW955" s="252"/>
      <c r="OJX955" s="252"/>
      <c r="OJY955" s="252"/>
      <c r="OJZ955" s="252"/>
      <c r="OKA955" s="252"/>
      <c r="OKB955" s="252"/>
      <c r="OKC955" s="252"/>
      <c r="OKD955" s="252"/>
      <c r="OKE955" s="252"/>
      <c r="OKF955" s="252"/>
      <c r="OKG955" s="252"/>
      <c r="OKH955" s="252"/>
      <c r="OKI955" s="252"/>
      <c r="OKJ955" s="252"/>
      <c r="OKK955" s="252"/>
      <c r="OKL955" s="252"/>
      <c r="OKM955" s="252"/>
      <c r="OKN955" s="252"/>
      <c r="OKO955" s="252"/>
      <c r="OKP955" s="252"/>
      <c r="OKQ955" s="252"/>
      <c r="OKR955" s="252"/>
      <c r="OKS955" s="252"/>
      <c r="OKT955" s="252"/>
      <c r="OKU955" s="252"/>
      <c r="OKV955" s="252"/>
      <c r="OKW955" s="252"/>
      <c r="OKX955" s="252"/>
      <c r="OKY955" s="252"/>
      <c r="OKZ955" s="252"/>
      <c r="OLA955" s="252"/>
      <c r="OLB955" s="252"/>
      <c r="OLC955" s="252"/>
      <c r="OLD955" s="252"/>
      <c r="OLE955" s="252"/>
      <c r="OLF955" s="252"/>
      <c r="OLG955" s="252"/>
      <c r="OLH955" s="252"/>
      <c r="OLI955" s="252"/>
      <c r="OLJ955" s="252"/>
      <c r="OLK955" s="252"/>
      <c r="OLL955" s="252"/>
      <c r="OLM955" s="252"/>
      <c r="OLN955" s="252"/>
      <c r="OLO955" s="252"/>
      <c r="OLP955" s="252"/>
      <c r="OLQ955" s="252"/>
      <c r="OLR955" s="252"/>
      <c r="OLS955" s="252"/>
      <c r="OLT955" s="252"/>
      <c r="OLU955" s="252"/>
      <c r="OLV955" s="252"/>
      <c r="OLW955" s="252"/>
      <c r="OLX955" s="252"/>
      <c r="OLY955" s="252"/>
      <c r="OLZ955" s="252"/>
      <c r="OMA955" s="252"/>
      <c r="OMB955" s="252"/>
      <c r="OMC955" s="252"/>
      <c r="OMD955" s="252"/>
      <c r="OME955" s="252"/>
      <c r="OMF955" s="252"/>
      <c r="OMG955" s="252"/>
      <c r="OMH955" s="252"/>
      <c r="OMI955" s="252"/>
      <c r="OMJ955" s="252"/>
      <c r="OMK955" s="252"/>
      <c r="OML955" s="252"/>
      <c r="OMM955" s="252"/>
      <c r="OMN955" s="252"/>
      <c r="OMO955" s="252"/>
      <c r="OMP955" s="252"/>
      <c r="OMQ955" s="252"/>
      <c r="OMR955" s="252"/>
      <c r="OMS955" s="252"/>
      <c r="OMT955" s="252"/>
      <c r="OMU955" s="252"/>
      <c r="OMV955" s="252"/>
      <c r="OMW955" s="252"/>
      <c r="OMX955" s="252"/>
      <c r="OMY955" s="252"/>
      <c r="OMZ955" s="252"/>
      <c r="ONA955" s="252"/>
      <c r="ONB955" s="252"/>
      <c r="ONC955" s="252"/>
      <c r="OND955" s="252"/>
      <c r="ONE955" s="252"/>
      <c r="ONF955" s="252"/>
      <c r="ONG955" s="252"/>
      <c r="ONH955" s="252"/>
      <c r="ONI955" s="252"/>
      <c r="ONJ955" s="252"/>
      <c r="ONK955" s="252"/>
      <c r="ONL955" s="252"/>
      <c r="ONM955" s="252"/>
      <c r="ONN955" s="252"/>
      <c r="ONO955" s="252"/>
      <c r="ONP955" s="252"/>
      <c r="ONQ955" s="252"/>
      <c r="ONR955" s="252"/>
      <c r="ONS955" s="252"/>
      <c r="ONT955" s="252"/>
      <c r="ONU955" s="252"/>
      <c r="ONV955" s="252"/>
      <c r="ONW955" s="252"/>
      <c r="ONX955" s="252"/>
      <c r="ONY955" s="252"/>
      <c r="ONZ955" s="252"/>
      <c r="OOA955" s="252"/>
      <c r="OOB955" s="252"/>
      <c r="OOC955" s="252"/>
      <c r="OOD955" s="252"/>
      <c r="OOE955" s="252"/>
      <c r="OOF955" s="252"/>
      <c r="OOG955" s="252"/>
      <c r="OOH955" s="252"/>
      <c r="OOI955" s="252"/>
      <c r="OOJ955" s="252"/>
      <c r="OOK955" s="252"/>
      <c r="OOL955" s="252"/>
      <c r="OOM955" s="252"/>
      <c r="OON955" s="252"/>
      <c r="OOO955" s="252"/>
      <c r="OOP955" s="252"/>
      <c r="OOQ955" s="252"/>
      <c r="OOR955" s="252"/>
      <c r="OOS955" s="252"/>
      <c r="OOT955" s="252"/>
      <c r="OOU955" s="252"/>
      <c r="OOV955" s="252"/>
      <c r="OOW955" s="252"/>
      <c r="OOX955" s="252"/>
      <c r="OOY955" s="252"/>
      <c r="OOZ955" s="252"/>
      <c r="OPA955" s="252"/>
      <c r="OPB955" s="252"/>
      <c r="OPC955" s="252"/>
      <c r="OPD955" s="252"/>
      <c r="OPE955" s="252"/>
      <c r="OPF955" s="252"/>
      <c r="OPG955" s="252"/>
      <c r="OPH955" s="252"/>
      <c r="OPI955" s="252"/>
      <c r="OPJ955" s="252"/>
      <c r="OPK955" s="252"/>
      <c r="OPL955" s="252"/>
      <c r="OPM955" s="252"/>
      <c r="OPN955" s="252"/>
      <c r="OPO955" s="252"/>
      <c r="OPP955" s="252"/>
      <c r="OPQ955" s="252"/>
      <c r="OPR955" s="252"/>
      <c r="OPS955" s="252"/>
      <c r="OPT955" s="252"/>
      <c r="OPU955" s="252"/>
      <c r="OPV955" s="252"/>
      <c r="OPW955" s="252"/>
      <c r="OPX955" s="252"/>
      <c r="OPY955" s="252"/>
      <c r="OPZ955" s="252"/>
      <c r="OQA955" s="252"/>
      <c r="OQB955" s="252"/>
      <c r="OQC955" s="252"/>
      <c r="OQD955" s="252"/>
      <c r="OQE955" s="252"/>
      <c r="OQF955" s="252"/>
      <c r="OQG955" s="252"/>
      <c r="OQH955" s="252"/>
      <c r="OQI955" s="252"/>
      <c r="OQJ955" s="252"/>
      <c r="OQK955" s="252"/>
      <c r="OQL955" s="252"/>
      <c r="OQM955" s="252"/>
      <c r="OQN955" s="252"/>
      <c r="OQO955" s="252"/>
      <c r="OQP955" s="252"/>
      <c r="OQQ955" s="252"/>
      <c r="OQR955" s="252"/>
      <c r="OQS955" s="252"/>
      <c r="OQT955" s="252"/>
      <c r="OQU955" s="252"/>
      <c r="OQV955" s="252"/>
      <c r="OQW955" s="252"/>
      <c r="OQX955" s="252"/>
      <c r="OQY955" s="252"/>
      <c r="OQZ955" s="252"/>
      <c r="ORA955" s="252"/>
      <c r="ORB955" s="252"/>
      <c r="ORC955" s="252"/>
      <c r="ORD955" s="252"/>
      <c r="ORE955" s="252"/>
      <c r="ORF955" s="252"/>
      <c r="ORG955" s="252"/>
      <c r="ORH955" s="252"/>
      <c r="ORI955" s="252"/>
      <c r="ORJ955" s="252"/>
      <c r="ORK955" s="252"/>
      <c r="ORL955" s="252"/>
      <c r="ORM955" s="252"/>
      <c r="ORN955" s="252"/>
      <c r="ORO955" s="252"/>
      <c r="ORP955" s="252"/>
      <c r="ORQ955" s="252"/>
      <c r="ORR955" s="252"/>
      <c r="ORS955" s="252"/>
      <c r="ORT955" s="252"/>
      <c r="ORU955" s="252"/>
      <c r="ORV955" s="252"/>
      <c r="ORW955" s="252"/>
      <c r="ORX955" s="252"/>
      <c r="ORY955" s="252"/>
      <c r="ORZ955" s="252"/>
      <c r="OSA955" s="252"/>
      <c r="OSB955" s="252"/>
      <c r="OSC955" s="252"/>
      <c r="OSD955" s="252"/>
      <c r="OSE955" s="252"/>
      <c r="OSF955" s="252"/>
      <c r="OSG955" s="252"/>
      <c r="OSH955" s="252"/>
      <c r="OSI955" s="252"/>
      <c r="OSJ955" s="252"/>
      <c r="OSK955" s="252"/>
      <c r="OSL955" s="252"/>
      <c r="OSM955" s="252"/>
      <c r="OSN955" s="252"/>
      <c r="OSO955" s="252"/>
      <c r="OSP955" s="252"/>
      <c r="OSQ955" s="252"/>
      <c r="OSR955" s="252"/>
      <c r="OSS955" s="252"/>
      <c r="OST955" s="252"/>
      <c r="OSU955" s="252"/>
      <c r="OSV955" s="252"/>
      <c r="OSW955" s="252"/>
      <c r="OSX955" s="252"/>
      <c r="OSY955" s="252"/>
      <c r="OSZ955" s="252"/>
      <c r="OTA955" s="252"/>
      <c r="OTB955" s="252"/>
      <c r="OTC955" s="252"/>
      <c r="OTD955" s="252"/>
      <c r="OTE955" s="252"/>
      <c r="OTF955" s="252"/>
      <c r="OTG955" s="252"/>
      <c r="OTH955" s="252"/>
      <c r="OTI955" s="252"/>
      <c r="OTJ955" s="252"/>
      <c r="OTK955" s="252"/>
      <c r="OTL955" s="252"/>
      <c r="OTM955" s="252"/>
      <c r="OTN955" s="252"/>
      <c r="OTO955" s="252"/>
      <c r="OTP955" s="252"/>
      <c r="OTQ955" s="252"/>
      <c r="OTR955" s="252"/>
      <c r="OTS955" s="252"/>
      <c r="OTT955" s="252"/>
      <c r="OTU955" s="252"/>
      <c r="OTV955" s="252"/>
      <c r="OTW955" s="252"/>
      <c r="OTX955" s="252"/>
      <c r="OTY955" s="252"/>
      <c r="OTZ955" s="252"/>
      <c r="OUA955" s="252"/>
      <c r="OUB955" s="252"/>
      <c r="OUC955" s="252"/>
      <c r="OUD955" s="252"/>
      <c r="OUE955" s="252"/>
      <c r="OUF955" s="252"/>
      <c r="OUG955" s="252"/>
      <c r="OUH955" s="252"/>
      <c r="OUI955" s="252"/>
      <c r="OUJ955" s="252"/>
      <c r="OUK955" s="252"/>
      <c r="OUL955" s="252"/>
      <c r="OUM955" s="252"/>
      <c r="OUN955" s="252"/>
      <c r="OUO955" s="252"/>
      <c r="OUP955" s="252"/>
      <c r="OUQ955" s="252"/>
      <c r="OUR955" s="252"/>
      <c r="OUS955" s="252"/>
      <c r="OUT955" s="252"/>
      <c r="OUU955" s="252"/>
      <c r="OUV955" s="252"/>
      <c r="OUW955" s="252"/>
      <c r="OUX955" s="252"/>
      <c r="OUY955" s="252"/>
      <c r="OUZ955" s="252"/>
      <c r="OVA955" s="252"/>
      <c r="OVB955" s="252"/>
      <c r="OVC955" s="252"/>
      <c r="OVD955" s="252"/>
      <c r="OVE955" s="252"/>
      <c r="OVF955" s="252"/>
      <c r="OVG955" s="252"/>
      <c r="OVH955" s="252"/>
      <c r="OVI955" s="252"/>
      <c r="OVJ955" s="252"/>
      <c r="OVK955" s="252"/>
      <c r="OVL955" s="252"/>
      <c r="OVM955" s="252"/>
      <c r="OVN955" s="252"/>
      <c r="OVO955" s="252"/>
      <c r="OVP955" s="252"/>
      <c r="OVQ955" s="252"/>
      <c r="OVR955" s="252"/>
      <c r="OVS955" s="252"/>
      <c r="OVT955" s="252"/>
      <c r="OVU955" s="252"/>
      <c r="OVV955" s="252"/>
      <c r="OVW955" s="252"/>
      <c r="OVX955" s="252"/>
      <c r="OVY955" s="252"/>
      <c r="OVZ955" s="252"/>
      <c r="OWA955" s="252"/>
      <c r="OWB955" s="252"/>
      <c r="OWC955" s="252"/>
      <c r="OWD955" s="252"/>
      <c r="OWE955" s="252"/>
      <c r="OWF955" s="252"/>
      <c r="OWG955" s="252"/>
      <c r="OWH955" s="252"/>
      <c r="OWI955" s="252"/>
      <c r="OWJ955" s="252"/>
      <c r="OWK955" s="252"/>
      <c r="OWL955" s="252"/>
      <c r="OWM955" s="252"/>
      <c r="OWN955" s="252"/>
      <c r="OWO955" s="252"/>
      <c r="OWP955" s="252"/>
      <c r="OWQ955" s="252"/>
      <c r="OWR955" s="252"/>
      <c r="OWS955" s="252"/>
      <c r="OWT955" s="252"/>
      <c r="OWU955" s="252"/>
      <c r="OWV955" s="252"/>
      <c r="OWW955" s="252"/>
      <c r="OWX955" s="252"/>
      <c r="OWY955" s="252"/>
      <c r="OWZ955" s="252"/>
      <c r="OXA955" s="252"/>
      <c r="OXB955" s="252"/>
      <c r="OXC955" s="252"/>
      <c r="OXD955" s="252"/>
      <c r="OXE955" s="252"/>
      <c r="OXF955" s="252"/>
      <c r="OXG955" s="252"/>
      <c r="OXH955" s="252"/>
      <c r="OXI955" s="252"/>
      <c r="OXJ955" s="252"/>
      <c r="OXK955" s="252"/>
      <c r="OXL955" s="252"/>
      <c r="OXM955" s="252"/>
      <c r="OXN955" s="252"/>
      <c r="OXO955" s="252"/>
      <c r="OXP955" s="252"/>
      <c r="OXQ955" s="252"/>
      <c r="OXR955" s="252"/>
      <c r="OXS955" s="252"/>
      <c r="OXT955" s="252"/>
      <c r="OXU955" s="252"/>
      <c r="OXV955" s="252"/>
      <c r="OXW955" s="252"/>
      <c r="OXX955" s="252"/>
      <c r="OXY955" s="252"/>
      <c r="OXZ955" s="252"/>
      <c r="OYA955" s="252"/>
      <c r="OYB955" s="252"/>
      <c r="OYC955" s="252"/>
      <c r="OYD955" s="252"/>
      <c r="OYE955" s="252"/>
      <c r="OYF955" s="252"/>
      <c r="OYG955" s="252"/>
      <c r="OYH955" s="252"/>
      <c r="OYI955" s="252"/>
      <c r="OYJ955" s="252"/>
      <c r="OYK955" s="252"/>
      <c r="OYL955" s="252"/>
      <c r="OYM955" s="252"/>
      <c r="OYN955" s="252"/>
      <c r="OYO955" s="252"/>
      <c r="OYP955" s="252"/>
      <c r="OYQ955" s="252"/>
      <c r="OYR955" s="252"/>
      <c r="OYS955" s="252"/>
      <c r="OYT955" s="252"/>
      <c r="OYU955" s="252"/>
      <c r="OYV955" s="252"/>
      <c r="OYW955" s="252"/>
      <c r="OYX955" s="252"/>
      <c r="OYY955" s="252"/>
      <c r="OYZ955" s="252"/>
      <c r="OZA955" s="252"/>
      <c r="OZB955" s="252"/>
      <c r="OZC955" s="252"/>
      <c r="OZD955" s="252"/>
      <c r="OZE955" s="252"/>
      <c r="OZF955" s="252"/>
      <c r="OZG955" s="252"/>
      <c r="OZH955" s="252"/>
      <c r="OZI955" s="252"/>
      <c r="OZJ955" s="252"/>
      <c r="OZK955" s="252"/>
      <c r="OZL955" s="252"/>
      <c r="OZM955" s="252"/>
      <c r="OZN955" s="252"/>
      <c r="OZO955" s="252"/>
      <c r="OZP955" s="252"/>
      <c r="OZQ955" s="252"/>
      <c r="OZR955" s="252"/>
      <c r="OZS955" s="252"/>
      <c r="OZT955" s="252"/>
      <c r="OZU955" s="252"/>
      <c r="OZV955" s="252"/>
      <c r="OZW955" s="252"/>
      <c r="OZX955" s="252"/>
      <c r="OZY955" s="252"/>
      <c r="OZZ955" s="252"/>
      <c r="PAA955" s="252"/>
      <c r="PAB955" s="252"/>
      <c r="PAC955" s="252"/>
      <c r="PAD955" s="252"/>
      <c r="PAE955" s="252"/>
      <c r="PAF955" s="252"/>
      <c r="PAG955" s="252"/>
      <c r="PAH955" s="252"/>
      <c r="PAI955" s="252"/>
      <c r="PAJ955" s="252"/>
      <c r="PAK955" s="252"/>
      <c r="PAL955" s="252"/>
      <c r="PAM955" s="252"/>
      <c r="PAN955" s="252"/>
      <c r="PAO955" s="252"/>
      <c r="PAP955" s="252"/>
      <c r="PAQ955" s="252"/>
      <c r="PAR955" s="252"/>
      <c r="PAS955" s="252"/>
      <c r="PAT955" s="252"/>
      <c r="PAU955" s="252"/>
      <c r="PAV955" s="252"/>
      <c r="PAW955" s="252"/>
      <c r="PAX955" s="252"/>
      <c r="PAY955" s="252"/>
      <c r="PAZ955" s="252"/>
      <c r="PBA955" s="252"/>
      <c r="PBB955" s="252"/>
      <c r="PBC955" s="252"/>
      <c r="PBD955" s="252"/>
      <c r="PBE955" s="252"/>
      <c r="PBF955" s="252"/>
      <c r="PBG955" s="252"/>
      <c r="PBH955" s="252"/>
      <c r="PBI955" s="252"/>
      <c r="PBJ955" s="252"/>
      <c r="PBK955" s="252"/>
      <c r="PBL955" s="252"/>
      <c r="PBM955" s="252"/>
      <c r="PBN955" s="252"/>
      <c r="PBO955" s="252"/>
      <c r="PBP955" s="252"/>
      <c r="PBQ955" s="252"/>
      <c r="PBR955" s="252"/>
      <c r="PBS955" s="252"/>
      <c r="PBT955" s="252"/>
      <c r="PBU955" s="252"/>
      <c r="PBV955" s="252"/>
      <c r="PBW955" s="252"/>
      <c r="PBX955" s="252"/>
      <c r="PBY955" s="252"/>
      <c r="PBZ955" s="252"/>
      <c r="PCA955" s="252"/>
      <c r="PCB955" s="252"/>
      <c r="PCC955" s="252"/>
      <c r="PCD955" s="252"/>
      <c r="PCE955" s="252"/>
      <c r="PCF955" s="252"/>
      <c r="PCG955" s="252"/>
      <c r="PCH955" s="252"/>
      <c r="PCI955" s="252"/>
      <c r="PCJ955" s="252"/>
      <c r="PCK955" s="252"/>
      <c r="PCL955" s="252"/>
      <c r="PCM955" s="252"/>
      <c r="PCN955" s="252"/>
      <c r="PCO955" s="252"/>
      <c r="PCP955" s="252"/>
      <c r="PCQ955" s="252"/>
      <c r="PCR955" s="252"/>
      <c r="PCS955" s="252"/>
      <c r="PCT955" s="252"/>
      <c r="PCU955" s="252"/>
      <c r="PCV955" s="252"/>
      <c r="PCW955" s="252"/>
      <c r="PCX955" s="252"/>
      <c r="PCY955" s="252"/>
      <c r="PCZ955" s="252"/>
      <c r="PDA955" s="252"/>
      <c r="PDB955" s="252"/>
      <c r="PDC955" s="252"/>
      <c r="PDD955" s="252"/>
      <c r="PDE955" s="252"/>
      <c r="PDF955" s="252"/>
      <c r="PDG955" s="252"/>
      <c r="PDH955" s="252"/>
      <c r="PDI955" s="252"/>
      <c r="PDJ955" s="252"/>
      <c r="PDK955" s="252"/>
      <c r="PDL955" s="252"/>
      <c r="PDM955" s="252"/>
      <c r="PDN955" s="252"/>
      <c r="PDO955" s="252"/>
      <c r="PDP955" s="252"/>
      <c r="PDQ955" s="252"/>
      <c r="PDR955" s="252"/>
      <c r="PDS955" s="252"/>
      <c r="PDT955" s="252"/>
      <c r="PDU955" s="252"/>
      <c r="PDV955" s="252"/>
      <c r="PDW955" s="252"/>
      <c r="PDX955" s="252"/>
      <c r="PDY955" s="252"/>
      <c r="PDZ955" s="252"/>
      <c r="PEA955" s="252"/>
      <c r="PEB955" s="252"/>
      <c r="PEC955" s="252"/>
      <c r="PED955" s="252"/>
      <c r="PEE955" s="252"/>
      <c r="PEF955" s="252"/>
      <c r="PEG955" s="252"/>
      <c r="PEH955" s="252"/>
      <c r="PEI955" s="252"/>
      <c r="PEJ955" s="252"/>
      <c r="PEK955" s="252"/>
      <c r="PEL955" s="252"/>
      <c r="PEM955" s="252"/>
      <c r="PEN955" s="252"/>
      <c r="PEO955" s="252"/>
      <c r="PEP955" s="252"/>
      <c r="PEQ955" s="252"/>
      <c r="PER955" s="252"/>
      <c r="PES955" s="252"/>
      <c r="PET955" s="252"/>
      <c r="PEU955" s="252"/>
      <c r="PEV955" s="252"/>
      <c r="PEW955" s="252"/>
      <c r="PEX955" s="252"/>
      <c r="PEY955" s="252"/>
      <c r="PEZ955" s="252"/>
      <c r="PFA955" s="252"/>
      <c r="PFB955" s="252"/>
      <c r="PFC955" s="252"/>
      <c r="PFD955" s="252"/>
      <c r="PFE955" s="252"/>
      <c r="PFF955" s="252"/>
      <c r="PFG955" s="252"/>
      <c r="PFH955" s="252"/>
      <c r="PFI955" s="252"/>
      <c r="PFJ955" s="252"/>
      <c r="PFK955" s="252"/>
      <c r="PFL955" s="252"/>
      <c r="PFM955" s="252"/>
      <c r="PFN955" s="252"/>
      <c r="PFO955" s="252"/>
      <c r="PFP955" s="252"/>
      <c r="PFQ955" s="252"/>
      <c r="PFR955" s="252"/>
      <c r="PFS955" s="252"/>
      <c r="PFT955" s="252"/>
      <c r="PFU955" s="252"/>
      <c r="PFV955" s="252"/>
      <c r="PFW955" s="252"/>
      <c r="PFX955" s="252"/>
      <c r="PFY955" s="252"/>
      <c r="PFZ955" s="252"/>
      <c r="PGA955" s="252"/>
      <c r="PGB955" s="252"/>
      <c r="PGC955" s="252"/>
      <c r="PGD955" s="252"/>
      <c r="PGE955" s="252"/>
      <c r="PGF955" s="252"/>
      <c r="PGG955" s="252"/>
      <c r="PGH955" s="252"/>
      <c r="PGI955" s="252"/>
      <c r="PGJ955" s="252"/>
      <c r="PGK955" s="252"/>
      <c r="PGL955" s="252"/>
      <c r="PGM955" s="252"/>
      <c r="PGN955" s="252"/>
      <c r="PGO955" s="252"/>
      <c r="PGP955" s="252"/>
      <c r="PGQ955" s="252"/>
      <c r="PGR955" s="252"/>
      <c r="PGS955" s="252"/>
      <c r="PGT955" s="252"/>
      <c r="PGU955" s="252"/>
      <c r="PGV955" s="252"/>
      <c r="PGW955" s="252"/>
      <c r="PGX955" s="252"/>
      <c r="PGY955" s="252"/>
      <c r="PGZ955" s="252"/>
      <c r="PHA955" s="252"/>
      <c r="PHB955" s="252"/>
      <c r="PHC955" s="252"/>
      <c r="PHD955" s="252"/>
      <c r="PHE955" s="252"/>
      <c r="PHF955" s="252"/>
      <c r="PHG955" s="252"/>
      <c r="PHH955" s="252"/>
      <c r="PHI955" s="252"/>
      <c r="PHJ955" s="252"/>
      <c r="PHK955" s="252"/>
      <c r="PHL955" s="252"/>
      <c r="PHM955" s="252"/>
      <c r="PHN955" s="252"/>
      <c r="PHO955" s="252"/>
      <c r="PHP955" s="252"/>
      <c r="PHQ955" s="252"/>
      <c r="PHR955" s="252"/>
      <c r="PHS955" s="252"/>
      <c r="PHT955" s="252"/>
      <c r="PHU955" s="252"/>
      <c r="PHV955" s="252"/>
      <c r="PHW955" s="252"/>
      <c r="PHX955" s="252"/>
      <c r="PHY955" s="252"/>
      <c r="PHZ955" s="252"/>
      <c r="PIA955" s="252"/>
      <c r="PIB955" s="252"/>
      <c r="PIC955" s="252"/>
      <c r="PID955" s="252"/>
      <c r="PIE955" s="252"/>
      <c r="PIF955" s="252"/>
      <c r="PIG955" s="252"/>
      <c r="PIH955" s="252"/>
      <c r="PII955" s="252"/>
      <c r="PIJ955" s="252"/>
      <c r="PIK955" s="252"/>
      <c r="PIL955" s="252"/>
      <c r="PIM955" s="252"/>
      <c r="PIN955" s="252"/>
      <c r="PIO955" s="252"/>
      <c r="PIP955" s="252"/>
      <c r="PIQ955" s="252"/>
      <c r="PIR955" s="252"/>
      <c r="PIS955" s="252"/>
      <c r="PIT955" s="252"/>
      <c r="PIU955" s="252"/>
      <c r="PIV955" s="252"/>
      <c r="PIW955" s="252"/>
      <c r="PIX955" s="252"/>
      <c r="PIY955" s="252"/>
      <c r="PIZ955" s="252"/>
      <c r="PJA955" s="252"/>
      <c r="PJB955" s="252"/>
      <c r="PJC955" s="252"/>
      <c r="PJD955" s="252"/>
      <c r="PJE955" s="252"/>
      <c r="PJF955" s="252"/>
      <c r="PJG955" s="252"/>
      <c r="PJH955" s="252"/>
      <c r="PJI955" s="252"/>
      <c r="PJJ955" s="252"/>
      <c r="PJK955" s="252"/>
      <c r="PJL955" s="252"/>
      <c r="PJM955" s="252"/>
      <c r="PJN955" s="252"/>
      <c r="PJO955" s="252"/>
      <c r="PJP955" s="252"/>
      <c r="PJQ955" s="252"/>
      <c r="PJR955" s="252"/>
      <c r="PJS955" s="252"/>
      <c r="PJT955" s="252"/>
      <c r="PJU955" s="252"/>
      <c r="PJV955" s="252"/>
      <c r="PJW955" s="252"/>
      <c r="PJX955" s="252"/>
      <c r="PJY955" s="252"/>
      <c r="PJZ955" s="252"/>
      <c r="PKA955" s="252"/>
      <c r="PKB955" s="252"/>
      <c r="PKC955" s="252"/>
      <c r="PKD955" s="252"/>
      <c r="PKE955" s="252"/>
      <c r="PKF955" s="252"/>
      <c r="PKG955" s="252"/>
      <c r="PKH955" s="252"/>
      <c r="PKI955" s="252"/>
      <c r="PKJ955" s="252"/>
      <c r="PKK955" s="252"/>
      <c r="PKL955" s="252"/>
      <c r="PKM955" s="252"/>
      <c r="PKN955" s="252"/>
      <c r="PKO955" s="252"/>
      <c r="PKP955" s="252"/>
      <c r="PKQ955" s="252"/>
      <c r="PKR955" s="252"/>
      <c r="PKS955" s="252"/>
      <c r="PKT955" s="252"/>
      <c r="PKU955" s="252"/>
      <c r="PKV955" s="252"/>
      <c r="PKW955" s="252"/>
      <c r="PKX955" s="252"/>
      <c r="PKY955" s="252"/>
      <c r="PKZ955" s="252"/>
      <c r="PLA955" s="252"/>
      <c r="PLB955" s="252"/>
      <c r="PLC955" s="252"/>
      <c r="PLD955" s="252"/>
      <c r="PLE955" s="252"/>
      <c r="PLF955" s="252"/>
      <c r="PLG955" s="252"/>
      <c r="PLH955" s="252"/>
      <c r="PLI955" s="252"/>
      <c r="PLJ955" s="252"/>
      <c r="PLK955" s="252"/>
      <c r="PLL955" s="252"/>
      <c r="PLM955" s="252"/>
      <c r="PLN955" s="252"/>
      <c r="PLO955" s="252"/>
      <c r="PLP955" s="252"/>
      <c r="PLQ955" s="252"/>
      <c r="PLR955" s="252"/>
      <c r="PLS955" s="252"/>
      <c r="PLT955" s="252"/>
      <c r="PLU955" s="252"/>
      <c r="PLV955" s="252"/>
      <c r="PLW955" s="252"/>
      <c r="PLX955" s="252"/>
      <c r="PLY955" s="252"/>
      <c r="PLZ955" s="252"/>
      <c r="PMA955" s="252"/>
      <c r="PMB955" s="252"/>
      <c r="PMC955" s="252"/>
      <c r="PMD955" s="252"/>
      <c r="PME955" s="252"/>
      <c r="PMF955" s="252"/>
      <c r="PMG955" s="252"/>
      <c r="PMH955" s="252"/>
      <c r="PMI955" s="252"/>
      <c r="PMJ955" s="252"/>
      <c r="PMK955" s="252"/>
      <c r="PML955" s="252"/>
      <c r="PMM955" s="252"/>
      <c r="PMN955" s="252"/>
      <c r="PMO955" s="252"/>
      <c r="PMP955" s="252"/>
      <c r="PMQ955" s="252"/>
      <c r="PMR955" s="252"/>
      <c r="PMS955" s="252"/>
      <c r="PMT955" s="252"/>
      <c r="PMU955" s="252"/>
      <c r="PMV955" s="252"/>
      <c r="PMW955" s="252"/>
      <c r="PMX955" s="252"/>
      <c r="PMY955" s="252"/>
      <c r="PMZ955" s="252"/>
      <c r="PNA955" s="252"/>
      <c r="PNB955" s="252"/>
      <c r="PNC955" s="252"/>
      <c r="PND955" s="252"/>
      <c r="PNE955" s="252"/>
      <c r="PNF955" s="252"/>
      <c r="PNG955" s="252"/>
      <c r="PNH955" s="252"/>
      <c r="PNI955" s="252"/>
      <c r="PNJ955" s="252"/>
      <c r="PNK955" s="252"/>
      <c r="PNL955" s="252"/>
      <c r="PNM955" s="252"/>
      <c r="PNN955" s="252"/>
      <c r="PNO955" s="252"/>
      <c r="PNP955" s="252"/>
      <c r="PNQ955" s="252"/>
      <c r="PNR955" s="252"/>
      <c r="PNS955" s="252"/>
      <c r="PNT955" s="252"/>
      <c r="PNU955" s="252"/>
      <c r="PNV955" s="252"/>
      <c r="PNW955" s="252"/>
      <c r="PNX955" s="252"/>
      <c r="PNY955" s="252"/>
      <c r="PNZ955" s="252"/>
      <c r="POA955" s="252"/>
      <c r="POB955" s="252"/>
      <c r="POC955" s="252"/>
      <c r="POD955" s="252"/>
      <c r="POE955" s="252"/>
      <c r="POF955" s="252"/>
      <c r="POG955" s="252"/>
      <c r="POH955" s="252"/>
      <c r="POI955" s="252"/>
      <c r="POJ955" s="252"/>
      <c r="POK955" s="252"/>
      <c r="POL955" s="252"/>
      <c r="POM955" s="252"/>
      <c r="PON955" s="252"/>
      <c r="POO955" s="252"/>
      <c r="POP955" s="252"/>
      <c r="POQ955" s="252"/>
      <c r="POR955" s="252"/>
      <c r="POS955" s="252"/>
      <c r="POT955" s="252"/>
      <c r="POU955" s="252"/>
      <c r="POV955" s="252"/>
      <c r="POW955" s="252"/>
      <c r="POX955" s="252"/>
      <c r="POY955" s="252"/>
      <c r="POZ955" s="252"/>
      <c r="PPA955" s="252"/>
      <c r="PPB955" s="252"/>
      <c r="PPC955" s="252"/>
      <c r="PPD955" s="252"/>
      <c r="PPE955" s="252"/>
      <c r="PPF955" s="252"/>
      <c r="PPG955" s="252"/>
      <c r="PPH955" s="252"/>
      <c r="PPI955" s="252"/>
      <c r="PPJ955" s="252"/>
      <c r="PPK955" s="252"/>
      <c r="PPL955" s="252"/>
      <c r="PPM955" s="252"/>
      <c r="PPN955" s="252"/>
      <c r="PPO955" s="252"/>
      <c r="PPP955" s="252"/>
      <c r="PPQ955" s="252"/>
      <c r="PPR955" s="252"/>
      <c r="PPS955" s="252"/>
      <c r="PPT955" s="252"/>
      <c r="PPU955" s="252"/>
      <c r="PPV955" s="252"/>
      <c r="PPW955" s="252"/>
      <c r="PPX955" s="252"/>
      <c r="PPY955" s="252"/>
      <c r="PPZ955" s="252"/>
      <c r="PQA955" s="252"/>
      <c r="PQB955" s="252"/>
      <c r="PQC955" s="252"/>
      <c r="PQD955" s="252"/>
      <c r="PQE955" s="252"/>
      <c r="PQF955" s="252"/>
      <c r="PQG955" s="252"/>
      <c r="PQH955" s="252"/>
      <c r="PQI955" s="252"/>
      <c r="PQJ955" s="252"/>
      <c r="PQK955" s="252"/>
      <c r="PQL955" s="252"/>
      <c r="PQM955" s="252"/>
      <c r="PQN955" s="252"/>
      <c r="PQO955" s="252"/>
      <c r="PQP955" s="252"/>
      <c r="PQQ955" s="252"/>
      <c r="PQR955" s="252"/>
      <c r="PQS955" s="252"/>
      <c r="PQT955" s="252"/>
      <c r="PQU955" s="252"/>
      <c r="PQV955" s="252"/>
      <c r="PQW955" s="252"/>
      <c r="PQX955" s="252"/>
      <c r="PQY955" s="252"/>
      <c r="PQZ955" s="252"/>
      <c r="PRA955" s="252"/>
      <c r="PRB955" s="252"/>
      <c r="PRC955" s="252"/>
      <c r="PRD955" s="252"/>
      <c r="PRE955" s="252"/>
      <c r="PRF955" s="252"/>
      <c r="PRG955" s="252"/>
      <c r="PRH955" s="252"/>
      <c r="PRI955" s="252"/>
      <c r="PRJ955" s="252"/>
      <c r="PRK955" s="252"/>
      <c r="PRL955" s="252"/>
      <c r="PRM955" s="252"/>
      <c r="PRN955" s="252"/>
      <c r="PRO955" s="252"/>
      <c r="PRP955" s="252"/>
      <c r="PRQ955" s="252"/>
      <c r="PRR955" s="252"/>
      <c r="PRS955" s="252"/>
      <c r="PRT955" s="252"/>
      <c r="PRU955" s="252"/>
      <c r="PRV955" s="252"/>
      <c r="PRW955" s="252"/>
      <c r="PRX955" s="252"/>
      <c r="PRY955" s="252"/>
      <c r="PRZ955" s="252"/>
      <c r="PSA955" s="252"/>
      <c r="PSB955" s="252"/>
      <c r="PSC955" s="252"/>
      <c r="PSD955" s="252"/>
      <c r="PSE955" s="252"/>
      <c r="PSF955" s="252"/>
      <c r="PSG955" s="252"/>
      <c r="PSH955" s="252"/>
      <c r="PSI955" s="252"/>
      <c r="PSJ955" s="252"/>
      <c r="PSK955" s="252"/>
      <c r="PSL955" s="252"/>
      <c r="PSM955" s="252"/>
      <c r="PSN955" s="252"/>
      <c r="PSO955" s="252"/>
      <c r="PSP955" s="252"/>
      <c r="PSQ955" s="252"/>
      <c r="PSR955" s="252"/>
      <c r="PSS955" s="252"/>
      <c r="PST955" s="252"/>
      <c r="PSU955" s="252"/>
      <c r="PSV955" s="252"/>
      <c r="PSW955" s="252"/>
      <c r="PSX955" s="252"/>
      <c r="PSY955" s="252"/>
      <c r="PSZ955" s="252"/>
      <c r="PTA955" s="252"/>
      <c r="PTB955" s="252"/>
      <c r="PTC955" s="252"/>
      <c r="PTD955" s="252"/>
      <c r="PTE955" s="252"/>
      <c r="PTF955" s="252"/>
      <c r="PTG955" s="252"/>
      <c r="PTH955" s="252"/>
      <c r="PTI955" s="252"/>
      <c r="PTJ955" s="252"/>
      <c r="PTK955" s="252"/>
      <c r="PTL955" s="252"/>
      <c r="PTM955" s="252"/>
      <c r="PTN955" s="252"/>
      <c r="PTO955" s="252"/>
      <c r="PTP955" s="252"/>
      <c r="PTQ955" s="252"/>
      <c r="PTR955" s="252"/>
      <c r="PTS955" s="252"/>
      <c r="PTT955" s="252"/>
      <c r="PTU955" s="252"/>
      <c r="PTV955" s="252"/>
      <c r="PTW955" s="252"/>
      <c r="PTX955" s="252"/>
      <c r="PTY955" s="252"/>
      <c r="PTZ955" s="252"/>
      <c r="PUA955" s="252"/>
      <c r="PUB955" s="252"/>
      <c r="PUC955" s="252"/>
      <c r="PUD955" s="252"/>
      <c r="PUE955" s="252"/>
      <c r="PUF955" s="252"/>
      <c r="PUG955" s="252"/>
      <c r="PUH955" s="252"/>
      <c r="PUI955" s="252"/>
      <c r="PUJ955" s="252"/>
      <c r="PUK955" s="252"/>
      <c r="PUL955" s="252"/>
      <c r="PUM955" s="252"/>
      <c r="PUN955" s="252"/>
      <c r="PUO955" s="252"/>
      <c r="PUP955" s="252"/>
      <c r="PUQ955" s="252"/>
      <c r="PUR955" s="252"/>
      <c r="PUS955" s="252"/>
      <c r="PUT955" s="252"/>
      <c r="PUU955" s="252"/>
      <c r="PUV955" s="252"/>
      <c r="PUW955" s="252"/>
      <c r="PUX955" s="252"/>
      <c r="PUY955" s="252"/>
      <c r="PUZ955" s="252"/>
      <c r="PVA955" s="252"/>
      <c r="PVB955" s="252"/>
      <c r="PVC955" s="252"/>
      <c r="PVD955" s="252"/>
      <c r="PVE955" s="252"/>
      <c r="PVF955" s="252"/>
      <c r="PVG955" s="252"/>
      <c r="PVH955" s="252"/>
      <c r="PVI955" s="252"/>
      <c r="PVJ955" s="252"/>
      <c r="PVK955" s="252"/>
      <c r="PVL955" s="252"/>
      <c r="PVM955" s="252"/>
      <c r="PVN955" s="252"/>
      <c r="PVO955" s="252"/>
      <c r="PVP955" s="252"/>
      <c r="PVQ955" s="252"/>
      <c r="PVR955" s="252"/>
      <c r="PVS955" s="252"/>
      <c r="PVT955" s="252"/>
      <c r="PVU955" s="252"/>
      <c r="PVV955" s="252"/>
      <c r="PVW955" s="252"/>
      <c r="PVX955" s="252"/>
      <c r="PVY955" s="252"/>
      <c r="PVZ955" s="252"/>
      <c r="PWA955" s="252"/>
      <c r="PWB955" s="252"/>
      <c r="PWC955" s="252"/>
      <c r="PWD955" s="252"/>
      <c r="PWE955" s="252"/>
      <c r="PWF955" s="252"/>
      <c r="PWG955" s="252"/>
      <c r="PWH955" s="252"/>
      <c r="PWI955" s="252"/>
      <c r="PWJ955" s="252"/>
      <c r="PWK955" s="252"/>
      <c r="PWL955" s="252"/>
      <c r="PWM955" s="252"/>
      <c r="PWN955" s="252"/>
      <c r="PWO955" s="252"/>
      <c r="PWP955" s="252"/>
      <c r="PWQ955" s="252"/>
      <c r="PWR955" s="252"/>
      <c r="PWS955" s="252"/>
      <c r="PWT955" s="252"/>
      <c r="PWU955" s="252"/>
      <c r="PWV955" s="252"/>
      <c r="PWW955" s="252"/>
      <c r="PWX955" s="252"/>
      <c r="PWY955" s="252"/>
      <c r="PWZ955" s="252"/>
      <c r="PXA955" s="252"/>
      <c r="PXB955" s="252"/>
      <c r="PXC955" s="252"/>
      <c r="PXD955" s="252"/>
      <c r="PXE955" s="252"/>
      <c r="PXF955" s="252"/>
      <c r="PXG955" s="252"/>
      <c r="PXH955" s="252"/>
      <c r="PXI955" s="252"/>
      <c r="PXJ955" s="252"/>
      <c r="PXK955" s="252"/>
      <c r="PXL955" s="252"/>
      <c r="PXM955" s="252"/>
      <c r="PXN955" s="252"/>
      <c r="PXO955" s="252"/>
      <c r="PXP955" s="252"/>
      <c r="PXQ955" s="252"/>
      <c r="PXR955" s="252"/>
      <c r="PXS955" s="252"/>
      <c r="PXT955" s="252"/>
      <c r="PXU955" s="252"/>
      <c r="PXV955" s="252"/>
      <c r="PXW955" s="252"/>
      <c r="PXX955" s="252"/>
      <c r="PXY955" s="252"/>
      <c r="PXZ955" s="252"/>
      <c r="PYA955" s="252"/>
      <c r="PYB955" s="252"/>
      <c r="PYC955" s="252"/>
      <c r="PYD955" s="252"/>
      <c r="PYE955" s="252"/>
      <c r="PYF955" s="252"/>
      <c r="PYG955" s="252"/>
      <c r="PYH955" s="252"/>
      <c r="PYI955" s="252"/>
      <c r="PYJ955" s="252"/>
      <c r="PYK955" s="252"/>
      <c r="PYL955" s="252"/>
      <c r="PYM955" s="252"/>
      <c r="PYN955" s="252"/>
      <c r="PYO955" s="252"/>
      <c r="PYP955" s="252"/>
      <c r="PYQ955" s="252"/>
      <c r="PYR955" s="252"/>
      <c r="PYS955" s="252"/>
      <c r="PYT955" s="252"/>
      <c r="PYU955" s="252"/>
      <c r="PYV955" s="252"/>
      <c r="PYW955" s="252"/>
      <c r="PYX955" s="252"/>
      <c r="PYY955" s="252"/>
      <c r="PYZ955" s="252"/>
      <c r="PZA955" s="252"/>
      <c r="PZB955" s="252"/>
      <c r="PZC955" s="252"/>
      <c r="PZD955" s="252"/>
      <c r="PZE955" s="252"/>
      <c r="PZF955" s="252"/>
      <c r="PZG955" s="252"/>
      <c r="PZH955" s="252"/>
      <c r="PZI955" s="252"/>
      <c r="PZJ955" s="252"/>
      <c r="PZK955" s="252"/>
      <c r="PZL955" s="252"/>
      <c r="PZM955" s="252"/>
      <c r="PZN955" s="252"/>
      <c r="PZO955" s="252"/>
      <c r="PZP955" s="252"/>
      <c r="PZQ955" s="252"/>
      <c r="PZR955" s="252"/>
      <c r="PZS955" s="252"/>
      <c r="PZT955" s="252"/>
      <c r="PZU955" s="252"/>
      <c r="PZV955" s="252"/>
      <c r="PZW955" s="252"/>
      <c r="PZX955" s="252"/>
      <c r="PZY955" s="252"/>
      <c r="PZZ955" s="252"/>
      <c r="QAA955" s="252"/>
      <c r="QAB955" s="252"/>
      <c r="QAC955" s="252"/>
      <c r="QAD955" s="252"/>
      <c r="QAE955" s="252"/>
      <c r="QAF955" s="252"/>
      <c r="QAG955" s="252"/>
      <c r="QAH955" s="252"/>
      <c r="QAI955" s="252"/>
      <c r="QAJ955" s="252"/>
      <c r="QAK955" s="252"/>
      <c r="QAL955" s="252"/>
      <c r="QAM955" s="252"/>
      <c r="QAN955" s="252"/>
      <c r="QAO955" s="252"/>
      <c r="QAP955" s="252"/>
      <c r="QAQ955" s="252"/>
      <c r="QAR955" s="252"/>
      <c r="QAS955" s="252"/>
      <c r="QAT955" s="252"/>
      <c r="QAU955" s="252"/>
      <c r="QAV955" s="252"/>
      <c r="QAW955" s="252"/>
      <c r="QAX955" s="252"/>
      <c r="QAY955" s="252"/>
      <c r="QAZ955" s="252"/>
      <c r="QBA955" s="252"/>
      <c r="QBB955" s="252"/>
      <c r="QBC955" s="252"/>
      <c r="QBD955" s="252"/>
      <c r="QBE955" s="252"/>
      <c r="QBF955" s="252"/>
      <c r="QBG955" s="252"/>
      <c r="QBH955" s="252"/>
      <c r="QBI955" s="252"/>
      <c r="QBJ955" s="252"/>
      <c r="QBK955" s="252"/>
      <c r="QBL955" s="252"/>
      <c r="QBM955" s="252"/>
      <c r="QBN955" s="252"/>
      <c r="QBO955" s="252"/>
      <c r="QBP955" s="252"/>
      <c r="QBQ955" s="252"/>
      <c r="QBR955" s="252"/>
      <c r="QBS955" s="252"/>
      <c r="QBT955" s="252"/>
      <c r="QBU955" s="252"/>
      <c r="QBV955" s="252"/>
      <c r="QBW955" s="252"/>
      <c r="QBX955" s="252"/>
      <c r="QBY955" s="252"/>
      <c r="QBZ955" s="252"/>
      <c r="QCA955" s="252"/>
      <c r="QCB955" s="252"/>
      <c r="QCC955" s="252"/>
      <c r="QCD955" s="252"/>
      <c r="QCE955" s="252"/>
      <c r="QCF955" s="252"/>
      <c r="QCG955" s="252"/>
      <c r="QCH955" s="252"/>
      <c r="QCI955" s="252"/>
      <c r="QCJ955" s="252"/>
      <c r="QCK955" s="252"/>
      <c r="QCL955" s="252"/>
      <c r="QCM955" s="252"/>
      <c r="QCN955" s="252"/>
      <c r="QCO955" s="252"/>
      <c r="QCP955" s="252"/>
      <c r="QCQ955" s="252"/>
      <c r="QCR955" s="252"/>
      <c r="QCS955" s="252"/>
      <c r="QCT955" s="252"/>
      <c r="QCU955" s="252"/>
      <c r="QCV955" s="252"/>
      <c r="QCW955" s="252"/>
      <c r="QCX955" s="252"/>
      <c r="QCY955" s="252"/>
      <c r="QCZ955" s="252"/>
      <c r="QDA955" s="252"/>
      <c r="QDB955" s="252"/>
      <c r="QDC955" s="252"/>
      <c r="QDD955" s="252"/>
      <c r="QDE955" s="252"/>
      <c r="QDF955" s="252"/>
      <c r="QDG955" s="252"/>
      <c r="QDH955" s="252"/>
      <c r="QDI955" s="252"/>
      <c r="QDJ955" s="252"/>
      <c r="QDK955" s="252"/>
      <c r="QDL955" s="252"/>
      <c r="QDM955" s="252"/>
      <c r="QDN955" s="252"/>
      <c r="QDO955" s="252"/>
      <c r="QDP955" s="252"/>
      <c r="QDQ955" s="252"/>
      <c r="QDR955" s="252"/>
      <c r="QDS955" s="252"/>
      <c r="QDT955" s="252"/>
      <c r="QDU955" s="252"/>
      <c r="QDV955" s="252"/>
      <c r="QDW955" s="252"/>
      <c r="QDX955" s="252"/>
      <c r="QDY955" s="252"/>
      <c r="QDZ955" s="252"/>
      <c r="QEA955" s="252"/>
      <c r="QEB955" s="252"/>
      <c r="QEC955" s="252"/>
      <c r="QED955" s="252"/>
      <c r="QEE955" s="252"/>
      <c r="QEF955" s="252"/>
      <c r="QEG955" s="252"/>
      <c r="QEH955" s="252"/>
      <c r="QEI955" s="252"/>
      <c r="QEJ955" s="252"/>
      <c r="QEK955" s="252"/>
      <c r="QEL955" s="252"/>
      <c r="QEM955" s="252"/>
      <c r="QEN955" s="252"/>
      <c r="QEO955" s="252"/>
      <c r="QEP955" s="252"/>
      <c r="QEQ955" s="252"/>
      <c r="QER955" s="252"/>
      <c r="QES955" s="252"/>
      <c r="QET955" s="252"/>
      <c r="QEU955" s="252"/>
      <c r="QEV955" s="252"/>
      <c r="QEW955" s="252"/>
      <c r="QEX955" s="252"/>
      <c r="QEY955" s="252"/>
      <c r="QEZ955" s="252"/>
      <c r="QFA955" s="252"/>
      <c r="QFB955" s="252"/>
      <c r="QFC955" s="252"/>
      <c r="QFD955" s="252"/>
      <c r="QFE955" s="252"/>
      <c r="QFF955" s="252"/>
      <c r="QFG955" s="252"/>
      <c r="QFH955" s="252"/>
      <c r="QFI955" s="252"/>
      <c r="QFJ955" s="252"/>
      <c r="QFK955" s="252"/>
      <c r="QFL955" s="252"/>
      <c r="QFM955" s="252"/>
      <c r="QFN955" s="252"/>
      <c r="QFO955" s="252"/>
      <c r="QFP955" s="252"/>
      <c r="QFQ955" s="252"/>
      <c r="QFR955" s="252"/>
      <c r="QFS955" s="252"/>
      <c r="QFT955" s="252"/>
      <c r="QFU955" s="252"/>
      <c r="QFV955" s="252"/>
      <c r="QFW955" s="252"/>
      <c r="QFX955" s="252"/>
      <c r="QFY955" s="252"/>
      <c r="QFZ955" s="252"/>
      <c r="QGA955" s="252"/>
      <c r="QGB955" s="252"/>
      <c r="QGC955" s="252"/>
      <c r="QGD955" s="252"/>
      <c r="QGE955" s="252"/>
      <c r="QGF955" s="252"/>
      <c r="QGG955" s="252"/>
      <c r="QGH955" s="252"/>
      <c r="QGI955" s="252"/>
      <c r="QGJ955" s="252"/>
      <c r="QGK955" s="252"/>
      <c r="QGL955" s="252"/>
      <c r="QGM955" s="252"/>
      <c r="QGN955" s="252"/>
      <c r="QGO955" s="252"/>
      <c r="QGP955" s="252"/>
      <c r="QGQ955" s="252"/>
      <c r="QGR955" s="252"/>
      <c r="QGS955" s="252"/>
      <c r="QGT955" s="252"/>
      <c r="QGU955" s="252"/>
      <c r="QGV955" s="252"/>
      <c r="QGW955" s="252"/>
      <c r="QGX955" s="252"/>
      <c r="QGY955" s="252"/>
      <c r="QGZ955" s="252"/>
      <c r="QHA955" s="252"/>
      <c r="QHB955" s="252"/>
      <c r="QHC955" s="252"/>
      <c r="QHD955" s="252"/>
      <c r="QHE955" s="252"/>
      <c r="QHF955" s="252"/>
      <c r="QHG955" s="252"/>
      <c r="QHH955" s="252"/>
      <c r="QHI955" s="252"/>
      <c r="QHJ955" s="252"/>
      <c r="QHK955" s="252"/>
      <c r="QHL955" s="252"/>
      <c r="QHM955" s="252"/>
      <c r="QHN955" s="252"/>
      <c r="QHO955" s="252"/>
      <c r="QHP955" s="252"/>
      <c r="QHQ955" s="252"/>
      <c r="QHR955" s="252"/>
      <c r="QHS955" s="252"/>
      <c r="QHT955" s="252"/>
      <c r="QHU955" s="252"/>
      <c r="QHV955" s="252"/>
      <c r="QHW955" s="252"/>
      <c r="QHX955" s="252"/>
      <c r="QHY955" s="252"/>
      <c r="QHZ955" s="252"/>
      <c r="QIA955" s="252"/>
      <c r="QIB955" s="252"/>
      <c r="QIC955" s="252"/>
      <c r="QID955" s="252"/>
      <c r="QIE955" s="252"/>
      <c r="QIF955" s="252"/>
      <c r="QIG955" s="252"/>
      <c r="QIH955" s="252"/>
      <c r="QII955" s="252"/>
      <c r="QIJ955" s="252"/>
      <c r="QIK955" s="252"/>
      <c r="QIL955" s="252"/>
      <c r="QIM955" s="252"/>
      <c r="QIN955" s="252"/>
      <c r="QIO955" s="252"/>
      <c r="QIP955" s="252"/>
      <c r="QIQ955" s="252"/>
      <c r="QIR955" s="252"/>
      <c r="QIS955" s="252"/>
      <c r="QIT955" s="252"/>
      <c r="QIU955" s="252"/>
      <c r="QIV955" s="252"/>
      <c r="QIW955" s="252"/>
      <c r="QIX955" s="252"/>
      <c r="QIY955" s="252"/>
      <c r="QIZ955" s="252"/>
      <c r="QJA955" s="252"/>
      <c r="QJB955" s="252"/>
      <c r="QJC955" s="252"/>
      <c r="QJD955" s="252"/>
      <c r="QJE955" s="252"/>
      <c r="QJF955" s="252"/>
      <c r="QJG955" s="252"/>
      <c r="QJH955" s="252"/>
      <c r="QJI955" s="252"/>
      <c r="QJJ955" s="252"/>
      <c r="QJK955" s="252"/>
      <c r="QJL955" s="252"/>
      <c r="QJM955" s="252"/>
      <c r="QJN955" s="252"/>
      <c r="QJO955" s="252"/>
      <c r="QJP955" s="252"/>
      <c r="QJQ955" s="252"/>
      <c r="QJR955" s="252"/>
      <c r="QJS955" s="252"/>
      <c r="QJT955" s="252"/>
      <c r="QJU955" s="252"/>
      <c r="QJV955" s="252"/>
      <c r="QJW955" s="252"/>
      <c r="QJX955" s="252"/>
      <c r="QJY955" s="252"/>
      <c r="QJZ955" s="252"/>
      <c r="QKA955" s="252"/>
      <c r="QKB955" s="252"/>
      <c r="QKC955" s="252"/>
      <c r="QKD955" s="252"/>
      <c r="QKE955" s="252"/>
      <c r="QKF955" s="252"/>
      <c r="QKG955" s="252"/>
      <c r="QKH955" s="252"/>
      <c r="QKI955" s="252"/>
      <c r="QKJ955" s="252"/>
      <c r="QKK955" s="252"/>
      <c r="QKL955" s="252"/>
      <c r="QKM955" s="252"/>
      <c r="QKN955" s="252"/>
      <c r="QKO955" s="252"/>
      <c r="QKP955" s="252"/>
      <c r="QKQ955" s="252"/>
      <c r="QKR955" s="252"/>
      <c r="QKS955" s="252"/>
      <c r="QKT955" s="252"/>
      <c r="QKU955" s="252"/>
      <c r="QKV955" s="252"/>
      <c r="QKW955" s="252"/>
      <c r="QKX955" s="252"/>
      <c r="QKY955" s="252"/>
      <c r="QKZ955" s="252"/>
      <c r="QLA955" s="252"/>
      <c r="QLB955" s="252"/>
      <c r="QLC955" s="252"/>
      <c r="QLD955" s="252"/>
      <c r="QLE955" s="252"/>
      <c r="QLF955" s="252"/>
      <c r="QLG955" s="252"/>
      <c r="QLH955" s="252"/>
      <c r="QLI955" s="252"/>
      <c r="QLJ955" s="252"/>
      <c r="QLK955" s="252"/>
      <c r="QLL955" s="252"/>
      <c r="QLM955" s="252"/>
      <c r="QLN955" s="252"/>
      <c r="QLO955" s="252"/>
      <c r="QLP955" s="252"/>
      <c r="QLQ955" s="252"/>
      <c r="QLR955" s="252"/>
      <c r="QLS955" s="252"/>
      <c r="QLT955" s="252"/>
      <c r="QLU955" s="252"/>
      <c r="QLV955" s="252"/>
      <c r="QLW955" s="252"/>
      <c r="QLX955" s="252"/>
      <c r="QLY955" s="252"/>
      <c r="QLZ955" s="252"/>
      <c r="QMA955" s="252"/>
      <c r="QMB955" s="252"/>
      <c r="QMC955" s="252"/>
      <c r="QMD955" s="252"/>
      <c r="QME955" s="252"/>
      <c r="QMF955" s="252"/>
      <c r="QMG955" s="252"/>
      <c r="QMH955" s="252"/>
      <c r="QMI955" s="252"/>
      <c r="QMJ955" s="252"/>
      <c r="QMK955" s="252"/>
      <c r="QML955" s="252"/>
      <c r="QMM955" s="252"/>
      <c r="QMN955" s="252"/>
      <c r="QMO955" s="252"/>
      <c r="QMP955" s="252"/>
      <c r="QMQ955" s="252"/>
      <c r="QMR955" s="252"/>
      <c r="QMS955" s="252"/>
      <c r="QMT955" s="252"/>
      <c r="QMU955" s="252"/>
      <c r="QMV955" s="252"/>
      <c r="QMW955" s="252"/>
      <c r="QMX955" s="252"/>
      <c r="QMY955" s="252"/>
      <c r="QMZ955" s="252"/>
      <c r="QNA955" s="252"/>
      <c r="QNB955" s="252"/>
      <c r="QNC955" s="252"/>
      <c r="QND955" s="252"/>
      <c r="QNE955" s="252"/>
      <c r="QNF955" s="252"/>
      <c r="QNG955" s="252"/>
      <c r="QNH955" s="252"/>
      <c r="QNI955" s="252"/>
      <c r="QNJ955" s="252"/>
      <c r="QNK955" s="252"/>
      <c r="QNL955" s="252"/>
      <c r="QNM955" s="252"/>
      <c r="QNN955" s="252"/>
      <c r="QNO955" s="252"/>
      <c r="QNP955" s="252"/>
      <c r="QNQ955" s="252"/>
      <c r="QNR955" s="252"/>
      <c r="QNS955" s="252"/>
      <c r="QNT955" s="252"/>
      <c r="QNU955" s="252"/>
      <c r="QNV955" s="252"/>
      <c r="QNW955" s="252"/>
      <c r="QNX955" s="252"/>
      <c r="QNY955" s="252"/>
      <c r="QNZ955" s="252"/>
      <c r="QOA955" s="252"/>
      <c r="QOB955" s="252"/>
      <c r="QOC955" s="252"/>
      <c r="QOD955" s="252"/>
      <c r="QOE955" s="252"/>
      <c r="QOF955" s="252"/>
      <c r="QOG955" s="252"/>
      <c r="QOH955" s="252"/>
      <c r="QOI955" s="252"/>
      <c r="QOJ955" s="252"/>
      <c r="QOK955" s="252"/>
      <c r="QOL955" s="252"/>
      <c r="QOM955" s="252"/>
      <c r="QON955" s="252"/>
      <c r="QOO955" s="252"/>
      <c r="QOP955" s="252"/>
      <c r="QOQ955" s="252"/>
      <c r="QOR955" s="252"/>
      <c r="QOS955" s="252"/>
      <c r="QOT955" s="252"/>
      <c r="QOU955" s="252"/>
      <c r="QOV955" s="252"/>
      <c r="QOW955" s="252"/>
      <c r="QOX955" s="252"/>
      <c r="QOY955" s="252"/>
      <c r="QOZ955" s="252"/>
      <c r="QPA955" s="252"/>
      <c r="QPB955" s="252"/>
      <c r="QPC955" s="252"/>
      <c r="QPD955" s="252"/>
      <c r="QPE955" s="252"/>
      <c r="QPF955" s="252"/>
      <c r="QPG955" s="252"/>
      <c r="QPH955" s="252"/>
      <c r="QPI955" s="252"/>
      <c r="QPJ955" s="252"/>
      <c r="QPK955" s="252"/>
      <c r="QPL955" s="252"/>
      <c r="QPM955" s="252"/>
      <c r="QPN955" s="252"/>
      <c r="QPO955" s="252"/>
      <c r="QPP955" s="252"/>
      <c r="QPQ955" s="252"/>
      <c r="QPR955" s="252"/>
      <c r="QPS955" s="252"/>
      <c r="QPT955" s="252"/>
      <c r="QPU955" s="252"/>
      <c r="QPV955" s="252"/>
      <c r="QPW955" s="252"/>
      <c r="QPX955" s="252"/>
      <c r="QPY955" s="252"/>
      <c r="QPZ955" s="252"/>
      <c r="QQA955" s="252"/>
      <c r="QQB955" s="252"/>
      <c r="QQC955" s="252"/>
      <c r="QQD955" s="252"/>
      <c r="QQE955" s="252"/>
      <c r="QQF955" s="252"/>
      <c r="QQG955" s="252"/>
      <c r="QQH955" s="252"/>
      <c r="QQI955" s="252"/>
      <c r="QQJ955" s="252"/>
      <c r="QQK955" s="252"/>
      <c r="QQL955" s="252"/>
      <c r="QQM955" s="252"/>
      <c r="QQN955" s="252"/>
      <c r="QQO955" s="252"/>
      <c r="QQP955" s="252"/>
      <c r="QQQ955" s="252"/>
      <c r="QQR955" s="252"/>
      <c r="QQS955" s="252"/>
      <c r="QQT955" s="252"/>
      <c r="QQU955" s="252"/>
      <c r="QQV955" s="252"/>
      <c r="QQW955" s="252"/>
      <c r="QQX955" s="252"/>
      <c r="QQY955" s="252"/>
      <c r="QQZ955" s="252"/>
      <c r="QRA955" s="252"/>
      <c r="QRB955" s="252"/>
      <c r="QRC955" s="252"/>
      <c r="QRD955" s="252"/>
      <c r="QRE955" s="252"/>
      <c r="QRF955" s="252"/>
      <c r="QRG955" s="252"/>
      <c r="QRH955" s="252"/>
      <c r="QRI955" s="252"/>
      <c r="QRJ955" s="252"/>
      <c r="QRK955" s="252"/>
      <c r="QRL955" s="252"/>
      <c r="QRM955" s="252"/>
      <c r="QRN955" s="252"/>
      <c r="QRO955" s="252"/>
      <c r="QRP955" s="252"/>
      <c r="QRQ955" s="252"/>
      <c r="QRR955" s="252"/>
      <c r="QRS955" s="252"/>
      <c r="QRT955" s="252"/>
      <c r="QRU955" s="252"/>
      <c r="QRV955" s="252"/>
      <c r="QRW955" s="252"/>
      <c r="QRX955" s="252"/>
      <c r="QRY955" s="252"/>
      <c r="QRZ955" s="252"/>
      <c r="QSA955" s="252"/>
      <c r="QSB955" s="252"/>
      <c r="QSC955" s="252"/>
      <c r="QSD955" s="252"/>
      <c r="QSE955" s="252"/>
      <c r="QSF955" s="252"/>
      <c r="QSG955" s="252"/>
      <c r="QSH955" s="252"/>
      <c r="QSI955" s="252"/>
      <c r="QSJ955" s="252"/>
      <c r="QSK955" s="252"/>
      <c r="QSL955" s="252"/>
      <c r="QSM955" s="252"/>
      <c r="QSN955" s="252"/>
      <c r="QSO955" s="252"/>
      <c r="QSP955" s="252"/>
      <c r="QSQ955" s="252"/>
      <c r="QSR955" s="252"/>
      <c r="QSS955" s="252"/>
      <c r="QST955" s="252"/>
      <c r="QSU955" s="252"/>
      <c r="QSV955" s="252"/>
      <c r="QSW955" s="252"/>
      <c r="QSX955" s="252"/>
      <c r="QSY955" s="252"/>
      <c r="QSZ955" s="252"/>
      <c r="QTA955" s="252"/>
      <c r="QTB955" s="252"/>
      <c r="QTC955" s="252"/>
      <c r="QTD955" s="252"/>
      <c r="QTE955" s="252"/>
      <c r="QTF955" s="252"/>
      <c r="QTG955" s="252"/>
      <c r="QTH955" s="252"/>
      <c r="QTI955" s="252"/>
      <c r="QTJ955" s="252"/>
      <c r="QTK955" s="252"/>
      <c r="QTL955" s="252"/>
      <c r="QTM955" s="252"/>
      <c r="QTN955" s="252"/>
      <c r="QTO955" s="252"/>
      <c r="QTP955" s="252"/>
      <c r="QTQ955" s="252"/>
      <c r="QTR955" s="252"/>
      <c r="QTS955" s="252"/>
      <c r="QTT955" s="252"/>
      <c r="QTU955" s="252"/>
      <c r="QTV955" s="252"/>
      <c r="QTW955" s="252"/>
      <c r="QTX955" s="252"/>
      <c r="QTY955" s="252"/>
      <c r="QTZ955" s="252"/>
      <c r="QUA955" s="252"/>
      <c r="QUB955" s="252"/>
      <c r="QUC955" s="252"/>
      <c r="QUD955" s="252"/>
      <c r="QUE955" s="252"/>
      <c r="QUF955" s="252"/>
      <c r="QUG955" s="252"/>
      <c r="QUH955" s="252"/>
      <c r="QUI955" s="252"/>
      <c r="QUJ955" s="252"/>
      <c r="QUK955" s="252"/>
      <c r="QUL955" s="252"/>
      <c r="QUM955" s="252"/>
      <c r="QUN955" s="252"/>
      <c r="QUO955" s="252"/>
      <c r="QUP955" s="252"/>
      <c r="QUQ955" s="252"/>
      <c r="QUR955" s="252"/>
      <c r="QUS955" s="252"/>
      <c r="QUT955" s="252"/>
      <c r="QUU955" s="252"/>
      <c r="QUV955" s="252"/>
      <c r="QUW955" s="252"/>
      <c r="QUX955" s="252"/>
      <c r="QUY955" s="252"/>
      <c r="QUZ955" s="252"/>
      <c r="QVA955" s="252"/>
      <c r="QVB955" s="252"/>
      <c r="QVC955" s="252"/>
      <c r="QVD955" s="252"/>
      <c r="QVE955" s="252"/>
      <c r="QVF955" s="252"/>
      <c r="QVG955" s="252"/>
      <c r="QVH955" s="252"/>
      <c r="QVI955" s="252"/>
      <c r="QVJ955" s="252"/>
      <c r="QVK955" s="252"/>
      <c r="QVL955" s="252"/>
      <c r="QVM955" s="252"/>
      <c r="QVN955" s="252"/>
      <c r="QVO955" s="252"/>
      <c r="QVP955" s="252"/>
      <c r="QVQ955" s="252"/>
      <c r="QVR955" s="252"/>
      <c r="QVS955" s="252"/>
      <c r="QVT955" s="252"/>
      <c r="QVU955" s="252"/>
      <c r="QVV955" s="252"/>
      <c r="QVW955" s="252"/>
      <c r="QVX955" s="252"/>
      <c r="QVY955" s="252"/>
      <c r="QVZ955" s="252"/>
      <c r="QWA955" s="252"/>
      <c r="QWB955" s="252"/>
      <c r="QWC955" s="252"/>
      <c r="QWD955" s="252"/>
      <c r="QWE955" s="252"/>
      <c r="QWF955" s="252"/>
      <c r="QWG955" s="252"/>
      <c r="QWH955" s="252"/>
      <c r="QWI955" s="252"/>
      <c r="QWJ955" s="252"/>
      <c r="QWK955" s="252"/>
      <c r="QWL955" s="252"/>
      <c r="QWM955" s="252"/>
      <c r="QWN955" s="252"/>
      <c r="QWO955" s="252"/>
      <c r="QWP955" s="252"/>
      <c r="QWQ955" s="252"/>
      <c r="QWR955" s="252"/>
      <c r="QWS955" s="252"/>
      <c r="QWT955" s="252"/>
      <c r="QWU955" s="252"/>
      <c r="QWV955" s="252"/>
      <c r="QWW955" s="252"/>
      <c r="QWX955" s="252"/>
      <c r="QWY955" s="252"/>
      <c r="QWZ955" s="252"/>
      <c r="QXA955" s="252"/>
      <c r="QXB955" s="252"/>
      <c r="QXC955" s="252"/>
      <c r="QXD955" s="252"/>
      <c r="QXE955" s="252"/>
      <c r="QXF955" s="252"/>
      <c r="QXG955" s="252"/>
      <c r="QXH955" s="252"/>
      <c r="QXI955" s="252"/>
      <c r="QXJ955" s="252"/>
      <c r="QXK955" s="252"/>
      <c r="QXL955" s="252"/>
      <c r="QXM955" s="252"/>
      <c r="QXN955" s="252"/>
      <c r="QXO955" s="252"/>
      <c r="QXP955" s="252"/>
      <c r="QXQ955" s="252"/>
      <c r="QXR955" s="252"/>
      <c r="QXS955" s="252"/>
      <c r="QXT955" s="252"/>
      <c r="QXU955" s="252"/>
      <c r="QXV955" s="252"/>
      <c r="QXW955" s="252"/>
      <c r="QXX955" s="252"/>
      <c r="QXY955" s="252"/>
      <c r="QXZ955" s="252"/>
      <c r="QYA955" s="252"/>
      <c r="QYB955" s="252"/>
      <c r="QYC955" s="252"/>
      <c r="QYD955" s="252"/>
      <c r="QYE955" s="252"/>
      <c r="QYF955" s="252"/>
      <c r="QYG955" s="252"/>
      <c r="QYH955" s="252"/>
      <c r="QYI955" s="252"/>
      <c r="QYJ955" s="252"/>
      <c r="QYK955" s="252"/>
      <c r="QYL955" s="252"/>
      <c r="QYM955" s="252"/>
      <c r="QYN955" s="252"/>
      <c r="QYO955" s="252"/>
      <c r="QYP955" s="252"/>
      <c r="QYQ955" s="252"/>
      <c r="QYR955" s="252"/>
      <c r="QYS955" s="252"/>
      <c r="QYT955" s="252"/>
      <c r="QYU955" s="252"/>
      <c r="QYV955" s="252"/>
      <c r="QYW955" s="252"/>
      <c r="QYX955" s="252"/>
      <c r="QYY955" s="252"/>
      <c r="QYZ955" s="252"/>
      <c r="QZA955" s="252"/>
      <c r="QZB955" s="252"/>
      <c r="QZC955" s="252"/>
      <c r="QZD955" s="252"/>
      <c r="QZE955" s="252"/>
      <c r="QZF955" s="252"/>
      <c r="QZG955" s="252"/>
      <c r="QZH955" s="252"/>
      <c r="QZI955" s="252"/>
      <c r="QZJ955" s="252"/>
      <c r="QZK955" s="252"/>
      <c r="QZL955" s="252"/>
      <c r="QZM955" s="252"/>
      <c r="QZN955" s="252"/>
      <c r="QZO955" s="252"/>
      <c r="QZP955" s="252"/>
      <c r="QZQ955" s="252"/>
      <c r="QZR955" s="252"/>
      <c r="QZS955" s="252"/>
      <c r="QZT955" s="252"/>
      <c r="QZU955" s="252"/>
      <c r="QZV955" s="252"/>
      <c r="QZW955" s="252"/>
      <c r="QZX955" s="252"/>
      <c r="QZY955" s="252"/>
      <c r="QZZ955" s="252"/>
      <c r="RAA955" s="252"/>
      <c r="RAB955" s="252"/>
      <c r="RAC955" s="252"/>
      <c r="RAD955" s="252"/>
      <c r="RAE955" s="252"/>
      <c r="RAF955" s="252"/>
      <c r="RAG955" s="252"/>
      <c r="RAH955" s="252"/>
      <c r="RAI955" s="252"/>
      <c r="RAJ955" s="252"/>
      <c r="RAK955" s="252"/>
      <c r="RAL955" s="252"/>
      <c r="RAM955" s="252"/>
      <c r="RAN955" s="252"/>
      <c r="RAO955" s="252"/>
      <c r="RAP955" s="252"/>
      <c r="RAQ955" s="252"/>
      <c r="RAR955" s="252"/>
      <c r="RAS955" s="252"/>
      <c r="RAT955" s="252"/>
      <c r="RAU955" s="252"/>
      <c r="RAV955" s="252"/>
      <c r="RAW955" s="252"/>
      <c r="RAX955" s="252"/>
      <c r="RAY955" s="252"/>
      <c r="RAZ955" s="252"/>
      <c r="RBA955" s="252"/>
      <c r="RBB955" s="252"/>
      <c r="RBC955" s="252"/>
      <c r="RBD955" s="252"/>
      <c r="RBE955" s="252"/>
      <c r="RBF955" s="252"/>
      <c r="RBG955" s="252"/>
      <c r="RBH955" s="252"/>
      <c r="RBI955" s="252"/>
      <c r="RBJ955" s="252"/>
      <c r="RBK955" s="252"/>
      <c r="RBL955" s="252"/>
      <c r="RBM955" s="252"/>
      <c r="RBN955" s="252"/>
      <c r="RBO955" s="252"/>
      <c r="RBP955" s="252"/>
      <c r="RBQ955" s="252"/>
      <c r="RBR955" s="252"/>
      <c r="RBS955" s="252"/>
      <c r="RBT955" s="252"/>
      <c r="RBU955" s="252"/>
      <c r="RBV955" s="252"/>
      <c r="RBW955" s="252"/>
      <c r="RBX955" s="252"/>
      <c r="RBY955" s="252"/>
      <c r="RBZ955" s="252"/>
      <c r="RCA955" s="252"/>
      <c r="RCB955" s="252"/>
      <c r="RCC955" s="252"/>
      <c r="RCD955" s="252"/>
      <c r="RCE955" s="252"/>
      <c r="RCF955" s="252"/>
      <c r="RCG955" s="252"/>
      <c r="RCH955" s="252"/>
      <c r="RCI955" s="252"/>
      <c r="RCJ955" s="252"/>
      <c r="RCK955" s="252"/>
      <c r="RCL955" s="252"/>
      <c r="RCM955" s="252"/>
      <c r="RCN955" s="252"/>
      <c r="RCO955" s="252"/>
      <c r="RCP955" s="252"/>
      <c r="RCQ955" s="252"/>
      <c r="RCR955" s="252"/>
      <c r="RCS955" s="252"/>
      <c r="RCT955" s="252"/>
      <c r="RCU955" s="252"/>
      <c r="RCV955" s="252"/>
      <c r="RCW955" s="252"/>
      <c r="RCX955" s="252"/>
      <c r="RCY955" s="252"/>
      <c r="RCZ955" s="252"/>
      <c r="RDA955" s="252"/>
      <c r="RDB955" s="252"/>
      <c r="RDC955" s="252"/>
      <c r="RDD955" s="252"/>
      <c r="RDE955" s="252"/>
      <c r="RDF955" s="252"/>
      <c r="RDG955" s="252"/>
      <c r="RDH955" s="252"/>
      <c r="RDI955" s="252"/>
      <c r="RDJ955" s="252"/>
      <c r="RDK955" s="252"/>
      <c r="RDL955" s="252"/>
      <c r="RDM955" s="252"/>
      <c r="RDN955" s="252"/>
      <c r="RDO955" s="252"/>
      <c r="RDP955" s="252"/>
      <c r="RDQ955" s="252"/>
      <c r="RDR955" s="252"/>
      <c r="RDS955" s="252"/>
      <c r="RDT955" s="252"/>
      <c r="RDU955" s="252"/>
      <c r="RDV955" s="252"/>
      <c r="RDW955" s="252"/>
      <c r="RDX955" s="252"/>
      <c r="RDY955" s="252"/>
      <c r="RDZ955" s="252"/>
      <c r="REA955" s="252"/>
      <c r="REB955" s="252"/>
      <c r="REC955" s="252"/>
      <c r="RED955" s="252"/>
      <c r="REE955" s="252"/>
      <c r="REF955" s="252"/>
      <c r="REG955" s="252"/>
      <c r="REH955" s="252"/>
      <c r="REI955" s="252"/>
      <c r="REJ955" s="252"/>
      <c r="REK955" s="252"/>
      <c r="REL955" s="252"/>
      <c r="REM955" s="252"/>
      <c r="REN955" s="252"/>
      <c r="REO955" s="252"/>
      <c r="REP955" s="252"/>
      <c r="REQ955" s="252"/>
      <c r="RER955" s="252"/>
      <c r="RES955" s="252"/>
      <c r="RET955" s="252"/>
      <c r="REU955" s="252"/>
      <c r="REV955" s="252"/>
      <c r="REW955" s="252"/>
      <c r="REX955" s="252"/>
      <c r="REY955" s="252"/>
      <c r="REZ955" s="252"/>
      <c r="RFA955" s="252"/>
      <c r="RFB955" s="252"/>
      <c r="RFC955" s="252"/>
      <c r="RFD955" s="252"/>
      <c r="RFE955" s="252"/>
      <c r="RFF955" s="252"/>
      <c r="RFG955" s="252"/>
      <c r="RFH955" s="252"/>
      <c r="RFI955" s="252"/>
      <c r="RFJ955" s="252"/>
      <c r="RFK955" s="252"/>
      <c r="RFL955" s="252"/>
      <c r="RFM955" s="252"/>
      <c r="RFN955" s="252"/>
      <c r="RFO955" s="252"/>
      <c r="RFP955" s="252"/>
      <c r="RFQ955" s="252"/>
      <c r="RFR955" s="252"/>
      <c r="RFS955" s="252"/>
      <c r="RFT955" s="252"/>
      <c r="RFU955" s="252"/>
      <c r="RFV955" s="252"/>
      <c r="RFW955" s="252"/>
      <c r="RFX955" s="252"/>
      <c r="RFY955" s="252"/>
      <c r="RFZ955" s="252"/>
      <c r="RGA955" s="252"/>
      <c r="RGB955" s="252"/>
      <c r="RGC955" s="252"/>
      <c r="RGD955" s="252"/>
      <c r="RGE955" s="252"/>
      <c r="RGF955" s="252"/>
      <c r="RGG955" s="252"/>
      <c r="RGH955" s="252"/>
      <c r="RGI955" s="252"/>
      <c r="RGJ955" s="252"/>
      <c r="RGK955" s="252"/>
      <c r="RGL955" s="252"/>
      <c r="RGM955" s="252"/>
      <c r="RGN955" s="252"/>
      <c r="RGO955" s="252"/>
      <c r="RGP955" s="252"/>
      <c r="RGQ955" s="252"/>
      <c r="RGR955" s="252"/>
      <c r="RGS955" s="252"/>
      <c r="RGT955" s="252"/>
      <c r="RGU955" s="252"/>
      <c r="RGV955" s="252"/>
      <c r="RGW955" s="252"/>
      <c r="RGX955" s="252"/>
      <c r="RGY955" s="252"/>
      <c r="RGZ955" s="252"/>
      <c r="RHA955" s="252"/>
      <c r="RHB955" s="252"/>
      <c r="RHC955" s="252"/>
      <c r="RHD955" s="252"/>
      <c r="RHE955" s="252"/>
      <c r="RHF955" s="252"/>
      <c r="RHG955" s="252"/>
      <c r="RHH955" s="252"/>
      <c r="RHI955" s="252"/>
      <c r="RHJ955" s="252"/>
      <c r="RHK955" s="252"/>
      <c r="RHL955" s="252"/>
      <c r="RHM955" s="252"/>
      <c r="RHN955" s="252"/>
      <c r="RHO955" s="252"/>
      <c r="RHP955" s="252"/>
      <c r="RHQ955" s="252"/>
      <c r="RHR955" s="252"/>
      <c r="RHS955" s="252"/>
      <c r="RHT955" s="252"/>
      <c r="RHU955" s="252"/>
      <c r="RHV955" s="252"/>
      <c r="RHW955" s="252"/>
      <c r="RHX955" s="252"/>
      <c r="RHY955" s="252"/>
      <c r="RHZ955" s="252"/>
      <c r="RIA955" s="252"/>
      <c r="RIB955" s="252"/>
      <c r="RIC955" s="252"/>
      <c r="RID955" s="252"/>
      <c r="RIE955" s="252"/>
      <c r="RIF955" s="252"/>
      <c r="RIG955" s="252"/>
      <c r="RIH955" s="252"/>
      <c r="RII955" s="252"/>
      <c r="RIJ955" s="252"/>
      <c r="RIK955" s="252"/>
      <c r="RIL955" s="252"/>
      <c r="RIM955" s="252"/>
      <c r="RIN955" s="252"/>
      <c r="RIO955" s="252"/>
      <c r="RIP955" s="252"/>
      <c r="RIQ955" s="252"/>
      <c r="RIR955" s="252"/>
      <c r="RIS955" s="252"/>
      <c r="RIT955" s="252"/>
      <c r="RIU955" s="252"/>
      <c r="RIV955" s="252"/>
      <c r="RIW955" s="252"/>
      <c r="RIX955" s="252"/>
      <c r="RIY955" s="252"/>
      <c r="RIZ955" s="252"/>
      <c r="RJA955" s="252"/>
      <c r="RJB955" s="252"/>
      <c r="RJC955" s="252"/>
      <c r="RJD955" s="252"/>
      <c r="RJE955" s="252"/>
      <c r="RJF955" s="252"/>
      <c r="RJG955" s="252"/>
      <c r="RJH955" s="252"/>
      <c r="RJI955" s="252"/>
      <c r="RJJ955" s="252"/>
      <c r="RJK955" s="252"/>
      <c r="RJL955" s="252"/>
      <c r="RJM955" s="252"/>
      <c r="RJN955" s="252"/>
      <c r="RJO955" s="252"/>
      <c r="RJP955" s="252"/>
      <c r="RJQ955" s="252"/>
      <c r="RJR955" s="252"/>
      <c r="RJS955" s="252"/>
      <c r="RJT955" s="252"/>
      <c r="RJU955" s="252"/>
      <c r="RJV955" s="252"/>
      <c r="RJW955" s="252"/>
      <c r="RJX955" s="252"/>
      <c r="RJY955" s="252"/>
      <c r="RJZ955" s="252"/>
      <c r="RKA955" s="252"/>
      <c r="RKB955" s="252"/>
      <c r="RKC955" s="252"/>
      <c r="RKD955" s="252"/>
      <c r="RKE955" s="252"/>
      <c r="RKF955" s="252"/>
      <c r="RKG955" s="252"/>
      <c r="RKH955" s="252"/>
      <c r="RKI955" s="252"/>
      <c r="RKJ955" s="252"/>
      <c r="RKK955" s="252"/>
      <c r="RKL955" s="252"/>
      <c r="RKM955" s="252"/>
      <c r="RKN955" s="252"/>
      <c r="RKO955" s="252"/>
      <c r="RKP955" s="252"/>
      <c r="RKQ955" s="252"/>
      <c r="RKR955" s="252"/>
      <c r="RKS955" s="252"/>
      <c r="RKT955" s="252"/>
      <c r="RKU955" s="252"/>
      <c r="RKV955" s="252"/>
      <c r="RKW955" s="252"/>
      <c r="RKX955" s="252"/>
      <c r="RKY955" s="252"/>
      <c r="RKZ955" s="252"/>
      <c r="RLA955" s="252"/>
      <c r="RLB955" s="252"/>
      <c r="RLC955" s="252"/>
      <c r="RLD955" s="252"/>
      <c r="RLE955" s="252"/>
      <c r="RLF955" s="252"/>
      <c r="RLG955" s="252"/>
      <c r="RLH955" s="252"/>
      <c r="RLI955" s="252"/>
      <c r="RLJ955" s="252"/>
      <c r="RLK955" s="252"/>
      <c r="RLL955" s="252"/>
      <c r="RLM955" s="252"/>
      <c r="RLN955" s="252"/>
      <c r="RLO955" s="252"/>
      <c r="RLP955" s="252"/>
      <c r="RLQ955" s="252"/>
      <c r="RLR955" s="252"/>
      <c r="RLS955" s="252"/>
      <c r="RLT955" s="252"/>
      <c r="RLU955" s="252"/>
      <c r="RLV955" s="252"/>
      <c r="RLW955" s="252"/>
      <c r="RLX955" s="252"/>
      <c r="RLY955" s="252"/>
      <c r="RLZ955" s="252"/>
      <c r="RMA955" s="252"/>
      <c r="RMB955" s="252"/>
      <c r="RMC955" s="252"/>
      <c r="RMD955" s="252"/>
      <c r="RME955" s="252"/>
      <c r="RMF955" s="252"/>
      <c r="RMG955" s="252"/>
      <c r="RMH955" s="252"/>
      <c r="RMI955" s="252"/>
      <c r="RMJ955" s="252"/>
      <c r="RMK955" s="252"/>
      <c r="RML955" s="252"/>
      <c r="RMM955" s="252"/>
      <c r="RMN955" s="252"/>
      <c r="RMO955" s="252"/>
      <c r="RMP955" s="252"/>
      <c r="RMQ955" s="252"/>
      <c r="RMR955" s="252"/>
      <c r="RMS955" s="252"/>
      <c r="RMT955" s="252"/>
      <c r="RMU955" s="252"/>
      <c r="RMV955" s="252"/>
      <c r="RMW955" s="252"/>
      <c r="RMX955" s="252"/>
      <c r="RMY955" s="252"/>
      <c r="RMZ955" s="252"/>
      <c r="RNA955" s="252"/>
      <c r="RNB955" s="252"/>
      <c r="RNC955" s="252"/>
      <c r="RND955" s="252"/>
      <c r="RNE955" s="252"/>
      <c r="RNF955" s="252"/>
      <c r="RNG955" s="252"/>
      <c r="RNH955" s="252"/>
      <c r="RNI955" s="252"/>
      <c r="RNJ955" s="252"/>
      <c r="RNK955" s="252"/>
      <c r="RNL955" s="252"/>
      <c r="RNM955" s="252"/>
      <c r="RNN955" s="252"/>
      <c r="RNO955" s="252"/>
      <c r="RNP955" s="252"/>
      <c r="RNQ955" s="252"/>
      <c r="RNR955" s="252"/>
      <c r="RNS955" s="252"/>
      <c r="RNT955" s="252"/>
      <c r="RNU955" s="252"/>
      <c r="RNV955" s="252"/>
      <c r="RNW955" s="252"/>
      <c r="RNX955" s="252"/>
      <c r="RNY955" s="252"/>
      <c r="RNZ955" s="252"/>
      <c r="ROA955" s="252"/>
      <c r="ROB955" s="252"/>
      <c r="ROC955" s="252"/>
      <c r="ROD955" s="252"/>
      <c r="ROE955" s="252"/>
      <c r="ROF955" s="252"/>
      <c r="ROG955" s="252"/>
      <c r="ROH955" s="252"/>
      <c r="ROI955" s="252"/>
      <c r="ROJ955" s="252"/>
      <c r="ROK955" s="252"/>
      <c r="ROL955" s="252"/>
      <c r="ROM955" s="252"/>
      <c r="RON955" s="252"/>
      <c r="ROO955" s="252"/>
      <c r="ROP955" s="252"/>
      <c r="ROQ955" s="252"/>
      <c r="ROR955" s="252"/>
      <c r="ROS955" s="252"/>
      <c r="ROT955" s="252"/>
      <c r="ROU955" s="252"/>
      <c r="ROV955" s="252"/>
      <c r="ROW955" s="252"/>
      <c r="ROX955" s="252"/>
      <c r="ROY955" s="252"/>
      <c r="ROZ955" s="252"/>
      <c r="RPA955" s="252"/>
      <c r="RPB955" s="252"/>
      <c r="RPC955" s="252"/>
      <c r="RPD955" s="252"/>
      <c r="RPE955" s="252"/>
      <c r="RPF955" s="252"/>
      <c r="RPG955" s="252"/>
      <c r="RPH955" s="252"/>
      <c r="RPI955" s="252"/>
      <c r="RPJ955" s="252"/>
      <c r="RPK955" s="252"/>
      <c r="RPL955" s="252"/>
      <c r="RPM955" s="252"/>
      <c r="RPN955" s="252"/>
      <c r="RPO955" s="252"/>
      <c r="RPP955" s="252"/>
      <c r="RPQ955" s="252"/>
      <c r="RPR955" s="252"/>
      <c r="RPS955" s="252"/>
      <c r="RPT955" s="252"/>
      <c r="RPU955" s="252"/>
      <c r="RPV955" s="252"/>
      <c r="RPW955" s="252"/>
      <c r="RPX955" s="252"/>
      <c r="RPY955" s="252"/>
      <c r="RPZ955" s="252"/>
      <c r="RQA955" s="252"/>
      <c r="RQB955" s="252"/>
      <c r="RQC955" s="252"/>
      <c r="RQD955" s="252"/>
      <c r="RQE955" s="252"/>
      <c r="RQF955" s="252"/>
      <c r="RQG955" s="252"/>
      <c r="RQH955" s="252"/>
      <c r="RQI955" s="252"/>
      <c r="RQJ955" s="252"/>
      <c r="RQK955" s="252"/>
      <c r="RQL955" s="252"/>
      <c r="RQM955" s="252"/>
      <c r="RQN955" s="252"/>
      <c r="RQO955" s="252"/>
      <c r="RQP955" s="252"/>
      <c r="RQQ955" s="252"/>
      <c r="RQR955" s="252"/>
      <c r="RQS955" s="252"/>
      <c r="RQT955" s="252"/>
      <c r="RQU955" s="252"/>
      <c r="RQV955" s="252"/>
      <c r="RQW955" s="252"/>
      <c r="RQX955" s="252"/>
      <c r="RQY955" s="252"/>
      <c r="RQZ955" s="252"/>
      <c r="RRA955" s="252"/>
      <c r="RRB955" s="252"/>
      <c r="RRC955" s="252"/>
      <c r="RRD955" s="252"/>
      <c r="RRE955" s="252"/>
      <c r="RRF955" s="252"/>
      <c r="RRG955" s="252"/>
      <c r="RRH955" s="252"/>
      <c r="RRI955" s="252"/>
      <c r="RRJ955" s="252"/>
      <c r="RRK955" s="252"/>
      <c r="RRL955" s="252"/>
      <c r="RRM955" s="252"/>
      <c r="RRN955" s="252"/>
      <c r="RRO955" s="252"/>
      <c r="RRP955" s="252"/>
      <c r="RRQ955" s="252"/>
      <c r="RRR955" s="252"/>
      <c r="RRS955" s="252"/>
      <c r="RRT955" s="252"/>
      <c r="RRU955" s="252"/>
      <c r="RRV955" s="252"/>
      <c r="RRW955" s="252"/>
      <c r="RRX955" s="252"/>
      <c r="RRY955" s="252"/>
      <c r="RRZ955" s="252"/>
      <c r="RSA955" s="252"/>
      <c r="RSB955" s="252"/>
      <c r="RSC955" s="252"/>
      <c r="RSD955" s="252"/>
      <c r="RSE955" s="252"/>
      <c r="RSF955" s="252"/>
      <c r="RSG955" s="252"/>
      <c r="RSH955" s="252"/>
      <c r="RSI955" s="252"/>
      <c r="RSJ955" s="252"/>
      <c r="RSK955" s="252"/>
      <c r="RSL955" s="252"/>
      <c r="RSM955" s="252"/>
      <c r="RSN955" s="252"/>
      <c r="RSO955" s="252"/>
      <c r="RSP955" s="252"/>
      <c r="RSQ955" s="252"/>
      <c r="RSR955" s="252"/>
      <c r="RSS955" s="252"/>
      <c r="RST955" s="252"/>
      <c r="RSU955" s="252"/>
      <c r="RSV955" s="252"/>
      <c r="RSW955" s="252"/>
      <c r="RSX955" s="252"/>
      <c r="RSY955" s="252"/>
      <c r="RSZ955" s="252"/>
      <c r="RTA955" s="252"/>
      <c r="RTB955" s="252"/>
      <c r="RTC955" s="252"/>
      <c r="RTD955" s="252"/>
      <c r="RTE955" s="252"/>
      <c r="RTF955" s="252"/>
      <c r="RTG955" s="252"/>
      <c r="RTH955" s="252"/>
      <c r="RTI955" s="252"/>
      <c r="RTJ955" s="252"/>
      <c r="RTK955" s="252"/>
      <c r="RTL955" s="252"/>
      <c r="RTM955" s="252"/>
      <c r="RTN955" s="252"/>
      <c r="RTO955" s="252"/>
      <c r="RTP955" s="252"/>
      <c r="RTQ955" s="252"/>
      <c r="RTR955" s="252"/>
      <c r="RTS955" s="252"/>
      <c r="RTT955" s="252"/>
      <c r="RTU955" s="252"/>
      <c r="RTV955" s="252"/>
      <c r="RTW955" s="252"/>
      <c r="RTX955" s="252"/>
      <c r="RTY955" s="252"/>
      <c r="RTZ955" s="252"/>
      <c r="RUA955" s="252"/>
      <c r="RUB955" s="252"/>
      <c r="RUC955" s="252"/>
      <c r="RUD955" s="252"/>
      <c r="RUE955" s="252"/>
      <c r="RUF955" s="252"/>
      <c r="RUG955" s="252"/>
      <c r="RUH955" s="252"/>
      <c r="RUI955" s="252"/>
      <c r="RUJ955" s="252"/>
      <c r="RUK955" s="252"/>
      <c r="RUL955" s="252"/>
      <c r="RUM955" s="252"/>
      <c r="RUN955" s="252"/>
      <c r="RUO955" s="252"/>
      <c r="RUP955" s="252"/>
      <c r="RUQ955" s="252"/>
      <c r="RUR955" s="252"/>
      <c r="RUS955" s="252"/>
      <c r="RUT955" s="252"/>
      <c r="RUU955" s="252"/>
      <c r="RUV955" s="252"/>
      <c r="RUW955" s="252"/>
      <c r="RUX955" s="252"/>
      <c r="RUY955" s="252"/>
      <c r="RUZ955" s="252"/>
      <c r="RVA955" s="252"/>
      <c r="RVB955" s="252"/>
      <c r="RVC955" s="252"/>
      <c r="RVD955" s="252"/>
      <c r="RVE955" s="252"/>
      <c r="RVF955" s="252"/>
      <c r="RVG955" s="252"/>
      <c r="RVH955" s="252"/>
      <c r="RVI955" s="252"/>
      <c r="RVJ955" s="252"/>
      <c r="RVK955" s="252"/>
      <c r="RVL955" s="252"/>
      <c r="RVM955" s="252"/>
      <c r="RVN955" s="252"/>
      <c r="RVO955" s="252"/>
      <c r="RVP955" s="252"/>
      <c r="RVQ955" s="252"/>
      <c r="RVR955" s="252"/>
      <c r="RVS955" s="252"/>
      <c r="RVT955" s="252"/>
      <c r="RVU955" s="252"/>
      <c r="RVV955" s="252"/>
      <c r="RVW955" s="252"/>
      <c r="RVX955" s="252"/>
      <c r="RVY955" s="252"/>
      <c r="RVZ955" s="252"/>
      <c r="RWA955" s="252"/>
      <c r="RWB955" s="252"/>
      <c r="RWC955" s="252"/>
      <c r="RWD955" s="252"/>
      <c r="RWE955" s="252"/>
      <c r="RWF955" s="252"/>
      <c r="RWG955" s="252"/>
      <c r="RWH955" s="252"/>
      <c r="RWI955" s="252"/>
      <c r="RWJ955" s="252"/>
      <c r="RWK955" s="252"/>
      <c r="RWL955" s="252"/>
      <c r="RWM955" s="252"/>
      <c r="RWN955" s="252"/>
      <c r="RWO955" s="252"/>
      <c r="RWP955" s="252"/>
      <c r="RWQ955" s="252"/>
      <c r="RWR955" s="252"/>
      <c r="RWS955" s="252"/>
      <c r="RWT955" s="252"/>
      <c r="RWU955" s="252"/>
      <c r="RWV955" s="252"/>
      <c r="RWW955" s="252"/>
      <c r="RWX955" s="252"/>
      <c r="RWY955" s="252"/>
      <c r="RWZ955" s="252"/>
      <c r="RXA955" s="252"/>
      <c r="RXB955" s="252"/>
      <c r="RXC955" s="252"/>
      <c r="RXD955" s="252"/>
      <c r="RXE955" s="252"/>
      <c r="RXF955" s="252"/>
      <c r="RXG955" s="252"/>
      <c r="RXH955" s="252"/>
      <c r="RXI955" s="252"/>
      <c r="RXJ955" s="252"/>
      <c r="RXK955" s="252"/>
      <c r="RXL955" s="252"/>
      <c r="RXM955" s="252"/>
      <c r="RXN955" s="252"/>
      <c r="RXO955" s="252"/>
      <c r="RXP955" s="252"/>
      <c r="RXQ955" s="252"/>
      <c r="RXR955" s="252"/>
      <c r="RXS955" s="252"/>
      <c r="RXT955" s="252"/>
      <c r="RXU955" s="252"/>
      <c r="RXV955" s="252"/>
      <c r="RXW955" s="252"/>
      <c r="RXX955" s="252"/>
      <c r="RXY955" s="252"/>
      <c r="RXZ955" s="252"/>
      <c r="RYA955" s="252"/>
      <c r="RYB955" s="252"/>
      <c r="RYC955" s="252"/>
      <c r="RYD955" s="252"/>
      <c r="RYE955" s="252"/>
      <c r="RYF955" s="252"/>
      <c r="RYG955" s="252"/>
      <c r="RYH955" s="252"/>
      <c r="RYI955" s="252"/>
      <c r="RYJ955" s="252"/>
      <c r="RYK955" s="252"/>
      <c r="RYL955" s="252"/>
      <c r="RYM955" s="252"/>
      <c r="RYN955" s="252"/>
      <c r="RYO955" s="252"/>
      <c r="RYP955" s="252"/>
      <c r="RYQ955" s="252"/>
      <c r="RYR955" s="252"/>
      <c r="RYS955" s="252"/>
      <c r="RYT955" s="252"/>
      <c r="RYU955" s="252"/>
      <c r="RYV955" s="252"/>
      <c r="RYW955" s="252"/>
      <c r="RYX955" s="252"/>
      <c r="RYY955" s="252"/>
      <c r="RYZ955" s="252"/>
      <c r="RZA955" s="252"/>
      <c r="RZB955" s="252"/>
      <c r="RZC955" s="252"/>
      <c r="RZD955" s="252"/>
      <c r="RZE955" s="252"/>
      <c r="RZF955" s="252"/>
      <c r="RZG955" s="252"/>
      <c r="RZH955" s="252"/>
      <c r="RZI955" s="252"/>
      <c r="RZJ955" s="252"/>
      <c r="RZK955" s="252"/>
      <c r="RZL955" s="252"/>
      <c r="RZM955" s="252"/>
      <c r="RZN955" s="252"/>
      <c r="RZO955" s="252"/>
      <c r="RZP955" s="252"/>
      <c r="RZQ955" s="252"/>
      <c r="RZR955" s="252"/>
      <c r="RZS955" s="252"/>
      <c r="RZT955" s="252"/>
      <c r="RZU955" s="252"/>
      <c r="RZV955" s="252"/>
      <c r="RZW955" s="252"/>
      <c r="RZX955" s="252"/>
      <c r="RZY955" s="252"/>
      <c r="RZZ955" s="252"/>
      <c r="SAA955" s="252"/>
      <c r="SAB955" s="252"/>
      <c r="SAC955" s="252"/>
      <c r="SAD955" s="252"/>
      <c r="SAE955" s="252"/>
      <c r="SAF955" s="252"/>
      <c r="SAG955" s="252"/>
      <c r="SAH955" s="252"/>
      <c r="SAI955" s="252"/>
      <c r="SAJ955" s="252"/>
      <c r="SAK955" s="252"/>
      <c r="SAL955" s="252"/>
      <c r="SAM955" s="252"/>
      <c r="SAN955" s="252"/>
      <c r="SAO955" s="252"/>
      <c r="SAP955" s="252"/>
      <c r="SAQ955" s="252"/>
      <c r="SAR955" s="252"/>
      <c r="SAS955" s="252"/>
      <c r="SAT955" s="252"/>
      <c r="SAU955" s="252"/>
      <c r="SAV955" s="252"/>
      <c r="SAW955" s="252"/>
      <c r="SAX955" s="252"/>
      <c r="SAY955" s="252"/>
      <c r="SAZ955" s="252"/>
      <c r="SBA955" s="252"/>
      <c r="SBB955" s="252"/>
      <c r="SBC955" s="252"/>
      <c r="SBD955" s="252"/>
      <c r="SBE955" s="252"/>
      <c r="SBF955" s="252"/>
      <c r="SBG955" s="252"/>
      <c r="SBH955" s="252"/>
      <c r="SBI955" s="252"/>
      <c r="SBJ955" s="252"/>
      <c r="SBK955" s="252"/>
      <c r="SBL955" s="252"/>
      <c r="SBM955" s="252"/>
      <c r="SBN955" s="252"/>
      <c r="SBO955" s="252"/>
      <c r="SBP955" s="252"/>
      <c r="SBQ955" s="252"/>
      <c r="SBR955" s="252"/>
      <c r="SBS955" s="252"/>
      <c r="SBT955" s="252"/>
      <c r="SBU955" s="252"/>
      <c r="SBV955" s="252"/>
      <c r="SBW955" s="252"/>
      <c r="SBX955" s="252"/>
      <c r="SBY955" s="252"/>
      <c r="SBZ955" s="252"/>
      <c r="SCA955" s="252"/>
      <c r="SCB955" s="252"/>
      <c r="SCC955" s="252"/>
      <c r="SCD955" s="252"/>
      <c r="SCE955" s="252"/>
      <c r="SCF955" s="252"/>
      <c r="SCG955" s="252"/>
      <c r="SCH955" s="252"/>
      <c r="SCI955" s="252"/>
      <c r="SCJ955" s="252"/>
      <c r="SCK955" s="252"/>
      <c r="SCL955" s="252"/>
      <c r="SCM955" s="252"/>
      <c r="SCN955" s="252"/>
      <c r="SCO955" s="252"/>
      <c r="SCP955" s="252"/>
      <c r="SCQ955" s="252"/>
      <c r="SCR955" s="252"/>
      <c r="SCS955" s="252"/>
      <c r="SCT955" s="252"/>
      <c r="SCU955" s="252"/>
      <c r="SCV955" s="252"/>
      <c r="SCW955" s="252"/>
      <c r="SCX955" s="252"/>
      <c r="SCY955" s="252"/>
      <c r="SCZ955" s="252"/>
      <c r="SDA955" s="252"/>
      <c r="SDB955" s="252"/>
      <c r="SDC955" s="252"/>
      <c r="SDD955" s="252"/>
      <c r="SDE955" s="252"/>
      <c r="SDF955" s="252"/>
      <c r="SDG955" s="252"/>
      <c r="SDH955" s="252"/>
      <c r="SDI955" s="252"/>
      <c r="SDJ955" s="252"/>
      <c r="SDK955" s="252"/>
      <c r="SDL955" s="252"/>
      <c r="SDM955" s="252"/>
      <c r="SDN955" s="252"/>
      <c r="SDO955" s="252"/>
      <c r="SDP955" s="252"/>
      <c r="SDQ955" s="252"/>
      <c r="SDR955" s="252"/>
      <c r="SDS955" s="252"/>
      <c r="SDT955" s="252"/>
      <c r="SDU955" s="252"/>
      <c r="SDV955" s="252"/>
      <c r="SDW955" s="252"/>
      <c r="SDX955" s="252"/>
      <c r="SDY955" s="252"/>
      <c r="SDZ955" s="252"/>
      <c r="SEA955" s="252"/>
      <c r="SEB955" s="252"/>
      <c r="SEC955" s="252"/>
      <c r="SED955" s="252"/>
      <c r="SEE955" s="252"/>
      <c r="SEF955" s="252"/>
      <c r="SEG955" s="252"/>
      <c r="SEH955" s="252"/>
      <c r="SEI955" s="252"/>
      <c r="SEJ955" s="252"/>
      <c r="SEK955" s="252"/>
      <c r="SEL955" s="252"/>
      <c r="SEM955" s="252"/>
      <c r="SEN955" s="252"/>
      <c r="SEO955" s="252"/>
      <c r="SEP955" s="252"/>
      <c r="SEQ955" s="252"/>
      <c r="SER955" s="252"/>
      <c r="SES955" s="252"/>
      <c r="SET955" s="252"/>
      <c r="SEU955" s="252"/>
      <c r="SEV955" s="252"/>
      <c r="SEW955" s="252"/>
      <c r="SEX955" s="252"/>
      <c r="SEY955" s="252"/>
      <c r="SEZ955" s="252"/>
      <c r="SFA955" s="252"/>
      <c r="SFB955" s="252"/>
      <c r="SFC955" s="252"/>
      <c r="SFD955" s="252"/>
      <c r="SFE955" s="252"/>
      <c r="SFF955" s="252"/>
      <c r="SFG955" s="252"/>
      <c r="SFH955" s="252"/>
      <c r="SFI955" s="252"/>
      <c r="SFJ955" s="252"/>
      <c r="SFK955" s="252"/>
      <c r="SFL955" s="252"/>
      <c r="SFM955" s="252"/>
      <c r="SFN955" s="252"/>
      <c r="SFO955" s="252"/>
      <c r="SFP955" s="252"/>
      <c r="SFQ955" s="252"/>
      <c r="SFR955" s="252"/>
      <c r="SFS955" s="252"/>
      <c r="SFT955" s="252"/>
      <c r="SFU955" s="252"/>
      <c r="SFV955" s="252"/>
      <c r="SFW955" s="252"/>
      <c r="SFX955" s="252"/>
      <c r="SFY955" s="252"/>
      <c r="SFZ955" s="252"/>
      <c r="SGA955" s="252"/>
      <c r="SGB955" s="252"/>
      <c r="SGC955" s="252"/>
      <c r="SGD955" s="252"/>
      <c r="SGE955" s="252"/>
      <c r="SGF955" s="252"/>
      <c r="SGG955" s="252"/>
      <c r="SGH955" s="252"/>
      <c r="SGI955" s="252"/>
      <c r="SGJ955" s="252"/>
      <c r="SGK955" s="252"/>
      <c r="SGL955" s="252"/>
      <c r="SGM955" s="252"/>
      <c r="SGN955" s="252"/>
      <c r="SGO955" s="252"/>
      <c r="SGP955" s="252"/>
      <c r="SGQ955" s="252"/>
      <c r="SGR955" s="252"/>
      <c r="SGS955" s="252"/>
      <c r="SGT955" s="252"/>
      <c r="SGU955" s="252"/>
      <c r="SGV955" s="252"/>
      <c r="SGW955" s="252"/>
      <c r="SGX955" s="252"/>
      <c r="SGY955" s="252"/>
      <c r="SGZ955" s="252"/>
      <c r="SHA955" s="252"/>
      <c r="SHB955" s="252"/>
      <c r="SHC955" s="252"/>
      <c r="SHD955" s="252"/>
      <c r="SHE955" s="252"/>
      <c r="SHF955" s="252"/>
      <c r="SHG955" s="252"/>
      <c r="SHH955" s="252"/>
      <c r="SHI955" s="252"/>
      <c r="SHJ955" s="252"/>
      <c r="SHK955" s="252"/>
      <c r="SHL955" s="252"/>
      <c r="SHM955" s="252"/>
      <c r="SHN955" s="252"/>
      <c r="SHO955" s="252"/>
      <c r="SHP955" s="252"/>
      <c r="SHQ955" s="252"/>
      <c r="SHR955" s="252"/>
      <c r="SHS955" s="252"/>
      <c r="SHT955" s="252"/>
      <c r="SHU955" s="252"/>
      <c r="SHV955" s="252"/>
      <c r="SHW955" s="252"/>
      <c r="SHX955" s="252"/>
      <c r="SHY955" s="252"/>
      <c r="SHZ955" s="252"/>
      <c r="SIA955" s="252"/>
      <c r="SIB955" s="252"/>
      <c r="SIC955" s="252"/>
      <c r="SID955" s="252"/>
      <c r="SIE955" s="252"/>
      <c r="SIF955" s="252"/>
      <c r="SIG955" s="252"/>
      <c r="SIH955" s="252"/>
      <c r="SII955" s="252"/>
      <c r="SIJ955" s="252"/>
      <c r="SIK955" s="252"/>
      <c r="SIL955" s="252"/>
      <c r="SIM955" s="252"/>
      <c r="SIN955" s="252"/>
      <c r="SIO955" s="252"/>
      <c r="SIP955" s="252"/>
      <c r="SIQ955" s="252"/>
      <c r="SIR955" s="252"/>
      <c r="SIS955" s="252"/>
      <c r="SIT955" s="252"/>
      <c r="SIU955" s="252"/>
      <c r="SIV955" s="252"/>
      <c r="SIW955" s="252"/>
      <c r="SIX955" s="252"/>
      <c r="SIY955" s="252"/>
      <c r="SIZ955" s="252"/>
      <c r="SJA955" s="252"/>
      <c r="SJB955" s="252"/>
      <c r="SJC955" s="252"/>
      <c r="SJD955" s="252"/>
      <c r="SJE955" s="252"/>
      <c r="SJF955" s="252"/>
      <c r="SJG955" s="252"/>
      <c r="SJH955" s="252"/>
      <c r="SJI955" s="252"/>
      <c r="SJJ955" s="252"/>
      <c r="SJK955" s="252"/>
      <c r="SJL955" s="252"/>
      <c r="SJM955" s="252"/>
      <c r="SJN955" s="252"/>
      <c r="SJO955" s="252"/>
      <c r="SJP955" s="252"/>
      <c r="SJQ955" s="252"/>
      <c r="SJR955" s="252"/>
      <c r="SJS955" s="252"/>
      <c r="SJT955" s="252"/>
      <c r="SJU955" s="252"/>
      <c r="SJV955" s="252"/>
      <c r="SJW955" s="252"/>
      <c r="SJX955" s="252"/>
      <c r="SJY955" s="252"/>
      <c r="SJZ955" s="252"/>
      <c r="SKA955" s="252"/>
      <c r="SKB955" s="252"/>
      <c r="SKC955" s="252"/>
      <c r="SKD955" s="252"/>
      <c r="SKE955" s="252"/>
      <c r="SKF955" s="252"/>
      <c r="SKG955" s="252"/>
      <c r="SKH955" s="252"/>
      <c r="SKI955" s="252"/>
      <c r="SKJ955" s="252"/>
      <c r="SKK955" s="252"/>
      <c r="SKL955" s="252"/>
      <c r="SKM955" s="252"/>
      <c r="SKN955" s="252"/>
      <c r="SKO955" s="252"/>
      <c r="SKP955" s="252"/>
      <c r="SKQ955" s="252"/>
      <c r="SKR955" s="252"/>
      <c r="SKS955" s="252"/>
      <c r="SKT955" s="252"/>
      <c r="SKU955" s="252"/>
      <c r="SKV955" s="252"/>
      <c r="SKW955" s="252"/>
      <c r="SKX955" s="252"/>
      <c r="SKY955" s="252"/>
      <c r="SKZ955" s="252"/>
      <c r="SLA955" s="252"/>
      <c r="SLB955" s="252"/>
      <c r="SLC955" s="252"/>
      <c r="SLD955" s="252"/>
      <c r="SLE955" s="252"/>
      <c r="SLF955" s="252"/>
      <c r="SLG955" s="252"/>
      <c r="SLH955" s="252"/>
      <c r="SLI955" s="252"/>
      <c r="SLJ955" s="252"/>
      <c r="SLK955" s="252"/>
      <c r="SLL955" s="252"/>
      <c r="SLM955" s="252"/>
      <c r="SLN955" s="252"/>
      <c r="SLO955" s="252"/>
      <c r="SLP955" s="252"/>
      <c r="SLQ955" s="252"/>
      <c r="SLR955" s="252"/>
      <c r="SLS955" s="252"/>
      <c r="SLT955" s="252"/>
      <c r="SLU955" s="252"/>
      <c r="SLV955" s="252"/>
      <c r="SLW955" s="252"/>
      <c r="SLX955" s="252"/>
      <c r="SLY955" s="252"/>
      <c r="SLZ955" s="252"/>
      <c r="SMA955" s="252"/>
      <c r="SMB955" s="252"/>
      <c r="SMC955" s="252"/>
      <c r="SMD955" s="252"/>
      <c r="SME955" s="252"/>
      <c r="SMF955" s="252"/>
      <c r="SMG955" s="252"/>
      <c r="SMH955" s="252"/>
      <c r="SMI955" s="252"/>
      <c r="SMJ955" s="252"/>
      <c r="SMK955" s="252"/>
      <c r="SML955" s="252"/>
      <c r="SMM955" s="252"/>
      <c r="SMN955" s="252"/>
      <c r="SMO955" s="252"/>
      <c r="SMP955" s="252"/>
      <c r="SMQ955" s="252"/>
      <c r="SMR955" s="252"/>
      <c r="SMS955" s="252"/>
      <c r="SMT955" s="252"/>
      <c r="SMU955" s="252"/>
      <c r="SMV955" s="252"/>
      <c r="SMW955" s="252"/>
      <c r="SMX955" s="252"/>
      <c r="SMY955" s="252"/>
      <c r="SMZ955" s="252"/>
      <c r="SNA955" s="252"/>
      <c r="SNB955" s="252"/>
      <c r="SNC955" s="252"/>
      <c r="SND955" s="252"/>
      <c r="SNE955" s="252"/>
      <c r="SNF955" s="252"/>
      <c r="SNG955" s="252"/>
      <c r="SNH955" s="252"/>
      <c r="SNI955" s="252"/>
      <c r="SNJ955" s="252"/>
      <c r="SNK955" s="252"/>
      <c r="SNL955" s="252"/>
      <c r="SNM955" s="252"/>
      <c r="SNN955" s="252"/>
      <c r="SNO955" s="252"/>
      <c r="SNP955" s="252"/>
      <c r="SNQ955" s="252"/>
      <c r="SNR955" s="252"/>
      <c r="SNS955" s="252"/>
      <c r="SNT955" s="252"/>
      <c r="SNU955" s="252"/>
      <c r="SNV955" s="252"/>
      <c r="SNW955" s="252"/>
      <c r="SNX955" s="252"/>
      <c r="SNY955" s="252"/>
      <c r="SNZ955" s="252"/>
      <c r="SOA955" s="252"/>
      <c r="SOB955" s="252"/>
      <c r="SOC955" s="252"/>
      <c r="SOD955" s="252"/>
      <c r="SOE955" s="252"/>
      <c r="SOF955" s="252"/>
      <c r="SOG955" s="252"/>
      <c r="SOH955" s="252"/>
      <c r="SOI955" s="252"/>
      <c r="SOJ955" s="252"/>
      <c r="SOK955" s="252"/>
      <c r="SOL955" s="252"/>
      <c r="SOM955" s="252"/>
      <c r="SON955" s="252"/>
      <c r="SOO955" s="252"/>
      <c r="SOP955" s="252"/>
      <c r="SOQ955" s="252"/>
      <c r="SOR955" s="252"/>
      <c r="SOS955" s="252"/>
      <c r="SOT955" s="252"/>
      <c r="SOU955" s="252"/>
      <c r="SOV955" s="252"/>
      <c r="SOW955" s="252"/>
      <c r="SOX955" s="252"/>
      <c r="SOY955" s="252"/>
      <c r="SOZ955" s="252"/>
      <c r="SPA955" s="252"/>
      <c r="SPB955" s="252"/>
      <c r="SPC955" s="252"/>
      <c r="SPD955" s="252"/>
      <c r="SPE955" s="252"/>
      <c r="SPF955" s="252"/>
      <c r="SPG955" s="252"/>
      <c r="SPH955" s="252"/>
      <c r="SPI955" s="252"/>
      <c r="SPJ955" s="252"/>
      <c r="SPK955" s="252"/>
      <c r="SPL955" s="252"/>
      <c r="SPM955" s="252"/>
      <c r="SPN955" s="252"/>
      <c r="SPO955" s="252"/>
      <c r="SPP955" s="252"/>
      <c r="SPQ955" s="252"/>
      <c r="SPR955" s="252"/>
      <c r="SPS955" s="252"/>
      <c r="SPT955" s="252"/>
      <c r="SPU955" s="252"/>
      <c r="SPV955" s="252"/>
      <c r="SPW955" s="252"/>
      <c r="SPX955" s="252"/>
      <c r="SPY955" s="252"/>
      <c r="SPZ955" s="252"/>
      <c r="SQA955" s="252"/>
      <c r="SQB955" s="252"/>
      <c r="SQC955" s="252"/>
      <c r="SQD955" s="252"/>
      <c r="SQE955" s="252"/>
      <c r="SQF955" s="252"/>
      <c r="SQG955" s="252"/>
      <c r="SQH955" s="252"/>
      <c r="SQI955" s="252"/>
      <c r="SQJ955" s="252"/>
      <c r="SQK955" s="252"/>
      <c r="SQL955" s="252"/>
      <c r="SQM955" s="252"/>
      <c r="SQN955" s="252"/>
      <c r="SQO955" s="252"/>
      <c r="SQP955" s="252"/>
      <c r="SQQ955" s="252"/>
      <c r="SQR955" s="252"/>
      <c r="SQS955" s="252"/>
      <c r="SQT955" s="252"/>
      <c r="SQU955" s="252"/>
      <c r="SQV955" s="252"/>
      <c r="SQW955" s="252"/>
      <c r="SQX955" s="252"/>
      <c r="SQY955" s="252"/>
      <c r="SQZ955" s="252"/>
      <c r="SRA955" s="252"/>
      <c r="SRB955" s="252"/>
      <c r="SRC955" s="252"/>
      <c r="SRD955" s="252"/>
      <c r="SRE955" s="252"/>
      <c r="SRF955" s="252"/>
      <c r="SRG955" s="252"/>
      <c r="SRH955" s="252"/>
      <c r="SRI955" s="252"/>
      <c r="SRJ955" s="252"/>
      <c r="SRK955" s="252"/>
      <c r="SRL955" s="252"/>
      <c r="SRM955" s="252"/>
      <c r="SRN955" s="252"/>
      <c r="SRO955" s="252"/>
      <c r="SRP955" s="252"/>
      <c r="SRQ955" s="252"/>
      <c r="SRR955" s="252"/>
      <c r="SRS955" s="252"/>
      <c r="SRT955" s="252"/>
      <c r="SRU955" s="252"/>
      <c r="SRV955" s="252"/>
      <c r="SRW955" s="252"/>
      <c r="SRX955" s="252"/>
      <c r="SRY955" s="252"/>
      <c r="SRZ955" s="252"/>
      <c r="SSA955" s="252"/>
      <c r="SSB955" s="252"/>
      <c r="SSC955" s="252"/>
      <c r="SSD955" s="252"/>
      <c r="SSE955" s="252"/>
      <c r="SSF955" s="252"/>
      <c r="SSG955" s="252"/>
      <c r="SSH955" s="252"/>
      <c r="SSI955" s="252"/>
      <c r="SSJ955" s="252"/>
      <c r="SSK955" s="252"/>
      <c r="SSL955" s="252"/>
      <c r="SSM955" s="252"/>
      <c r="SSN955" s="252"/>
      <c r="SSO955" s="252"/>
      <c r="SSP955" s="252"/>
      <c r="SSQ955" s="252"/>
      <c r="SSR955" s="252"/>
      <c r="SSS955" s="252"/>
      <c r="SST955" s="252"/>
      <c r="SSU955" s="252"/>
      <c r="SSV955" s="252"/>
      <c r="SSW955" s="252"/>
      <c r="SSX955" s="252"/>
      <c r="SSY955" s="252"/>
      <c r="SSZ955" s="252"/>
      <c r="STA955" s="252"/>
      <c r="STB955" s="252"/>
      <c r="STC955" s="252"/>
      <c r="STD955" s="252"/>
      <c r="STE955" s="252"/>
      <c r="STF955" s="252"/>
      <c r="STG955" s="252"/>
      <c r="STH955" s="252"/>
      <c r="STI955" s="252"/>
      <c r="STJ955" s="252"/>
      <c r="STK955" s="252"/>
      <c r="STL955" s="252"/>
      <c r="STM955" s="252"/>
      <c r="STN955" s="252"/>
      <c r="STO955" s="252"/>
      <c r="STP955" s="252"/>
      <c r="STQ955" s="252"/>
      <c r="STR955" s="252"/>
      <c r="STS955" s="252"/>
      <c r="STT955" s="252"/>
      <c r="STU955" s="252"/>
      <c r="STV955" s="252"/>
      <c r="STW955" s="252"/>
      <c r="STX955" s="252"/>
      <c r="STY955" s="252"/>
      <c r="STZ955" s="252"/>
      <c r="SUA955" s="252"/>
      <c r="SUB955" s="252"/>
      <c r="SUC955" s="252"/>
      <c r="SUD955" s="252"/>
      <c r="SUE955" s="252"/>
      <c r="SUF955" s="252"/>
      <c r="SUG955" s="252"/>
      <c r="SUH955" s="252"/>
      <c r="SUI955" s="252"/>
      <c r="SUJ955" s="252"/>
      <c r="SUK955" s="252"/>
      <c r="SUL955" s="252"/>
      <c r="SUM955" s="252"/>
      <c r="SUN955" s="252"/>
      <c r="SUO955" s="252"/>
      <c r="SUP955" s="252"/>
      <c r="SUQ955" s="252"/>
      <c r="SUR955" s="252"/>
      <c r="SUS955" s="252"/>
      <c r="SUT955" s="252"/>
      <c r="SUU955" s="252"/>
      <c r="SUV955" s="252"/>
      <c r="SUW955" s="252"/>
      <c r="SUX955" s="252"/>
      <c r="SUY955" s="252"/>
      <c r="SUZ955" s="252"/>
      <c r="SVA955" s="252"/>
      <c r="SVB955" s="252"/>
      <c r="SVC955" s="252"/>
      <c r="SVD955" s="252"/>
      <c r="SVE955" s="252"/>
      <c r="SVF955" s="252"/>
      <c r="SVG955" s="252"/>
      <c r="SVH955" s="252"/>
      <c r="SVI955" s="252"/>
      <c r="SVJ955" s="252"/>
      <c r="SVK955" s="252"/>
      <c r="SVL955" s="252"/>
      <c r="SVM955" s="252"/>
      <c r="SVN955" s="252"/>
      <c r="SVO955" s="252"/>
      <c r="SVP955" s="252"/>
      <c r="SVQ955" s="252"/>
      <c r="SVR955" s="252"/>
      <c r="SVS955" s="252"/>
      <c r="SVT955" s="252"/>
      <c r="SVU955" s="252"/>
      <c r="SVV955" s="252"/>
      <c r="SVW955" s="252"/>
      <c r="SVX955" s="252"/>
      <c r="SVY955" s="252"/>
      <c r="SVZ955" s="252"/>
      <c r="SWA955" s="252"/>
      <c r="SWB955" s="252"/>
      <c r="SWC955" s="252"/>
      <c r="SWD955" s="252"/>
      <c r="SWE955" s="252"/>
      <c r="SWF955" s="252"/>
      <c r="SWG955" s="252"/>
      <c r="SWH955" s="252"/>
      <c r="SWI955" s="252"/>
      <c r="SWJ955" s="252"/>
      <c r="SWK955" s="252"/>
      <c r="SWL955" s="252"/>
      <c r="SWM955" s="252"/>
      <c r="SWN955" s="252"/>
      <c r="SWO955" s="252"/>
      <c r="SWP955" s="252"/>
      <c r="SWQ955" s="252"/>
      <c r="SWR955" s="252"/>
      <c r="SWS955" s="252"/>
      <c r="SWT955" s="252"/>
      <c r="SWU955" s="252"/>
      <c r="SWV955" s="252"/>
      <c r="SWW955" s="252"/>
      <c r="SWX955" s="252"/>
      <c r="SWY955" s="252"/>
      <c r="SWZ955" s="252"/>
      <c r="SXA955" s="252"/>
      <c r="SXB955" s="252"/>
      <c r="SXC955" s="252"/>
      <c r="SXD955" s="252"/>
      <c r="SXE955" s="252"/>
      <c r="SXF955" s="252"/>
      <c r="SXG955" s="252"/>
      <c r="SXH955" s="252"/>
      <c r="SXI955" s="252"/>
      <c r="SXJ955" s="252"/>
      <c r="SXK955" s="252"/>
      <c r="SXL955" s="252"/>
      <c r="SXM955" s="252"/>
      <c r="SXN955" s="252"/>
      <c r="SXO955" s="252"/>
      <c r="SXP955" s="252"/>
      <c r="SXQ955" s="252"/>
      <c r="SXR955" s="252"/>
      <c r="SXS955" s="252"/>
      <c r="SXT955" s="252"/>
      <c r="SXU955" s="252"/>
      <c r="SXV955" s="252"/>
      <c r="SXW955" s="252"/>
      <c r="SXX955" s="252"/>
      <c r="SXY955" s="252"/>
      <c r="SXZ955" s="252"/>
      <c r="SYA955" s="252"/>
      <c r="SYB955" s="252"/>
      <c r="SYC955" s="252"/>
      <c r="SYD955" s="252"/>
      <c r="SYE955" s="252"/>
      <c r="SYF955" s="252"/>
      <c r="SYG955" s="252"/>
      <c r="SYH955" s="252"/>
      <c r="SYI955" s="252"/>
      <c r="SYJ955" s="252"/>
      <c r="SYK955" s="252"/>
      <c r="SYL955" s="252"/>
      <c r="SYM955" s="252"/>
      <c r="SYN955" s="252"/>
      <c r="SYO955" s="252"/>
      <c r="SYP955" s="252"/>
      <c r="SYQ955" s="252"/>
      <c r="SYR955" s="252"/>
      <c r="SYS955" s="252"/>
      <c r="SYT955" s="252"/>
      <c r="SYU955" s="252"/>
      <c r="SYV955" s="252"/>
      <c r="SYW955" s="252"/>
      <c r="SYX955" s="252"/>
      <c r="SYY955" s="252"/>
      <c r="SYZ955" s="252"/>
      <c r="SZA955" s="252"/>
      <c r="SZB955" s="252"/>
      <c r="SZC955" s="252"/>
      <c r="SZD955" s="252"/>
      <c r="SZE955" s="252"/>
      <c r="SZF955" s="252"/>
      <c r="SZG955" s="252"/>
      <c r="SZH955" s="252"/>
      <c r="SZI955" s="252"/>
      <c r="SZJ955" s="252"/>
      <c r="SZK955" s="252"/>
      <c r="SZL955" s="252"/>
      <c r="SZM955" s="252"/>
      <c r="SZN955" s="252"/>
      <c r="SZO955" s="252"/>
      <c r="SZP955" s="252"/>
      <c r="SZQ955" s="252"/>
      <c r="SZR955" s="252"/>
      <c r="SZS955" s="252"/>
      <c r="SZT955" s="252"/>
      <c r="SZU955" s="252"/>
      <c r="SZV955" s="252"/>
      <c r="SZW955" s="252"/>
      <c r="SZX955" s="252"/>
      <c r="SZY955" s="252"/>
      <c r="SZZ955" s="252"/>
      <c r="TAA955" s="252"/>
      <c r="TAB955" s="252"/>
      <c r="TAC955" s="252"/>
      <c r="TAD955" s="252"/>
      <c r="TAE955" s="252"/>
      <c r="TAF955" s="252"/>
      <c r="TAG955" s="252"/>
      <c r="TAH955" s="252"/>
      <c r="TAI955" s="252"/>
      <c r="TAJ955" s="252"/>
      <c r="TAK955" s="252"/>
      <c r="TAL955" s="252"/>
      <c r="TAM955" s="252"/>
      <c r="TAN955" s="252"/>
      <c r="TAO955" s="252"/>
      <c r="TAP955" s="252"/>
      <c r="TAQ955" s="252"/>
      <c r="TAR955" s="252"/>
      <c r="TAS955" s="252"/>
      <c r="TAT955" s="252"/>
      <c r="TAU955" s="252"/>
      <c r="TAV955" s="252"/>
      <c r="TAW955" s="252"/>
      <c r="TAX955" s="252"/>
      <c r="TAY955" s="252"/>
      <c r="TAZ955" s="252"/>
      <c r="TBA955" s="252"/>
      <c r="TBB955" s="252"/>
      <c r="TBC955" s="252"/>
      <c r="TBD955" s="252"/>
      <c r="TBE955" s="252"/>
      <c r="TBF955" s="252"/>
      <c r="TBG955" s="252"/>
      <c r="TBH955" s="252"/>
      <c r="TBI955" s="252"/>
      <c r="TBJ955" s="252"/>
      <c r="TBK955" s="252"/>
      <c r="TBL955" s="252"/>
      <c r="TBM955" s="252"/>
      <c r="TBN955" s="252"/>
      <c r="TBO955" s="252"/>
      <c r="TBP955" s="252"/>
      <c r="TBQ955" s="252"/>
      <c r="TBR955" s="252"/>
      <c r="TBS955" s="252"/>
      <c r="TBT955" s="252"/>
      <c r="TBU955" s="252"/>
      <c r="TBV955" s="252"/>
      <c r="TBW955" s="252"/>
      <c r="TBX955" s="252"/>
      <c r="TBY955" s="252"/>
      <c r="TBZ955" s="252"/>
      <c r="TCA955" s="252"/>
      <c r="TCB955" s="252"/>
      <c r="TCC955" s="252"/>
      <c r="TCD955" s="252"/>
      <c r="TCE955" s="252"/>
      <c r="TCF955" s="252"/>
      <c r="TCG955" s="252"/>
      <c r="TCH955" s="252"/>
      <c r="TCI955" s="252"/>
      <c r="TCJ955" s="252"/>
      <c r="TCK955" s="252"/>
      <c r="TCL955" s="252"/>
      <c r="TCM955" s="252"/>
      <c r="TCN955" s="252"/>
      <c r="TCO955" s="252"/>
      <c r="TCP955" s="252"/>
      <c r="TCQ955" s="252"/>
      <c r="TCR955" s="252"/>
      <c r="TCS955" s="252"/>
      <c r="TCT955" s="252"/>
      <c r="TCU955" s="252"/>
      <c r="TCV955" s="252"/>
      <c r="TCW955" s="252"/>
      <c r="TCX955" s="252"/>
      <c r="TCY955" s="252"/>
      <c r="TCZ955" s="252"/>
      <c r="TDA955" s="252"/>
      <c r="TDB955" s="252"/>
      <c r="TDC955" s="252"/>
      <c r="TDD955" s="252"/>
      <c r="TDE955" s="252"/>
      <c r="TDF955" s="252"/>
      <c r="TDG955" s="252"/>
      <c r="TDH955" s="252"/>
      <c r="TDI955" s="252"/>
      <c r="TDJ955" s="252"/>
      <c r="TDK955" s="252"/>
      <c r="TDL955" s="252"/>
      <c r="TDM955" s="252"/>
      <c r="TDN955" s="252"/>
      <c r="TDO955" s="252"/>
      <c r="TDP955" s="252"/>
      <c r="TDQ955" s="252"/>
      <c r="TDR955" s="252"/>
      <c r="TDS955" s="252"/>
      <c r="TDT955" s="252"/>
      <c r="TDU955" s="252"/>
      <c r="TDV955" s="252"/>
      <c r="TDW955" s="252"/>
      <c r="TDX955" s="252"/>
      <c r="TDY955" s="252"/>
      <c r="TDZ955" s="252"/>
      <c r="TEA955" s="252"/>
      <c r="TEB955" s="252"/>
      <c r="TEC955" s="252"/>
      <c r="TED955" s="252"/>
      <c r="TEE955" s="252"/>
      <c r="TEF955" s="252"/>
      <c r="TEG955" s="252"/>
      <c r="TEH955" s="252"/>
      <c r="TEI955" s="252"/>
      <c r="TEJ955" s="252"/>
      <c r="TEK955" s="252"/>
      <c r="TEL955" s="252"/>
      <c r="TEM955" s="252"/>
      <c r="TEN955" s="252"/>
      <c r="TEO955" s="252"/>
      <c r="TEP955" s="252"/>
      <c r="TEQ955" s="252"/>
      <c r="TER955" s="252"/>
      <c r="TES955" s="252"/>
      <c r="TET955" s="252"/>
      <c r="TEU955" s="252"/>
      <c r="TEV955" s="252"/>
      <c r="TEW955" s="252"/>
      <c r="TEX955" s="252"/>
      <c r="TEY955" s="252"/>
      <c r="TEZ955" s="252"/>
      <c r="TFA955" s="252"/>
      <c r="TFB955" s="252"/>
      <c r="TFC955" s="252"/>
      <c r="TFD955" s="252"/>
      <c r="TFE955" s="252"/>
      <c r="TFF955" s="252"/>
      <c r="TFG955" s="252"/>
      <c r="TFH955" s="252"/>
      <c r="TFI955" s="252"/>
      <c r="TFJ955" s="252"/>
      <c r="TFK955" s="252"/>
      <c r="TFL955" s="252"/>
      <c r="TFM955" s="252"/>
      <c r="TFN955" s="252"/>
      <c r="TFO955" s="252"/>
      <c r="TFP955" s="252"/>
      <c r="TFQ955" s="252"/>
      <c r="TFR955" s="252"/>
      <c r="TFS955" s="252"/>
      <c r="TFT955" s="252"/>
      <c r="TFU955" s="252"/>
      <c r="TFV955" s="252"/>
      <c r="TFW955" s="252"/>
      <c r="TFX955" s="252"/>
      <c r="TFY955" s="252"/>
      <c r="TFZ955" s="252"/>
      <c r="TGA955" s="252"/>
      <c r="TGB955" s="252"/>
      <c r="TGC955" s="252"/>
      <c r="TGD955" s="252"/>
      <c r="TGE955" s="252"/>
      <c r="TGF955" s="252"/>
      <c r="TGG955" s="252"/>
      <c r="TGH955" s="252"/>
      <c r="TGI955" s="252"/>
      <c r="TGJ955" s="252"/>
      <c r="TGK955" s="252"/>
      <c r="TGL955" s="252"/>
      <c r="TGM955" s="252"/>
      <c r="TGN955" s="252"/>
      <c r="TGO955" s="252"/>
      <c r="TGP955" s="252"/>
      <c r="TGQ955" s="252"/>
      <c r="TGR955" s="252"/>
      <c r="TGS955" s="252"/>
      <c r="TGT955" s="252"/>
      <c r="TGU955" s="252"/>
      <c r="TGV955" s="252"/>
      <c r="TGW955" s="252"/>
      <c r="TGX955" s="252"/>
      <c r="TGY955" s="252"/>
      <c r="TGZ955" s="252"/>
      <c r="THA955" s="252"/>
      <c r="THB955" s="252"/>
      <c r="THC955" s="252"/>
      <c r="THD955" s="252"/>
      <c r="THE955" s="252"/>
      <c r="THF955" s="252"/>
      <c r="THG955" s="252"/>
      <c r="THH955" s="252"/>
      <c r="THI955" s="252"/>
      <c r="THJ955" s="252"/>
      <c r="THK955" s="252"/>
      <c r="THL955" s="252"/>
      <c r="THM955" s="252"/>
      <c r="THN955" s="252"/>
      <c r="THO955" s="252"/>
      <c r="THP955" s="252"/>
      <c r="THQ955" s="252"/>
      <c r="THR955" s="252"/>
      <c r="THS955" s="252"/>
      <c r="THT955" s="252"/>
      <c r="THU955" s="252"/>
      <c r="THV955" s="252"/>
      <c r="THW955" s="252"/>
      <c r="THX955" s="252"/>
      <c r="THY955" s="252"/>
      <c r="THZ955" s="252"/>
      <c r="TIA955" s="252"/>
      <c r="TIB955" s="252"/>
      <c r="TIC955" s="252"/>
      <c r="TID955" s="252"/>
      <c r="TIE955" s="252"/>
      <c r="TIF955" s="252"/>
      <c r="TIG955" s="252"/>
      <c r="TIH955" s="252"/>
      <c r="TII955" s="252"/>
      <c r="TIJ955" s="252"/>
      <c r="TIK955" s="252"/>
      <c r="TIL955" s="252"/>
      <c r="TIM955" s="252"/>
      <c r="TIN955" s="252"/>
      <c r="TIO955" s="252"/>
      <c r="TIP955" s="252"/>
      <c r="TIQ955" s="252"/>
      <c r="TIR955" s="252"/>
      <c r="TIS955" s="252"/>
      <c r="TIT955" s="252"/>
      <c r="TIU955" s="252"/>
      <c r="TIV955" s="252"/>
      <c r="TIW955" s="252"/>
      <c r="TIX955" s="252"/>
      <c r="TIY955" s="252"/>
      <c r="TIZ955" s="252"/>
      <c r="TJA955" s="252"/>
      <c r="TJB955" s="252"/>
      <c r="TJC955" s="252"/>
      <c r="TJD955" s="252"/>
      <c r="TJE955" s="252"/>
      <c r="TJF955" s="252"/>
      <c r="TJG955" s="252"/>
      <c r="TJH955" s="252"/>
      <c r="TJI955" s="252"/>
      <c r="TJJ955" s="252"/>
      <c r="TJK955" s="252"/>
      <c r="TJL955" s="252"/>
      <c r="TJM955" s="252"/>
      <c r="TJN955" s="252"/>
      <c r="TJO955" s="252"/>
      <c r="TJP955" s="252"/>
      <c r="TJQ955" s="252"/>
      <c r="TJR955" s="252"/>
      <c r="TJS955" s="252"/>
      <c r="TJT955" s="252"/>
      <c r="TJU955" s="252"/>
      <c r="TJV955" s="252"/>
      <c r="TJW955" s="252"/>
      <c r="TJX955" s="252"/>
      <c r="TJY955" s="252"/>
      <c r="TJZ955" s="252"/>
      <c r="TKA955" s="252"/>
      <c r="TKB955" s="252"/>
      <c r="TKC955" s="252"/>
      <c r="TKD955" s="252"/>
      <c r="TKE955" s="252"/>
      <c r="TKF955" s="252"/>
      <c r="TKG955" s="252"/>
      <c r="TKH955" s="252"/>
      <c r="TKI955" s="252"/>
      <c r="TKJ955" s="252"/>
      <c r="TKK955" s="252"/>
      <c r="TKL955" s="252"/>
      <c r="TKM955" s="252"/>
      <c r="TKN955" s="252"/>
      <c r="TKO955" s="252"/>
      <c r="TKP955" s="252"/>
      <c r="TKQ955" s="252"/>
      <c r="TKR955" s="252"/>
      <c r="TKS955" s="252"/>
      <c r="TKT955" s="252"/>
      <c r="TKU955" s="252"/>
      <c r="TKV955" s="252"/>
      <c r="TKW955" s="252"/>
      <c r="TKX955" s="252"/>
      <c r="TKY955" s="252"/>
      <c r="TKZ955" s="252"/>
      <c r="TLA955" s="252"/>
      <c r="TLB955" s="252"/>
      <c r="TLC955" s="252"/>
      <c r="TLD955" s="252"/>
      <c r="TLE955" s="252"/>
      <c r="TLF955" s="252"/>
      <c r="TLG955" s="252"/>
      <c r="TLH955" s="252"/>
      <c r="TLI955" s="252"/>
      <c r="TLJ955" s="252"/>
      <c r="TLK955" s="252"/>
      <c r="TLL955" s="252"/>
      <c r="TLM955" s="252"/>
      <c r="TLN955" s="252"/>
      <c r="TLO955" s="252"/>
      <c r="TLP955" s="252"/>
      <c r="TLQ955" s="252"/>
      <c r="TLR955" s="252"/>
      <c r="TLS955" s="252"/>
      <c r="TLT955" s="252"/>
      <c r="TLU955" s="252"/>
      <c r="TLV955" s="252"/>
      <c r="TLW955" s="252"/>
      <c r="TLX955" s="252"/>
      <c r="TLY955" s="252"/>
      <c r="TLZ955" s="252"/>
      <c r="TMA955" s="252"/>
      <c r="TMB955" s="252"/>
      <c r="TMC955" s="252"/>
      <c r="TMD955" s="252"/>
      <c r="TME955" s="252"/>
      <c r="TMF955" s="252"/>
      <c r="TMG955" s="252"/>
      <c r="TMH955" s="252"/>
      <c r="TMI955" s="252"/>
      <c r="TMJ955" s="252"/>
      <c r="TMK955" s="252"/>
      <c r="TML955" s="252"/>
      <c r="TMM955" s="252"/>
      <c r="TMN955" s="252"/>
      <c r="TMO955" s="252"/>
      <c r="TMP955" s="252"/>
      <c r="TMQ955" s="252"/>
      <c r="TMR955" s="252"/>
      <c r="TMS955" s="252"/>
      <c r="TMT955" s="252"/>
      <c r="TMU955" s="252"/>
      <c r="TMV955" s="252"/>
      <c r="TMW955" s="252"/>
      <c r="TMX955" s="252"/>
      <c r="TMY955" s="252"/>
      <c r="TMZ955" s="252"/>
      <c r="TNA955" s="252"/>
      <c r="TNB955" s="252"/>
      <c r="TNC955" s="252"/>
      <c r="TND955" s="252"/>
      <c r="TNE955" s="252"/>
      <c r="TNF955" s="252"/>
      <c r="TNG955" s="252"/>
      <c r="TNH955" s="252"/>
      <c r="TNI955" s="252"/>
      <c r="TNJ955" s="252"/>
      <c r="TNK955" s="252"/>
      <c r="TNL955" s="252"/>
      <c r="TNM955" s="252"/>
      <c r="TNN955" s="252"/>
      <c r="TNO955" s="252"/>
      <c r="TNP955" s="252"/>
      <c r="TNQ955" s="252"/>
      <c r="TNR955" s="252"/>
      <c r="TNS955" s="252"/>
      <c r="TNT955" s="252"/>
      <c r="TNU955" s="252"/>
      <c r="TNV955" s="252"/>
      <c r="TNW955" s="252"/>
      <c r="TNX955" s="252"/>
      <c r="TNY955" s="252"/>
      <c r="TNZ955" s="252"/>
      <c r="TOA955" s="252"/>
      <c r="TOB955" s="252"/>
      <c r="TOC955" s="252"/>
      <c r="TOD955" s="252"/>
      <c r="TOE955" s="252"/>
      <c r="TOF955" s="252"/>
      <c r="TOG955" s="252"/>
      <c r="TOH955" s="252"/>
      <c r="TOI955" s="252"/>
      <c r="TOJ955" s="252"/>
      <c r="TOK955" s="252"/>
      <c r="TOL955" s="252"/>
      <c r="TOM955" s="252"/>
      <c r="TON955" s="252"/>
      <c r="TOO955" s="252"/>
      <c r="TOP955" s="252"/>
      <c r="TOQ955" s="252"/>
      <c r="TOR955" s="252"/>
      <c r="TOS955" s="252"/>
      <c r="TOT955" s="252"/>
      <c r="TOU955" s="252"/>
      <c r="TOV955" s="252"/>
      <c r="TOW955" s="252"/>
      <c r="TOX955" s="252"/>
      <c r="TOY955" s="252"/>
      <c r="TOZ955" s="252"/>
      <c r="TPA955" s="252"/>
      <c r="TPB955" s="252"/>
      <c r="TPC955" s="252"/>
      <c r="TPD955" s="252"/>
      <c r="TPE955" s="252"/>
      <c r="TPF955" s="252"/>
      <c r="TPG955" s="252"/>
      <c r="TPH955" s="252"/>
      <c r="TPI955" s="252"/>
      <c r="TPJ955" s="252"/>
      <c r="TPK955" s="252"/>
      <c r="TPL955" s="252"/>
      <c r="TPM955" s="252"/>
      <c r="TPN955" s="252"/>
      <c r="TPO955" s="252"/>
      <c r="TPP955" s="252"/>
      <c r="TPQ955" s="252"/>
      <c r="TPR955" s="252"/>
      <c r="TPS955" s="252"/>
      <c r="TPT955" s="252"/>
      <c r="TPU955" s="252"/>
      <c r="TPV955" s="252"/>
      <c r="TPW955" s="252"/>
      <c r="TPX955" s="252"/>
      <c r="TPY955" s="252"/>
      <c r="TPZ955" s="252"/>
      <c r="TQA955" s="252"/>
      <c r="TQB955" s="252"/>
      <c r="TQC955" s="252"/>
      <c r="TQD955" s="252"/>
      <c r="TQE955" s="252"/>
      <c r="TQF955" s="252"/>
      <c r="TQG955" s="252"/>
      <c r="TQH955" s="252"/>
      <c r="TQI955" s="252"/>
      <c r="TQJ955" s="252"/>
      <c r="TQK955" s="252"/>
      <c r="TQL955" s="252"/>
      <c r="TQM955" s="252"/>
      <c r="TQN955" s="252"/>
      <c r="TQO955" s="252"/>
      <c r="TQP955" s="252"/>
      <c r="TQQ955" s="252"/>
      <c r="TQR955" s="252"/>
      <c r="TQS955" s="252"/>
      <c r="TQT955" s="252"/>
      <c r="TQU955" s="252"/>
      <c r="TQV955" s="252"/>
      <c r="TQW955" s="252"/>
      <c r="TQX955" s="252"/>
      <c r="TQY955" s="252"/>
      <c r="TQZ955" s="252"/>
      <c r="TRA955" s="252"/>
      <c r="TRB955" s="252"/>
      <c r="TRC955" s="252"/>
      <c r="TRD955" s="252"/>
      <c r="TRE955" s="252"/>
      <c r="TRF955" s="252"/>
      <c r="TRG955" s="252"/>
      <c r="TRH955" s="252"/>
      <c r="TRI955" s="252"/>
      <c r="TRJ955" s="252"/>
      <c r="TRK955" s="252"/>
      <c r="TRL955" s="252"/>
      <c r="TRM955" s="252"/>
      <c r="TRN955" s="252"/>
      <c r="TRO955" s="252"/>
      <c r="TRP955" s="252"/>
      <c r="TRQ955" s="252"/>
      <c r="TRR955" s="252"/>
      <c r="TRS955" s="252"/>
      <c r="TRT955" s="252"/>
      <c r="TRU955" s="252"/>
      <c r="TRV955" s="252"/>
      <c r="TRW955" s="252"/>
      <c r="TRX955" s="252"/>
      <c r="TRY955" s="252"/>
      <c r="TRZ955" s="252"/>
      <c r="TSA955" s="252"/>
      <c r="TSB955" s="252"/>
      <c r="TSC955" s="252"/>
      <c r="TSD955" s="252"/>
      <c r="TSE955" s="252"/>
      <c r="TSF955" s="252"/>
      <c r="TSG955" s="252"/>
      <c r="TSH955" s="252"/>
      <c r="TSI955" s="252"/>
      <c r="TSJ955" s="252"/>
      <c r="TSK955" s="252"/>
      <c r="TSL955" s="252"/>
      <c r="TSM955" s="252"/>
      <c r="TSN955" s="252"/>
      <c r="TSO955" s="252"/>
      <c r="TSP955" s="252"/>
      <c r="TSQ955" s="252"/>
      <c r="TSR955" s="252"/>
      <c r="TSS955" s="252"/>
      <c r="TST955" s="252"/>
      <c r="TSU955" s="252"/>
      <c r="TSV955" s="252"/>
      <c r="TSW955" s="252"/>
      <c r="TSX955" s="252"/>
      <c r="TSY955" s="252"/>
      <c r="TSZ955" s="252"/>
      <c r="TTA955" s="252"/>
      <c r="TTB955" s="252"/>
      <c r="TTC955" s="252"/>
      <c r="TTD955" s="252"/>
      <c r="TTE955" s="252"/>
      <c r="TTF955" s="252"/>
      <c r="TTG955" s="252"/>
      <c r="TTH955" s="252"/>
      <c r="TTI955" s="252"/>
      <c r="TTJ955" s="252"/>
      <c r="TTK955" s="252"/>
      <c r="TTL955" s="252"/>
      <c r="TTM955" s="252"/>
      <c r="TTN955" s="252"/>
      <c r="TTO955" s="252"/>
      <c r="TTP955" s="252"/>
      <c r="TTQ955" s="252"/>
      <c r="TTR955" s="252"/>
      <c r="TTS955" s="252"/>
      <c r="TTT955" s="252"/>
      <c r="TTU955" s="252"/>
      <c r="TTV955" s="252"/>
      <c r="TTW955" s="252"/>
      <c r="TTX955" s="252"/>
      <c r="TTY955" s="252"/>
      <c r="TTZ955" s="252"/>
      <c r="TUA955" s="252"/>
      <c r="TUB955" s="252"/>
      <c r="TUC955" s="252"/>
      <c r="TUD955" s="252"/>
      <c r="TUE955" s="252"/>
      <c r="TUF955" s="252"/>
      <c r="TUG955" s="252"/>
      <c r="TUH955" s="252"/>
      <c r="TUI955" s="252"/>
      <c r="TUJ955" s="252"/>
      <c r="TUK955" s="252"/>
      <c r="TUL955" s="252"/>
      <c r="TUM955" s="252"/>
      <c r="TUN955" s="252"/>
      <c r="TUO955" s="252"/>
      <c r="TUP955" s="252"/>
      <c r="TUQ955" s="252"/>
      <c r="TUR955" s="252"/>
      <c r="TUS955" s="252"/>
      <c r="TUT955" s="252"/>
      <c r="TUU955" s="252"/>
      <c r="TUV955" s="252"/>
      <c r="TUW955" s="252"/>
      <c r="TUX955" s="252"/>
      <c r="TUY955" s="252"/>
      <c r="TUZ955" s="252"/>
      <c r="TVA955" s="252"/>
      <c r="TVB955" s="252"/>
      <c r="TVC955" s="252"/>
      <c r="TVD955" s="252"/>
      <c r="TVE955" s="252"/>
      <c r="TVF955" s="252"/>
      <c r="TVG955" s="252"/>
      <c r="TVH955" s="252"/>
      <c r="TVI955" s="252"/>
      <c r="TVJ955" s="252"/>
      <c r="TVK955" s="252"/>
      <c r="TVL955" s="252"/>
      <c r="TVM955" s="252"/>
      <c r="TVN955" s="252"/>
      <c r="TVO955" s="252"/>
      <c r="TVP955" s="252"/>
      <c r="TVQ955" s="252"/>
      <c r="TVR955" s="252"/>
      <c r="TVS955" s="252"/>
      <c r="TVT955" s="252"/>
      <c r="TVU955" s="252"/>
      <c r="TVV955" s="252"/>
      <c r="TVW955" s="252"/>
      <c r="TVX955" s="252"/>
      <c r="TVY955" s="252"/>
      <c r="TVZ955" s="252"/>
      <c r="TWA955" s="252"/>
      <c r="TWB955" s="252"/>
      <c r="TWC955" s="252"/>
      <c r="TWD955" s="252"/>
      <c r="TWE955" s="252"/>
      <c r="TWF955" s="252"/>
      <c r="TWG955" s="252"/>
      <c r="TWH955" s="252"/>
      <c r="TWI955" s="252"/>
      <c r="TWJ955" s="252"/>
      <c r="TWK955" s="252"/>
      <c r="TWL955" s="252"/>
      <c r="TWM955" s="252"/>
      <c r="TWN955" s="252"/>
      <c r="TWO955" s="252"/>
      <c r="TWP955" s="252"/>
      <c r="TWQ955" s="252"/>
      <c r="TWR955" s="252"/>
      <c r="TWS955" s="252"/>
      <c r="TWT955" s="252"/>
      <c r="TWU955" s="252"/>
      <c r="TWV955" s="252"/>
      <c r="TWW955" s="252"/>
      <c r="TWX955" s="252"/>
      <c r="TWY955" s="252"/>
      <c r="TWZ955" s="252"/>
      <c r="TXA955" s="252"/>
      <c r="TXB955" s="252"/>
      <c r="TXC955" s="252"/>
      <c r="TXD955" s="252"/>
      <c r="TXE955" s="252"/>
      <c r="TXF955" s="252"/>
      <c r="TXG955" s="252"/>
      <c r="TXH955" s="252"/>
      <c r="TXI955" s="252"/>
      <c r="TXJ955" s="252"/>
      <c r="TXK955" s="252"/>
      <c r="TXL955" s="252"/>
      <c r="TXM955" s="252"/>
      <c r="TXN955" s="252"/>
      <c r="TXO955" s="252"/>
      <c r="TXP955" s="252"/>
      <c r="TXQ955" s="252"/>
      <c r="TXR955" s="252"/>
      <c r="TXS955" s="252"/>
      <c r="TXT955" s="252"/>
      <c r="TXU955" s="252"/>
      <c r="TXV955" s="252"/>
      <c r="TXW955" s="252"/>
      <c r="TXX955" s="252"/>
      <c r="TXY955" s="252"/>
      <c r="TXZ955" s="252"/>
      <c r="TYA955" s="252"/>
      <c r="TYB955" s="252"/>
      <c r="TYC955" s="252"/>
      <c r="TYD955" s="252"/>
      <c r="TYE955" s="252"/>
      <c r="TYF955" s="252"/>
      <c r="TYG955" s="252"/>
      <c r="TYH955" s="252"/>
      <c r="TYI955" s="252"/>
      <c r="TYJ955" s="252"/>
      <c r="TYK955" s="252"/>
      <c r="TYL955" s="252"/>
      <c r="TYM955" s="252"/>
      <c r="TYN955" s="252"/>
      <c r="TYO955" s="252"/>
      <c r="TYP955" s="252"/>
      <c r="TYQ955" s="252"/>
      <c r="TYR955" s="252"/>
      <c r="TYS955" s="252"/>
      <c r="TYT955" s="252"/>
      <c r="TYU955" s="252"/>
      <c r="TYV955" s="252"/>
      <c r="TYW955" s="252"/>
      <c r="TYX955" s="252"/>
      <c r="TYY955" s="252"/>
      <c r="TYZ955" s="252"/>
      <c r="TZA955" s="252"/>
      <c r="TZB955" s="252"/>
      <c r="TZC955" s="252"/>
      <c r="TZD955" s="252"/>
      <c r="TZE955" s="252"/>
      <c r="TZF955" s="252"/>
      <c r="TZG955" s="252"/>
      <c r="TZH955" s="252"/>
      <c r="TZI955" s="252"/>
      <c r="TZJ955" s="252"/>
      <c r="TZK955" s="252"/>
      <c r="TZL955" s="252"/>
      <c r="TZM955" s="252"/>
      <c r="TZN955" s="252"/>
      <c r="TZO955" s="252"/>
      <c r="TZP955" s="252"/>
      <c r="TZQ955" s="252"/>
      <c r="TZR955" s="252"/>
      <c r="TZS955" s="252"/>
      <c r="TZT955" s="252"/>
      <c r="TZU955" s="252"/>
      <c r="TZV955" s="252"/>
      <c r="TZW955" s="252"/>
      <c r="TZX955" s="252"/>
      <c r="TZY955" s="252"/>
      <c r="TZZ955" s="252"/>
      <c r="UAA955" s="252"/>
      <c r="UAB955" s="252"/>
      <c r="UAC955" s="252"/>
      <c r="UAD955" s="252"/>
      <c r="UAE955" s="252"/>
      <c r="UAF955" s="252"/>
      <c r="UAG955" s="252"/>
      <c r="UAH955" s="252"/>
      <c r="UAI955" s="252"/>
      <c r="UAJ955" s="252"/>
      <c r="UAK955" s="252"/>
      <c r="UAL955" s="252"/>
      <c r="UAM955" s="252"/>
      <c r="UAN955" s="252"/>
      <c r="UAO955" s="252"/>
      <c r="UAP955" s="252"/>
      <c r="UAQ955" s="252"/>
      <c r="UAR955" s="252"/>
      <c r="UAS955" s="252"/>
      <c r="UAT955" s="252"/>
      <c r="UAU955" s="252"/>
      <c r="UAV955" s="252"/>
      <c r="UAW955" s="252"/>
      <c r="UAX955" s="252"/>
      <c r="UAY955" s="252"/>
      <c r="UAZ955" s="252"/>
      <c r="UBA955" s="252"/>
      <c r="UBB955" s="252"/>
      <c r="UBC955" s="252"/>
      <c r="UBD955" s="252"/>
      <c r="UBE955" s="252"/>
      <c r="UBF955" s="252"/>
      <c r="UBG955" s="252"/>
      <c r="UBH955" s="252"/>
      <c r="UBI955" s="252"/>
      <c r="UBJ955" s="252"/>
      <c r="UBK955" s="252"/>
      <c r="UBL955" s="252"/>
      <c r="UBM955" s="252"/>
      <c r="UBN955" s="252"/>
      <c r="UBO955" s="252"/>
      <c r="UBP955" s="252"/>
      <c r="UBQ955" s="252"/>
      <c r="UBR955" s="252"/>
      <c r="UBS955" s="252"/>
      <c r="UBT955" s="252"/>
      <c r="UBU955" s="252"/>
      <c r="UBV955" s="252"/>
      <c r="UBW955" s="252"/>
      <c r="UBX955" s="252"/>
      <c r="UBY955" s="252"/>
      <c r="UBZ955" s="252"/>
      <c r="UCA955" s="252"/>
      <c r="UCB955" s="252"/>
      <c r="UCC955" s="252"/>
      <c r="UCD955" s="252"/>
      <c r="UCE955" s="252"/>
      <c r="UCF955" s="252"/>
      <c r="UCG955" s="252"/>
      <c r="UCH955" s="252"/>
      <c r="UCI955" s="252"/>
      <c r="UCJ955" s="252"/>
      <c r="UCK955" s="252"/>
      <c r="UCL955" s="252"/>
      <c r="UCM955" s="252"/>
      <c r="UCN955" s="252"/>
      <c r="UCO955" s="252"/>
      <c r="UCP955" s="252"/>
      <c r="UCQ955" s="252"/>
      <c r="UCR955" s="252"/>
      <c r="UCS955" s="252"/>
      <c r="UCT955" s="252"/>
      <c r="UCU955" s="252"/>
      <c r="UCV955" s="252"/>
      <c r="UCW955" s="252"/>
      <c r="UCX955" s="252"/>
      <c r="UCY955" s="252"/>
      <c r="UCZ955" s="252"/>
      <c r="UDA955" s="252"/>
      <c r="UDB955" s="252"/>
      <c r="UDC955" s="252"/>
      <c r="UDD955" s="252"/>
      <c r="UDE955" s="252"/>
      <c r="UDF955" s="252"/>
      <c r="UDG955" s="252"/>
      <c r="UDH955" s="252"/>
      <c r="UDI955" s="252"/>
      <c r="UDJ955" s="252"/>
      <c r="UDK955" s="252"/>
      <c r="UDL955" s="252"/>
      <c r="UDM955" s="252"/>
      <c r="UDN955" s="252"/>
      <c r="UDO955" s="252"/>
      <c r="UDP955" s="252"/>
      <c r="UDQ955" s="252"/>
      <c r="UDR955" s="252"/>
      <c r="UDS955" s="252"/>
      <c r="UDT955" s="252"/>
      <c r="UDU955" s="252"/>
      <c r="UDV955" s="252"/>
      <c r="UDW955" s="252"/>
      <c r="UDX955" s="252"/>
      <c r="UDY955" s="252"/>
      <c r="UDZ955" s="252"/>
      <c r="UEA955" s="252"/>
      <c r="UEB955" s="252"/>
      <c r="UEC955" s="252"/>
      <c r="UED955" s="252"/>
      <c r="UEE955" s="252"/>
      <c r="UEF955" s="252"/>
      <c r="UEG955" s="252"/>
      <c r="UEH955" s="252"/>
      <c r="UEI955" s="252"/>
      <c r="UEJ955" s="252"/>
      <c r="UEK955" s="252"/>
      <c r="UEL955" s="252"/>
      <c r="UEM955" s="252"/>
      <c r="UEN955" s="252"/>
      <c r="UEO955" s="252"/>
      <c r="UEP955" s="252"/>
      <c r="UEQ955" s="252"/>
      <c r="UER955" s="252"/>
      <c r="UES955" s="252"/>
      <c r="UET955" s="252"/>
      <c r="UEU955" s="252"/>
      <c r="UEV955" s="252"/>
      <c r="UEW955" s="252"/>
      <c r="UEX955" s="252"/>
      <c r="UEY955" s="252"/>
      <c r="UEZ955" s="252"/>
      <c r="UFA955" s="252"/>
      <c r="UFB955" s="252"/>
      <c r="UFC955" s="252"/>
      <c r="UFD955" s="252"/>
      <c r="UFE955" s="252"/>
      <c r="UFF955" s="252"/>
      <c r="UFG955" s="252"/>
      <c r="UFH955" s="252"/>
      <c r="UFI955" s="252"/>
      <c r="UFJ955" s="252"/>
      <c r="UFK955" s="252"/>
      <c r="UFL955" s="252"/>
      <c r="UFM955" s="252"/>
      <c r="UFN955" s="252"/>
      <c r="UFO955" s="252"/>
      <c r="UFP955" s="252"/>
      <c r="UFQ955" s="252"/>
      <c r="UFR955" s="252"/>
      <c r="UFS955" s="252"/>
      <c r="UFT955" s="252"/>
      <c r="UFU955" s="252"/>
      <c r="UFV955" s="252"/>
      <c r="UFW955" s="252"/>
      <c r="UFX955" s="252"/>
      <c r="UFY955" s="252"/>
      <c r="UFZ955" s="252"/>
      <c r="UGA955" s="252"/>
      <c r="UGB955" s="252"/>
      <c r="UGC955" s="252"/>
      <c r="UGD955" s="252"/>
      <c r="UGE955" s="252"/>
      <c r="UGF955" s="252"/>
      <c r="UGG955" s="252"/>
      <c r="UGH955" s="252"/>
      <c r="UGI955" s="252"/>
      <c r="UGJ955" s="252"/>
      <c r="UGK955" s="252"/>
      <c r="UGL955" s="252"/>
      <c r="UGM955" s="252"/>
      <c r="UGN955" s="252"/>
      <c r="UGO955" s="252"/>
      <c r="UGP955" s="252"/>
      <c r="UGQ955" s="252"/>
      <c r="UGR955" s="252"/>
      <c r="UGS955" s="252"/>
      <c r="UGT955" s="252"/>
      <c r="UGU955" s="252"/>
      <c r="UGV955" s="252"/>
      <c r="UGW955" s="252"/>
      <c r="UGX955" s="252"/>
      <c r="UGY955" s="252"/>
      <c r="UGZ955" s="252"/>
      <c r="UHA955" s="252"/>
      <c r="UHB955" s="252"/>
      <c r="UHC955" s="252"/>
      <c r="UHD955" s="252"/>
      <c r="UHE955" s="252"/>
      <c r="UHF955" s="252"/>
      <c r="UHG955" s="252"/>
      <c r="UHH955" s="252"/>
      <c r="UHI955" s="252"/>
      <c r="UHJ955" s="252"/>
      <c r="UHK955" s="252"/>
      <c r="UHL955" s="252"/>
      <c r="UHM955" s="252"/>
      <c r="UHN955" s="252"/>
      <c r="UHO955" s="252"/>
      <c r="UHP955" s="252"/>
      <c r="UHQ955" s="252"/>
      <c r="UHR955" s="252"/>
      <c r="UHS955" s="252"/>
      <c r="UHT955" s="252"/>
      <c r="UHU955" s="252"/>
      <c r="UHV955" s="252"/>
      <c r="UHW955" s="252"/>
      <c r="UHX955" s="252"/>
      <c r="UHY955" s="252"/>
      <c r="UHZ955" s="252"/>
      <c r="UIA955" s="252"/>
      <c r="UIB955" s="252"/>
      <c r="UIC955" s="252"/>
      <c r="UID955" s="252"/>
      <c r="UIE955" s="252"/>
      <c r="UIF955" s="252"/>
      <c r="UIG955" s="252"/>
      <c r="UIH955" s="252"/>
      <c r="UII955" s="252"/>
      <c r="UIJ955" s="252"/>
      <c r="UIK955" s="252"/>
      <c r="UIL955" s="252"/>
      <c r="UIM955" s="252"/>
      <c r="UIN955" s="252"/>
      <c r="UIO955" s="252"/>
      <c r="UIP955" s="252"/>
      <c r="UIQ955" s="252"/>
      <c r="UIR955" s="252"/>
      <c r="UIS955" s="252"/>
      <c r="UIT955" s="252"/>
      <c r="UIU955" s="252"/>
      <c r="UIV955" s="252"/>
      <c r="UIW955" s="252"/>
      <c r="UIX955" s="252"/>
      <c r="UIY955" s="252"/>
      <c r="UIZ955" s="252"/>
      <c r="UJA955" s="252"/>
      <c r="UJB955" s="252"/>
      <c r="UJC955" s="252"/>
      <c r="UJD955" s="252"/>
      <c r="UJE955" s="252"/>
      <c r="UJF955" s="252"/>
      <c r="UJG955" s="252"/>
      <c r="UJH955" s="252"/>
      <c r="UJI955" s="252"/>
      <c r="UJJ955" s="252"/>
      <c r="UJK955" s="252"/>
      <c r="UJL955" s="252"/>
      <c r="UJM955" s="252"/>
      <c r="UJN955" s="252"/>
      <c r="UJO955" s="252"/>
      <c r="UJP955" s="252"/>
      <c r="UJQ955" s="252"/>
      <c r="UJR955" s="252"/>
      <c r="UJS955" s="252"/>
      <c r="UJT955" s="252"/>
      <c r="UJU955" s="252"/>
      <c r="UJV955" s="252"/>
      <c r="UJW955" s="252"/>
      <c r="UJX955" s="252"/>
      <c r="UJY955" s="252"/>
      <c r="UJZ955" s="252"/>
      <c r="UKA955" s="252"/>
      <c r="UKB955" s="252"/>
      <c r="UKC955" s="252"/>
      <c r="UKD955" s="252"/>
      <c r="UKE955" s="252"/>
      <c r="UKF955" s="252"/>
      <c r="UKG955" s="252"/>
      <c r="UKH955" s="252"/>
      <c r="UKI955" s="252"/>
      <c r="UKJ955" s="252"/>
      <c r="UKK955" s="252"/>
      <c r="UKL955" s="252"/>
      <c r="UKM955" s="252"/>
      <c r="UKN955" s="252"/>
      <c r="UKO955" s="252"/>
      <c r="UKP955" s="252"/>
      <c r="UKQ955" s="252"/>
      <c r="UKR955" s="252"/>
      <c r="UKS955" s="252"/>
      <c r="UKT955" s="252"/>
      <c r="UKU955" s="252"/>
      <c r="UKV955" s="252"/>
      <c r="UKW955" s="252"/>
      <c r="UKX955" s="252"/>
      <c r="UKY955" s="252"/>
      <c r="UKZ955" s="252"/>
      <c r="ULA955" s="252"/>
      <c r="ULB955" s="252"/>
      <c r="ULC955" s="252"/>
      <c r="ULD955" s="252"/>
      <c r="ULE955" s="252"/>
      <c r="ULF955" s="252"/>
      <c r="ULG955" s="252"/>
      <c r="ULH955" s="252"/>
      <c r="ULI955" s="252"/>
      <c r="ULJ955" s="252"/>
      <c r="ULK955" s="252"/>
      <c r="ULL955" s="252"/>
      <c r="ULM955" s="252"/>
      <c r="ULN955" s="252"/>
      <c r="ULO955" s="252"/>
      <c r="ULP955" s="252"/>
      <c r="ULQ955" s="252"/>
      <c r="ULR955" s="252"/>
      <c r="ULS955" s="252"/>
      <c r="ULT955" s="252"/>
      <c r="ULU955" s="252"/>
      <c r="ULV955" s="252"/>
      <c r="ULW955" s="252"/>
      <c r="ULX955" s="252"/>
      <c r="ULY955" s="252"/>
      <c r="ULZ955" s="252"/>
      <c r="UMA955" s="252"/>
      <c r="UMB955" s="252"/>
      <c r="UMC955" s="252"/>
      <c r="UMD955" s="252"/>
      <c r="UME955" s="252"/>
      <c r="UMF955" s="252"/>
      <c r="UMG955" s="252"/>
      <c r="UMH955" s="252"/>
      <c r="UMI955" s="252"/>
      <c r="UMJ955" s="252"/>
      <c r="UMK955" s="252"/>
      <c r="UML955" s="252"/>
      <c r="UMM955" s="252"/>
      <c r="UMN955" s="252"/>
      <c r="UMO955" s="252"/>
      <c r="UMP955" s="252"/>
      <c r="UMQ955" s="252"/>
      <c r="UMR955" s="252"/>
      <c r="UMS955" s="252"/>
      <c r="UMT955" s="252"/>
      <c r="UMU955" s="252"/>
      <c r="UMV955" s="252"/>
      <c r="UMW955" s="252"/>
      <c r="UMX955" s="252"/>
      <c r="UMY955" s="252"/>
      <c r="UMZ955" s="252"/>
      <c r="UNA955" s="252"/>
      <c r="UNB955" s="252"/>
      <c r="UNC955" s="252"/>
      <c r="UND955" s="252"/>
      <c r="UNE955" s="252"/>
      <c r="UNF955" s="252"/>
      <c r="UNG955" s="252"/>
      <c r="UNH955" s="252"/>
      <c r="UNI955" s="252"/>
      <c r="UNJ955" s="252"/>
      <c r="UNK955" s="252"/>
      <c r="UNL955" s="252"/>
      <c r="UNM955" s="252"/>
      <c r="UNN955" s="252"/>
      <c r="UNO955" s="252"/>
      <c r="UNP955" s="252"/>
      <c r="UNQ955" s="252"/>
      <c r="UNR955" s="252"/>
      <c r="UNS955" s="252"/>
      <c r="UNT955" s="252"/>
      <c r="UNU955" s="252"/>
      <c r="UNV955" s="252"/>
      <c r="UNW955" s="252"/>
      <c r="UNX955" s="252"/>
      <c r="UNY955" s="252"/>
      <c r="UNZ955" s="252"/>
      <c r="UOA955" s="252"/>
      <c r="UOB955" s="252"/>
      <c r="UOC955" s="252"/>
      <c r="UOD955" s="252"/>
      <c r="UOE955" s="252"/>
      <c r="UOF955" s="252"/>
      <c r="UOG955" s="252"/>
      <c r="UOH955" s="252"/>
      <c r="UOI955" s="252"/>
      <c r="UOJ955" s="252"/>
      <c r="UOK955" s="252"/>
      <c r="UOL955" s="252"/>
      <c r="UOM955" s="252"/>
      <c r="UON955" s="252"/>
      <c r="UOO955" s="252"/>
      <c r="UOP955" s="252"/>
      <c r="UOQ955" s="252"/>
      <c r="UOR955" s="252"/>
      <c r="UOS955" s="252"/>
      <c r="UOT955" s="252"/>
      <c r="UOU955" s="252"/>
      <c r="UOV955" s="252"/>
      <c r="UOW955" s="252"/>
      <c r="UOX955" s="252"/>
      <c r="UOY955" s="252"/>
      <c r="UOZ955" s="252"/>
      <c r="UPA955" s="252"/>
      <c r="UPB955" s="252"/>
      <c r="UPC955" s="252"/>
      <c r="UPD955" s="252"/>
      <c r="UPE955" s="252"/>
      <c r="UPF955" s="252"/>
      <c r="UPG955" s="252"/>
      <c r="UPH955" s="252"/>
      <c r="UPI955" s="252"/>
      <c r="UPJ955" s="252"/>
      <c r="UPK955" s="252"/>
      <c r="UPL955" s="252"/>
      <c r="UPM955" s="252"/>
      <c r="UPN955" s="252"/>
      <c r="UPO955" s="252"/>
      <c r="UPP955" s="252"/>
      <c r="UPQ955" s="252"/>
      <c r="UPR955" s="252"/>
      <c r="UPS955" s="252"/>
      <c r="UPT955" s="252"/>
      <c r="UPU955" s="252"/>
      <c r="UPV955" s="252"/>
      <c r="UPW955" s="252"/>
      <c r="UPX955" s="252"/>
      <c r="UPY955" s="252"/>
      <c r="UPZ955" s="252"/>
      <c r="UQA955" s="252"/>
      <c r="UQB955" s="252"/>
      <c r="UQC955" s="252"/>
      <c r="UQD955" s="252"/>
      <c r="UQE955" s="252"/>
      <c r="UQF955" s="252"/>
      <c r="UQG955" s="252"/>
      <c r="UQH955" s="252"/>
      <c r="UQI955" s="252"/>
      <c r="UQJ955" s="252"/>
      <c r="UQK955" s="252"/>
      <c r="UQL955" s="252"/>
      <c r="UQM955" s="252"/>
      <c r="UQN955" s="252"/>
      <c r="UQO955" s="252"/>
      <c r="UQP955" s="252"/>
      <c r="UQQ955" s="252"/>
      <c r="UQR955" s="252"/>
      <c r="UQS955" s="252"/>
      <c r="UQT955" s="252"/>
      <c r="UQU955" s="252"/>
      <c r="UQV955" s="252"/>
      <c r="UQW955" s="252"/>
      <c r="UQX955" s="252"/>
      <c r="UQY955" s="252"/>
      <c r="UQZ955" s="252"/>
      <c r="URA955" s="252"/>
      <c r="URB955" s="252"/>
      <c r="URC955" s="252"/>
      <c r="URD955" s="252"/>
      <c r="URE955" s="252"/>
      <c r="URF955" s="252"/>
      <c r="URG955" s="252"/>
      <c r="URH955" s="252"/>
      <c r="URI955" s="252"/>
      <c r="URJ955" s="252"/>
      <c r="URK955" s="252"/>
      <c r="URL955" s="252"/>
      <c r="URM955" s="252"/>
      <c r="URN955" s="252"/>
      <c r="URO955" s="252"/>
      <c r="URP955" s="252"/>
      <c r="URQ955" s="252"/>
      <c r="URR955" s="252"/>
      <c r="URS955" s="252"/>
      <c r="URT955" s="252"/>
      <c r="URU955" s="252"/>
      <c r="URV955" s="252"/>
      <c r="URW955" s="252"/>
      <c r="URX955" s="252"/>
      <c r="URY955" s="252"/>
      <c r="URZ955" s="252"/>
      <c r="USA955" s="252"/>
      <c r="USB955" s="252"/>
      <c r="USC955" s="252"/>
      <c r="USD955" s="252"/>
      <c r="USE955" s="252"/>
      <c r="USF955" s="252"/>
      <c r="USG955" s="252"/>
      <c r="USH955" s="252"/>
      <c r="USI955" s="252"/>
      <c r="USJ955" s="252"/>
      <c r="USK955" s="252"/>
      <c r="USL955" s="252"/>
      <c r="USM955" s="252"/>
      <c r="USN955" s="252"/>
      <c r="USO955" s="252"/>
      <c r="USP955" s="252"/>
      <c r="USQ955" s="252"/>
      <c r="USR955" s="252"/>
      <c r="USS955" s="252"/>
      <c r="UST955" s="252"/>
      <c r="USU955" s="252"/>
      <c r="USV955" s="252"/>
      <c r="USW955" s="252"/>
      <c r="USX955" s="252"/>
      <c r="USY955" s="252"/>
      <c r="USZ955" s="252"/>
      <c r="UTA955" s="252"/>
      <c r="UTB955" s="252"/>
      <c r="UTC955" s="252"/>
      <c r="UTD955" s="252"/>
      <c r="UTE955" s="252"/>
      <c r="UTF955" s="252"/>
      <c r="UTG955" s="252"/>
      <c r="UTH955" s="252"/>
      <c r="UTI955" s="252"/>
      <c r="UTJ955" s="252"/>
      <c r="UTK955" s="252"/>
      <c r="UTL955" s="252"/>
      <c r="UTM955" s="252"/>
      <c r="UTN955" s="252"/>
      <c r="UTO955" s="252"/>
      <c r="UTP955" s="252"/>
      <c r="UTQ955" s="252"/>
      <c r="UTR955" s="252"/>
      <c r="UTS955" s="252"/>
      <c r="UTT955" s="252"/>
      <c r="UTU955" s="252"/>
      <c r="UTV955" s="252"/>
      <c r="UTW955" s="252"/>
      <c r="UTX955" s="252"/>
      <c r="UTY955" s="252"/>
      <c r="UTZ955" s="252"/>
      <c r="UUA955" s="252"/>
      <c r="UUB955" s="252"/>
      <c r="UUC955" s="252"/>
      <c r="UUD955" s="252"/>
      <c r="UUE955" s="252"/>
      <c r="UUF955" s="252"/>
      <c r="UUG955" s="252"/>
      <c r="UUH955" s="252"/>
      <c r="UUI955" s="252"/>
      <c r="UUJ955" s="252"/>
      <c r="UUK955" s="252"/>
      <c r="UUL955" s="252"/>
      <c r="UUM955" s="252"/>
      <c r="UUN955" s="252"/>
      <c r="UUO955" s="252"/>
      <c r="UUP955" s="252"/>
      <c r="UUQ955" s="252"/>
      <c r="UUR955" s="252"/>
      <c r="UUS955" s="252"/>
      <c r="UUT955" s="252"/>
      <c r="UUU955" s="252"/>
      <c r="UUV955" s="252"/>
      <c r="UUW955" s="252"/>
      <c r="UUX955" s="252"/>
      <c r="UUY955" s="252"/>
      <c r="UUZ955" s="252"/>
      <c r="UVA955" s="252"/>
      <c r="UVB955" s="252"/>
      <c r="UVC955" s="252"/>
      <c r="UVD955" s="252"/>
      <c r="UVE955" s="252"/>
      <c r="UVF955" s="252"/>
      <c r="UVG955" s="252"/>
      <c r="UVH955" s="252"/>
      <c r="UVI955" s="252"/>
      <c r="UVJ955" s="252"/>
      <c r="UVK955" s="252"/>
      <c r="UVL955" s="252"/>
      <c r="UVM955" s="252"/>
      <c r="UVN955" s="252"/>
      <c r="UVO955" s="252"/>
      <c r="UVP955" s="252"/>
      <c r="UVQ955" s="252"/>
      <c r="UVR955" s="252"/>
      <c r="UVS955" s="252"/>
      <c r="UVT955" s="252"/>
      <c r="UVU955" s="252"/>
      <c r="UVV955" s="252"/>
      <c r="UVW955" s="252"/>
      <c r="UVX955" s="252"/>
      <c r="UVY955" s="252"/>
      <c r="UVZ955" s="252"/>
      <c r="UWA955" s="252"/>
      <c r="UWB955" s="252"/>
      <c r="UWC955" s="252"/>
      <c r="UWD955" s="252"/>
      <c r="UWE955" s="252"/>
      <c r="UWF955" s="252"/>
      <c r="UWG955" s="252"/>
      <c r="UWH955" s="252"/>
      <c r="UWI955" s="252"/>
      <c r="UWJ955" s="252"/>
      <c r="UWK955" s="252"/>
      <c r="UWL955" s="252"/>
      <c r="UWM955" s="252"/>
      <c r="UWN955" s="252"/>
      <c r="UWO955" s="252"/>
      <c r="UWP955" s="252"/>
      <c r="UWQ955" s="252"/>
      <c r="UWR955" s="252"/>
      <c r="UWS955" s="252"/>
      <c r="UWT955" s="252"/>
      <c r="UWU955" s="252"/>
      <c r="UWV955" s="252"/>
      <c r="UWW955" s="252"/>
      <c r="UWX955" s="252"/>
      <c r="UWY955" s="252"/>
      <c r="UWZ955" s="252"/>
      <c r="UXA955" s="252"/>
      <c r="UXB955" s="252"/>
      <c r="UXC955" s="252"/>
      <c r="UXD955" s="252"/>
      <c r="UXE955" s="252"/>
      <c r="UXF955" s="252"/>
      <c r="UXG955" s="252"/>
      <c r="UXH955" s="252"/>
      <c r="UXI955" s="252"/>
      <c r="UXJ955" s="252"/>
      <c r="UXK955" s="252"/>
      <c r="UXL955" s="252"/>
      <c r="UXM955" s="252"/>
      <c r="UXN955" s="252"/>
      <c r="UXO955" s="252"/>
      <c r="UXP955" s="252"/>
      <c r="UXQ955" s="252"/>
      <c r="UXR955" s="252"/>
      <c r="UXS955" s="252"/>
      <c r="UXT955" s="252"/>
      <c r="UXU955" s="252"/>
      <c r="UXV955" s="252"/>
      <c r="UXW955" s="252"/>
      <c r="UXX955" s="252"/>
      <c r="UXY955" s="252"/>
      <c r="UXZ955" s="252"/>
      <c r="UYA955" s="252"/>
      <c r="UYB955" s="252"/>
      <c r="UYC955" s="252"/>
      <c r="UYD955" s="252"/>
      <c r="UYE955" s="252"/>
      <c r="UYF955" s="252"/>
      <c r="UYG955" s="252"/>
      <c r="UYH955" s="252"/>
      <c r="UYI955" s="252"/>
      <c r="UYJ955" s="252"/>
      <c r="UYK955" s="252"/>
      <c r="UYL955" s="252"/>
      <c r="UYM955" s="252"/>
      <c r="UYN955" s="252"/>
      <c r="UYO955" s="252"/>
      <c r="UYP955" s="252"/>
      <c r="UYQ955" s="252"/>
      <c r="UYR955" s="252"/>
      <c r="UYS955" s="252"/>
      <c r="UYT955" s="252"/>
      <c r="UYU955" s="252"/>
      <c r="UYV955" s="252"/>
      <c r="UYW955" s="252"/>
      <c r="UYX955" s="252"/>
      <c r="UYY955" s="252"/>
      <c r="UYZ955" s="252"/>
      <c r="UZA955" s="252"/>
      <c r="UZB955" s="252"/>
      <c r="UZC955" s="252"/>
      <c r="UZD955" s="252"/>
      <c r="UZE955" s="252"/>
      <c r="UZF955" s="252"/>
      <c r="UZG955" s="252"/>
      <c r="UZH955" s="252"/>
      <c r="UZI955" s="252"/>
      <c r="UZJ955" s="252"/>
      <c r="UZK955" s="252"/>
      <c r="UZL955" s="252"/>
      <c r="UZM955" s="252"/>
      <c r="UZN955" s="252"/>
      <c r="UZO955" s="252"/>
      <c r="UZP955" s="252"/>
      <c r="UZQ955" s="252"/>
      <c r="UZR955" s="252"/>
      <c r="UZS955" s="252"/>
      <c r="UZT955" s="252"/>
      <c r="UZU955" s="252"/>
      <c r="UZV955" s="252"/>
      <c r="UZW955" s="252"/>
      <c r="UZX955" s="252"/>
      <c r="UZY955" s="252"/>
      <c r="UZZ955" s="252"/>
      <c r="VAA955" s="252"/>
      <c r="VAB955" s="252"/>
      <c r="VAC955" s="252"/>
      <c r="VAD955" s="252"/>
      <c r="VAE955" s="252"/>
      <c r="VAF955" s="252"/>
      <c r="VAG955" s="252"/>
      <c r="VAH955" s="252"/>
      <c r="VAI955" s="252"/>
      <c r="VAJ955" s="252"/>
      <c r="VAK955" s="252"/>
      <c r="VAL955" s="252"/>
      <c r="VAM955" s="252"/>
      <c r="VAN955" s="252"/>
      <c r="VAO955" s="252"/>
      <c r="VAP955" s="252"/>
      <c r="VAQ955" s="252"/>
      <c r="VAR955" s="252"/>
      <c r="VAS955" s="252"/>
      <c r="VAT955" s="252"/>
      <c r="VAU955" s="252"/>
      <c r="VAV955" s="252"/>
      <c r="VAW955" s="252"/>
      <c r="VAX955" s="252"/>
      <c r="VAY955" s="252"/>
      <c r="VAZ955" s="252"/>
      <c r="VBA955" s="252"/>
      <c r="VBB955" s="252"/>
      <c r="VBC955" s="252"/>
      <c r="VBD955" s="252"/>
      <c r="VBE955" s="252"/>
      <c r="VBF955" s="252"/>
      <c r="VBG955" s="252"/>
      <c r="VBH955" s="252"/>
      <c r="VBI955" s="252"/>
      <c r="VBJ955" s="252"/>
      <c r="VBK955" s="252"/>
      <c r="VBL955" s="252"/>
      <c r="VBM955" s="252"/>
      <c r="VBN955" s="252"/>
      <c r="VBO955" s="252"/>
      <c r="VBP955" s="252"/>
      <c r="VBQ955" s="252"/>
      <c r="VBR955" s="252"/>
      <c r="VBS955" s="252"/>
      <c r="VBT955" s="252"/>
      <c r="VBU955" s="252"/>
      <c r="VBV955" s="252"/>
      <c r="VBW955" s="252"/>
      <c r="VBX955" s="252"/>
      <c r="VBY955" s="252"/>
      <c r="VBZ955" s="252"/>
      <c r="VCA955" s="252"/>
      <c r="VCB955" s="252"/>
      <c r="VCC955" s="252"/>
      <c r="VCD955" s="252"/>
      <c r="VCE955" s="252"/>
      <c r="VCF955" s="252"/>
      <c r="VCG955" s="252"/>
      <c r="VCH955" s="252"/>
      <c r="VCI955" s="252"/>
      <c r="VCJ955" s="252"/>
      <c r="VCK955" s="252"/>
      <c r="VCL955" s="252"/>
      <c r="VCM955" s="252"/>
      <c r="VCN955" s="252"/>
      <c r="VCO955" s="252"/>
      <c r="VCP955" s="252"/>
      <c r="VCQ955" s="252"/>
      <c r="VCR955" s="252"/>
      <c r="VCS955" s="252"/>
      <c r="VCT955" s="252"/>
      <c r="VCU955" s="252"/>
      <c r="VCV955" s="252"/>
      <c r="VCW955" s="252"/>
      <c r="VCX955" s="252"/>
      <c r="VCY955" s="252"/>
      <c r="VCZ955" s="252"/>
      <c r="VDA955" s="252"/>
      <c r="VDB955" s="252"/>
      <c r="VDC955" s="252"/>
      <c r="VDD955" s="252"/>
      <c r="VDE955" s="252"/>
      <c r="VDF955" s="252"/>
      <c r="VDG955" s="252"/>
      <c r="VDH955" s="252"/>
      <c r="VDI955" s="252"/>
      <c r="VDJ955" s="252"/>
      <c r="VDK955" s="252"/>
      <c r="VDL955" s="252"/>
      <c r="VDM955" s="252"/>
      <c r="VDN955" s="252"/>
      <c r="VDO955" s="252"/>
      <c r="VDP955" s="252"/>
      <c r="VDQ955" s="252"/>
      <c r="VDR955" s="252"/>
      <c r="VDS955" s="252"/>
      <c r="VDT955" s="252"/>
      <c r="VDU955" s="252"/>
      <c r="VDV955" s="252"/>
      <c r="VDW955" s="252"/>
      <c r="VDX955" s="252"/>
      <c r="VDY955" s="252"/>
      <c r="VDZ955" s="252"/>
      <c r="VEA955" s="252"/>
      <c r="VEB955" s="252"/>
      <c r="VEC955" s="252"/>
      <c r="VED955" s="252"/>
      <c r="VEE955" s="252"/>
      <c r="VEF955" s="252"/>
      <c r="VEG955" s="252"/>
      <c r="VEH955" s="252"/>
      <c r="VEI955" s="252"/>
      <c r="VEJ955" s="252"/>
      <c r="VEK955" s="252"/>
      <c r="VEL955" s="252"/>
      <c r="VEM955" s="252"/>
      <c r="VEN955" s="252"/>
      <c r="VEO955" s="252"/>
      <c r="VEP955" s="252"/>
      <c r="VEQ955" s="252"/>
      <c r="VER955" s="252"/>
      <c r="VES955" s="252"/>
      <c r="VET955" s="252"/>
      <c r="VEU955" s="252"/>
      <c r="VEV955" s="252"/>
      <c r="VEW955" s="252"/>
      <c r="VEX955" s="252"/>
      <c r="VEY955" s="252"/>
      <c r="VEZ955" s="252"/>
      <c r="VFA955" s="252"/>
      <c r="VFB955" s="252"/>
      <c r="VFC955" s="252"/>
      <c r="VFD955" s="252"/>
      <c r="VFE955" s="252"/>
      <c r="VFF955" s="252"/>
      <c r="VFG955" s="252"/>
      <c r="VFH955" s="252"/>
      <c r="VFI955" s="252"/>
      <c r="VFJ955" s="252"/>
      <c r="VFK955" s="252"/>
      <c r="VFL955" s="252"/>
      <c r="VFM955" s="252"/>
      <c r="VFN955" s="252"/>
      <c r="VFO955" s="252"/>
      <c r="VFP955" s="252"/>
      <c r="VFQ955" s="252"/>
      <c r="VFR955" s="252"/>
      <c r="VFS955" s="252"/>
      <c r="VFT955" s="252"/>
      <c r="VFU955" s="252"/>
      <c r="VFV955" s="252"/>
      <c r="VFW955" s="252"/>
      <c r="VFX955" s="252"/>
      <c r="VFY955" s="252"/>
      <c r="VFZ955" s="252"/>
      <c r="VGA955" s="252"/>
      <c r="VGB955" s="252"/>
      <c r="VGC955" s="252"/>
      <c r="VGD955" s="252"/>
      <c r="VGE955" s="252"/>
      <c r="VGF955" s="252"/>
      <c r="VGG955" s="252"/>
      <c r="VGH955" s="252"/>
      <c r="VGI955" s="252"/>
      <c r="VGJ955" s="252"/>
      <c r="VGK955" s="252"/>
      <c r="VGL955" s="252"/>
      <c r="VGM955" s="252"/>
      <c r="VGN955" s="252"/>
      <c r="VGO955" s="252"/>
      <c r="VGP955" s="252"/>
      <c r="VGQ955" s="252"/>
      <c r="VGR955" s="252"/>
      <c r="VGS955" s="252"/>
      <c r="VGT955" s="252"/>
      <c r="VGU955" s="252"/>
      <c r="VGV955" s="252"/>
      <c r="VGW955" s="252"/>
      <c r="VGX955" s="252"/>
      <c r="VGY955" s="252"/>
      <c r="VGZ955" s="252"/>
      <c r="VHA955" s="252"/>
      <c r="VHB955" s="252"/>
      <c r="VHC955" s="252"/>
      <c r="VHD955" s="252"/>
      <c r="VHE955" s="252"/>
      <c r="VHF955" s="252"/>
      <c r="VHG955" s="252"/>
      <c r="VHH955" s="252"/>
      <c r="VHI955" s="252"/>
      <c r="VHJ955" s="252"/>
      <c r="VHK955" s="252"/>
      <c r="VHL955" s="252"/>
      <c r="VHM955" s="252"/>
      <c r="VHN955" s="252"/>
      <c r="VHO955" s="252"/>
      <c r="VHP955" s="252"/>
      <c r="VHQ955" s="252"/>
      <c r="VHR955" s="252"/>
      <c r="VHS955" s="252"/>
      <c r="VHT955" s="252"/>
      <c r="VHU955" s="252"/>
      <c r="VHV955" s="252"/>
      <c r="VHW955" s="252"/>
      <c r="VHX955" s="252"/>
      <c r="VHY955" s="252"/>
      <c r="VHZ955" s="252"/>
      <c r="VIA955" s="252"/>
      <c r="VIB955" s="252"/>
      <c r="VIC955" s="252"/>
      <c r="VID955" s="252"/>
      <c r="VIE955" s="252"/>
      <c r="VIF955" s="252"/>
      <c r="VIG955" s="252"/>
      <c r="VIH955" s="252"/>
      <c r="VII955" s="252"/>
      <c r="VIJ955" s="252"/>
      <c r="VIK955" s="252"/>
      <c r="VIL955" s="252"/>
      <c r="VIM955" s="252"/>
      <c r="VIN955" s="252"/>
      <c r="VIO955" s="252"/>
      <c r="VIP955" s="252"/>
      <c r="VIQ955" s="252"/>
      <c r="VIR955" s="252"/>
      <c r="VIS955" s="252"/>
      <c r="VIT955" s="252"/>
      <c r="VIU955" s="252"/>
      <c r="VIV955" s="252"/>
      <c r="VIW955" s="252"/>
      <c r="VIX955" s="252"/>
      <c r="VIY955" s="252"/>
      <c r="VIZ955" s="252"/>
      <c r="VJA955" s="252"/>
      <c r="VJB955" s="252"/>
      <c r="VJC955" s="252"/>
      <c r="VJD955" s="252"/>
      <c r="VJE955" s="252"/>
      <c r="VJF955" s="252"/>
      <c r="VJG955" s="252"/>
      <c r="VJH955" s="252"/>
      <c r="VJI955" s="252"/>
      <c r="VJJ955" s="252"/>
      <c r="VJK955" s="252"/>
      <c r="VJL955" s="252"/>
      <c r="VJM955" s="252"/>
      <c r="VJN955" s="252"/>
      <c r="VJO955" s="252"/>
      <c r="VJP955" s="252"/>
      <c r="VJQ955" s="252"/>
      <c r="VJR955" s="252"/>
      <c r="VJS955" s="252"/>
      <c r="VJT955" s="252"/>
      <c r="VJU955" s="252"/>
      <c r="VJV955" s="252"/>
      <c r="VJW955" s="252"/>
      <c r="VJX955" s="252"/>
      <c r="VJY955" s="252"/>
      <c r="VJZ955" s="252"/>
      <c r="VKA955" s="252"/>
      <c r="VKB955" s="252"/>
      <c r="VKC955" s="252"/>
      <c r="VKD955" s="252"/>
      <c r="VKE955" s="252"/>
      <c r="VKF955" s="252"/>
      <c r="VKG955" s="252"/>
      <c r="VKH955" s="252"/>
      <c r="VKI955" s="252"/>
      <c r="VKJ955" s="252"/>
      <c r="VKK955" s="252"/>
      <c r="VKL955" s="252"/>
      <c r="VKM955" s="252"/>
      <c r="VKN955" s="252"/>
      <c r="VKO955" s="252"/>
      <c r="VKP955" s="252"/>
      <c r="VKQ955" s="252"/>
      <c r="VKR955" s="252"/>
      <c r="VKS955" s="252"/>
      <c r="VKT955" s="252"/>
      <c r="VKU955" s="252"/>
      <c r="VKV955" s="252"/>
      <c r="VKW955" s="252"/>
      <c r="VKX955" s="252"/>
      <c r="VKY955" s="252"/>
      <c r="VKZ955" s="252"/>
      <c r="VLA955" s="252"/>
      <c r="VLB955" s="252"/>
      <c r="VLC955" s="252"/>
      <c r="VLD955" s="252"/>
      <c r="VLE955" s="252"/>
      <c r="VLF955" s="252"/>
      <c r="VLG955" s="252"/>
      <c r="VLH955" s="252"/>
      <c r="VLI955" s="252"/>
      <c r="VLJ955" s="252"/>
      <c r="VLK955" s="252"/>
      <c r="VLL955" s="252"/>
      <c r="VLM955" s="252"/>
      <c r="VLN955" s="252"/>
      <c r="VLO955" s="252"/>
      <c r="VLP955" s="252"/>
      <c r="VLQ955" s="252"/>
      <c r="VLR955" s="252"/>
      <c r="VLS955" s="252"/>
      <c r="VLT955" s="252"/>
      <c r="VLU955" s="252"/>
      <c r="VLV955" s="252"/>
      <c r="VLW955" s="252"/>
      <c r="VLX955" s="252"/>
      <c r="VLY955" s="252"/>
      <c r="VLZ955" s="252"/>
      <c r="VMA955" s="252"/>
      <c r="VMB955" s="252"/>
      <c r="VMC955" s="252"/>
      <c r="VMD955" s="252"/>
      <c r="VME955" s="252"/>
      <c r="VMF955" s="252"/>
      <c r="VMG955" s="252"/>
      <c r="VMH955" s="252"/>
      <c r="VMI955" s="252"/>
      <c r="VMJ955" s="252"/>
      <c r="VMK955" s="252"/>
      <c r="VML955" s="252"/>
      <c r="VMM955" s="252"/>
      <c r="VMN955" s="252"/>
      <c r="VMO955" s="252"/>
      <c r="VMP955" s="252"/>
      <c r="VMQ955" s="252"/>
      <c r="VMR955" s="252"/>
      <c r="VMS955" s="252"/>
      <c r="VMT955" s="252"/>
      <c r="VMU955" s="252"/>
      <c r="VMV955" s="252"/>
      <c r="VMW955" s="252"/>
      <c r="VMX955" s="252"/>
      <c r="VMY955" s="252"/>
      <c r="VMZ955" s="252"/>
      <c r="VNA955" s="252"/>
      <c r="VNB955" s="252"/>
      <c r="VNC955" s="252"/>
      <c r="VND955" s="252"/>
      <c r="VNE955" s="252"/>
      <c r="VNF955" s="252"/>
      <c r="VNG955" s="252"/>
      <c r="VNH955" s="252"/>
      <c r="VNI955" s="252"/>
      <c r="VNJ955" s="252"/>
      <c r="VNK955" s="252"/>
      <c r="VNL955" s="252"/>
      <c r="VNM955" s="252"/>
      <c r="VNN955" s="252"/>
      <c r="VNO955" s="252"/>
      <c r="VNP955" s="252"/>
      <c r="VNQ955" s="252"/>
      <c r="VNR955" s="252"/>
      <c r="VNS955" s="252"/>
      <c r="VNT955" s="252"/>
      <c r="VNU955" s="252"/>
      <c r="VNV955" s="252"/>
      <c r="VNW955" s="252"/>
      <c r="VNX955" s="252"/>
      <c r="VNY955" s="252"/>
      <c r="VNZ955" s="252"/>
      <c r="VOA955" s="252"/>
      <c r="VOB955" s="252"/>
      <c r="VOC955" s="252"/>
      <c r="VOD955" s="252"/>
      <c r="VOE955" s="252"/>
      <c r="VOF955" s="252"/>
      <c r="VOG955" s="252"/>
      <c r="VOH955" s="252"/>
      <c r="VOI955" s="252"/>
      <c r="VOJ955" s="252"/>
      <c r="VOK955" s="252"/>
      <c r="VOL955" s="252"/>
      <c r="VOM955" s="252"/>
      <c r="VON955" s="252"/>
      <c r="VOO955" s="252"/>
      <c r="VOP955" s="252"/>
      <c r="VOQ955" s="252"/>
      <c r="VOR955" s="252"/>
      <c r="VOS955" s="252"/>
      <c r="VOT955" s="252"/>
      <c r="VOU955" s="252"/>
      <c r="VOV955" s="252"/>
      <c r="VOW955" s="252"/>
      <c r="VOX955" s="252"/>
      <c r="VOY955" s="252"/>
      <c r="VOZ955" s="252"/>
      <c r="VPA955" s="252"/>
      <c r="VPB955" s="252"/>
      <c r="VPC955" s="252"/>
      <c r="VPD955" s="252"/>
      <c r="VPE955" s="252"/>
      <c r="VPF955" s="252"/>
      <c r="VPG955" s="252"/>
      <c r="VPH955" s="252"/>
      <c r="VPI955" s="252"/>
      <c r="VPJ955" s="252"/>
      <c r="VPK955" s="252"/>
      <c r="VPL955" s="252"/>
      <c r="VPM955" s="252"/>
      <c r="VPN955" s="252"/>
      <c r="VPO955" s="252"/>
      <c r="VPP955" s="252"/>
      <c r="VPQ955" s="252"/>
      <c r="VPR955" s="252"/>
      <c r="VPS955" s="252"/>
      <c r="VPT955" s="252"/>
      <c r="VPU955" s="252"/>
      <c r="VPV955" s="252"/>
      <c r="VPW955" s="252"/>
      <c r="VPX955" s="252"/>
      <c r="VPY955" s="252"/>
      <c r="VPZ955" s="252"/>
      <c r="VQA955" s="252"/>
      <c r="VQB955" s="252"/>
      <c r="VQC955" s="252"/>
      <c r="VQD955" s="252"/>
      <c r="VQE955" s="252"/>
      <c r="VQF955" s="252"/>
      <c r="VQG955" s="252"/>
      <c r="VQH955" s="252"/>
      <c r="VQI955" s="252"/>
      <c r="VQJ955" s="252"/>
      <c r="VQK955" s="252"/>
      <c r="VQL955" s="252"/>
      <c r="VQM955" s="252"/>
      <c r="VQN955" s="252"/>
      <c r="VQO955" s="252"/>
      <c r="VQP955" s="252"/>
      <c r="VQQ955" s="252"/>
      <c r="VQR955" s="252"/>
      <c r="VQS955" s="252"/>
      <c r="VQT955" s="252"/>
      <c r="VQU955" s="252"/>
      <c r="VQV955" s="252"/>
      <c r="VQW955" s="252"/>
      <c r="VQX955" s="252"/>
      <c r="VQY955" s="252"/>
      <c r="VQZ955" s="252"/>
      <c r="VRA955" s="252"/>
      <c r="VRB955" s="252"/>
      <c r="VRC955" s="252"/>
      <c r="VRD955" s="252"/>
      <c r="VRE955" s="252"/>
      <c r="VRF955" s="252"/>
      <c r="VRG955" s="252"/>
      <c r="VRH955" s="252"/>
      <c r="VRI955" s="252"/>
      <c r="VRJ955" s="252"/>
      <c r="VRK955" s="252"/>
      <c r="VRL955" s="252"/>
      <c r="VRM955" s="252"/>
      <c r="VRN955" s="252"/>
      <c r="VRO955" s="252"/>
      <c r="VRP955" s="252"/>
      <c r="VRQ955" s="252"/>
      <c r="VRR955" s="252"/>
      <c r="VRS955" s="252"/>
      <c r="VRT955" s="252"/>
      <c r="VRU955" s="252"/>
      <c r="VRV955" s="252"/>
      <c r="VRW955" s="252"/>
      <c r="VRX955" s="252"/>
      <c r="VRY955" s="252"/>
      <c r="VRZ955" s="252"/>
      <c r="VSA955" s="252"/>
      <c r="VSB955" s="252"/>
      <c r="VSC955" s="252"/>
      <c r="VSD955" s="252"/>
      <c r="VSE955" s="252"/>
      <c r="VSF955" s="252"/>
      <c r="VSG955" s="252"/>
      <c r="VSH955" s="252"/>
      <c r="VSI955" s="252"/>
      <c r="VSJ955" s="252"/>
      <c r="VSK955" s="252"/>
      <c r="VSL955" s="252"/>
      <c r="VSM955" s="252"/>
      <c r="VSN955" s="252"/>
      <c r="VSO955" s="252"/>
      <c r="VSP955" s="252"/>
      <c r="VSQ955" s="252"/>
      <c r="VSR955" s="252"/>
      <c r="VSS955" s="252"/>
      <c r="VST955" s="252"/>
      <c r="VSU955" s="252"/>
      <c r="VSV955" s="252"/>
      <c r="VSW955" s="252"/>
      <c r="VSX955" s="252"/>
      <c r="VSY955" s="252"/>
      <c r="VSZ955" s="252"/>
      <c r="VTA955" s="252"/>
      <c r="VTB955" s="252"/>
      <c r="VTC955" s="252"/>
      <c r="VTD955" s="252"/>
      <c r="VTE955" s="252"/>
      <c r="VTF955" s="252"/>
      <c r="VTG955" s="252"/>
      <c r="VTH955" s="252"/>
      <c r="VTI955" s="252"/>
      <c r="VTJ955" s="252"/>
      <c r="VTK955" s="252"/>
      <c r="VTL955" s="252"/>
      <c r="VTM955" s="252"/>
      <c r="VTN955" s="252"/>
      <c r="VTO955" s="252"/>
      <c r="VTP955" s="252"/>
      <c r="VTQ955" s="252"/>
      <c r="VTR955" s="252"/>
      <c r="VTS955" s="252"/>
      <c r="VTT955" s="252"/>
      <c r="VTU955" s="252"/>
      <c r="VTV955" s="252"/>
      <c r="VTW955" s="252"/>
      <c r="VTX955" s="252"/>
      <c r="VTY955" s="252"/>
      <c r="VTZ955" s="252"/>
      <c r="VUA955" s="252"/>
      <c r="VUB955" s="252"/>
      <c r="VUC955" s="252"/>
      <c r="VUD955" s="252"/>
      <c r="VUE955" s="252"/>
      <c r="VUF955" s="252"/>
      <c r="VUG955" s="252"/>
      <c r="VUH955" s="252"/>
      <c r="VUI955" s="252"/>
      <c r="VUJ955" s="252"/>
      <c r="VUK955" s="252"/>
      <c r="VUL955" s="252"/>
      <c r="VUM955" s="252"/>
      <c r="VUN955" s="252"/>
      <c r="VUO955" s="252"/>
      <c r="VUP955" s="252"/>
      <c r="VUQ955" s="252"/>
      <c r="VUR955" s="252"/>
      <c r="VUS955" s="252"/>
      <c r="VUT955" s="252"/>
      <c r="VUU955" s="252"/>
      <c r="VUV955" s="252"/>
      <c r="VUW955" s="252"/>
      <c r="VUX955" s="252"/>
      <c r="VUY955" s="252"/>
      <c r="VUZ955" s="252"/>
      <c r="VVA955" s="252"/>
      <c r="VVB955" s="252"/>
      <c r="VVC955" s="252"/>
      <c r="VVD955" s="252"/>
      <c r="VVE955" s="252"/>
      <c r="VVF955" s="252"/>
      <c r="VVG955" s="252"/>
      <c r="VVH955" s="252"/>
      <c r="VVI955" s="252"/>
      <c r="VVJ955" s="252"/>
      <c r="VVK955" s="252"/>
      <c r="VVL955" s="252"/>
      <c r="VVM955" s="252"/>
      <c r="VVN955" s="252"/>
      <c r="VVO955" s="252"/>
      <c r="VVP955" s="252"/>
      <c r="VVQ955" s="252"/>
      <c r="VVR955" s="252"/>
      <c r="VVS955" s="252"/>
      <c r="VVT955" s="252"/>
      <c r="VVU955" s="252"/>
      <c r="VVV955" s="252"/>
      <c r="VVW955" s="252"/>
      <c r="VVX955" s="252"/>
      <c r="VVY955" s="252"/>
      <c r="VVZ955" s="252"/>
      <c r="VWA955" s="252"/>
      <c r="VWB955" s="252"/>
      <c r="VWC955" s="252"/>
      <c r="VWD955" s="252"/>
      <c r="VWE955" s="252"/>
      <c r="VWF955" s="252"/>
      <c r="VWG955" s="252"/>
      <c r="VWH955" s="252"/>
      <c r="VWI955" s="252"/>
      <c r="VWJ955" s="252"/>
      <c r="VWK955" s="252"/>
      <c r="VWL955" s="252"/>
      <c r="VWM955" s="252"/>
      <c r="VWN955" s="252"/>
      <c r="VWO955" s="252"/>
      <c r="VWP955" s="252"/>
      <c r="VWQ955" s="252"/>
      <c r="VWR955" s="252"/>
      <c r="VWS955" s="252"/>
      <c r="VWT955" s="252"/>
      <c r="VWU955" s="252"/>
      <c r="VWV955" s="252"/>
      <c r="VWW955" s="252"/>
      <c r="VWX955" s="252"/>
      <c r="VWY955" s="252"/>
      <c r="VWZ955" s="252"/>
      <c r="VXA955" s="252"/>
      <c r="VXB955" s="252"/>
      <c r="VXC955" s="252"/>
      <c r="VXD955" s="252"/>
      <c r="VXE955" s="252"/>
      <c r="VXF955" s="252"/>
      <c r="VXG955" s="252"/>
      <c r="VXH955" s="252"/>
      <c r="VXI955" s="252"/>
      <c r="VXJ955" s="252"/>
      <c r="VXK955" s="252"/>
      <c r="VXL955" s="252"/>
      <c r="VXM955" s="252"/>
      <c r="VXN955" s="252"/>
      <c r="VXO955" s="252"/>
      <c r="VXP955" s="252"/>
      <c r="VXQ955" s="252"/>
      <c r="VXR955" s="252"/>
      <c r="VXS955" s="252"/>
      <c r="VXT955" s="252"/>
      <c r="VXU955" s="252"/>
      <c r="VXV955" s="252"/>
      <c r="VXW955" s="252"/>
      <c r="VXX955" s="252"/>
      <c r="VXY955" s="252"/>
      <c r="VXZ955" s="252"/>
      <c r="VYA955" s="252"/>
      <c r="VYB955" s="252"/>
      <c r="VYC955" s="252"/>
      <c r="VYD955" s="252"/>
      <c r="VYE955" s="252"/>
      <c r="VYF955" s="252"/>
      <c r="VYG955" s="252"/>
      <c r="VYH955" s="252"/>
      <c r="VYI955" s="252"/>
      <c r="VYJ955" s="252"/>
      <c r="VYK955" s="252"/>
      <c r="VYL955" s="252"/>
      <c r="VYM955" s="252"/>
      <c r="VYN955" s="252"/>
      <c r="VYO955" s="252"/>
      <c r="VYP955" s="252"/>
      <c r="VYQ955" s="252"/>
      <c r="VYR955" s="252"/>
      <c r="VYS955" s="252"/>
      <c r="VYT955" s="252"/>
      <c r="VYU955" s="252"/>
      <c r="VYV955" s="252"/>
      <c r="VYW955" s="252"/>
      <c r="VYX955" s="252"/>
      <c r="VYY955" s="252"/>
      <c r="VYZ955" s="252"/>
      <c r="VZA955" s="252"/>
      <c r="VZB955" s="252"/>
      <c r="VZC955" s="252"/>
      <c r="VZD955" s="252"/>
      <c r="VZE955" s="252"/>
      <c r="VZF955" s="252"/>
      <c r="VZG955" s="252"/>
      <c r="VZH955" s="252"/>
      <c r="VZI955" s="252"/>
      <c r="VZJ955" s="252"/>
      <c r="VZK955" s="252"/>
      <c r="VZL955" s="252"/>
      <c r="VZM955" s="252"/>
      <c r="VZN955" s="252"/>
      <c r="VZO955" s="252"/>
      <c r="VZP955" s="252"/>
      <c r="VZQ955" s="252"/>
      <c r="VZR955" s="252"/>
      <c r="VZS955" s="252"/>
      <c r="VZT955" s="252"/>
      <c r="VZU955" s="252"/>
      <c r="VZV955" s="252"/>
      <c r="VZW955" s="252"/>
      <c r="VZX955" s="252"/>
      <c r="VZY955" s="252"/>
      <c r="VZZ955" s="252"/>
      <c r="WAA955" s="252"/>
      <c r="WAB955" s="252"/>
      <c r="WAC955" s="252"/>
      <c r="WAD955" s="252"/>
      <c r="WAE955" s="252"/>
      <c r="WAF955" s="252"/>
      <c r="WAG955" s="252"/>
      <c r="WAH955" s="252"/>
      <c r="WAI955" s="252"/>
      <c r="WAJ955" s="252"/>
      <c r="WAK955" s="252"/>
      <c r="WAL955" s="252"/>
      <c r="WAM955" s="252"/>
      <c r="WAN955" s="252"/>
      <c r="WAO955" s="252"/>
      <c r="WAP955" s="252"/>
      <c r="WAQ955" s="252"/>
      <c r="WAR955" s="252"/>
      <c r="WAS955" s="252"/>
      <c r="WAT955" s="252"/>
      <c r="WAU955" s="252"/>
      <c r="WAV955" s="252"/>
      <c r="WAW955" s="252"/>
      <c r="WAX955" s="252"/>
      <c r="WAY955" s="252"/>
      <c r="WAZ955" s="252"/>
      <c r="WBA955" s="252"/>
      <c r="WBB955" s="252"/>
      <c r="WBC955" s="252"/>
      <c r="WBD955" s="252"/>
      <c r="WBE955" s="252"/>
      <c r="WBF955" s="252"/>
      <c r="WBG955" s="252"/>
      <c r="WBH955" s="252"/>
      <c r="WBI955" s="252"/>
      <c r="WBJ955" s="252"/>
      <c r="WBK955" s="252"/>
      <c r="WBL955" s="252"/>
      <c r="WBM955" s="252"/>
      <c r="WBN955" s="252"/>
      <c r="WBO955" s="252"/>
      <c r="WBP955" s="252"/>
      <c r="WBQ955" s="252"/>
      <c r="WBR955" s="252"/>
      <c r="WBS955" s="252"/>
      <c r="WBT955" s="252"/>
      <c r="WBU955" s="252"/>
      <c r="WBV955" s="252"/>
      <c r="WBW955" s="252"/>
      <c r="WBX955" s="252"/>
      <c r="WBY955" s="252"/>
      <c r="WBZ955" s="252"/>
      <c r="WCA955" s="252"/>
      <c r="WCB955" s="252"/>
      <c r="WCC955" s="252"/>
      <c r="WCD955" s="252"/>
      <c r="WCE955" s="252"/>
      <c r="WCF955" s="252"/>
      <c r="WCG955" s="252"/>
      <c r="WCH955" s="252"/>
      <c r="WCI955" s="252"/>
      <c r="WCJ955" s="252"/>
      <c r="WCK955" s="252"/>
      <c r="WCL955" s="252"/>
      <c r="WCM955" s="252"/>
      <c r="WCN955" s="252"/>
      <c r="WCO955" s="252"/>
      <c r="WCP955" s="252"/>
      <c r="WCQ955" s="252"/>
      <c r="WCR955" s="252"/>
      <c r="WCS955" s="252"/>
      <c r="WCT955" s="252"/>
      <c r="WCU955" s="252"/>
      <c r="WCV955" s="252"/>
      <c r="WCW955" s="252"/>
      <c r="WCX955" s="252"/>
      <c r="WCY955" s="252"/>
      <c r="WCZ955" s="252"/>
      <c r="WDA955" s="252"/>
      <c r="WDB955" s="252"/>
      <c r="WDC955" s="252"/>
      <c r="WDD955" s="252"/>
      <c r="WDE955" s="252"/>
      <c r="WDF955" s="252"/>
      <c r="WDG955" s="252"/>
      <c r="WDH955" s="252"/>
      <c r="WDI955" s="252"/>
      <c r="WDJ955" s="252"/>
      <c r="WDK955" s="252"/>
      <c r="WDL955" s="252"/>
      <c r="WDM955" s="252"/>
      <c r="WDN955" s="252"/>
      <c r="WDO955" s="252"/>
      <c r="WDP955" s="252"/>
      <c r="WDQ955" s="252"/>
      <c r="WDR955" s="252"/>
      <c r="WDS955" s="252"/>
      <c r="WDT955" s="252"/>
      <c r="WDU955" s="252"/>
      <c r="WDV955" s="252"/>
      <c r="WDW955" s="252"/>
      <c r="WDX955" s="252"/>
      <c r="WDY955" s="252"/>
      <c r="WDZ955" s="252"/>
      <c r="WEA955" s="252"/>
      <c r="WEB955" s="252"/>
      <c r="WEC955" s="252"/>
      <c r="WED955" s="252"/>
      <c r="WEE955" s="252"/>
      <c r="WEF955" s="252"/>
      <c r="WEG955" s="252"/>
      <c r="WEH955" s="252"/>
      <c r="WEI955" s="252"/>
      <c r="WEJ955" s="252"/>
      <c r="WEK955" s="252"/>
      <c r="WEL955" s="252"/>
      <c r="WEM955" s="252"/>
      <c r="WEN955" s="252"/>
      <c r="WEO955" s="252"/>
      <c r="WEP955" s="252"/>
      <c r="WEQ955" s="252"/>
      <c r="WER955" s="252"/>
      <c r="WES955" s="252"/>
      <c r="WET955" s="252"/>
      <c r="WEU955" s="252"/>
      <c r="WEV955" s="252"/>
      <c r="WEW955" s="252"/>
      <c r="WEX955" s="252"/>
      <c r="WEY955" s="252"/>
      <c r="WEZ955" s="252"/>
      <c r="WFA955" s="252"/>
      <c r="WFB955" s="252"/>
      <c r="WFC955" s="252"/>
      <c r="WFD955" s="252"/>
      <c r="WFE955" s="252"/>
      <c r="WFF955" s="252"/>
      <c r="WFG955" s="252"/>
      <c r="WFH955" s="252"/>
      <c r="WFI955" s="252"/>
      <c r="WFJ955" s="252"/>
      <c r="WFK955" s="252"/>
      <c r="WFL955" s="252"/>
      <c r="WFM955" s="252"/>
      <c r="WFN955" s="252"/>
      <c r="WFO955" s="252"/>
      <c r="WFP955" s="252"/>
      <c r="WFQ955" s="252"/>
      <c r="WFR955" s="252"/>
      <c r="WFS955" s="252"/>
      <c r="WFT955" s="252"/>
      <c r="WFU955" s="252"/>
      <c r="WFV955" s="252"/>
      <c r="WFW955" s="252"/>
      <c r="WFX955" s="252"/>
      <c r="WFY955" s="252"/>
      <c r="WFZ955" s="252"/>
      <c r="WGA955" s="252"/>
      <c r="WGB955" s="252"/>
      <c r="WGC955" s="252"/>
      <c r="WGD955" s="252"/>
      <c r="WGE955" s="252"/>
      <c r="WGF955" s="252"/>
      <c r="WGG955" s="252"/>
      <c r="WGH955" s="252"/>
      <c r="WGI955" s="252"/>
      <c r="WGJ955" s="252"/>
      <c r="WGK955" s="252"/>
      <c r="WGL955" s="252"/>
      <c r="WGM955" s="252"/>
      <c r="WGN955" s="252"/>
      <c r="WGO955" s="252"/>
      <c r="WGP955" s="252"/>
      <c r="WGQ955" s="252"/>
      <c r="WGR955" s="252"/>
      <c r="WGS955" s="252"/>
      <c r="WGT955" s="252"/>
      <c r="WGU955" s="252"/>
      <c r="WGV955" s="252"/>
      <c r="WGW955" s="252"/>
      <c r="WGX955" s="252"/>
      <c r="WGY955" s="252"/>
      <c r="WGZ955" s="252"/>
      <c r="WHA955" s="252"/>
      <c r="WHB955" s="252"/>
      <c r="WHC955" s="252"/>
      <c r="WHD955" s="252"/>
      <c r="WHE955" s="252"/>
      <c r="WHF955" s="252"/>
      <c r="WHG955" s="252"/>
      <c r="WHH955" s="252"/>
      <c r="WHI955" s="252"/>
      <c r="WHJ955" s="252"/>
      <c r="WHK955" s="252"/>
      <c r="WHL955" s="252"/>
      <c r="WHM955" s="252"/>
      <c r="WHN955" s="252"/>
      <c r="WHO955" s="252"/>
      <c r="WHP955" s="252"/>
      <c r="WHQ955" s="252"/>
      <c r="WHR955" s="252"/>
      <c r="WHS955" s="252"/>
      <c r="WHT955" s="252"/>
      <c r="WHU955" s="252"/>
      <c r="WHV955" s="252"/>
      <c r="WHW955" s="252"/>
      <c r="WHX955" s="252"/>
      <c r="WHY955" s="252"/>
      <c r="WHZ955" s="252"/>
      <c r="WIA955" s="252"/>
      <c r="WIB955" s="252"/>
      <c r="WIC955" s="252"/>
      <c r="WID955" s="252"/>
      <c r="WIE955" s="252"/>
      <c r="WIF955" s="252"/>
      <c r="WIG955" s="252"/>
      <c r="WIH955" s="252"/>
      <c r="WII955" s="252"/>
      <c r="WIJ955" s="252"/>
      <c r="WIK955" s="252"/>
      <c r="WIL955" s="252"/>
      <c r="WIM955" s="252"/>
      <c r="WIN955" s="252"/>
      <c r="WIO955" s="252"/>
      <c r="WIP955" s="252"/>
      <c r="WIQ955" s="252"/>
      <c r="WIR955" s="252"/>
      <c r="WIS955" s="252"/>
      <c r="WIT955" s="252"/>
      <c r="WIU955" s="252"/>
      <c r="WIV955" s="252"/>
      <c r="WIW955" s="252"/>
      <c r="WIX955" s="252"/>
      <c r="WIY955" s="252"/>
      <c r="WIZ955" s="252"/>
      <c r="WJA955" s="252"/>
      <c r="WJB955" s="252"/>
      <c r="WJC955" s="252"/>
      <c r="WJD955" s="252"/>
      <c r="WJE955" s="252"/>
      <c r="WJF955" s="252"/>
      <c r="WJG955" s="252"/>
      <c r="WJH955" s="252"/>
      <c r="WJI955" s="252"/>
      <c r="WJJ955" s="252"/>
      <c r="WJK955" s="252"/>
      <c r="WJL955" s="252"/>
      <c r="WJM955" s="252"/>
      <c r="WJN955" s="252"/>
      <c r="WJO955" s="252"/>
      <c r="WJP955" s="252"/>
      <c r="WJQ955" s="252"/>
      <c r="WJR955" s="252"/>
      <c r="WJS955" s="252"/>
      <c r="WJT955" s="252"/>
      <c r="WJU955" s="252"/>
      <c r="WJV955" s="252"/>
      <c r="WJW955" s="252"/>
      <c r="WJX955" s="252"/>
      <c r="WJY955" s="252"/>
      <c r="WJZ955" s="252"/>
      <c r="WKA955" s="252"/>
      <c r="WKB955" s="252"/>
      <c r="WKC955" s="252"/>
      <c r="WKD955" s="252"/>
      <c r="WKE955" s="252"/>
      <c r="WKF955" s="252"/>
      <c r="WKG955" s="252"/>
      <c r="WKH955" s="252"/>
      <c r="WKI955" s="252"/>
      <c r="WKJ955" s="252"/>
      <c r="WKK955" s="252"/>
      <c r="WKL955" s="252"/>
      <c r="WKM955" s="252"/>
      <c r="WKN955" s="252"/>
      <c r="WKO955" s="252"/>
      <c r="WKP955" s="252"/>
      <c r="WKQ955" s="252"/>
      <c r="WKR955" s="252"/>
      <c r="WKS955" s="252"/>
      <c r="WKT955" s="252"/>
      <c r="WKU955" s="252"/>
      <c r="WKV955" s="252"/>
      <c r="WKW955" s="252"/>
      <c r="WKX955" s="252"/>
      <c r="WKY955" s="252"/>
      <c r="WKZ955" s="252"/>
      <c r="WLA955" s="252"/>
      <c r="WLB955" s="252"/>
      <c r="WLC955" s="252"/>
      <c r="WLD955" s="252"/>
      <c r="WLE955" s="252"/>
      <c r="WLF955" s="252"/>
      <c r="WLG955" s="252"/>
      <c r="WLH955" s="252"/>
      <c r="WLI955" s="252"/>
      <c r="WLJ955" s="252"/>
      <c r="WLK955" s="252"/>
      <c r="WLL955" s="252"/>
      <c r="WLM955" s="252"/>
      <c r="WLN955" s="252"/>
      <c r="WLO955" s="252"/>
      <c r="WLP955" s="252"/>
      <c r="WLQ955" s="252"/>
      <c r="WLR955" s="252"/>
      <c r="WLS955" s="252"/>
      <c r="WLT955" s="252"/>
      <c r="WLU955" s="252"/>
      <c r="WLV955" s="252"/>
      <c r="WLW955" s="252"/>
      <c r="WLX955" s="252"/>
      <c r="WLY955" s="252"/>
      <c r="WLZ955" s="252"/>
      <c r="WMA955" s="252"/>
      <c r="WMB955" s="252"/>
      <c r="WMC955" s="252"/>
      <c r="WMD955" s="252"/>
      <c r="WME955" s="252"/>
      <c r="WMF955" s="252"/>
      <c r="WMG955" s="252"/>
      <c r="WMH955" s="252"/>
      <c r="WMI955" s="252"/>
      <c r="WMJ955" s="252"/>
      <c r="WMK955" s="252"/>
      <c r="WML955" s="252"/>
      <c r="WMM955" s="252"/>
      <c r="WMN955" s="252"/>
      <c r="WMO955" s="252"/>
      <c r="WMP955" s="252"/>
      <c r="WMQ955" s="252"/>
      <c r="WMR955" s="252"/>
      <c r="WMS955" s="252"/>
      <c r="WMT955" s="252"/>
      <c r="WMU955" s="252"/>
      <c r="WMV955" s="252"/>
      <c r="WMW955" s="252"/>
      <c r="WMX955" s="252"/>
      <c r="WMY955" s="252"/>
      <c r="WMZ955" s="252"/>
      <c r="WNA955" s="252"/>
      <c r="WNB955" s="252"/>
      <c r="WNC955" s="252"/>
      <c r="WND955" s="252"/>
      <c r="WNE955" s="252"/>
      <c r="WNF955" s="252"/>
      <c r="WNG955" s="252"/>
      <c r="WNH955" s="252"/>
      <c r="WNI955" s="252"/>
      <c r="WNJ955" s="252"/>
      <c r="WNK955" s="252"/>
      <c r="WNL955" s="252"/>
      <c r="WNM955" s="252"/>
      <c r="WNN955" s="252"/>
      <c r="WNO955" s="252"/>
      <c r="WNP955" s="252"/>
      <c r="WNQ955" s="252"/>
      <c r="WNR955" s="252"/>
      <c r="WNS955" s="252"/>
      <c r="WNT955" s="252"/>
      <c r="WNU955" s="252"/>
      <c r="WNV955" s="252"/>
      <c r="WNW955" s="252"/>
      <c r="WNX955" s="252"/>
      <c r="WNY955" s="252"/>
      <c r="WNZ955" s="252"/>
      <c r="WOA955" s="252"/>
      <c r="WOB955" s="252"/>
      <c r="WOC955" s="252"/>
      <c r="WOD955" s="252"/>
      <c r="WOE955" s="252"/>
      <c r="WOF955" s="252"/>
      <c r="WOG955" s="252"/>
      <c r="WOH955" s="252"/>
      <c r="WOI955" s="252"/>
      <c r="WOJ955" s="252"/>
      <c r="WOK955" s="252"/>
      <c r="WOL955" s="252"/>
      <c r="WOM955" s="252"/>
      <c r="WON955" s="252"/>
      <c r="WOO955" s="252"/>
      <c r="WOP955" s="252"/>
      <c r="WOQ955" s="252"/>
      <c r="WOR955" s="252"/>
      <c r="WOS955" s="252"/>
      <c r="WOT955" s="252"/>
      <c r="WOU955" s="252"/>
      <c r="WOV955" s="252"/>
      <c r="WOW955" s="252"/>
      <c r="WOX955" s="252"/>
      <c r="WOY955" s="252"/>
      <c r="WOZ955" s="252"/>
      <c r="WPA955" s="252"/>
      <c r="WPB955" s="252"/>
      <c r="WPC955" s="252"/>
      <c r="WPD955" s="252"/>
      <c r="WPE955" s="252"/>
      <c r="WPF955" s="252"/>
      <c r="WPG955" s="252"/>
      <c r="WPH955" s="252"/>
      <c r="WPI955" s="252"/>
      <c r="WPJ955" s="252"/>
      <c r="WPK955" s="252"/>
      <c r="WPL955" s="252"/>
      <c r="WPM955" s="252"/>
      <c r="WPN955" s="252"/>
      <c r="WPO955" s="252"/>
      <c r="WPP955" s="252"/>
      <c r="WPQ955" s="252"/>
      <c r="WPR955" s="252"/>
      <c r="WPS955" s="252"/>
      <c r="WPT955" s="252"/>
      <c r="WPU955" s="252"/>
      <c r="WPV955" s="252"/>
      <c r="WPW955" s="252"/>
      <c r="WPX955" s="252"/>
      <c r="WPY955" s="252"/>
      <c r="WPZ955" s="252"/>
      <c r="WQA955" s="252"/>
      <c r="WQB955" s="252"/>
      <c r="WQC955" s="252"/>
      <c r="WQD955" s="252"/>
      <c r="WQE955" s="252"/>
      <c r="WQF955" s="252"/>
      <c r="WQG955" s="252"/>
      <c r="WQH955" s="252"/>
      <c r="WQI955" s="252"/>
      <c r="WQJ955" s="252"/>
      <c r="WQK955" s="252"/>
      <c r="WQL955" s="252"/>
      <c r="WQM955" s="252"/>
      <c r="WQN955" s="252"/>
      <c r="WQO955" s="252"/>
      <c r="WQP955" s="252"/>
      <c r="WQQ955" s="252"/>
      <c r="WQR955" s="252"/>
      <c r="WQS955" s="252"/>
      <c r="WQT955" s="252"/>
      <c r="WQU955" s="252"/>
      <c r="WQV955" s="252"/>
      <c r="WQW955" s="252"/>
      <c r="WQX955" s="252"/>
      <c r="WQY955" s="252"/>
      <c r="WQZ955" s="252"/>
      <c r="WRA955" s="252"/>
      <c r="WRB955" s="252"/>
      <c r="WRC955" s="252"/>
      <c r="WRD955" s="252"/>
      <c r="WRE955" s="252"/>
      <c r="WRF955" s="252"/>
      <c r="WRG955" s="252"/>
      <c r="WRH955" s="252"/>
      <c r="WRI955" s="252"/>
      <c r="WRJ955" s="252"/>
      <c r="WRK955" s="252"/>
      <c r="WRL955" s="252"/>
      <c r="WRM955" s="252"/>
      <c r="WRN955" s="252"/>
      <c r="WRO955" s="252"/>
      <c r="WRP955" s="252"/>
      <c r="WRQ955" s="252"/>
      <c r="WRR955" s="252"/>
      <c r="WRS955" s="252"/>
      <c r="WRT955" s="252"/>
      <c r="WRU955" s="252"/>
      <c r="WRV955" s="252"/>
      <c r="WRW955" s="252"/>
      <c r="WRX955" s="252"/>
      <c r="WRY955" s="252"/>
      <c r="WRZ955" s="252"/>
      <c r="WSA955" s="252"/>
      <c r="WSB955" s="252"/>
      <c r="WSC955" s="252"/>
      <c r="WSD955" s="252"/>
      <c r="WSE955" s="252"/>
      <c r="WSF955" s="252"/>
      <c r="WSG955" s="252"/>
      <c r="WSH955" s="252"/>
      <c r="WSI955" s="252"/>
      <c r="WSJ955" s="252"/>
      <c r="WSK955" s="252"/>
      <c r="WSL955" s="252"/>
      <c r="WSM955" s="252"/>
      <c r="WSN955" s="252"/>
      <c r="WSO955" s="252"/>
      <c r="WSP955" s="252"/>
      <c r="WSQ955" s="252"/>
      <c r="WSR955" s="252"/>
      <c r="WSS955" s="252"/>
      <c r="WST955" s="252"/>
      <c r="WSU955" s="252"/>
      <c r="WSV955" s="252"/>
      <c r="WSW955" s="252"/>
      <c r="WSX955" s="252"/>
      <c r="WSY955" s="252"/>
      <c r="WSZ955" s="252"/>
      <c r="WTA955" s="252"/>
      <c r="WTB955" s="252"/>
      <c r="WTC955" s="252"/>
      <c r="WTD955" s="252"/>
      <c r="WTE955" s="252"/>
      <c r="WTF955" s="252"/>
      <c r="WTG955" s="252"/>
      <c r="WTH955" s="252"/>
      <c r="WTI955" s="252"/>
      <c r="WTJ955" s="252"/>
      <c r="WTK955" s="252"/>
      <c r="WTL955" s="252"/>
      <c r="WTM955" s="252"/>
      <c r="WTN955" s="252"/>
      <c r="WTO955" s="252"/>
      <c r="WTP955" s="252"/>
      <c r="WTQ955" s="252"/>
      <c r="WTR955" s="252"/>
      <c r="WTS955" s="252"/>
      <c r="WTT955" s="252"/>
      <c r="WTU955" s="252"/>
      <c r="WTV955" s="252"/>
      <c r="WTW955" s="252"/>
      <c r="WTX955" s="252"/>
      <c r="WTY955" s="252"/>
      <c r="WTZ955" s="252"/>
      <c r="WUA955" s="252"/>
      <c r="WUB955" s="252"/>
      <c r="WUC955" s="252"/>
      <c r="WUD955" s="252"/>
      <c r="WUE955" s="252"/>
      <c r="WUF955" s="252"/>
      <c r="WUG955" s="252"/>
      <c r="WUH955" s="252"/>
      <c r="WUI955" s="252"/>
      <c r="WUJ955" s="252"/>
      <c r="WUK955" s="252"/>
      <c r="WUL955" s="252"/>
      <c r="WUM955" s="252"/>
      <c r="WUN955" s="252"/>
      <c r="WUO955" s="252"/>
      <c r="WUP955" s="252"/>
      <c r="WUQ955" s="252"/>
      <c r="WUR955" s="252"/>
      <c r="WUS955" s="252"/>
      <c r="WUT955" s="252"/>
      <c r="WUU955" s="252"/>
      <c r="WUV955" s="252"/>
      <c r="WUW955" s="252"/>
      <c r="WUX955" s="252"/>
      <c r="WUY955" s="252"/>
      <c r="WUZ955" s="252"/>
      <c r="WVA955" s="252"/>
      <c r="WVB955" s="252"/>
      <c r="WVC955" s="252"/>
      <c r="WVD955" s="252"/>
      <c r="WVE955" s="252"/>
      <c r="WVF955" s="252"/>
      <c r="WVG955" s="252"/>
      <c r="WVH955" s="252"/>
      <c r="WVI955" s="252"/>
      <c r="WVJ955" s="252"/>
      <c r="WVK955" s="252"/>
      <c r="WVL955" s="252"/>
      <c r="WVM955" s="252"/>
      <c r="WVN955" s="252"/>
      <c r="WVO955" s="252"/>
      <c r="WVP955" s="252"/>
      <c r="WVQ955" s="252"/>
      <c r="WVR955" s="252"/>
      <c r="WVS955" s="252"/>
      <c r="WVT955" s="252"/>
      <c r="WVU955" s="252"/>
      <c r="WVV955" s="252"/>
      <c r="WVW955" s="252"/>
      <c r="WVX955" s="252"/>
      <c r="WVY955" s="252"/>
      <c r="WVZ955" s="252"/>
      <c r="WWA955" s="252"/>
      <c r="WWB955" s="252"/>
      <c r="WWC955" s="252"/>
      <c r="WWD955" s="252"/>
      <c r="WWE955" s="252"/>
      <c r="WWF955" s="252"/>
      <c r="WWG955" s="252"/>
      <c r="WWH955" s="252"/>
      <c r="WWI955" s="252"/>
      <c r="WWJ955" s="252"/>
      <c r="WWK955" s="252"/>
      <c r="WWL955" s="252"/>
      <c r="WWM955" s="252"/>
      <c r="WWN955" s="252"/>
      <c r="WWO955" s="252"/>
      <c r="WWP955" s="252"/>
      <c r="WWQ955" s="252"/>
      <c r="WWR955" s="252"/>
      <c r="WWS955" s="252"/>
      <c r="WWT955" s="252"/>
      <c r="WWU955" s="252"/>
      <c r="WWV955" s="252"/>
      <c r="WWW955" s="252"/>
      <c r="WWX955" s="252"/>
      <c r="WWY955" s="252"/>
      <c r="WWZ955" s="252"/>
      <c r="WXA955" s="252"/>
      <c r="WXB955" s="252"/>
      <c r="WXC955" s="252"/>
      <c r="WXD955" s="252"/>
      <c r="WXE955" s="252"/>
      <c r="WXF955" s="252"/>
      <c r="WXG955" s="252"/>
      <c r="WXH955" s="252"/>
      <c r="WXI955" s="252"/>
      <c r="WXJ955" s="252"/>
      <c r="WXK955" s="252"/>
      <c r="WXL955" s="252"/>
      <c r="WXM955" s="252"/>
      <c r="WXN955" s="252"/>
      <c r="WXO955" s="252"/>
      <c r="WXP955" s="252"/>
      <c r="WXQ955" s="252"/>
      <c r="WXR955" s="252"/>
      <c r="WXS955" s="252"/>
      <c r="WXT955" s="252"/>
      <c r="WXU955" s="252"/>
      <c r="WXV955" s="252"/>
      <c r="WXW955" s="252"/>
      <c r="WXX955" s="252"/>
      <c r="WXY955" s="252"/>
      <c r="WXZ955" s="252"/>
      <c r="WYA955" s="252"/>
      <c r="WYB955" s="252"/>
      <c r="WYC955" s="252"/>
      <c r="WYD955" s="252"/>
      <c r="WYE955" s="252"/>
    </row>
    <row r="956" spans="1:16203" s="2" customFormat="1" ht="12.75" hidden="1" customHeight="1" outlineLevel="1" x14ac:dyDescent="0.2">
      <c r="A956" s="252"/>
      <c r="B956" s="253" t="s">
        <v>191</v>
      </c>
      <c r="C956" s="580">
        <f>C339</f>
        <v>67.084615384615418</v>
      </c>
      <c r="D956" s="580"/>
      <c r="E956" s="580">
        <f>E339</f>
        <v>86.469230769230791</v>
      </c>
      <c r="F956" s="580"/>
      <c r="G956" s="580">
        <f>G339</f>
        <v>81.484615384615381</v>
      </c>
      <c r="H956" s="580"/>
      <c r="I956" s="580">
        <f>I339</f>
        <v>90.438461538461539</v>
      </c>
      <c r="J956" s="682"/>
      <c r="K956" s="580">
        <f>K339</f>
        <v>78.353846153846106</v>
      </c>
      <c r="L956" s="682"/>
      <c r="M956" s="580">
        <f>M339</f>
        <v>82.138461538461527</v>
      </c>
      <c r="N956" s="682"/>
      <c r="O956" s="580">
        <f>O339</f>
        <v>83.323076923076925</v>
      </c>
      <c r="P956" s="682"/>
      <c r="Q956" s="580">
        <f>Q339</f>
        <v>77.499999999999929</v>
      </c>
      <c r="R956" s="682"/>
      <c r="S956" s="580">
        <f>S339</f>
        <v>80.799999999999955</v>
      </c>
      <c r="T956" s="682"/>
      <c r="U956" s="580">
        <f>U339</f>
        <v>72.199999999999946</v>
      </c>
      <c r="V956" s="682"/>
      <c r="W956" s="580">
        <f>W339</f>
        <v>63.923076923076891</v>
      </c>
      <c r="X956" s="682"/>
      <c r="Y956" s="580">
        <f>Y339</f>
        <v>67.299999999999983</v>
      </c>
      <c r="Z956" s="682"/>
      <c r="AA956" s="580">
        <f>AA339</f>
        <v>68.000000000000014</v>
      </c>
      <c r="AB956" s="681"/>
      <c r="AC956" s="580">
        <f>AC339</f>
        <v>69.899999999999977</v>
      </c>
      <c r="AD956" s="681"/>
      <c r="AE956" s="580">
        <f>AE339</f>
        <v>85.100000000000023</v>
      </c>
      <c r="AF956" s="681"/>
      <c r="AG956" s="580">
        <f>AG339</f>
        <v>77.000000000000043</v>
      </c>
      <c r="AH956" s="254"/>
      <c r="AI956" s="580">
        <f>AI339</f>
        <v>88.899999999999949</v>
      </c>
      <c r="AJ956" s="254"/>
      <c r="AK956" s="580">
        <f>AK339</f>
        <v>83.399999999999949</v>
      </c>
      <c r="AL956" s="254"/>
      <c r="AM956" s="580">
        <f>AM339</f>
        <v>84.399999999999991</v>
      </c>
      <c r="AN956" s="254"/>
      <c r="AO956" s="580">
        <f>AO339</f>
        <v>78.30000000000004</v>
      </c>
      <c r="AP956" s="254"/>
      <c r="AQ956" s="580">
        <f t="shared" ref="AQ956" si="3960">AQ339</f>
        <v>89.418216769456805</v>
      </c>
      <c r="AR956" s="254"/>
      <c r="AS956" s="580">
        <f t="shared" ref="AS956" si="3961">AS339</f>
        <v>89.958952951178887</v>
      </c>
      <c r="AT956" s="254"/>
      <c r="AU956" s="580">
        <f t="shared" ref="AU956" si="3962">AU339</f>
        <v>90.789771476380139</v>
      </c>
      <c r="AV956" s="254"/>
      <c r="AW956" s="580">
        <f t="shared" ref="AW956" si="3963">AW339</f>
        <v>89.458368949220741</v>
      </c>
      <c r="AX956" s="254"/>
      <c r="AY956" s="273"/>
      <c r="AZ956" s="252"/>
      <c r="BA956" s="254"/>
      <c r="BB956" s="580">
        <f>BB339</f>
        <v>325.47692307692313</v>
      </c>
      <c r="BC956" s="565" t="str">
        <f>IF(ISERROR(BB956/#REF!),"NA",IF(OR(BB956/#REF!&gt;2,BB956/#REF!&lt;0.5),"NM",BB956/#REF!*100-100))</f>
        <v>NA</v>
      </c>
      <c r="BD956" s="984">
        <f>BD339</f>
        <v>321.31538461538452</v>
      </c>
      <c r="BE956" s="565">
        <f t="shared" si="3938"/>
        <v>-1.2785970882965074</v>
      </c>
      <c r="BF956" s="848">
        <f>BF339</f>
        <v>284.2230769230768</v>
      </c>
      <c r="BG956" s="565">
        <f t="shared" si="3938"/>
        <v>-11.543894089200663</v>
      </c>
      <c r="BH956" s="580">
        <f>BH339</f>
        <v>300.00000000000006</v>
      </c>
      <c r="BI956" s="565">
        <f t="shared" si="3938"/>
        <v>5.5508944761699155</v>
      </c>
      <c r="BJ956" s="580">
        <f>BJ339</f>
        <v>334.99999999999994</v>
      </c>
      <c r="BK956" s="565">
        <f t="shared" si="3938"/>
        <v>11.666666666666629</v>
      </c>
      <c r="BL956" s="580">
        <f>BL339</f>
        <v>359.62531014623659</v>
      </c>
      <c r="BM956" s="565">
        <f t="shared" si="3938"/>
        <v>7.3508388496228889</v>
      </c>
      <c r="BN956" s="580">
        <f>BN339</f>
        <v>381.34775926632324</v>
      </c>
      <c r="BO956" s="565">
        <f t="shared" si="3938"/>
        <v>6.0403004202494799</v>
      </c>
      <c r="BP956" s="580">
        <f>BP339</f>
        <v>431.87008766088064</v>
      </c>
      <c r="BQ956" s="565">
        <f t="shared" si="3938"/>
        <v>13.248361152497012</v>
      </c>
      <c r="BR956" s="580">
        <f>BR339</f>
        <v>450.13486372073396</v>
      </c>
      <c r="BS956" s="565">
        <f t="shared" si="3938"/>
        <v>4.2292292477999638</v>
      </c>
      <c r="BT956" s="580">
        <f>BT339</f>
        <v>484.47991981506397</v>
      </c>
      <c r="BU956" s="565">
        <f t="shared" si="3939"/>
        <v>7.6299480138996501</v>
      </c>
      <c r="BV956" s="255"/>
      <c r="BW956" s="255"/>
      <c r="BX956" s="255"/>
      <c r="BY956"/>
      <c r="BZ956"/>
      <c r="CA956"/>
      <c r="CB956"/>
      <c r="CC956"/>
      <c r="CD956"/>
      <c r="CE956" s="252"/>
      <c r="CF956" s="252"/>
      <c r="CG956" s="252"/>
      <c r="CH956" s="252"/>
      <c r="CI956" s="252"/>
      <c r="CJ956" s="252"/>
      <c r="CK956" s="252"/>
      <c r="CL956" s="252"/>
      <c r="CM956" s="252"/>
      <c r="CN956" s="252"/>
      <c r="CO956" s="252"/>
      <c r="CP956" s="252"/>
      <c r="CQ956" s="252"/>
      <c r="CR956" s="252"/>
      <c r="CS956" s="252"/>
      <c r="CT956" s="252"/>
      <c r="CU956" s="252"/>
      <c r="CV956" s="252"/>
      <c r="CW956" s="252"/>
      <c r="CX956" s="252"/>
      <c r="CY956" s="252"/>
      <c r="CZ956" s="252"/>
      <c r="DA956" s="252"/>
      <c r="DB956" s="252"/>
      <c r="DC956" s="252"/>
      <c r="DD956" s="252"/>
      <c r="DE956" s="252"/>
      <c r="DF956" s="252"/>
      <c r="DG956" s="252"/>
      <c r="DH956" s="252"/>
      <c r="DI956" s="252"/>
      <c r="DJ956" s="252"/>
      <c r="DK956" s="252"/>
      <c r="DL956" s="252"/>
      <c r="DM956" s="252"/>
      <c r="DN956" s="252"/>
      <c r="DO956" s="252"/>
      <c r="DP956" s="252"/>
      <c r="DQ956" s="252"/>
      <c r="DR956" s="252"/>
      <c r="DS956" s="252"/>
      <c r="DT956" s="252"/>
      <c r="DU956" s="252"/>
      <c r="DV956" s="252"/>
      <c r="DW956" s="252"/>
      <c r="DX956" s="252"/>
      <c r="DY956" s="252"/>
      <c r="DZ956" s="252"/>
      <c r="EA956" s="252"/>
      <c r="EB956" s="252"/>
      <c r="EC956" s="252"/>
      <c r="ED956" s="252"/>
      <c r="EE956" s="252"/>
      <c r="EF956" s="252"/>
      <c r="EG956" s="252"/>
      <c r="EH956" s="252"/>
      <c r="EI956" s="252"/>
      <c r="EJ956" s="252"/>
      <c r="EK956" s="252"/>
      <c r="EL956" s="252"/>
      <c r="EM956" s="252"/>
      <c r="EN956" s="252"/>
      <c r="EO956" s="252"/>
      <c r="EP956" s="252"/>
      <c r="EQ956" s="252"/>
      <c r="ER956" s="252"/>
      <c r="ES956" s="252"/>
      <c r="ET956" s="252"/>
      <c r="EU956" s="252"/>
      <c r="EV956" s="252"/>
      <c r="EW956" s="252"/>
      <c r="EX956" s="252"/>
      <c r="EY956" s="252"/>
      <c r="EZ956" s="252"/>
      <c r="FA956" s="252"/>
      <c r="FB956" s="252"/>
      <c r="FC956" s="252"/>
      <c r="FD956" s="252"/>
      <c r="FE956" s="252"/>
      <c r="FF956" s="252"/>
      <c r="FG956" s="252"/>
      <c r="FH956" s="252"/>
      <c r="FI956" s="252"/>
      <c r="FJ956" s="252"/>
      <c r="FK956" s="252"/>
      <c r="FL956" s="252"/>
      <c r="FM956" s="252"/>
      <c r="FN956" s="252"/>
      <c r="FO956" s="252"/>
      <c r="FP956" s="252"/>
      <c r="FQ956" s="252"/>
      <c r="FR956" s="252"/>
      <c r="FS956" s="252"/>
      <c r="FT956" s="252"/>
      <c r="FU956" s="252"/>
      <c r="FV956" s="252"/>
      <c r="FW956" s="252"/>
      <c r="FX956" s="252"/>
      <c r="FY956" s="252"/>
      <c r="FZ956" s="252"/>
      <c r="GA956" s="252"/>
      <c r="GB956" s="252"/>
      <c r="GC956" s="252"/>
      <c r="GD956" s="252"/>
      <c r="GE956" s="252"/>
      <c r="GF956" s="252"/>
      <c r="GG956" s="252"/>
      <c r="GH956" s="252"/>
      <c r="GI956" s="252"/>
      <c r="GJ956" s="252"/>
      <c r="GK956" s="252"/>
      <c r="GL956" s="252"/>
      <c r="GM956" s="252"/>
      <c r="GN956" s="252"/>
      <c r="GO956" s="252"/>
      <c r="GP956" s="252"/>
      <c r="GQ956" s="252"/>
      <c r="GR956" s="252"/>
      <c r="GS956" s="252"/>
      <c r="GT956" s="252"/>
      <c r="GU956" s="252"/>
      <c r="GV956" s="252"/>
      <c r="GW956" s="252"/>
      <c r="GX956" s="252"/>
      <c r="GY956" s="252"/>
      <c r="GZ956" s="252"/>
      <c r="HA956" s="252"/>
      <c r="HB956" s="252"/>
      <c r="HC956" s="252"/>
      <c r="HD956" s="252"/>
      <c r="HE956" s="252"/>
      <c r="HF956" s="252"/>
      <c r="HG956" s="252"/>
      <c r="HH956" s="252"/>
      <c r="HI956" s="252"/>
      <c r="HJ956" s="252"/>
      <c r="HK956" s="252"/>
      <c r="HL956" s="252"/>
      <c r="HM956" s="252"/>
      <c r="HN956" s="252"/>
      <c r="HO956" s="252"/>
      <c r="HP956" s="252"/>
      <c r="HQ956" s="252"/>
      <c r="HR956" s="252"/>
      <c r="HS956" s="252"/>
      <c r="HT956" s="252"/>
      <c r="HU956" s="252"/>
      <c r="HV956" s="252"/>
      <c r="HW956" s="252"/>
      <c r="HX956" s="252"/>
      <c r="HY956" s="252"/>
      <c r="HZ956" s="252"/>
      <c r="IA956" s="252"/>
      <c r="IB956" s="252"/>
      <c r="IC956" s="252"/>
      <c r="ID956" s="252"/>
      <c r="IE956" s="252"/>
      <c r="IF956" s="252"/>
      <c r="IG956" s="252"/>
      <c r="IH956" s="252"/>
      <c r="II956" s="252"/>
      <c r="IJ956" s="252"/>
      <c r="IK956" s="252"/>
      <c r="IL956" s="252"/>
      <c r="IM956" s="252"/>
      <c r="IN956" s="252"/>
      <c r="IO956" s="252"/>
      <c r="IP956" s="252"/>
      <c r="IQ956" s="252"/>
      <c r="IR956" s="252"/>
      <c r="IS956" s="252"/>
      <c r="IT956" s="252"/>
      <c r="IU956" s="252"/>
      <c r="IV956" s="252"/>
      <c r="IW956" s="252"/>
      <c r="IX956" s="252"/>
      <c r="IY956" s="252"/>
      <c r="IZ956" s="252"/>
      <c r="JA956" s="252"/>
      <c r="JB956" s="252"/>
      <c r="JC956" s="252"/>
      <c r="JD956" s="252"/>
      <c r="JE956" s="252"/>
      <c r="JF956" s="252"/>
      <c r="JG956" s="252"/>
      <c r="JH956" s="252"/>
      <c r="JI956" s="252"/>
      <c r="JJ956" s="252"/>
      <c r="JK956" s="252"/>
      <c r="JL956" s="252"/>
      <c r="JM956" s="252"/>
      <c r="JN956" s="252"/>
      <c r="JO956" s="252"/>
      <c r="JP956" s="252"/>
      <c r="JQ956" s="252"/>
      <c r="JR956" s="252"/>
      <c r="JS956" s="252"/>
      <c r="JT956" s="252"/>
      <c r="JU956" s="252"/>
      <c r="JV956" s="252"/>
      <c r="JW956" s="252"/>
      <c r="JX956" s="252"/>
      <c r="JY956" s="252"/>
      <c r="JZ956" s="252"/>
      <c r="KA956" s="252"/>
      <c r="KB956" s="252"/>
      <c r="KC956" s="252"/>
      <c r="KD956" s="252"/>
      <c r="KE956" s="252"/>
      <c r="KF956" s="252"/>
      <c r="KG956" s="252"/>
      <c r="KH956" s="252"/>
      <c r="KI956" s="252"/>
      <c r="KJ956" s="252"/>
      <c r="KK956" s="252"/>
      <c r="KL956" s="252"/>
      <c r="KM956" s="252"/>
      <c r="KN956" s="252"/>
      <c r="KO956" s="252"/>
      <c r="KP956" s="252"/>
      <c r="KQ956" s="252"/>
      <c r="KR956" s="252"/>
      <c r="KS956" s="252"/>
      <c r="KT956" s="252"/>
      <c r="KU956" s="252"/>
      <c r="KV956" s="252"/>
      <c r="KW956" s="252"/>
      <c r="KX956" s="252"/>
      <c r="KY956" s="252"/>
      <c r="KZ956" s="252"/>
      <c r="LA956" s="252"/>
      <c r="LB956" s="252"/>
      <c r="LC956" s="252"/>
      <c r="LD956" s="252"/>
      <c r="LE956" s="252"/>
      <c r="LF956" s="252"/>
      <c r="LG956" s="252"/>
      <c r="LH956" s="252"/>
      <c r="LI956" s="252"/>
      <c r="LJ956" s="252"/>
      <c r="LK956" s="252"/>
      <c r="LL956" s="252"/>
      <c r="LM956" s="252"/>
      <c r="LN956" s="252"/>
      <c r="LO956" s="252"/>
      <c r="LP956" s="252"/>
      <c r="LQ956" s="252"/>
      <c r="LR956" s="252"/>
      <c r="LS956" s="252"/>
      <c r="LT956" s="252"/>
      <c r="LU956" s="252"/>
      <c r="LV956" s="252"/>
      <c r="LW956" s="252"/>
      <c r="LX956" s="252"/>
      <c r="LY956" s="252"/>
      <c r="LZ956" s="252"/>
      <c r="MA956" s="252"/>
      <c r="MB956" s="252"/>
      <c r="MC956" s="252"/>
      <c r="MD956" s="252"/>
      <c r="ME956" s="252"/>
      <c r="MF956" s="252"/>
      <c r="MG956" s="252"/>
      <c r="MH956" s="252"/>
      <c r="MI956" s="252"/>
      <c r="MJ956" s="252"/>
      <c r="MK956" s="252"/>
      <c r="ML956" s="252"/>
      <c r="MM956" s="252"/>
      <c r="MN956" s="252"/>
      <c r="MO956" s="252"/>
      <c r="MP956" s="252"/>
      <c r="MQ956" s="252"/>
      <c r="MR956" s="252"/>
      <c r="MS956" s="252"/>
      <c r="MT956" s="252"/>
      <c r="MU956" s="252"/>
      <c r="MV956" s="252"/>
      <c r="MW956" s="252"/>
      <c r="MX956" s="252"/>
      <c r="MY956" s="252"/>
      <c r="MZ956" s="252"/>
      <c r="NA956" s="252"/>
      <c r="NB956" s="252"/>
      <c r="NC956" s="252"/>
      <c r="ND956" s="252"/>
      <c r="NE956" s="252"/>
      <c r="NF956" s="252"/>
      <c r="NG956" s="252"/>
      <c r="NH956" s="252"/>
      <c r="NI956" s="252"/>
      <c r="NJ956" s="252"/>
      <c r="NK956" s="252"/>
      <c r="NL956" s="252"/>
      <c r="NM956" s="252"/>
      <c r="NN956" s="252"/>
      <c r="NO956" s="252"/>
      <c r="NP956" s="252"/>
      <c r="NQ956" s="252"/>
      <c r="NR956" s="252"/>
      <c r="NS956" s="252"/>
      <c r="NT956" s="252"/>
      <c r="NU956" s="252"/>
      <c r="NV956" s="252"/>
      <c r="NW956" s="252"/>
      <c r="NX956" s="252"/>
      <c r="NY956" s="252"/>
      <c r="NZ956" s="252"/>
      <c r="OA956" s="252"/>
      <c r="OB956" s="252"/>
      <c r="OC956" s="252"/>
      <c r="OD956" s="252"/>
      <c r="OE956" s="252"/>
      <c r="OF956" s="252"/>
      <c r="OG956" s="252"/>
      <c r="OH956" s="252"/>
      <c r="OI956" s="252"/>
      <c r="OJ956" s="252"/>
      <c r="OK956" s="252"/>
      <c r="OL956" s="252"/>
      <c r="OM956" s="252"/>
      <c r="ON956" s="252"/>
      <c r="OO956" s="252"/>
      <c r="OP956" s="252"/>
      <c r="OQ956" s="252"/>
      <c r="OR956" s="252"/>
      <c r="OS956" s="252"/>
      <c r="OT956" s="252"/>
      <c r="OU956" s="252"/>
      <c r="OV956" s="252"/>
      <c r="OW956" s="252"/>
      <c r="OX956" s="252"/>
      <c r="OY956" s="252"/>
      <c r="OZ956" s="252"/>
      <c r="PA956" s="252"/>
      <c r="PB956" s="252"/>
      <c r="PC956" s="252"/>
      <c r="PD956" s="252"/>
      <c r="PE956" s="252"/>
      <c r="PF956" s="252"/>
      <c r="PG956" s="252"/>
      <c r="PH956" s="252"/>
      <c r="PI956" s="252"/>
      <c r="PJ956" s="252"/>
      <c r="PK956" s="252"/>
      <c r="PL956" s="252"/>
      <c r="PM956" s="252"/>
      <c r="PN956" s="252"/>
      <c r="PO956" s="252"/>
      <c r="PP956" s="252"/>
      <c r="PQ956" s="252"/>
      <c r="PR956" s="252"/>
      <c r="PS956" s="252"/>
      <c r="PT956" s="252"/>
      <c r="PU956" s="252"/>
      <c r="PV956" s="252"/>
      <c r="PW956" s="252"/>
      <c r="PX956" s="252"/>
      <c r="PY956" s="252"/>
      <c r="PZ956" s="252"/>
      <c r="QA956" s="252"/>
      <c r="QB956" s="252"/>
      <c r="QC956" s="252"/>
      <c r="QD956" s="252"/>
      <c r="QE956" s="252"/>
      <c r="QF956" s="252"/>
      <c r="QG956" s="252"/>
      <c r="QH956" s="252"/>
      <c r="QI956" s="252"/>
      <c r="QJ956" s="252"/>
      <c r="QK956" s="252"/>
      <c r="QL956" s="252"/>
      <c r="QM956" s="252"/>
      <c r="QN956" s="252"/>
      <c r="QO956" s="252"/>
      <c r="QP956" s="252"/>
      <c r="QQ956" s="252"/>
      <c r="QR956" s="252"/>
      <c r="QS956" s="252"/>
      <c r="QT956" s="252"/>
      <c r="QU956" s="252"/>
      <c r="QV956" s="252"/>
      <c r="QW956" s="252"/>
      <c r="QX956" s="252"/>
      <c r="QY956" s="252"/>
      <c r="QZ956" s="252"/>
      <c r="RA956" s="252"/>
      <c r="RB956" s="252"/>
      <c r="RC956" s="252"/>
      <c r="RD956" s="252"/>
      <c r="RE956" s="252"/>
      <c r="RF956" s="252"/>
      <c r="RG956" s="252"/>
      <c r="RH956" s="252"/>
      <c r="RI956" s="252"/>
      <c r="RJ956" s="252"/>
      <c r="RK956" s="252"/>
      <c r="RL956" s="252"/>
      <c r="RM956" s="252"/>
      <c r="RN956" s="252"/>
      <c r="RO956" s="252"/>
      <c r="RP956" s="252"/>
      <c r="RQ956" s="252"/>
      <c r="RR956" s="252"/>
      <c r="RS956" s="252"/>
      <c r="RT956" s="252"/>
      <c r="RU956" s="252"/>
      <c r="RV956" s="252"/>
      <c r="RW956" s="252"/>
      <c r="RX956" s="252"/>
      <c r="RY956" s="252"/>
      <c r="RZ956" s="252"/>
      <c r="SA956" s="252"/>
      <c r="SB956" s="252"/>
      <c r="SC956" s="252"/>
      <c r="SD956" s="252"/>
      <c r="SE956" s="252"/>
      <c r="SF956" s="252"/>
      <c r="SG956" s="252"/>
      <c r="SH956" s="252"/>
      <c r="SI956" s="252"/>
      <c r="SJ956" s="252"/>
      <c r="SK956" s="252"/>
      <c r="SL956" s="252"/>
      <c r="SM956" s="252"/>
      <c r="SN956" s="252"/>
      <c r="SO956" s="252"/>
      <c r="SP956" s="252"/>
      <c r="SQ956" s="252"/>
      <c r="SR956" s="252"/>
      <c r="SS956" s="252"/>
      <c r="ST956" s="252"/>
      <c r="SU956" s="252"/>
      <c r="SV956" s="252"/>
      <c r="SW956" s="252"/>
      <c r="SX956" s="252"/>
      <c r="SY956" s="252"/>
      <c r="SZ956" s="252"/>
      <c r="TA956" s="252"/>
      <c r="TB956" s="252"/>
      <c r="TC956" s="252"/>
      <c r="TD956" s="252"/>
      <c r="TE956" s="252"/>
      <c r="TF956" s="252"/>
      <c r="TG956" s="252"/>
      <c r="TH956" s="252"/>
      <c r="TI956" s="252"/>
      <c r="TJ956" s="252"/>
      <c r="TK956" s="252"/>
      <c r="TL956" s="252"/>
      <c r="TM956" s="252"/>
      <c r="TN956" s="252"/>
      <c r="TO956" s="252"/>
      <c r="TP956" s="252"/>
      <c r="TQ956" s="252"/>
      <c r="TR956" s="252"/>
      <c r="TS956" s="252"/>
      <c r="TT956" s="252"/>
      <c r="TU956" s="252"/>
      <c r="TV956" s="252"/>
      <c r="TW956" s="252"/>
      <c r="TX956" s="252"/>
      <c r="TY956" s="252"/>
      <c r="TZ956" s="252"/>
      <c r="UA956" s="252"/>
      <c r="UB956" s="252"/>
      <c r="UC956" s="252"/>
      <c r="UD956" s="252"/>
      <c r="UE956" s="252"/>
      <c r="UF956" s="252"/>
      <c r="UG956" s="252"/>
      <c r="UH956" s="252"/>
      <c r="UI956" s="252"/>
      <c r="UJ956" s="252"/>
      <c r="UK956" s="252"/>
      <c r="UL956" s="252"/>
      <c r="UM956" s="252"/>
      <c r="UN956" s="252"/>
      <c r="UO956" s="252"/>
      <c r="UP956" s="252"/>
      <c r="UQ956" s="252"/>
      <c r="UR956" s="252"/>
      <c r="US956" s="252"/>
      <c r="UT956" s="252"/>
      <c r="UU956" s="252"/>
      <c r="UV956" s="252"/>
      <c r="UW956" s="252"/>
      <c r="UX956" s="252"/>
      <c r="UY956" s="252"/>
      <c r="UZ956" s="252"/>
      <c r="VA956" s="252"/>
      <c r="VB956" s="252"/>
      <c r="VC956" s="252"/>
      <c r="VD956" s="252"/>
      <c r="VE956" s="252"/>
      <c r="VF956" s="252"/>
      <c r="VG956" s="252"/>
      <c r="VH956" s="252"/>
      <c r="VI956" s="252"/>
      <c r="VJ956" s="252"/>
      <c r="VK956" s="252"/>
      <c r="VL956" s="252"/>
      <c r="VM956" s="252"/>
      <c r="VN956" s="252"/>
      <c r="VO956" s="252"/>
      <c r="VP956" s="252"/>
      <c r="VQ956" s="252"/>
      <c r="VR956" s="252"/>
      <c r="VS956" s="252"/>
      <c r="VT956" s="252"/>
      <c r="VU956" s="252"/>
      <c r="VV956" s="252"/>
      <c r="VW956" s="252"/>
      <c r="VX956" s="252"/>
      <c r="VY956" s="252"/>
      <c r="VZ956" s="252"/>
      <c r="WA956" s="252"/>
      <c r="WB956" s="252"/>
      <c r="WC956" s="252"/>
      <c r="WD956" s="252"/>
      <c r="WE956" s="252"/>
      <c r="WF956" s="252"/>
      <c r="WG956" s="252"/>
      <c r="WH956" s="252"/>
      <c r="WI956" s="252"/>
      <c r="WJ956" s="252"/>
      <c r="WK956" s="252"/>
      <c r="WL956" s="252"/>
      <c r="WM956" s="252"/>
      <c r="WN956" s="252"/>
      <c r="WO956" s="252"/>
      <c r="WP956" s="252"/>
      <c r="WQ956" s="252"/>
      <c r="WR956" s="252"/>
      <c r="WS956" s="252"/>
      <c r="WT956" s="252"/>
      <c r="WU956" s="252"/>
      <c r="WV956" s="252"/>
      <c r="WW956" s="252"/>
      <c r="WX956" s="252"/>
      <c r="WY956" s="252"/>
      <c r="WZ956" s="252"/>
      <c r="XA956" s="252"/>
      <c r="XB956" s="252"/>
      <c r="XC956" s="252"/>
      <c r="XD956" s="252"/>
      <c r="XE956" s="252"/>
      <c r="XF956" s="252"/>
      <c r="XG956" s="252"/>
      <c r="XH956" s="252"/>
      <c r="XI956" s="252"/>
      <c r="XJ956" s="252"/>
      <c r="XK956" s="252"/>
      <c r="XL956" s="252"/>
      <c r="XM956" s="252"/>
      <c r="XN956" s="252"/>
      <c r="XO956" s="252"/>
      <c r="XP956" s="252"/>
      <c r="XQ956" s="252"/>
      <c r="XR956" s="252"/>
      <c r="XS956" s="252"/>
      <c r="XT956" s="252"/>
      <c r="XU956" s="252"/>
      <c r="XV956" s="252"/>
      <c r="XW956" s="252"/>
      <c r="XX956" s="252"/>
      <c r="XY956" s="252"/>
      <c r="XZ956" s="252"/>
      <c r="YA956" s="252"/>
      <c r="YB956" s="252"/>
      <c r="YC956" s="252"/>
      <c r="YD956" s="252"/>
      <c r="YE956" s="252"/>
      <c r="YF956" s="252"/>
      <c r="YG956" s="252"/>
      <c r="YH956" s="252"/>
      <c r="YI956" s="252"/>
      <c r="YJ956" s="252"/>
      <c r="YK956" s="252"/>
      <c r="YL956" s="252"/>
      <c r="YM956" s="252"/>
      <c r="YN956" s="252"/>
      <c r="YO956" s="252"/>
      <c r="YP956" s="252"/>
      <c r="YQ956" s="252"/>
      <c r="YR956" s="252"/>
      <c r="YS956" s="252"/>
      <c r="YT956" s="252"/>
      <c r="YU956" s="252"/>
      <c r="YV956" s="252"/>
      <c r="YW956" s="252"/>
      <c r="YX956" s="252"/>
      <c r="YY956" s="252"/>
      <c r="YZ956" s="252"/>
      <c r="ZA956" s="252"/>
      <c r="ZB956" s="252"/>
      <c r="ZC956" s="252"/>
      <c r="ZD956" s="252"/>
      <c r="ZE956" s="252"/>
      <c r="ZF956" s="252"/>
      <c r="ZG956" s="252"/>
      <c r="ZH956" s="252"/>
      <c r="ZI956" s="252"/>
      <c r="ZJ956" s="252"/>
      <c r="ZK956" s="252"/>
      <c r="ZL956" s="252"/>
      <c r="ZM956" s="252"/>
      <c r="ZN956" s="252"/>
      <c r="ZO956" s="252"/>
      <c r="ZP956" s="252"/>
      <c r="ZQ956" s="252"/>
      <c r="ZR956" s="252"/>
      <c r="ZS956" s="252"/>
      <c r="ZT956" s="252"/>
      <c r="ZU956" s="252"/>
      <c r="ZV956" s="252"/>
      <c r="ZW956" s="252"/>
      <c r="ZX956" s="252"/>
      <c r="ZY956" s="252"/>
      <c r="ZZ956" s="252"/>
      <c r="AAA956" s="252"/>
      <c r="AAB956" s="252"/>
      <c r="AAC956" s="252"/>
      <c r="AAD956" s="252"/>
      <c r="AAE956" s="252"/>
      <c r="AAF956" s="252"/>
      <c r="AAG956" s="252"/>
      <c r="AAH956" s="252"/>
      <c r="AAI956" s="252"/>
      <c r="AAJ956" s="252"/>
      <c r="AAK956" s="252"/>
      <c r="AAL956" s="252"/>
      <c r="AAM956" s="252"/>
      <c r="AAN956" s="252"/>
      <c r="AAO956" s="252"/>
      <c r="AAP956" s="252"/>
      <c r="AAQ956" s="252"/>
      <c r="AAR956" s="252"/>
      <c r="AAS956" s="252"/>
      <c r="AAT956" s="252"/>
      <c r="AAU956" s="252"/>
      <c r="AAV956" s="252"/>
      <c r="AAW956" s="252"/>
      <c r="AAX956" s="252"/>
      <c r="AAY956" s="252"/>
      <c r="AAZ956" s="252"/>
      <c r="ABA956" s="252"/>
      <c r="ABB956" s="252"/>
      <c r="ABC956" s="252"/>
      <c r="ABD956" s="252"/>
      <c r="ABE956" s="252"/>
      <c r="ABF956" s="252"/>
      <c r="ABG956" s="252"/>
      <c r="ABH956" s="252"/>
      <c r="ABI956" s="252"/>
      <c r="ABJ956" s="252"/>
      <c r="ABK956" s="252"/>
      <c r="ABL956" s="252"/>
      <c r="ABM956" s="252"/>
      <c r="ABN956" s="252"/>
      <c r="ABO956" s="252"/>
      <c r="ABP956" s="252"/>
      <c r="ABQ956" s="252"/>
      <c r="ABR956" s="252"/>
      <c r="ABS956" s="252"/>
      <c r="ABT956" s="252"/>
      <c r="ABU956" s="252"/>
      <c r="ABV956" s="252"/>
      <c r="ABW956" s="252"/>
      <c r="ABX956" s="252"/>
      <c r="ABY956" s="252"/>
      <c r="ABZ956" s="252"/>
      <c r="ACA956" s="252"/>
      <c r="ACB956" s="252"/>
      <c r="ACC956" s="252"/>
      <c r="ACD956" s="252"/>
      <c r="ACE956" s="252"/>
      <c r="ACF956" s="252"/>
      <c r="ACG956" s="252"/>
      <c r="ACH956" s="252"/>
      <c r="ACI956" s="252"/>
      <c r="ACJ956" s="252"/>
      <c r="ACK956" s="252"/>
      <c r="ACL956" s="252"/>
      <c r="ACM956" s="252"/>
      <c r="ACN956" s="252"/>
      <c r="ACO956" s="252"/>
      <c r="ACP956" s="252"/>
      <c r="ACQ956" s="252"/>
      <c r="ACR956" s="252"/>
      <c r="ACS956" s="252"/>
      <c r="ACT956" s="252"/>
      <c r="ACU956" s="252"/>
      <c r="ACV956" s="252"/>
      <c r="ACW956" s="252"/>
      <c r="ACX956" s="252"/>
      <c r="ACY956" s="252"/>
      <c r="ACZ956" s="252"/>
      <c r="ADA956" s="252"/>
      <c r="ADB956" s="252"/>
      <c r="ADC956" s="252"/>
      <c r="ADD956" s="252"/>
      <c r="ADE956" s="252"/>
      <c r="ADF956" s="252"/>
      <c r="ADG956" s="252"/>
      <c r="ADH956" s="252"/>
      <c r="ADI956" s="252"/>
      <c r="ADJ956" s="252"/>
      <c r="ADK956" s="252"/>
      <c r="ADL956" s="252"/>
      <c r="ADM956" s="252"/>
      <c r="ADN956" s="252"/>
      <c r="ADO956" s="252"/>
      <c r="ADP956" s="252"/>
      <c r="ADQ956" s="252"/>
      <c r="ADR956" s="252"/>
      <c r="ADS956" s="252"/>
      <c r="ADT956" s="252"/>
      <c r="ADU956" s="252"/>
      <c r="ADV956" s="252"/>
      <c r="ADW956" s="252"/>
      <c r="ADX956" s="252"/>
      <c r="ADY956" s="252"/>
      <c r="ADZ956" s="252"/>
      <c r="AEA956" s="252"/>
      <c r="AEB956" s="252"/>
      <c r="AEC956" s="252"/>
      <c r="AED956" s="252"/>
      <c r="AEE956" s="252"/>
      <c r="AEF956" s="252"/>
      <c r="AEG956" s="252"/>
      <c r="AEH956" s="252"/>
      <c r="AEI956" s="252"/>
      <c r="AEJ956" s="252"/>
      <c r="AEK956" s="252"/>
      <c r="AEL956" s="252"/>
      <c r="AEM956" s="252"/>
      <c r="AEN956" s="252"/>
      <c r="AEO956" s="252"/>
      <c r="AEP956" s="252"/>
      <c r="AEQ956" s="252"/>
      <c r="AER956" s="252"/>
      <c r="AES956" s="252"/>
      <c r="AET956" s="252"/>
      <c r="AEU956" s="252"/>
      <c r="AEV956" s="252"/>
      <c r="AEW956" s="252"/>
      <c r="AEX956" s="252"/>
      <c r="AEY956" s="252"/>
      <c r="AEZ956" s="252"/>
      <c r="AFA956" s="252"/>
      <c r="AFB956" s="252"/>
      <c r="AFC956" s="252"/>
      <c r="AFD956" s="252"/>
      <c r="AFE956" s="252"/>
      <c r="AFF956" s="252"/>
      <c r="AFG956" s="252"/>
      <c r="AFH956" s="252"/>
      <c r="AFI956" s="252"/>
      <c r="AFJ956" s="252"/>
      <c r="AFK956" s="252"/>
      <c r="AFL956" s="252"/>
      <c r="AFM956" s="252"/>
      <c r="AFN956" s="252"/>
      <c r="AFO956" s="252"/>
      <c r="AFP956" s="252"/>
      <c r="AFQ956" s="252"/>
      <c r="AFR956" s="252"/>
      <c r="AFS956" s="252"/>
      <c r="AFT956" s="252"/>
      <c r="AFU956" s="252"/>
      <c r="AFV956" s="252"/>
      <c r="AFW956" s="252"/>
      <c r="AFX956" s="252"/>
      <c r="AFY956" s="252"/>
      <c r="AFZ956" s="252"/>
      <c r="AGA956" s="252"/>
      <c r="AGB956" s="252"/>
      <c r="AGC956" s="252"/>
      <c r="AGD956" s="252"/>
      <c r="AGE956" s="252"/>
      <c r="AGF956" s="252"/>
      <c r="AGG956" s="252"/>
      <c r="AGH956" s="252"/>
      <c r="AGI956" s="252"/>
      <c r="AGJ956" s="252"/>
      <c r="AGK956" s="252"/>
      <c r="AGL956" s="252"/>
      <c r="AGM956" s="252"/>
      <c r="AGN956" s="252"/>
      <c r="AGO956" s="252"/>
      <c r="AGP956" s="252"/>
      <c r="AGQ956" s="252"/>
      <c r="AGR956" s="252"/>
      <c r="AGS956" s="252"/>
      <c r="AGT956" s="252"/>
      <c r="AGU956" s="252"/>
      <c r="AGV956" s="252"/>
      <c r="AGW956" s="252"/>
      <c r="AGX956" s="252"/>
      <c r="AGY956" s="252"/>
      <c r="AGZ956" s="252"/>
      <c r="AHA956" s="252"/>
      <c r="AHB956" s="252"/>
      <c r="AHC956" s="252"/>
      <c r="AHD956" s="252"/>
      <c r="AHE956" s="252"/>
      <c r="AHF956" s="252"/>
      <c r="AHG956" s="252"/>
      <c r="AHH956" s="252"/>
      <c r="AHI956" s="252"/>
      <c r="AHJ956" s="252"/>
      <c r="AHK956" s="252"/>
      <c r="AHL956" s="252"/>
      <c r="AHM956" s="252"/>
      <c r="AHN956" s="252"/>
      <c r="AHO956" s="252"/>
      <c r="AHP956" s="252"/>
      <c r="AHQ956" s="252"/>
      <c r="AHR956" s="252"/>
      <c r="AHS956" s="252"/>
      <c r="AHT956" s="252"/>
      <c r="AHU956" s="252"/>
      <c r="AHV956" s="252"/>
      <c r="AHW956" s="252"/>
      <c r="AHX956" s="252"/>
      <c r="AHY956" s="252"/>
      <c r="AHZ956" s="252"/>
      <c r="AIA956" s="252"/>
      <c r="AIB956" s="252"/>
      <c r="AIC956" s="252"/>
      <c r="AID956" s="252"/>
      <c r="AIE956" s="252"/>
      <c r="AIF956" s="252"/>
      <c r="AIG956" s="252"/>
      <c r="AIH956" s="252"/>
      <c r="AII956" s="252"/>
      <c r="AIJ956" s="252"/>
      <c r="AIK956" s="252"/>
      <c r="AIL956" s="252"/>
      <c r="AIM956" s="252"/>
      <c r="AIN956" s="252"/>
      <c r="AIO956" s="252"/>
      <c r="AIP956" s="252"/>
      <c r="AIQ956" s="252"/>
      <c r="AIR956" s="252"/>
      <c r="AIS956" s="252"/>
      <c r="AIT956" s="252"/>
      <c r="AIU956" s="252"/>
      <c r="AIV956" s="252"/>
      <c r="AIW956" s="252"/>
      <c r="AIX956" s="252"/>
      <c r="AIY956" s="252"/>
      <c r="AIZ956" s="252"/>
      <c r="AJA956" s="252"/>
      <c r="AJB956" s="252"/>
      <c r="AJC956" s="252"/>
      <c r="AJD956" s="252"/>
      <c r="AJE956" s="252"/>
      <c r="AJF956" s="252"/>
      <c r="AJG956" s="252"/>
      <c r="AJH956" s="252"/>
      <c r="AJI956" s="252"/>
      <c r="AJJ956" s="252"/>
      <c r="AJK956" s="252"/>
      <c r="AJL956" s="252"/>
      <c r="AJM956" s="252"/>
      <c r="AJN956" s="252"/>
      <c r="AJO956" s="252"/>
      <c r="AJP956" s="252"/>
      <c r="AJQ956" s="252"/>
      <c r="AJR956" s="252"/>
      <c r="AJS956" s="252"/>
      <c r="AJT956" s="252"/>
      <c r="AJU956" s="252"/>
      <c r="AJV956" s="252"/>
      <c r="AJW956" s="252"/>
      <c r="AJX956" s="252"/>
      <c r="AJY956" s="252"/>
      <c r="AJZ956" s="252"/>
      <c r="AKA956" s="252"/>
      <c r="AKB956" s="252"/>
      <c r="AKC956" s="252"/>
      <c r="AKD956" s="252"/>
      <c r="AKE956" s="252"/>
      <c r="AKF956" s="252"/>
      <c r="AKG956" s="252"/>
      <c r="AKH956" s="252"/>
      <c r="AKI956" s="252"/>
      <c r="AKJ956" s="252"/>
      <c r="AKK956" s="252"/>
      <c r="AKL956" s="252"/>
      <c r="AKM956" s="252"/>
      <c r="AKN956" s="252"/>
      <c r="AKO956" s="252"/>
      <c r="AKP956" s="252"/>
      <c r="AKQ956" s="252"/>
      <c r="AKR956" s="252"/>
      <c r="AKS956" s="252"/>
      <c r="AKT956" s="252"/>
      <c r="AKU956" s="252"/>
      <c r="AKV956" s="252"/>
      <c r="AKW956" s="252"/>
      <c r="AKX956" s="252"/>
      <c r="AKY956" s="252"/>
      <c r="AKZ956" s="252"/>
      <c r="ALA956" s="252"/>
      <c r="ALB956" s="252"/>
      <c r="ALC956" s="252"/>
      <c r="ALD956" s="252"/>
      <c r="ALE956" s="252"/>
      <c r="ALF956" s="252"/>
      <c r="ALG956" s="252"/>
      <c r="ALH956" s="252"/>
      <c r="ALI956" s="252"/>
      <c r="ALJ956" s="252"/>
      <c r="ALK956" s="252"/>
      <c r="ALL956" s="252"/>
      <c r="ALM956" s="252"/>
      <c r="ALN956" s="252"/>
      <c r="ALO956" s="252"/>
      <c r="ALP956" s="252"/>
      <c r="ALQ956" s="252"/>
      <c r="ALR956" s="252"/>
      <c r="ALS956" s="252"/>
      <c r="ALT956" s="252"/>
      <c r="ALU956" s="252"/>
      <c r="ALV956" s="252"/>
      <c r="ALW956" s="252"/>
      <c r="ALX956" s="252"/>
      <c r="ALY956" s="252"/>
      <c r="ALZ956" s="252"/>
      <c r="AMA956" s="252"/>
      <c r="AMB956" s="252"/>
      <c r="AMC956" s="252"/>
      <c r="AMD956" s="252"/>
      <c r="AME956" s="252"/>
      <c r="AMF956" s="252"/>
      <c r="AMG956" s="252"/>
      <c r="AMH956" s="252"/>
      <c r="AMI956" s="252"/>
      <c r="AMJ956" s="252"/>
      <c r="AMK956" s="252"/>
      <c r="AML956" s="252"/>
      <c r="AMM956" s="252"/>
      <c r="AMN956" s="252"/>
      <c r="AMO956" s="252"/>
      <c r="AMP956" s="252"/>
      <c r="AMQ956" s="252"/>
      <c r="AMR956" s="252"/>
      <c r="AMS956" s="252"/>
      <c r="AMT956" s="252"/>
      <c r="AMU956" s="252"/>
      <c r="AMV956" s="252"/>
      <c r="AMW956" s="252"/>
      <c r="AMX956" s="252"/>
      <c r="AMY956" s="252"/>
      <c r="AMZ956" s="252"/>
      <c r="ANA956" s="252"/>
      <c r="ANB956" s="252"/>
      <c r="ANC956" s="252"/>
      <c r="AND956" s="252"/>
      <c r="ANE956" s="252"/>
      <c r="ANF956" s="252"/>
      <c r="ANG956" s="252"/>
      <c r="ANH956" s="252"/>
      <c r="ANI956" s="252"/>
      <c r="ANJ956" s="252"/>
      <c r="ANK956" s="252"/>
      <c r="ANL956" s="252"/>
      <c r="ANM956" s="252"/>
      <c r="ANN956" s="252"/>
      <c r="ANO956" s="252"/>
      <c r="ANP956" s="252"/>
      <c r="ANQ956" s="252"/>
      <c r="ANR956" s="252"/>
      <c r="ANS956" s="252"/>
      <c r="ANT956" s="252"/>
      <c r="ANU956" s="252"/>
      <c r="ANV956" s="252"/>
      <c r="ANW956" s="252"/>
      <c r="ANX956" s="252"/>
      <c r="ANY956" s="252"/>
      <c r="ANZ956" s="252"/>
      <c r="AOA956" s="252"/>
      <c r="AOB956" s="252"/>
      <c r="AOC956" s="252"/>
      <c r="AOD956" s="252"/>
      <c r="AOE956" s="252"/>
      <c r="AOF956" s="252"/>
      <c r="AOG956" s="252"/>
      <c r="AOH956" s="252"/>
      <c r="AOI956" s="252"/>
      <c r="AOJ956" s="252"/>
      <c r="AOK956" s="252"/>
      <c r="AOL956" s="252"/>
      <c r="AOM956" s="252"/>
      <c r="AON956" s="252"/>
      <c r="AOO956" s="252"/>
      <c r="AOP956" s="252"/>
      <c r="AOQ956" s="252"/>
      <c r="AOR956" s="252"/>
      <c r="AOS956" s="252"/>
      <c r="AOT956" s="252"/>
      <c r="AOU956" s="252"/>
      <c r="AOV956" s="252"/>
      <c r="AOW956" s="252"/>
      <c r="AOX956" s="252"/>
      <c r="AOY956" s="252"/>
      <c r="AOZ956" s="252"/>
      <c r="APA956" s="252"/>
      <c r="APB956" s="252"/>
      <c r="APC956" s="252"/>
      <c r="APD956" s="252"/>
      <c r="APE956" s="252"/>
      <c r="APF956" s="252"/>
      <c r="APG956" s="252"/>
      <c r="APH956" s="252"/>
      <c r="API956" s="252"/>
      <c r="APJ956" s="252"/>
      <c r="APK956" s="252"/>
      <c r="APL956" s="252"/>
      <c r="APM956" s="252"/>
      <c r="APN956" s="252"/>
      <c r="APO956" s="252"/>
      <c r="APP956" s="252"/>
      <c r="APQ956" s="252"/>
      <c r="APR956" s="252"/>
      <c r="APS956" s="252"/>
      <c r="APT956" s="252"/>
      <c r="APU956" s="252"/>
      <c r="APV956" s="252"/>
      <c r="APW956" s="252"/>
      <c r="APX956" s="252"/>
      <c r="APY956" s="252"/>
      <c r="APZ956" s="252"/>
      <c r="AQA956" s="252"/>
      <c r="AQB956" s="252"/>
      <c r="AQC956" s="252"/>
      <c r="AQD956" s="252"/>
      <c r="AQE956" s="252"/>
      <c r="AQF956" s="252"/>
      <c r="AQG956" s="252"/>
      <c r="AQH956" s="252"/>
      <c r="AQI956" s="252"/>
      <c r="AQJ956" s="252"/>
      <c r="AQK956" s="252"/>
      <c r="AQL956" s="252"/>
      <c r="AQM956" s="252"/>
      <c r="AQN956" s="252"/>
      <c r="AQO956" s="252"/>
      <c r="AQP956" s="252"/>
      <c r="AQQ956" s="252"/>
      <c r="AQR956" s="252"/>
      <c r="AQS956" s="252"/>
      <c r="AQT956" s="252"/>
      <c r="AQU956" s="252"/>
      <c r="AQV956" s="252"/>
      <c r="AQW956" s="252"/>
      <c r="AQX956" s="252"/>
      <c r="AQY956" s="252"/>
      <c r="AQZ956" s="252"/>
      <c r="ARA956" s="252"/>
      <c r="ARB956" s="252"/>
      <c r="ARC956" s="252"/>
      <c r="ARD956" s="252"/>
      <c r="ARE956" s="252"/>
      <c r="ARF956" s="252"/>
      <c r="ARG956" s="252"/>
      <c r="ARH956" s="252"/>
      <c r="ARI956" s="252"/>
      <c r="ARJ956" s="252"/>
      <c r="ARK956" s="252"/>
      <c r="ARL956" s="252"/>
      <c r="ARM956" s="252"/>
      <c r="ARN956" s="252"/>
      <c r="ARO956" s="252"/>
      <c r="ARP956" s="252"/>
      <c r="ARQ956" s="252"/>
      <c r="ARR956" s="252"/>
      <c r="ARS956" s="252"/>
      <c r="ART956" s="252"/>
      <c r="ARU956" s="252"/>
      <c r="ARV956" s="252"/>
      <c r="ARW956" s="252"/>
      <c r="ARX956" s="252"/>
      <c r="ARY956" s="252"/>
      <c r="ARZ956" s="252"/>
      <c r="ASA956" s="252"/>
      <c r="ASB956" s="252"/>
      <c r="ASC956" s="252"/>
      <c r="ASD956" s="252"/>
      <c r="ASE956" s="252"/>
      <c r="ASF956" s="252"/>
      <c r="ASG956" s="252"/>
      <c r="ASH956" s="252"/>
      <c r="ASI956" s="252"/>
      <c r="ASJ956" s="252"/>
      <c r="ASK956" s="252"/>
      <c r="ASL956" s="252"/>
      <c r="ASM956" s="252"/>
      <c r="ASN956" s="252"/>
      <c r="ASO956" s="252"/>
      <c r="ASP956" s="252"/>
      <c r="ASQ956" s="252"/>
      <c r="ASR956" s="252"/>
      <c r="ASS956" s="252"/>
      <c r="AST956" s="252"/>
      <c r="ASU956" s="252"/>
      <c r="ASV956" s="252"/>
      <c r="ASW956" s="252"/>
      <c r="ASX956" s="252"/>
      <c r="ASY956" s="252"/>
      <c r="ASZ956" s="252"/>
      <c r="ATA956" s="252"/>
      <c r="ATB956" s="252"/>
      <c r="ATC956" s="252"/>
      <c r="ATD956" s="252"/>
      <c r="ATE956" s="252"/>
      <c r="ATF956" s="252"/>
      <c r="ATG956" s="252"/>
      <c r="ATH956" s="252"/>
      <c r="ATI956" s="252"/>
      <c r="ATJ956" s="252"/>
      <c r="ATK956" s="252"/>
      <c r="ATL956" s="252"/>
      <c r="ATM956" s="252"/>
      <c r="ATN956" s="252"/>
      <c r="ATO956" s="252"/>
      <c r="ATP956" s="252"/>
      <c r="ATQ956" s="252"/>
      <c r="ATR956" s="252"/>
      <c r="ATS956" s="252"/>
      <c r="ATT956" s="252"/>
      <c r="ATU956" s="252"/>
      <c r="ATV956" s="252"/>
      <c r="ATW956" s="252"/>
      <c r="ATX956" s="252"/>
      <c r="ATY956" s="252"/>
      <c r="ATZ956" s="252"/>
      <c r="AUA956" s="252"/>
      <c r="AUB956" s="252"/>
      <c r="AUC956" s="252"/>
      <c r="AUD956" s="252"/>
      <c r="AUE956" s="252"/>
      <c r="AUF956" s="252"/>
      <c r="AUG956" s="252"/>
      <c r="AUH956" s="252"/>
      <c r="AUI956" s="252"/>
      <c r="AUJ956" s="252"/>
      <c r="AUK956" s="252"/>
      <c r="AUL956" s="252"/>
      <c r="AUM956" s="252"/>
      <c r="AUN956" s="252"/>
      <c r="AUO956" s="252"/>
      <c r="AUP956" s="252"/>
      <c r="AUQ956" s="252"/>
      <c r="AUR956" s="252"/>
      <c r="AUS956" s="252"/>
      <c r="AUT956" s="252"/>
      <c r="AUU956" s="252"/>
      <c r="AUV956" s="252"/>
      <c r="AUW956" s="252"/>
      <c r="AUX956" s="252"/>
      <c r="AUY956" s="252"/>
      <c r="AUZ956" s="252"/>
      <c r="AVA956" s="252"/>
      <c r="AVB956" s="252"/>
      <c r="AVC956" s="252"/>
      <c r="AVD956" s="252"/>
      <c r="AVE956" s="252"/>
      <c r="AVF956" s="252"/>
      <c r="AVG956" s="252"/>
      <c r="AVH956" s="252"/>
      <c r="AVI956" s="252"/>
      <c r="AVJ956" s="252"/>
      <c r="AVK956" s="252"/>
      <c r="AVL956" s="252"/>
      <c r="AVM956" s="252"/>
      <c r="AVN956" s="252"/>
      <c r="AVO956" s="252"/>
      <c r="AVP956" s="252"/>
      <c r="AVQ956" s="252"/>
      <c r="AVR956" s="252"/>
      <c r="AVS956" s="252"/>
      <c r="AVT956" s="252"/>
      <c r="AVU956" s="252"/>
      <c r="AVV956" s="252"/>
      <c r="AVW956" s="252"/>
      <c r="AVX956" s="252"/>
      <c r="AVY956" s="252"/>
      <c r="AVZ956" s="252"/>
      <c r="AWA956" s="252"/>
      <c r="AWB956" s="252"/>
      <c r="AWC956" s="252"/>
      <c r="AWD956" s="252"/>
      <c r="AWE956" s="252"/>
      <c r="AWF956" s="252"/>
      <c r="AWG956" s="252"/>
      <c r="AWH956" s="252"/>
      <c r="AWI956" s="252"/>
      <c r="AWJ956" s="252"/>
      <c r="AWK956" s="252"/>
      <c r="AWL956" s="252"/>
      <c r="AWM956" s="252"/>
      <c r="AWN956" s="252"/>
      <c r="AWO956" s="252"/>
      <c r="AWP956" s="252"/>
      <c r="AWQ956" s="252"/>
      <c r="AWR956" s="252"/>
      <c r="AWS956" s="252"/>
      <c r="AWT956" s="252"/>
      <c r="AWU956" s="252"/>
      <c r="AWV956" s="252"/>
      <c r="AWW956" s="252"/>
      <c r="AWX956" s="252"/>
      <c r="AWY956" s="252"/>
      <c r="AWZ956" s="252"/>
      <c r="AXA956" s="252"/>
      <c r="AXB956" s="252"/>
      <c r="AXC956" s="252"/>
      <c r="AXD956" s="252"/>
      <c r="AXE956" s="252"/>
      <c r="AXF956" s="252"/>
      <c r="AXG956" s="252"/>
      <c r="AXH956" s="252"/>
      <c r="AXI956" s="252"/>
      <c r="AXJ956" s="252"/>
      <c r="AXK956" s="252"/>
      <c r="AXL956" s="252"/>
      <c r="AXM956" s="252"/>
      <c r="AXN956" s="252"/>
      <c r="AXO956" s="252"/>
      <c r="AXP956" s="252"/>
      <c r="AXQ956" s="252"/>
      <c r="AXR956" s="252"/>
      <c r="AXS956" s="252"/>
      <c r="AXT956" s="252"/>
      <c r="AXU956" s="252"/>
      <c r="AXV956" s="252"/>
      <c r="AXW956" s="252"/>
      <c r="AXX956" s="252"/>
      <c r="AXY956" s="252"/>
      <c r="AXZ956" s="252"/>
      <c r="AYA956" s="252"/>
      <c r="AYB956" s="252"/>
      <c r="AYC956" s="252"/>
      <c r="AYD956" s="252"/>
      <c r="AYE956" s="252"/>
      <c r="AYF956" s="252"/>
      <c r="AYG956" s="252"/>
      <c r="AYH956" s="252"/>
      <c r="AYI956" s="252"/>
      <c r="AYJ956" s="252"/>
      <c r="AYK956" s="252"/>
      <c r="AYL956" s="252"/>
      <c r="AYM956" s="252"/>
      <c r="AYN956" s="252"/>
      <c r="AYO956" s="252"/>
      <c r="AYP956" s="252"/>
      <c r="AYQ956" s="252"/>
      <c r="AYR956" s="252"/>
      <c r="AYS956" s="252"/>
      <c r="AYT956" s="252"/>
      <c r="AYU956" s="252"/>
      <c r="AYV956" s="252"/>
      <c r="AYW956" s="252"/>
      <c r="AYX956" s="252"/>
      <c r="AYY956" s="252"/>
      <c r="AYZ956" s="252"/>
      <c r="AZA956" s="252"/>
      <c r="AZB956" s="252"/>
      <c r="AZC956" s="252"/>
      <c r="AZD956" s="252"/>
      <c r="AZE956" s="252"/>
      <c r="AZF956" s="252"/>
      <c r="AZG956" s="252"/>
      <c r="AZH956" s="252"/>
      <c r="AZI956" s="252"/>
      <c r="AZJ956" s="252"/>
      <c r="AZK956" s="252"/>
      <c r="AZL956" s="252"/>
      <c r="AZM956" s="252"/>
      <c r="AZN956" s="252"/>
      <c r="AZO956" s="252"/>
      <c r="AZP956" s="252"/>
      <c r="AZQ956" s="252"/>
      <c r="AZR956" s="252"/>
      <c r="AZS956" s="252"/>
      <c r="AZT956" s="252"/>
      <c r="AZU956" s="252"/>
      <c r="AZV956" s="252"/>
      <c r="AZW956" s="252"/>
      <c r="AZX956" s="252"/>
      <c r="AZY956" s="252"/>
      <c r="AZZ956" s="252"/>
      <c r="BAA956" s="252"/>
      <c r="BAB956" s="252"/>
      <c r="BAC956" s="252"/>
      <c r="BAD956" s="252"/>
      <c r="BAE956" s="252"/>
      <c r="BAF956" s="252"/>
      <c r="BAG956" s="252"/>
      <c r="BAH956" s="252"/>
      <c r="BAI956" s="252"/>
      <c r="BAJ956" s="252"/>
      <c r="BAK956" s="252"/>
      <c r="BAL956" s="252"/>
      <c r="BAM956" s="252"/>
      <c r="BAN956" s="252"/>
      <c r="BAO956" s="252"/>
      <c r="BAP956" s="252"/>
      <c r="BAQ956" s="252"/>
      <c r="BAR956" s="252"/>
      <c r="BAS956" s="252"/>
      <c r="BAT956" s="252"/>
      <c r="BAU956" s="252"/>
      <c r="BAV956" s="252"/>
      <c r="BAW956" s="252"/>
      <c r="BAX956" s="252"/>
      <c r="BAY956" s="252"/>
      <c r="BAZ956" s="252"/>
      <c r="BBA956" s="252"/>
      <c r="BBB956" s="252"/>
      <c r="BBC956" s="252"/>
      <c r="BBD956" s="252"/>
      <c r="BBE956" s="252"/>
      <c r="BBF956" s="252"/>
      <c r="BBG956" s="252"/>
      <c r="BBH956" s="252"/>
      <c r="BBI956" s="252"/>
      <c r="BBJ956" s="252"/>
      <c r="BBK956" s="252"/>
      <c r="BBL956" s="252"/>
      <c r="BBM956" s="252"/>
      <c r="BBN956" s="252"/>
      <c r="BBO956" s="252"/>
      <c r="BBP956" s="252"/>
      <c r="BBQ956" s="252"/>
      <c r="BBR956" s="252"/>
      <c r="BBS956" s="252"/>
      <c r="BBT956" s="252"/>
      <c r="BBU956" s="252"/>
      <c r="BBV956" s="252"/>
      <c r="BBW956" s="252"/>
      <c r="BBX956" s="252"/>
      <c r="BBY956" s="252"/>
      <c r="BBZ956" s="252"/>
      <c r="BCA956" s="252"/>
      <c r="BCB956" s="252"/>
      <c r="BCC956" s="252"/>
      <c r="BCD956" s="252"/>
      <c r="BCE956" s="252"/>
      <c r="BCF956" s="252"/>
      <c r="BCG956" s="252"/>
      <c r="BCH956" s="252"/>
      <c r="BCI956" s="252"/>
      <c r="BCJ956" s="252"/>
      <c r="BCK956" s="252"/>
      <c r="BCL956" s="252"/>
      <c r="BCM956" s="252"/>
      <c r="BCN956" s="252"/>
      <c r="BCO956" s="252"/>
      <c r="BCP956" s="252"/>
      <c r="BCQ956" s="252"/>
      <c r="BCR956" s="252"/>
      <c r="BCS956" s="252"/>
      <c r="BCT956" s="252"/>
      <c r="BCU956" s="252"/>
      <c r="BCV956" s="252"/>
      <c r="BCW956" s="252"/>
      <c r="BCX956" s="252"/>
      <c r="BCY956" s="252"/>
      <c r="BCZ956" s="252"/>
      <c r="BDA956" s="252"/>
      <c r="BDB956" s="252"/>
      <c r="BDC956" s="252"/>
      <c r="BDD956" s="252"/>
      <c r="BDE956" s="252"/>
      <c r="BDF956" s="252"/>
      <c r="BDG956" s="252"/>
      <c r="BDH956" s="252"/>
      <c r="BDI956" s="252"/>
      <c r="BDJ956" s="252"/>
      <c r="BDK956" s="252"/>
      <c r="BDL956" s="252"/>
      <c r="BDM956" s="252"/>
      <c r="BDN956" s="252"/>
      <c r="BDO956" s="252"/>
      <c r="BDP956" s="252"/>
      <c r="BDQ956" s="252"/>
      <c r="BDR956" s="252"/>
      <c r="BDS956" s="252"/>
      <c r="BDT956" s="252"/>
      <c r="BDU956" s="252"/>
      <c r="BDV956" s="252"/>
      <c r="BDW956" s="252"/>
      <c r="BDX956" s="252"/>
      <c r="BDY956" s="252"/>
      <c r="BDZ956" s="252"/>
      <c r="BEA956" s="252"/>
      <c r="BEB956" s="252"/>
      <c r="BEC956" s="252"/>
      <c r="BED956" s="252"/>
      <c r="BEE956" s="252"/>
      <c r="BEF956" s="252"/>
      <c r="BEG956" s="252"/>
      <c r="BEH956" s="252"/>
      <c r="BEI956" s="252"/>
      <c r="BEJ956" s="252"/>
      <c r="BEK956" s="252"/>
      <c r="BEL956" s="252"/>
      <c r="BEM956" s="252"/>
      <c r="BEN956" s="252"/>
      <c r="BEO956" s="252"/>
      <c r="BEP956" s="252"/>
      <c r="BEQ956" s="252"/>
      <c r="BER956" s="252"/>
      <c r="BES956" s="252"/>
      <c r="BET956" s="252"/>
      <c r="BEU956" s="252"/>
      <c r="BEV956" s="252"/>
      <c r="BEW956" s="252"/>
      <c r="BEX956" s="252"/>
      <c r="BEY956" s="252"/>
      <c r="BEZ956" s="252"/>
      <c r="BFA956" s="252"/>
      <c r="BFB956" s="252"/>
      <c r="BFC956" s="252"/>
      <c r="BFD956" s="252"/>
      <c r="BFE956" s="252"/>
      <c r="BFF956" s="252"/>
      <c r="BFG956" s="252"/>
      <c r="BFH956" s="252"/>
      <c r="BFI956" s="252"/>
      <c r="BFJ956" s="252"/>
      <c r="BFK956" s="252"/>
      <c r="BFL956" s="252"/>
      <c r="BFM956" s="252"/>
      <c r="BFN956" s="252"/>
      <c r="BFO956" s="252"/>
      <c r="BFP956" s="252"/>
      <c r="BFQ956" s="252"/>
      <c r="BFR956" s="252"/>
      <c r="BFS956" s="252"/>
      <c r="BFT956" s="252"/>
      <c r="BFU956" s="252"/>
      <c r="BFV956" s="252"/>
      <c r="BFW956" s="252"/>
      <c r="BFX956" s="252"/>
      <c r="BFY956" s="252"/>
      <c r="BFZ956" s="252"/>
      <c r="BGA956" s="252"/>
      <c r="BGB956" s="252"/>
      <c r="BGC956" s="252"/>
      <c r="BGD956" s="252"/>
      <c r="BGE956" s="252"/>
      <c r="BGF956" s="252"/>
      <c r="BGG956" s="252"/>
      <c r="BGH956" s="252"/>
      <c r="BGI956" s="252"/>
      <c r="BGJ956" s="252"/>
      <c r="BGK956" s="252"/>
      <c r="BGL956" s="252"/>
      <c r="BGM956" s="252"/>
      <c r="BGN956" s="252"/>
      <c r="BGO956" s="252"/>
      <c r="BGP956" s="252"/>
      <c r="BGQ956" s="252"/>
      <c r="BGR956" s="252"/>
      <c r="BGS956" s="252"/>
      <c r="BGT956" s="252"/>
      <c r="BGU956" s="252"/>
      <c r="BGV956" s="252"/>
      <c r="BGW956" s="252"/>
      <c r="BGX956" s="252"/>
      <c r="BGY956" s="252"/>
      <c r="BGZ956" s="252"/>
      <c r="BHA956" s="252"/>
      <c r="BHB956" s="252"/>
      <c r="BHC956" s="252"/>
      <c r="BHD956" s="252"/>
      <c r="BHE956" s="252"/>
      <c r="BHF956" s="252"/>
      <c r="BHG956" s="252"/>
      <c r="BHH956" s="252"/>
      <c r="BHI956" s="252"/>
      <c r="BHJ956" s="252"/>
      <c r="BHK956" s="252"/>
      <c r="BHL956" s="252"/>
      <c r="BHM956" s="252"/>
      <c r="BHN956" s="252"/>
      <c r="BHO956" s="252"/>
      <c r="BHP956" s="252"/>
      <c r="BHQ956" s="252"/>
      <c r="BHR956" s="252"/>
      <c r="BHS956" s="252"/>
      <c r="BHT956" s="252"/>
      <c r="BHU956" s="252"/>
      <c r="BHV956" s="252"/>
      <c r="BHW956" s="252"/>
      <c r="BHX956" s="252"/>
      <c r="BHY956" s="252"/>
      <c r="BHZ956" s="252"/>
      <c r="BIA956" s="252"/>
      <c r="BIB956" s="252"/>
      <c r="BIC956" s="252"/>
      <c r="BID956" s="252"/>
      <c r="BIE956" s="252"/>
      <c r="BIF956" s="252"/>
      <c r="BIG956" s="252"/>
      <c r="BIH956" s="252"/>
      <c r="BII956" s="252"/>
      <c r="BIJ956" s="252"/>
      <c r="BIK956" s="252"/>
      <c r="BIL956" s="252"/>
      <c r="BIM956" s="252"/>
      <c r="BIN956" s="252"/>
      <c r="BIO956" s="252"/>
      <c r="BIP956" s="252"/>
      <c r="BIQ956" s="252"/>
      <c r="BIR956" s="252"/>
      <c r="BIS956" s="252"/>
      <c r="BIT956" s="252"/>
      <c r="BIU956" s="252"/>
      <c r="BIV956" s="252"/>
      <c r="BIW956" s="252"/>
      <c r="BIX956" s="252"/>
      <c r="BIY956" s="252"/>
      <c r="BIZ956" s="252"/>
      <c r="BJA956" s="252"/>
      <c r="BJB956" s="252"/>
      <c r="BJC956" s="252"/>
      <c r="BJD956" s="252"/>
      <c r="BJE956" s="252"/>
      <c r="BJF956" s="252"/>
      <c r="BJG956" s="252"/>
      <c r="BJH956" s="252"/>
      <c r="BJI956" s="252"/>
      <c r="BJJ956" s="252"/>
      <c r="BJK956" s="252"/>
      <c r="BJL956" s="252"/>
      <c r="BJM956" s="252"/>
      <c r="BJN956" s="252"/>
      <c r="BJO956" s="252"/>
      <c r="BJP956" s="252"/>
      <c r="BJQ956" s="252"/>
      <c r="BJR956" s="252"/>
      <c r="BJS956" s="252"/>
      <c r="BJT956" s="252"/>
      <c r="BJU956" s="252"/>
      <c r="BJV956" s="252"/>
      <c r="BJW956" s="252"/>
      <c r="BJX956" s="252"/>
      <c r="BJY956" s="252"/>
      <c r="BJZ956" s="252"/>
      <c r="BKA956" s="252"/>
      <c r="BKB956" s="252"/>
      <c r="BKC956" s="252"/>
      <c r="BKD956" s="252"/>
      <c r="BKE956" s="252"/>
      <c r="BKF956" s="252"/>
      <c r="BKG956" s="252"/>
      <c r="BKH956" s="252"/>
      <c r="BKI956" s="252"/>
      <c r="BKJ956" s="252"/>
      <c r="BKK956" s="252"/>
      <c r="BKL956" s="252"/>
      <c r="BKM956" s="252"/>
      <c r="BKN956" s="252"/>
      <c r="BKO956" s="252"/>
      <c r="BKP956" s="252"/>
      <c r="BKQ956" s="252"/>
      <c r="BKR956" s="252"/>
      <c r="BKS956" s="252"/>
      <c r="BKT956" s="252"/>
      <c r="BKU956" s="252"/>
      <c r="BKV956" s="252"/>
      <c r="BKW956" s="252"/>
      <c r="BKX956" s="252"/>
      <c r="BKY956" s="252"/>
      <c r="BKZ956" s="252"/>
      <c r="BLA956" s="252"/>
      <c r="BLB956" s="252"/>
      <c r="BLC956" s="252"/>
      <c r="BLD956" s="252"/>
      <c r="BLE956" s="252"/>
      <c r="BLF956" s="252"/>
      <c r="BLG956" s="252"/>
      <c r="BLH956" s="252"/>
      <c r="BLI956" s="252"/>
      <c r="BLJ956" s="252"/>
      <c r="BLK956" s="252"/>
      <c r="BLL956" s="252"/>
      <c r="BLM956" s="252"/>
      <c r="BLN956" s="252"/>
      <c r="BLO956" s="252"/>
      <c r="BLP956" s="252"/>
      <c r="BLQ956" s="252"/>
      <c r="BLR956" s="252"/>
      <c r="BLS956" s="252"/>
      <c r="BLT956" s="252"/>
      <c r="BLU956" s="252"/>
      <c r="BLV956" s="252"/>
      <c r="BLW956" s="252"/>
      <c r="BLX956" s="252"/>
      <c r="BLY956" s="252"/>
      <c r="BLZ956" s="252"/>
      <c r="BMA956" s="252"/>
      <c r="BMB956" s="252"/>
      <c r="BMC956" s="252"/>
      <c r="BMD956" s="252"/>
      <c r="BME956" s="252"/>
      <c r="BMF956" s="252"/>
      <c r="BMG956" s="252"/>
      <c r="BMH956" s="252"/>
      <c r="BMI956" s="252"/>
      <c r="BMJ956" s="252"/>
      <c r="BMK956" s="252"/>
      <c r="BML956" s="252"/>
      <c r="BMM956" s="252"/>
      <c r="BMN956" s="252"/>
      <c r="BMO956" s="252"/>
      <c r="BMP956" s="252"/>
      <c r="BMQ956" s="252"/>
      <c r="BMR956" s="252"/>
      <c r="BMS956" s="252"/>
      <c r="BMT956" s="252"/>
      <c r="BMU956" s="252"/>
      <c r="BMV956" s="252"/>
      <c r="BMW956" s="252"/>
      <c r="BMX956" s="252"/>
      <c r="BMY956" s="252"/>
      <c r="BMZ956" s="252"/>
      <c r="BNA956" s="252"/>
      <c r="BNB956" s="252"/>
      <c r="BNC956" s="252"/>
      <c r="BND956" s="252"/>
      <c r="BNE956" s="252"/>
      <c r="BNF956" s="252"/>
      <c r="BNG956" s="252"/>
      <c r="BNH956" s="252"/>
      <c r="BNI956" s="252"/>
      <c r="BNJ956" s="252"/>
      <c r="BNK956" s="252"/>
      <c r="BNL956" s="252"/>
      <c r="BNM956" s="252"/>
      <c r="BNN956" s="252"/>
      <c r="BNO956" s="252"/>
      <c r="BNP956" s="252"/>
      <c r="BNQ956" s="252"/>
      <c r="BNR956" s="252"/>
      <c r="BNS956" s="252"/>
      <c r="BNT956" s="252"/>
      <c r="BNU956" s="252"/>
      <c r="BNV956" s="252"/>
      <c r="BNW956" s="252"/>
      <c r="BNX956" s="252"/>
      <c r="BNY956" s="252"/>
      <c r="BNZ956" s="252"/>
      <c r="BOA956" s="252"/>
      <c r="BOB956" s="252"/>
      <c r="BOC956" s="252"/>
      <c r="BOD956" s="252"/>
      <c r="BOE956" s="252"/>
      <c r="BOF956" s="252"/>
      <c r="BOG956" s="252"/>
      <c r="BOH956" s="252"/>
      <c r="BOI956" s="252"/>
      <c r="BOJ956" s="252"/>
      <c r="BOK956" s="252"/>
      <c r="BOL956" s="252"/>
      <c r="BOM956" s="252"/>
      <c r="BON956" s="252"/>
      <c r="BOO956" s="252"/>
      <c r="BOP956" s="252"/>
      <c r="BOQ956" s="252"/>
      <c r="BOR956" s="252"/>
      <c r="BOS956" s="252"/>
      <c r="BOT956" s="252"/>
      <c r="BOU956" s="252"/>
      <c r="BOV956" s="252"/>
      <c r="BOW956" s="252"/>
      <c r="BOX956" s="252"/>
      <c r="BOY956" s="252"/>
      <c r="BOZ956" s="252"/>
      <c r="BPA956" s="252"/>
      <c r="BPB956" s="252"/>
      <c r="BPC956" s="252"/>
      <c r="BPD956" s="252"/>
      <c r="BPE956" s="252"/>
      <c r="BPF956" s="252"/>
      <c r="BPG956" s="252"/>
      <c r="BPH956" s="252"/>
      <c r="BPI956" s="252"/>
      <c r="BPJ956" s="252"/>
      <c r="BPK956" s="252"/>
      <c r="BPL956" s="252"/>
      <c r="BPM956" s="252"/>
      <c r="BPN956" s="252"/>
      <c r="BPO956" s="252"/>
      <c r="BPP956" s="252"/>
      <c r="BPQ956" s="252"/>
      <c r="BPR956" s="252"/>
      <c r="BPS956" s="252"/>
      <c r="BPT956" s="252"/>
      <c r="BPU956" s="252"/>
      <c r="BPV956" s="252"/>
      <c r="BPW956" s="252"/>
      <c r="BPX956" s="252"/>
      <c r="BPY956" s="252"/>
      <c r="BPZ956" s="252"/>
      <c r="BQA956" s="252"/>
      <c r="BQB956" s="252"/>
      <c r="BQC956" s="252"/>
      <c r="BQD956" s="252"/>
      <c r="BQE956" s="252"/>
      <c r="BQF956" s="252"/>
      <c r="BQG956" s="252"/>
      <c r="BQH956" s="252"/>
      <c r="BQI956" s="252"/>
      <c r="BQJ956" s="252"/>
      <c r="BQK956" s="252"/>
      <c r="BQL956" s="252"/>
      <c r="BQM956" s="252"/>
      <c r="BQN956" s="252"/>
      <c r="BQO956" s="252"/>
      <c r="BQP956" s="252"/>
      <c r="BQQ956" s="252"/>
      <c r="BQR956" s="252"/>
      <c r="BQS956" s="252"/>
      <c r="BQT956" s="252"/>
      <c r="BQU956" s="252"/>
      <c r="BQV956" s="252"/>
      <c r="BQW956" s="252"/>
      <c r="BQX956" s="252"/>
      <c r="BQY956" s="252"/>
      <c r="BQZ956" s="252"/>
      <c r="BRA956" s="252"/>
      <c r="BRB956" s="252"/>
      <c r="BRC956" s="252"/>
      <c r="BRD956" s="252"/>
      <c r="BRE956" s="252"/>
      <c r="BRF956" s="252"/>
      <c r="BRG956" s="252"/>
      <c r="BRH956" s="252"/>
      <c r="BRI956" s="252"/>
      <c r="BRJ956" s="252"/>
      <c r="BRK956" s="252"/>
      <c r="BRL956" s="252"/>
      <c r="BRM956" s="252"/>
      <c r="BRN956" s="252"/>
      <c r="BRO956" s="252"/>
      <c r="BRP956" s="252"/>
      <c r="BRQ956" s="252"/>
      <c r="BRR956" s="252"/>
      <c r="BRS956" s="252"/>
      <c r="BRT956" s="252"/>
      <c r="BRU956" s="252"/>
      <c r="BRV956" s="252"/>
      <c r="BRW956" s="252"/>
      <c r="BRX956" s="252"/>
      <c r="BRY956" s="252"/>
      <c r="BRZ956" s="252"/>
      <c r="BSA956" s="252"/>
      <c r="BSB956" s="252"/>
      <c r="BSC956" s="252"/>
      <c r="BSD956" s="252"/>
      <c r="BSE956" s="252"/>
      <c r="BSF956" s="252"/>
      <c r="BSG956" s="252"/>
      <c r="BSH956" s="252"/>
      <c r="BSI956" s="252"/>
      <c r="BSJ956" s="252"/>
      <c r="BSK956" s="252"/>
      <c r="BSL956" s="252"/>
      <c r="BSM956" s="252"/>
      <c r="BSN956" s="252"/>
      <c r="BSO956" s="252"/>
      <c r="BSP956" s="252"/>
      <c r="BSQ956" s="252"/>
      <c r="BSR956" s="252"/>
      <c r="BSS956" s="252"/>
      <c r="BST956" s="252"/>
      <c r="BSU956" s="252"/>
      <c r="BSV956" s="252"/>
      <c r="BSW956" s="252"/>
      <c r="BSX956" s="252"/>
      <c r="BSY956" s="252"/>
      <c r="BSZ956" s="252"/>
      <c r="BTA956" s="252"/>
      <c r="BTB956" s="252"/>
      <c r="BTC956" s="252"/>
      <c r="BTD956" s="252"/>
      <c r="BTE956" s="252"/>
      <c r="BTF956" s="252"/>
      <c r="BTG956" s="252"/>
      <c r="BTH956" s="252"/>
      <c r="BTI956" s="252"/>
      <c r="BTJ956" s="252"/>
      <c r="BTK956" s="252"/>
      <c r="BTL956" s="252"/>
      <c r="BTM956" s="252"/>
      <c r="BTN956" s="252"/>
      <c r="BTO956" s="252"/>
      <c r="BTP956" s="252"/>
      <c r="BTQ956" s="252"/>
      <c r="BTR956" s="252"/>
      <c r="BTS956" s="252"/>
      <c r="BTT956" s="252"/>
      <c r="BTU956" s="252"/>
      <c r="BTV956" s="252"/>
      <c r="BTW956" s="252"/>
      <c r="BTX956" s="252"/>
      <c r="BTY956" s="252"/>
      <c r="BTZ956" s="252"/>
      <c r="BUA956" s="252"/>
      <c r="BUB956" s="252"/>
      <c r="BUC956" s="252"/>
      <c r="BUD956" s="252"/>
      <c r="BUE956" s="252"/>
      <c r="BUF956" s="252"/>
      <c r="BUG956" s="252"/>
      <c r="BUH956" s="252"/>
      <c r="BUI956" s="252"/>
      <c r="BUJ956" s="252"/>
      <c r="BUK956" s="252"/>
      <c r="BUL956" s="252"/>
      <c r="BUM956" s="252"/>
      <c r="BUN956" s="252"/>
      <c r="BUO956" s="252"/>
      <c r="BUP956" s="252"/>
      <c r="BUQ956" s="252"/>
      <c r="BUR956" s="252"/>
      <c r="BUS956" s="252"/>
      <c r="BUT956" s="252"/>
      <c r="BUU956" s="252"/>
      <c r="BUV956" s="252"/>
      <c r="BUW956" s="252"/>
      <c r="BUX956" s="252"/>
      <c r="BUY956" s="252"/>
      <c r="BUZ956" s="252"/>
      <c r="BVA956" s="252"/>
      <c r="BVB956" s="252"/>
      <c r="BVC956" s="252"/>
      <c r="BVD956" s="252"/>
      <c r="BVE956" s="252"/>
      <c r="BVF956" s="252"/>
      <c r="BVG956" s="252"/>
      <c r="BVH956" s="252"/>
      <c r="BVI956" s="252"/>
      <c r="BVJ956" s="252"/>
      <c r="BVK956" s="252"/>
      <c r="BVL956" s="252"/>
      <c r="BVM956" s="252"/>
      <c r="BVN956" s="252"/>
      <c r="BVO956" s="252"/>
      <c r="BVP956" s="252"/>
      <c r="BVQ956" s="252"/>
      <c r="BVR956" s="252"/>
      <c r="BVS956" s="252"/>
      <c r="BVT956" s="252"/>
      <c r="BVU956" s="252"/>
      <c r="BVV956" s="252"/>
      <c r="BVW956" s="252"/>
      <c r="BVX956" s="252"/>
      <c r="BVY956" s="252"/>
      <c r="BVZ956" s="252"/>
      <c r="BWA956" s="252"/>
      <c r="BWB956" s="252"/>
      <c r="BWC956" s="252"/>
      <c r="BWD956" s="252"/>
      <c r="BWE956" s="252"/>
      <c r="BWF956" s="252"/>
      <c r="BWG956" s="252"/>
      <c r="BWH956" s="252"/>
      <c r="BWI956" s="252"/>
      <c r="BWJ956" s="252"/>
      <c r="BWK956" s="252"/>
      <c r="BWL956" s="252"/>
      <c r="BWM956" s="252"/>
      <c r="BWN956" s="252"/>
      <c r="BWO956" s="252"/>
      <c r="BWP956" s="252"/>
      <c r="BWQ956" s="252"/>
      <c r="BWR956" s="252"/>
      <c r="BWS956" s="252"/>
      <c r="BWT956" s="252"/>
      <c r="BWU956" s="252"/>
      <c r="BWV956" s="252"/>
      <c r="BWW956" s="252"/>
      <c r="BWX956" s="252"/>
      <c r="BWY956" s="252"/>
      <c r="BWZ956" s="252"/>
      <c r="BXA956" s="252"/>
      <c r="BXB956" s="252"/>
      <c r="BXC956" s="252"/>
      <c r="BXD956" s="252"/>
      <c r="BXE956" s="252"/>
      <c r="BXF956" s="252"/>
      <c r="BXG956" s="252"/>
      <c r="BXH956" s="252"/>
      <c r="BXI956" s="252"/>
      <c r="BXJ956" s="252"/>
      <c r="BXK956" s="252"/>
      <c r="BXL956" s="252"/>
      <c r="BXM956" s="252"/>
      <c r="BXN956" s="252"/>
      <c r="BXO956" s="252"/>
      <c r="BXP956" s="252"/>
      <c r="BXQ956" s="252"/>
      <c r="BXR956" s="252"/>
      <c r="BXS956" s="252"/>
      <c r="BXT956" s="252"/>
      <c r="BXU956" s="252"/>
      <c r="BXV956" s="252"/>
      <c r="BXW956" s="252"/>
      <c r="BXX956" s="252"/>
      <c r="BXY956" s="252"/>
      <c r="BXZ956" s="252"/>
      <c r="BYA956" s="252"/>
      <c r="BYB956" s="252"/>
      <c r="BYC956" s="252"/>
      <c r="BYD956" s="252"/>
      <c r="BYE956" s="252"/>
      <c r="BYF956" s="252"/>
      <c r="BYG956" s="252"/>
      <c r="BYH956" s="252"/>
      <c r="BYI956" s="252"/>
      <c r="BYJ956" s="252"/>
      <c r="BYK956" s="252"/>
      <c r="BYL956" s="252"/>
      <c r="BYM956" s="252"/>
      <c r="BYN956" s="252"/>
      <c r="BYO956" s="252"/>
      <c r="BYP956" s="252"/>
      <c r="BYQ956" s="252"/>
      <c r="BYR956" s="252"/>
      <c r="BYS956" s="252"/>
      <c r="BYT956" s="252"/>
      <c r="BYU956" s="252"/>
      <c r="BYV956" s="252"/>
      <c r="BYW956" s="252"/>
      <c r="BYX956" s="252"/>
      <c r="BYY956" s="252"/>
      <c r="BYZ956" s="252"/>
      <c r="BZA956" s="252"/>
      <c r="BZB956" s="252"/>
      <c r="BZC956" s="252"/>
      <c r="BZD956" s="252"/>
      <c r="BZE956" s="252"/>
      <c r="BZF956" s="252"/>
      <c r="BZG956" s="252"/>
      <c r="BZH956" s="252"/>
      <c r="BZI956" s="252"/>
      <c r="BZJ956" s="252"/>
      <c r="BZK956" s="252"/>
      <c r="BZL956" s="252"/>
      <c r="BZM956" s="252"/>
      <c r="BZN956" s="252"/>
      <c r="BZO956" s="252"/>
      <c r="BZP956" s="252"/>
      <c r="BZQ956" s="252"/>
      <c r="BZR956" s="252"/>
      <c r="BZS956" s="252"/>
      <c r="BZT956" s="252"/>
      <c r="BZU956" s="252"/>
      <c r="BZV956" s="252"/>
      <c r="BZW956" s="252"/>
      <c r="BZX956" s="252"/>
      <c r="BZY956" s="252"/>
      <c r="BZZ956" s="252"/>
      <c r="CAA956" s="252"/>
      <c r="CAB956" s="252"/>
      <c r="CAC956" s="252"/>
      <c r="CAD956" s="252"/>
      <c r="CAE956" s="252"/>
      <c r="CAF956" s="252"/>
      <c r="CAG956" s="252"/>
      <c r="CAH956" s="252"/>
      <c r="CAI956" s="252"/>
      <c r="CAJ956" s="252"/>
      <c r="CAK956" s="252"/>
      <c r="CAL956" s="252"/>
      <c r="CAM956" s="252"/>
      <c r="CAN956" s="252"/>
      <c r="CAO956" s="252"/>
      <c r="CAP956" s="252"/>
      <c r="CAQ956" s="252"/>
      <c r="CAR956" s="252"/>
      <c r="CAS956" s="252"/>
      <c r="CAT956" s="252"/>
      <c r="CAU956" s="252"/>
      <c r="CAV956" s="252"/>
      <c r="CAW956" s="252"/>
      <c r="CAX956" s="252"/>
      <c r="CAY956" s="252"/>
      <c r="CAZ956" s="252"/>
      <c r="CBA956" s="252"/>
      <c r="CBB956" s="252"/>
      <c r="CBC956" s="252"/>
      <c r="CBD956" s="252"/>
      <c r="CBE956" s="252"/>
      <c r="CBF956" s="252"/>
      <c r="CBG956" s="252"/>
      <c r="CBH956" s="252"/>
      <c r="CBI956" s="252"/>
      <c r="CBJ956" s="252"/>
      <c r="CBK956" s="252"/>
      <c r="CBL956" s="252"/>
      <c r="CBM956" s="252"/>
      <c r="CBN956" s="252"/>
      <c r="CBO956" s="252"/>
      <c r="CBP956" s="252"/>
      <c r="CBQ956" s="252"/>
      <c r="CBR956" s="252"/>
      <c r="CBS956" s="252"/>
      <c r="CBT956" s="252"/>
      <c r="CBU956" s="252"/>
      <c r="CBV956" s="252"/>
      <c r="CBW956" s="252"/>
      <c r="CBX956" s="252"/>
      <c r="CBY956" s="252"/>
      <c r="CBZ956" s="252"/>
      <c r="CCA956" s="252"/>
      <c r="CCB956" s="252"/>
      <c r="CCC956" s="252"/>
      <c r="CCD956" s="252"/>
      <c r="CCE956" s="252"/>
      <c r="CCF956" s="252"/>
      <c r="CCG956" s="252"/>
      <c r="CCH956" s="252"/>
      <c r="CCI956" s="252"/>
      <c r="CCJ956" s="252"/>
      <c r="CCK956" s="252"/>
      <c r="CCL956" s="252"/>
      <c r="CCM956" s="252"/>
      <c r="CCN956" s="252"/>
      <c r="CCO956" s="252"/>
      <c r="CCP956" s="252"/>
      <c r="CCQ956" s="252"/>
      <c r="CCR956" s="252"/>
      <c r="CCS956" s="252"/>
      <c r="CCT956" s="252"/>
      <c r="CCU956" s="252"/>
      <c r="CCV956" s="252"/>
      <c r="CCW956" s="252"/>
      <c r="CCX956" s="252"/>
      <c r="CCY956" s="252"/>
      <c r="CCZ956" s="252"/>
      <c r="CDA956" s="252"/>
      <c r="CDB956" s="252"/>
      <c r="CDC956" s="252"/>
      <c r="CDD956" s="252"/>
      <c r="CDE956" s="252"/>
      <c r="CDF956" s="252"/>
      <c r="CDG956" s="252"/>
      <c r="CDH956" s="252"/>
      <c r="CDI956" s="252"/>
      <c r="CDJ956" s="252"/>
      <c r="CDK956" s="252"/>
      <c r="CDL956" s="252"/>
      <c r="CDM956" s="252"/>
      <c r="CDN956" s="252"/>
      <c r="CDO956" s="252"/>
      <c r="CDP956" s="252"/>
      <c r="CDQ956" s="252"/>
      <c r="CDR956" s="252"/>
      <c r="CDS956" s="252"/>
      <c r="CDT956" s="252"/>
      <c r="CDU956" s="252"/>
      <c r="CDV956" s="252"/>
      <c r="CDW956" s="252"/>
      <c r="CDX956" s="252"/>
      <c r="CDY956" s="252"/>
      <c r="CDZ956" s="252"/>
      <c r="CEA956" s="252"/>
      <c r="CEB956" s="252"/>
      <c r="CEC956" s="252"/>
      <c r="CED956" s="252"/>
      <c r="CEE956" s="252"/>
      <c r="CEF956" s="252"/>
      <c r="CEG956" s="252"/>
      <c r="CEH956" s="252"/>
      <c r="CEI956" s="252"/>
      <c r="CEJ956" s="252"/>
      <c r="CEK956" s="252"/>
      <c r="CEL956" s="252"/>
      <c r="CEM956" s="252"/>
      <c r="CEN956" s="252"/>
      <c r="CEO956" s="252"/>
      <c r="CEP956" s="252"/>
      <c r="CEQ956" s="252"/>
      <c r="CER956" s="252"/>
      <c r="CES956" s="252"/>
      <c r="CET956" s="252"/>
      <c r="CEU956" s="252"/>
      <c r="CEV956" s="252"/>
      <c r="CEW956" s="252"/>
      <c r="CEX956" s="252"/>
      <c r="CEY956" s="252"/>
      <c r="CEZ956" s="252"/>
      <c r="CFA956" s="252"/>
      <c r="CFB956" s="252"/>
      <c r="CFC956" s="252"/>
      <c r="CFD956" s="252"/>
      <c r="CFE956" s="252"/>
      <c r="CFF956" s="252"/>
      <c r="CFG956" s="252"/>
      <c r="CFH956" s="252"/>
      <c r="CFI956" s="252"/>
      <c r="CFJ956" s="252"/>
      <c r="CFK956" s="252"/>
      <c r="CFL956" s="252"/>
      <c r="CFM956" s="252"/>
      <c r="CFN956" s="252"/>
      <c r="CFO956" s="252"/>
      <c r="CFP956" s="252"/>
      <c r="CFQ956" s="252"/>
      <c r="CFR956" s="252"/>
      <c r="CFS956" s="252"/>
      <c r="CFT956" s="252"/>
      <c r="CFU956" s="252"/>
      <c r="CFV956" s="252"/>
      <c r="CFW956" s="252"/>
      <c r="CFX956" s="252"/>
      <c r="CFY956" s="252"/>
      <c r="CFZ956" s="252"/>
      <c r="CGA956" s="252"/>
      <c r="CGB956" s="252"/>
      <c r="CGC956" s="252"/>
      <c r="CGD956" s="252"/>
      <c r="CGE956" s="252"/>
      <c r="CGF956" s="252"/>
      <c r="CGG956" s="252"/>
      <c r="CGH956" s="252"/>
      <c r="CGI956" s="252"/>
      <c r="CGJ956" s="252"/>
      <c r="CGK956" s="252"/>
      <c r="CGL956" s="252"/>
      <c r="CGM956" s="252"/>
      <c r="CGN956" s="252"/>
      <c r="CGO956" s="252"/>
      <c r="CGP956" s="252"/>
      <c r="CGQ956" s="252"/>
      <c r="CGR956" s="252"/>
      <c r="CGS956" s="252"/>
      <c r="CGT956" s="252"/>
      <c r="CGU956" s="252"/>
      <c r="CGV956" s="252"/>
      <c r="CGW956" s="252"/>
      <c r="CGX956" s="252"/>
      <c r="CGY956" s="252"/>
      <c r="CGZ956" s="252"/>
      <c r="CHA956" s="252"/>
      <c r="CHB956" s="252"/>
      <c r="CHC956" s="252"/>
      <c r="CHD956" s="252"/>
      <c r="CHE956" s="252"/>
      <c r="CHF956" s="252"/>
      <c r="CHG956" s="252"/>
      <c r="CHH956" s="252"/>
      <c r="CHI956" s="252"/>
      <c r="CHJ956" s="252"/>
      <c r="CHK956" s="252"/>
      <c r="CHL956" s="252"/>
      <c r="CHM956" s="252"/>
      <c r="CHN956" s="252"/>
      <c r="CHO956" s="252"/>
      <c r="CHP956" s="252"/>
      <c r="CHQ956" s="252"/>
      <c r="CHR956" s="252"/>
      <c r="CHS956" s="252"/>
      <c r="CHT956" s="252"/>
      <c r="CHU956" s="252"/>
      <c r="CHV956" s="252"/>
      <c r="CHW956" s="252"/>
      <c r="CHX956" s="252"/>
      <c r="CHY956" s="252"/>
      <c r="CHZ956" s="252"/>
      <c r="CIA956" s="252"/>
      <c r="CIB956" s="252"/>
      <c r="CIC956" s="252"/>
      <c r="CID956" s="252"/>
      <c r="CIE956" s="252"/>
      <c r="CIF956" s="252"/>
      <c r="CIG956" s="252"/>
      <c r="CIH956" s="252"/>
      <c r="CII956" s="252"/>
      <c r="CIJ956" s="252"/>
      <c r="CIK956" s="252"/>
      <c r="CIL956" s="252"/>
      <c r="CIM956" s="252"/>
      <c r="CIN956" s="252"/>
      <c r="CIO956" s="252"/>
      <c r="CIP956" s="252"/>
      <c r="CIQ956" s="252"/>
      <c r="CIR956" s="252"/>
      <c r="CIS956" s="252"/>
      <c r="CIT956" s="252"/>
      <c r="CIU956" s="252"/>
      <c r="CIV956" s="252"/>
      <c r="CIW956" s="252"/>
      <c r="CIX956" s="252"/>
      <c r="CIY956" s="252"/>
      <c r="CIZ956" s="252"/>
      <c r="CJA956" s="252"/>
      <c r="CJB956" s="252"/>
      <c r="CJC956" s="252"/>
      <c r="CJD956" s="252"/>
      <c r="CJE956" s="252"/>
      <c r="CJF956" s="252"/>
      <c r="CJG956" s="252"/>
      <c r="CJH956" s="252"/>
      <c r="CJI956" s="252"/>
      <c r="CJJ956" s="252"/>
      <c r="CJK956" s="252"/>
      <c r="CJL956" s="252"/>
      <c r="CJM956" s="252"/>
      <c r="CJN956" s="252"/>
      <c r="CJO956" s="252"/>
      <c r="CJP956" s="252"/>
      <c r="CJQ956" s="252"/>
      <c r="CJR956" s="252"/>
      <c r="CJS956" s="252"/>
      <c r="CJT956" s="252"/>
      <c r="CJU956" s="252"/>
      <c r="CJV956" s="252"/>
      <c r="CJW956" s="252"/>
      <c r="CJX956" s="252"/>
      <c r="CJY956" s="252"/>
      <c r="CJZ956" s="252"/>
      <c r="CKA956" s="252"/>
      <c r="CKB956" s="252"/>
      <c r="CKC956" s="252"/>
      <c r="CKD956" s="252"/>
      <c r="CKE956" s="252"/>
      <c r="CKF956" s="252"/>
      <c r="CKG956" s="252"/>
      <c r="CKH956" s="252"/>
      <c r="CKI956" s="252"/>
      <c r="CKJ956" s="252"/>
      <c r="CKK956" s="252"/>
      <c r="CKL956" s="252"/>
      <c r="CKM956" s="252"/>
      <c r="CKN956" s="252"/>
      <c r="CKO956" s="252"/>
      <c r="CKP956" s="252"/>
      <c r="CKQ956" s="252"/>
      <c r="CKR956" s="252"/>
      <c r="CKS956" s="252"/>
      <c r="CKT956" s="252"/>
      <c r="CKU956" s="252"/>
      <c r="CKV956" s="252"/>
      <c r="CKW956" s="252"/>
      <c r="CKX956" s="252"/>
      <c r="CKY956" s="252"/>
      <c r="CKZ956" s="252"/>
      <c r="CLA956" s="252"/>
      <c r="CLB956" s="252"/>
      <c r="CLC956" s="252"/>
      <c r="CLD956" s="252"/>
      <c r="CLE956" s="252"/>
      <c r="CLF956" s="252"/>
      <c r="CLG956" s="252"/>
      <c r="CLH956" s="252"/>
      <c r="CLI956" s="252"/>
      <c r="CLJ956" s="252"/>
      <c r="CLK956" s="252"/>
      <c r="CLL956" s="252"/>
      <c r="CLM956" s="252"/>
      <c r="CLN956" s="252"/>
      <c r="CLO956" s="252"/>
      <c r="CLP956" s="252"/>
      <c r="CLQ956" s="252"/>
      <c r="CLR956" s="252"/>
      <c r="CLS956" s="252"/>
      <c r="CLT956" s="252"/>
      <c r="CLU956" s="252"/>
      <c r="CLV956" s="252"/>
      <c r="CLW956" s="252"/>
      <c r="CLX956" s="252"/>
      <c r="CLY956" s="252"/>
      <c r="CLZ956" s="252"/>
      <c r="CMA956" s="252"/>
      <c r="CMB956" s="252"/>
      <c r="CMC956" s="252"/>
      <c r="CMD956" s="252"/>
      <c r="CME956" s="252"/>
      <c r="CMF956" s="252"/>
      <c r="CMG956" s="252"/>
      <c r="CMH956" s="252"/>
      <c r="CMI956" s="252"/>
      <c r="CMJ956" s="252"/>
      <c r="CMK956" s="252"/>
      <c r="CML956" s="252"/>
      <c r="CMM956" s="252"/>
      <c r="CMN956" s="252"/>
      <c r="CMO956" s="252"/>
      <c r="CMP956" s="252"/>
      <c r="CMQ956" s="252"/>
      <c r="CMR956" s="252"/>
      <c r="CMS956" s="252"/>
      <c r="CMT956" s="252"/>
      <c r="CMU956" s="252"/>
      <c r="CMV956" s="252"/>
      <c r="CMW956" s="252"/>
      <c r="CMX956" s="252"/>
      <c r="CMY956" s="252"/>
      <c r="CMZ956" s="252"/>
      <c r="CNA956" s="252"/>
      <c r="CNB956" s="252"/>
      <c r="CNC956" s="252"/>
      <c r="CND956" s="252"/>
      <c r="CNE956" s="252"/>
      <c r="CNF956" s="252"/>
      <c r="CNG956" s="252"/>
      <c r="CNH956" s="252"/>
      <c r="CNI956" s="252"/>
      <c r="CNJ956" s="252"/>
      <c r="CNK956" s="252"/>
      <c r="CNL956" s="252"/>
      <c r="CNM956" s="252"/>
      <c r="CNN956" s="252"/>
      <c r="CNO956" s="252"/>
      <c r="CNP956" s="252"/>
      <c r="CNQ956" s="252"/>
      <c r="CNR956" s="252"/>
      <c r="CNS956" s="252"/>
      <c r="CNT956" s="252"/>
      <c r="CNU956" s="252"/>
      <c r="CNV956" s="252"/>
      <c r="CNW956" s="252"/>
      <c r="CNX956" s="252"/>
      <c r="CNY956" s="252"/>
      <c r="CNZ956" s="252"/>
      <c r="COA956" s="252"/>
      <c r="COB956" s="252"/>
      <c r="COC956" s="252"/>
      <c r="COD956" s="252"/>
      <c r="COE956" s="252"/>
      <c r="COF956" s="252"/>
      <c r="COG956" s="252"/>
      <c r="COH956" s="252"/>
      <c r="COI956" s="252"/>
      <c r="COJ956" s="252"/>
      <c r="COK956" s="252"/>
      <c r="COL956" s="252"/>
      <c r="COM956" s="252"/>
      <c r="CON956" s="252"/>
      <c r="COO956" s="252"/>
      <c r="COP956" s="252"/>
      <c r="COQ956" s="252"/>
      <c r="COR956" s="252"/>
      <c r="COS956" s="252"/>
      <c r="COT956" s="252"/>
      <c r="COU956" s="252"/>
      <c r="COV956" s="252"/>
      <c r="COW956" s="252"/>
      <c r="COX956" s="252"/>
      <c r="COY956" s="252"/>
      <c r="COZ956" s="252"/>
      <c r="CPA956" s="252"/>
      <c r="CPB956" s="252"/>
      <c r="CPC956" s="252"/>
      <c r="CPD956" s="252"/>
      <c r="CPE956" s="252"/>
      <c r="CPF956" s="252"/>
      <c r="CPG956" s="252"/>
      <c r="CPH956" s="252"/>
      <c r="CPI956" s="252"/>
      <c r="CPJ956" s="252"/>
      <c r="CPK956" s="252"/>
      <c r="CPL956" s="252"/>
      <c r="CPM956" s="252"/>
      <c r="CPN956" s="252"/>
      <c r="CPO956" s="252"/>
      <c r="CPP956" s="252"/>
      <c r="CPQ956" s="252"/>
      <c r="CPR956" s="252"/>
      <c r="CPS956" s="252"/>
      <c r="CPT956" s="252"/>
      <c r="CPU956" s="252"/>
      <c r="CPV956" s="252"/>
      <c r="CPW956" s="252"/>
      <c r="CPX956" s="252"/>
      <c r="CPY956" s="252"/>
      <c r="CPZ956" s="252"/>
      <c r="CQA956" s="252"/>
      <c r="CQB956" s="252"/>
      <c r="CQC956" s="252"/>
      <c r="CQD956" s="252"/>
      <c r="CQE956" s="252"/>
      <c r="CQF956" s="252"/>
      <c r="CQG956" s="252"/>
      <c r="CQH956" s="252"/>
      <c r="CQI956" s="252"/>
      <c r="CQJ956" s="252"/>
      <c r="CQK956" s="252"/>
      <c r="CQL956" s="252"/>
      <c r="CQM956" s="252"/>
      <c r="CQN956" s="252"/>
      <c r="CQO956" s="252"/>
      <c r="CQP956" s="252"/>
      <c r="CQQ956" s="252"/>
      <c r="CQR956" s="252"/>
      <c r="CQS956" s="252"/>
      <c r="CQT956" s="252"/>
      <c r="CQU956" s="252"/>
      <c r="CQV956" s="252"/>
      <c r="CQW956" s="252"/>
      <c r="CQX956" s="252"/>
      <c r="CQY956" s="252"/>
      <c r="CQZ956" s="252"/>
      <c r="CRA956" s="252"/>
      <c r="CRB956" s="252"/>
      <c r="CRC956" s="252"/>
      <c r="CRD956" s="252"/>
      <c r="CRE956" s="252"/>
      <c r="CRF956" s="252"/>
      <c r="CRG956" s="252"/>
      <c r="CRH956" s="252"/>
      <c r="CRI956" s="252"/>
      <c r="CRJ956" s="252"/>
      <c r="CRK956" s="252"/>
      <c r="CRL956" s="252"/>
      <c r="CRM956" s="252"/>
      <c r="CRN956" s="252"/>
      <c r="CRO956" s="252"/>
      <c r="CRP956" s="252"/>
      <c r="CRQ956" s="252"/>
      <c r="CRR956" s="252"/>
      <c r="CRS956" s="252"/>
      <c r="CRT956" s="252"/>
      <c r="CRU956" s="252"/>
      <c r="CRV956" s="252"/>
      <c r="CRW956" s="252"/>
      <c r="CRX956" s="252"/>
      <c r="CRY956" s="252"/>
      <c r="CRZ956" s="252"/>
      <c r="CSA956" s="252"/>
      <c r="CSB956" s="252"/>
      <c r="CSC956" s="252"/>
      <c r="CSD956" s="252"/>
      <c r="CSE956" s="252"/>
      <c r="CSF956" s="252"/>
      <c r="CSG956" s="252"/>
      <c r="CSH956" s="252"/>
      <c r="CSI956" s="252"/>
      <c r="CSJ956" s="252"/>
      <c r="CSK956" s="252"/>
      <c r="CSL956" s="252"/>
      <c r="CSM956" s="252"/>
      <c r="CSN956" s="252"/>
      <c r="CSO956" s="252"/>
      <c r="CSP956" s="252"/>
      <c r="CSQ956" s="252"/>
      <c r="CSR956" s="252"/>
      <c r="CSS956" s="252"/>
      <c r="CST956" s="252"/>
      <c r="CSU956" s="252"/>
      <c r="CSV956" s="252"/>
      <c r="CSW956" s="252"/>
      <c r="CSX956" s="252"/>
      <c r="CSY956" s="252"/>
      <c r="CSZ956" s="252"/>
      <c r="CTA956" s="252"/>
      <c r="CTB956" s="252"/>
      <c r="CTC956" s="252"/>
      <c r="CTD956" s="252"/>
      <c r="CTE956" s="252"/>
      <c r="CTF956" s="252"/>
      <c r="CTG956" s="252"/>
      <c r="CTH956" s="252"/>
      <c r="CTI956" s="252"/>
      <c r="CTJ956" s="252"/>
      <c r="CTK956" s="252"/>
      <c r="CTL956" s="252"/>
      <c r="CTM956" s="252"/>
      <c r="CTN956" s="252"/>
      <c r="CTO956" s="252"/>
      <c r="CTP956" s="252"/>
      <c r="CTQ956" s="252"/>
      <c r="CTR956" s="252"/>
      <c r="CTS956" s="252"/>
      <c r="CTT956" s="252"/>
      <c r="CTU956" s="252"/>
      <c r="CTV956" s="252"/>
      <c r="CTW956" s="252"/>
      <c r="CTX956" s="252"/>
      <c r="CTY956" s="252"/>
      <c r="CTZ956" s="252"/>
      <c r="CUA956" s="252"/>
      <c r="CUB956" s="252"/>
      <c r="CUC956" s="252"/>
      <c r="CUD956" s="252"/>
      <c r="CUE956" s="252"/>
      <c r="CUF956" s="252"/>
      <c r="CUG956" s="252"/>
      <c r="CUH956" s="252"/>
      <c r="CUI956" s="252"/>
      <c r="CUJ956" s="252"/>
      <c r="CUK956" s="252"/>
      <c r="CUL956" s="252"/>
      <c r="CUM956" s="252"/>
      <c r="CUN956" s="252"/>
      <c r="CUO956" s="252"/>
      <c r="CUP956" s="252"/>
      <c r="CUQ956" s="252"/>
      <c r="CUR956" s="252"/>
      <c r="CUS956" s="252"/>
      <c r="CUT956" s="252"/>
      <c r="CUU956" s="252"/>
      <c r="CUV956" s="252"/>
      <c r="CUW956" s="252"/>
      <c r="CUX956" s="252"/>
      <c r="CUY956" s="252"/>
      <c r="CUZ956" s="252"/>
      <c r="CVA956" s="252"/>
      <c r="CVB956" s="252"/>
      <c r="CVC956" s="252"/>
      <c r="CVD956" s="252"/>
      <c r="CVE956" s="252"/>
      <c r="CVF956" s="252"/>
      <c r="CVG956" s="252"/>
      <c r="CVH956" s="252"/>
      <c r="CVI956" s="252"/>
      <c r="CVJ956" s="252"/>
      <c r="CVK956" s="252"/>
      <c r="CVL956" s="252"/>
      <c r="CVM956" s="252"/>
      <c r="CVN956" s="252"/>
      <c r="CVO956" s="252"/>
      <c r="CVP956" s="252"/>
      <c r="CVQ956" s="252"/>
      <c r="CVR956" s="252"/>
      <c r="CVS956" s="252"/>
      <c r="CVT956" s="252"/>
      <c r="CVU956" s="252"/>
      <c r="CVV956" s="252"/>
      <c r="CVW956" s="252"/>
      <c r="CVX956" s="252"/>
      <c r="CVY956" s="252"/>
      <c r="CVZ956" s="252"/>
      <c r="CWA956" s="252"/>
      <c r="CWB956" s="252"/>
      <c r="CWC956" s="252"/>
      <c r="CWD956" s="252"/>
      <c r="CWE956" s="252"/>
      <c r="CWF956" s="252"/>
      <c r="CWG956" s="252"/>
      <c r="CWH956" s="252"/>
      <c r="CWI956" s="252"/>
      <c r="CWJ956" s="252"/>
      <c r="CWK956" s="252"/>
      <c r="CWL956" s="252"/>
      <c r="CWM956" s="252"/>
      <c r="CWN956" s="252"/>
      <c r="CWO956" s="252"/>
      <c r="CWP956" s="252"/>
      <c r="CWQ956" s="252"/>
      <c r="CWR956" s="252"/>
      <c r="CWS956" s="252"/>
      <c r="CWT956" s="252"/>
      <c r="CWU956" s="252"/>
      <c r="CWV956" s="252"/>
      <c r="CWW956" s="252"/>
      <c r="CWX956" s="252"/>
      <c r="CWY956" s="252"/>
      <c r="CWZ956" s="252"/>
      <c r="CXA956" s="252"/>
      <c r="CXB956" s="252"/>
      <c r="CXC956" s="252"/>
      <c r="CXD956" s="252"/>
      <c r="CXE956" s="252"/>
      <c r="CXF956" s="252"/>
      <c r="CXG956" s="252"/>
      <c r="CXH956" s="252"/>
      <c r="CXI956" s="252"/>
      <c r="CXJ956" s="252"/>
      <c r="CXK956" s="252"/>
      <c r="CXL956" s="252"/>
      <c r="CXM956" s="252"/>
      <c r="CXN956" s="252"/>
      <c r="CXO956" s="252"/>
      <c r="CXP956" s="252"/>
      <c r="CXQ956" s="252"/>
      <c r="CXR956" s="252"/>
      <c r="CXS956" s="252"/>
      <c r="CXT956" s="252"/>
      <c r="CXU956" s="252"/>
      <c r="CXV956" s="252"/>
      <c r="CXW956" s="252"/>
      <c r="CXX956" s="252"/>
      <c r="CXY956" s="252"/>
      <c r="CXZ956" s="252"/>
      <c r="CYA956" s="252"/>
      <c r="CYB956" s="252"/>
      <c r="CYC956" s="252"/>
      <c r="CYD956" s="252"/>
      <c r="CYE956" s="252"/>
      <c r="CYF956" s="252"/>
      <c r="CYG956" s="252"/>
      <c r="CYH956" s="252"/>
      <c r="CYI956" s="252"/>
      <c r="CYJ956" s="252"/>
      <c r="CYK956" s="252"/>
      <c r="CYL956" s="252"/>
      <c r="CYM956" s="252"/>
      <c r="CYN956" s="252"/>
      <c r="CYO956" s="252"/>
      <c r="CYP956" s="252"/>
      <c r="CYQ956" s="252"/>
      <c r="CYR956" s="252"/>
      <c r="CYS956" s="252"/>
      <c r="CYT956" s="252"/>
      <c r="CYU956" s="252"/>
      <c r="CYV956" s="252"/>
      <c r="CYW956" s="252"/>
      <c r="CYX956" s="252"/>
      <c r="CYY956" s="252"/>
      <c r="CYZ956" s="252"/>
      <c r="CZA956" s="252"/>
      <c r="CZB956" s="252"/>
      <c r="CZC956" s="252"/>
      <c r="CZD956" s="252"/>
      <c r="CZE956" s="252"/>
      <c r="CZF956" s="252"/>
      <c r="CZG956" s="252"/>
      <c r="CZH956" s="252"/>
      <c r="CZI956" s="252"/>
      <c r="CZJ956" s="252"/>
      <c r="CZK956" s="252"/>
      <c r="CZL956" s="252"/>
      <c r="CZM956" s="252"/>
      <c r="CZN956" s="252"/>
      <c r="CZO956" s="252"/>
      <c r="CZP956" s="252"/>
      <c r="CZQ956" s="252"/>
      <c r="CZR956" s="252"/>
      <c r="CZS956" s="252"/>
      <c r="CZT956" s="252"/>
      <c r="CZU956" s="252"/>
      <c r="CZV956" s="252"/>
      <c r="CZW956" s="252"/>
      <c r="CZX956" s="252"/>
      <c r="CZY956" s="252"/>
      <c r="CZZ956" s="252"/>
      <c r="DAA956" s="252"/>
      <c r="DAB956" s="252"/>
      <c r="DAC956" s="252"/>
      <c r="DAD956" s="252"/>
      <c r="DAE956" s="252"/>
      <c r="DAF956" s="252"/>
      <c r="DAG956" s="252"/>
      <c r="DAH956" s="252"/>
      <c r="DAI956" s="252"/>
      <c r="DAJ956" s="252"/>
      <c r="DAK956" s="252"/>
      <c r="DAL956" s="252"/>
      <c r="DAM956" s="252"/>
      <c r="DAN956" s="252"/>
      <c r="DAO956" s="252"/>
      <c r="DAP956" s="252"/>
      <c r="DAQ956" s="252"/>
      <c r="DAR956" s="252"/>
      <c r="DAS956" s="252"/>
      <c r="DAT956" s="252"/>
      <c r="DAU956" s="252"/>
      <c r="DAV956" s="252"/>
      <c r="DAW956" s="252"/>
      <c r="DAX956" s="252"/>
      <c r="DAY956" s="252"/>
      <c r="DAZ956" s="252"/>
      <c r="DBA956" s="252"/>
      <c r="DBB956" s="252"/>
      <c r="DBC956" s="252"/>
      <c r="DBD956" s="252"/>
      <c r="DBE956" s="252"/>
      <c r="DBF956" s="252"/>
      <c r="DBG956" s="252"/>
      <c r="DBH956" s="252"/>
      <c r="DBI956" s="252"/>
      <c r="DBJ956" s="252"/>
      <c r="DBK956" s="252"/>
      <c r="DBL956" s="252"/>
      <c r="DBM956" s="252"/>
      <c r="DBN956" s="252"/>
      <c r="DBO956" s="252"/>
      <c r="DBP956" s="252"/>
      <c r="DBQ956" s="252"/>
      <c r="DBR956" s="252"/>
      <c r="DBS956" s="252"/>
      <c r="DBT956" s="252"/>
      <c r="DBU956" s="252"/>
      <c r="DBV956" s="252"/>
      <c r="DBW956" s="252"/>
      <c r="DBX956" s="252"/>
      <c r="DBY956" s="252"/>
      <c r="DBZ956" s="252"/>
      <c r="DCA956" s="252"/>
      <c r="DCB956" s="252"/>
      <c r="DCC956" s="252"/>
      <c r="DCD956" s="252"/>
      <c r="DCE956" s="252"/>
      <c r="DCF956" s="252"/>
      <c r="DCG956" s="252"/>
      <c r="DCH956" s="252"/>
      <c r="DCI956" s="252"/>
      <c r="DCJ956" s="252"/>
      <c r="DCK956" s="252"/>
      <c r="DCL956" s="252"/>
      <c r="DCM956" s="252"/>
      <c r="DCN956" s="252"/>
      <c r="DCO956" s="252"/>
      <c r="DCP956" s="252"/>
      <c r="DCQ956" s="252"/>
      <c r="DCR956" s="252"/>
      <c r="DCS956" s="252"/>
      <c r="DCT956" s="252"/>
      <c r="DCU956" s="252"/>
      <c r="DCV956" s="252"/>
      <c r="DCW956" s="252"/>
      <c r="DCX956" s="252"/>
      <c r="DCY956" s="252"/>
      <c r="DCZ956" s="252"/>
      <c r="DDA956" s="252"/>
      <c r="DDB956" s="252"/>
      <c r="DDC956" s="252"/>
      <c r="DDD956" s="252"/>
      <c r="DDE956" s="252"/>
      <c r="DDF956" s="252"/>
      <c r="DDG956" s="252"/>
      <c r="DDH956" s="252"/>
      <c r="DDI956" s="252"/>
      <c r="DDJ956" s="252"/>
      <c r="DDK956" s="252"/>
      <c r="DDL956" s="252"/>
      <c r="DDM956" s="252"/>
      <c r="DDN956" s="252"/>
      <c r="DDO956" s="252"/>
      <c r="DDP956" s="252"/>
      <c r="DDQ956" s="252"/>
      <c r="DDR956" s="252"/>
      <c r="DDS956" s="252"/>
      <c r="DDT956" s="252"/>
      <c r="DDU956" s="252"/>
      <c r="DDV956" s="252"/>
      <c r="DDW956" s="252"/>
      <c r="DDX956" s="252"/>
      <c r="DDY956" s="252"/>
      <c r="DDZ956" s="252"/>
      <c r="DEA956" s="252"/>
      <c r="DEB956" s="252"/>
      <c r="DEC956" s="252"/>
      <c r="DED956" s="252"/>
      <c r="DEE956" s="252"/>
      <c r="DEF956" s="252"/>
      <c r="DEG956" s="252"/>
      <c r="DEH956" s="252"/>
      <c r="DEI956" s="252"/>
      <c r="DEJ956" s="252"/>
      <c r="DEK956" s="252"/>
      <c r="DEL956" s="252"/>
      <c r="DEM956" s="252"/>
      <c r="DEN956" s="252"/>
      <c r="DEO956" s="252"/>
      <c r="DEP956" s="252"/>
      <c r="DEQ956" s="252"/>
      <c r="DER956" s="252"/>
      <c r="DES956" s="252"/>
      <c r="DET956" s="252"/>
      <c r="DEU956" s="252"/>
      <c r="DEV956" s="252"/>
      <c r="DEW956" s="252"/>
      <c r="DEX956" s="252"/>
      <c r="DEY956" s="252"/>
      <c r="DEZ956" s="252"/>
      <c r="DFA956" s="252"/>
      <c r="DFB956" s="252"/>
      <c r="DFC956" s="252"/>
      <c r="DFD956" s="252"/>
      <c r="DFE956" s="252"/>
      <c r="DFF956" s="252"/>
      <c r="DFG956" s="252"/>
      <c r="DFH956" s="252"/>
      <c r="DFI956" s="252"/>
      <c r="DFJ956" s="252"/>
      <c r="DFK956" s="252"/>
      <c r="DFL956" s="252"/>
      <c r="DFM956" s="252"/>
      <c r="DFN956" s="252"/>
      <c r="DFO956" s="252"/>
      <c r="DFP956" s="252"/>
      <c r="DFQ956" s="252"/>
      <c r="DFR956" s="252"/>
      <c r="DFS956" s="252"/>
      <c r="DFT956" s="252"/>
      <c r="DFU956" s="252"/>
      <c r="DFV956" s="252"/>
      <c r="DFW956" s="252"/>
      <c r="DFX956" s="252"/>
      <c r="DFY956" s="252"/>
      <c r="DFZ956" s="252"/>
      <c r="DGA956" s="252"/>
      <c r="DGB956" s="252"/>
      <c r="DGC956" s="252"/>
      <c r="DGD956" s="252"/>
      <c r="DGE956" s="252"/>
      <c r="DGF956" s="252"/>
      <c r="DGG956" s="252"/>
      <c r="DGH956" s="252"/>
      <c r="DGI956" s="252"/>
      <c r="DGJ956" s="252"/>
      <c r="DGK956" s="252"/>
      <c r="DGL956" s="252"/>
      <c r="DGM956" s="252"/>
      <c r="DGN956" s="252"/>
      <c r="DGO956" s="252"/>
      <c r="DGP956" s="252"/>
      <c r="DGQ956" s="252"/>
      <c r="DGR956" s="252"/>
      <c r="DGS956" s="252"/>
      <c r="DGT956" s="252"/>
      <c r="DGU956" s="252"/>
      <c r="DGV956" s="252"/>
      <c r="DGW956" s="252"/>
      <c r="DGX956" s="252"/>
      <c r="DGY956" s="252"/>
      <c r="DGZ956" s="252"/>
      <c r="DHA956" s="252"/>
      <c r="DHB956" s="252"/>
      <c r="DHC956" s="252"/>
      <c r="DHD956" s="252"/>
      <c r="DHE956" s="252"/>
      <c r="DHF956" s="252"/>
      <c r="DHG956" s="252"/>
      <c r="DHH956" s="252"/>
      <c r="DHI956" s="252"/>
      <c r="DHJ956" s="252"/>
      <c r="DHK956" s="252"/>
      <c r="DHL956" s="252"/>
      <c r="DHM956" s="252"/>
      <c r="DHN956" s="252"/>
      <c r="DHO956" s="252"/>
      <c r="DHP956" s="252"/>
      <c r="DHQ956" s="252"/>
      <c r="DHR956" s="252"/>
      <c r="DHS956" s="252"/>
      <c r="DHT956" s="252"/>
      <c r="DHU956" s="252"/>
      <c r="DHV956" s="252"/>
      <c r="DHW956" s="252"/>
      <c r="DHX956" s="252"/>
      <c r="DHY956" s="252"/>
      <c r="DHZ956" s="252"/>
      <c r="DIA956" s="252"/>
      <c r="DIB956" s="252"/>
      <c r="DIC956" s="252"/>
      <c r="DID956" s="252"/>
      <c r="DIE956" s="252"/>
      <c r="DIF956" s="252"/>
      <c r="DIG956" s="252"/>
      <c r="DIH956" s="252"/>
      <c r="DII956" s="252"/>
      <c r="DIJ956" s="252"/>
      <c r="DIK956" s="252"/>
      <c r="DIL956" s="252"/>
      <c r="DIM956" s="252"/>
      <c r="DIN956" s="252"/>
      <c r="DIO956" s="252"/>
      <c r="DIP956" s="252"/>
      <c r="DIQ956" s="252"/>
      <c r="DIR956" s="252"/>
      <c r="DIS956" s="252"/>
      <c r="DIT956" s="252"/>
      <c r="DIU956" s="252"/>
      <c r="DIV956" s="252"/>
      <c r="DIW956" s="252"/>
      <c r="DIX956" s="252"/>
      <c r="DIY956" s="252"/>
      <c r="DIZ956" s="252"/>
      <c r="DJA956" s="252"/>
      <c r="DJB956" s="252"/>
      <c r="DJC956" s="252"/>
      <c r="DJD956" s="252"/>
      <c r="DJE956" s="252"/>
      <c r="DJF956" s="252"/>
      <c r="DJG956" s="252"/>
      <c r="DJH956" s="252"/>
      <c r="DJI956" s="252"/>
      <c r="DJJ956" s="252"/>
      <c r="DJK956" s="252"/>
      <c r="DJL956" s="252"/>
      <c r="DJM956" s="252"/>
      <c r="DJN956" s="252"/>
      <c r="DJO956" s="252"/>
      <c r="DJP956" s="252"/>
      <c r="DJQ956" s="252"/>
      <c r="DJR956" s="252"/>
      <c r="DJS956" s="252"/>
      <c r="DJT956" s="252"/>
      <c r="DJU956" s="252"/>
      <c r="DJV956" s="252"/>
      <c r="DJW956" s="252"/>
      <c r="DJX956" s="252"/>
      <c r="DJY956" s="252"/>
      <c r="DJZ956" s="252"/>
      <c r="DKA956" s="252"/>
      <c r="DKB956" s="252"/>
      <c r="DKC956" s="252"/>
      <c r="DKD956" s="252"/>
      <c r="DKE956" s="252"/>
      <c r="DKF956" s="252"/>
      <c r="DKG956" s="252"/>
      <c r="DKH956" s="252"/>
      <c r="DKI956" s="252"/>
      <c r="DKJ956" s="252"/>
      <c r="DKK956" s="252"/>
      <c r="DKL956" s="252"/>
      <c r="DKM956" s="252"/>
      <c r="DKN956" s="252"/>
      <c r="DKO956" s="252"/>
      <c r="DKP956" s="252"/>
      <c r="DKQ956" s="252"/>
      <c r="DKR956" s="252"/>
      <c r="DKS956" s="252"/>
      <c r="DKT956" s="252"/>
      <c r="DKU956" s="252"/>
      <c r="DKV956" s="252"/>
      <c r="DKW956" s="252"/>
      <c r="DKX956" s="252"/>
      <c r="DKY956" s="252"/>
      <c r="DKZ956" s="252"/>
      <c r="DLA956" s="252"/>
      <c r="DLB956" s="252"/>
      <c r="DLC956" s="252"/>
      <c r="DLD956" s="252"/>
      <c r="DLE956" s="252"/>
      <c r="DLF956" s="252"/>
      <c r="DLG956" s="252"/>
      <c r="DLH956" s="252"/>
      <c r="DLI956" s="252"/>
      <c r="DLJ956" s="252"/>
      <c r="DLK956" s="252"/>
      <c r="DLL956" s="252"/>
      <c r="DLM956" s="252"/>
      <c r="DLN956" s="252"/>
      <c r="DLO956" s="252"/>
      <c r="DLP956" s="252"/>
      <c r="DLQ956" s="252"/>
      <c r="DLR956" s="252"/>
      <c r="DLS956" s="252"/>
      <c r="DLT956" s="252"/>
      <c r="DLU956" s="252"/>
      <c r="DLV956" s="252"/>
      <c r="DLW956" s="252"/>
      <c r="DLX956" s="252"/>
      <c r="DLY956" s="252"/>
      <c r="DLZ956" s="252"/>
      <c r="DMA956" s="252"/>
      <c r="DMB956" s="252"/>
      <c r="DMC956" s="252"/>
      <c r="DMD956" s="252"/>
      <c r="DME956" s="252"/>
      <c r="DMF956" s="252"/>
      <c r="DMG956" s="252"/>
      <c r="DMH956" s="252"/>
      <c r="DMI956" s="252"/>
      <c r="DMJ956" s="252"/>
      <c r="DMK956" s="252"/>
      <c r="DML956" s="252"/>
      <c r="DMM956" s="252"/>
      <c r="DMN956" s="252"/>
      <c r="DMO956" s="252"/>
      <c r="DMP956" s="252"/>
      <c r="DMQ956" s="252"/>
      <c r="DMR956" s="252"/>
      <c r="DMS956" s="252"/>
      <c r="DMT956" s="252"/>
      <c r="DMU956" s="252"/>
      <c r="DMV956" s="252"/>
      <c r="DMW956" s="252"/>
      <c r="DMX956" s="252"/>
      <c r="DMY956" s="252"/>
      <c r="DMZ956" s="252"/>
      <c r="DNA956" s="252"/>
      <c r="DNB956" s="252"/>
      <c r="DNC956" s="252"/>
      <c r="DND956" s="252"/>
      <c r="DNE956" s="252"/>
      <c r="DNF956" s="252"/>
      <c r="DNG956" s="252"/>
      <c r="DNH956" s="252"/>
      <c r="DNI956" s="252"/>
      <c r="DNJ956" s="252"/>
      <c r="DNK956" s="252"/>
      <c r="DNL956" s="252"/>
      <c r="DNM956" s="252"/>
      <c r="DNN956" s="252"/>
      <c r="DNO956" s="252"/>
      <c r="DNP956" s="252"/>
      <c r="DNQ956" s="252"/>
      <c r="DNR956" s="252"/>
      <c r="DNS956" s="252"/>
      <c r="DNT956" s="252"/>
      <c r="DNU956" s="252"/>
      <c r="DNV956" s="252"/>
      <c r="DNW956" s="252"/>
      <c r="DNX956" s="252"/>
      <c r="DNY956" s="252"/>
      <c r="DNZ956" s="252"/>
      <c r="DOA956" s="252"/>
      <c r="DOB956" s="252"/>
      <c r="DOC956" s="252"/>
      <c r="DOD956" s="252"/>
      <c r="DOE956" s="252"/>
      <c r="DOF956" s="252"/>
      <c r="DOG956" s="252"/>
      <c r="DOH956" s="252"/>
      <c r="DOI956" s="252"/>
      <c r="DOJ956" s="252"/>
      <c r="DOK956" s="252"/>
      <c r="DOL956" s="252"/>
      <c r="DOM956" s="252"/>
      <c r="DON956" s="252"/>
      <c r="DOO956" s="252"/>
      <c r="DOP956" s="252"/>
      <c r="DOQ956" s="252"/>
      <c r="DOR956" s="252"/>
      <c r="DOS956" s="252"/>
      <c r="DOT956" s="252"/>
      <c r="DOU956" s="252"/>
      <c r="DOV956" s="252"/>
      <c r="DOW956" s="252"/>
      <c r="DOX956" s="252"/>
      <c r="DOY956" s="252"/>
      <c r="DOZ956" s="252"/>
      <c r="DPA956" s="252"/>
      <c r="DPB956" s="252"/>
      <c r="DPC956" s="252"/>
      <c r="DPD956" s="252"/>
      <c r="DPE956" s="252"/>
      <c r="DPF956" s="252"/>
      <c r="DPG956" s="252"/>
      <c r="DPH956" s="252"/>
      <c r="DPI956" s="252"/>
      <c r="DPJ956" s="252"/>
      <c r="DPK956" s="252"/>
      <c r="DPL956" s="252"/>
      <c r="DPM956" s="252"/>
      <c r="DPN956" s="252"/>
      <c r="DPO956" s="252"/>
      <c r="DPP956" s="252"/>
      <c r="DPQ956" s="252"/>
      <c r="DPR956" s="252"/>
      <c r="DPS956" s="252"/>
      <c r="DPT956" s="252"/>
      <c r="DPU956" s="252"/>
      <c r="DPV956" s="252"/>
      <c r="DPW956" s="252"/>
      <c r="DPX956" s="252"/>
      <c r="DPY956" s="252"/>
      <c r="DPZ956" s="252"/>
      <c r="DQA956" s="252"/>
      <c r="DQB956" s="252"/>
      <c r="DQC956" s="252"/>
      <c r="DQD956" s="252"/>
      <c r="DQE956" s="252"/>
      <c r="DQF956" s="252"/>
      <c r="DQG956" s="252"/>
      <c r="DQH956" s="252"/>
      <c r="DQI956" s="252"/>
      <c r="DQJ956" s="252"/>
      <c r="DQK956" s="252"/>
      <c r="DQL956" s="252"/>
      <c r="DQM956" s="252"/>
      <c r="DQN956" s="252"/>
      <c r="DQO956" s="252"/>
      <c r="DQP956" s="252"/>
      <c r="DQQ956" s="252"/>
      <c r="DQR956" s="252"/>
      <c r="DQS956" s="252"/>
      <c r="DQT956" s="252"/>
      <c r="DQU956" s="252"/>
      <c r="DQV956" s="252"/>
      <c r="DQW956" s="252"/>
      <c r="DQX956" s="252"/>
      <c r="DQY956" s="252"/>
      <c r="DQZ956" s="252"/>
      <c r="DRA956" s="252"/>
      <c r="DRB956" s="252"/>
      <c r="DRC956" s="252"/>
      <c r="DRD956" s="252"/>
      <c r="DRE956" s="252"/>
      <c r="DRF956" s="252"/>
      <c r="DRG956" s="252"/>
      <c r="DRH956" s="252"/>
      <c r="DRI956" s="252"/>
      <c r="DRJ956" s="252"/>
      <c r="DRK956" s="252"/>
      <c r="DRL956" s="252"/>
      <c r="DRM956" s="252"/>
      <c r="DRN956" s="252"/>
      <c r="DRO956" s="252"/>
      <c r="DRP956" s="252"/>
      <c r="DRQ956" s="252"/>
      <c r="DRR956" s="252"/>
      <c r="DRS956" s="252"/>
      <c r="DRT956" s="252"/>
      <c r="DRU956" s="252"/>
      <c r="DRV956" s="252"/>
      <c r="DRW956" s="252"/>
      <c r="DRX956" s="252"/>
      <c r="DRY956" s="252"/>
      <c r="DRZ956" s="252"/>
      <c r="DSA956" s="252"/>
      <c r="DSB956" s="252"/>
      <c r="DSC956" s="252"/>
      <c r="DSD956" s="252"/>
      <c r="DSE956" s="252"/>
      <c r="DSF956" s="252"/>
      <c r="DSG956" s="252"/>
      <c r="DSH956" s="252"/>
      <c r="DSI956" s="252"/>
      <c r="DSJ956" s="252"/>
      <c r="DSK956" s="252"/>
      <c r="DSL956" s="252"/>
      <c r="DSM956" s="252"/>
      <c r="DSN956" s="252"/>
      <c r="DSO956" s="252"/>
      <c r="DSP956" s="252"/>
      <c r="DSQ956" s="252"/>
      <c r="DSR956" s="252"/>
      <c r="DSS956" s="252"/>
      <c r="DST956" s="252"/>
      <c r="DSU956" s="252"/>
      <c r="DSV956" s="252"/>
      <c r="DSW956" s="252"/>
      <c r="DSX956" s="252"/>
      <c r="DSY956" s="252"/>
      <c r="DSZ956" s="252"/>
      <c r="DTA956" s="252"/>
      <c r="DTB956" s="252"/>
      <c r="DTC956" s="252"/>
      <c r="DTD956" s="252"/>
      <c r="DTE956" s="252"/>
      <c r="DTF956" s="252"/>
      <c r="DTG956" s="252"/>
      <c r="DTH956" s="252"/>
      <c r="DTI956" s="252"/>
      <c r="DTJ956" s="252"/>
      <c r="DTK956" s="252"/>
      <c r="DTL956" s="252"/>
      <c r="DTM956" s="252"/>
      <c r="DTN956" s="252"/>
      <c r="DTO956" s="252"/>
      <c r="DTP956" s="252"/>
      <c r="DTQ956" s="252"/>
      <c r="DTR956" s="252"/>
      <c r="DTS956" s="252"/>
      <c r="DTT956" s="252"/>
      <c r="DTU956" s="252"/>
      <c r="DTV956" s="252"/>
      <c r="DTW956" s="252"/>
      <c r="DTX956" s="252"/>
      <c r="DTY956" s="252"/>
      <c r="DTZ956" s="252"/>
      <c r="DUA956" s="252"/>
      <c r="DUB956" s="252"/>
      <c r="DUC956" s="252"/>
      <c r="DUD956" s="252"/>
      <c r="DUE956" s="252"/>
      <c r="DUF956" s="252"/>
      <c r="DUG956" s="252"/>
      <c r="DUH956" s="252"/>
      <c r="DUI956" s="252"/>
      <c r="DUJ956" s="252"/>
      <c r="DUK956" s="252"/>
      <c r="DUL956" s="252"/>
      <c r="DUM956" s="252"/>
      <c r="DUN956" s="252"/>
      <c r="DUO956" s="252"/>
      <c r="DUP956" s="252"/>
      <c r="DUQ956" s="252"/>
      <c r="DUR956" s="252"/>
      <c r="DUS956" s="252"/>
      <c r="DUT956" s="252"/>
      <c r="DUU956" s="252"/>
      <c r="DUV956" s="252"/>
      <c r="DUW956" s="252"/>
      <c r="DUX956" s="252"/>
      <c r="DUY956" s="252"/>
      <c r="DUZ956" s="252"/>
      <c r="DVA956" s="252"/>
      <c r="DVB956" s="252"/>
      <c r="DVC956" s="252"/>
      <c r="DVD956" s="252"/>
      <c r="DVE956" s="252"/>
      <c r="DVF956" s="252"/>
      <c r="DVG956" s="252"/>
      <c r="DVH956" s="252"/>
      <c r="DVI956" s="252"/>
      <c r="DVJ956" s="252"/>
      <c r="DVK956" s="252"/>
      <c r="DVL956" s="252"/>
      <c r="DVM956" s="252"/>
      <c r="DVN956" s="252"/>
      <c r="DVO956" s="252"/>
      <c r="DVP956" s="252"/>
      <c r="DVQ956" s="252"/>
      <c r="DVR956" s="252"/>
      <c r="DVS956" s="252"/>
      <c r="DVT956" s="252"/>
      <c r="DVU956" s="252"/>
      <c r="DVV956" s="252"/>
      <c r="DVW956" s="252"/>
      <c r="DVX956" s="252"/>
      <c r="DVY956" s="252"/>
      <c r="DVZ956" s="252"/>
      <c r="DWA956" s="252"/>
      <c r="DWB956" s="252"/>
      <c r="DWC956" s="252"/>
      <c r="DWD956" s="252"/>
      <c r="DWE956" s="252"/>
      <c r="DWF956" s="252"/>
      <c r="DWG956" s="252"/>
      <c r="DWH956" s="252"/>
      <c r="DWI956" s="252"/>
      <c r="DWJ956" s="252"/>
      <c r="DWK956" s="252"/>
      <c r="DWL956" s="252"/>
      <c r="DWM956" s="252"/>
      <c r="DWN956" s="252"/>
      <c r="DWO956" s="252"/>
      <c r="DWP956" s="252"/>
      <c r="DWQ956" s="252"/>
      <c r="DWR956" s="252"/>
      <c r="DWS956" s="252"/>
      <c r="DWT956" s="252"/>
      <c r="DWU956" s="252"/>
      <c r="DWV956" s="252"/>
      <c r="DWW956" s="252"/>
      <c r="DWX956" s="252"/>
      <c r="DWY956" s="252"/>
      <c r="DWZ956" s="252"/>
      <c r="DXA956" s="252"/>
      <c r="DXB956" s="252"/>
      <c r="DXC956" s="252"/>
      <c r="DXD956" s="252"/>
      <c r="DXE956" s="252"/>
      <c r="DXF956" s="252"/>
      <c r="DXG956" s="252"/>
      <c r="DXH956" s="252"/>
      <c r="DXI956" s="252"/>
      <c r="DXJ956" s="252"/>
      <c r="DXK956" s="252"/>
      <c r="DXL956" s="252"/>
      <c r="DXM956" s="252"/>
      <c r="DXN956" s="252"/>
      <c r="DXO956" s="252"/>
      <c r="DXP956" s="252"/>
      <c r="DXQ956" s="252"/>
      <c r="DXR956" s="252"/>
      <c r="DXS956" s="252"/>
      <c r="DXT956" s="252"/>
      <c r="DXU956" s="252"/>
      <c r="DXV956" s="252"/>
      <c r="DXW956" s="252"/>
      <c r="DXX956" s="252"/>
      <c r="DXY956" s="252"/>
      <c r="DXZ956" s="252"/>
      <c r="DYA956" s="252"/>
      <c r="DYB956" s="252"/>
      <c r="DYC956" s="252"/>
      <c r="DYD956" s="252"/>
      <c r="DYE956" s="252"/>
      <c r="DYF956" s="252"/>
      <c r="DYG956" s="252"/>
      <c r="DYH956" s="252"/>
      <c r="DYI956" s="252"/>
      <c r="DYJ956" s="252"/>
      <c r="DYK956" s="252"/>
      <c r="DYL956" s="252"/>
      <c r="DYM956" s="252"/>
      <c r="DYN956" s="252"/>
      <c r="DYO956" s="252"/>
      <c r="DYP956" s="252"/>
      <c r="DYQ956" s="252"/>
      <c r="DYR956" s="252"/>
      <c r="DYS956" s="252"/>
      <c r="DYT956" s="252"/>
      <c r="DYU956" s="252"/>
      <c r="DYV956" s="252"/>
      <c r="DYW956" s="252"/>
      <c r="DYX956" s="252"/>
      <c r="DYY956" s="252"/>
      <c r="DYZ956" s="252"/>
      <c r="DZA956" s="252"/>
      <c r="DZB956" s="252"/>
      <c r="DZC956" s="252"/>
      <c r="DZD956" s="252"/>
      <c r="DZE956" s="252"/>
      <c r="DZF956" s="252"/>
      <c r="DZG956" s="252"/>
      <c r="DZH956" s="252"/>
      <c r="DZI956" s="252"/>
      <c r="DZJ956" s="252"/>
      <c r="DZK956" s="252"/>
      <c r="DZL956" s="252"/>
      <c r="DZM956" s="252"/>
      <c r="DZN956" s="252"/>
      <c r="DZO956" s="252"/>
      <c r="DZP956" s="252"/>
      <c r="DZQ956" s="252"/>
      <c r="DZR956" s="252"/>
      <c r="DZS956" s="252"/>
      <c r="DZT956" s="252"/>
      <c r="DZU956" s="252"/>
      <c r="DZV956" s="252"/>
      <c r="DZW956" s="252"/>
      <c r="DZX956" s="252"/>
      <c r="DZY956" s="252"/>
      <c r="DZZ956" s="252"/>
      <c r="EAA956" s="252"/>
      <c r="EAB956" s="252"/>
      <c r="EAC956" s="252"/>
      <c r="EAD956" s="252"/>
      <c r="EAE956" s="252"/>
      <c r="EAF956" s="252"/>
      <c r="EAG956" s="252"/>
      <c r="EAH956" s="252"/>
      <c r="EAI956" s="252"/>
      <c r="EAJ956" s="252"/>
      <c r="EAK956" s="252"/>
      <c r="EAL956" s="252"/>
      <c r="EAM956" s="252"/>
      <c r="EAN956" s="252"/>
      <c r="EAO956" s="252"/>
      <c r="EAP956" s="252"/>
      <c r="EAQ956" s="252"/>
      <c r="EAR956" s="252"/>
      <c r="EAS956" s="252"/>
      <c r="EAT956" s="252"/>
      <c r="EAU956" s="252"/>
      <c r="EAV956" s="252"/>
      <c r="EAW956" s="252"/>
      <c r="EAX956" s="252"/>
      <c r="EAY956" s="252"/>
      <c r="EAZ956" s="252"/>
      <c r="EBA956" s="252"/>
      <c r="EBB956" s="252"/>
      <c r="EBC956" s="252"/>
      <c r="EBD956" s="252"/>
      <c r="EBE956" s="252"/>
      <c r="EBF956" s="252"/>
      <c r="EBG956" s="252"/>
      <c r="EBH956" s="252"/>
      <c r="EBI956" s="252"/>
      <c r="EBJ956" s="252"/>
      <c r="EBK956" s="252"/>
      <c r="EBL956" s="252"/>
      <c r="EBM956" s="252"/>
      <c r="EBN956" s="252"/>
      <c r="EBO956" s="252"/>
      <c r="EBP956" s="252"/>
      <c r="EBQ956" s="252"/>
      <c r="EBR956" s="252"/>
      <c r="EBS956" s="252"/>
      <c r="EBT956" s="252"/>
      <c r="EBU956" s="252"/>
      <c r="EBV956" s="252"/>
      <c r="EBW956" s="252"/>
      <c r="EBX956" s="252"/>
      <c r="EBY956" s="252"/>
      <c r="EBZ956" s="252"/>
      <c r="ECA956" s="252"/>
      <c r="ECB956" s="252"/>
      <c r="ECC956" s="252"/>
      <c r="ECD956" s="252"/>
      <c r="ECE956" s="252"/>
      <c r="ECF956" s="252"/>
      <c r="ECG956" s="252"/>
      <c r="ECH956" s="252"/>
      <c r="ECI956" s="252"/>
      <c r="ECJ956" s="252"/>
      <c r="ECK956" s="252"/>
      <c r="ECL956" s="252"/>
      <c r="ECM956" s="252"/>
      <c r="ECN956" s="252"/>
      <c r="ECO956" s="252"/>
      <c r="ECP956" s="252"/>
      <c r="ECQ956" s="252"/>
      <c r="ECR956" s="252"/>
      <c r="ECS956" s="252"/>
      <c r="ECT956" s="252"/>
      <c r="ECU956" s="252"/>
      <c r="ECV956" s="252"/>
      <c r="ECW956" s="252"/>
      <c r="ECX956" s="252"/>
      <c r="ECY956" s="252"/>
      <c r="ECZ956" s="252"/>
      <c r="EDA956" s="252"/>
      <c r="EDB956" s="252"/>
      <c r="EDC956" s="252"/>
      <c r="EDD956" s="252"/>
      <c r="EDE956" s="252"/>
      <c r="EDF956" s="252"/>
      <c r="EDG956" s="252"/>
      <c r="EDH956" s="252"/>
      <c r="EDI956" s="252"/>
      <c r="EDJ956" s="252"/>
      <c r="EDK956" s="252"/>
      <c r="EDL956" s="252"/>
      <c r="EDM956" s="252"/>
      <c r="EDN956" s="252"/>
      <c r="EDO956" s="252"/>
      <c r="EDP956" s="252"/>
      <c r="EDQ956" s="252"/>
      <c r="EDR956" s="252"/>
      <c r="EDS956" s="252"/>
      <c r="EDT956" s="252"/>
      <c r="EDU956" s="252"/>
      <c r="EDV956" s="252"/>
      <c r="EDW956" s="252"/>
      <c r="EDX956" s="252"/>
      <c r="EDY956" s="252"/>
      <c r="EDZ956" s="252"/>
      <c r="EEA956" s="252"/>
      <c r="EEB956" s="252"/>
      <c r="EEC956" s="252"/>
      <c r="EED956" s="252"/>
      <c r="EEE956" s="252"/>
      <c r="EEF956" s="252"/>
      <c r="EEG956" s="252"/>
      <c r="EEH956" s="252"/>
      <c r="EEI956" s="252"/>
      <c r="EEJ956" s="252"/>
      <c r="EEK956" s="252"/>
      <c r="EEL956" s="252"/>
      <c r="EEM956" s="252"/>
      <c r="EEN956" s="252"/>
      <c r="EEO956" s="252"/>
      <c r="EEP956" s="252"/>
      <c r="EEQ956" s="252"/>
      <c r="EER956" s="252"/>
      <c r="EES956" s="252"/>
      <c r="EET956" s="252"/>
      <c r="EEU956" s="252"/>
      <c r="EEV956" s="252"/>
      <c r="EEW956" s="252"/>
      <c r="EEX956" s="252"/>
      <c r="EEY956" s="252"/>
      <c r="EEZ956" s="252"/>
      <c r="EFA956" s="252"/>
      <c r="EFB956" s="252"/>
      <c r="EFC956" s="252"/>
      <c r="EFD956" s="252"/>
      <c r="EFE956" s="252"/>
      <c r="EFF956" s="252"/>
      <c r="EFG956" s="252"/>
      <c r="EFH956" s="252"/>
      <c r="EFI956" s="252"/>
      <c r="EFJ956" s="252"/>
      <c r="EFK956" s="252"/>
      <c r="EFL956" s="252"/>
      <c r="EFM956" s="252"/>
      <c r="EFN956" s="252"/>
      <c r="EFO956" s="252"/>
      <c r="EFP956" s="252"/>
      <c r="EFQ956" s="252"/>
      <c r="EFR956" s="252"/>
      <c r="EFS956" s="252"/>
      <c r="EFT956" s="252"/>
      <c r="EFU956" s="252"/>
      <c r="EFV956" s="252"/>
      <c r="EFW956" s="252"/>
      <c r="EFX956" s="252"/>
      <c r="EFY956" s="252"/>
      <c r="EFZ956" s="252"/>
      <c r="EGA956" s="252"/>
      <c r="EGB956" s="252"/>
      <c r="EGC956" s="252"/>
      <c r="EGD956" s="252"/>
      <c r="EGE956" s="252"/>
      <c r="EGF956" s="252"/>
      <c r="EGG956" s="252"/>
      <c r="EGH956" s="252"/>
      <c r="EGI956" s="252"/>
      <c r="EGJ956" s="252"/>
      <c r="EGK956" s="252"/>
      <c r="EGL956" s="252"/>
      <c r="EGM956" s="252"/>
      <c r="EGN956" s="252"/>
      <c r="EGO956" s="252"/>
      <c r="EGP956" s="252"/>
      <c r="EGQ956" s="252"/>
      <c r="EGR956" s="252"/>
      <c r="EGS956" s="252"/>
      <c r="EGT956" s="252"/>
      <c r="EGU956" s="252"/>
      <c r="EGV956" s="252"/>
      <c r="EGW956" s="252"/>
      <c r="EGX956" s="252"/>
      <c r="EGY956" s="252"/>
      <c r="EGZ956" s="252"/>
      <c r="EHA956" s="252"/>
      <c r="EHB956" s="252"/>
      <c r="EHC956" s="252"/>
      <c r="EHD956" s="252"/>
      <c r="EHE956" s="252"/>
      <c r="EHF956" s="252"/>
      <c r="EHG956" s="252"/>
      <c r="EHH956" s="252"/>
      <c r="EHI956" s="252"/>
      <c r="EHJ956" s="252"/>
      <c r="EHK956" s="252"/>
      <c r="EHL956" s="252"/>
      <c r="EHM956" s="252"/>
      <c r="EHN956" s="252"/>
      <c r="EHO956" s="252"/>
      <c r="EHP956" s="252"/>
      <c r="EHQ956" s="252"/>
      <c r="EHR956" s="252"/>
      <c r="EHS956" s="252"/>
      <c r="EHT956" s="252"/>
      <c r="EHU956" s="252"/>
      <c r="EHV956" s="252"/>
      <c r="EHW956" s="252"/>
      <c r="EHX956" s="252"/>
      <c r="EHY956" s="252"/>
      <c r="EHZ956" s="252"/>
      <c r="EIA956" s="252"/>
      <c r="EIB956" s="252"/>
      <c r="EIC956" s="252"/>
      <c r="EID956" s="252"/>
      <c r="EIE956" s="252"/>
      <c r="EIF956" s="252"/>
      <c r="EIG956" s="252"/>
      <c r="EIH956" s="252"/>
      <c r="EII956" s="252"/>
      <c r="EIJ956" s="252"/>
      <c r="EIK956" s="252"/>
      <c r="EIL956" s="252"/>
      <c r="EIM956" s="252"/>
      <c r="EIN956" s="252"/>
      <c r="EIO956" s="252"/>
      <c r="EIP956" s="252"/>
      <c r="EIQ956" s="252"/>
      <c r="EIR956" s="252"/>
      <c r="EIS956" s="252"/>
      <c r="EIT956" s="252"/>
      <c r="EIU956" s="252"/>
      <c r="EIV956" s="252"/>
      <c r="EIW956" s="252"/>
      <c r="EIX956" s="252"/>
      <c r="EIY956" s="252"/>
      <c r="EIZ956" s="252"/>
      <c r="EJA956" s="252"/>
      <c r="EJB956" s="252"/>
      <c r="EJC956" s="252"/>
      <c r="EJD956" s="252"/>
      <c r="EJE956" s="252"/>
      <c r="EJF956" s="252"/>
      <c r="EJG956" s="252"/>
      <c r="EJH956" s="252"/>
      <c r="EJI956" s="252"/>
      <c r="EJJ956" s="252"/>
      <c r="EJK956" s="252"/>
      <c r="EJL956" s="252"/>
      <c r="EJM956" s="252"/>
      <c r="EJN956" s="252"/>
      <c r="EJO956" s="252"/>
      <c r="EJP956" s="252"/>
      <c r="EJQ956" s="252"/>
      <c r="EJR956" s="252"/>
      <c r="EJS956" s="252"/>
      <c r="EJT956" s="252"/>
      <c r="EJU956" s="252"/>
      <c r="EJV956" s="252"/>
      <c r="EJW956" s="252"/>
      <c r="EJX956" s="252"/>
      <c r="EJY956" s="252"/>
      <c r="EJZ956" s="252"/>
      <c r="EKA956" s="252"/>
      <c r="EKB956" s="252"/>
      <c r="EKC956" s="252"/>
      <c r="EKD956" s="252"/>
      <c r="EKE956" s="252"/>
      <c r="EKF956" s="252"/>
      <c r="EKG956" s="252"/>
      <c r="EKH956" s="252"/>
      <c r="EKI956" s="252"/>
      <c r="EKJ956" s="252"/>
      <c r="EKK956" s="252"/>
      <c r="EKL956" s="252"/>
      <c r="EKM956" s="252"/>
      <c r="EKN956" s="252"/>
      <c r="EKO956" s="252"/>
      <c r="EKP956" s="252"/>
      <c r="EKQ956" s="252"/>
      <c r="EKR956" s="252"/>
      <c r="EKS956" s="252"/>
      <c r="EKT956" s="252"/>
      <c r="EKU956" s="252"/>
      <c r="EKV956" s="252"/>
      <c r="EKW956" s="252"/>
      <c r="EKX956" s="252"/>
      <c r="EKY956" s="252"/>
      <c r="EKZ956" s="252"/>
      <c r="ELA956" s="252"/>
      <c r="ELB956" s="252"/>
      <c r="ELC956" s="252"/>
      <c r="ELD956" s="252"/>
      <c r="ELE956" s="252"/>
      <c r="ELF956" s="252"/>
      <c r="ELG956" s="252"/>
      <c r="ELH956" s="252"/>
      <c r="ELI956" s="252"/>
      <c r="ELJ956" s="252"/>
      <c r="ELK956" s="252"/>
      <c r="ELL956" s="252"/>
      <c r="ELM956" s="252"/>
      <c r="ELN956" s="252"/>
      <c r="ELO956" s="252"/>
      <c r="ELP956" s="252"/>
      <c r="ELQ956" s="252"/>
      <c r="ELR956" s="252"/>
      <c r="ELS956" s="252"/>
      <c r="ELT956" s="252"/>
      <c r="ELU956" s="252"/>
      <c r="ELV956" s="252"/>
      <c r="ELW956" s="252"/>
      <c r="ELX956" s="252"/>
      <c r="ELY956" s="252"/>
      <c r="ELZ956" s="252"/>
      <c r="EMA956" s="252"/>
      <c r="EMB956" s="252"/>
      <c r="EMC956" s="252"/>
      <c r="EMD956" s="252"/>
      <c r="EME956" s="252"/>
      <c r="EMF956" s="252"/>
      <c r="EMG956" s="252"/>
      <c r="EMH956" s="252"/>
      <c r="EMI956" s="252"/>
      <c r="EMJ956" s="252"/>
      <c r="EMK956" s="252"/>
      <c r="EML956" s="252"/>
      <c r="EMM956" s="252"/>
      <c r="EMN956" s="252"/>
      <c r="EMO956" s="252"/>
      <c r="EMP956" s="252"/>
      <c r="EMQ956" s="252"/>
      <c r="EMR956" s="252"/>
      <c r="EMS956" s="252"/>
      <c r="EMT956" s="252"/>
      <c r="EMU956" s="252"/>
      <c r="EMV956" s="252"/>
      <c r="EMW956" s="252"/>
      <c r="EMX956" s="252"/>
      <c r="EMY956" s="252"/>
      <c r="EMZ956" s="252"/>
      <c r="ENA956" s="252"/>
      <c r="ENB956" s="252"/>
      <c r="ENC956" s="252"/>
      <c r="END956" s="252"/>
      <c r="ENE956" s="252"/>
      <c r="ENF956" s="252"/>
      <c r="ENG956" s="252"/>
      <c r="ENH956" s="252"/>
      <c r="ENI956" s="252"/>
      <c r="ENJ956" s="252"/>
      <c r="ENK956" s="252"/>
      <c r="ENL956" s="252"/>
      <c r="ENM956" s="252"/>
      <c r="ENN956" s="252"/>
      <c r="ENO956" s="252"/>
      <c r="ENP956" s="252"/>
      <c r="ENQ956" s="252"/>
      <c r="ENR956" s="252"/>
      <c r="ENS956" s="252"/>
      <c r="ENT956" s="252"/>
      <c r="ENU956" s="252"/>
      <c r="ENV956" s="252"/>
      <c r="ENW956" s="252"/>
      <c r="ENX956" s="252"/>
      <c r="ENY956" s="252"/>
      <c r="ENZ956" s="252"/>
      <c r="EOA956" s="252"/>
      <c r="EOB956" s="252"/>
      <c r="EOC956" s="252"/>
      <c r="EOD956" s="252"/>
      <c r="EOE956" s="252"/>
      <c r="EOF956" s="252"/>
      <c r="EOG956" s="252"/>
      <c r="EOH956" s="252"/>
      <c r="EOI956" s="252"/>
      <c r="EOJ956" s="252"/>
      <c r="EOK956" s="252"/>
      <c r="EOL956" s="252"/>
      <c r="EOM956" s="252"/>
      <c r="EON956" s="252"/>
      <c r="EOO956" s="252"/>
      <c r="EOP956" s="252"/>
      <c r="EOQ956" s="252"/>
      <c r="EOR956" s="252"/>
      <c r="EOS956" s="252"/>
      <c r="EOT956" s="252"/>
      <c r="EOU956" s="252"/>
      <c r="EOV956" s="252"/>
      <c r="EOW956" s="252"/>
      <c r="EOX956" s="252"/>
      <c r="EOY956" s="252"/>
      <c r="EOZ956" s="252"/>
      <c r="EPA956" s="252"/>
      <c r="EPB956" s="252"/>
      <c r="EPC956" s="252"/>
      <c r="EPD956" s="252"/>
      <c r="EPE956" s="252"/>
      <c r="EPF956" s="252"/>
      <c r="EPG956" s="252"/>
      <c r="EPH956" s="252"/>
      <c r="EPI956" s="252"/>
      <c r="EPJ956" s="252"/>
      <c r="EPK956" s="252"/>
      <c r="EPL956" s="252"/>
      <c r="EPM956" s="252"/>
      <c r="EPN956" s="252"/>
      <c r="EPO956" s="252"/>
      <c r="EPP956" s="252"/>
      <c r="EPQ956" s="252"/>
      <c r="EPR956" s="252"/>
      <c r="EPS956" s="252"/>
      <c r="EPT956" s="252"/>
      <c r="EPU956" s="252"/>
      <c r="EPV956" s="252"/>
      <c r="EPW956" s="252"/>
      <c r="EPX956" s="252"/>
      <c r="EPY956" s="252"/>
      <c r="EPZ956" s="252"/>
      <c r="EQA956" s="252"/>
      <c r="EQB956" s="252"/>
      <c r="EQC956" s="252"/>
      <c r="EQD956" s="252"/>
      <c r="EQE956" s="252"/>
      <c r="EQF956" s="252"/>
      <c r="EQG956" s="252"/>
      <c r="EQH956" s="252"/>
      <c r="EQI956" s="252"/>
      <c r="EQJ956" s="252"/>
      <c r="EQK956" s="252"/>
      <c r="EQL956" s="252"/>
      <c r="EQM956" s="252"/>
      <c r="EQN956" s="252"/>
      <c r="EQO956" s="252"/>
      <c r="EQP956" s="252"/>
      <c r="EQQ956" s="252"/>
      <c r="EQR956" s="252"/>
      <c r="EQS956" s="252"/>
      <c r="EQT956" s="252"/>
      <c r="EQU956" s="252"/>
      <c r="EQV956" s="252"/>
      <c r="EQW956" s="252"/>
      <c r="EQX956" s="252"/>
      <c r="EQY956" s="252"/>
      <c r="EQZ956" s="252"/>
      <c r="ERA956" s="252"/>
      <c r="ERB956" s="252"/>
      <c r="ERC956" s="252"/>
      <c r="ERD956" s="252"/>
      <c r="ERE956" s="252"/>
      <c r="ERF956" s="252"/>
      <c r="ERG956" s="252"/>
      <c r="ERH956" s="252"/>
      <c r="ERI956" s="252"/>
      <c r="ERJ956" s="252"/>
      <c r="ERK956" s="252"/>
      <c r="ERL956" s="252"/>
      <c r="ERM956" s="252"/>
      <c r="ERN956" s="252"/>
      <c r="ERO956" s="252"/>
      <c r="ERP956" s="252"/>
      <c r="ERQ956" s="252"/>
      <c r="ERR956" s="252"/>
      <c r="ERS956" s="252"/>
      <c r="ERT956" s="252"/>
      <c r="ERU956" s="252"/>
      <c r="ERV956" s="252"/>
      <c r="ERW956" s="252"/>
      <c r="ERX956" s="252"/>
      <c r="ERY956" s="252"/>
      <c r="ERZ956" s="252"/>
      <c r="ESA956" s="252"/>
      <c r="ESB956" s="252"/>
      <c r="ESC956" s="252"/>
      <c r="ESD956" s="252"/>
      <c r="ESE956" s="252"/>
      <c r="ESF956" s="252"/>
      <c r="ESG956" s="252"/>
      <c r="ESH956" s="252"/>
      <c r="ESI956" s="252"/>
      <c r="ESJ956" s="252"/>
      <c r="ESK956" s="252"/>
      <c r="ESL956" s="252"/>
      <c r="ESM956" s="252"/>
      <c r="ESN956" s="252"/>
      <c r="ESO956" s="252"/>
      <c r="ESP956" s="252"/>
      <c r="ESQ956" s="252"/>
      <c r="ESR956" s="252"/>
      <c r="ESS956" s="252"/>
      <c r="EST956" s="252"/>
      <c r="ESU956" s="252"/>
      <c r="ESV956" s="252"/>
      <c r="ESW956" s="252"/>
      <c r="ESX956" s="252"/>
      <c r="ESY956" s="252"/>
      <c r="ESZ956" s="252"/>
      <c r="ETA956" s="252"/>
      <c r="ETB956" s="252"/>
      <c r="ETC956" s="252"/>
      <c r="ETD956" s="252"/>
      <c r="ETE956" s="252"/>
      <c r="ETF956" s="252"/>
      <c r="ETG956" s="252"/>
      <c r="ETH956" s="252"/>
      <c r="ETI956" s="252"/>
      <c r="ETJ956" s="252"/>
      <c r="ETK956" s="252"/>
      <c r="ETL956" s="252"/>
      <c r="ETM956" s="252"/>
      <c r="ETN956" s="252"/>
      <c r="ETO956" s="252"/>
      <c r="ETP956" s="252"/>
      <c r="ETQ956" s="252"/>
      <c r="ETR956" s="252"/>
      <c r="ETS956" s="252"/>
      <c r="ETT956" s="252"/>
      <c r="ETU956" s="252"/>
      <c r="ETV956" s="252"/>
      <c r="ETW956" s="252"/>
      <c r="ETX956" s="252"/>
      <c r="ETY956" s="252"/>
      <c r="ETZ956" s="252"/>
      <c r="EUA956" s="252"/>
      <c r="EUB956" s="252"/>
      <c r="EUC956" s="252"/>
      <c r="EUD956" s="252"/>
      <c r="EUE956" s="252"/>
      <c r="EUF956" s="252"/>
      <c r="EUG956" s="252"/>
      <c r="EUH956" s="252"/>
      <c r="EUI956" s="252"/>
      <c r="EUJ956" s="252"/>
      <c r="EUK956" s="252"/>
      <c r="EUL956" s="252"/>
      <c r="EUM956" s="252"/>
      <c r="EUN956" s="252"/>
      <c r="EUO956" s="252"/>
      <c r="EUP956" s="252"/>
      <c r="EUQ956" s="252"/>
      <c r="EUR956" s="252"/>
      <c r="EUS956" s="252"/>
      <c r="EUT956" s="252"/>
      <c r="EUU956" s="252"/>
      <c r="EUV956" s="252"/>
      <c r="EUW956" s="252"/>
      <c r="EUX956" s="252"/>
      <c r="EUY956" s="252"/>
      <c r="EUZ956" s="252"/>
      <c r="EVA956" s="252"/>
      <c r="EVB956" s="252"/>
      <c r="EVC956" s="252"/>
      <c r="EVD956" s="252"/>
      <c r="EVE956" s="252"/>
      <c r="EVF956" s="252"/>
      <c r="EVG956" s="252"/>
      <c r="EVH956" s="252"/>
      <c r="EVI956" s="252"/>
      <c r="EVJ956" s="252"/>
      <c r="EVK956" s="252"/>
      <c r="EVL956" s="252"/>
      <c r="EVM956" s="252"/>
      <c r="EVN956" s="252"/>
      <c r="EVO956" s="252"/>
      <c r="EVP956" s="252"/>
      <c r="EVQ956" s="252"/>
      <c r="EVR956" s="252"/>
      <c r="EVS956" s="252"/>
      <c r="EVT956" s="252"/>
      <c r="EVU956" s="252"/>
      <c r="EVV956" s="252"/>
      <c r="EVW956" s="252"/>
      <c r="EVX956" s="252"/>
      <c r="EVY956" s="252"/>
      <c r="EVZ956" s="252"/>
      <c r="EWA956" s="252"/>
      <c r="EWB956" s="252"/>
      <c r="EWC956" s="252"/>
      <c r="EWD956" s="252"/>
      <c r="EWE956" s="252"/>
      <c r="EWF956" s="252"/>
      <c r="EWG956" s="252"/>
      <c r="EWH956" s="252"/>
      <c r="EWI956" s="252"/>
      <c r="EWJ956" s="252"/>
      <c r="EWK956" s="252"/>
      <c r="EWL956" s="252"/>
      <c r="EWM956" s="252"/>
      <c r="EWN956" s="252"/>
      <c r="EWO956" s="252"/>
      <c r="EWP956" s="252"/>
      <c r="EWQ956" s="252"/>
      <c r="EWR956" s="252"/>
      <c r="EWS956" s="252"/>
      <c r="EWT956" s="252"/>
      <c r="EWU956" s="252"/>
      <c r="EWV956" s="252"/>
      <c r="EWW956" s="252"/>
      <c r="EWX956" s="252"/>
      <c r="EWY956" s="252"/>
      <c r="EWZ956" s="252"/>
      <c r="EXA956" s="252"/>
      <c r="EXB956" s="252"/>
      <c r="EXC956" s="252"/>
      <c r="EXD956" s="252"/>
      <c r="EXE956" s="252"/>
      <c r="EXF956" s="252"/>
      <c r="EXG956" s="252"/>
      <c r="EXH956" s="252"/>
      <c r="EXI956" s="252"/>
      <c r="EXJ956" s="252"/>
      <c r="EXK956" s="252"/>
      <c r="EXL956" s="252"/>
      <c r="EXM956" s="252"/>
      <c r="EXN956" s="252"/>
      <c r="EXO956" s="252"/>
      <c r="EXP956" s="252"/>
      <c r="EXQ956" s="252"/>
      <c r="EXR956" s="252"/>
      <c r="EXS956" s="252"/>
      <c r="EXT956" s="252"/>
      <c r="EXU956" s="252"/>
      <c r="EXV956" s="252"/>
      <c r="EXW956" s="252"/>
      <c r="EXX956" s="252"/>
      <c r="EXY956" s="252"/>
      <c r="EXZ956" s="252"/>
      <c r="EYA956" s="252"/>
      <c r="EYB956" s="252"/>
      <c r="EYC956" s="252"/>
      <c r="EYD956" s="252"/>
      <c r="EYE956" s="252"/>
      <c r="EYF956" s="252"/>
      <c r="EYG956" s="252"/>
      <c r="EYH956" s="252"/>
      <c r="EYI956" s="252"/>
      <c r="EYJ956" s="252"/>
      <c r="EYK956" s="252"/>
      <c r="EYL956" s="252"/>
      <c r="EYM956" s="252"/>
      <c r="EYN956" s="252"/>
      <c r="EYO956" s="252"/>
      <c r="EYP956" s="252"/>
      <c r="EYQ956" s="252"/>
      <c r="EYR956" s="252"/>
      <c r="EYS956" s="252"/>
      <c r="EYT956" s="252"/>
      <c r="EYU956" s="252"/>
      <c r="EYV956" s="252"/>
      <c r="EYW956" s="252"/>
      <c r="EYX956" s="252"/>
      <c r="EYY956" s="252"/>
      <c r="EYZ956" s="252"/>
      <c r="EZA956" s="252"/>
      <c r="EZB956" s="252"/>
      <c r="EZC956" s="252"/>
      <c r="EZD956" s="252"/>
      <c r="EZE956" s="252"/>
      <c r="EZF956" s="252"/>
      <c r="EZG956" s="252"/>
      <c r="EZH956" s="252"/>
      <c r="EZI956" s="252"/>
      <c r="EZJ956" s="252"/>
      <c r="EZK956" s="252"/>
      <c r="EZL956" s="252"/>
      <c r="EZM956" s="252"/>
      <c r="EZN956" s="252"/>
      <c r="EZO956" s="252"/>
      <c r="EZP956" s="252"/>
      <c r="EZQ956" s="252"/>
      <c r="EZR956" s="252"/>
      <c r="EZS956" s="252"/>
      <c r="EZT956" s="252"/>
      <c r="EZU956" s="252"/>
      <c r="EZV956" s="252"/>
      <c r="EZW956" s="252"/>
      <c r="EZX956" s="252"/>
      <c r="EZY956" s="252"/>
      <c r="EZZ956" s="252"/>
      <c r="FAA956" s="252"/>
      <c r="FAB956" s="252"/>
      <c r="FAC956" s="252"/>
      <c r="FAD956" s="252"/>
      <c r="FAE956" s="252"/>
      <c r="FAF956" s="252"/>
      <c r="FAG956" s="252"/>
      <c r="FAH956" s="252"/>
      <c r="FAI956" s="252"/>
      <c r="FAJ956" s="252"/>
      <c r="FAK956" s="252"/>
      <c r="FAL956" s="252"/>
      <c r="FAM956" s="252"/>
      <c r="FAN956" s="252"/>
      <c r="FAO956" s="252"/>
      <c r="FAP956" s="252"/>
      <c r="FAQ956" s="252"/>
      <c r="FAR956" s="252"/>
      <c r="FAS956" s="252"/>
      <c r="FAT956" s="252"/>
      <c r="FAU956" s="252"/>
      <c r="FAV956" s="252"/>
      <c r="FAW956" s="252"/>
      <c r="FAX956" s="252"/>
      <c r="FAY956" s="252"/>
      <c r="FAZ956" s="252"/>
      <c r="FBA956" s="252"/>
      <c r="FBB956" s="252"/>
      <c r="FBC956" s="252"/>
      <c r="FBD956" s="252"/>
      <c r="FBE956" s="252"/>
      <c r="FBF956" s="252"/>
      <c r="FBG956" s="252"/>
      <c r="FBH956" s="252"/>
      <c r="FBI956" s="252"/>
      <c r="FBJ956" s="252"/>
      <c r="FBK956" s="252"/>
      <c r="FBL956" s="252"/>
      <c r="FBM956" s="252"/>
      <c r="FBN956" s="252"/>
      <c r="FBO956" s="252"/>
      <c r="FBP956" s="252"/>
      <c r="FBQ956" s="252"/>
      <c r="FBR956" s="252"/>
      <c r="FBS956" s="252"/>
      <c r="FBT956" s="252"/>
      <c r="FBU956" s="252"/>
      <c r="FBV956" s="252"/>
      <c r="FBW956" s="252"/>
      <c r="FBX956" s="252"/>
      <c r="FBY956" s="252"/>
      <c r="FBZ956" s="252"/>
      <c r="FCA956" s="252"/>
      <c r="FCB956" s="252"/>
      <c r="FCC956" s="252"/>
      <c r="FCD956" s="252"/>
      <c r="FCE956" s="252"/>
      <c r="FCF956" s="252"/>
      <c r="FCG956" s="252"/>
      <c r="FCH956" s="252"/>
      <c r="FCI956" s="252"/>
      <c r="FCJ956" s="252"/>
      <c r="FCK956" s="252"/>
      <c r="FCL956" s="252"/>
      <c r="FCM956" s="252"/>
      <c r="FCN956" s="252"/>
      <c r="FCO956" s="252"/>
      <c r="FCP956" s="252"/>
      <c r="FCQ956" s="252"/>
      <c r="FCR956" s="252"/>
      <c r="FCS956" s="252"/>
      <c r="FCT956" s="252"/>
      <c r="FCU956" s="252"/>
      <c r="FCV956" s="252"/>
      <c r="FCW956" s="252"/>
      <c r="FCX956" s="252"/>
      <c r="FCY956" s="252"/>
      <c r="FCZ956" s="252"/>
      <c r="FDA956" s="252"/>
      <c r="FDB956" s="252"/>
      <c r="FDC956" s="252"/>
      <c r="FDD956" s="252"/>
      <c r="FDE956" s="252"/>
      <c r="FDF956" s="252"/>
      <c r="FDG956" s="252"/>
      <c r="FDH956" s="252"/>
      <c r="FDI956" s="252"/>
      <c r="FDJ956" s="252"/>
      <c r="FDK956" s="252"/>
      <c r="FDL956" s="252"/>
      <c r="FDM956" s="252"/>
      <c r="FDN956" s="252"/>
      <c r="FDO956" s="252"/>
      <c r="FDP956" s="252"/>
      <c r="FDQ956" s="252"/>
      <c r="FDR956" s="252"/>
      <c r="FDS956" s="252"/>
      <c r="FDT956" s="252"/>
      <c r="FDU956" s="252"/>
      <c r="FDV956" s="252"/>
      <c r="FDW956" s="252"/>
      <c r="FDX956" s="252"/>
      <c r="FDY956" s="252"/>
      <c r="FDZ956" s="252"/>
      <c r="FEA956" s="252"/>
      <c r="FEB956" s="252"/>
      <c r="FEC956" s="252"/>
      <c r="FED956" s="252"/>
      <c r="FEE956" s="252"/>
      <c r="FEF956" s="252"/>
      <c r="FEG956" s="252"/>
      <c r="FEH956" s="252"/>
      <c r="FEI956" s="252"/>
      <c r="FEJ956" s="252"/>
      <c r="FEK956" s="252"/>
      <c r="FEL956" s="252"/>
      <c r="FEM956" s="252"/>
      <c r="FEN956" s="252"/>
      <c r="FEO956" s="252"/>
      <c r="FEP956" s="252"/>
      <c r="FEQ956" s="252"/>
      <c r="FER956" s="252"/>
      <c r="FES956" s="252"/>
      <c r="FET956" s="252"/>
      <c r="FEU956" s="252"/>
      <c r="FEV956" s="252"/>
      <c r="FEW956" s="252"/>
      <c r="FEX956" s="252"/>
      <c r="FEY956" s="252"/>
      <c r="FEZ956" s="252"/>
      <c r="FFA956" s="252"/>
      <c r="FFB956" s="252"/>
      <c r="FFC956" s="252"/>
      <c r="FFD956" s="252"/>
      <c r="FFE956" s="252"/>
      <c r="FFF956" s="252"/>
      <c r="FFG956" s="252"/>
      <c r="FFH956" s="252"/>
      <c r="FFI956" s="252"/>
      <c r="FFJ956" s="252"/>
      <c r="FFK956" s="252"/>
      <c r="FFL956" s="252"/>
      <c r="FFM956" s="252"/>
      <c r="FFN956" s="252"/>
      <c r="FFO956" s="252"/>
      <c r="FFP956" s="252"/>
      <c r="FFQ956" s="252"/>
      <c r="FFR956" s="252"/>
      <c r="FFS956" s="252"/>
      <c r="FFT956" s="252"/>
      <c r="FFU956" s="252"/>
      <c r="FFV956" s="252"/>
      <c r="FFW956" s="252"/>
      <c r="FFX956" s="252"/>
      <c r="FFY956" s="252"/>
      <c r="FFZ956" s="252"/>
      <c r="FGA956" s="252"/>
      <c r="FGB956" s="252"/>
      <c r="FGC956" s="252"/>
      <c r="FGD956" s="252"/>
      <c r="FGE956" s="252"/>
      <c r="FGF956" s="252"/>
      <c r="FGG956" s="252"/>
      <c r="FGH956" s="252"/>
      <c r="FGI956" s="252"/>
      <c r="FGJ956" s="252"/>
      <c r="FGK956" s="252"/>
      <c r="FGL956" s="252"/>
      <c r="FGM956" s="252"/>
      <c r="FGN956" s="252"/>
      <c r="FGO956" s="252"/>
      <c r="FGP956" s="252"/>
      <c r="FGQ956" s="252"/>
      <c r="FGR956" s="252"/>
      <c r="FGS956" s="252"/>
      <c r="FGT956" s="252"/>
      <c r="FGU956" s="252"/>
      <c r="FGV956" s="252"/>
      <c r="FGW956" s="252"/>
      <c r="FGX956" s="252"/>
      <c r="FGY956" s="252"/>
      <c r="FGZ956" s="252"/>
      <c r="FHA956" s="252"/>
      <c r="FHB956" s="252"/>
      <c r="FHC956" s="252"/>
      <c r="FHD956" s="252"/>
      <c r="FHE956" s="252"/>
      <c r="FHF956" s="252"/>
      <c r="FHG956" s="252"/>
      <c r="FHH956" s="252"/>
      <c r="FHI956" s="252"/>
      <c r="FHJ956" s="252"/>
      <c r="FHK956" s="252"/>
      <c r="FHL956" s="252"/>
      <c r="FHM956" s="252"/>
      <c r="FHN956" s="252"/>
      <c r="FHO956" s="252"/>
      <c r="FHP956" s="252"/>
      <c r="FHQ956" s="252"/>
      <c r="FHR956" s="252"/>
      <c r="FHS956" s="252"/>
      <c r="FHT956" s="252"/>
      <c r="FHU956" s="252"/>
      <c r="FHV956" s="252"/>
      <c r="FHW956" s="252"/>
      <c r="FHX956" s="252"/>
      <c r="FHY956" s="252"/>
      <c r="FHZ956" s="252"/>
      <c r="FIA956" s="252"/>
      <c r="FIB956" s="252"/>
      <c r="FIC956" s="252"/>
      <c r="FID956" s="252"/>
      <c r="FIE956" s="252"/>
      <c r="FIF956" s="252"/>
      <c r="FIG956" s="252"/>
      <c r="FIH956" s="252"/>
      <c r="FII956" s="252"/>
      <c r="FIJ956" s="252"/>
      <c r="FIK956" s="252"/>
      <c r="FIL956" s="252"/>
      <c r="FIM956" s="252"/>
      <c r="FIN956" s="252"/>
      <c r="FIO956" s="252"/>
      <c r="FIP956" s="252"/>
      <c r="FIQ956" s="252"/>
      <c r="FIR956" s="252"/>
      <c r="FIS956" s="252"/>
      <c r="FIT956" s="252"/>
      <c r="FIU956" s="252"/>
      <c r="FIV956" s="252"/>
      <c r="FIW956" s="252"/>
      <c r="FIX956" s="252"/>
      <c r="FIY956" s="252"/>
      <c r="FIZ956" s="252"/>
      <c r="FJA956" s="252"/>
      <c r="FJB956" s="252"/>
      <c r="FJC956" s="252"/>
      <c r="FJD956" s="252"/>
      <c r="FJE956" s="252"/>
      <c r="FJF956" s="252"/>
      <c r="FJG956" s="252"/>
      <c r="FJH956" s="252"/>
      <c r="FJI956" s="252"/>
      <c r="FJJ956" s="252"/>
      <c r="FJK956" s="252"/>
      <c r="FJL956" s="252"/>
      <c r="FJM956" s="252"/>
      <c r="FJN956" s="252"/>
      <c r="FJO956" s="252"/>
      <c r="FJP956" s="252"/>
      <c r="FJQ956" s="252"/>
      <c r="FJR956" s="252"/>
      <c r="FJS956" s="252"/>
      <c r="FJT956" s="252"/>
      <c r="FJU956" s="252"/>
      <c r="FJV956" s="252"/>
      <c r="FJW956" s="252"/>
      <c r="FJX956" s="252"/>
      <c r="FJY956" s="252"/>
      <c r="FJZ956" s="252"/>
      <c r="FKA956" s="252"/>
      <c r="FKB956" s="252"/>
      <c r="FKC956" s="252"/>
      <c r="FKD956" s="252"/>
      <c r="FKE956" s="252"/>
      <c r="FKF956" s="252"/>
      <c r="FKG956" s="252"/>
      <c r="FKH956" s="252"/>
      <c r="FKI956" s="252"/>
      <c r="FKJ956" s="252"/>
      <c r="FKK956" s="252"/>
      <c r="FKL956" s="252"/>
      <c r="FKM956" s="252"/>
      <c r="FKN956" s="252"/>
      <c r="FKO956" s="252"/>
      <c r="FKP956" s="252"/>
      <c r="FKQ956" s="252"/>
      <c r="FKR956" s="252"/>
      <c r="FKS956" s="252"/>
      <c r="FKT956" s="252"/>
      <c r="FKU956" s="252"/>
      <c r="FKV956" s="252"/>
      <c r="FKW956" s="252"/>
      <c r="FKX956" s="252"/>
      <c r="FKY956" s="252"/>
      <c r="FKZ956" s="252"/>
      <c r="FLA956" s="252"/>
      <c r="FLB956" s="252"/>
      <c r="FLC956" s="252"/>
      <c r="FLD956" s="252"/>
      <c r="FLE956" s="252"/>
      <c r="FLF956" s="252"/>
      <c r="FLG956" s="252"/>
      <c r="FLH956" s="252"/>
      <c r="FLI956" s="252"/>
      <c r="FLJ956" s="252"/>
      <c r="FLK956" s="252"/>
      <c r="FLL956" s="252"/>
      <c r="FLM956" s="252"/>
      <c r="FLN956" s="252"/>
      <c r="FLO956" s="252"/>
      <c r="FLP956" s="252"/>
      <c r="FLQ956" s="252"/>
      <c r="FLR956" s="252"/>
      <c r="FLS956" s="252"/>
      <c r="FLT956" s="252"/>
      <c r="FLU956" s="252"/>
      <c r="FLV956" s="252"/>
      <c r="FLW956" s="252"/>
      <c r="FLX956" s="252"/>
      <c r="FLY956" s="252"/>
      <c r="FLZ956" s="252"/>
      <c r="FMA956" s="252"/>
      <c r="FMB956" s="252"/>
      <c r="FMC956" s="252"/>
      <c r="FMD956" s="252"/>
      <c r="FME956" s="252"/>
      <c r="FMF956" s="252"/>
      <c r="FMG956" s="252"/>
      <c r="FMH956" s="252"/>
      <c r="FMI956" s="252"/>
      <c r="FMJ956" s="252"/>
      <c r="FMK956" s="252"/>
      <c r="FML956" s="252"/>
      <c r="FMM956" s="252"/>
      <c r="FMN956" s="252"/>
      <c r="FMO956" s="252"/>
      <c r="FMP956" s="252"/>
      <c r="FMQ956" s="252"/>
      <c r="FMR956" s="252"/>
      <c r="FMS956" s="252"/>
      <c r="FMT956" s="252"/>
      <c r="FMU956" s="252"/>
      <c r="FMV956" s="252"/>
      <c r="FMW956" s="252"/>
      <c r="FMX956" s="252"/>
      <c r="FMY956" s="252"/>
      <c r="FMZ956" s="252"/>
      <c r="FNA956" s="252"/>
      <c r="FNB956" s="252"/>
      <c r="FNC956" s="252"/>
      <c r="FND956" s="252"/>
      <c r="FNE956" s="252"/>
      <c r="FNF956" s="252"/>
      <c r="FNG956" s="252"/>
      <c r="FNH956" s="252"/>
      <c r="FNI956" s="252"/>
      <c r="FNJ956" s="252"/>
      <c r="FNK956" s="252"/>
      <c r="FNL956" s="252"/>
      <c r="FNM956" s="252"/>
      <c r="FNN956" s="252"/>
      <c r="FNO956" s="252"/>
      <c r="FNP956" s="252"/>
      <c r="FNQ956" s="252"/>
      <c r="FNR956" s="252"/>
      <c r="FNS956" s="252"/>
      <c r="FNT956" s="252"/>
      <c r="FNU956" s="252"/>
      <c r="FNV956" s="252"/>
      <c r="FNW956" s="252"/>
      <c r="FNX956" s="252"/>
      <c r="FNY956" s="252"/>
      <c r="FNZ956" s="252"/>
      <c r="FOA956" s="252"/>
      <c r="FOB956" s="252"/>
      <c r="FOC956" s="252"/>
      <c r="FOD956" s="252"/>
      <c r="FOE956" s="252"/>
      <c r="FOF956" s="252"/>
      <c r="FOG956" s="252"/>
      <c r="FOH956" s="252"/>
      <c r="FOI956" s="252"/>
      <c r="FOJ956" s="252"/>
      <c r="FOK956" s="252"/>
      <c r="FOL956" s="252"/>
      <c r="FOM956" s="252"/>
      <c r="FON956" s="252"/>
      <c r="FOO956" s="252"/>
      <c r="FOP956" s="252"/>
      <c r="FOQ956" s="252"/>
      <c r="FOR956" s="252"/>
      <c r="FOS956" s="252"/>
      <c r="FOT956" s="252"/>
      <c r="FOU956" s="252"/>
      <c r="FOV956" s="252"/>
      <c r="FOW956" s="252"/>
      <c r="FOX956" s="252"/>
      <c r="FOY956" s="252"/>
      <c r="FOZ956" s="252"/>
      <c r="FPA956" s="252"/>
      <c r="FPB956" s="252"/>
      <c r="FPC956" s="252"/>
      <c r="FPD956" s="252"/>
      <c r="FPE956" s="252"/>
      <c r="FPF956" s="252"/>
      <c r="FPG956" s="252"/>
      <c r="FPH956" s="252"/>
      <c r="FPI956" s="252"/>
      <c r="FPJ956" s="252"/>
      <c r="FPK956" s="252"/>
      <c r="FPL956" s="252"/>
      <c r="FPM956" s="252"/>
      <c r="FPN956" s="252"/>
      <c r="FPO956" s="252"/>
      <c r="FPP956" s="252"/>
      <c r="FPQ956" s="252"/>
      <c r="FPR956" s="252"/>
      <c r="FPS956" s="252"/>
      <c r="FPT956" s="252"/>
      <c r="FPU956" s="252"/>
      <c r="FPV956" s="252"/>
      <c r="FPW956" s="252"/>
      <c r="FPX956" s="252"/>
      <c r="FPY956" s="252"/>
      <c r="FPZ956" s="252"/>
      <c r="FQA956" s="252"/>
      <c r="FQB956" s="252"/>
      <c r="FQC956" s="252"/>
      <c r="FQD956" s="252"/>
      <c r="FQE956" s="252"/>
      <c r="FQF956" s="252"/>
      <c r="FQG956" s="252"/>
      <c r="FQH956" s="252"/>
      <c r="FQI956" s="252"/>
      <c r="FQJ956" s="252"/>
      <c r="FQK956" s="252"/>
      <c r="FQL956" s="252"/>
      <c r="FQM956" s="252"/>
      <c r="FQN956" s="252"/>
      <c r="FQO956" s="252"/>
      <c r="FQP956" s="252"/>
      <c r="FQQ956" s="252"/>
      <c r="FQR956" s="252"/>
      <c r="FQS956" s="252"/>
      <c r="FQT956" s="252"/>
      <c r="FQU956" s="252"/>
      <c r="FQV956" s="252"/>
      <c r="FQW956" s="252"/>
      <c r="FQX956" s="252"/>
      <c r="FQY956" s="252"/>
      <c r="FQZ956" s="252"/>
      <c r="FRA956" s="252"/>
      <c r="FRB956" s="252"/>
      <c r="FRC956" s="252"/>
      <c r="FRD956" s="252"/>
      <c r="FRE956" s="252"/>
      <c r="FRF956" s="252"/>
      <c r="FRG956" s="252"/>
      <c r="FRH956" s="252"/>
      <c r="FRI956" s="252"/>
      <c r="FRJ956" s="252"/>
      <c r="FRK956" s="252"/>
      <c r="FRL956" s="252"/>
      <c r="FRM956" s="252"/>
      <c r="FRN956" s="252"/>
      <c r="FRO956" s="252"/>
      <c r="FRP956" s="252"/>
      <c r="FRQ956" s="252"/>
      <c r="FRR956" s="252"/>
      <c r="FRS956" s="252"/>
      <c r="FRT956" s="252"/>
      <c r="FRU956" s="252"/>
      <c r="FRV956" s="252"/>
      <c r="FRW956" s="252"/>
      <c r="FRX956" s="252"/>
      <c r="FRY956" s="252"/>
      <c r="FRZ956" s="252"/>
      <c r="FSA956" s="252"/>
      <c r="FSB956" s="252"/>
      <c r="FSC956" s="252"/>
      <c r="FSD956" s="252"/>
      <c r="FSE956" s="252"/>
      <c r="FSF956" s="252"/>
      <c r="FSG956" s="252"/>
      <c r="FSH956" s="252"/>
      <c r="FSI956" s="252"/>
      <c r="FSJ956" s="252"/>
      <c r="FSK956" s="252"/>
      <c r="FSL956" s="252"/>
      <c r="FSM956" s="252"/>
      <c r="FSN956" s="252"/>
      <c r="FSO956" s="252"/>
      <c r="FSP956" s="252"/>
      <c r="FSQ956" s="252"/>
      <c r="FSR956" s="252"/>
      <c r="FSS956" s="252"/>
      <c r="FST956" s="252"/>
      <c r="FSU956" s="252"/>
      <c r="FSV956" s="252"/>
      <c r="FSW956" s="252"/>
      <c r="FSX956" s="252"/>
      <c r="FSY956" s="252"/>
      <c r="FSZ956" s="252"/>
      <c r="FTA956" s="252"/>
      <c r="FTB956" s="252"/>
      <c r="FTC956" s="252"/>
      <c r="FTD956" s="252"/>
      <c r="FTE956" s="252"/>
      <c r="FTF956" s="252"/>
      <c r="FTG956" s="252"/>
      <c r="FTH956" s="252"/>
      <c r="FTI956" s="252"/>
      <c r="FTJ956" s="252"/>
      <c r="FTK956" s="252"/>
      <c r="FTL956" s="252"/>
      <c r="FTM956" s="252"/>
      <c r="FTN956" s="252"/>
      <c r="FTO956" s="252"/>
      <c r="FTP956" s="252"/>
      <c r="FTQ956" s="252"/>
      <c r="FTR956" s="252"/>
      <c r="FTS956" s="252"/>
      <c r="FTT956" s="252"/>
      <c r="FTU956" s="252"/>
      <c r="FTV956" s="252"/>
      <c r="FTW956" s="252"/>
      <c r="FTX956" s="252"/>
      <c r="FTY956" s="252"/>
      <c r="FTZ956" s="252"/>
      <c r="FUA956" s="252"/>
      <c r="FUB956" s="252"/>
      <c r="FUC956" s="252"/>
      <c r="FUD956" s="252"/>
      <c r="FUE956" s="252"/>
      <c r="FUF956" s="252"/>
      <c r="FUG956" s="252"/>
      <c r="FUH956" s="252"/>
      <c r="FUI956" s="252"/>
      <c r="FUJ956" s="252"/>
      <c r="FUK956" s="252"/>
      <c r="FUL956" s="252"/>
      <c r="FUM956" s="252"/>
      <c r="FUN956" s="252"/>
      <c r="FUO956" s="252"/>
      <c r="FUP956" s="252"/>
      <c r="FUQ956" s="252"/>
      <c r="FUR956" s="252"/>
      <c r="FUS956" s="252"/>
      <c r="FUT956" s="252"/>
      <c r="FUU956" s="252"/>
      <c r="FUV956" s="252"/>
      <c r="FUW956" s="252"/>
      <c r="FUX956" s="252"/>
      <c r="FUY956" s="252"/>
      <c r="FUZ956" s="252"/>
      <c r="FVA956" s="252"/>
      <c r="FVB956" s="252"/>
      <c r="FVC956" s="252"/>
      <c r="FVD956" s="252"/>
      <c r="FVE956" s="252"/>
      <c r="FVF956" s="252"/>
      <c r="FVG956" s="252"/>
      <c r="FVH956" s="252"/>
      <c r="FVI956" s="252"/>
      <c r="FVJ956" s="252"/>
      <c r="FVK956" s="252"/>
      <c r="FVL956" s="252"/>
      <c r="FVM956" s="252"/>
      <c r="FVN956" s="252"/>
      <c r="FVO956" s="252"/>
      <c r="FVP956" s="252"/>
      <c r="FVQ956" s="252"/>
      <c r="FVR956" s="252"/>
      <c r="FVS956" s="252"/>
      <c r="FVT956" s="252"/>
      <c r="FVU956" s="252"/>
      <c r="FVV956" s="252"/>
      <c r="FVW956" s="252"/>
      <c r="FVX956" s="252"/>
      <c r="FVY956" s="252"/>
      <c r="FVZ956" s="252"/>
      <c r="FWA956" s="252"/>
      <c r="FWB956" s="252"/>
      <c r="FWC956" s="252"/>
      <c r="FWD956" s="252"/>
      <c r="FWE956" s="252"/>
      <c r="FWF956" s="252"/>
      <c r="FWG956" s="252"/>
      <c r="FWH956" s="252"/>
      <c r="FWI956" s="252"/>
      <c r="FWJ956" s="252"/>
      <c r="FWK956" s="252"/>
      <c r="FWL956" s="252"/>
      <c r="FWM956" s="252"/>
      <c r="FWN956" s="252"/>
      <c r="FWO956" s="252"/>
      <c r="FWP956" s="252"/>
      <c r="FWQ956" s="252"/>
      <c r="FWR956" s="252"/>
      <c r="FWS956" s="252"/>
      <c r="FWT956" s="252"/>
      <c r="FWU956" s="252"/>
      <c r="FWV956" s="252"/>
      <c r="FWW956" s="252"/>
      <c r="FWX956" s="252"/>
      <c r="FWY956" s="252"/>
      <c r="FWZ956" s="252"/>
      <c r="FXA956" s="252"/>
      <c r="FXB956" s="252"/>
      <c r="FXC956" s="252"/>
      <c r="FXD956" s="252"/>
      <c r="FXE956" s="252"/>
      <c r="FXF956" s="252"/>
      <c r="FXG956" s="252"/>
      <c r="FXH956" s="252"/>
      <c r="FXI956" s="252"/>
      <c r="FXJ956" s="252"/>
      <c r="FXK956" s="252"/>
      <c r="FXL956" s="252"/>
      <c r="FXM956" s="252"/>
      <c r="FXN956" s="252"/>
      <c r="FXO956" s="252"/>
      <c r="FXP956" s="252"/>
      <c r="FXQ956" s="252"/>
      <c r="FXR956" s="252"/>
      <c r="FXS956" s="252"/>
      <c r="FXT956" s="252"/>
      <c r="FXU956" s="252"/>
      <c r="FXV956" s="252"/>
      <c r="FXW956" s="252"/>
      <c r="FXX956" s="252"/>
      <c r="FXY956" s="252"/>
      <c r="FXZ956" s="252"/>
      <c r="FYA956" s="252"/>
      <c r="FYB956" s="252"/>
      <c r="FYC956" s="252"/>
      <c r="FYD956" s="252"/>
      <c r="FYE956" s="252"/>
      <c r="FYF956" s="252"/>
      <c r="FYG956" s="252"/>
      <c r="FYH956" s="252"/>
      <c r="FYI956" s="252"/>
      <c r="FYJ956" s="252"/>
      <c r="FYK956" s="252"/>
      <c r="FYL956" s="252"/>
      <c r="FYM956" s="252"/>
      <c r="FYN956" s="252"/>
      <c r="FYO956" s="252"/>
      <c r="FYP956" s="252"/>
      <c r="FYQ956" s="252"/>
      <c r="FYR956" s="252"/>
      <c r="FYS956" s="252"/>
      <c r="FYT956" s="252"/>
      <c r="FYU956" s="252"/>
      <c r="FYV956" s="252"/>
      <c r="FYW956" s="252"/>
      <c r="FYX956" s="252"/>
      <c r="FYY956" s="252"/>
      <c r="FYZ956" s="252"/>
      <c r="FZA956" s="252"/>
      <c r="FZB956" s="252"/>
      <c r="FZC956" s="252"/>
      <c r="FZD956" s="252"/>
      <c r="FZE956" s="252"/>
      <c r="FZF956" s="252"/>
      <c r="FZG956" s="252"/>
      <c r="FZH956" s="252"/>
      <c r="FZI956" s="252"/>
      <c r="FZJ956" s="252"/>
      <c r="FZK956" s="252"/>
      <c r="FZL956" s="252"/>
      <c r="FZM956" s="252"/>
      <c r="FZN956" s="252"/>
      <c r="FZO956" s="252"/>
      <c r="FZP956" s="252"/>
      <c r="FZQ956" s="252"/>
      <c r="FZR956" s="252"/>
      <c r="FZS956" s="252"/>
      <c r="FZT956" s="252"/>
      <c r="FZU956" s="252"/>
      <c r="FZV956" s="252"/>
      <c r="FZW956" s="252"/>
      <c r="FZX956" s="252"/>
      <c r="FZY956" s="252"/>
      <c r="FZZ956" s="252"/>
      <c r="GAA956" s="252"/>
      <c r="GAB956" s="252"/>
      <c r="GAC956" s="252"/>
      <c r="GAD956" s="252"/>
      <c r="GAE956" s="252"/>
      <c r="GAF956" s="252"/>
      <c r="GAG956" s="252"/>
      <c r="GAH956" s="252"/>
      <c r="GAI956" s="252"/>
      <c r="GAJ956" s="252"/>
      <c r="GAK956" s="252"/>
      <c r="GAL956" s="252"/>
      <c r="GAM956" s="252"/>
      <c r="GAN956" s="252"/>
      <c r="GAO956" s="252"/>
      <c r="GAP956" s="252"/>
      <c r="GAQ956" s="252"/>
      <c r="GAR956" s="252"/>
      <c r="GAS956" s="252"/>
      <c r="GAT956" s="252"/>
      <c r="GAU956" s="252"/>
      <c r="GAV956" s="252"/>
      <c r="GAW956" s="252"/>
      <c r="GAX956" s="252"/>
      <c r="GAY956" s="252"/>
      <c r="GAZ956" s="252"/>
      <c r="GBA956" s="252"/>
      <c r="GBB956" s="252"/>
      <c r="GBC956" s="252"/>
      <c r="GBD956" s="252"/>
      <c r="GBE956" s="252"/>
      <c r="GBF956" s="252"/>
      <c r="GBG956" s="252"/>
      <c r="GBH956" s="252"/>
      <c r="GBI956" s="252"/>
      <c r="GBJ956" s="252"/>
      <c r="GBK956" s="252"/>
      <c r="GBL956" s="252"/>
      <c r="GBM956" s="252"/>
      <c r="GBN956" s="252"/>
      <c r="GBO956" s="252"/>
      <c r="GBP956" s="252"/>
      <c r="GBQ956" s="252"/>
      <c r="GBR956" s="252"/>
      <c r="GBS956" s="252"/>
      <c r="GBT956" s="252"/>
      <c r="GBU956" s="252"/>
      <c r="GBV956" s="252"/>
      <c r="GBW956" s="252"/>
      <c r="GBX956" s="252"/>
      <c r="GBY956" s="252"/>
      <c r="GBZ956" s="252"/>
      <c r="GCA956" s="252"/>
      <c r="GCB956" s="252"/>
      <c r="GCC956" s="252"/>
      <c r="GCD956" s="252"/>
      <c r="GCE956" s="252"/>
      <c r="GCF956" s="252"/>
      <c r="GCG956" s="252"/>
      <c r="GCH956" s="252"/>
      <c r="GCI956" s="252"/>
      <c r="GCJ956" s="252"/>
      <c r="GCK956" s="252"/>
      <c r="GCL956" s="252"/>
      <c r="GCM956" s="252"/>
      <c r="GCN956" s="252"/>
      <c r="GCO956" s="252"/>
      <c r="GCP956" s="252"/>
      <c r="GCQ956" s="252"/>
      <c r="GCR956" s="252"/>
      <c r="GCS956" s="252"/>
      <c r="GCT956" s="252"/>
      <c r="GCU956" s="252"/>
      <c r="GCV956" s="252"/>
      <c r="GCW956" s="252"/>
      <c r="GCX956" s="252"/>
      <c r="GCY956" s="252"/>
      <c r="GCZ956" s="252"/>
      <c r="GDA956" s="252"/>
      <c r="GDB956" s="252"/>
      <c r="GDC956" s="252"/>
      <c r="GDD956" s="252"/>
      <c r="GDE956" s="252"/>
      <c r="GDF956" s="252"/>
      <c r="GDG956" s="252"/>
      <c r="GDH956" s="252"/>
      <c r="GDI956" s="252"/>
      <c r="GDJ956" s="252"/>
      <c r="GDK956" s="252"/>
      <c r="GDL956" s="252"/>
      <c r="GDM956" s="252"/>
      <c r="GDN956" s="252"/>
      <c r="GDO956" s="252"/>
      <c r="GDP956" s="252"/>
      <c r="GDQ956" s="252"/>
      <c r="GDR956" s="252"/>
      <c r="GDS956" s="252"/>
      <c r="GDT956" s="252"/>
      <c r="GDU956" s="252"/>
      <c r="GDV956" s="252"/>
      <c r="GDW956" s="252"/>
      <c r="GDX956" s="252"/>
      <c r="GDY956" s="252"/>
      <c r="GDZ956" s="252"/>
      <c r="GEA956" s="252"/>
      <c r="GEB956" s="252"/>
      <c r="GEC956" s="252"/>
      <c r="GED956" s="252"/>
      <c r="GEE956" s="252"/>
      <c r="GEF956" s="252"/>
      <c r="GEG956" s="252"/>
      <c r="GEH956" s="252"/>
      <c r="GEI956" s="252"/>
      <c r="GEJ956" s="252"/>
      <c r="GEK956" s="252"/>
      <c r="GEL956" s="252"/>
      <c r="GEM956" s="252"/>
      <c r="GEN956" s="252"/>
      <c r="GEO956" s="252"/>
      <c r="GEP956" s="252"/>
      <c r="GEQ956" s="252"/>
      <c r="GER956" s="252"/>
      <c r="GES956" s="252"/>
      <c r="GET956" s="252"/>
      <c r="GEU956" s="252"/>
      <c r="GEV956" s="252"/>
      <c r="GEW956" s="252"/>
      <c r="GEX956" s="252"/>
      <c r="GEY956" s="252"/>
      <c r="GEZ956" s="252"/>
      <c r="GFA956" s="252"/>
      <c r="GFB956" s="252"/>
      <c r="GFC956" s="252"/>
      <c r="GFD956" s="252"/>
      <c r="GFE956" s="252"/>
      <c r="GFF956" s="252"/>
      <c r="GFG956" s="252"/>
      <c r="GFH956" s="252"/>
      <c r="GFI956" s="252"/>
      <c r="GFJ956" s="252"/>
      <c r="GFK956" s="252"/>
      <c r="GFL956" s="252"/>
      <c r="GFM956" s="252"/>
      <c r="GFN956" s="252"/>
      <c r="GFO956" s="252"/>
      <c r="GFP956" s="252"/>
      <c r="GFQ956" s="252"/>
      <c r="GFR956" s="252"/>
      <c r="GFS956" s="252"/>
      <c r="GFT956" s="252"/>
      <c r="GFU956" s="252"/>
      <c r="GFV956" s="252"/>
      <c r="GFW956" s="252"/>
      <c r="GFX956" s="252"/>
      <c r="GFY956" s="252"/>
      <c r="GFZ956" s="252"/>
      <c r="GGA956" s="252"/>
      <c r="GGB956" s="252"/>
      <c r="GGC956" s="252"/>
      <c r="GGD956" s="252"/>
      <c r="GGE956" s="252"/>
      <c r="GGF956" s="252"/>
      <c r="GGG956" s="252"/>
      <c r="GGH956" s="252"/>
      <c r="GGI956" s="252"/>
      <c r="GGJ956" s="252"/>
      <c r="GGK956" s="252"/>
      <c r="GGL956" s="252"/>
      <c r="GGM956" s="252"/>
      <c r="GGN956" s="252"/>
      <c r="GGO956" s="252"/>
      <c r="GGP956" s="252"/>
      <c r="GGQ956" s="252"/>
      <c r="GGR956" s="252"/>
      <c r="GGS956" s="252"/>
      <c r="GGT956" s="252"/>
      <c r="GGU956" s="252"/>
      <c r="GGV956" s="252"/>
      <c r="GGW956" s="252"/>
      <c r="GGX956" s="252"/>
      <c r="GGY956" s="252"/>
      <c r="GGZ956" s="252"/>
      <c r="GHA956" s="252"/>
      <c r="GHB956" s="252"/>
      <c r="GHC956" s="252"/>
      <c r="GHD956" s="252"/>
      <c r="GHE956" s="252"/>
      <c r="GHF956" s="252"/>
      <c r="GHG956" s="252"/>
      <c r="GHH956" s="252"/>
      <c r="GHI956" s="252"/>
      <c r="GHJ956" s="252"/>
      <c r="GHK956" s="252"/>
      <c r="GHL956" s="252"/>
      <c r="GHM956" s="252"/>
      <c r="GHN956" s="252"/>
      <c r="GHO956" s="252"/>
      <c r="GHP956" s="252"/>
      <c r="GHQ956" s="252"/>
      <c r="GHR956" s="252"/>
      <c r="GHS956" s="252"/>
      <c r="GHT956" s="252"/>
      <c r="GHU956" s="252"/>
      <c r="GHV956" s="252"/>
      <c r="GHW956" s="252"/>
      <c r="GHX956" s="252"/>
      <c r="GHY956" s="252"/>
      <c r="GHZ956" s="252"/>
      <c r="GIA956" s="252"/>
      <c r="GIB956" s="252"/>
      <c r="GIC956" s="252"/>
      <c r="GID956" s="252"/>
      <c r="GIE956" s="252"/>
      <c r="GIF956" s="252"/>
      <c r="GIG956" s="252"/>
      <c r="GIH956" s="252"/>
      <c r="GII956" s="252"/>
      <c r="GIJ956" s="252"/>
      <c r="GIK956" s="252"/>
      <c r="GIL956" s="252"/>
      <c r="GIM956" s="252"/>
      <c r="GIN956" s="252"/>
      <c r="GIO956" s="252"/>
      <c r="GIP956" s="252"/>
      <c r="GIQ956" s="252"/>
      <c r="GIR956" s="252"/>
      <c r="GIS956" s="252"/>
      <c r="GIT956" s="252"/>
      <c r="GIU956" s="252"/>
      <c r="GIV956" s="252"/>
      <c r="GIW956" s="252"/>
      <c r="GIX956" s="252"/>
      <c r="GIY956" s="252"/>
      <c r="GIZ956" s="252"/>
      <c r="GJA956" s="252"/>
      <c r="GJB956" s="252"/>
      <c r="GJC956" s="252"/>
      <c r="GJD956" s="252"/>
      <c r="GJE956" s="252"/>
      <c r="GJF956" s="252"/>
      <c r="GJG956" s="252"/>
      <c r="GJH956" s="252"/>
      <c r="GJI956" s="252"/>
      <c r="GJJ956" s="252"/>
      <c r="GJK956" s="252"/>
      <c r="GJL956" s="252"/>
      <c r="GJM956" s="252"/>
      <c r="GJN956" s="252"/>
      <c r="GJO956" s="252"/>
      <c r="GJP956" s="252"/>
      <c r="GJQ956" s="252"/>
      <c r="GJR956" s="252"/>
      <c r="GJS956" s="252"/>
      <c r="GJT956" s="252"/>
      <c r="GJU956" s="252"/>
      <c r="GJV956" s="252"/>
      <c r="GJW956" s="252"/>
      <c r="GJX956" s="252"/>
      <c r="GJY956" s="252"/>
      <c r="GJZ956" s="252"/>
      <c r="GKA956" s="252"/>
      <c r="GKB956" s="252"/>
      <c r="GKC956" s="252"/>
      <c r="GKD956" s="252"/>
      <c r="GKE956" s="252"/>
      <c r="GKF956" s="252"/>
      <c r="GKG956" s="252"/>
      <c r="GKH956" s="252"/>
      <c r="GKI956" s="252"/>
      <c r="GKJ956" s="252"/>
      <c r="GKK956" s="252"/>
      <c r="GKL956" s="252"/>
      <c r="GKM956" s="252"/>
      <c r="GKN956" s="252"/>
      <c r="GKO956" s="252"/>
      <c r="GKP956" s="252"/>
      <c r="GKQ956" s="252"/>
      <c r="GKR956" s="252"/>
      <c r="GKS956" s="252"/>
      <c r="GKT956" s="252"/>
      <c r="GKU956" s="252"/>
      <c r="GKV956" s="252"/>
      <c r="GKW956" s="252"/>
      <c r="GKX956" s="252"/>
      <c r="GKY956" s="252"/>
      <c r="GKZ956" s="252"/>
      <c r="GLA956" s="252"/>
      <c r="GLB956" s="252"/>
      <c r="GLC956" s="252"/>
      <c r="GLD956" s="252"/>
      <c r="GLE956" s="252"/>
      <c r="GLF956" s="252"/>
      <c r="GLG956" s="252"/>
      <c r="GLH956" s="252"/>
      <c r="GLI956" s="252"/>
      <c r="GLJ956" s="252"/>
      <c r="GLK956" s="252"/>
      <c r="GLL956" s="252"/>
      <c r="GLM956" s="252"/>
      <c r="GLN956" s="252"/>
      <c r="GLO956" s="252"/>
      <c r="GLP956" s="252"/>
      <c r="GLQ956" s="252"/>
      <c r="GLR956" s="252"/>
      <c r="GLS956" s="252"/>
      <c r="GLT956" s="252"/>
      <c r="GLU956" s="252"/>
      <c r="GLV956" s="252"/>
      <c r="GLW956" s="252"/>
      <c r="GLX956" s="252"/>
      <c r="GLY956" s="252"/>
      <c r="GLZ956" s="252"/>
      <c r="GMA956" s="252"/>
      <c r="GMB956" s="252"/>
      <c r="GMC956" s="252"/>
      <c r="GMD956" s="252"/>
      <c r="GME956" s="252"/>
      <c r="GMF956" s="252"/>
      <c r="GMG956" s="252"/>
      <c r="GMH956" s="252"/>
      <c r="GMI956" s="252"/>
      <c r="GMJ956" s="252"/>
      <c r="GMK956" s="252"/>
      <c r="GML956" s="252"/>
      <c r="GMM956" s="252"/>
      <c r="GMN956" s="252"/>
      <c r="GMO956" s="252"/>
      <c r="GMP956" s="252"/>
      <c r="GMQ956" s="252"/>
      <c r="GMR956" s="252"/>
      <c r="GMS956" s="252"/>
      <c r="GMT956" s="252"/>
      <c r="GMU956" s="252"/>
      <c r="GMV956" s="252"/>
      <c r="GMW956" s="252"/>
      <c r="GMX956" s="252"/>
      <c r="GMY956" s="252"/>
      <c r="GMZ956" s="252"/>
      <c r="GNA956" s="252"/>
      <c r="GNB956" s="252"/>
      <c r="GNC956" s="252"/>
      <c r="GND956" s="252"/>
      <c r="GNE956" s="252"/>
      <c r="GNF956" s="252"/>
      <c r="GNG956" s="252"/>
      <c r="GNH956" s="252"/>
      <c r="GNI956" s="252"/>
      <c r="GNJ956" s="252"/>
      <c r="GNK956" s="252"/>
      <c r="GNL956" s="252"/>
      <c r="GNM956" s="252"/>
      <c r="GNN956" s="252"/>
      <c r="GNO956" s="252"/>
      <c r="GNP956" s="252"/>
      <c r="GNQ956" s="252"/>
      <c r="GNR956" s="252"/>
      <c r="GNS956" s="252"/>
      <c r="GNT956" s="252"/>
      <c r="GNU956" s="252"/>
      <c r="GNV956" s="252"/>
      <c r="GNW956" s="252"/>
      <c r="GNX956" s="252"/>
      <c r="GNY956" s="252"/>
      <c r="GNZ956" s="252"/>
      <c r="GOA956" s="252"/>
      <c r="GOB956" s="252"/>
      <c r="GOC956" s="252"/>
      <c r="GOD956" s="252"/>
      <c r="GOE956" s="252"/>
      <c r="GOF956" s="252"/>
      <c r="GOG956" s="252"/>
      <c r="GOH956" s="252"/>
      <c r="GOI956" s="252"/>
      <c r="GOJ956" s="252"/>
      <c r="GOK956" s="252"/>
      <c r="GOL956" s="252"/>
      <c r="GOM956" s="252"/>
      <c r="GON956" s="252"/>
      <c r="GOO956" s="252"/>
      <c r="GOP956" s="252"/>
      <c r="GOQ956" s="252"/>
      <c r="GOR956" s="252"/>
      <c r="GOS956" s="252"/>
      <c r="GOT956" s="252"/>
      <c r="GOU956" s="252"/>
      <c r="GOV956" s="252"/>
      <c r="GOW956" s="252"/>
      <c r="GOX956" s="252"/>
      <c r="GOY956" s="252"/>
      <c r="GOZ956" s="252"/>
      <c r="GPA956" s="252"/>
      <c r="GPB956" s="252"/>
      <c r="GPC956" s="252"/>
      <c r="GPD956" s="252"/>
      <c r="GPE956" s="252"/>
      <c r="GPF956" s="252"/>
      <c r="GPG956" s="252"/>
      <c r="GPH956" s="252"/>
      <c r="GPI956" s="252"/>
      <c r="GPJ956" s="252"/>
      <c r="GPK956" s="252"/>
      <c r="GPL956" s="252"/>
      <c r="GPM956" s="252"/>
      <c r="GPN956" s="252"/>
      <c r="GPO956" s="252"/>
      <c r="GPP956" s="252"/>
      <c r="GPQ956" s="252"/>
      <c r="GPR956" s="252"/>
      <c r="GPS956" s="252"/>
      <c r="GPT956" s="252"/>
      <c r="GPU956" s="252"/>
      <c r="GPV956" s="252"/>
      <c r="GPW956" s="252"/>
      <c r="GPX956" s="252"/>
      <c r="GPY956" s="252"/>
      <c r="GPZ956" s="252"/>
      <c r="GQA956" s="252"/>
      <c r="GQB956" s="252"/>
      <c r="GQC956" s="252"/>
      <c r="GQD956" s="252"/>
      <c r="GQE956" s="252"/>
      <c r="GQF956" s="252"/>
      <c r="GQG956" s="252"/>
      <c r="GQH956" s="252"/>
      <c r="GQI956" s="252"/>
      <c r="GQJ956" s="252"/>
      <c r="GQK956" s="252"/>
      <c r="GQL956" s="252"/>
      <c r="GQM956" s="252"/>
      <c r="GQN956" s="252"/>
      <c r="GQO956" s="252"/>
      <c r="GQP956" s="252"/>
      <c r="GQQ956" s="252"/>
      <c r="GQR956" s="252"/>
      <c r="GQS956" s="252"/>
      <c r="GQT956" s="252"/>
      <c r="GQU956" s="252"/>
      <c r="GQV956" s="252"/>
      <c r="GQW956" s="252"/>
      <c r="GQX956" s="252"/>
      <c r="GQY956" s="252"/>
      <c r="GQZ956" s="252"/>
      <c r="GRA956" s="252"/>
      <c r="GRB956" s="252"/>
      <c r="GRC956" s="252"/>
      <c r="GRD956" s="252"/>
      <c r="GRE956" s="252"/>
      <c r="GRF956" s="252"/>
      <c r="GRG956" s="252"/>
      <c r="GRH956" s="252"/>
      <c r="GRI956" s="252"/>
      <c r="GRJ956" s="252"/>
      <c r="GRK956" s="252"/>
      <c r="GRL956" s="252"/>
      <c r="GRM956" s="252"/>
      <c r="GRN956" s="252"/>
      <c r="GRO956" s="252"/>
      <c r="GRP956" s="252"/>
      <c r="GRQ956" s="252"/>
      <c r="GRR956" s="252"/>
      <c r="GRS956" s="252"/>
      <c r="GRT956" s="252"/>
      <c r="GRU956" s="252"/>
      <c r="GRV956" s="252"/>
      <c r="GRW956" s="252"/>
      <c r="GRX956" s="252"/>
      <c r="GRY956" s="252"/>
      <c r="GRZ956" s="252"/>
      <c r="GSA956" s="252"/>
      <c r="GSB956" s="252"/>
      <c r="GSC956" s="252"/>
      <c r="GSD956" s="252"/>
      <c r="GSE956" s="252"/>
      <c r="GSF956" s="252"/>
      <c r="GSG956" s="252"/>
      <c r="GSH956" s="252"/>
      <c r="GSI956" s="252"/>
      <c r="GSJ956" s="252"/>
      <c r="GSK956" s="252"/>
      <c r="GSL956" s="252"/>
      <c r="GSM956" s="252"/>
      <c r="GSN956" s="252"/>
      <c r="GSO956" s="252"/>
      <c r="GSP956" s="252"/>
      <c r="GSQ956" s="252"/>
      <c r="GSR956" s="252"/>
      <c r="GSS956" s="252"/>
      <c r="GST956" s="252"/>
      <c r="GSU956" s="252"/>
      <c r="GSV956" s="252"/>
      <c r="GSW956" s="252"/>
      <c r="GSX956" s="252"/>
      <c r="GSY956" s="252"/>
      <c r="GSZ956" s="252"/>
      <c r="GTA956" s="252"/>
      <c r="GTB956" s="252"/>
      <c r="GTC956" s="252"/>
      <c r="GTD956" s="252"/>
      <c r="GTE956" s="252"/>
      <c r="GTF956" s="252"/>
      <c r="GTG956" s="252"/>
      <c r="GTH956" s="252"/>
      <c r="GTI956" s="252"/>
      <c r="GTJ956" s="252"/>
      <c r="GTK956" s="252"/>
      <c r="GTL956" s="252"/>
      <c r="GTM956" s="252"/>
      <c r="GTN956" s="252"/>
      <c r="GTO956" s="252"/>
      <c r="GTP956" s="252"/>
      <c r="GTQ956" s="252"/>
      <c r="GTR956" s="252"/>
      <c r="GTS956" s="252"/>
      <c r="GTT956" s="252"/>
      <c r="GTU956" s="252"/>
      <c r="GTV956" s="252"/>
      <c r="GTW956" s="252"/>
      <c r="GTX956" s="252"/>
      <c r="GTY956" s="252"/>
      <c r="GTZ956" s="252"/>
      <c r="GUA956" s="252"/>
      <c r="GUB956" s="252"/>
      <c r="GUC956" s="252"/>
      <c r="GUD956" s="252"/>
      <c r="GUE956" s="252"/>
      <c r="GUF956" s="252"/>
      <c r="GUG956" s="252"/>
      <c r="GUH956" s="252"/>
      <c r="GUI956" s="252"/>
      <c r="GUJ956" s="252"/>
      <c r="GUK956" s="252"/>
      <c r="GUL956" s="252"/>
      <c r="GUM956" s="252"/>
      <c r="GUN956" s="252"/>
      <c r="GUO956" s="252"/>
      <c r="GUP956" s="252"/>
      <c r="GUQ956" s="252"/>
      <c r="GUR956" s="252"/>
      <c r="GUS956" s="252"/>
      <c r="GUT956" s="252"/>
      <c r="GUU956" s="252"/>
      <c r="GUV956" s="252"/>
      <c r="GUW956" s="252"/>
      <c r="GUX956" s="252"/>
      <c r="GUY956" s="252"/>
      <c r="GUZ956" s="252"/>
      <c r="GVA956" s="252"/>
      <c r="GVB956" s="252"/>
      <c r="GVC956" s="252"/>
      <c r="GVD956" s="252"/>
      <c r="GVE956" s="252"/>
      <c r="GVF956" s="252"/>
      <c r="GVG956" s="252"/>
      <c r="GVH956" s="252"/>
      <c r="GVI956" s="252"/>
      <c r="GVJ956" s="252"/>
      <c r="GVK956" s="252"/>
      <c r="GVL956" s="252"/>
      <c r="GVM956" s="252"/>
      <c r="GVN956" s="252"/>
      <c r="GVO956" s="252"/>
      <c r="GVP956" s="252"/>
      <c r="GVQ956" s="252"/>
      <c r="GVR956" s="252"/>
      <c r="GVS956" s="252"/>
      <c r="GVT956" s="252"/>
      <c r="GVU956" s="252"/>
      <c r="GVV956" s="252"/>
      <c r="GVW956" s="252"/>
      <c r="GVX956" s="252"/>
      <c r="GVY956" s="252"/>
      <c r="GVZ956" s="252"/>
      <c r="GWA956" s="252"/>
      <c r="GWB956" s="252"/>
      <c r="GWC956" s="252"/>
      <c r="GWD956" s="252"/>
      <c r="GWE956" s="252"/>
      <c r="GWF956" s="252"/>
      <c r="GWG956" s="252"/>
      <c r="GWH956" s="252"/>
      <c r="GWI956" s="252"/>
      <c r="GWJ956" s="252"/>
      <c r="GWK956" s="252"/>
      <c r="GWL956" s="252"/>
      <c r="GWM956" s="252"/>
      <c r="GWN956" s="252"/>
      <c r="GWO956" s="252"/>
      <c r="GWP956" s="252"/>
      <c r="GWQ956" s="252"/>
      <c r="GWR956" s="252"/>
      <c r="GWS956" s="252"/>
      <c r="GWT956" s="252"/>
      <c r="GWU956" s="252"/>
      <c r="GWV956" s="252"/>
      <c r="GWW956" s="252"/>
      <c r="GWX956" s="252"/>
      <c r="GWY956" s="252"/>
      <c r="GWZ956" s="252"/>
      <c r="GXA956" s="252"/>
      <c r="GXB956" s="252"/>
      <c r="GXC956" s="252"/>
      <c r="GXD956" s="252"/>
      <c r="GXE956" s="252"/>
      <c r="GXF956" s="252"/>
      <c r="GXG956" s="252"/>
      <c r="GXH956" s="252"/>
      <c r="GXI956" s="252"/>
      <c r="GXJ956" s="252"/>
      <c r="GXK956" s="252"/>
      <c r="GXL956" s="252"/>
      <c r="GXM956" s="252"/>
      <c r="GXN956" s="252"/>
      <c r="GXO956" s="252"/>
      <c r="GXP956" s="252"/>
      <c r="GXQ956" s="252"/>
      <c r="GXR956" s="252"/>
      <c r="GXS956" s="252"/>
      <c r="GXT956" s="252"/>
      <c r="GXU956" s="252"/>
      <c r="GXV956" s="252"/>
      <c r="GXW956" s="252"/>
      <c r="GXX956" s="252"/>
      <c r="GXY956" s="252"/>
      <c r="GXZ956" s="252"/>
      <c r="GYA956" s="252"/>
      <c r="GYB956" s="252"/>
      <c r="GYC956" s="252"/>
      <c r="GYD956" s="252"/>
      <c r="GYE956" s="252"/>
      <c r="GYF956" s="252"/>
      <c r="GYG956" s="252"/>
      <c r="GYH956" s="252"/>
      <c r="GYI956" s="252"/>
      <c r="GYJ956" s="252"/>
      <c r="GYK956" s="252"/>
      <c r="GYL956" s="252"/>
      <c r="GYM956" s="252"/>
      <c r="GYN956" s="252"/>
      <c r="GYO956" s="252"/>
      <c r="GYP956" s="252"/>
      <c r="GYQ956" s="252"/>
      <c r="GYR956" s="252"/>
      <c r="GYS956" s="252"/>
      <c r="GYT956" s="252"/>
      <c r="GYU956" s="252"/>
      <c r="GYV956" s="252"/>
      <c r="GYW956" s="252"/>
      <c r="GYX956" s="252"/>
      <c r="GYY956" s="252"/>
      <c r="GYZ956" s="252"/>
      <c r="GZA956" s="252"/>
      <c r="GZB956" s="252"/>
      <c r="GZC956" s="252"/>
      <c r="GZD956" s="252"/>
      <c r="GZE956" s="252"/>
      <c r="GZF956" s="252"/>
      <c r="GZG956" s="252"/>
      <c r="GZH956" s="252"/>
      <c r="GZI956" s="252"/>
      <c r="GZJ956" s="252"/>
      <c r="GZK956" s="252"/>
      <c r="GZL956" s="252"/>
      <c r="GZM956" s="252"/>
      <c r="GZN956" s="252"/>
      <c r="GZO956" s="252"/>
      <c r="GZP956" s="252"/>
      <c r="GZQ956" s="252"/>
      <c r="GZR956" s="252"/>
      <c r="GZS956" s="252"/>
      <c r="GZT956" s="252"/>
      <c r="GZU956" s="252"/>
      <c r="GZV956" s="252"/>
      <c r="GZW956" s="252"/>
      <c r="GZX956" s="252"/>
      <c r="GZY956" s="252"/>
      <c r="GZZ956" s="252"/>
      <c r="HAA956" s="252"/>
      <c r="HAB956" s="252"/>
      <c r="HAC956" s="252"/>
      <c r="HAD956" s="252"/>
      <c r="HAE956" s="252"/>
      <c r="HAF956" s="252"/>
      <c r="HAG956" s="252"/>
      <c r="HAH956" s="252"/>
      <c r="HAI956" s="252"/>
      <c r="HAJ956" s="252"/>
      <c r="HAK956" s="252"/>
      <c r="HAL956" s="252"/>
      <c r="HAM956" s="252"/>
      <c r="HAN956" s="252"/>
      <c r="HAO956" s="252"/>
      <c r="HAP956" s="252"/>
      <c r="HAQ956" s="252"/>
      <c r="HAR956" s="252"/>
      <c r="HAS956" s="252"/>
      <c r="HAT956" s="252"/>
      <c r="HAU956" s="252"/>
      <c r="HAV956" s="252"/>
      <c r="HAW956" s="252"/>
      <c r="HAX956" s="252"/>
      <c r="HAY956" s="252"/>
      <c r="HAZ956" s="252"/>
      <c r="HBA956" s="252"/>
      <c r="HBB956" s="252"/>
      <c r="HBC956" s="252"/>
      <c r="HBD956" s="252"/>
      <c r="HBE956" s="252"/>
      <c r="HBF956" s="252"/>
      <c r="HBG956" s="252"/>
      <c r="HBH956" s="252"/>
      <c r="HBI956" s="252"/>
      <c r="HBJ956" s="252"/>
      <c r="HBK956" s="252"/>
      <c r="HBL956" s="252"/>
      <c r="HBM956" s="252"/>
      <c r="HBN956" s="252"/>
      <c r="HBO956" s="252"/>
      <c r="HBP956" s="252"/>
      <c r="HBQ956" s="252"/>
      <c r="HBR956" s="252"/>
      <c r="HBS956" s="252"/>
      <c r="HBT956" s="252"/>
      <c r="HBU956" s="252"/>
      <c r="HBV956" s="252"/>
      <c r="HBW956" s="252"/>
      <c r="HBX956" s="252"/>
      <c r="HBY956" s="252"/>
      <c r="HBZ956" s="252"/>
      <c r="HCA956" s="252"/>
      <c r="HCB956" s="252"/>
      <c r="HCC956" s="252"/>
      <c r="HCD956" s="252"/>
      <c r="HCE956" s="252"/>
      <c r="HCF956" s="252"/>
      <c r="HCG956" s="252"/>
      <c r="HCH956" s="252"/>
      <c r="HCI956" s="252"/>
      <c r="HCJ956" s="252"/>
      <c r="HCK956" s="252"/>
      <c r="HCL956" s="252"/>
      <c r="HCM956" s="252"/>
      <c r="HCN956" s="252"/>
      <c r="HCO956" s="252"/>
      <c r="HCP956" s="252"/>
      <c r="HCQ956" s="252"/>
      <c r="HCR956" s="252"/>
      <c r="HCS956" s="252"/>
      <c r="HCT956" s="252"/>
      <c r="HCU956" s="252"/>
      <c r="HCV956" s="252"/>
      <c r="HCW956" s="252"/>
      <c r="HCX956" s="252"/>
      <c r="HCY956" s="252"/>
      <c r="HCZ956" s="252"/>
      <c r="HDA956" s="252"/>
      <c r="HDB956" s="252"/>
      <c r="HDC956" s="252"/>
      <c r="HDD956" s="252"/>
      <c r="HDE956" s="252"/>
      <c r="HDF956" s="252"/>
      <c r="HDG956" s="252"/>
      <c r="HDH956" s="252"/>
      <c r="HDI956" s="252"/>
      <c r="HDJ956" s="252"/>
      <c r="HDK956" s="252"/>
      <c r="HDL956" s="252"/>
      <c r="HDM956" s="252"/>
      <c r="HDN956" s="252"/>
      <c r="HDO956" s="252"/>
      <c r="HDP956" s="252"/>
      <c r="HDQ956" s="252"/>
      <c r="HDR956" s="252"/>
      <c r="HDS956" s="252"/>
      <c r="HDT956" s="252"/>
      <c r="HDU956" s="252"/>
      <c r="HDV956" s="252"/>
      <c r="HDW956" s="252"/>
      <c r="HDX956" s="252"/>
      <c r="HDY956" s="252"/>
      <c r="HDZ956" s="252"/>
      <c r="HEA956" s="252"/>
      <c r="HEB956" s="252"/>
      <c r="HEC956" s="252"/>
      <c r="HED956" s="252"/>
      <c r="HEE956" s="252"/>
      <c r="HEF956" s="252"/>
      <c r="HEG956" s="252"/>
      <c r="HEH956" s="252"/>
      <c r="HEI956" s="252"/>
      <c r="HEJ956" s="252"/>
      <c r="HEK956" s="252"/>
      <c r="HEL956" s="252"/>
      <c r="HEM956" s="252"/>
      <c r="HEN956" s="252"/>
      <c r="HEO956" s="252"/>
      <c r="HEP956" s="252"/>
      <c r="HEQ956" s="252"/>
      <c r="HER956" s="252"/>
      <c r="HES956" s="252"/>
      <c r="HET956" s="252"/>
      <c r="HEU956" s="252"/>
      <c r="HEV956" s="252"/>
      <c r="HEW956" s="252"/>
      <c r="HEX956" s="252"/>
      <c r="HEY956" s="252"/>
      <c r="HEZ956" s="252"/>
      <c r="HFA956" s="252"/>
      <c r="HFB956" s="252"/>
      <c r="HFC956" s="252"/>
      <c r="HFD956" s="252"/>
      <c r="HFE956" s="252"/>
      <c r="HFF956" s="252"/>
      <c r="HFG956" s="252"/>
      <c r="HFH956" s="252"/>
      <c r="HFI956" s="252"/>
      <c r="HFJ956" s="252"/>
      <c r="HFK956" s="252"/>
      <c r="HFL956" s="252"/>
      <c r="HFM956" s="252"/>
      <c r="HFN956" s="252"/>
      <c r="HFO956" s="252"/>
      <c r="HFP956" s="252"/>
      <c r="HFQ956" s="252"/>
      <c r="HFR956" s="252"/>
      <c r="HFS956" s="252"/>
      <c r="HFT956" s="252"/>
      <c r="HFU956" s="252"/>
      <c r="HFV956" s="252"/>
      <c r="HFW956" s="252"/>
      <c r="HFX956" s="252"/>
      <c r="HFY956" s="252"/>
      <c r="HFZ956" s="252"/>
      <c r="HGA956" s="252"/>
      <c r="HGB956" s="252"/>
      <c r="HGC956" s="252"/>
      <c r="HGD956" s="252"/>
      <c r="HGE956" s="252"/>
      <c r="HGF956" s="252"/>
      <c r="HGG956" s="252"/>
      <c r="HGH956" s="252"/>
      <c r="HGI956" s="252"/>
      <c r="HGJ956" s="252"/>
      <c r="HGK956" s="252"/>
      <c r="HGL956" s="252"/>
      <c r="HGM956" s="252"/>
      <c r="HGN956" s="252"/>
      <c r="HGO956" s="252"/>
      <c r="HGP956" s="252"/>
      <c r="HGQ956" s="252"/>
      <c r="HGR956" s="252"/>
      <c r="HGS956" s="252"/>
      <c r="HGT956" s="252"/>
      <c r="HGU956" s="252"/>
      <c r="HGV956" s="252"/>
      <c r="HGW956" s="252"/>
      <c r="HGX956" s="252"/>
      <c r="HGY956" s="252"/>
      <c r="HGZ956" s="252"/>
      <c r="HHA956" s="252"/>
      <c r="HHB956" s="252"/>
      <c r="HHC956" s="252"/>
      <c r="HHD956" s="252"/>
      <c r="HHE956" s="252"/>
      <c r="HHF956" s="252"/>
      <c r="HHG956" s="252"/>
      <c r="HHH956" s="252"/>
      <c r="HHI956" s="252"/>
      <c r="HHJ956" s="252"/>
      <c r="HHK956" s="252"/>
      <c r="HHL956" s="252"/>
      <c r="HHM956" s="252"/>
      <c r="HHN956" s="252"/>
      <c r="HHO956" s="252"/>
      <c r="HHP956" s="252"/>
      <c r="HHQ956" s="252"/>
      <c r="HHR956" s="252"/>
      <c r="HHS956" s="252"/>
      <c r="HHT956" s="252"/>
      <c r="HHU956" s="252"/>
      <c r="HHV956" s="252"/>
      <c r="HHW956" s="252"/>
      <c r="HHX956" s="252"/>
      <c r="HHY956" s="252"/>
      <c r="HHZ956" s="252"/>
      <c r="HIA956" s="252"/>
      <c r="HIB956" s="252"/>
      <c r="HIC956" s="252"/>
      <c r="HID956" s="252"/>
      <c r="HIE956" s="252"/>
      <c r="HIF956" s="252"/>
      <c r="HIG956" s="252"/>
      <c r="HIH956" s="252"/>
      <c r="HII956" s="252"/>
      <c r="HIJ956" s="252"/>
      <c r="HIK956" s="252"/>
      <c r="HIL956" s="252"/>
      <c r="HIM956" s="252"/>
      <c r="HIN956" s="252"/>
      <c r="HIO956" s="252"/>
      <c r="HIP956" s="252"/>
      <c r="HIQ956" s="252"/>
      <c r="HIR956" s="252"/>
      <c r="HIS956" s="252"/>
      <c r="HIT956" s="252"/>
      <c r="HIU956" s="252"/>
      <c r="HIV956" s="252"/>
      <c r="HIW956" s="252"/>
      <c r="HIX956" s="252"/>
      <c r="HIY956" s="252"/>
      <c r="HIZ956" s="252"/>
      <c r="HJA956" s="252"/>
      <c r="HJB956" s="252"/>
      <c r="HJC956" s="252"/>
      <c r="HJD956" s="252"/>
      <c r="HJE956" s="252"/>
      <c r="HJF956" s="252"/>
      <c r="HJG956" s="252"/>
      <c r="HJH956" s="252"/>
      <c r="HJI956" s="252"/>
      <c r="HJJ956" s="252"/>
      <c r="HJK956" s="252"/>
      <c r="HJL956" s="252"/>
      <c r="HJM956" s="252"/>
      <c r="HJN956" s="252"/>
      <c r="HJO956" s="252"/>
      <c r="HJP956" s="252"/>
      <c r="HJQ956" s="252"/>
      <c r="HJR956" s="252"/>
      <c r="HJS956" s="252"/>
      <c r="HJT956" s="252"/>
      <c r="HJU956" s="252"/>
      <c r="HJV956" s="252"/>
      <c r="HJW956" s="252"/>
      <c r="HJX956" s="252"/>
      <c r="HJY956" s="252"/>
      <c r="HJZ956" s="252"/>
      <c r="HKA956" s="252"/>
      <c r="HKB956" s="252"/>
      <c r="HKC956" s="252"/>
      <c r="HKD956" s="252"/>
      <c r="HKE956" s="252"/>
      <c r="HKF956" s="252"/>
      <c r="HKG956" s="252"/>
      <c r="HKH956" s="252"/>
      <c r="HKI956" s="252"/>
      <c r="HKJ956" s="252"/>
      <c r="HKK956" s="252"/>
      <c r="HKL956" s="252"/>
      <c r="HKM956" s="252"/>
      <c r="HKN956" s="252"/>
      <c r="HKO956" s="252"/>
      <c r="HKP956" s="252"/>
      <c r="HKQ956" s="252"/>
      <c r="HKR956" s="252"/>
      <c r="HKS956" s="252"/>
      <c r="HKT956" s="252"/>
      <c r="HKU956" s="252"/>
      <c r="HKV956" s="252"/>
      <c r="HKW956" s="252"/>
      <c r="HKX956" s="252"/>
      <c r="HKY956" s="252"/>
      <c r="HKZ956" s="252"/>
      <c r="HLA956" s="252"/>
      <c r="HLB956" s="252"/>
      <c r="HLC956" s="252"/>
      <c r="HLD956" s="252"/>
      <c r="HLE956" s="252"/>
      <c r="HLF956" s="252"/>
      <c r="HLG956" s="252"/>
      <c r="HLH956" s="252"/>
      <c r="HLI956" s="252"/>
      <c r="HLJ956" s="252"/>
      <c r="HLK956" s="252"/>
      <c r="HLL956" s="252"/>
      <c r="HLM956" s="252"/>
      <c r="HLN956" s="252"/>
      <c r="HLO956" s="252"/>
      <c r="HLP956" s="252"/>
      <c r="HLQ956" s="252"/>
      <c r="HLR956" s="252"/>
      <c r="HLS956" s="252"/>
      <c r="HLT956" s="252"/>
      <c r="HLU956" s="252"/>
      <c r="HLV956" s="252"/>
      <c r="HLW956" s="252"/>
      <c r="HLX956" s="252"/>
      <c r="HLY956" s="252"/>
      <c r="HLZ956" s="252"/>
      <c r="HMA956" s="252"/>
      <c r="HMB956" s="252"/>
      <c r="HMC956" s="252"/>
      <c r="HMD956" s="252"/>
      <c r="HME956" s="252"/>
      <c r="HMF956" s="252"/>
      <c r="HMG956" s="252"/>
      <c r="HMH956" s="252"/>
      <c r="HMI956" s="252"/>
      <c r="HMJ956" s="252"/>
      <c r="HMK956" s="252"/>
      <c r="HML956" s="252"/>
      <c r="HMM956" s="252"/>
      <c r="HMN956" s="252"/>
      <c r="HMO956" s="252"/>
      <c r="HMP956" s="252"/>
      <c r="HMQ956" s="252"/>
      <c r="HMR956" s="252"/>
      <c r="HMS956" s="252"/>
      <c r="HMT956" s="252"/>
      <c r="HMU956" s="252"/>
      <c r="HMV956" s="252"/>
      <c r="HMW956" s="252"/>
      <c r="HMX956" s="252"/>
      <c r="HMY956" s="252"/>
      <c r="HMZ956" s="252"/>
      <c r="HNA956" s="252"/>
      <c r="HNB956" s="252"/>
      <c r="HNC956" s="252"/>
      <c r="HND956" s="252"/>
      <c r="HNE956" s="252"/>
      <c r="HNF956" s="252"/>
      <c r="HNG956" s="252"/>
      <c r="HNH956" s="252"/>
      <c r="HNI956" s="252"/>
      <c r="HNJ956" s="252"/>
      <c r="HNK956" s="252"/>
      <c r="HNL956" s="252"/>
      <c r="HNM956" s="252"/>
      <c r="HNN956" s="252"/>
      <c r="HNO956" s="252"/>
      <c r="HNP956" s="252"/>
      <c r="HNQ956" s="252"/>
      <c r="HNR956" s="252"/>
      <c r="HNS956" s="252"/>
      <c r="HNT956" s="252"/>
      <c r="HNU956" s="252"/>
      <c r="HNV956" s="252"/>
      <c r="HNW956" s="252"/>
      <c r="HNX956" s="252"/>
      <c r="HNY956" s="252"/>
      <c r="HNZ956" s="252"/>
      <c r="HOA956" s="252"/>
      <c r="HOB956" s="252"/>
      <c r="HOC956" s="252"/>
      <c r="HOD956" s="252"/>
      <c r="HOE956" s="252"/>
      <c r="HOF956" s="252"/>
      <c r="HOG956" s="252"/>
      <c r="HOH956" s="252"/>
      <c r="HOI956" s="252"/>
      <c r="HOJ956" s="252"/>
      <c r="HOK956" s="252"/>
      <c r="HOL956" s="252"/>
      <c r="HOM956" s="252"/>
      <c r="HON956" s="252"/>
      <c r="HOO956" s="252"/>
      <c r="HOP956" s="252"/>
      <c r="HOQ956" s="252"/>
      <c r="HOR956" s="252"/>
      <c r="HOS956" s="252"/>
      <c r="HOT956" s="252"/>
      <c r="HOU956" s="252"/>
      <c r="HOV956" s="252"/>
      <c r="HOW956" s="252"/>
      <c r="HOX956" s="252"/>
      <c r="HOY956" s="252"/>
      <c r="HOZ956" s="252"/>
      <c r="HPA956" s="252"/>
      <c r="HPB956" s="252"/>
      <c r="HPC956" s="252"/>
      <c r="HPD956" s="252"/>
      <c r="HPE956" s="252"/>
      <c r="HPF956" s="252"/>
      <c r="HPG956" s="252"/>
      <c r="HPH956" s="252"/>
      <c r="HPI956" s="252"/>
      <c r="HPJ956" s="252"/>
      <c r="HPK956" s="252"/>
      <c r="HPL956" s="252"/>
      <c r="HPM956" s="252"/>
      <c r="HPN956" s="252"/>
      <c r="HPO956" s="252"/>
      <c r="HPP956" s="252"/>
      <c r="HPQ956" s="252"/>
      <c r="HPR956" s="252"/>
      <c r="HPS956" s="252"/>
      <c r="HPT956" s="252"/>
      <c r="HPU956" s="252"/>
      <c r="HPV956" s="252"/>
      <c r="HPW956" s="252"/>
      <c r="HPX956" s="252"/>
      <c r="HPY956" s="252"/>
      <c r="HPZ956" s="252"/>
      <c r="HQA956" s="252"/>
      <c r="HQB956" s="252"/>
      <c r="HQC956" s="252"/>
      <c r="HQD956" s="252"/>
      <c r="HQE956" s="252"/>
      <c r="HQF956" s="252"/>
      <c r="HQG956" s="252"/>
      <c r="HQH956" s="252"/>
      <c r="HQI956" s="252"/>
      <c r="HQJ956" s="252"/>
      <c r="HQK956" s="252"/>
      <c r="HQL956" s="252"/>
      <c r="HQM956" s="252"/>
      <c r="HQN956" s="252"/>
      <c r="HQO956" s="252"/>
      <c r="HQP956" s="252"/>
      <c r="HQQ956" s="252"/>
      <c r="HQR956" s="252"/>
      <c r="HQS956" s="252"/>
      <c r="HQT956" s="252"/>
      <c r="HQU956" s="252"/>
      <c r="HQV956" s="252"/>
      <c r="HQW956" s="252"/>
      <c r="HQX956" s="252"/>
      <c r="HQY956" s="252"/>
      <c r="HQZ956" s="252"/>
      <c r="HRA956" s="252"/>
      <c r="HRB956" s="252"/>
      <c r="HRC956" s="252"/>
      <c r="HRD956" s="252"/>
      <c r="HRE956" s="252"/>
      <c r="HRF956" s="252"/>
      <c r="HRG956" s="252"/>
      <c r="HRH956" s="252"/>
      <c r="HRI956" s="252"/>
      <c r="HRJ956" s="252"/>
      <c r="HRK956" s="252"/>
      <c r="HRL956" s="252"/>
      <c r="HRM956" s="252"/>
      <c r="HRN956" s="252"/>
      <c r="HRO956" s="252"/>
      <c r="HRP956" s="252"/>
      <c r="HRQ956" s="252"/>
      <c r="HRR956" s="252"/>
      <c r="HRS956" s="252"/>
      <c r="HRT956" s="252"/>
      <c r="HRU956" s="252"/>
      <c r="HRV956" s="252"/>
      <c r="HRW956" s="252"/>
      <c r="HRX956" s="252"/>
      <c r="HRY956" s="252"/>
      <c r="HRZ956" s="252"/>
      <c r="HSA956" s="252"/>
      <c r="HSB956" s="252"/>
      <c r="HSC956" s="252"/>
      <c r="HSD956" s="252"/>
      <c r="HSE956" s="252"/>
      <c r="HSF956" s="252"/>
      <c r="HSG956" s="252"/>
      <c r="HSH956" s="252"/>
      <c r="HSI956" s="252"/>
      <c r="HSJ956" s="252"/>
      <c r="HSK956" s="252"/>
      <c r="HSL956" s="252"/>
      <c r="HSM956" s="252"/>
      <c r="HSN956" s="252"/>
      <c r="HSO956" s="252"/>
      <c r="HSP956" s="252"/>
      <c r="HSQ956" s="252"/>
      <c r="HSR956" s="252"/>
      <c r="HSS956" s="252"/>
      <c r="HST956" s="252"/>
      <c r="HSU956" s="252"/>
      <c r="HSV956" s="252"/>
      <c r="HSW956" s="252"/>
      <c r="HSX956" s="252"/>
      <c r="HSY956" s="252"/>
      <c r="HSZ956" s="252"/>
      <c r="HTA956" s="252"/>
      <c r="HTB956" s="252"/>
      <c r="HTC956" s="252"/>
      <c r="HTD956" s="252"/>
      <c r="HTE956" s="252"/>
      <c r="HTF956" s="252"/>
      <c r="HTG956" s="252"/>
      <c r="HTH956" s="252"/>
      <c r="HTI956" s="252"/>
      <c r="HTJ956" s="252"/>
      <c r="HTK956" s="252"/>
      <c r="HTL956" s="252"/>
      <c r="HTM956" s="252"/>
      <c r="HTN956" s="252"/>
      <c r="HTO956" s="252"/>
      <c r="HTP956" s="252"/>
      <c r="HTQ956" s="252"/>
      <c r="HTR956" s="252"/>
      <c r="HTS956" s="252"/>
      <c r="HTT956" s="252"/>
      <c r="HTU956" s="252"/>
      <c r="HTV956" s="252"/>
      <c r="HTW956" s="252"/>
      <c r="HTX956" s="252"/>
      <c r="HTY956" s="252"/>
      <c r="HTZ956" s="252"/>
      <c r="HUA956" s="252"/>
      <c r="HUB956" s="252"/>
      <c r="HUC956" s="252"/>
      <c r="HUD956" s="252"/>
      <c r="HUE956" s="252"/>
      <c r="HUF956" s="252"/>
      <c r="HUG956" s="252"/>
      <c r="HUH956" s="252"/>
      <c r="HUI956" s="252"/>
      <c r="HUJ956" s="252"/>
      <c r="HUK956" s="252"/>
      <c r="HUL956" s="252"/>
      <c r="HUM956" s="252"/>
      <c r="HUN956" s="252"/>
      <c r="HUO956" s="252"/>
      <c r="HUP956" s="252"/>
      <c r="HUQ956" s="252"/>
      <c r="HUR956" s="252"/>
      <c r="HUS956" s="252"/>
      <c r="HUT956" s="252"/>
      <c r="HUU956" s="252"/>
      <c r="HUV956" s="252"/>
      <c r="HUW956" s="252"/>
      <c r="HUX956" s="252"/>
      <c r="HUY956" s="252"/>
      <c r="HUZ956" s="252"/>
      <c r="HVA956" s="252"/>
      <c r="HVB956" s="252"/>
      <c r="HVC956" s="252"/>
      <c r="HVD956" s="252"/>
      <c r="HVE956" s="252"/>
      <c r="HVF956" s="252"/>
      <c r="HVG956" s="252"/>
      <c r="HVH956" s="252"/>
      <c r="HVI956" s="252"/>
      <c r="HVJ956" s="252"/>
      <c r="HVK956" s="252"/>
      <c r="HVL956" s="252"/>
      <c r="HVM956" s="252"/>
      <c r="HVN956" s="252"/>
      <c r="HVO956" s="252"/>
      <c r="HVP956" s="252"/>
      <c r="HVQ956" s="252"/>
      <c r="HVR956" s="252"/>
      <c r="HVS956" s="252"/>
      <c r="HVT956" s="252"/>
      <c r="HVU956" s="252"/>
      <c r="HVV956" s="252"/>
      <c r="HVW956" s="252"/>
      <c r="HVX956" s="252"/>
      <c r="HVY956" s="252"/>
      <c r="HVZ956" s="252"/>
      <c r="HWA956" s="252"/>
      <c r="HWB956" s="252"/>
      <c r="HWC956" s="252"/>
      <c r="HWD956" s="252"/>
      <c r="HWE956" s="252"/>
      <c r="HWF956" s="252"/>
      <c r="HWG956" s="252"/>
      <c r="HWH956" s="252"/>
      <c r="HWI956" s="252"/>
      <c r="HWJ956" s="252"/>
      <c r="HWK956" s="252"/>
      <c r="HWL956" s="252"/>
      <c r="HWM956" s="252"/>
      <c r="HWN956" s="252"/>
      <c r="HWO956" s="252"/>
      <c r="HWP956" s="252"/>
      <c r="HWQ956" s="252"/>
      <c r="HWR956" s="252"/>
      <c r="HWS956" s="252"/>
      <c r="HWT956" s="252"/>
      <c r="HWU956" s="252"/>
      <c r="HWV956" s="252"/>
      <c r="HWW956" s="252"/>
      <c r="HWX956" s="252"/>
      <c r="HWY956" s="252"/>
      <c r="HWZ956" s="252"/>
      <c r="HXA956" s="252"/>
      <c r="HXB956" s="252"/>
      <c r="HXC956" s="252"/>
      <c r="HXD956" s="252"/>
      <c r="HXE956" s="252"/>
      <c r="HXF956" s="252"/>
      <c r="HXG956" s="252"/>
      <c r="HXH956" s="252"/>
      <c r="HXI956" s="252"/>
      <c r="HXJ956" s="252"/>
      <c r="HXK956" s="252"/>
      <c r="HXL956" s="252"/>
      <c r="HXM956" s="252"/>
      <c r="HXN956" s="252"/>
      <c r="HXO956" s="252"/>
      <c r="HXP956" s="252"/>
      <c r="HXQ956" s="252"/>
      <c r="HXR956" s="252"/>
      <c r="HXS956" s="252"/>
      <c r="HXT956" s="252"/>
      <c r="HXU956" s="252"/>
      <c r="HXV956" s="252"/>
      <c r="HXW956" s="252"/>
      <c r="HXX956" s="252"/>
      <c r="HXY956" s="252"/>
      <c r="HXZ956" s="252"/>
      <c r="HYA956" s="252"/>
      <c r="HYB956" s="252"/>
      <c r="HYC956" s="252"/>
      <c r="HYD956" s="252"/>
      <c r="HYE956" s="252"/>
      <c r="HYF956" s="252"/>
      <c r="HYG956" s="252"/>
      <c r="HYH956" s="252"/>
      <c r="HYI956" s="252"/>
      <c r="HYJ956" s="252"/>
      <c r="HYK956" s="252"/>
      <c r="HYL956" s="252"/>
      <c r="HYM956" s="252"/>
      <c r="HYN956" s="252"/>
      <c r="HYO956" s="252"/>
      <c r="HYP956" s="252"/>
      <c r="HYQ956" s="252"/>
      <c r="HYR956" s="252"/>
      <c r="HYS956" s="252"/>
      <c r="HYT956" s="252"/>
      <c r="HYU956" s="252"/>
      <c r="HYV956" s="252"/>
      <c r="HYW956" s="252"/>
      <c r="HYX956" s="252"/>
      <c r="HYY956" s="252"/>
      <c r="HYZ956" s="252"/>
      <c r="HZA956" s="252"/>
      <c r="HZB956" s="252"/>
      <c r="HZC956" s="252"/>
      <c r="HZD956" s="252"/>
      <c r="HZE956" s="252"/>
      <c r="HZF956" s="252"/>
      <c r="HZG956" s="252"/>
      <c r="HZH956" s="252"/>
      <c r="HZI956" s="252"/>
      <c r="HZJ956" s="252"/>
      <c r="HZK956" s="252"/>
      <c r="HZL956" s="252"/>
      <c r="HZM956" s="252"/>
      <c r="HZN956" s="252"/>
      <c r="HZO956" s="252"/>
      <c r="HZP956" s="252"/>
      <c r="HZQ956" s="252"/>
      <c r="HZR956" s="252"/>
      <c r="HZS956" s="252"/>
      <c r="HZT956" s="252"/>
      <c r="HZU956" s="252"/>
      <c r="HZV956" s="252"/>
      <c r="HZW956" s="252"/>
      <c r="HZX956" s="252"/>
      <c r="HZY956" s="252"/>
      <c r="HZZ956" s="252"/>
      <c r="IAA956" s="252"/>
      <c r="IAB956" s="252"/>
      <c r="IAC956" s="252"/>
      <c r="IAD956" s="252"/>
      <c r="IAE956" s="252"/>
      <c r="IAF956" s="252"/>
      <c r="IAG956" s="252"/>
      <c r="IAH956" s="252"/>
      <c r="IAI956" s="252"/>
      <c r="IAJ956" s="252"/>
      <c r="IAK956" s="252"/>
      <c r="IAL956" s="252"/>
      <c r="IAM956" s="252"/>
      <c r="IAN956" s="252"/>
      <c r="IAO956" s="252"/>
      <c r="IAP956" s="252"/>
      <c r="IAQ956" s="252"/>
      <c r="IAR956" s="252"/>
      <c r="IAS956" s="252"/>
      <c r="IAT956" s="252"/>
      <c r="IAU956" s="252"/>
      <c r="IAV956" s="252"/>
      <c r="IAW956" s="252"/>
      <c r="IAX956" s="252"/>
      <c r="IAY956" s="252"/>
      <c r="IAZ956" s="252"/>
      <c r="IBA956" s="252"/>
      <c r="IBB956" s="252"/>
      <c r="IBC956" s="252"/>
      <c r="IBD956" s="252"/>
      <c r="IBE956" s="252"/>
      <c r="IBF956" s="252"/>
      <c r="IBG956" s="252"/>
      <c r="IBH956" s="252"/>
      <c r="IBI956" s="252"/>
      <c r="IBJ956" s="252"/>
      <c r="IBK956" s="252"/>
      <c r="IBL956" s="252"/>
      <c r="IBM956" s="252"/>
      <c r="IBN956" s="252"/>
      <c r="IBO956" s="252"/>
      <c r="IBP956" s="252"/>
      <c r="IBQ956" s="252"/>
      <c r="IBR956" s="252"/>
      <c r="IBS956" s="252"/>
      <c r="IBT956" s="252"/>
      <c r="IBU956" s="252"/>
      <c r="IBV956" s="252"/>
      <c r="IBW956" s="252"/>
      <c r="IBX956" s="252"/>
      <c r="IBY956" s="252"/>
      <c r="IBZ956" s="252"/>
      <c r="ICA956" s="252"/>
      <c r="ICB956" s="252"/>
      <c r="ICC956" s="252"/>
      <c r="ICD956" s="252"/>
      <c r="ICE956" s="252"/>
      <c r="ICF956" s="252"/>
      <c r="ICG956" s="252"/>
      <c r="ICH956" s="252"/>
      <c r="ICI956" s="252"/>
      <c r="ICJ956" s="252"/>
      <c r="ICK956" s="252"/>
      <c r="ICL956" s="252"/>
      <c r="ICM956" s="252"/>
      <c r="ICN956" s="252"/>
      <c r="ICO956" s="252"/>
      <c r="ICP956" s="252"/>
      <c r="ICQ956" s="252"/>
      <c r="ICR956" s="252"/>
      <c r="ICS956" s="252"/>
      <c r="ICT956" s="252"/>
      <c r="ICU956" s="252"/>
      <c r="ICV956" s="252"/>
      <c r="ICW956" s="252"/>
      <c r="ICX956" s="252"/>
      <c r="ICY956" s="252"/>
      <c r="ICZ956" s="252"/>
      <c r="IDA956" s="252"/>
      <c r="IDB956" s="252"/>
      <c r="IDC956" s="252"/>
      <c r="IDD956" s="252"/>
      <c r="IDE956" s="252"/>
      <c r="IDF956" s="252"/>
      <c r="IDG956" s="252"/>
      <c r="IDH956" s="252"/>
      <c r="IDI956" s="252"/>
      <c r="IDJ956" s="252"/>
      <c r="IDK956" s="252"/>
      <c r="IDL956" s="252"/>
      <c r="IDM956" s="252"/>
      <c r="IDN956" s="252"/>
      <c r="IDO956" s="252"/>
      <c r="IDP956" s="252"/>
      <c r="IDQ956" s="252"/>
      <c r="IDR956" s="252"/>
      <c r="IDS956" s="252"/>
      <c r="IDT956" s="252"/>
      <c r="IDU956" s="252"/>
      <c r="IDV956" s="252"/>
      <c r="IDW956" s="252"/>
      <c r="IDX956" s="252"/>
      <c r="IDY956" s="252"/>
      <c r="IDZ956" s="252"/>
      <c r="IEA956" s="252"/>
      <c r="IEB956" s="252"/>
      <c r="IEC956" s="252"/>
      <c r="IED956" s="252"/>
      <c r="IEE956" s="252"/>
      <c r="IEF956" s="252"/>
      <c r="IEG956" s="252"/>
      <c r="IEH956" s="252"/>
      <c r="IEI956" s="252"/>
      <c r="IEJ956" s="252"/>
      <c r="IEK956" s="252"/>
      <c r="IEL956" s="252"/>
      <c r="IEM956" s="252"/>
      <c r="IEN956" s="252"/>
      <c r="IEO956" s="252"/>
      <c r="IEP956" s="252"/>
      <c r="IEQ956" s="252"/>
      <c r="IER956" s="252"/>
      <c r="IES956" s="252"/>
      <c r="IET956" s="252"/>
      <c r="IEU956" s="252"/>
      <c r="IEV956" s="252"/>
      <c r="IEW956" s="252"/>
      <c r="IEX956" s="252"/>
      <c r="IEY956" s="252"/>
      <c r="IEZ956" s="252"/>
      <c r="IFA956" s="252"/>
      <c r="IFB956" s="252"/>
      <c r="IFC956" s="252"/>
      <c r="IFD956" s="252"/>
      <c r="IFE956" s="252"/>
      <c r="IFF956" s="252"/>
      <c r="IFG956" s="252"/>
      <c r="IFH956" s="252"/>
      <c r="IFI956" s="252"/>
      <c r="IFJ956" s="252"/>
      <c r="IFK956" s="252"/>
      <c r="IFL956" s="252"/>
      <c r="IFM956" s="252"/>
      <c r="IFN956" s="252"/>
      <c r="IFO956" s="252"/>
      <c r="IFP956" s="252"/>
      <c r="IFQ956" s="252"/>
      <c r="IFR956" s="252"/>
      <c r="IFS956" s="252"/>
      <c r="IFT956" s="252"/>
      <c r="IFU956" s="252"/>
      <c r="IFV956" s="252"/>
      <c r="IFW956" s="252"/>
      <c r="IFX956" s="252"/>
      <c r="IFY956" s="252"/>
      <c r="IFZ956" s="252"/>
      <c r="IGA956" s="252"/>
      <c r="IGB956" s="252"/>
      <c r="IGC956" s="252"/>
      <c r="IGD956" s="252"/>
      <c r="IGE956" s="252"/>
      <c r="IGF956" s="252"/>
      <c r="IGG956" s="252"/>
      <c r="IGH956" s="252"/>
      <c r="IGI956" s="252"/>
      <c r="IGJ956" s="252"/>
      <c r="IGK956" s="252"/>
      <c r="IGL956" s="252"/>
      <c r="IGM956" s="252"/>
      <c r="IGN956" s="252"/>
      <c r="IGO956" s="252"/>
      <c r="IGP956" s="252"/>
      <c r="IGQ956" s="252"/>
      <c r="IGR956" s="252"/>
      <c r="IGS956" s="252"/>
      <c r="IGT956" s="252"/>
      <c r="IGU956" s="252"/>
      <c r="IGV956" s="252"/>
      <c r="IGW956" s="252"/>
      <c r="IGX956" s="252"/>
      <c r="IGY956" s="252"/>
      <c r="IGZ956" s="252"/>
      <c r="IHA956" s="252"/>
      <c r="IHB956" s="252"/>
      <c r="IHC956" s="252"/>
      <c r="IHD956" s="252"/>
      <c r="IHE956" s="252"/>
      <c r="IHF956" s="252"/>
      <c r="IHG956" s="252"/>
      <c r="IHH956" s="252"/>
      <c r="IHI956" s="252"/>
      <c r="IHJ956" s="252"/>
      <c r="IHK956" s="252"/>
      <c r="IHL956" s="252"/>
      <c r="IHM956" s="252"/>
      <c r="IHN956" s="252"/>
      <c r="IHO956" s="252"/>
      <c r="IHP956" s="252"/>
      <c r="IHQ956" s="252"/>
      <c r="IHR956" s="252"/>
      <c r="IHS956" s="252"/>
      <c r="IHT956" s="252"/>
      <c r="IHU956" s="252"/>
      <c r="IHV956" s="252"/>
      <c r="IHW956" s="252"/>
      <c r="IHX956" s="252"/>
      <c r="IHY956" s="252"/>
      <c r="IHZ956" s="252"/>
      <c r="IIA956" s="252"/>
      <c r="IIB956" s="252"/>
      <c r="IIC956" s="252"/>
      <c r="IID956" s="252"/>
      <c r="IIE956" s="252"/>
      <c r="IIF956" s="252"/>
      <c r="IIG956" s="252"/>
      <c r="IIH956" s="252"/>
      <c r="III956" s="252"/>
      <c r="IIJ956" s="252"/>
      <c r="IIK956" s="252"/>
      <c r="IIL956" s="252"/>
      <c r="IIM956" s="252"/>
      <c r="IIN956" s="252"/>
      <c r="IIO956" s="252"/>
      <c r="IIP956" s="252"/>
      <c r="IIQ956" s="252"/>
      <c r="IIR956" s="252"/>
      <c r="IIS956" s="252"/>
      <c r="IIT956" s="252"/>
      <c r="IIU956" s="252"/>
      <c r="IIV956" s="252"/>
      <c r="IIW956" s="252"/>
      <c r="IIX956" s="252"/>
      <c r="IIY956" s="252"/>
      <c r="IIZ956" s="252"/>
      <c r="IJA956" s="252"/>
      <c r="IJB956" s="252"/>
      <c r="IJC956" s="252"/>
      <c r="IJD956" s="252"/>
      <c r="IJE956" s="252"/>
      <c r="IJF956" s="252"/>
      <c r="IJG956" s="252"/>
      <c r="IJH956" s="252"/>
      <c r="IJI956" s="252"/>
      <c r="IJJ956" s="252"/>
      <c r="IJK956" s="252"/>
      <c r="IJL956" s="252"/>
      <c r="IJM956" s="252"/>
      <c r="IJN956" s="252"/>
      <c r="IJO956" s="252"/>
      <c r="IJP956" s="252"/>
      <c r="IJQ956" s="252"/>
      <c r="IJR956" s="252"/>
      <c r="IJS956" s="252"/>
      <c r="IJT956" s="252"/>
      <c r="IJU956" s="252"/>
      <c r="IJV956" s="252"/>
      <c r="IJW956" s="252"/>
      <c r="IJX956" s="252"/>
      <c r="IJY956" s="252"/>
      <c r="IJZ956" s="252"/>
      <c r="IKA956" s="252"/>
      <c r="IKB956" s="252"/>
      <c r="IKC956" s="252"/>
      <c r="IKD956" s="252"/>
      <c r="IKE956" s="252"/>
      <c r="IKF956" s="252"/>
      <c r="IKG956" s="252"/>
      <c r="IKH956" s="252"/>
      <c r="IKI956" s="252"/>
      <c r="IKJ956" s="252"/>
      <c r="IKK956" s="252"/>
      <c r="IKL956" s="252"/>
      <c r="IKM956" s="252"/>
      <c r="IKN956" s="252"/>
      <c r="IKO956" s="252"/>
      <c r="IKP956" s="252"/>
      <c r="IKQ956" s="252"/>
      <c r="IKR956" s="252"/>
      <c r="IKS956" s="252"/>
      <c r="IKT956" s="252"/>
      <c r="IKU956" s="252"/>
      <c r="IKV956" s="252"/>
      <c r="IKW956" s="252"/>
      <c r="IKX956" s="252"/>
      <c r="IKY956" s="252"/>
      <c r="IKZ956" s="252"/>
      <c r="ILA956" s="252"/>
      <c r="ILB956" s="252"/>
      <c r="ILC956" s="252"/>
      <c r="ILD956" s="252"/>
      <c r="ILE956" s="252"/>
      <c r="ILF956" s="252"/>
      <c r="ILG956" s="252"/>
      <c r="ILH956" s="252"/>
      <c r="ILI956" s="252"/>
      <c r="ILJ956" s="252"/>
      <c r="ILK956" s="252"/>
      <c r="ILL956" s="252"/>
      <c r="ILM956" s="252"/>
      <c r="ILN956" s="252"/>
      <c r="ILO956" s="252"/>
      <c r="ILP956" s="252"/>
      <c r="ILQ956" s="252"/>
      <c r="ILR956" s="252"/>
      <c r="ILS956" s="252"/>
      <c r="ILT956" s="252"/>
      <c r="ILU956" s="252"/>
      <c r="ILV956" s="252"/>
      <c r="ILW956" s="252"/>
      <c r="ILX956" s="252"/>
      <c r="ILY956" s="252"/>
      <c r="ILZ956" s="252"/>
      <c r="IMA956" s="252"/>
      <c r="IMB956" s="252"/>
      <c r="IMC956" s="252"/>
      <c r="IMD956" s="252"/>
      <c r="IME956" s="252"/>
      <c r="IMF956" s="252"/>
      <c r="IMG956" s="252"/>
      <c r="IMH956" s="252"/>
      <c r="IMI956" s="252"/>
      <c r="IMJ956" s="252"/>
      <c r="IMK956" s="252"/>
      <c r="IML956" s="252"/>
      <c r="IMM956" s="252"/>
      <c r="IMN956" s="252"/>
      <c r="IMO956" s="252"/>
      <c r="IMP956" s="252"/>
      <c r="IMQ956" s="252"/>
      <c r="IMR956" s="252"/>
      <c r="IMS956" s="252"/>
      <c r="IMT956" s="252"/>
      <c r="IMU956" s="252"/>
      <c r="IMV956" s="252"/>
      <c r="IMW956" s="252"/>
      <c r="IMX956" s="252"/>
      <c r="IMY956" s="252"/>
      <c r="IMZ956" s="252"/>
      <c r="INA956" s="252"/>
      <c r="INB956" s="252"/>
      <c r="INC956" s="252"/>
      <c r="IND956" s="252"/>
      <c r="INE956" s="252"/>
      <c r="INF956" s="252"/>
      <c r="ING956" s="252"/>
      <c r="INH956" s="252"/>
      <c r="INI956" s="252"/>
      <c r="INJ956" s="252"/>
      <c r="INK956" s="252"/>
      <c r="INL956" s="252"/>
      <c r="INM956" s="252"/>
      <c r="INN956" s="252"/>
      <c r="INO956" s="252"/>
      <c r="INP956" s="252"/>
      <c r="INQ956" s="252"/>
      <c r="INR956" s="252"/>
      <c r="INS956" s="252"/>
      <c r="INT956" s="252"/>
      <c r="INU956" s="252"/>
      <c r="INV956" s="252"/>
      <c r="INW956" s="252"/>
      <c r="INX956" s="252"/>
      <c r="INY956" s="252"/>
      <c r="INZ956" s="252"/>
      <c r="IOA956" s="252"/>
      <c r="IOB956" s="252"/>
      <c r="IOC956" s="252"/>
      <c r="IOD956" s="252"/>
      <c r="IOE956" s="252"/>
      <c r="IOF956" s="252"/>
      <c r="IOG956" s="252"/>
      <c r="IOH956" s="252"/>
      <c r="IOI956" s="252"/>
      <c r="IOJ956" s="252"/>
      <c r="IOK956" s="252"/>
      <c r="IOL956" s="252"/>
      <c r="IOM956" s="252"/>
      <c r="ION956" s="252"/>
      <c r="IOO956" s="252"/>
      <c r="IOP956" s="252"/>
      <c r="IOQ956" s="252"/>
      <c r="IOR956" s="252"/>
      <c r="IOS956" s="252"/>
      <c r="IOT956" s="252"/>
      <c r="IOU956" s="252"/>
      <c r="IOV956" s="252"/>
      <c r="IOW956" s="252"/>
      <c r="IOX956" s="252"/>
      <c r="IOY956" s="252"/>
      <c r="IOZ956" s="252"/>
      <c r="IPA956" s="252"/>
      <c r="IPB956" s="252"/>
      <c r="IPC956" s="252"/>
      <c r="IPD956" s="252"/>
      <c r="IPE956" s="252"/>
      <c r="IPF956" s="252"/>
      <c r="IPG956" s="252"/>
      <c r="IPH956" s="252"/>
      <c r="IPI956" s="252"/>
      <c r="IPJ956" s="252"/>
      <c r="IPK956" s="252"/>
      <c r="IPL956" s="252"/>
      <c r="IPM956" s="252"/>
      <c r="IPN956" s="252"/>
      <c r="IPO956" s="252"/>
      <c r="IPP956" s="252"/>
      <c r="IPQ956" s="252"/>
      <c r="IPR956" s="252"/>
      <c r="IPS956" s="252"/>
      <c r="IPT956" s="252"/>
      <c r="IPU956" s="252"/>
      <c r="IPV956" s="252"/>
      <c r="IPW956" s="252"/>
      <c r="IPX956" s="252"/>
      <c r="IPY956" s="252"/>
      <c r="IPZ956" s="252"/>
      <c r="IQA956" s="252"/>
      <c r="IQB956" s="252"/>
      <c r="IQC956" s="252"/>
      <c r="IQD956" s="252"/>
      <c r="IQE956" s="252"/>
      <c r="IQF956" s="252"/>
      <c r="IQG956" s="252"/>
      <c r="IQH956" s="252"/>
      <c r="IQI956" s="252"/>
      <c r="IQJ956" s="252"/>
      <c r="IQK956" s="252"/>
      <c r="IQL956" s="252"/>
      <c r="IQM956" s="252"/>
      <c r="IQN956" s="252"/>
      <c r="IQO956" s="252"/>
      <c r="IQP956" s="252"/>
      <c r="IQQ956" s="252"/>
      <c r="IQR956" s="252"/>
      <c r="IQS956" s="252"/>
      <c r="IQT956" s="252"/>
      <c r="IQU956" s="252"/>
      <c r="IQV956" s="252"/>
      <c r="IQW956" s="252"/>
      <c r="IQX956" s="252"/>
      <c r="IQY956" s="252"/>
      <c r="IQZ956" s="252"/>
      <c r="IRA956" s="252"/>
      <c r="IRB956" s="252"/>
      <c r="IRC956" s="252"/>
      <c r="IRD956" s="252"/>
      <c r="IRE956" s="252"/>
      <c r="IRF956" s="252"/>
      <c r="IRG956" s="252"/>
      <c r="IRH956" s="252"/>
      <c r="IRI956" s="252"/>
      <c r="IRJ956" s="252"/>
      <c r="IRK956" s="252"/>
      <c r="IRL956" s="252"/>
      <c r="IRM956" s="252"/>
      <c r="IRN956" s="252"/>
      <c r="IRO956" s="252"/>
      <c r="IRP956" s="252"/>
      <c r="IRQ956" s="252"/>
      <c r="IRR956" s="252"/>
      <c r="IRS956" s="252"/>
      <c r="IRT956" s="252"/>
      <c r="IRU956" s="252"/>
      <c r="IRV956" s="252"/>
      <c r="IRW956" s="252"/>
      <c r="IRX956" s="252"/>
      <c r="IRY956" s="252"/>
      <c r="IRZ956" s="252"/>
      <c r="ISA956" s="252"/>
      <c r="ISB956" s="252"/>
      <c r="ISC956" s="252"/>
      <c r="ISD956" s="252"/>
      <c r="ISE956" s="252"/>
      <c r="ISF956" s="252"/>
      <c r="ISG956" s="252"/>
      <c r="ISH956" s="252"/>
      <c r="ISI956" s="252"/>
      <c r="ISJ956" s="252"/>
      <c r="ISK956" s="252"/>
      <c r="ISL956" s="252"/>
      <c r="ISM956" s="252"/>
      <c r="ISN956" s="252"/>
      <c r="ISO956" s="252"/>
      <c r="ISP956" s="252"/>
      <c r="ISQ956" s="252"/>
      <c r="ISR956" s="252"/>
      <c r="ISS956" s="252"/>
      <c r="IST956" s="252"/>
      <c r="ISU956" s="252"/>
      <c r="ISV956" s="252"/>
      <c r="ISW956" s="252"/>
      <c r="ISX956" s="252"/>
      <c r="ISY956" s="252"/>
      <c r="ISZ956" s="252"/>
      <c r="ITA956" s="252"/>
      <c r="ITB956" s="252"/>
      <c r="ITC956" s="252"/>
      <c r="ITD956" s="252"/>
      <c r="ITE956" s="252"/>
      <c r="ITF956" s="252"/>
      <c r="ITG956" s="252"/>
      <c r="ITH956" s="252"/>
      <c r="ITI956" s="252"/>
      <c r="ITJ956" s="252"/>
      <c r="ITK956" s="252"/>
      <c r="ITL956" s="252"/>
      <c r="ITM956" s="252"/>
      <c r="ITN956" s="252"/>
      <c r="ITO956" s="252"/>
      <c r="ITP956" s="252"/>
      <c r="ITQ956" s="252"/>
      <c r="ITR956" s="252"/>
      <c r="ITS956" s="252"/>
      <c r="ITT956" s="252"/>
      <c r="ITU956" s="252"/>
      <c r="ITV956" s="252"/>
      <c r="ITW956" s="252"/>
      <c r="ITX956" s="252"/>
      <c r="ITY956" s="252"/>
      <c r="ITZ956" s="252"/>
      <c r="IUA956" s="252"/>
      <c r="IUB956" s="252"/>
      <c r="IUC956" s="252"/>
      <c r="IUD956" s="252"/>
      <c r="IUE956" s="252"/>
      <c r="IUF956" s="252"/>
      <c r="IUG956" s="252"/>
      <c r="IUH956" s="252"/>
      <c r="IUI956" s="252"/>
      <c r="IUJ956" s="252"/>
      <c r="IUK956" s="252"/>
      <c r="IUL956" s="252"/>
      <c r="IUM956" s="252"/>
      <c r="IUN956" s="252"/>
      <c r="IUO956" s="252"/>
      <c r="IUP956" s="252"/>
      <c r="IUQ956" s="252"/>
      <c r="IUR956" s="252"/>
      <c r="IUS956" s="252"/>
      <c r="IUT956" s="252"/>
      <c r="IUU956" s="252"/>
      <c r="IUV956" s="252"/>
      <c r="IUW956" s="252"/>
      <c r="IUX956" s="252"/>
      <c r="IUY956" s="252"/>
      <c r="IUZ956" s="252"/>
      <c r="IVA956" s="252"/>
      <c r="IVB956" s="252"/>
      <c r="IVC956" s="252"/>
      <c r="IVD956" s="252"/>
      <c r="IVE956" s="252"/>
      <c r="IVF956" s="252"/>
      <c r="IVG956" s="252"/>
      <c r="IVH956" s="252"/>
      <c r="IVI956" s="252"/>
      <c r="IVJ956" s="252"/>
      <c r="IVK956" s="252"/>
      <c r="IVL956" s="252"/>
      <c r="IVM956" s="252"/>
      <c r="IVN956" s="252"/>
      <c r="IVO956" s="252"/>
      <c r="IVP956" s="252"/>
      <c r="IVQ956" s="252"/>
      <c r="IVR956" s="252"/>
      <c r="IVS956" s="252"/>
      <c r="IVT956" s="252"/>
      <c r="IVU956" s="252"/>
      <c r="IVV956" s="252"/>
      <c r="IVW956" s="252"/>
      <c r="IVX956" s="252"/>
      <c r="IVY956" s="252"/>
      <c r="IVZ956" s="252"/>
      <c r="IWA956" s="252"/>
      <c r="IWB956" s="252"/>
      <c r="IWC956" s="252"/>
      <c r="IWD956" s="252"/>
      <c r="IWE956" s="252"/>
      <c r="IWF956" s="252"/>
      <c r="IWG956" s="252"/>
      <c r="IWH956" s="252"/>
      <c r="IWI956" s="252"/>
      <c r="IWJ956" s="252"/>
      <c r="IWK956" s="252"/>
      <c r="IWL956" s="252"/>
      <c r="IWM956" s="252"/>
      <c r="IWN956" s="252"/>
      <c r="IWO956" s="252"/>
      <c r="IWP956" s="252"/>
      <c r="IWQ956" s="252"/>
      <c r="IWR956" s="252"/>
      <c r="IWS956" s="252"/>
      <c r="IWT956" s="252"/>
      <c r="IWU956" s="252"/>
      <c r="IWV956" s="252"/>
      <c r="IWW956" s="252"/>
      <c r="IWX956" s="252"/>
      <c r="IWY956" s="252"/>
      <c r="IWZ956" s="252"/>
      <c r="IXA956" s="252"/>
      <c r="IXB956" s="252"/>
      <c r="IXC956" s="252"/>
      <c r="IXD956" s="252"/>
      <c r="IXE956" s="252"/>
      <c r="IXF956" s="252"/>
      <c r="IXG956" s="252"/>
      <c r="IXH956" s="252"/>
      <c r="IXI956" s="252"/>
      <c r="IXJ956" s="252"/>
      <c r="IXK956" s="252"/>
      <c r="IXL956" s="252"/>
      <c r="IXM956" s="252"/>
      <c r="IXN956" s="252"/>
      <c r="IXO956" s="252"/>
      <c r="IXP956" s="252"/>
      <c r="IXQ956" s="252"/>
      <c r="IXR956" s="252"/>
      <c r="IXS956" s="252"/>
      <c r="IXT956" s="252"/>
      <c r="IXU956" s="252"/>
      <c r="IXV956" s="252"/>
      <c r="IXW956" s="252"/>
      <c r="IXX956" s="252"/>
      <c r="IXY956" s="252"/>
      <c r="IXZ956" s="252"/>
      <c r="IYA956" s="252"/>
      <c r="IYB956" s="252"/>
      <c r="IYC956" s="252"/>
      <c r="IYD956" s="252"/>
      <c r="IYE956" s="252"/>
      <c r="IYF956" s="252"/>
      <c r="IYG956" s="252"/>
      <c r="IYH956" s="252"/>
      <c r="IYI956" s="252"/>
      <c r="IYJ956" s="252"/>
      <c r="IYK956" s="252"/>
      <c r="IYL956" s="252"/>
      <c r="IYM956" s="252"/>
      <c r="IYN956" s="252"/>
      <c r="IYO956" s="252"/>
      <c r="IYP956" s="252"/>
      <c r="IYQ956" s="252"/>
      <c r="IYR956" s="252"/>
      <c r="IYS956" s="252"/>
      <c r="IYT956" s="252"/>
      <c r="IYU956" s="252"/>
      <c r="IYV956" s="252"/>
      <c r="IYW956" s="252"/>
      <c r="IYX956" s="252"/>
      <c r="IYY956" s="252"/>
      <c r="IYZ956" s="252"/>
      <c r="IZA956" s="252"/>
      <c r="IZB956" s="252"/>
      <c r="IZC956" s="252"/>
      <c r="IZD956" s="252"/>
      <c r="IZE956" s="252"/>
      <c r="IZF956" s="252"/>
      <c r="IZG956" s="252"/>
      <c r="IZH956" s="252"/>
      <c r="IZI956" s="252"/>
      <c r="IZJ956" s="252"/>
      <c r="IZK956" s="252"/>
      <c r="IZL956" s="252"/>
      <c r="IZM956" s="252"/>
      <c r="IZN956" s="252"/>
      <c r="IZO956" s="252"/>
      <c r="IZP956" s="252"/>
      <c r="IZQ956" s="252"/>
      <c r="IZR956" s="252"/>
      <c r="IZS956" s="252"/>
      <c r="IZT956" s="252"/>
      <c r="IZU956" s="252"/>
      <c r="IZV956" s="252"/>
      <c r="IZW956" s="252"/>
      <c r="IZX956" s="252"/>
      <c r="IZY956" s="252"/>
      <c r="IZZ956" s="252"/>
      <c r="JAA956" s="252"/>
      <c r="JAB956" s="252"/>
      <c r="JAC956" s="252"/>
      <c r="JAD956" s="252"/>
      <c r="JAE956" s="252"/>
      <c r="JAF956" s="252"/>
      <c r="JAG956" s="252"/>
      <c r="JAH956" s="252"/>
      <c r="JAI956" s="252"/>
      <c r="JAJ956" s="252"/>
      <c r="JAK956" s="252"/>
      <c r="JAL956" s="252"/>
      <c r="JAM956" s="252"/>
      <c r="JAN956" s="252"/>
      <c r="JAO956" s="252"/>
      <c r="JAP956" s="252"/>
      <c r="JAQ956" s="252"/>
      <c r="JAR956" s="252"/>
      <c r="JAS956" s="252"/>
      <c r="JAT956" s="252"/>
      <c r="JAU956" s="252"/>
      <c r="JAV956" s="252"/>
      <c r="JAW956" s="252"/>
      <c r="JAX956" s="252"/>
      <c r="JAY956" s="252"/>
      <c r="JAZ956" s="252"/>
      <c r="JBA956" s="252"/>
      <c r="JBB956" s="252"/>
      <c r="JBC956" s="252"/>
      <c r="JBD956" s="252"/>
      <c r="JBE956" s="252"/>
      <c r="JBF956" s="252"/>
      <c r="JBG956" s="252"/>
      <c r="JBH956" s="252"/>
      <c r="JBI956" s="252"/>
      <c r="JBJ956" s="252"/>
      <c r="JBK956" s="252"/>
      <c r="JBL956" s="252"/>
      <c r="JBM956" s="252"/>
      <c r="JBN956" s="252"/>
      <c r="JBO956" s="252"/>
      <c r="JBP956" s="252"/>
      <c r="JBQ956" s="252"/>
      <c r="JBR956" s="252"/>
      <c r="JBS956" s="252"/>
      <c r="JBT956" s="252"/>
      <c r="JBU956" s="252"/>
      <c r="JBV956" s="252"/>
      <c r="JBW956" s="252"/>
      <c r="JBX956" s="252"/>
      <c r="JBY956" s="252"/>
      <c r="JBZ956" s="252"/>
      <c r="JCA956" s="252"/>
      <c r="JCB956" s="252"/>
      <c r="JCC956" s="252"/>
      <c r="JCD956" s="252"/>
      <c r="JCE956" s="252"/>
      <c r="JCF956" s="252"/>
      <c r="JCG956" s="252"/>
      <c r="JCH956" s="252"/>
      <c r="JCI956" s="252"/>
      <c r="JCJ956" s="252"/>
      <c r="JCK956" s="252"/>
      <c r="JCL956" s="252"/>
      <c r="JCM956" s="252"/>
      <c r="JCN956" s="252"/>
      <c r="JCO956" s="252"/>
      <c r="JCP956" s="252"/>
      <c r="JCQ956" s="252"/>
      <c r="JCR956" s="252"/>
      <c r="JCS956" s="252"/>
      <c r="JCT956" s="252"/>
      <c r="JCU956" s="252"/>
      <c r="JCV956" s="252"/>
      <c r="JCW956" s="252"/>
      <c r="JCX956" s="252"/>
      <c r="JCY956" s="252"/>
      <c r="JCZ956" s="252"/>
      <c r="JDA956" s="252"/>
      <c r="JDB956" s="252"/>
      <c r="JDC956" s="252"/>
      <c r="JDD956" s="252"/>
      <c r="JDE956" s="252"/>
      <c r="JDF956" s="252"/>
      <c r="JDG956" s="252"/>
      <c r="JDH956" s="252"/>
      <c r="JDI956" s="252"/>
      <c r="JDJ956" s="252"/>
      <c r="JDK956" s="252"/>
      <c r="JDL956" s="252"/>
      <c r="JDM956" s="252"/>
      <c r="JDN956" s="252"/>
      <c r="JDO956" s="252"/>
      <c r="JDP956" s="252"/>
      <c r="JDQ956" s="252"/>
      <c r="JDR956" s="252"/>
      <c r="JDS956" s="252"/>
      <c r="JDT956" s="252"/>
      <c r="JDU956" s="252"/>
      <c r="JDV956" s="252"/>
      <c r="JDW956" s="252"/>
      <c r="JDX956" s="252"/>
      <c r="JDY956" s="252"/>
      <c r="JDZ956" s="252"/>
      <c r="JEA956" s="252"/>
      <c r="JEB956" s="252"/>
      <c r="JEC956" s="252"/>
      <c r="JED956" s="252"/>
      <c r="JEE956" s="252"/>
      <c r="JEF956" s="252"/>
      <c r="JEG956" s="252"/>
      <c r="JEH956" s="252"/>
      <c r="JEI956" s="252"/>
      <c r="JEJ956" s="252"/>
      <c r="JEK956" s="252"/>
      <c r="JEL956" s="252"/>
      <c r="JEM956" s="252"/>
      <c r="JEN956" s="252"/>
      <c r="JEO956" s="252"/>
      <c r="JEP956" s="252"/>
      <c r="JEQ956" s="252"/>
      <c r="JER956" s="252"/>
      <c r="JES956" s="252"/>
      <c r="JET956" s="252"/>
      <c r="JEU956" s="252"/>
      <c r="JEV956" s="252"/>
      <c r="JEW956" s="252"/>
      <c r="JEX956" s="252"/>
      <c r="JEY956" s="252"/>
      <c r="JEZ956" s="252"/>
      <c r="JFA956" s="252"/>
      <c r="JFB956" s="252"/>
      <c r="JFC956" s="252"/>
      <c r="JFD956" s="252"/>
      <c r="JFE956" s="252"/>
      <c r="JFF956" s="252"/>
      <c r="JFG956" s="252"/>
      <c r="JFH956" s="252"/>
      <c r="JFI956" s="252"/>
      <c r="JFJ956" s="252"/>
      <c r="JFK956" s="252"/>
      <c r="JFL956" s="252"/>
      <c r="JFM956" s="252"/>
      <c r="JFN956" s="252"/>
      <c r="JFO956" s="252"/>
      <c r="JFP956" s="252"/>
      <c r="JFQ956" s="252"/>
      <c r="JFR956" s="252"/>
      <c r="JFS956" s="252"/>
      <c r="JFT956" s="252"/>
      <c r="JFU956" s="252"/>
      <c r="JFV956" s="252"/>
      <c r="JFW956" s="252"/>
      <c r="JFX956" s="252"/>
      <c r="JFY956" s="252"/>
      <c r="JFZ956" s="252"/>
      <c r="JGA956" s="252"/>
      <c r="JGB956" s="252"/>
      <c r="JGC956" s="252"/>
      <c r="JGD956" s="252"/>
      <c r="JGE956" s="252"/>
      <c r="JGF956" s="252"/>
      <c r="JGG956" s="252"/>
      <c r="JGH956" s="252"/>
      <c r="JGI956" s="252"/>
      <c r="JGJ956" s="252"/>
      <c r="JGK956" s="252"/>
      <c r="JGL956" s="252"/>
      <c r="JGM956" s="252"/>
      <c r="JGN956" s="252"/>
      <c r="JGO956" s="252"/>
      <c r="JGP956" s="252"/>
      <c r="JGQ956" s="252"/>
      <c r="JGR956" s="252"/>
      <c r="JGS956" s="252"/>
      <c r="JGT956" s="252"/>
      <c r="JGU956" s="252"/>
      <c r="JGV956" s="252"/>
      <c r="JGW956" s="252"/>
      <c r="JGX956" s="252"/>
      <c r="JGY956" s="252"/>
      <c r="JGZ956" s="252"/>
      <c r="JHA956" s="252"/>
      <c r="JHB956" s="252"/>
      <c r="JHC956" s="252"/>
      <c r="JHD956" s="252"/>
      <c r="JHE956" s="252"/>
      <c r="JHF956" s="252"/>
      <c r="JHG956" s="252"/>
      <c r="JHH956" s="252"/>
      <c r="JHI956" s="252"/>
      <c r="JHJ956" s="252"/>
      <c r="JHK956" s="252"/>
      <c r="JHL956" s="252"/>
      <c r="JHM956" s="252"/>
      <c r="JHN956" s="252"/>
      <c r="JHO956" s="252"/>
      <c r="JHP956" s="252"/>
      <c r="JHQ956" s="252"/>
      <c r="JHR956" s="252"/>
      <c r="JHS956" s="252"/>
      <c r="JHT956" s="252"/>
      <c r="JHU956" s="252"/>
      <c r="JHV956" s="252"/>
      <c r="JHW956" s="252"/>
      <c r="JHX956" s="252"/>
      <c r="JHY956" s="252"/>
      <c r="JHZ956" s="252"/>
      <c r="JIA956" s="252"/>
      <c r="JIB956" s="252"/>
      <c r="JIC956" s="252"/>
      <c r="JID956" s="252"/>
      <c r="JIE956" s="252"/>
      <c r="JIF956" s="252"/>
      <c r="JIG956" s="252"/>
      <c r="JIH956" s="252"/>
      <c r="JII956" s="252"/>
      <c r="JIJ956" s="252"/>
      <c r="JIK956" s="252"/>
      <c r="JIL956" s="252"/>
      <c r="JIM956" s="252"/>
      <c r="JIN956" s="252"/>
      <c r="JIO956" s="252"/>
      <c r="JIP956" s="252"/>
      <c r="JIQ956" s="252"/>
      <c r="JIR956" s="252"/>
      <c r="JIS956" s="252"/>
      <c r="JIT956" s="252"/>
      <c r="JIU956" s="252"/>
      <c r="JIV956" s="252"/>
      <c r="JIW956" s="252"/>
      <c r="JIX956" s="252"/>
      <c r="JIY956" s="252"/>
      <c r="JIZ956" s="252"/>
      <c r="JJA956" s="252"/>
      <c r="JJB956" s="252"/>
      <c r="JJC956" s="252"/>
      <c r="JJD956" s="252"/>
      <c r="JJE956" s="252"/>
      <c r="JJF956" s="252"/>
      <c r="JJG956" s="252"/>
      <c r="JJH956" s="252"/>
      <c r="JJI956" s="252"/>
      <c r="JJJ956" s="252"/>
      <c r="JJK956" s="252"/>
      <c r="JJL956" s="252"/>
      <c r="JJM956" s="252"/>
      <c r="JJN956" s="252"/>
      <c r="JJO956" s="252"/>
      <c r="JJP956" s="252"/>
      <c r="JJQ956" s="252"/>
      <c r="JJR956" s="252"/>
      <c r="JJS956" s="252"/>
      <c r="JJT956" s="252"/>
      <c r="JJU956" s="252"/>
      <c r="JJV956" s="252"/>
      <c r="JJW956" s="252"/>
      <c r="JJX956" s="252"/>
      <c r="JJY956" s="252"/>
      <c r="JJZ956" s="252"/>
      <c r="JKA956" s="252"/>
      <c r="JKB956" s="252"/>
      <c r="JKC956" s="252"/>
      <c r="JKD956" s="252"/>
      <c r="JKE956" s="252"/>
      <c r="JKF956" s="252"/>
      <c r="JKG956" s="252"/>
      <c r="JKH956" s="252"/>
      <c r="JKI956" s="252"/>
      <c r="JKJ956" s="252"/>
      <c r="JKK956" s="252"/>
      <c r="JKL956" s="252"/>
      <c r="JKM956" s="252"/>
      <c r="JKN956" s="252"/>
      <c r="JKO956" s="252"/>
      <c r="JKP956" s="252"/>
      <c r="JKQ956" s="252"/>
      <c r="JKR956" s="252"/>
      <c r="JKS956" s="252"/>
      <c r="JKT956" s="252"/>
      <c r="JKU956" s="252"/>
      <c r="JKV956" s="252"/>
      <c r="JKW956" s="252"/>
      <c r="JKX956" s="252"/>
      <c r="JKY956" s="252"/>
      <c r="JKZ956" s="252"/>
      <c r="JLA956" s="252"/>
      <c r="JLB956" s="252"/>
      <c r="JLC956" s="252"/>
      <c r="JLD956" s="252"/>
      <c r="JLE956" s="252"/>
      <c r="JLF956" s="252"/>
      <c r="JLG956" s="252"/>
      <c r="JLH956" s="252"/>
      <c r="JLI956" s="252"/>
      <c r="JLJ956" s="252"/>
      <c r="JLK956" s="252"/>
      <c r="JLL956" s="252"/>
      <c r="JLM956" s="252"/>
      <c r="JLN956" s="252"/>
      <c r="JLO956" s="252"/>
      <c r="JLP956" s="252"/>
      <c r="JLQ956" s="252"/>
      <c r="JLR956" s="252"/>
      <c r="JLS956" s="252"/>
      <c r="JLT956" s="252"/>
      <c r="JLU956" s="252"/>
      <c r="JLV956" s="252"/>
      <c r="JLW956" s="252"/>
      <c r="JLX956" s="252"/>
      <c r="JLY956" s="252"/>
      <c r="JLZ956" s="252"/>
      <c r="JMA956" s="252"/>
      <c r="JMB956" s="252"/>
      <c r="JMC956" s="252"/>
      <c r="JMD956" s="252"/>
      <c r="JME956" s="252"/>
      <c r="JMF956" s="252"/>
      <c r="JMG956" s="252"/>
      <c r="JMH956" s="252"/>
      <c r="JMI956" s="252"/>
      <c r="JMJ956" s="252"/>
      <c r="JMK956" s="252"/>
      <c r="JML956" s="252"/>
      <c r="JMM956" s="252"/>
      <c r="JMN956" s="252"/>
      <c r="JMO956" s="252"/>
      <c r="JMP956" s="252"/>
      <c r="JMQ956" s="252"/>
      <c r="JMR956" s="252"/>
      <c r="JMS956" s="252"/>
      <c r="JMT956" s="252"/>
      <c r="JMU956" s="252"/>
      <c r="JMV956" s="252"/>
      <c r="JMW956" s="252"/>
      <c r="JMX956" s="252"/>
      <c r="JMY956" s="252"/>
      <c r="JMZ956" s="252"/>
      <c r="JNA956" s="252"/>
      <c r="JNB956" s="252"/>
      <c r="JNC956" s="252"/>
      <c r="JND956" s="252"/>
      <c r="JNE956" s="252"/>
      <c r="JNF956" s="252"/>
      <c r="JNG956" s="252"/>
      <c r="JNH956" s="252"/>
      <c r="JNI956" s="252"/>
      <c r="JNJ956" s="252"/>
      <c r="JNK956" s="252"/>
      <c r="JNL956" s="252"/>
      <c r="JNM956" s="252"/>
      <c r="JNN956" s="252"/>
      <c r="JNO956" s="252"/>
      <c r="JNP956" s="252"/>
      <c r="JNQ956" s="252"/>
      <c r="JNR956" s="252"/>
      <c r="JNS956" s="252"/>
      <c r="JNT956" s="252"/>
      <c r="JNU956" s="252"/>
      <c r="JNV956" s="252"/>
      <c r="JNW956" s="252"/>
      <c r="JNX956" s="252"/>
      <c r="JNY956" s="252"/>
      <c r="JNZ956" s="252"/>
      <c r="JOA956" s="252"/>
      <c r="JOB956" s="252"/>
      <c r="JOC956" s="252"/>
      <c r="JOD956" s="252"/>
      <c r="JOE956" s="252"/>
      <c r="JOF956" s="252"/>
      <c r="JOG956" s="252"/>
      <c r="JOH956" s="252"/>
      <c r="JOI956" s="252"/>
      <c r="JOJ956" s="252"/>
      <c r="JOK956" s="252"/>
      <c r="JOL956" s="252"/>
      <c r="JOM956" s="252"/>
      <c r="JON956" s="252"/>
      <c r="JOO956" s="252"/>
      <c r="JOP956" s="252"/>
      <c r="JOQ956" s="252"/>
      <c r="JOR956" s="252"/>
      <c r="JOS956" s="252"/>
      <c r="JOT956" s="252"/>
      <c r="JOU956" s="252"/>
      <c r="JOV956" s="252"/>
      <c r="JOW956" s="252"/>
      <c r="JOX956" s="252"/>
      <c r="JOY956" s="252"/>
      <c r="JOZ956" s="252"/>
      <c r="JPA956" s="252"/>
      <c r="JPB956" s="252"/>
      <c r="JPC956" s="252"/>
      <c r="JPD956" s="252"/>
      <c r="JPE956" s="252"/>
      <c r="JPF956" s="252"/>
      <c r="JPG956" s="252"/>
      <c r="JPH956" s="252"/>
      <c r="JPI956" s="252"/>
      <c r="JPJ956" s="252"/>
      <c r="JPK956" s="252"/>
      <c r="JPL956" s="252"/>
      <c r="JPM956" s="252"/>
      <c r="JPN956" s="252"/>
      <c r="JPO956" s="252"/>
      <c r="JPP956" s="252"/>
      <c r="JPQ956" s="252"/>
      <c r="JPR956" s="252"/>
      <c r="JPS956" s="252"/>
      <c r="JPT956" s="252"/>
      <c r="JPU956" s="252"/>
      <c r="JPV956" s="252"/>
      <c r="JPW956" s="252"/>
      <c r="JPX956" s="252"/>
      <c r="JPY956" s="252"/>
      <c r="JPZ956" s="252"/>
      <c r="JQA956" s="252"/>
      <c r="JQB956" s="252"/>
      <c r="JQC956" s="252"/>
      <c r="JQD956" s="252"/>
      <c r="JQE956" s="252"/>
      <c r="JQF956" s="252"/>
      <c r="JQG956" s="252"/>
      <c r="JQH956" s="252"/>
      <c r="JQI956" s="252"/>
      <c r="JQJ956" s="252"/>
      <c r="JQK956" s="252"/>
      <c r="JQL956" s="252"/>
      <c r="JQM956" s="252"/>
      <c r="JQN956" s="252"/>
      <c r="JQO956" s="252"/>
      <c r="JQP956" s="252"/>
      <c r="JQQ956" s="252"/>
      <c r="JQR956" s="252"/>
      <c r="JQS956" s="252"/>
      <c r="JQT956" s="252"/>
      <c r="JQU956" s="252"/>
      <c r="JQV956" s="252"/>
      <c r="JQW956" s="252"/>
      <c r="JQX956" s="252"/>
      <c r="JQY956" s="252"/>
      <c r="JQZ956" s="252"/>
      <c r="JRA956" s="252"/>
      <c r="JRB956" s="252"/>
      <c r="JRC956" s="252"/>
      <c r="JRD956" s="252"/>
      <c r="JRE956" s="252"/>
      <c r="JRF956" s="252"/>
      <c r="JRG956" s="252"/>
      <c r="JRH956" s="252"/>
      <c r="JRI956" s="252"/>
      <c r="JRJ956" s="252"/>
      <c r="JRK956" s="252"/>
      <c r="JRL956" s="252"/>
      <c r="JRM956" s="252"/>
      <c r="JRN956" s="252"/>
      <c r="JRO956" s="252"/>
      <c r="JRP956" s="252"/>
      <c r="JRQ956" s="252"/>
      <c r="JRR956" s="252"/>
      <c r="JRS956" s="252"/>
      <c r="JRT956" s="252"/>
      <c r="JRU956" s="252"/>
      <c r="JRV956" s="252"/>
      <c r="JRW956" s="252"/>
      <c r="JRX956" s="252"/>
      <c r="JRY956" s="252"/>
      <c r="JRZ956" s="252"/>
      <c r="JSA956" s="252"/>
      <c r="JSB956" s="252"/>
      <c r="JSC956" s="252"/>
      <c r="JSD956" s="252"/>
      <c r="JSE956" s="252"/>
      <c r="JSF956" s="252"/>
      <c r="JSG956" s="252"/>
      <c r="JSH956" s="252"/>
      <c r="JSI956" s="252"/>
      <c r="JSJ956" s="252"/>
      <c r="JSK956" s="252"/>
      <c r="JSL956" s="252"/>
      <c r="JSM956" s="252"/>
      <c r="JSN956" s="252"/>
      <c r="JSO956" s="252"/>
      <c r="JSP956" s="252"/>
      <c r="JSQ956" s="252"/>
      <c r="JSR956" s="252"/>
      <c r="JSS956" s="252"/>
      <c r="JST956" s="252"/>
      <c r="JSU956" s="252"/>
      <c r="JSV956" s="252"/>
      <c r="JSW956" s="252"/>
      <c r="JSX956" s="252"/>
      <c r="JSY956" s="252"/>
      <c r="JSZ956" s="252"/>
      <c r="JTA956" s="252"/>
      <c r="JTB956" s="252"/>
      <c r="JTC956" s="252"/>
      <c r="JTD956" s="252"/>
      <c r="JTE956" s="252"/>
      <c r="JTF956" s="252"/>
      <c r="JTG956" s="252"/>
      <c r="JTH956" s="252"/>
      <c r="JTI956" s="252"/>
      <c r="JTJ956" s="252"/>
      <c r="JTK956" s="252"/>
      <c r="JTL956" s="252"/>
      <c r="JTM956" s="252"/>
      <c r="JTN956" s="252"/>
      <c r="JTO956" s="252"/>
      <c r="JTP956" s="252"/>
      <c r="JTQ956" s="252"/>
      <c r="JTR956" s="252"/>
      <c r="JTS956" s="252"/>
      <c r="JTT956" s="252"/>
      <c r="JTU956" s="252"/>
      <c r="JTV956" s="252"/>
      <c r="JTW956" s="252"/>
      <c r="JTX956" s="252"/>
      <c r="JTY956" s="252"/>
      <c r="JTZ956" s="252"/>
      <c r="JUA956" s="252"/>
      <c r="JUB956" s="252"/>
      <c r="JUC956" s="252"/>
      <c r="JUD956" s="252"/>
      <c r="JUE956" s="252"/>
      <c r="JUF956" s="252"/>
      <c r="JUG956" s="252"/>
      <c r="JUH956" s="252"/>
      <c r="JUI956" s="252"/>
      <c r="JUJ956" s="252"/>
      <c r="JUK956" s="252"/>
      <c r="JUL956" s="252"/>
      <c r="JUM956" s="252"/>
      <c r="JUN956" s="252"/>
      <c r="JUO956" s="252"/>
      <c r="JUP956" s="252"/>
      <c r="JUQ956" s="252"/>
      <c r="JUR956" s="252"/>
      <c r="JUS956" s="252"/>
      <c r="JUT956" s="252"/>
      <c r="JUU956" s="252"/>
      <c r="JUV956" s="252"/>
      <c r="JUW956" s="252"/>
      <c r="JUX956" s="252"/>
      <c r="JUY956" s="252"/>
      <c r="JUZ956" s="252"/>
      <c r="JVA956" s="252"/>
      <c r="JVB956" s="252"/>
      <c r="JVC956" s="252"/>
      <c r="JVD956" s="252"/>
      <c r="JVE956" s="252"/>
      <c r="JVF956" s="252"/>
      <c r="JVG956" s="252"/>
      <c r="JVH956" s="252"/>
      <c r="JVI956" s="252"/>
      <c r="JVJ956" s="252"/>
      <c r="JVK956" s="252"/>
      <c r="JVL956" s="252"/>
      <c r="JVM956" s="252"/>
      <c r="JVN956" s="252"/>
      <c r="JVO956" s="252"/>
      <c r="JVP956" s="252"/>
      <c r="JVQ956" s="252"/>
      <c r="JVR956" s="252"/>
      <c r="JVS956" s="252"/>
      <c r="JVT956" s="252"/>
      <c r="JVU956" s="252"/>
      <c r="JVV956" s="252"/>
      <c r="JVW956" s="252"/>
      <c r="JVX956" s="252"/>
      <c r="JVY956" s="252"/>
      <c r="JVZ956" s="252"/>
      <c r="JWA956" s="252"/>
      <c r="JWB956" s="252"/>
      <c r="JWC956" s="252"/>
      <c r="JWD956" s="252"/>
      <c r="JWE956" s="252"/>
      <c r="JWF956" s="252"/>
      <c r="JWG956" s="252"/>
      <c r="JWH956" s="252"/>
      <c r="JWI956" s="252"/>
      <c r="JWJ956" s="252"/>
      <c r="JWK956" s="252"/>
      <c r="JWL956" s="252"/>
      <c r="JWM956" s="252"/>
      <c r="JWN956" s="252"/>
      <c r="JWO956" s="252"/>
      <c r="JWP956" s="252"/>
      <c r="JWQ956" s="252"/>
      <c r="JWR956" s="252"/>
      <c r="JWS956" s="252"/>
      <c r="JWT956" s="252"/>
      <c r="JWU956" s="252"/>
      <c r="JWV956" s="252"/>
      <c r="JWW956" s="252"/>
      <c r="JWX956" s="252"/>
      <c r="JWY956" s="252"/>
      <c r="JWZ956" s="252"/>
      <c r="JXA956" s="252"/>
      <c r="JXB956" s="252"/>
      <c r="JXC956" s="252"/>
      <c r="JXD956" s="252"/>
      <c r="JXE956" s="252"/>
      <c r="JXF956" s="252"/>
      <c r="JXG956" s="252"/>
      <c r="JXH956" s="252"/>
      <c r="JXI956" s="252"/>
      <c r="JXJ956" s="252"/>
      <c r="JXK956" s="252"/>
      <c r="JXL956" s="252"/>
      <c r="JXM956" s="252"/>
      <c r="JXN956" s="252"/>
      <c r="JXO956" s="252"/>
      <c r="JXP956" s="252"/>
      <c r="JXQ956" s="252"/>
      <c r="JXR956" s="252"/>
      <c r="JXS956" s="252"/>
      <c r="JXT956" s="252"/>
      <c r="JXU956" s="252"/>
      <c r="JXV956" s="252"/>
      <c r="JXW956" s="252"/>
      <c r="JXX956" s="252"/>
      <c r="JXY956" s="252"/>
      <c r="JXZ956" s="252"/>
      <c r="JYA956" s="252"/>
      <c r="JYB956" s="252"/>
      <c r="JYC956" s="252"/>
      <c r="JYD956" s="252"/>
      <c r="JYE956" s="252"/>
      <c r="JYF956" s="252"/>
      <c r="JYG956" s="252"/>
      <c r="JYH956" s="252"/>
      <c r="JYI956" s="252"/>
      <c r="JYJ956" s="252"/>
      <c r="JYK956" s="252"/>
      <c r="JYL956" s="252"/>
      <c r="JYM956" s="252"/>
      <c r="JYN956" s="252"/>
      <c r="JYO956" s="252"/>
      <c r="JYP956" s="252"/>
      <c r="JYQ956" s="252"/>
      <c r="JYR956" s="252"/>
      <c r="JYS956" s="252"/>
      <c r="JYT956" s="252"/>
      <c r="JYU956" s="252"/>
      <c r="JYV956" s="252"/>
      <c r="JYW956" s="252"/>
      <c r="JYX956" s="252"/>
      <c r="JYY956" s="252"/>
      <c r="JYZ956" s="252"/>
      <c r="JZA956" s="252"/>
      <c r="JZB956" s="252"/>
      <c r="JZC956" s="252"/>
      <c r="JZD956" s="252"/>
      <c r="JZE956" s="252"/>
      <c r="JZF956" s="252"/>
      <c r="JZG956" s="252"/>
      <c r="JZH956" s="252"/>
      <c r="JZI956" s="252"/>
      <c r="JZJ956" s="252"/>
      <c r="JZK956" s="252"/>
      <c r="JZL956" s="252"/>
      <c r="JZM956" s="252"/>
      <c r="JZN956" s="252"/>
      <c r="JZO956" s="252"/>
      <c r="JZP956" s="252"/>
      <c r="JZQ956" s="252"/>
      <c r="JZR956" s="252"/>
      <c r="JZS956" s="252"/>
      <c r="JZT956" s="252"/>
      <c r="JZU956" s="252"/>
      <c r="JZV956" s="252"/>
      <c r="JZW956" s="252"/>
      <c r="JZX956" s="252"/>
      <c r="JZY956" s="252"/>
      <c r="JZZ956" s="252"/>
      <c r="KAA956" s="252"/>
      <c r="KAB956" s="252"/>
      <c r="KAC956" s="252"/>
      <c r="KAD956" s="252"/>
      <c r="KAE956" s="252"/>
      <c r="KAF956" s="252"/>
      <c r="KAG956" s="252"/>
      <c r="KAH956" s="252"/>
      <c r="KAI956" s="252"/>
      <c r="KAJ956" s="252"/>
      <c r="KAK956" s="252"/>
      <c r="KAL956" s="252"/>
      <c r="KAM956" s="252"/>
      <c r="KAN956" s="252"/>
      <c r="KAO956" s="252"/>
      <c r="KAP956" s="252"/>
      <c r="KAQ956" s="252"/>
      <c r="KAR956" s="252"/>
      <c r="KAS956" s="252"/>
      <c r="KAT956" s="252"/>
      <c r="KAU956" s="252"/>
      <c r="KAV956" s="252"/>
      <c r="KAW956" s="252"/>
      <c r="KAX956" s="252"/>
      <c r="KAY956" s="252"/>
      <c r="KAZ956" s="252"/>
      <c r="KBA956" s="252"/>
      <c r="KBB956" s="252"/>
      <c r="KBC956" s="252"/>
      <c r="KBD956" s="252"/>
      <c r="KBE956" s="252"/>
      <c r="KBF956" s="252"/>
      <c r="KBG956" s="252"/>
      <c r="KBH956" s="252"/>
      <c r="KBI956" s="252"/>
      <c r="KBJ956" s="252"/>
      <c r="KBK956" s="252"/>
      <c r="KBL956" s="252"/>
      <c r="KBM956" s="252"/>
      <c r="KBN956" s="252"/>
      <c r="KBO956" s="252"/>
      <c r="KBP956" s="252"/>
      <c r="KBQ956" s="252"/>
      <c r="KBR956" s="252"/>
      <c r="KBS956" s="252"/>
      <c r="KBT956" s="252"/>
      <c r="KBU956" s="252"/>
      <c r="KBV956" s="252"/>
      <c r="KBW956" s="252"/>
      <c r="KBX956" s="252"/>
      <c r="KBY956" s="252"/>
      <c r="KBZ956" s="252"/>
      <c r="KCA956" s="252"/>
      <c r="KCB956" s="252"/>
      <c r="KCC956" s="252"/>
      <c r="KCD956" s="252"/>
      <c r="KCE956" s="252"/>
      <c r="KCF956" s="252"/>
      <c r="KCG956" s="252"/>
      <c r="KCH956" s="252"/>
      <c r="KCI956" s="252"/>
      <c r="KCJ956" s="252"/>
      <c r="KCK956" s="252"/>
      <c r="KCL956" s="252"/>
      <c r="KCM956" s="252"/>
      <c r="KCN956" s="252"/>
      <c r="KCO956" s="252"/>
      <c r="KCP956" s="252"/>
      <c r="KCQ956" s="252"/>
      <c r="KCR956" s="252"/>
      <c r="KCS956" s="252"/>
      <c r="KCT956" s="252"/>
      <c r="KCU956" s="252"/>
      <c r="KCV956" s="252"/>
      <c r="KCW956" s="252"/>
      <c r="KCX956" s="252"/>
      <c r="KCY956" s="252"/>
      <c r="KCZ956" s="252"/>
      <c r="KDA956" s="252"/>
      <c r="KDB956" s="252"/>
      <c r="KDC956" s="252"/>
      <c r="KDD956" s="252"/>
      <c r="KDE956" s="252"/>
      <c r="KDF956" s="252"/>
      <c r="KDG956" s="252"/>
      <c r="KDH956" s="252"/>
      <c r="KDI956" s="252"/>
      <c r="KDJ956" s="252"/>
      <c r="KDK956" s="252"/>
      <c r="KDL956" s="252"/>
      <c r="KDM956" s="252"/>
      <c r="KDN956" s="252"/>
      <c r="KDO956" s="252"/>
      <c r="KDP956" s="252"/>
      <c r="KDQ956" s="252"/>
      <c r="KDR956" s="252"/>
      <c r="KDS956" s="252"/>
      <c r="KDT956" s="252"/>
      <c r="KDU956" s="252"/>
      <c r="KDV956" s="252"/>
      <c r="KDW956" s="252"/>
      <c r="KDX956" s="252"/>
      <c r="KDY956" s="252"/>
      <c r="KDZ956" s="252"/>
      <c r="KEA956" s="252"/>
      <c r="KEB956" s="252"/>
      <c r="KEC956" s="252"/>
      <c r="KED956" s="252"/>
      <c r="KEE956" s="252"/>
      <c r="KEF956" s="252"/>
      <c r="KEG956" s="252"/>
      <c r="KEH956" s="252"/>
      <c r="KEI956" s="252"/>
      <c r="KEJ956" s="252"/>
      <c r="KEK956" s="252"/>
      <c r="KEL956" s="252"/>
      <c r="KEM956" s="252"/>
      <c r="KEN956" s="252"/>
      <c r="KEO956" s="252"/>
      <c r="KEP956" s="252"/>
      <c r="KEQ956" s="252"/>
      <c r="KER956" s="252"/>
      <c r="KES956" s="252"/>
      <c r="KET956" s="252"/>
      <c r="KEU956" s="252"/>
      <c r="KEV956" s="252"/>
      <c r="KEW956" s="252"/>
      <c r="KEX956" s="252"/>
      <c r="KEY956" s="252"/>
      <c r="KEZ956" s="252"/>
      <c r="KFA956" s="252"/>
      <c r="KFB956" s="252"/>
      <c r="KFC956" s="252"/>
      <c r="KFD956" s="252"/>
      <c r="KFE956" s="252"/>
      <c r="KFF956" s="252"/>
      <c r="KFG956" s="252"/>
      <c r="KFH956" s="252"/>
      <c r="KFI956" s="252"/>
      <c r="KFJ956" s="252"/>
      <c r="KFK956" s="252"/>
      <c r="KFL956" s="252"/>
      <c r="KFM956" s="252"/>
      <c r="KFN956" s="252"/>
      <c r="KFO956" s="252"/>
      <c r="KFP956" s="252"/>
      <c r="KFQ956" s="252"/>
      <c r="KFR956" s="252"/>
      <c r="KFS956" s="252"/>
      <c r="KFT956" s="252"/>
      <c r="KFU956" s="252"/>
      <c r="KFV956" s="252"/>
      <c r="KFW956" s="252"/>
      <c r="KFX956" s="252"/>
      <c r="KFY956" s="252"/>
      <c r="KFZ956" s="252"/>
      <c r="KGA956" s="252"/>
      <c r="KGB956" s="252"/>
      <c r="KGC956" s="252"/>
      <c r="KGD956" s="252"/>
      <c r="KGE956" s="252"/>
      <c r="KGF956" s="252"/>
      <c r="KGG956" s="252"/>
      <c r="KGH956" s="252"/>
      <c r="KGI956" s="252"/>
      <c r="KGJ956" s="252"/>
      <c r="KGK956" s="252"/>
      <c r="KGL956" s="252"/>
      <c r="KGM956" s="252"/>
      <c r="KGN956" s="252"/>
      <c r="KGO956" s="252"/>
      <c r="KGP956" s="252"/>
      <c r="KGQ956" s="252"/>
      <c r="KGR956" s="252"/>
      <c r="KGS956" s="252"/>
      <c r="KGT956" s="252"/>
      <c r="KGU956" s="252"/>
      <c r="KGV956" s="252"/>
      <c r="KGW956" s="252"/>
      <c r="KGX956" s="252"/>
      <c r="KGY956" s="252"/>
      <c r="KGZ956" s="252"/>
      <c r="KHA956" s="252"/>
      <c r="KHB956" s="252"/>
      <c r="KHC956" s="252"/>
      <c r="KHD956" s="252"/>
      <c r="KHE956" s="252"/>
      <c r="KHF956" s="252"/>
      <c r="KHG956" s="252"/>
      <c r="KHH956" s="252"/>
      <c r="KHI956" s="252"/>
      <c r="KHJ956" s="252"/>
      <c r="KHK956" s="252"/>
      <c r="KHL956" s="252"/>
      <c r="KHM956" s="252"/>
      <c r="KHN956" s="252"/>
      <c r="KHO956" s="252"/>
      <c r="KHP956" s="252"/>
      <c r="KHQ956" s="252"/>
      <c r="KHR956" s="252"/>
      <c r="KHS956" s="252"/>
      <c r="KHT956" s="252"/>
      <c r="KHU956" s="252"/>
      <c r="KHV956" s="252"/>
      <c r="KHW956" s="252"/>
      <c r="KHX956" s="252"/>
      <c r="KHY956" s="252"/>
      <c r="KHZ956" s="252"/>
      <c r="KIA956" s="252"/>
      <c r="KIB956" s="252"/>
      <c r="KIC956" s="252"/>
      <c r="KID956" s="252"/>
      <c r="KIE956" s="252"/>
      <c r="KIF956" s="252"/>
      <c r="KIG956" s="252"/>
      <c r="KIH956" s="252"/>
      <c r="KII956" s="252"/>
      <c r="KIJ956" s="252"/>
      <c r="KIK956" s="252"/>
      <c r="KIL956" s="252"/>
      <c r="KIM956" s="252"/>
      <c r="KIN956" s="252"/>
      <c r="KIO956" s="252"/>
      <c r="KIP956" s="252"/>
      <c r="KIQ956" s="252"/>
      <c r="KIR956" s="252"/>
      <c r="KIS956" s="252"/>
      <c r="KIT956" s="252"/>
      <c r="KIU956" s="252"/>
      <c r="KIV956" s="252"/>
      <c r="KIW956" s="252"/>
      <c r="KIX956" s="252"/>
      <c r="KIY956" s="252"/>
      <c r="KIZ956" s="252"/>
      <c r="KJA956" s="252"/>
      <c r="KJB956" s="252"/>
      <c r="KJC956" s="252"/>
      <c r="KJD956" s="252"/>
      <c r="KJE956" s="252"/>
      <c r="KJF956" s="252"/>
      <c r="KJG956" s="252"/>
      <c r="KJH956" s="252"/>
      <c r="KJI956" s="252"/>
      <c r="KJJ956" s="252"/>
      <c r="KJK956" s="252"/>
      <c r="KJL956" s="252"/>
      <c r="KJM956" s="252"/>
      <c r="KJN956" s="252"/>
      <c r="KJO956" s="252"/>
      <c r="KJP956" s="252"/>
      <c r="KJQ956" s="252"/>
      <c r="KJR956" s="252"/>
      <c r="KJS956" s="252"/>
      <c r="KJT956" s="252"/>
      <c r="KJU956" s="252"/>
      <c r="KJV956" s="252"/>
      <c r="KJW956" s="252"/>
      <c r="KJX956" s="252"/>
      <c r="KJY956" s="252"/>
      <c r="KJZ956" s="252"/>
      <c r="KKA956" s="252"/>
      <c r="KKB956" s="252"/>
      <c r="KKC956" s="252"/>
      <c r="KKD956" s="252"/>
      <c r="KKE956" s="252"/>
      <c r="KKF956" s="252"/>
      <c r="KKG956" s="252"/>
      <c r="KKH956" s="252"/>
      <c r="KKI956" s="252"/>
      <c r="KKJ956" s="252"/>
      <c r="KKK956" s="252"/>
      <c r="KKL956" s="252"/>
      <c r="KKM956" s="252"/>
      <c r="KKN956" s="252"/>
      <c r="KKO956" s="252"/>
      <c r="KKP956" s="252"/>
      <c r="KKQ956" s="252"/>
      <c r="KKR956" s="252"/>
      <c r="KKS956" s="252"/>
      <c r="KKT956" s="252"/>
      <c r="KKU956" s="252"/>
      <c r="KKV956" s="252"/>
      <c r="KKW956" s="252"/>
      <c r="KKX956" s="252"/>
      <c r="KKY956" s="252"/>
      <c r="KKZ956" s="252"/>
      <c r="KLA956" s="252"/>
      <c r="KLB956" s="252"/>
      <c r="KLC956" s="252"/>
      <c r="KLD956" s="252"/>
      <c r="KLE956" s="252"/>
      <c r="KLF956" s="252"/>
      <c r="KLG956" s="252"/>
      <c r="KLH956" s="252"/>
      <c r="KLI956" s="252"/>
      <c r="KLJ956" s="252"/>
      <c r="KLK956" s="252"/>
      <c r="KLL956" s="252"/>
      <c r="KLM956" s="252"/>
      <c r="KLN956" s="252"/>
      <c r="KLO956" s="252"/>
      <c r="KLP956" s="252"/>
      <c r="KLQ956" s="252"/>
      <c r="KLR956" s="252"/>
      <c r="KLS956" s="252"/>
      <c r="KLT956" s="252"/>
      <c r="KLU956" s="252"/>
      <c r="KLV956" s="252"/>
      <c r="KLW956" s="252"/>
      <c r="KLX956" s="252"/>
      <c r="KLY956" s="252"/>
      <c r="KLZ956" s="252"/>
      <c r="KMA956" s="252"/>
      <c r="KMB956" s="252"/>
      <c r="KMC956" s="252"/>
      <c r="KMD956" s="252"/>
      <c r="KME956" s="252"/>
      <c r="KMF956" s="252"/>
      <c r="KMG956" s="252"/>
      <c r="KMH956" s="252"/>
      <c r="KMI956" s="252"/>
      <c r="KMJ956" s="252"/>
      <c r="KMK956" s="252"/>
      <c r="KML956" s="252"/>
      <c r="KMM956" s="252"/>
      <c r="KMN956" s="252"/>
      <c r="KMO956" s="252"/>
      <c r="KMP956" s="252"/>
      <c r="KMQ956" s="252"/>
      <c r="KMR956" s="252"/>
      <c r="KMS956" s="252"/>
      <c r="KMT956" s="252"/>
      <c r="KMU956" s="252"/>
      <c r="KMV956" s="252"/>
      <c r="KMW956" s="252"/>
      <c r="KMX956" s="252"/>
      <c r="KMY956" s="252"/>
      <c r="KMZ956" s="252"/>
      <c r="KNA956" s="252"/>
      <c r="KNB956" s="252"/>
      <c r="KNC956" s="252"/>
      <c r="KND956" s="252"/>
      <c r="KNE956" s="252"/>
      <c r="KNF956" s="252"/>
      <c r="KNG956" s="252"/>
      <c r="KNH956" s="252"/>
      <c r="KNI956" s="252"/>
      <c r="KNJ956" s="252"/>
      <c r="KNK956" s="252"/>
      <c r="KNL956" s="252"/>
      <c r="KNM956" s="252"/>
      <c r="KNN956" s="252"/>
      <c r="KNO956" s="252"/>
      <c r="KNP956" s="252"/>
      <c r="KNQ956" s="252"/>
      <c r="KNR956" s="252"/>
      <c r="KNS956" s="252"/>
      <c r="KNT956" s="252"/>
      <c r="KNU956" s="252"/>
      <c r="KNV956" s="252"/>
      <c r="KNW956" s="252"/>
      <c r="KNX956" s="252"/>
      <c r="KNY956" s="252"/>
      <c r="KNZ956" s="252"/>
      <c r="KOA956" s="252"/>
      <c r="KOB956" s="252"/>
      <c r="KOC956" s="252"/>
      <c r="KOD956" s="252"/>
      <c r="KOE956" s="252"/>
      <c r="KOF956" s="252"/>
      <c r="KOG956" s="252"/>
      <c r="KOH956" s="252"/>
      <c r="KOI956" s="252"/>
      <c r="KOJ956" s="252"/>
      <c r="KOK956" s="252"/>
      <c r="KOL956" s="252"/>
      <c r="KOM956" s="252"/>
      <c r="KON956" s="252"/>
      <c r="KOO956" s="252"/>
      <c r="KOP956" s="252"/>
      <c r="KOQ956" s="252"/>
      <c r="KOR956" s="252"/>
      <c r="KOS956" s="252"/>
      <c r="KOT956" s="252"/>
      <c r="KOU956" s="252"/>
      <c r="KOV956" s="252"/>
      <c r="KOW956" s="252"/>
      <c r="KOX956" s="252"/>
      <c r="KOY956" s="252"/>
      <c r="KOZ956" s="252"/>
      <c r="KPA956" s="252"/>
      <c r="KPB956" s="252"/>
      <c r="KPC956" s="252"/>
      <c r="KPD956" s="252"/>
      <c r="KPE956" s="252"/>
      <c r="KPF956" s="252"/>
      <c r="KPG956" s="252"/>
      <c r="KPH956" s="252"/>
      <c r="KPI956" s="252"/>
      <c r="KPJ956" s="252"/>
      <c r="KPK956" s="252"/>
      <c r="KPL956" s="252"/>
      <c r="KPM956" s="252"/>
      <c r="KPN956" s="252"/>
      <c r="KPO956" s="252"/>
      <c r="KPP956" s="252"/>
      <c r="KPQ956" s="252"/>
      <c r="KPR956" s="252"/>
      <c r="KPS956" s="252"/>
      <c r="KPT956" s="252"/>
      <c r="KPU956" s="252"/>
      <c r="KPV956" s="252"/>
      <c r="KPW956" s="252"/>
      <c r="KPX956" s="252"/>
      <c r="KPY956" s="252"/>
      <c r="KPZ956" s="252"/>
      <c r="KQA956" s="252"/>
      <c r="KQB956" s="252"/>
      <c r="KQC956" s="252"/>
      <c r="KQD956" s="252"/>
      <c r="KQE956" s="252"/>
      <c r="KQF956" s="252"/>
      <c r="KQG956" s="252"/>
      <c r="KQH956" s="252"/>
      <c r="KQI956" s="252"/>
      <c r="KQJ956" s="252"/>
      <c r="KQK956" s="252"/>
      <c r="KQL956" s="252"/>
      <c r="KQM956" s="252"/>
      <c r="KQN956" s="252"/>
      <c r="KQO956" s="252"/>
      <c r="KQP956" s="252"/>
      <c r="KQQ956" s="252"/>
      <c r="KQR956" s="252"/>
      <c r="KQS956" s="252"/>
      <c r="KQT956" s="252"/>
      <c r="KQU956" s="252"/>
      <c r="KQV956" s="252"/>
      <c r="KQW956" s="252"/>
      <c r="KQX956" s="252"/>
      <c r="KQY956" s="252"/>
      <c r="KQZ956" s="252"/>
      <c r="KRA956" s="252"/>
      <c r="KRB956" s="252"/>
      <c r="KRC956" s="252"/>
      <c r="KRD956" s="252"/>
      <c r="KRE956" s="252"/>
      <c r="KRF956" s="252"/>
      <c r="KRG956" s="252"/>
      <c r="KRH956" s="252"/>
      <c r="KRI956" s="252"/>
      <c r="KRJ956" s="252"/>
      <c r="KRK956" s="252"/>
      <c r="KRL956" s="252"/>
      <c r="KRM956" s="252"/>
      <c r="KRN956" s="252"/>
      <c r="KRO956" s="252"/>
      <c r="KRP956" s="252"/>
      <c r="KRQ956" s="252"/>
      <c r="KRR956" s="252"/>
      <c r="KRS956" s="252"/>
      <c r="KRT956" s="252"/>
      <c r="KRU956" s="252"/>
      <c r="KRV956" s="252"/>
      <c r="KRW956" s="252"/>
      <c r="KRX956" s="252"/>
      <c r="KRY956" s="252"/>
      <c r="KRZ956" s="252"/>
      <c r="KSA956" s="252"/>
      <c r="KSB956" s="252"/>
      <c r="KSC956" s="252"/>
      <c r="KSD956" s="252"/>
      <c r="KSE956" s="252"/>
      <c r="KSF956" s="252"/>
      <c r="KSG956" s="252"/>
      <c r="KSH956" s="252"/>
      <c r="KSI956" s="252"/>
      <c r="KSJ956" s="252"/>
      <c r="KSK956" s="252"/>
      <c r="KSL956" s="252"/>
      <c r="KSM956" s="252"/>
      <c r="KSN956" s="252"/>
      <c r="KSO956" s="252"/>
      <c r="KSP956" s="252"/>
      <c r="KSQ956" s="252"/>
      <c r="KSR956" s="252"/>
      <c r="KSS956" s="252"/>
      <c r="KST956" s="252"/>
      <c r="KSU956" s="252"/>
      <c r="KSV956" s="252"/>
      <c r="KSW956" s="252"/>
      <c r="KSX956" s="252"/>
      <c r="KSY956" s="252"/>
      <c r="KSZ956" s="252"/>
      <c r="KTA956" s="252"/>
      <c r="KTB956" s="252"/>
      <c r="KTC956" s="252"/>
      <c r="KTD956" s="252"/>
      <c r="KTE956" s="252"/>
      <c r="KTF956" s="252"/>
      <c r="KTG956" s="252"/>
      <c r="KTH956" s="252"/>
      <c r="KTI956" s="252"/>
      <c r="KTJ956" s="252"/>
      <c r="KTK956" s="252"/>
      <c r="KTL956" s="252"/>
      <c r="KTM956" s="252"/>
      <c r="KTN956" s="252"/>
      <c r="KTO956" s="252"/>
      <c r="KTP956" s="252"/>
      <c r="KTQ956" s="252"/>
      <c r="KTR956" s="252"/>
      <c r="KTS956" s="252"/>
      <c r="KTT956" s="252"/>
      <c r="KTU956" s="252"/>
      <c r="KTV956" s="252"/>
      <c r="KTW956" s="252"/>
      <c r="KTX956" s="252"/>
      <c r="KTY956" s="252"/>
      <c r="KTZ956" s="252"/>
      <c r="KUA956" s="252"/>
      <c r="KUB956" s="252"/>
      <c r="KUC956" s="252"/>
      <c r="KUD956" s="252"/>
      <c r="KUE956" s="252"/>
      <c r="KUF956" s="252"/>
      <c r="KUG956" s="252"/>
      <c r="KUH956" s="252"/>
      <c r="KUI956" s="252"/>
      <c r="KUJ956" s="252"/>
      <c r="KUK956" s="252"/>
      <c r="KUL956" s="252"/>
      <c r="KUM956" s="252"/>
      <c r="KUN956" s="252"/>
      <c r="KUO956" s="252"/>
      <c r="KUP956" s="252"/>
      <c r="KUQ956" s="252"/>
      <c r="KUR956" s="252"/>
      <c r="KUS956" s="252"/>
      <c r="KUT956" s="252"/>
      <c r="KUU956" s="252"/>
      <c r="KUV956" s="252"/>
      <c r="KUW956" s="252"/>
      <c r="KUX956" s="252"/>
      <c r="KUY956" s="252"/>
      <c r="KUZ956" s="252"/>
      <c r="KVA956" s="252"/>
      <c r="KVB956" s="252"/>
      <c r="KVC956" s="252"/>
      <c r="KVD956" s="252"/>
      <c r="KVE956" s="252"/>
      <c r="KVF956" s="252"/>
      <c r="KVG956" s="252"/>
      <c r="KVH956" s="252"/>
      <c r="KVI956" s="252"/>
      <c r="KVJ956" s="252"/>
      <c r="KVK956" s="252"/>
      <c r="KVL956" s="252"/>
      <c r="KVM956" s="252"/>
      <c r="KVN956" s="252"/>
      <c r="KVO956" s="252"/>
      <c r="KVP956" s="252"/>
      <c r="KVQ956" s="252"/>
      <c r="KVR956" s="252"/>
      <c r="KVS956" s="252"/>
      <c r="KVT956" s="252"/>
      <c r="KVU956" s="252"/>
      <c r="KVV956" s="252"/>
      <c r="KVW956" s="252"/>
      <c r="KVX956" s="252"/>
      <c r="KVY956" s="252"/>
      <c r="KVZ956" s="252"/>
      <c r="KWA956" s="252"/>
      <c r="KWB956" s="252"/>
      <c r="KWC956" s="252"/>
      <c r="KWD956" s="252"/>
      <c r="KWE956" s="252"/>
      <c r="KWF956" s="252"/>
      <c r="KWG956" s="252"/>
      <c r="KWH956" s="252"/>
      <c r="KWI956" s="252"/>
      <c r="KWJ956" s="252"/>
      <c r="KWK956" s="252"/>
      <c r="KWL956" s="252"/>
      <c r="KWM956" s="252"/>
      <c r="KWN956" s="252"/>
      <c r="KWO956" s="252"/>
      <c r="KWP956" s="252"/>
      <c r="KWQ956" s="252"/>
      <c r="KWR956" s="252"/>
      <c r="KWS956" s="252"/>
      <c r="KWT956" s="252"/>
      <c r="KWU956" s="252"/>
      <c r="KWV956" s="252"/>
      <c r="KWW956" s="252"/>
      <c r="KWX956" s="252"/>
      <c r="KWY956" s="252"/>
      <c r="KWZ956" s="252"/>
      <c r="KXA956" s="252"/>
      <c r="KXB956" s="252"/>
      <c r="KXC956" s="252"/>
      <c r="KXD956" s="252"/>
      <c r="KXE956" s="252"/>
      <c r="KXF956" s="252"/>
      <c r="KXG956" s="252"/>
      <c r="KXH956" s="252"/>
      <c r="KXI956" s="252"/>
      <c r="KXJ956" s="252"/>
      <c r="KXK956" s="252"/>
      <c r="KXL956" s="252"/>
      <c r="KXM956" s="252"/>
      <c r="KXN956" s="252"/>
      <c r="KXO956" s="252"/>
      <c r="KXP956" s="252"/>
      <c r="KXQ956" s="252"/>
      <c r="KXR956" s="252"/>
      <c r="KXS956" s="252"/>
      <c r="KXT956" s="252"/>
      <c r="KXU956" s="252"/>
      <c r="KXV956" s="252"/>
      <c r="KXW956" s="252"/>
      <c r="KXX956" s="252"/>
      <c r="KXY956" s="252"/>
      <c r="KXZ956" s="252"/>
      <c r="KYA956" s="252"/>
      <c r="KYB956" s="252"/>
      <c r="KYC956" s="252"/>
      <c r="KYD956" s="252"/>
      <c r="KYE956" s="252"/>
      <c r="KYF956" s="252"/>
      <c r="KYG956" s="252"/>
      <c r="KYH956" s="252"/>
      <c r="KYI956" s="252"/>
      <c r="KYJ956" s="252"/>
      <c r="KYK956" s="252"/>
      <c r="KYL956" s="252"/>
      <c r="KYM956" s="252"/>
      <c r="KYN956" s="252"/>
      <c r="KYO956" s="252"/>
      <c r="KYP956" s="252"/>
      <c r="KYQ956" s="252"/>
      <c r="KYR956" s="252"/>
      <c r="KYS956" s="252"/>
      <c r="KYT956" s="252"/>
      <c r="KYU956" s="252"/>
      <c r="KYV956" s="252"/>
      <c r="KYW956" s="252"/>
      <c r="KYX956" s="252"/>
      <c r="KYY956" s="252"/>
      <c r="KYZ956" s="252"/>
      <c r="KZA956" s="252"/>
      <c r="KZB956" s="252"/>
      <c r="KZC956" s="252"/>
      <c r="KZD956" s="252"/>
      <c r="KZE956" s="252"/>
      <c r="KZF956" s="252"/>
      <c r="KZG956" s="252"/>
      <c r="KZH956" s="252"/>
      <c r="KZI956" s="252"/>
      <c r="KZJ956" s="252"/>
      <c r="KZK956" s="252"/>
      <c r="KZL956" s="252"/>
      <c r="KZM956" s="252"/>
      <c r="KZN956" s="252"/>
      <c r="KZO956" s="252"/>
      <c r="KZP956" s="252"/>
      <c r="KZQ956" s="252"/>
      <c r="KZR956" s="252"/>
      <c r="KZS956" s="252"/>
      <c r="KZT956" s="252"/>
      <c r="KZU956" s="252"/>
      <c r="KZV956" s="252"/>
      <c r="KZW956" s="252"/>
      <c r="KZX956" s="252"/>
      <c r="KZY956" s="252"/>
      <c r="KZZ956" s="252"/>
      <c r="LAA956" s="252"/>
      <c r="LAB956" s="252"/>
      <c r="LAC956" s="252"/>
      <c r="LAD956" s="252"/>
      <c r="LAE956" s="252"/>
      <c r="LAF956" s="252"/>
      <c r="LAG956" s="252"/>
      <c r="LAH956" s="252"/>
      <c r="LAI956" s="252"/>
      <c r="LAJ956" s="252"/>
      <c r="LAK956" s="252"/>
      <c r="LAL956" s="252"/>
      <c r="LAM956" s="252"/>
      <c r="LAN956" s="252"/>
      <c r="LAO956" s="252"/>
      <c r="LAP956" s="252"/>
      <c r="LAQ956" s="252"/>
      <c r="LAR956" s="252"/>
      <c r="LAS956" s="252"/>
      <c r="LAT956" s="252"/>
      <c r="LAU956" s="252"/>
      <c r="LAV956" s="252"/>
      <c r="LAW956" s="252"/>
      <c r="LAX956" s="252"/>
      <c r="LAY956" s="252"/>
      <c r="LAZ956" s="252"/>
      <c r="LBA956" s="252"/>
      <c r="LBB956" s="252"/>
      <c r="LBC956" s="252"/>
      <c r="LBD956" s="252"/>
      <c r="LBE956" s="252"/>
      <c r="LBF956" s="252"/>
      <c r="LBG956" s="252"/>
      <c r="LBH956" s="252"/>
      <c r="LBI956" s="252"/>
      <c r="LBJ956" s="252"/>
      <c r="LBK956" s="252"/>
      <c r="LBL956" s="252"/>
      <c r="LBM956" s="252"/>
      <c r="LBN956" s="252"/>
      <c r="LBO956" s="252"/>
      <c r="LBP956" s="252"/>
      <c r="LBQ956" s="252"/>
      <c r="LBR956" s="252"/>
      <c r="LBS956" s="252"/>
      <c r="LBT956" s="252"/>
      <c r="LBU956" s="252"/>
      <c r="LBV956" s="252"/>
      <c r="LBW956" s="252"/>
      <c r="LBX956" s="252"/>
      <c r="LBY956" s="252"/>
      <c r="LBZ956" s="252"/>
      <c r="LCA956" s="252"/>
      <c r="LCB956" s="252"/>
      <c r="LCC956" s="252"/>
      <c r="LCD956" s="252"/>
      <c r="LCE956" s="252"/>
      <c r="LCF956" s="252"/>
      <c r="LCG956" s="252"/>
      <c r="LCH956" s="252"/>
      <c r="LCI956" s="252"/>
      <c r="LCJ956" s="252"/>
      <c r="LCK956" s="252"/>
      <c r="LCL956" s="252"/>
      <c r="LCM956" s="252"/>
      <c r="LCN956" s="252"/>
      <c r="LCO956" s="252"/>
      <c r="LCP956" s="252"/>
      <c r="LCQ956" s="252"/>
      <c r="LCR956" s="252"/>
      <c r="LCS956" s="252"/>
      <c r="LCT956" s="252"/>
      <c r="LCU956" s="252"/>
      <c r="LCV956" s="252"/>
      <c r="LCW956" s="252"/>
      <c r="LCX956" s="252"/>
      <c r="LCY956" s="252"/>
      <c r="LCZ956" s="252"/>
      <c r="LDA956" s="252"/>
      <c r="LDB956" s="252"/>
      <c r="LDC956" s="252"/>
      <c r="LDD956" s="252"/>
      <c r="LDE956" s="252"/>
      <c r="LDF956" s="252"/>
      <c r="LDG956" s="252"/>
      <c r="LDH956" s="252"/>
      <c r="LDI956" s="252"/>
      <c r="LDJ956" s="252"/>
      <c r="LDK956" s="252"/>
      <c r="LDL956" s="252"/>
      <c r="LDM956" s="252"/>
      <c r="LDN956" s="252"/>
      <c r="LDO956" s="252"/>
      <c r="LDP956" s="252"/>
      <c r="LDQ956" s="252"/>
      <c r="LDR956" s="252"/>
      <c r="LDS956" s="252"/>
      <c r="LDT956" s="252"/>
      <c r="LDU956" s="252"/>
      <c r="LDV956" s="252"/>
      <c r="LDW956" s="252"/>
      <c r="LDX956" s="252"/>
      <c r="LDY956" s="252"/>
      <c r="LDZ956" s="252"/>
      <c r="LEA956" s="252"/>
      <c r="LEB956" s="252"/>
      <c r="LEC956" s="252"/>
      <c r="LED956" s="252"/>
      <c r="LEE956" s="252"/>
      <c r="LEF956" s="252"/>
      <c r="LEG956" s="252"/>
      <c r="LEH956" s="252"/>
      <c r="LEI956" s="252"/>
      <c r="LEJ956" s="252"/>
      <c r="LEK956" s="252"/>
      <c r="LEL956" s="252"/>
      <c r="LEM956" s="252"/>
      <c r="LEN956" s="252"/>
      <c r="LEO956" s="252"/>
      <c r="LEP956" s="252"/>
      <c r="LEQ956" s="252"/>
      <c r="LER956" s="252"/>
      <c r="LES956" s="252"/>
      <c r="LET956" s="252"/>
      <c r="LEU956" s="252"/>
      <c r="LEV956" s="252"/>
      <c r="LEW956" s="252"/>
      <c r="LEX956" s="252"/>
      <c r="LEY956" s="252"/>
      <c r="LEZ956" s="252"/>
      <c r="LFA956" s="252"/>
      <c r="LFB956" s="252"/>
      <c r="LFC956" s="252"/>
      <c r="LFD956" s="252"/>
      <c r="LFE956" s="252"/>
      <c r="LFF956" s="252"/>
      <c r="LFG956" s="252"/>
      <c r="LFH956" s="252"/>
      <c r="LFI956" s="252"/>
      <c r="LFJ956" s="252"/>
      <c r="LFK956" s="252"/>
      <c r="LFL956" s="252"/>
      <c r="LFM956" s="252"/>
      <c r="LFN956" s="252"/>
      <c r="LFO956" s="252"/>
      <c r="LFP956" s="252"/>
      <c r="LFQ956" s="252"/>
      <c r="LFR956" s="252"/>
      <c r="LFS956" s="252"/>
      <c r="LFT956" s="252"/>
      <c r="LFU956" s="252"/>
      <c r="LFV956" s="252"/>
      <c r="LFW956" s="252"/>
      <c r="LFX956" s="252"/>
      <c r="LFY956" s="252"/>
      <c r="LFZ956" s="252"/>
      <c r="LGA956" s="252"/>
      <c r="LGB956" s="252"/>
      <c r="LGC956" s="252"/>
      <c r="LGD956" s="252"/>
      <c r="LGE956" s="252"/>
      <c r="LGF956" s="252"/>
      <c r="LGG956" s="252"/>
      <c r="LGH956" s="252"/>
      <c r="LGI956" s="252"/>
      <c r="LGJ956" s="252"/>
      <c r="LGK956" s="252"/>
      <c r="LGL956" s="252"/>
      <c r="LGM956" s="252"/>
      <c r="LGN956" s="252"/>
      <c r="LGO956" s="252"/>
      <c r="LGP956" s="252"/>
      <c r="LGQ956" s="252"/>
      <c r="LGR956" s="252"/>
      <c r="LGS956" s="252"/>
      <c r="LGT956" s="252"/>
      <c r="LGU956" s="252"/>
      <c r="LGV956" s="252"/>
      <c r="LGW956" s="252"/>
      <c r="LGX956" s="252"/>
      <c r="LGY956" s="252"/>
      <c r="LGZ956" s="252"/>
      <c r="LHA956" s="252"/>
      <c r="LHB956" s="252"/>
      <c r="LHC956" s="252"/>
      <c r="LHD956" s="252"/>
      <c r="LHE956" s="252"/>
      <c r="LHF956" s="252"/>
      <c r="LHG956" s="252"/>
      <c r="LHH956" s="252"/>
      <c r="LHI956" s="252"/>
      <c r="LHJ956" s="252"/>
      <c r="LHK956" s="252"/>
      <c r="LHL956" s="252"/>
      <c r="LHM956" s="252"/>
      <c r="LHN956" s="252"/>
      <c r="LHO956" s="252"/>
      <c r="LHP956" s="252"/>
      <c r="LHQ956" s="252"/>
      <c r="LHR956" s="252"/>
      <c r="LHS956" s="252"/>
      <c r="LHT956" s="252"/>
      <c r="LHU956" s="252"/>
      <c r="LHV956" s="252"/>
      <c r="LHW956" s="252"/>
      <c r="LHX956" s="252"/>
      <c r="LHY956" s="252"/>
      <c r="LHZ956" s="252"/>
      <c r="LIA956" s="252"/>
      <c r="LIB956" s="252"/>
      <c r="LIC956" s="252"/>
      <c r="LID956" s="252"/>
      <c r="LIE956" s="252"/>
      <c r="LIF956" s="252"/>
      <c r="LIG956" s="252"/>
      <c r="LIH956" s="252"/>
      <c r="LII956" s="252"/>
      <c r="LIJ956" s="252"/>
      <c r="LIK956" s="252"/>
      <c r="LIL956" s="252"/>
      <c r="LIM956" s="252"/>
      <c r="LIN956" s="252"/>
      <c r="LIO956" s="252"/>
      <c r="LIP956" s="252"/>
      <c r="LIQ956" s="252"/>
      <c r="LIR956" s="252"/>
      <c r="LIS956" s="252"/>
      <c r="LIT956" s="252"/>
      <c r="LIU956" s="252"/>
      <c r="LIV956" s="252"/>
      <c r="LIW956" s="252"/>
      <c r="LIX956" s="252"/>
      <c r="LIY956" s="252"/>
      <c r="LIZ956" s="252"/>
      <c r="LJA956" s="252"/>
      <c r="LJB956" s="252"/>
      <c r="LJC956" s="252"/>
      <c r="LJD956" s="252"/>
      <c r="LJE956" s="252"/>
      <c r="LJF956" s="252"/>
      <c r="LJG956" s="252"/>
      <c r="LJH956" s="252"/>
      <c r="LJI956" s="252"/>
      <c r="LJJ956" s="252"/>
      <c r="LJK956" s="252"/>
      <c r="LJL956" s="252"/>
      <c r="LJM956" s="252"/>
      <c r="LJN956" s="252"/>
      <c r="LJO956" s="252"/>
      <c r="LJP956" s="252"/>
      <c r="LJQ956" s="252"/>
      <c r="LJR956" s="252"/>
      <c r="LJS956" s="252"/>
      <c r="LJT956" s="252"/>
      <c r="LJU956" s="252"/>
      <c r="LJV956" s="252"/>
      <c r="LJW956" s="252"/>
      <c r="LJX956" s="252"/>
      <c r="LJY956" s="252"/>
      <c r="LJZ956" s="252"/>
      <c r="LKA956" s="252"/>
      <c r="LKB956" s="252"/>
      <c r="LKC956" s="252"/>
      <c r="LKD956" s="252"/>
      <c r="LKE956" s="252"/>
      <c r="LKF956" s="252"/>
      <c r="LKG956" s="252"/>
      <c r="LKH956" s="252"/>
      <c r="LKI956" s="252"/>
      <c r="LKJ956" s="252"/>
      <c r="LKK956" s="252"/>
      <c r="LKL956" s="252"/>
      <c r="LKM956" s="252"/>
      <c r="LKN956" s="252"/>
      <c r="LKO956" s="252"/>
      <c r="LKP956" s="252"/>
      <c r="LKQ956" s="252"/>
      <c r="LKR956" s="252"/>
      <c r="LKS956" s="252"/>
      <c r="LKT956" s="252"/>
      <c r="LKU956" s="252"/>
      <c r="LKV956" s="252"/>
      <c r="LKW956" s="252"/>
      <c r="LKX956" s="252"/>
      <c r="LKY956" s="252"/>
      <c r="LKZ956" s="252"/>
      <c r="LLA956" s="252"/>
      <c r="LLB956" s="252"/>
      <c r="LLC956" s="252"/>
      <c r="LLD956" s="252"/>
      <c r="LLE956" s="252"/>
      <c r="LLF956" s="252"/>
      <c r="LLG956" s="252"/>
      <c r="LLH956" s="252"/>
      <c r="LLI956" s="252"/>
      <c r="LLJ956" s="252"/>
      <c r="LLK956" s="252"/>
      <c r="LLL956" s="252"/>
      <c r="LLM956" s="252"/>
      <c r="LLN956" s="252"/>
      <c r="LLO956" s="252"/>
      <c r="LLP956" s="252"/>
      <c r="LLQ956" s="252"/>
      <c r="LLR956" s="252"/>
      <c r="LLS956" s="252"/>
      <c r="LLT956" s="252"/>
      <c r="LLU956" s="252"/>
      <c r="LLV956" s="252"/>
      <c r="LLW956" s="252"/>
      <c r="LLX956" s="252"/>
      <c r="LLY956" s="252"/>
      <c r="LLZ956" s="252"/>
      <c r="LMA956" s="252"/>
      <c r="LMB956" s="252"/>
      <c r="LMC956" s="252"/>
      <c r="LMD956" s="252"/>
      <c r="LME956" s="252"/>
      <c r="LMF956" s="252"/>
      <c r="LMG956" s="252"/>
      <c r="LMH956" s="252"/>
      <c r="LMI956" s="252"/>
      <c r="LMJ956" s="252"/>
      <c r="LMK956" s="252"/>
      <c r="LML956" s="252"/>
      <c r="LMM956" s="252"/>
      <c r="LMN956" s="252"/>
      <c r="LMO956" s="252"/>
      <c r="LMP956" s="252"/>
      <c r="LMQ956" s="252"/>
      <c r="LMR956" s="252"/>
      <c r="LMS956" s="252"/>
      <c r="LMT956" s="252"/>
      <c r="LMU956" s="252"/>
      <c r="LMV956" s="252"/>
      <c r="LMW956" s="252"/>
      <c r="LMX956" s="252"/>
      <c r="LMY956" s="252"/>
      <c r="LMZ956" s="252"/>
      <c r="LNA956" s="252"/>
      <c r="LNB956" s="252"/>
      <c r="LNC956" s="252"/>
      <c r="LND956" s="252"/>
      <c r="LNE956" s="252"/>
      <c r="LNF956" s="252"/>
      <c r="LNG956" s="252"/>
      <c r="LNH956" s="252"/>
      <c r="LNI956" s="252"/>
      <c r="LNJ956" s="252"/>
      <c r="LNK956" s="252"/>
      <c r="LNL956" s="252"/>
      <c r="LNM956" s="252"/>
      <c r="LNN956" s="252"/>
      <c r="LNO956" s="252"/>
      <c r="LNP956" s="252"/>
      <c r="LNQ956" s="252"/>
      <c r="LNR956" s="252"/>
      <c r="LNS956" s="252"/>
      <c r="LNT956" s="252"/>
      <c r="LNU956" s="252"/>
      <c r="LNV956" s="252"/>
      <c r="LNW956" s="252"/>
      <c r="LNX956" s="252"/>
      <c r="LNY956" s="252"/>
      <c r="LNZ956" s="252"/>
      <c r="LOA956" s="252"/>
      <c r="LOB956" s="252"/>
      <c r="LOC956" s="252"/>
      <c r="LOD956" s="252"/>
      <c r="LOE956" s="252"/>
      <c r="LOF956" s="252"/>
      <c r="LOG956" s="252"/>
      <c r="LOH956" s="252"/>
      <c r="LOI956" s="252"/>
      <c r="LOJ956" s="252"/>
      <c r="LOK956" s="252"/>
      <c r="LOL956" s="252"/>
      <c r="LOM956" s="252"/>
      <c r="LON956" s="252"/>
      <c r="LOO956" s="252"/>
      <c r="LOP956" s="252"/>
      <c r="LOQ956" s="252"/>
      <c r="LOR956" s="252"/>
      <c r="LOS956" s="252"/>
      <c r="LOT956" s="252"/>
      <c r="LOU956" s="252"/>
      <c r="LOV956" s="252"/>
      <c r="LOW956" s="252"/>
      <c r="LOX956" s="252"/>
      <c r="LOY956" s="252"/>
      <c r="LOZ956" s="252"/>
      <c r="LPA956" s="252"/>
      <c r="LPB956" s="252"/>
      <c r="LPC956" s="252"/>
      <c r="LPD956" s="252"/>
      <c r="LPE956" s="252"/>
      <c r="LPF956" s="252"/>
      <c r="LPG956" s="252"/>
      <c r="LPH956" s="252"/>
      <c r="LPI956" s="252"/>
      <c r="LPJ956" s="252"/>
      <c r="LPK956" s="252"/>
      <c r="LPL956" s="252"/>
      <c r="LPM956" s="252"/>
      <c r="LPN956" s="252"/>
      <c r="LPO956" s="252"/>
      <c r="LPP956" s="252"/>
      <c r="LPQ956" s="252"/>
      <c r="LPR956" s="252"/>
      <c r="LPS956" s="252"/>
      <c r="LPT956" s="252"/>
      <c r="LPU956" s="252"/>
      <c r="LPV956" s="252"/>
      <c r="LPW956" s="252"/>
      <c r="LPX956" s="252"/>
      <c r="LPY956" s="252"/>
      <c r="LPZ956" s="252"/>
      <c r="LQA956" s="252"/>
      <c r="LQB956" s="252"/>
      <c r="LQC956" s="252"/>
      <c r="LQD956" s="252"/>
      <c r="LQE956" s="252"/>
      <c r="LQF956" s="252"/>
      <c r="LQG956" s="252"/>
      <c r="LQH956" s="252"/>
      <c r="LQI956" s="252"/>
      <c r="LQJ956" s="252"/>
      <c r="LQK956" s="252"/>
      <c r="LQL956" s="252"/>
      <c r="LQM956" s="252"/>
      <c r="LQN956" s="252"/>
      <c r="LQO956" s="252"/>
      <c r="LQP956" s="252"/>
      <c r="LQQ956" s="252"/>
      <c r="LQR956" s="252"/>
      <c r="LQS956" s="252"/>
      <c r="LQT956" s="252"/>
      <c r="LQU956" s="252"/>
      <c r="LQV956" s="252"/>
      <c r="LQW956" s="252"/>
      <c r="LQX956" s="252"/>
      <c r="LQY956" s="252"/>
      <c r="LQZ956" s="252"/>
      <c r="LRA956" s="252"/>
      <c r="LRB956" s="252"/>
      <c r="LRC956" s="252"/>
      <c r="LRD956" s="252"/>
      <c r="LRE956" s="252"/>
      <c r="LRF956" s="252"/>
      <c r="LRG956" s="252"/>
      <c r="LRH956" s="252"/>
      <c r="LRI956" s="252"/>
      <c r="LRJ956" s="252"/>
      <c r="LRK956" s="252"/>
      <c r="LRL956" s="252"/>
      <c r="LRM956" s="252"/>
      <c r="LRN956" s="252"/>
      <c r="LRO956" s="252"/>
      <c r="LRP956" s="252"/>
      <c r="LRQ956" s="252"/>
      <c r="LRR956" s="252"/>
      <c r="LRS956" s="252"/>
      <c r="LRT956" s="252"/>
      <c r="LRU956" s="252"/>
      <c r="LRV956" s="252"/>
      <c r="LRW956" s="252"/>
      <c r="LRX956" s="252"/>
      <c r="LRY956" s="252"/>
      <c r="LRZ956" s="252"/>
      <c r="LSA956" s="252"/>
      <c r="LSB956" s="252"/>
      <c r="LSC956" s="252"/>
      <c r="LSD956" s="252"/>
      <c r="LSE956" s="252"/>
      <c r="LSF956" s="252"/>
      <c r="LSG956" s="252"/>
      <c r="LSH956" s="252"/>
      <c r="LSI956" s="252"/>
      <c r="LSJ956" s="252"/>
      <c r="LSK956" s="252"/>
      <c r="LSL956" s="252"/>
      <c r="LSM956" s="252"/>
      <c r="LSN956" s="252"/>
      <c r="LSO956" s="252"/>
      <c r="LSP956" s="252"/>
      <c r="LSQ956" s="252"/>
      <c r="LSR956" s="252"/>
      <c r="LSS956" s="252"/>
      <c r="LST956" s="252"/>
      <c r="LSU956" s="252"/>
      <c r="LSV956" s="252"/>
      <c r="LSW956" s="252"/>
      <c r="LSX956" s="252"/>
      <c r="LSY956" s="252"/>
      <c r="LSZ956" s="252"/>
      <c r="LTA956" s="252"/>
      <c r="LTB956" s="252"/>
      <c r="LTC956" s="252"/>
      <c r="LTD956" s="252"/>
      <c r="LTE956" s="252"/>
      <c r="LTF956" s="252"/>
      <c r="LTG956" s="252"/>
      <c r="LTH956" s="252"/>
      <c r="LTI956" s="252"/>
      <c r="LTJ956" s="252"/>
      <c r="LTK956" s="252"/>
      <c r="LTL956" s="252"/>
      <c r="LTM956" s="252"/>
      <c r="LTN956" s="252"/>
      <c r="LTO956" s="252"/>
      <c r="LTP956" s="252"/>
      <c r="LTQ956" s="252"/>
      <c r="LTR956" s="252"/>
      <c r="LTS956" s="252"/>
      <c r="LTT956" s="252"/>
      <c r="LTU956" s="252"/>
      <c r="LTV956" s="252"/>
      <c r="LTW956" s="252"/>
      <c r="LTX956" s="252"/>
      <c r="LTY956" s="252"/>
      <c r="LTZ956" s="252"/>
      <c r="LUA956" s="252"/>
      <c r="LUB956" s="252"/>
      <c r="LUC956" s="252"/>
      <c r="LUD956" s="252"/>
      <c r="LUE956" s="252"/>
      <c r="LUF956" s="252"/>
      <c r="LUG956" s="252"/>
      <c r="LUH956" s="252"/>
      <c r="LUI956" s="252"/>
      <c r="LUJ956" s="252"/>
      <c r="LUK956" s="252"/>
      <c r="LUL956" s="252"/>
      <c r="LUM956" s="252"/>
      <c r="LUN956" s="252"/>
      <c r="LUO956" s="252"/>
      <c r="LUP956" s="252"/>
      <c r="LUQ956" s="252"/>
      <c r="LUR956" s="252"/>
      <c r="LUS956" s="252"/>
      <c r="LUT956" s="252"/>
      <c r="LUU956" s="252"/>
      <c r="LUV956" s="252"/>
      <c r="LUW956" s="252"/>
      <c r="LUX956" s="252"/>
      <c r="LUY956" s="252"/>
      <c r="LUZ956" s="252"/>
      <c r="LVA956" s="252"/>
      <c r="LVB956" s="252"/>
      <c r="LVC956" s="252"/>
      <c r="LVD956" s="252"/>
      <c r="LVE956" s="252"/>
      <c r="LVF956" s="252"/>
      <c r="LVG956" s="252"/>
      <c r="LVH956" s="252"/>
      <c r="LVI956" s="252"/>
      <c r="LVJ956" s="252"/>
      <c r="LVK956" s="252"/>
      <c r="LVL956" s="252"/>
      <c r="LVM956" s="252"/>
      <c r="LVN956" s="252"/>
      <c r="LVO956" s="252"/>
      <c r="LVP956" s="252"/>
      <c r="LVQ956" s="252"/>
      <c r="LVR956" s="252"/>
      <c r="LVS956" s="252"/>
      <c r="LVT956" s="252"/>
      <c r="LVU956" s="252"/>
      <c r="LVV956" s="252"/>
      <c r="LVW956" s="252"/>
      <c r="LVX956" s="252"/>
      <c r="LVY956" s="252"/>
      <c r="LVZ956" s="252"/>
      <c r="LWA956" s="252"/>
      <c r="LWB956" s="252"/>
      <c r="LWC956" s="252"/>
      <c r="LWD956" s="252"/>
      <c r="LWE956" s="252"/>
      <c r="LWF956" s="252"/>
      <c r="LWG956" s="252"/>
      <c r="LWH956" s="252"/>
      <c r="LWI956" s="252"/>
      <c r="LWJ956" s="252"/>
      <c r="LWK956" s="252"/>
      <c r="LWL956" s="252"/>
      <c r="LWM956" s="252"/>
      <c r="LWN956" s="252"/>
      <c r="LWO956" s="252"/>
      <c r="LWP956" s="252"/>
      <c r="LWQ956" s="252"/>
      <c r="LWR956" s="252"/>
      <c r="LWS956" s="252"/>
      <c r="LWT956" s="252"/>
      <c r="LWU956" s="252"/>
      <c r="LWV956" s="252"/>
      <c r="LWW956" s="252"/>
      <c r="LWX956" s="252"/>
      <c r="LWY956" s="252"/>
      <c r="LWZ956" s="252"/>
      <c r="LXA956" s="252"/>
      <c r="LXB956" s="252"/>
      <c r="LXC956" s="252"/>
      <c r="LXD956" s="252"/>
      <c r="LXE956" s="252"/>
      <c r="LXF956" s="252"/>
      <c r="LXG956" s="252"/>
      <c r="LXH956" s="252"/>
      <c r="LXI956" s="252"/>
      <c r="LXJ956" s="252"/>
      <c r="LXK956" s="252"/>
      <c r="LXL956" s="252"/>
      <c r="LXM956" s="252"/>
      <c r="LXN956" s="252"/>
      <c r="LXO956" s="252"/>
      <c r="LXP956" s="252"/>
      <c r="LXQ956" s="252"/>
      <c r="LXR956" s="252"/>
      <c r="LXS956" s="252"/>
      <c r="LXT956" s="252"/>
      <c r="LXU956" s="252"/>
      <c r="LXV956" s="252"/>
      <c r="LXW956" s="252"/>
      <c r="LXX956" s="252"/>
      <c r="LXY956" s="252"/>
      <c r="LXZ956" s="252"/>
      <c r="LYA956" s="252"/>
      <c r="LYB956" s="252"/>
      <c r="LYC956" s="252"/>
      <c r="LYD956" s="252"/>
      <c r="LYE956" s="252"/>
      <c r="LYF956" s="252"/>
      <c r="LYG956" s="252"/>
      <c r="LYH956" s="252"/>
      <c r="LYI956" s="252"/>
      <c r="LYJ956" s="252"/>
      <c r="LYK956" s="252"/>
      <c r="LYL956" s="252"/>
      <c r="LYM956" s="252"/>
      <c r="LYN956" s="252"/>
      <c r="LYO956" s="252"/>
      <c r="LYP956" s="252"/>
      <c r="LYQ956" s="252"/>
      <c r="LYR956" s="252"/>
      <c r="LYS956" s="252"/>
      <c r="LYT956" s="252"/>
      <c r="LYU956" s="252"/>
      <c r="LYV956" s="252"/>
      <c r="LYW956" s="252"/>
      <c r="LYX956" s="252"/>
      <c r="LYY956" s="252"/>
      <c r="LYZ956" s="252"/>
      <c r="LZA956" s="252"/>
      <c r="LZB956" s="252"/>
      <c r="LZC956" s="252"/>
      <c r="LZD956" s="252"/>
      <c r="LZE956" s="252"/>
      <c r="LZF956" s="252"/>
      <c r="LZG956" s="252"/>
      <c r="LZH956" s="252"/>
      <c r="LZI956" s="252"/>
      <c r="LZJ956" s="252"/>
      <c r="LZK956" s="252"/>
      <c r="LZL956" s="252"/>
      <c r="LZM956" s="252"/>
      <c r="LZN956" s="252"/>
      <c r="LZO956" s="252"/>
      <c r="LZP956" s="252"/>
      <c r="LZQ956" s="252"/>
      <c r="LZR956" s="252"/>
      <c r="LZS956" s="252"/>
      <c r="LZT956" s="252"/>
      <c r="LZU956" s="252"/>
      <c r="LZV956" s="252"/>
      <c r="LZW956" s="252"/>
      <c r="LZX956" s="252"/>
      <c r="LZY956" s="252"/>
      <c r="LZZ956" s="252"/>
      <c r="MAA956" s="252"/>
      <c r="MAB956" s="252"/>
      <c r="MAC956" s="252"/>
      <c r="MAD956" s="252"/>
      <c r="MAE956" s="252"/>
      <c r="MAF956" s="252"/>
      <c r="MAG956" s="252"/>
      <c r="MAH956" s="252"/>
      <c r="MAI956" s="252"/>
      <c r="MAJ956" s="252"/>
      <c r="MAK956" s="252"/>
      <c r="MAL956" s="252"/>
      <c r="MAM956" s="252"/>
      <c r="MAN956" s="252"/>
      <c r="MAO956" s="252"/>
      <c r="MAP956" s="252"/>
      <c r="MAQ956" s="252"/>
      <c r="MAR956" s="252"/>
      <c r="MAS956" s="252"/>
      <c r="MAT956" s="252"/>
      <c r="MAU956" s="252"/>
      <c r="MAV956" s="252"/>
      <c r="MAW956" s="252"/>
      <c r="MAX956" s="252"/>
      <c r="MAY956" s="252"/>
      <c r="MAZ956" s="252"/>
      <c r="MBA956" s="252"/>
      <c r="MBB956" s="252"/>
      <c r="MBC956" s="252"/>
      <c r="MBD956" s="252"/>
      <c r="MBE956" s="252"/>
      <c r="MBF956" s="252"/>
      <c r="MBG956" s="252"/>
      <c r="MBH956" s="252"/>
      <c r="MBI956" s="252"/>
      <c r="MBJ956" s="252"/>
      <c r="MBK956" s="252"/>
      <c r="MBL956" s="252"/>
      <c r="MBM956" s="252"/>
      <c r="MBN956" s="252"/>
      <c r="MBO956" s="252"/>
      <c r="MBP956" s="252"/>
      <c r="MBQ956" s="252"/>
      <c r="MBR956" s="252"/>
      <c r="MBS956" s="252"/>
      <c r="MBT956" s="252"/>
      <c r="MBU956" s="252"/>
      <c r="MBV956" s="252"/>
      <c r="MBW956" s="252"/>
      <c r="MBX956" s="252"/>
      <c r="MBY956" s="252"/>
      <c r="MBZ956" s="252"/>
      <c r="MCA956" s="252"/>
      <c r="MCB956" s="252"/>
      <c r="MCC956" s="252"/>
      <c r="MCD956" s="252"/>
      <c r="MCE956" s="252"/>
      <c r="MCF956" s="252"/>
      <c r="MCG956" s="252"/>
      <c r="MCH956" s="252"/>
      <c r="MCI956" s="252"/>
      <c r="MCJ956" s="252"/>
      <c r="MCK956" s="252"/>
      <c r="MCL956" s="252"/>
      <c r="MCM956" s="252"/>
      <c r="MCN956" s="252"/>
      <c r="MCO956" s="252"/>
      <c r="MCP956" s="252"/>
      <c r="MCQ956" s="252"/>
      <c r="MCR956" s="252"/>
      <c r="MCS956" s="252"/>
      <c r="MCT956" s="252"/>
      <c r="MCU956" s="252"/>
      <c r="MCV956" s="252"/>
      <c r="MCW956" s="252"/>
      <c r="MCX956" s="252"/>
      <c r="MCY956" s="252"/>
      <c r="MCZ956" s="252"/>
      <c r="MDA956" s="252"/>
      <c r="MDB956" s="252"/>
      <c r="MDC956" s="252"/>
      <c r="MDD956" s="252"/>
      <c r="MDE956" s="252"/>
      <c r="MDF956" s="252"/>
      <c r="MDG956" s="252"/>
      <c r="MDH956" s="252"/>
      <c r="MDI956" s="252"/>
      <c r="MDJ956" s="252"/>
      <c r="MDK956" s="252"/>
      <c r="MDL956" s="252"/>
      <c r="MDM956" s="252"/>
      <c r="MDN956" s="252"/>
      <c r="MDO956" s="252"/>
      <c r="MDP956" s="252"/>
      <c r="MDQ956" s="252"/>
      <c r="MDR956" s="252"/>
      <c r="MDS956" s="252"/>
      <c r="MDT956" s="252"/>
      <c r="MDU956" s="252"/>
      <c r="MDV956" s="252"/>
      <c r="MDW956" s="252"/>
      <c r="MDX956" s="252"/>
      <c r="MDY956" s="252"/>
      <c r="MDZ956" s="252"/>
      <c r="MEA956" s="252"/>
      <c r="MEB956" s="252"/>
      <c r="MEC956" s="252"/>
      <c r="MED956" s="252"/>
      <c r="MEE956" s="252"/>
      <c r="MEF956" s="252"/>
      <c r="MEG956" s="252"/>
      <c r="MEH956" s="252"/>
      <c r="MEI956" s="252"/>
      <c r="MEJ956" s="252"/>
      <c r="MEK956" s="252"/>
      <c r="MEL956" s="252"/>
      <c r="MEM956" s="252"/>
      <c r="MEN956" s="252"/>
      <c r="MEO956" s="252"/>
      <c r="MEP956" s="252"/>
      <c r="MEQ956" s="252"/>
      <c r="MER956" s="252"/>
      <c r="MES956" s="252"/>
      <c r="MET956" s="252"/>
      <c r="MEU956" s="252"/>
      <c r="MEV956" s="252"/>
      <c r="MEW956" s="252"/>
      <c r="MEX956" s="252"/>
      <c r="MEY956" s="252"/>
      <c r="MEZ956" s="252"/>
      <c r="MFA956" s="252"/>
      <c r="MFB956" s="252"/>
      <c r="MFC956" s="252"/>
      <c r="MFD956" s="252"/>
      <c r="MFE956" s="252"/>
      <c r="MFF956" s="252"/>
      <c r="MFG956" s="252"/>
      <c r="MFH956" s="252"/>
      <c r="MFI956" s="252"/>
      <c r="MFJ956" s="252"/>
      <c r="MFK956" s="252"/>
      <c r="MFL956" s="252"/>
      <c r="MFM956" s="252"/>
      <c r="MFN956" s="252"/>
      <c r="MFO956" s="252"/>
      <c r="MFP956" s="252"/>
      <c r="MFQ956" s="252"/>
      <c r="MFR956" s="252"/>
      <c r="MFS956" s="252"/>
      <c r="MFT956" s="252"/>
      <c r="MFU956" s="252"/>
      <c r="MFV956" s="252"/>
      <c r="MFW956" s="252"/>
      <c r="MFX956" s="252"/>
      <c r="MFY956" s="252"/>
      <c r="MFZ956" s="252"/>
      <c r="MGA956" s="252"/>
      <c r="MGB956" s="252"/>
      <c r="MGC956" s="252"/>
      <c r="MGD956" s="252"/>
      <c r="MGE956" s="252"/>
      <c r="MGF956" s="252"/>
      <c r="MGG956" s="252"/>
      <c r="MGH956" s="252"/>
      <c r="MGI956" s="252"/>
      <c r="MGJ956" s="252"/>
      <c r="MGK956" s="252"/>
      <c r="MGL956" s="252"/>
      <c r="MGM956" s="252"/>
      <c r="MGN956" s="252"/>
      <c r="MGO956" s="252"/>
      <c r="MGP956" s="252"/>
      <c r="MGQ956" s="252"/>
      <c r="MGR956" s="252"/>
      <c r="MGS956" s="252"/>
      <c r="MGT956" s="252"/>
      <c r="MGU956" s="252"/>
      <c r="MGV956" s="252"/>
      <c r="MGW956" s="252"/>
      <c r="MGX956" s="252"/>
      <c r="MGY956" s="252"/>
      <c r="MGZ956" s="252"/>
      <c r="MHA956" s="252"/>
      <c r="MHB956" s="252"/>
      <c r="MHC956" s="252"/>
      <c r="MHD956" s="252"/>
      <c r="MHE956" s="252"/>
      <c r="MHF956" s="252"/>
      <c r="MHG956" s="252"/>
      <c r="MHH956" s="252"/>
      <c r="MHI956" s="252"/>
      <c r="MHJ956" s="252"/>
      <c r="MHK956" s="252"/>
      <c r="MHL956" s="252"/>
      <c r="MHM956" s="252"/>
      <c r="MHN956" s="252"/>
      <c r="MHO956" s="252"/>
      <c r="MHP956" s="252"/>
      <c r="MHQ956" s="252"/>
      <c r="MHR956" s="252"/>
      <c r="MHS956" s="252"/>
      <c r="MHT956" s="252"/>
      <c r="MHU956" s="252"/>
      <c r="MHV956" s="252"/>
      <c r="MHW956" s="252"/>
      <c r="MHX956" s="252"/>
      <c r="MHY956" s="252"/>
      <c r="MHZ956" s="252"/>
      <c r="MIA956" s="252"/>
      <c r="MIB956" s="252"/>
      <c r="MIC956" s="252"/>
      <c r="MID956" s="252"/>
      <c r="MIE956" s="252"/>
      <c r="MIF956" s="252"/>
      <c r="MIG956" s="252"/>
      <c r="MIH956" s="252"/>
      <c r="MII956" s="252"/>
      <c r="MIJ956" s="252"/>
      <c r="MIK956" s="252"/>
      <c r="MIL956" s="252"/>
      <c r="MIM956" s="252"/>
      <c r="MIN956" s="252"/>
      <c r="MIO956" s="252"/>
      <c r="MIP956" s="252"/>
      <c r="MIQ956" s="252"/>
      <c r="MIR956" s="252"/>
      <c r="MIS956" s="252"/>
      <c r="MIT956" s="252"/>
      <c r="MIU956" s="252"/>
      <c r="MIV956" s="252"/>
      <c r="MIW956" s="252"/>
      <c r="MIX956" s="252"/>
      <c r="MIY956" s="252"/>
      <c r="MIZ956" s="252"/>
      <c r="MJA956" s="252"/>
      <c r="MJB956" s="252"/>
      <c r="MJC956" s="252"/>
      <c r="MJD956" s="252"/>
      <c r="MJE956" s="252"/>
      <c r="MJF956" s="252"/>
      <c r="MJG956" s="252"/>
      <c r="MJH956" s="252"/>
      <c r="MJI956" s="252"/>
      <c r="MJJ956" s="252"/>
      <c r="MJK956" s="252"/>
      <c r="MJL956" s="252"/>
      <c r="MJM956" s="252"/>
      <c r="MJN956" s="252"/>
      <c r="MJO956" s="252"/>
      <c r="MJP956" s="252"/>
      <c r="MJQ956" s="252"/>
      <c r="MJR956" s="252"/>
      <c r="MJS956" s="252"/>
      <c r="MJT956" s="252"/>
      <c r="MJU956" s="252"/>
      <c r="MJV956" s="252"/>
      <c r="MJW956" s="252"/>
      <c r="MJX956" s="252"/>
      <c r="MJY956" s="252"/>
      <c r="MJZ956" s="252"/>
      <c r="MKA956" s="252"/>
      <c r="MKB956" s="252"/>
      <c r="MKC956" s="252"/>
      <c r="MKD956" s="252"/>
      <c r="MKE956" s="252"/>
      <c r="MKF956" s="252"/>
      <c r="MKG956" s="252"/>
      <c r="MKH956" s="252"/>
      <c r="MKI956" s="252"/>
      <c r="MKJ956" s="252"/>
      <c r="MKK956" s="252"/>
      <c r="MKL956" s="252"/>
      <c r="MKM956" s="252"/>
      <c r="MKN956" s="252"/>
      <c r="MKO956" s="252"/>
      <c r="MKP956" s="252"/>
      <c r="MKQ956" s="252"/>
      <c r="MKR956" s="252"/>
      <c r="MKS956" s="252"/>
      <c r="MKT956" s="252"/>
      <c r="MKU956" s="252"/>
      <c r="MKV956" s="252"/>
      <c r="MKW956" s="252"/>
      <c r="MKX956" s="252"/>
      <c r="MKY956" s="252"/>
      <c r="MKZ956" s="252"/>
      <c r="MLA956" s="252"/>
      <c r="MLB956" s="252"/>
      <c r="MLC956" s="252"/>
      <c r="MLD956" s="252"/>
      <c r="MLE956" s="252"/>
      <c r="MLF956" s="252"/>
      <c r="MLG956" s="252"/>
      <c r="MLH956" s="252"/>
      <c r="MLI956" s="252"/>
      <c r="MLJ956" s="252"/>
      <c r="MLK956" s="252"/>
      <c r="MLL956" s="252"/>
      <c r="MLM956" s="252"/>
      <c r="MLN956" s="252"/>
      <c r="MLO956" s="252"/>
      <c r="MLP956" s="252"/>
      <c r="MLQ956" s="252"/>
      <c r="MLR956" s="252"/>
      <c r="MLS956" s="252"/>
      <c r="MLT956" s="252"/>
      <c r="MLU956" s="252"/>
      <c r="MLV956" s="252"/>
      <c r="MLW956" s="252"/>
      <c r="MLX956" s="252"/>
      <c r="MLY956" s="252"/>
      <c r="MLZ956" s="252"/>
      <c r="MMA956" s="252"/>
      <c r="MMB956" s="252"/>
      <c r="MMC956" s="252"/>
      <c r="MMD956" s="252"/>
      <c r="MME956" s="252"/>
      <c r="MMF956" s="252"/>
      <c r="MMG956" s="252"/>
      <c r="MMH956" s="252"/>
      <c r="MMI956" s="252"/>
      <c r="MMJ956" s="252"/>
      <c r="MMK956" s="252"/>
      <c r="MML956" s="252"/>
      <c r="MMM956" s="252"/>
      <c r="MMN956" s="252"/>
      <c r="MMO956" s="252"/>
      <c r="MMP956" s="252"/>
      <c r="MMQ956" s="252"/>
      <c r="MMR956" s="252"/>
      <c r="MMS956" s="252"/>
      <c r="MMT956" s="252"/>
      <c r="MMU956" s="252"/>
      <c r="MMV956" s="252"/>
      <c r="MMW956" s="252"/>
      <c r="MMX956" s="252"/>
      <c r="MMY956" s="252"/>
      <c r="MMZ956" s="252"/>
      <c r="MNA956" s="252"/>
      <c r="MNB956" s="252"/>
      <c r="MNC956" s="252"/>
      <c r="MND956" s="252"/>
      <c r="MNE956" s="252"/>
      <c r="MNF956" s="252"/>
      <c r="MNG956" s="252"/>
      <c r="MNH956" s="252"/>
      <c r="MNI956" s="252"/>
      <c r="MNJ956" s="252"/>
      <c r="MNK956" s="252"/>
      <c r="MNL956" s="252"/>
      <c r="MNM956" s="252"/>
      <c r="MNN956" s="252"/>
      <c r="MNO956" s="252"/>
      <c r="MNP956" s="252"/>
      <c r="MNQ956" s="252"/>
      <c r="MNR956" s="252"/>
      <c r="MNS956" s="252"/>
      <c r="MNT956" s="252"/>
      <c r="MNU956" s="252"/>
      <c r="MNV956" s="252"/>
      <c r="MNW956" s="252"/>
      <c r="MNX956" s="252"/>
      <c r="MNY956" s="252"/>
      <c r="MNZ956" s="252"/>
      <c r="MOA956" s="252"/>
      <c r="MOB956" s="252"/>
      <c r="MOC956" s="252"/>
      <c r="MOD956" s="252"/>
      <c r="MOE956" s="252"/>
      <c r="MOF956" s="252"/>
      <c r="MOG956" s="252"/>
      <c r="MOH956" s="252"/>
      <c r="MOI956" s="252"/>
      <c r="MOJ956" s="252"/>
      <c r="MOK956" s="252"/>
      <c r="MOL956" s="252"/>
      <c r="MOM956" s="252"/>
      <c r="MON956" s="252"/>
      <c r="MOO956" s="252"/>
      <c r="MOP956" s="252"/>
      <c r="MOQ956" s="252"/>
      <c r="MOR956" s="252"/>
      <c r="MOS956" s="252"/>
      <c r="MOT956" s="252"/>
      <c r="MOU956" s="252"/>
      <c r="MOV956" s="252"/>
      <c r="MOW956" s="252"/>
      <c r="MOX956" s="252"/>
      <c r="MOY956" s="252"/>
      <c r="MOZ956" s="252"/>
      <c r="MPA956" s="252"/>
      <c r="MPB956" s="252"/>
      <c r="MPC956" s="252"/>
      <c r="MPD956" s="252"/>
      <c r="MPE956" s="252"/>
      <c r="MPF956" s="252"/>
      <c r="MPG956" s="252"/>
      <c r="MPH956" s="252"/>
      <c r="MPI956" s="252"/>
      <c r="MPJ956" s="252"/>
      <c r="MPK956" s="252"/>
      <c r="MPL956" s="252"/>
      <c r="MPM956" s="252"/>
      <c r="MPN956" s="252"/>
      <c r="MPO956" s="252"/>
      <c r="MPP956" s="252"/>
      <c r="MPQ956" s="252"/>
      <c r="MPR956" s="252"/>
      <c r="MPS956" s="252"/>
      <c r="MPT956" s="252"/>
      <c r="MPU956" s="252"/>
      <c r="MPV956" s="252"/>
      <c r="MPW956" s="252"/>
      <c r="MPX956" s="252"/>
      <c r="MPY956" s="252"/>
      <c r="MPZ956" s="252"/>
      <c r="MQA956" s="252"/>
      <c r="MQB956" s="252"/>
      <c r="MQC956" s="252"/>
      <c r="MQD956" s="252"/>
      <c r="MQE956" s="252"/>
      <c r="MQF956" s="252"/>
      <c r="MQG956" s="252"/>
      <c r="MQH956" s="252"/>
      <c r="MQI956" s="252"/>
      <c r="MQJ956" s="252"/>
      <c r="MQK956" s="252"/>
      <c r="MQL956" s="252"/>
      <c r="MQM956" s="252"/>
      <c r="MQN956" s="252"/>
      <c r="MQO956" s="252"/>
      <c r="MQP956" s="252"/>
      <c r="MQQ956" s="252"/>
      <c r="MQR956" s="252"/>
      <c r="MQS956" s="252"/>
      <c r="MQT956" s="252"/>
      <c r="MQU956" s="252"/>
      <c r="MQV956" s="252"/>
      <c r="MQW956" s="252"/>
      <c r="MQX956" s="252"/>
      <c r="MQY956" s="252"/>
      <c r="MQZ956" s="252"/>
      <c r="MRA956" s="252"/>
      <c r="MRB956" s="252"/>
      <c r="MRC956" s="252"/>
      <c r="MRD956" s="252"/>
      <c r="MRE956" s="252"/>
      <c r="MRF956" s="252"/>
      <c r="MRG956" s="252"/>
      <c r="MRH956" s="252"/>
      <c r="MRI956" s="252"/>
      <c r="MRJ956" s="252"/>
      <c r="MRK956" s="252"/>
      <c r="MRL956" s="252"/>
      <c r="MRM956" s="252"/>
      <c r="MRN956" s="252"/>
      <c r="MRO956" s="252"/>
      <c r="MRP956" s="252"/>
      <c r="MRQ956" s="252"/>
      <c r="MRR956" s="252"/>
      <c r="MRS956" s="252"/>
      <c r="MRT956" s="252"/>
      <c r="MRU956" s="252"/>
      <c r="MRV956" s="252"/>
      <c r="MRW956" s="252"/>
      <c r="MRX956" s="252"/>
      <c r="MRY956" s="252"/>
      <c r="MRZ956" s="252"/>
      <c r="MSA956" s="252"/>
      <c r="MSB956" s="252"/>
      <c r="MSC956" s="252"/>
      <c r="MSD956" s="252"/>
      <c r="MSE956" s="252"/>
      <c r="MSF956" s="252"/>
      <c r="MSG956" s="252"/>
      <c r="MSH956" s="252"/>
      <c r="MSI956" s="252"/>
      <c r="MSJ956" s="252"/>
      <c r="MSK956" s="252"/>
      <c r="MSL956" s="252"/>
      <c r="MSM956" s="252"/>
      <c r="MSN956" s="252"/>
      <c r="MSO956" s="252"/>
      <c r="MSP956" s="252"/>
      <c r="MSQ956" s="252"/>
      <c r="MSR956" s="252"/>
      <c r="MSS956" s="252"/>
      <c r="MST956" s="252"/>
      <c r="MSU956" s="252"/>
      <c r="MSV956" s="252"/>
      <c r="MSW956" s="252"/>
      <c r="MSX956" s="252"/>
      <c r="MSY956" s="252"/>
      <c r="MSZ956" s="252"/>
      <c r="MTA956" s="252"/>
      <c r="MTB956" s="252"/>
      <c r="MTC956" s="252"/>
      <c r="MTD956" s="252"/>
      <c r="MTE956" s="252"/>
      <c r="MTF956" s="252"/>
      <c r="MTG956" s="252"/>
      <c r="MTH956" s="252"/>
      <c r="MTI956" s="252"/>
      <c r="MTJ956" s="252"/>
      <c r="MTK956" s="252"/>
      <c r="MTL956" s="252"/>
      <c r="MTM956" s="252"/>
      <c r="MTN956" s="252"/>
      <c r="MTO956" s="252"/>
      <c r="MTP956" s="252"/>
      <c r="MTQ956" s="252"/>
      <c r="MTR956" s="252"/>
      <c r="MTS956" s="252"/>
      <c r="MTT956" s="252"/>
      <c r="MTU956" s="252"/>
      <c r="MTV956" s="252"/>
      <c r="MTW956" s="252"/>
      <c r="MTX956" s="252"/>
      <c r="MTY956" s="252"/>
      <c r="MTZ956" s="252"/>
      <c r="MUA956" s="252"/>
      <c r="MUB956" s="252"/>
      <c r="MUC956" s="252"/>
      <c r="MUD956" s="252"/>
      <c r="MUE956" s="252"/>
      <c r="MUF956" s="252"/>
      <c r="MUG956" s="252"/>
      <c r="MUH956" s="252"/>
      <c r="MUI956" s="252"/>
      <c r="MUJ956" s="252"/>
      <c r="MUK956" s="252"/>
      <c r="MUL956" s="252"/>
      <c r="MUM956" s="252"/>
      <c r="MUN956" s="252"/>
      <c r="MUO956" s="252"/>
      <c r="MUP956" s="252"/>
      <c r="MUQ956" s="252"/>
      <c r="MUR956" s="252"/>
      <c r="MUS956" s="252"/>
      <c r="MUT956" s="252"/>
      <c r="MUU956" s="252"/>
      <c r="MUV956" s="252"/>
      <c r="MUW956" s="252"/>
      <c r="MUX956" s="252"/>
      <c r="MUY956" s="252"/>
      <c r="MUZ956" s="252"/>
      <c r="MVA956" s="252"/>
      <c r="MVB956" s="252"/>
      <c r="MVC956" s="252"/>
      <c r="MVD956" s="252"/>
      <c r="MVE956" s="252"/>
      <c r="MVF956" s="252"/>
      <c r="MVG956" s="252"/>
      <c r="MVH956" s="252"/>
      <c r="MVI956" s="252"/>
      <c r="MVJ956" s="252"/>
      <c r="MVK956" s="252"/>
      <c r="MVL956" s="252"/>
      <c r="MVM956" s="252"/>
      <c r="MVN956" s="252"/>
      <c r="MVO956" s="252"/>
      <c r="MVP956" s="252"/>
      <c r="MVQ956" s="252"/>
      <c r="MVR956" s="252"/>
      <c r="MVS956" s="252"/>
      <c r="MVT956" s="252"/>
      <c r="MVU956" s="252"/>
      <c r="MVV956" s="252"/>
      <c r="MVW956" s="252"/>
      <c r="MVX956" s="252"/>
      <c r="MVY956" s="252"/>
      <c r="MVZ956" s="252"/>
      <c r="MWA956" s="252"/>
      <c r="MWB956" s="252"/>
      <c r="MWC956" s="252"/>
      <c r="MWD956" s="252"/>
      <c r="MWE956" s="252"/>
      <c r="MWF956" s="252"/>
      <c r="MWG956" s="252"/>
      <c r="MWH956" s="252"/>
      <c r="MWI956" s="252"/>
      <c r="MWJ956" s="252"/>
      <c r="MWK956" s="252"/>
      <c r="MWL956" s="252"/>
      <c r="MWM956" s="252"/>
      <c r="MWN956" s="252"/>
      <c r="MWO956" s="252"/>
      <c r="MWP956" s="252"/>
      <c r="MWQ956" s="252"/>
      <c r="MWR956" s="252"/>
      <c r="MWS956" s="252"/>
      <c r="MWT956" s="252"/>
      <c r="MWU956" s="252"/>
      <c r="MWV956" s="252"/>
      <c r="MWW956" s="252"/>
      <c r="MWX956" s="252"/>
      <c r="MWY956" s="252"/>
      <c r="MWZ956" s="252"/>
      <c r="MXA956" s="252"/>
      <c r="MXB956" s="252"/>
      <c r="MXC956" s="252"/>
      <c r="MXD956" s="252"/>
      <c r="MXE956" s="252"/>
      <c r="MXF956" s="252"/>
      <c r="MXG956" s="252"/>
      <c r="MXH956" s="252"/>
      <c r="MXI956" s="252"/>
      <c r="MXJ956" s="252"/>
      <c r="MXK956" s="252"/>
      <c r="MXL956" s="252"/>
      <c r="MXM956" s="252"/>
      <c r="MXN956" s="252"/>
      <c r="MXO956" s="252"/>
      <c r="MXP956" s="252"/>
      <c r="MXQ956" s="252"/>
      <c r="MXR956" s="252"/>
      <c r="MXS956" s="252"/>
      <c r="MXT956" s="252"/>
      <c r="MXU956" s="252"/>
      <c r="MXV956" s="252"/>
      <c r="MXW956" s="252"/>
      <c r="MXX956" s="252"/>
      <c r="MXY956" s="252"/>
      <c r="MXZ956" s="252"/>
      <c r="MYA956" s="252"/>
      <c r="MYB956" s="252"/>
      <c r="MYC956" s="252"/>
      <c r="MYD956" s="252"/>
      <c r="MYE956" s="252"/>
      <c r="MYF956" s="252"/>
      <c r="MYG956" s="252"/>
      <c r="MYH956" s="252"/>
      <c r="MYI956" s="252"/>
      <c r="MYJ956" s="252"/>
      <c r="MYK956" s="252"/>
      <c r="MYL956" s="252"/>
      <c r="MYM956" s="252"/>
      <c r="MYN956" s="252"/>
      <c r="MYO956" s="252"/>
      <c r="MYP956" s="252"/>
      <c r="MYQ956" s="252"/>
      <c r="MYR956" s="252"/>
      <c r="MYS956" s="252"/>
      <c r="MYT956" s="252"/>
      <c r="MYU956" s="252"/>
      <c r="MYV956" s="252"/>
      <c r="MYW956" s="252"/>
      <c r="MYX956" s="252"/>
      <c r="MYY956" s="252"/>
      <c r="MYZ956" s="252"/>
      <c r="MZA956" s="252"/>
      <c r="MZB956" s="252"/>
      <c r="MZC956" s="252"/>
      <c r="MZD956" s="252"/>
      <c r="MZE956" s="252"/>
      <c r="MZF956" s="252"/>
      <c r="MZG956" s="252"/>
      <c r="MZH956" s="252"/>
      <c r="MZI956" s="252"/>
      <c r="MZJ956" s="252"/>
      <c r="MZK956" s="252"/>
      <c r="MZL956" s="252"/>
      <c r="MZM956" s="252"/>
      <c r="MZN956" s="252"/>
      <c r="MZO956" s="252"/>
      <c r="MZP956" s="252"/>
      <c r="MZQ956" s="252"/>
      <c r="MZR956" s="252"/>
      <c r="MZS956" s="252"/>
      <c r="MZT956" s="252"/>
      <c r="MZU956" s="252"/>
      <c r="MZV956" s="252"/>
      <c r="MZW956" s="252"/>
      <c r="MZX956" s="252"/>
      <c r="MZY956" s="252"/>
      <c r="MZZ956" s="252"/>
      <c r="NAA956" s="252"/>
      <c r="NAB956" s="252"/>
      <c r="NAC956" s="252"/>
      <c r="NAD956" s="252"/>
      <c r="NAE956" s="252"/>
      <c r="NAF956" s="252"/>
      <c r="NAG956" s="252"/>
      <c r="NAH956" s="252"/>
      <c r="NAI956" s="252"/>
      <c r="NAJ956" s="252"/>
      <c r="NAK956" s="252"/>
      <c r="NAL956" s="252"/>
      <c r="NAM956" s="252"/>
      <c r="NAN956" s="252"/>
      <c r="NAO956" s="252"/>
      <c r="NAP956" s="252"/>
      <c r="NAQ956" s="252"/>
      <c r="NAR956" s="252"/>
      <c r="NAS956" s="252"/>
      <c r="NAT956" s="252"/>
      <c r="NAU956" s="252"/>
      <c r="NAV956" s="252"/>
      <c r="NAW956" s="252"/>
      <c r="NAX956" s="252"/>
      <c r="NAY956" s="252"/>
      <c r="NAZ956" s="252"/>
      <c r="NBA956" s="252"/>
      <c r="NBB956" s="252"/>
      <c r="NBC956" s="252"/>
      <c r="NBD956" s="252"/>
      <c r="NBE956" s="252"/>
      <c r="NBF956" s="252"/>
      <c r="NBG956" s="252"/>
      <c r="NBH956" s="252"/>
      <c r="NBI956" s="252"/>
      <c r="NBJ956" s="252"/>
      <c r="NBK956" s="252"/>
      <c r="NBL956" s="252"/>
      <c r="NBM956" s="252"/>
      <c r="NBN956" s="252"/>
      <c r="NBO956" s="252"/>
      <c r="NBP956" s="252"/>
      <c r="NBQ956" s="252"/>
      <c r="NBR956" s="252"/>
      <c r="NBS956" s="252"/>
      <c r="NBT956" s="252"/>
      <c r="NBU956" s="252"/>
      <c r="NBV956" s="252"/>
      <c r="NBW956" s="252"/>
      <c r="NBX956" s="252"/>
      <c r="NBY956" s="252"/>
      <c r="NBZ956" s="252"/>
      <c r="NCA956" s="252"/>
      <c r="NCB956" s="252"/>
      <c r="NCC956" s="252"/>
      <c r="NCD956" s="252"/>
      <c r="NCE956" s="252"/>
      <c r="NCF956" s="252"/>
      <c r="NCG956" s="252"/>
      <c r="NCH956" s="252"/>
      <c r="NCI956" s="252"/>
      <c r="NCJ956" s="252"/>
      <c r="NCK956" s="252"/>
      <c r="NCL956" s="252"/>
      <c r="NCM956" s="252"/>
      <c r="NCN956" s="252"/>
      <c r="NCO956" s="252"/>
      <c r="NCP956" s="252"/>
      <c r="NCQ956" s="252"/>
      <c r="NCR956" s="252"/>
      <c r="NCS956" s="252"/>
      <c r="NCT956" s="252"/>
      <c r="NCU956" s="252"/>
      <c r="NCV956" s="252"/>
      <c r="NCW956" s="252"/>
      <c r="NCX956" s="252"/>
      <c r="NCY956" s="252"/>
      <c r="NCZ956" s="252"/>
      <c r="NDA956" s="252"/>
      <c r="NDB956" s="252"/>
      <c r="NDC956" s="252"/>
      <c r="NDD956" s="252"/>
      <c r="NDE956" s="252"/>
      <c r="NDF956" s="252"/>
      <c r="NDG956" s="252"/>
      <c r="NDH956" s="252"/>
      <c r="NDI956" s="252"/>
      <c r="NDJ956" s="252"/>
      <c r="NDK956" s="252"/>
      <c r="NDL956" s="252"/>
      <c r="NDM956" s="252"/>
      <c r="NDN956" s="252"/>
      <c r="NDO956" s="252"/>
      <c r="NDP956" s="252"/>
      <c r="NDQ956" s="252"/>
      <c r="NDR956" s="252"/>
      <c r="NDS956" s="252"/>
      <c r="NDT956" s="252"/>
      <c r="NDU956" s="252"/>
      <c r="NDV956" s="252"/>
      <c r="NDW956" s="252"/>
      <c r="NDX956" s="252"/>
      <c r="NDY956" s="252"/>
      <c r="NDZ956" s="252"/>
      <c r="NEA956" s="252"/>
      <c r="NEB956" s="252"/>
      <c r="NEC956" s="252"/>
      <c r="NED956" s="252"/>
      <c r="NEE956" s="252"/>
      <c r="NEF956" s="252"/>
      <c r="NEG956" s="252"/>
      <c r="NEH956" s="252"/>
      <c r="NEI956" s="252"/>
      <c r="NEJ956" s="252"/>
      <c r="NEK956" s="252"/>
      <c r="NEL956" s="252"/>
      <c r="NEM956" s="252"/>
      <c r="NEN956" s="252"/>
      <c r="NEO956" s="252"/>
      <c r="NEP956" s="252"/>
      <c r="NEQ956" s="252"/>
      <c r="NER956" s="252"/>
      <c r="NES956" s="252"/>
      <c r="NET956" s="252"/>
      <c r="NEU956" s="252"/>
      <c r="NEV956" s="252"/>
      <c r="NEW956" s="252"/>
      <c r="NEX956" s="252"/>
      <c r="NEY956" s="252"/>
      <c r="NEZ956" s="252"/>
      <c r="NFA956" s="252"/>
      <c r="NFB956" s="252"/>
      <c r="NFC956" s="252"/>
      <c r="NFD956" s="252"/>
      <c r="NFE956" s="252"/>
      <c r="NFF956" s="252"/>
      <c r="NFG956" s="252"/>
      <c r="NFH956" s="252"/>
      <c r="NFI956" s="252"/>
      <c r="NFJ956" s="252"/>
      <c r="NFK956" s="252"/>
      <c r="NFL956" s="252"/>
      <c r="NFM956" s="252"/>
      <c r="NFN956" s="252"/>
      <c r="NFO956" s="252"/>
      <c r="NFP956" s="252"/>
      <c r="NFQ956" s="252"/>
      <c r="NFR956" s="252"/>
      <c r="NFS956" s="252"/>
      <c r="NFT956" s="252"/>
      <c r="NFU956" s="252"/>
      <c r="NFV956" s="252"/>
      <c r="NFW956" s="252"/>
      <c r="NFX956" s="252"/>
      <c r="NFY956" s="252"/>
      <c r="NFZ956" s="252"/>
      <c r="NGA956" s="252"/>
      <c r="NGB956" s="252"/>
      <c r="NGC956" s="252"/>
      <c r="NGD956" s="252"/>
      <c r="NGE956" s="252"/>
      <c r="NGF956" s="252"/>
      <c r="NGG956" s="252"/>
      <c r="NGH956" s="252"/>
      <c r="NGI956" s="252"/>
      <c r="NGJ956" s="252"/>
      <c r="NGK956" s="252"/>
      <c r="NGL956" s="252"/>
      <c r="NGM956" s="252"/>
      <c r="NGN956" s="252"/>
      <c r="NGO956" s="252"/>
      <c r="NGP956" s="252"/>
      <c r="NGQ956" s="252"/>
      <c r="NGR956" s="252"/>
      <c r="NGS956" s="252"/>
      <c r="NGT956" s="252"/>
      <c r="NGU956" s="252"/>
      <c r="NGV956" s="252"/>
      <c r="NGW956" s="252"/>
      <c r="NGX956" s="252"/>
      <c r="NGY956" s="252"/>
      <c r="NGZ956" s="252"/>
      <c r="NHA956" s="252"/>
      <c r="NHB956" s="252"/>
      <c r="NHC956" s="252"/>
      <c r="NHD956" s="252"/>
      <c r="NHE956" s="252"/>
      <c r="NHF956" s="252"/>
      <c r="NHG956" s="252"/>
      <c r="NHH956" s="252"/>
      <c r="NHI956" s="252"/>
      <c r="NHJ956" s="252"/>
      <c r="NHK956" s="252"/>
      <c r="NHL956" s="252"/>
      <c r="NHM956" s="252"/>
      <c r="NHN956" s="252"/>
      <c r="NHO956" s="252"/>
      <c r="NHP956" s="252"/>
      <c r="NHQ956" s="252"/>
      <c r="NHR956" s="252"/>
      <c r="NHS956" s="252"/>
      <c r="NHT956" s="252"/>
      <c r="NHU956" s="252"/>
      <c r="NHV956" s="252"/>
      <c r="NHW956" s="252"/>
      <c r="NHX956" s="252"/>
      <c r="NHY956" s="252"/>
      <c r="NHZ956" s="252"/>
      <c r="NIA956" s="252"/>
      <c r="NIB956" s="252"/>
      <c r="NIC956" s="252"/>
      <c r="NID956" s="252"/>
      <c r="NIE956" s="252"/>
      <c r="NIF956" s="252"/>
      <c r="NIG956" s="252"/>
      <c r="NIH956" s="252"/>
      <c r="NII956" s="252"/>
      <c r="NIJ956" s="252"/>
      <c r="NIK956" s="252"/>
      <c r="NIL956" s="252"/>
      <c r="NIM956" s="252"/>
      <c r="NIN956" s="252"/>
      <c r="NIO956" s="252"/>
      <c r="NIP956" s="252"/>
      <c r="NIQ956" s="252"/>
      <c r="NIR956" s="252"/>
      <c r="NIS956" s="252"/>
      <c r="NIT956" s="252"/>
      <c r="NIU956" s="252"/>
      <c r="NIV956" s="252"/>
      <c r="NIW956" s="252"/>
      <c r="NIX956" s="252"/>
      <c r="NIY956" s="252"/>
      <c r="NIZ956" s="252"/>
      <c r="NJA956" s="252"/>
      <c r="NJB956" s="252"/>
      <c r="NJC956" s="252"/>
      <c r="NJD956" s="252"/>
      <c r="NJE956" s="252"/>
      <c r="NJF956" s="252"/>
      <c r="NJG956" s="252"/>
      <c r="NJH956" s="252"/>
      <c r="NJI956" s="252"/>
      <c r="NJJ956" s="252"/>
      <c r="NJK956" s="252"/>
      <c r="NJL956" s="252"/>
      <c r="NJM956" s="252"/>
      <c r="NJN956" s="252"/>
      <c r="NJO956" s="252"/>
      <c r="NJP956" s="252"/>
      <c r="NJQ956" s="252"/>
      <c r="NJR956" s="252"/>
      <c r="NJS956" s="252"/>
      <c r="NJT956" s="252"/>
      <c r="NJU956" s="252"/>
      <c r="NJV956" s="252"/>
      <c r="NJW956" s="252"/>
      <c r="NJX956" s="252"/>
      <c r="NJY956" s="252"/>
      <c r="NJZ956" s="252"/>
      <c r="NKA956" s="252"/>
      <c r="NKB956" s="252"/>
      <c r="NKC956" s="252"/>
      <c r="NKD956" s="252"/>
      <c r="NKE956" s="252"/>
      <c r="NKF956" s="252"/>
      <c r="NKG956" s="252"/>
      <c r="NKH956" s="252"/>
      <c r="NKI956" s="252"/>
      <c r="NKJ956" s="252"/>
      <c r="NKK956" s="252"/>
      <c r="NKL956" s="252"/>
      <c r="NKM956" s="252"/>
      <c r="NKN956" s="252"/>
      <c r="NKO956" s="252"/>
      <c r="NKP956" s="252"/>
      <c r="NKQ956" s="252"/>
      <c r="NKR956" s="252"/>
      <c r="NKS956" s="252"/>
      <c r="NKT956" s="252"/>
      <c r="NKU956" s="252"/>
      <c r="NKV956" s="252"/>
      <c r="NKW956" s="252"/>
      <c r="NKX956" s="252"/>
      <c r="NKY956" s="252"/>
      <c r="NKZ956" s="252"/>
      <c r="NLA956" s="252"/>
      <c r="NLB956" s="252"/>
      <c r="NLC956" s="252"/>
      <c r="NLD956" s="252"/>
      <c r="NLE956" s="252"/>
      <c r="NLF956" s="252"/>
      <c r="NLG956" s="252"/>
      <c r="NLH956" s="252"/>
      <c r="NLI956" s="252"/>
      <c r="NLJ956" s="252"/>
      <c r="NLK956" s="252"/>
      <c r="NLL956" s="252"/>
      <c r="NLM956" s="252"/>
      <c r="NLN956" s="252"/>
      <c r="NLO956" s="252"/>
      <c r="NLP956" s="252"/>
      <c r="NLQ956" s="252"/>
      <c r="NLR956" s="252"/>
      <c r="NLS956" s="252"/>
      <c r="NLT956" s="252"/>
      <c r="NLU956" s="252"/>
      <c r="NLV956" s="252"/>
      <c r="NLW956" s="252"/>
      <c r="NLX956" s="252"/>
      <c r="NLY956" s="252"/>
      <c r="NLZ956" s="252"/>
      <c r="NMA956" s="252"/>
      <c r="NMB956" s="252"/>
      <c r="NMC956" s="252"/>
      <c r="NMD956" s="252"/>
      <c r="NME956" s="252"/>
      <c r="NMF956" s="252"/>
      <c r="NMG956" s="252"/>
      <c r="NMH956" s="252"/>
      <c r="NMI956" s="252"/>
      <c r="NMJ956" s="252"/>
      <c r="NMK956" s="252"/>
      <c r="NML956" s="252"/>
      <c r="NMM956" s="252"/>
      <c r="NMN956" s="252"/>
      <c r="NMO956" s="252"/>
      <c r="NMP956" s="252"/>
      <c r="NMQ956" s="252"/>
      <c r="NMR956" s="252"/>
      <c r="NMS956" s="252"/>
      <c r="NMT956" s="252"/>
      <c r="NMU956" s="252"/>
      <c r="NMV956" s="252"/>
      <c r="NMW956" s="252"/>
      <c r="NMX956" s="252"/>
      <c r="NMY956" s="252"/>
      <c r="NMZ956" s="252"/>
      <c r="NNA956" s="252"/>
      <c r="NNB956" s="252"/>
      <c r="NNC956" s="252"/>
      <c r="NND956" s="252"/>
      <c r="NNE956" s="252"/>
      <c r="NNF956" s="252"/>
      <c r="NNG956" s="252"/>
      <c r="NNH956" s="252"/>
      <c r="NNI956" s="252"/>
      <c r="NNJ956" s="252"/>
      <c r="NNK956" s="252"/>
      <c r="NNL956" s="252"/>
      <c r="NNM956" s="252"/>
      <c r="NNN956" s="252"/>
      <c r="NNO956" s="252"/>
      <c r="NNP956" s="252"/>
      <c r="NNQ956" s="252"/>
      <c r="NNR956" s="252"/>
      <c r="NNS956" s="252"/>
      <c r="NNT956" s="252"/>
      <c r="NNU956" s="252"/>
      <c r="NNV956" s="252"/>
      <c r="NNW956" s="252"/>
      <c r="NNX956" s="252"/>
      <c r="NNY956" s="252"/>
      <c r="NNZ956" s="252"/>
      <c r="NOA956" s="252"/>
      <c r="NOB956" s="252"/>
      <c r="NOC956" s="252"/>
      <c r="NOD956" s="252"/>
      <c r="NOE956" s="252"/>
      <c r="NOF956" s="252"/>
      <c r="NOG956" s="252"/>
      <c r="NOH956" s="252"/>
      <c r="NOI956" s="252"/>
      <c r="NOJ956" s="252"/>
      <c r="NOK956" s="252"/>
      <c r="NOL956" s="252"/>
      <c r="NOM956" s="252"/>
      <c r="NON956" s="252"/>
      <c r="NOO956" s="252"/>
      <c r="NOP956" s="252"/>
      <c r="NOQ956" s="252"/>
      <c r="NOR956" s="252"/>
      <c r="NOS956" s="252"/>
      <c r="NOT956" s="252"/>
      <c r="NOU956" s="252"/>
      <c r="NOV956" s="252"/>
      <c r="NOW956" s="252"/>
      <c r="NOX956" s="252"/>
      <c r="NOY956" s="252"/>
      <c r="NOZ956" s="252"/>
      <c r="NPA956" s="252"/>
      <c r="NPB956" s="252"/>
      <c r="NPC956" s="252"/>
      <c r="NPD956" s="252"/>
      <c r="NPE956" s="252"/>
      <c r="NPF956" s="252"/>
      <c r="NPG956" s="252"/>
      <c r="NPH956" s="252"/>
      <c r="NPI956" s="252"/>
      <c r="NPJ956" s="252"/>
      <c r="NPK956" s="252"/>
      <c r="NPL956" s="252"/>
      <c r="NPM956" s="252"/>
      <c r="NPN956" s="252"/>
      <c r="NPO956" s="252"/>
      <c r="NPP956" s="252"/>
      <c r="NPQ956" s="252"/>
      <c r="NPR956" s="252"/>
      <c r="NPS956" s="252"/>
      <c r="NPT956" s="252"/>
      <c r="NPU956" s="252"/>
      <c r="NPV956" s="252"/>
      <c r="NPW956" s="252"/>
      <c r="NPX956" s="252"/>
      <c r="NPY956" s="252"/>
      <c r="NPZ956" s="252"/>
      <c r="NQA956" s="252"/>
      <c r="NQB956" s="252"/>
      <c r="NQC956" s="252"/>
      <c r="NQD956" s="252"/>
      <c r="NQE956" s="252"/>
      <c r="NQF956" s="252"/>
      <c r="NQG956" s="252"/>
      <c r="NQH956" s="252"/>
      <c r="NQI956" s="252"/>
      <c r="NQJ956" s="252"/>
      <c r="NQK956" s="252"/>
      <c r="NQL956" s="252"/>
      <c r="NQM956" s="252"/>
      <c r="NQN956" s="252"/>
      <c r="NQO956" s="252"/>
      <c r="NQP956" s="252"/>
      <c r="NQQ956" s="252"/>
      <c r="NQR956" s="252"/>
      <c r="NQS956" s="252"/>
      <c r="NQT956" s="252"/>
      <c r="NQU956" s="252"/>
      <c r="NQV956" s="252"/>
      <c r="NQW956" s="252"/>
      <c r="NQX956" s="252"/>
      <c r="NQY956" s="252"/>
      <c r="NQZ956" s="252"/>
      <c r="NRA956" s="252"/>
      <c r="NRB956" s="252"/>
      <c r="NRC956" s="252"/>
      <c r="NRD956" s="252"/>
      <c r="NRE956" s="252"/>
      <c r="NRF956" s="252"/>
      <c r="NRG956" s="252"/>
      <c r="NRH956" s="252"/>
      <c r="NRI956" s="252"/>
      <c r="NRJ956" s="252"/>
      <c r="NRK956" s="252"/>
      <c r="NRL956" s="252"/>
      <c r="NRM956" s="252"/>
      <c r="NRN956" s="252"/>
      <c r="NRO956" s="252"/>
      <c r="NRP956" s="252"/>
      <c r="NRQ956" s="252"/>
      <c r="NRR956" s="252"/>
      <c r="NRS956" s="252"/>
      <c r="NRT956" s="252"/>
      <c r="NRU956" s="252"/>
      <c r="NRV956" s="252"/>
      <c r="NRW956" s="252"/>
      <c r="NRX956" s="252"/>
      <c r="NRY956" s="252"/>
      <c r="NRZ956" s="252"/>
      <c r="NSA956" s="252"/>
      <c r="NSB956" s="252"/>
      <c r="NSC956" s="252"/>
      <c r="NSD956" s="252"/>
      <c r="NSE956" s="252"/>
      <c r="NSF956" s="252"/>
      <c r="NSG956" s="252"/>
      <c r="NSH956" s="252"/>
      <c r="NSI956" s="252"/>
      <c r="NSJ956" s="252"/>
      <c r="NSK956" s="252"/>
      <c r="NSL956" s="252"/>
      <c r="NSM956" s="252"/>
      <c r="NSN956" s="252"/>
      <c r="NSO956" s="252"/>
      <c r="NSP956" s="252"/>
      <c r="NSQ956" s="252"/>
      <c r="NSR956" s="252"/>
      <c r="NSS956" s="252"/>
      <c r="NST956" s="252"/>
      <c r="NSU956" s="252"/>
      <c r="NSV956" s="252"/>
      <c r="NSW956" s="252"/>
      <c r="NSX956" s="252"/>
      <c r="NSY956" s="252"/>
      <c r="NSZ956" s="252"/>
      <c r="NTA956" s="252"/>
      <c r="NTB956" s="252"/>
      <c r="NTC956" s="252"/>
      <c r="NTD956" s="252"/>
      <c r="NTE956" s="252"/>
      <c r="NTF956" s="252"/>
      <c r="NTG956" s="252"/>
      <c r="NTH956" s="252"/>
      <c r="NTI956" s="252"/>
      <c r="NTJ956" s="252"/>
      <c r="NTK956" s="252"/>
      <c r="NTL956" s="252"/>
      <c r="NTM956" s="252"/>
      <c r="NTN956" s="252"/>
      <c r="NTO956" s="252"/>
      <c r="NTP956" s="252"/>
      <c r="NTQ956" s="252"/>
      <c r="NTR956" s="252"/>
      <c r="NTS956" s="252"/>
      <c r="NTT956" s="252"/>
      <c r="NTU956" s="252"/>
      <c r="NTV956" s="252"/>
      <c r="NTW956" s="252"/>
      <c r="NTX956" s="252"/>
      <c r="NTY956" s="252"/>
      <c r="NTZ956" s="252"/>
      <c r="NUA956" s="252"/>
      <c r="NUB956" s="252"/>
      <c r="NUC956" s="252"/>
      <c r="NUD956" s="252"/>
      <c r="NUE956" s="252"/>
      <c r="NUF956" s="252"/>
      <c r="NUG956" s="252"/>
      <c r="NUH956" s="252"/>
      <c r="NUI956" s="252"/>
      <c r="NUJ956" s="252"/>
      <c r="NUK956" s="252"/>
      <c r="NUL956" s="252"/>
      <c r="NUM956" s="252"/>
      <c r="NUN956" s="252"/>
      <c r="NUO956" s="252"/>
      <c r="NUP956" s="252"/>
      <c r="NUQ956" s="252"/>
      <c r="NUR956" s="252"/>
      <c r="NUS956" s="252"/>
      <c r="NUT956" s="252"/>
      <c r="NUU956" s="252"/>
      <c r="NUV956" s="252"/>
      <c r="NUW956" s="252"/>
      <c r="NUX956" s="252"/>
      <c r="NUY956" s="252"/>
      <c r="NUZ956" s="252"/>
      <c r="NVA956" s="252"/>
      <c r="NVB956" s="252"/>
      <c r="NVC956" s="252"/>
      <c r="NVD956" s="252"/>
      <c r="NVE956" s="252"/>
      <c r="NVF956" s="252"/>
      <c r="NVG956" s="252"/>
      <c r="NVH956" s="252"/>
      <c r="NVI956" s="252"/>
      <c r="NVJ956" s="252"/>
      <c r="NVK956" s="252"/>
      <c r="NVL956" s="252"/>
      <c r="NVM956" s="252"/>
      <c r="NVN956" s="252"/>
      <c r="NVO956" s="252"/>
      <c r="NVP956" s="252"/>
      <c r="NVQ956" s="252"/>
      <c r="NVR956" s="252"/>
      <c r="NVS956" s="252"/>
      <c r="NVT956" s="252"/>
      <c r="NVU956" s="252"/>
      <c r="NVV956" s="252"/>
      <c r="NVW956" s="252"/>
      <c r="NVX956" s="252"/>
      <c r="NVY956" s="252"/>
      <c r="NVZ956" s="252"/>
      <c r="NWA956" s="252"/>
      <c r="NWB956" s="252"/>
      <c r="NWC956" s="252"/>
      <c r="NWD956" s="252"/>
      <c r="NWE956" s="252"/>
      <c r="NWF956" s="252"/>
      <c r="NWG956" s="252"/>
      <c r="NWH956" s="252"/>
      <c r="NWI956" s="252"/>
      <c r="NWJ956" s="252"/>
      <c r="NWK956" s="252"/>
      <c r="NWL956" s="252"/>
      <c r="NWM956" s="252"/>
      <c r="NWN956" s="252"/>
      <c r="NWO956" s="252"/>
      <c r="NWP956" s="252"/>
      <c r="NWQ956" s="252"/>
      <c r="NWR956" s="252"/>
      <c r="NWS956" s="252"/>
      <c r="NWT956" s="252"/>
      <c r="NWU956" s="252"/>
      <c r="NWV956" s="252"/>
      <c r="NWW956" s="252"/>
      <c r="NWX956" s="252"/>
      <c r="NWY956" s="252"/>
      <c r="NWZ956" s="252"/>
      <c r="NXA956" s="252"/>
      <c r="NXB956" s="252"/>
      <c r="NXC956" s="252"/>
      <c r="NXD956" s="252"/>
      <c r="NXE956" s="252"/>
      <c r="NXF956" s="252"/>
      <c r="NXG956" s="252"/>
      <c r="NXH956" s="252"/>
      <c r="NXI956" s="252"/>
      <c r="NXJ956" s="252"/>
      <c r="NXK956" s="252"/>
      <c r="NXL956" s="252"/>
      <c r="NXM956" s="252"/>
      <c r="NXN956" s="252"/>
      <c r="NXO956" s="252"/>
      <c r="NXP956" s="252"/>
      <c r="NXQ956" s="252"/>
      <c r="NXR956" s="252"/>
      <c r="NXS956" s="252"/>
      <c r="NXT956" s="252"/>
      <c r="NXU956" s="252"/>
      <c r="NXV956" s="252"/>
      <c r="NXW956" s="252"/>
      <c r="NXX956" s="252"/>
      <c r="NXY956" s="252"/>
      <c r="NXZ956" s="252"/>
      <c r="NYA956" s="252"/>
      <c r="NYB956" s="252"/>
      <c r="NYC956" s="252"/>
      <c r="NYD956" s="252"/>
      <c r="NYE956" s="252"/>
      <c r="NYF956" s="252"/>
      <c r="NYG956" s="252"/>
      <c r="NYH956" s="252"/>
      <c r="NYI956" s="252"/>
      <c r="NYJ956" s="252"/>
      <c r="NYK956" s="252"/>
      <c r="NYL956" s="252"/>
      <c r="NYM956" s="252"/>
      <c r="NYN956" s="252"/>
      <c r="NYO956" s="252"/>
      <c r="NYP956" s="252"/>
      <c r="NYQ956" s="252"/>
      <c r="NYR956" s="252"/>
      <c r="NYS956" s="252"/>
      <c r="NYT956" s="252"/>
      <c r="NYU956" s="252"/>
      <c r="NYV956" s="252"/>
      <c r="NYW956" s="252"/>
      <c r="NYX956" s="252"/>
      <c r="NYY956" s="252"/>
      <c r="NYZ956" s="252"/>
      <c r="NZA956" s="252"/>
      <c r="NZB956" s="252"/>
      <c r="NZC956" s="252"/>
      <c r="NZD956" s="252"/>
      <c r="NZE956" s="252"/>
      <c r="NZF956" s="252"/>
      <c r="NZG956" s="252"/>
      <c r="NZH956" s="252"/>
      <c r="NZI956" s="252"/>
      <c r="NZJ956" s="252"/>
      <c r="NZK956" s="252"/>
      <c r="NZL956" s="252"/>
      <c r="NZM956" s="252"/>
      <c r="NZN956" s="252"/>
      <c r="NZO956" s="252"/>
      <c r="NZP956" s="252"/>
      <c r="NZQ956" s="252"/>
      <c r="NZR956" s="252"/>
      <c r="NZS956" s="252"/>
      <c r="NZT956" s="252"/>
      <c r="NZU956" s="252"/>
      <c r="NZV956" s="252"/>
      <c r="NZW956" s="252"/>
      <c r="NZX956" s="252"/>
      <c r="NZY956" s="252"/>
      <c r="NZZ956" s="252"/>
      <c r="OAA956" s="252"/>
      <c r="OAB956" s="252"/>
      <c r="OAC956" s="252"/>
      <c r="OAD956" s="252"/>
      <c r="OAE956" s="252"/>
      <c r="OAF956" s="252"/>
      <c r="OAG956" s="252"/>
      <c r="OAH956" s="252"/>
      <c r="OAI956" s="252"/>
      <c r="OAJ956" s="252"/>
      <c r="OAK956" s="252"/>
      <c r="OAL956" s="252"/>
      <c r="OAM956" s="252"/>
      <c r="OAN956" s="252"/>
      <c r="OAO956" s="252"/>
      <c r="OAP956" s="252"/>
      <c r="OAQ956" s="252"/>
      <c r="OAR956" s="252"/>
      <c r="OAS956" s="252"/>
      <c r="OAT956" s="252"/>
      <c r="OAU956" s="252"/>
      <c r="OAV956" s="252"/>
      <c r="OAW956" s="252"/>
      <c r="OAX956" s="252"/>
      <c r="OAY956" s="252"/>
      <c r="OAZ956" s="252"/>
      <c r="OBA956" s="252"/>
      <c r="OBB956" s="252"/>
      <c r="OBC956" s="252"/>
      <c r="OBD956" s="252"/>
      <c r="OBE956" s="252"/>
      <c r="OBF956" s="252"/>
      <c r="OBG956" s="252"/>
      <c r="OBH956" s="252"/>
      <c r="OBI956" s="252"/>
      <c r="OBJ956" s="252"/>
      <c r="OBK956" s="252"/>
      <c r="OBL956" s="252"/>
      <c r="OBM956" s="252"/>
      <c r="OBN956" s="252"/>
      <c r="OBO956" s="252"/>
      <c r="OBP956" s="252"/>
      <c r="OBQ956" s="252"/>
      <c r="OBR956" s="252"/>
      <c r="OBS956" s="252"/>
      <c r="OBT956" s="252"/>
      <c r="OBU956" s="252"/>
      <c r="OBV956" s="252"/>
      <c r="OBW956" s="252"/>
      <c r="OBX956" s="252"/>
      <c r="OBY956" s="252"/>
      <c r="OBZ956" s="252"/>
      <c r="OCA956" s="252"/>
      <c r="OCB956" s="252"/>
      <c r="OCC956" s="252"/>
      <c r="OCD956" s="252"/>
      <c r="OCE956" s="252"/>
      <c r="OCF956" s="252"/>
      <c r="OCG956" s="252"/>
      <c r="OCH956" s="252"/>
      <c r="OCI956" s="252"/>
      <c r="OCJ956" s="252"/>
      <c r="OCK956" s="252"/>
      <c r="OCL956" s="252"/>
      <c r="OCM956" s="252"/>
      <c r="OCN956" s="252"/>
      <c r="OCO956" s="252"/>
      <c r="OCP956" s="252"/>
      <c r="OCQ956" s="252"/>
      <c r="OCR956" s="252"/>
      <c r="OCS956" s="252"/>
      <c r="OCT956" s="252"/>
      <c r="OCU956" s="252"/>
      <c r="OCV956" s="252"/>
      <c r="OCW956" s="252"/>
      <c r="OCX956" s="252"/>
      <c r="OCY956" s="252"/>
      <c r="OCZ956" s="252"/>
      <c r="ODA956" s="252"/>
      <c r="ODB956" s="252"/>
      <c r="ODC956" s="252"/>
      <c r="ODD956" s="252"/>
      <c r="ODE956" s="252"/>
      <c r="ODF956" s="252"/>
      <c r="ODG956" s="252"/>
      <c r="ODH956" s="252"/>
      <c r="ODI956" s="252"/>
      <c r="ODJ956" s="252"/>
      <c r="ODK956" s="252"/>
      <c r="ODL956" s="252"/>
      <c r="ODM956" s="252"/>
      <c r="ODN956" s="252"/>
      <c r="ODO956" s="252"/>
      <c r="ODP956" s="252"/>
      <c r="ODQ956" s="252"/>
      <c r="ODR956" s="252"/>
      <c r="ODS956" s="252"/>
      <c r="ODT956" s="252"/>
      <c r="ODU956" s="252"/>
      <c r="ODV956" s="252"/>
      <c r="ODW956" s="252"/>
      <c r="ODX956" s="252"/>
      <c r="ODY956" s="252"/>
      <c r="ODZ956" s="252"/>
      <c r="OEA956" s="252"/>
      <c r="OEB956" s="252"/>
      <c r="OEC956" s="252"/>
      <c r="OED956" s="252"/>
      <c r="OEE956" s="252"/>
      <c r="OEF956" s="252"/>
      <c r="OEG956" s="252"/>
      <c r="OEH956" s="252"/>
      <c r="OEI956" s="252"/>
      <c r="OEJ956" s="252"/>
      <c r="OEK956" s="252"/>
      <c r="OEL956" s="252"/>
      <c r="OEM956" s="252"/>
      <c r="OEN956" s="252"/>
      <c r="OEO956" s="252"/>
      <c r="OEP956" s="252"/>
      <c r="OEQ956" s="252"/>
      <c r="OER956" s="252"/>
      <c r="OES956" s="252"/>
      <c r="OET956" s="252"/>
      <c r="OEU956" s="252"/>
      <c r="OEV956" s="252"/>
      <c r="OEW956" s="252"/>
      <c r="OEX956" s="252"/>
      <c r="OEY956" s="252"/>
      <c r="OEZ956" s="252"/>
      <c r="OFA956" s="252"/>
      <c r="OFB956" s="252"/>
      <c r="OFC956" s="252"/>
      <c r="OFD956" s="252"/>
      <c r="OFE956" s="252"/>
      <c r="OFF956" s="252"/>
      <c r="OFG956" s="252"/>
      <c r="OFH956" s="252"/>
      <c r="OFI956" s="252"/>
      <c r="OFJ956" s="252"/>
      <c r="OFK956" s="252"/>
      <c r="OFL956" s="252"/>
      <c r="OFM956" s="252"/>
      <c r="OFN956" s="252"/>
      <c r="OFO956" s="252"/>
      <c r="OFP956" s="252"/>
      <c r="OFQ956" s="252"/>
      <c r="OFR956" s="252"/>
      <c r="OFS956" s="252"/>
      <c r="OFT956" s="252"/>
      <c r="OFU956" s="252"/>
      <c r="OFV956" s="252"/>
      <c r="OFW956" s="252"/>
      <c r="OFX956" s="252"/>
      <c r="OFY956" s="252"/>
      <c r="OFZ956" s="252"/>
      <c r="OGA956" s="252"/>
      <c r="OGB956" s="252"/>
      <c r="OGC956" s="252"/>
      <c r="OGD956" s="252"/>
      <c r="OGE956" s="252"/>
      <c r="OGF956" s="252"/>
      <c r="OGG956" s="252"/>
      <c r="OGH956" s="252"/>
      <c r="OGI956" s="252"/>
      <c r="OGJ956" s="252"/>
      <c r="OGK956" s="252"/>
      <c r="OGL956" s="252"/>
      <c r="OGM956" s="252"/>
      <c r="OGN956" s="252"/>
      <c r="OGO956" s="252"/>
      <c r="OGP956" s="252"/>
      <c r="OGQ956" s="252"/>
      <c r="OGR956" s="252"/>
      <c r="OGS956" s="252"/>
      <c r="OGT956" s="252"/>
      <c r="OGU956" s="252"/>
      <c r="OGV956" s="252"/>
      <c r="OGW956" s="252"/>
      <c r="OGX956" s="252"/>
      <c r="OGY956" s="252"/>
      <c r="OGZ956" s="252"/>
      <c r="OHA956" s="252"/>
      <c r="OHB956" s="252"/>
      <c r="OHC956" s="252"/>
      <c r="OHD956" s="252"/>
      <c r="OHE956" s="252"/>
      <c r="OHF956" s="252"/>
      <c r="OHG956" s="252"/>
      <c r="OHH956" s="252"/>
      <c r="OHI956" s="252"/>
      <c r="OHJ956" s="252"/>
      <c r="OHK956" s="252"/>
      <c r="OHL956" s="252"/>
      <c r="OHM956" s="252"/>
      <c r="OHN956" s="252"/>
      <c r="OHO956" s="252"/>
      <c r="OHP956" s="252"/>
      <c r="OHQ956" s="252"/>
      <c r="OHR956" s="252"/>
      <c r="OHS956" s="252"/>
      <c r="OHT956" s="252"/>
      <c r="OHU956" s="252"/>
      <c r="OHV956" s="252"/>
      <c r="OHW956" s="252"/>
      <c r="OHX956" s="252"/>
      <c r="OHY956" s="252"/>
      <c r="OHZ956" s="252"/>
      <c r="OIA956" s="252"/>
      <c r="OIB956" s="252"/>
      <c r="OIC956" s="252"/>
      <c r="OID956" s="252"/>
      <c r="OIE956" s="252"/>
      <c r="OIF956" s="252"/>
      <c r="OIG956" s="252"/>
      <c r="OIH956" s="252"/>
      <c r="OII956" s="252"/>
      <c r="OIJ956" s="252"/>
      <c r="OIK956" s="252"/>
      <c r="OIL956" s="252"/>
      <c r="OIM956" s="252"/>
      <c r="OIN956" s="252"/>
      <c r="OIO956" s="252"/>
      <c r="OIP956" s="252"/>
      <c r="OIQ956" s="252"/>
      <c r="OIR956" s="252"/>
      <c r="OIS956" s="252"/>
      <c r="OIT956" s="252"/>
      <c r="OIU956" s="252"/>
      <c r="OIV956" s="252"/>
      <c r="OIW956" s="252"/>
      <c r="OIX956" s="252"/>
      <c r="OIY956" s="252"/>
      <c r="OIZ956" s="252"/>
      <c r="OJA956" s="252"/>
      <c r="OJB956" s="252"/>
      <c r="OJC956" s="252"/>
      <c r="OJD956" s="252"/>
      <c r="OJE956" s="252"/>
      <c r="OJF956" s="252"/>
      <c r="OJG956" s="252"/>
      <c r="OJH956" s="252"/>
      <c r="OJI956" s="252"/>
      <c r="OJJ956" s="252"/>
      <c r="OJK956" s="252"/>
      <c r="OJL956" s="252"/>
      <c r="OJM956" s="252"/>
      <c r="OJN956" s="252"/>
      <c r="OJO956" s="252"/>
      <c r="OJP956" s="252"/>
      <c r="OJQ956" s="252"/>
      <c r="OJR956" s="252"/>
      <c r="OJS956" s="252"/>
      <c r="OJT956" s="252"/>
      <c r="OJU956" s="252"/>
      <c r="OJV956" s="252"/>
      <c r="OJW956" s="252"/>
      <c r="OJX956" s="252"/>
      <c r="OJY956" s="252"/>
      <c r="OJZ956" s="252"/>
      <c r="OKA956" s="252"/>
      <c r="OKB956" s="252"/>
      <c r="OKC956" s="252"/>
      <c r="OKD956" s="252"/>
      <c r="OKE956" s="252"/>
      <c r="OKF956" s="252"/>
      <c r="OKG956" s="252"/>
      <c r="OKH956" s="252"/>
      <c r="OKI956" s="252"/>
      <c r="OKJ956" s="252"/>
      <c r="OKK956" s="252"/>
      <c r="OKL956" s="252"/>
      <c r="OKM956" s="252"/>
      <c r="OKN956" s="252"/>
      <c r="OKO956" s="252"/>
      <c r="OKP956" s="252"/>
      <c r="OKQ956" s="252"/>
      <c r="OKR956" s="252"/>
      <c r="OKS956" s="252"/>
      <c r="OKT956" s="252"/>
      <c r="OKU956" s="252"/>
      <c r="OKV956" s="252"/>
      <c r="OKW956" s="252"/>
      <c r="OKX956" s="252"/>
      <c r="OKY956" s="252"/>
      <c r="OKZ956" s="252"/>
      <c r="OLA956" s="252"/>
      <c r="OLB956" s="252"/>
      <c r="OLC956" s="252"/>
      <c r="OLD956" s="252"/>
      <c r="OLE956" s="252"/>
      <c r="OLF956" s="252"/>
      <c r="OLG956" s="252"/>
      <c r="OLH956" s="252"/>
      <c r="OLI956" s="252"/>
      <c r="OLJ956" s="252"/>
      <c r="OLK956" s="252"/>
      <c r="OLL956" s="252"/>
      <c r="OLM956" s="252"/>
      <c r="OLN956" s="252"/>
      <c r="OLO956" s="252"/>
      <c r="OLP956" s="252"/>
      <c r="OLQ956" s="252"/>
      <c r="OLR956" s="252"/>
      <c r="OLS956" s="252"/>
      <c r="OLT956" s="252"/>
      <c r="OLU956" s="252"/>
      <c r="OLV956" s="252"/>
      <c r="OLW956" s="252"/>
      <c r="OLX956" s="252"/>
      <c r="OLY956" s="252"/>
      <c r="OLZ956" s="252"/>
      <c r="OMA956" s="252"/>
      <c r="OMB956" s="252"/>
      <c r="OMC956" s="252"/>
      <c r="OMD956" s="252"/>
      <c r="OME956" s="252"/>
      <c r="OMF956" s="252"/>
      <c r="OMG956" s="252"/>
      <c r="OMH956" s="252"/>
      <c r="OMI956" s="252"/>
      <c r="OMJ956" s="252"/>
      <c r="OMK956" s="252"/>
      <c r="OML956" s="252"/>
      <c r="OMM956" s="252"/>
      <c r="OMN956" s="252"/>
      <c r="OMO956" s="252"/>
      <c r="OMP956" s="252"/>
      <c r="OMQ956" s="252"/>
      <c r="OMR956" s="252"/>
      <c r="OMS956" s="252"/>
      <c r="OMT956" s="252"/>
      <c r="OMU956" s="252"/>
      <c r="OMV956" s="252"/>
      <c r="OMW956" s="252"/>
      <c r="OMX956" s="252"/>
      <c r="OMY956" s="252"/>
      <c r="OMZ956" s="252"/>
      <c r="ONA956" s="252"/>
      <c r="ONB956" s="252"/>
      <c r="ONC956" s="252"/>
      <c r="OND956" s="252"/>
      <c r="ONE956" s="252"/>
      <c r="ONF956" s="252"/>
      <c r="ONG956" s="252"/>
      <c r="ONH956" s="252"/>
      <c r="ONI956" s="252"/>
      <c r="ONJ956" s="252"/>
      <c r="ONK956" s="252"/>
      <c r="ONL956" s="252"/>
      <c r="ONM956" s="252"/>
      <c r="ONN956" s="252"/>
      <c r="ONO956" s="252"/>
      <c r="ONP956" s="252"/>
      <c r="ONQ956" s="252"/>
      <c r="ONR956" s="252"/>
      <c r="ONS956" s="252"/>
      <c r="ONT956" s="252"/>
      <c r="ONU956" s="252"/>
      <c r="ONV956" s="252"/>
      <c r="ONW956" s="252"/>
      <c r="ONX956" s="252"/>
      <c r="ONY956" s="252"/>
      <c r="ONZ956" s="252"/>
      <c r="OOA956" s="252"/>
      <c r="OOB956" s="252"/>
      <c r="OOC956" s="252"/>
      <c r="OOD956" s="252"/>
      <c r="OOE956" s="252"/>
      <c r="OOF956" s="252"/>
      <c r="OOG956" s="252"/>
      <c r="OOH956" s="252"/>
      <c r="OOI956" s="252"/>
      <c r="OOJ956" s="252"/>
      <c r="OOK956" s="252"/>
      <c r="OOL956" s="252"/>
      <c r="OOM956" s="252"/>
      <c r="OON956" s="252"/>
      <c r="OOO956" s="252"/>
      <c r="OOP956" s="252"/>
      <c r="OOQ956" s="252"/>
      <c r="OOR956" s="252"/>
      <c r="OOS956" s="252"/>
      <c r="OOT956" s="252"/>
      <c r="OOU956" s="252"/>
      <c r="OOV956" s="252"/>
      <c r="OOW956" s="252"/>
      <c r="OOX956" s="252"/>
      <c r="OOY956" s="252"/>
      <c r="OOZ956" s="252"/>
      <c r="OPA956" s="252"/>
      <c r="OPB956" s="252"/>
      <c r="OPC956" s="252"/>
      <c r="OPD956" s="252"/>
      <c r="OPE956" s="252"/>
      <c r="OPF956" s="252"/>
      <c r="OPG956" s="252"/>
      <c r="OPH956" s="252"/>
      <c r="OPI956" s="252"/>
      <c r="OPJ956" s="252"/>
      <c r="OPK956" s="252"/>
      <c r="OPL956" s="252"/>
      <c r="OPM956" s="252"/>
      <c r="OPN956" s="252"/>
      <c r="OPO956" s="252"/>
      <c r="OPP956" s="252"/>
      <c r="OPQ956" s="252"/>
      <c r="OPR956" s="252"/>
      <c r="OPS956" s="252"/>
      <c r="OPT956" s="252"/>
      <c r="OPU956" s="252"/>
      <c r="OPV956" s="252"/>
      <c r="OPW956" s="252"/>
      <c r="OPX956" s="252"/>
      <c r="OPY956" s="252"/>
      <c r="OPZ956" s="252"/>
      <c r="OQA956" s="252"/>
      <c r="OQB956" s="252"/>
      <c r="OQC956" s="252"/>
      <c r="OQD956" s="252"/>
      <c r="OQE956" s="252"/>
      <c r="OQF956" s="252"/>
      <c r="OQG956" s="252"/>
      <c r="OQH956" s="252"/>
      <c r="OQI956" s="252"/>
      <c r="OQJ956" s="252"/>
      <c r="OQK956" s="252"/>
      <c r="OQL956" s="252"/>
      <c r="OQM956" s="252"/>
      <c r="OQN956" s="252"/>
      <c r="OQO956" s="252"/>
      <c r="OQP956" s="252"/>
      <c r="OQQ956" s="252"/>
      <c r="OQR956" s="252"/>
      <c r="OQS956" s="252"/>
      <c r="OQT956" s="252"/>
      <c r="OQU956" s="252"/>
      <c r="OQV956" s="252"/>
      <c r="OQW956" s="252"/>
      <c r="OQX956" s="252"/>
      <c r="OQY956" s="252"/>
      <c r="OQZ956" s="252"/>
      <c r="ORA956" s="252"/>
      <c r="ORB956" s="252"/>
      <c r="ORC956" s="252"/>
      <c r="ORD956" s="252"/>
      <c r="ORE956" s="252"/>
      <c r="ORF956" s="252"/>
      <c r="ORG956" s="252"/>
      <c r="ORH956" s="252"/>
      <c r="ORI956" s="252"/>
      <c r="ORJ956" s="252"/>
      <c r="ORK956" s="252"/>
      <c r="ORL956" s="252"/>
      <c r="ORM956" s="252"/>
      <c r="ORN956" s="252"/>
      <c r="ORO956" s="252"/>
      <c r="ORP956" s="252"/>
      <c r="ORQ956" s="252"/>
      <c r="ORR956" s="252"/>
      <c r="ORS956" s="252"/>
      <c r="ORT956" s="252"/>
      <c r="ORU956" s="252"/>
      <c r="ORV956" s="252"/>
      <c r="ORW956" s="252"/>
      <c r="ORX956" s="252"/>
      <c r="ORY956" s="252"/>
      <c r="ORZ956" s="252"/>
      <c r="OSA956" s="252"/>
      <c r="OSB956" s="252"/>
      <c r="OSC956" s="252"/>
      <c r="OSD956" s="252"/>
      <c r="OSE956" s="252"/>
      <c r="OSF956" s="252"/>
      <c r="OSG956" s="252"/>
      <c r="OSH956" s="252"/>
      <c r="OSI956" s="252"/>
      <c r="OSJ956" s="252"/>
      <c r="OSK956" s="252"/>
      <c r="OSL956" s="252"/>
      <c r="OSM956" s="252"/>
      <c r="OSN956" s="252"/>
      <c r="OSO956" s="252"/>
      <c r="OSP956" s="252"/>
      <c r="OSQ956" s="252"/>
      <c r="OSR956" s="252"/>
      <c r="OSS956" s="252"/>
      <c r="OST956" s="252"/>
      <c r="OSU956" s="252"/>
      <c r="OSV956" s="252"/>
      <c r="OSW956" s="252"/>
      <c r="OSX956" s="252"/>
      <c r="OSY956" s="252"/>
      <c r="OSZ956" s="252"/>
      <c r="OTA956" s="252"/>
      <c r="OTB956" s="252"/>
      <c r="OTC956" s="252"/>
      <c r="OTD956" s="252"/>
      <c r="OTE956" s="252"/>
      <c r="OTF956" s="252"/>
      <c r="OTG956" s="252"/>
      <c r="OTH956" s="252"/>
      <c r="OTI956" s="252"/>
      <c r="OTJ956" s="252"/>
      <c r="OTK956" s="252"/>
      <c r="OTL956" s="252"/>
      <c r="OTM956" s="252"/>
      <c r="OTN956" s="252"/>
      <c r="OTO956" s="252"/>
      <c r="OTP956" s="252"/>
      <c r="OTQ956" s="252"/>
      <c r="OTR956" s="252"/>
      <c r="OTS956" s="252"/>
      <c r="OTT956" s="252"/>
      <c r="OTU956" s="252"/>
      <c r="OTV956" s="252"/>
      <c r="OTW956" s="252"/>
      <c r="OTX956" s="252"/>
      <c r="OTY956" s="252"/>
      <c r="OTZ956" s="252"/>
      <c r="OUA956" s="252"/>
      <c r="OUB956" s="252"/>
      <c r="OUC956" s="252"/>
      <c r="OUD956" s="252"/>
      <c r="OUE956" s="252"/>
      <c r="OUF956" s="252"/>
      <c r="OUG956" s="252"/>
      <c r="OUH956" s="252"/>
      <c r="OUI956" s="252"/>
      <c r="OUJ956" s="252"/>
      <c r="OUK956" s="252"/>
      <c r="OUL956" s="252"/>
      <c r="OUM956" s="252"/>
      <c r="OUN956" s="252"/>
      <c r="OUO956" s="252"/>
      <c r="OUP956" s="252"/>
      <c r="OUQ956" s="252"/>
      <c r="OUR956" s="252"/>
      <c r="OUS956" s="252"/>
      <c r="OUT956" s="252"/>
      <c r="OUU956" s="252"/>
      <c r="OUV956" s="252"/>
      <c r="OUW956" s="252"/>
      <c r="OUX956" s="252"/>
      <c r="OUY956" s="252"/>
      <c r="OUZ956" s="252"/>
      <c r="OVA956" s="252"/>
      <c r="OVB956" s="252"/>
      <c r="OVC956" s="252"/>
      <c r="OVD956" s="252"/>
      <c r="OVE956" s="252"/>
      <c r="OVF956" s="252"/>
      <c r="OVG956" s="252"/>
      <c r="OVH956" s="252"/>
      <c r="OVI956" s="252"/>
      <c r="OVJ956" s="252"/>
      <c r="OVK956" s="252"/>
      <c r="OVL956" s="252"/>
      <c r="OVM956" s="252"/>
      <c r="OVN956" s="252"/>
      <c r="OVO956" s="252"/>
      <c r="OVP956" s="252"/>
      <c r="OVQ956" s="252"/>
      <c r="OVR956" s="252"/>
      <c r="OVS956" s="252"/>
      <c r="OVT956" s="252"/>
      <c r="OVU956" s="252"/>
      <c r="OVV956" s="252"/>
      <c r="OVW956" s="252"/>
      <c r="OVX956" s="252"/>
      <c r="OVY956" s="252"/>
      <c r="OVZ956" s="252"/>
      <c r="OWA956" s="252"/>
      <c r="OWB956" s="252"/>
      <c r="OWC956" s="252"/>
      <c r="OWD956" s="252"/>
      <c r="OWE956" s="252"/>
      <c r="OWF956" s="252"/>
      <c r="OWG956" s="252"/>
      <c r="OWH956" s="252"/>
      <c r="OWI956" s="252"/>
      <c r="OWJ956" s="252"/>
      <c r="OWK956" s="252"/>
      <c r="OWL956" s="252"/>
      <c r="OWM956" s="252"/>
      <c r="OWN956" s="252"/>
      <c r="OWO956" s="252"/>
      <c r="OWP956" s="252"/>
      <c r="OWQ956" s="252"/>
      <c r="OWR956" s="252"/>
      <c r="OWS956" s="252"/>
      <c r="OWT956" s="252"/>
      <c r="OWU956" s="252"/>
      <c r="OWV956" s="252"/>
      <c r="OWW956" s="252"/>
      <c r="OWX956" s="252"/>
      <c r="OWY956" s="252"/>
      <c r="OWZ956" s="252"/>
      <c r="OXA956" s="252"/>
      <c r="OXB956" s="252"/>
      <c r="OXC956" s="252"/>
      <c r="OXD956" s="252"/>
      <c r="OXE956" s="252"/>
      <c r="OXF956" s="252"/>
      <c r="OXG956" s="252"/>
      <c r="OXH956" s="252"/>
      <c r="OXI956" s="252"/>
      <c r="OXJ956" s="252"/>
      <c r="OXK956" s="252"/>
      <c r="OXL956" s="252"/>
      <c r="OXM956" s="252"/>
      <c r="OXN956" s="252"/>
      <c r="OXO956" s="252"/>
      <c r="OXP956" s="252"/>
      <c r="OXQ956" s="252"/>
      <c r="OXR956" s="252"/>
      <c r="OXS956" s="252"/>
      <c r="OXT956" s="252"/>
      <c r="OXU956" s="252"/>
      <c r="OXV956" s="252"/>
      <c r="OXW956" s="252"/>
      <c r="OXX956" s="252"/>
      <c r="OXY956" s="252"/>
      <c r="OXZ956" s="252"/>
      <c r="OYA956" s="252"/>
      <c r="OYB956" s="252"/>
      <c r="OYC956" s="252"/>
      <c r="OYD956" s="252"/>
      <c r="OYE956" s="252"/>
      <c r="OYF956" s="252"/>
      <c r="OYG956" s="252"/>
      <c r="OYH956" s="252"/>
      <c r="OYI956" s="252"/>
      <c r="OYJ956" s="252"/>
      <c r="OYK956" s="252"/>
      <c r="OYL956" s="252"/>
      <c r="OYM956" s="252"/>
      <c r="OYN956" s="252"/>
      <c r="OYO956" s="252"/>
      <c r="OYP956" s="252"/>
      <c r="OYQ956" s="252"/>
      <c r="OYR956" s="252"/>
      <c r="OYS956" s="252"/>
      <c r="OYT956" s="252"/>
      <c r="OYU956" s="252"/>
      <c r="OYV956" s="252"/>
      <c r="OYW956" s="252"/>
      <c r="OYX956" s="252"/>
      <c r="OYY956" s="252"/>
      <c r="OYZ956" s="252"/>
      <c r="OZA956" s="252"/>
      <c r="OZB956" s="252"/>
      <c r="OZC956" s="252"/>
      <c r="OZD956" s="252"/>
      <c r="OZE956" s="252"/>
      <c r="OZF956" s="252"/>
      <c r="OZG956" s="252"/>
      <c r="OZH956" s="252"/>
      <c r="OZI956" s="252"/>
      <c r="OZJ956" s="252"/>
      <c r="OZK956" s="252"/>
      <c r="OZL956" s="252"/>
      <c r="OZM956" s="252"/>
      <c r="OZN956" s="252"/>
      <c r="OZO956" s="252"/>
      <c r="OZP956" s="252"/>
      <c r="OZQ956" s="252"/>
      <c r="OZR956" s="252"/>
      <c r="OZS956" s="252"/>
      <c r="OZT956" s="252"/>
      <c r="OZU956" s="252"/>
      <c r="OZV956" s="252"/>
      <c r="OZW956" s="252"/>
      <c r="OZX956" s="252"/>
      <c r="OZY956" s="252"/>
      <c r="OZZ956" s="252"/>
      <c r="PAA956" s="252"/>
      <c r="PAB956" s="252"/>
      <c r="PAC956" s="252"/>
      <c r="PAD956" s="252"/>
      <c r="PAE956" s="252"/>
      <c r="PAF956" s="252"/>
      <c r="PAG956" s="252"/>
      <c r="PAH956" s="252"/>
      <c r="PAI956" s="252"/>
      <c r="PAJ956" s="252"/>
      <c r="PAK956" s="252"/>
      <c r="PAL956" s="252"/>
      <c r="PAM956" s="252"/>
      <c r="PAN956" s="252"/>
      <c r="PAO956" s="252"/>
      <c r="PAP956" s="252"/>
      <c r="PAQ956" s="252"/>
      <c r="PAR956" s="252"/>
      <c r="PAS956" s="252"/>
      <c r="PAT956" s="252"/>
      <c r="PAU956" s="252"/>
      <c r="PAV956" s="252"/>
      <c r="PAW956" s="252"/>
      <c r="PAX956" s="252"/>
      <c r="PAY956" s="252"/>
      <c r="PAZ956" s="252"/>
      <c r="PBA956" s="252"/>
      <c r="PBB956" s="252"/>
      <c r="PBC956" s="252"/>
      <c r="PBD956" s="252"/>
      <c r="PBE956" s="252"/>
      <c r="PBF956" s="252"/>
      <c r="PBG956" s="252"/>
      <c r="PBH956" s="252"/>
      <c r="PBI956" s="252"/>
      <c r="PBJ956" s="252"/>
      <c r="PBK956" s="252"/>
      <c r="PBL956" s="252"/>
      <c r="PBM956" s="252"/>
      <c r="PBN956" s="252"/>
      <c r="PBO956" s="252"/>
      <c r="PBP956" s="252"/>
      <c r="PBQ956" s="252"/>
      <c r="PBR956" s="252"/>
      <c r="PBS956" s="252"/>
      <c r="PBT956" s="252"/>
      <c r="PBU956" s="252"/>
      <c r="PBV956" s="252"/>
      <c r="PBW956" s="252"/>
      <c r="PBX956" s="252"/>
      <c r="PBY956" s="252"/>
      <c r="PBZ956" s="252"/>
      <c r="PCA956" s="252"/>
      <c r="PCB956" s="252"/>
      <c r="PCC956" s="252"/>
      <c r="PCD956" s="252"/>
      <c r="PCE956" s="252"/>
      <c r="PCF956" s="252"/>
      <c r="PCG956" s="252"/>
      <c r="PCH956" s="252"/>
      <c r="PCI956" s="252"/>
      <c r="PCJ956" s="252"/>
      <c r="PCK956" s="252"/>
      <c r="PCL956" s="252"/>
      <c r="PCM956" s="252"/>
      <c r="PCN956" s="252"/>
      <c r="PCO956" s="252"/>
      <c r="PCP956" s="252"/>
      <c r="PCQ956" s="252"/>
      <c r="PCR956" s="252"/>
      <c r="PCS956" s="252"/>
      <c r="PCT956" s="252"/>
      <c r="PCU956" s="252"/>
      <c r="PCV956" s="252"/>
      <c r="PCW956" s="252"/>
      <c r="PCX956" s="252"/>
      <c r="PCY956" s="252"/>
      <c r="PCZ956" s="252"/>
      <c r="PDA956" s="252"/>
      <c r="PDB956" s="252"/>
      <c r="PDC956" s="252"/>
      <c r="PDD956" s="252"/>
      <c r="PDE956" s="252"/>
      <c r="PDF956" s="252"/>
      <c r="PDG956" s="252"/>
      <c r="PDH956" s="252"/>
      <c r="PDI956" s="252"/>
      <c r="PDJ956" s="252"/>
      <c r="PDK956" s="252"/>
      <c r="PDL956" s="252"/>
      <c r="PDM956" s="252"/>
      <c r="PDN956" s="252"/>
      <c r="PDO956" s="252"/>
      <c r="PDP956" s="252"/>
      <c r="PDQ956" s="252"/>
      <c r="PDR956" s="252"/>
      <c r="PDS956" s="252"/>
      <c r="PDT956" s="252"/>
      <c r="PDU956" s="252"/>
      <c r="PDV956" s="252"/>
      <c r="PDW956" s="252"/>
      <c r="PDX956" s="252"/>
      <c r="PDY956" s="252"/>
      <c r="PDZ956" s="252"/>
      <c r="PEA956" s="252"/>
      <c r="PEB956" s="252"/>
      <c r="PEC956" s="252"/>
      <c r="PED956" s="252"/>
      <c r="PEE956" s="252"/>
      <c r="PEF956" s="252"/>
      <c r="PEG956" s="252"/>
      <c r="PEH956" s="252"/>
      <c r="PEI956" s="252"/>
      <c r="PEJ956" s="252"/>
      <c r="PEK956" s="252"/>
      <c r="PEL956" s="252"/>
      <c r="PEM956" s="252"/>
      <c r="PEN956" s="252"/>
      <c r="PEO956" s="252"/>
      <c r="PEP956" s="252"/>
      <c r="PEQ956" s="252"/>
      <c r="PER956" s="252"/>
      <c r="PES956" s="252"/>
      <c r="PET956" s="252"/>
      <c r="PEU956" s="252"/>
      <c r="PEV956" s="252"/>
      <c r="PEW956" s="252"/>
      <c r="PEX956" s="252"/>
      <c r="PEY956" s="252"/>
      <c r="PEZ956" s="252"/>
      <c r="PFA956" s="252"/>
      <c r="PFB956" s="252"/>
      <c r="PFC956" s="252"/>
      <c r="PFD956" s="252"/>
      <c r="PFE956" s="252"/>
      <c r="PFF956" s="252"/>
      <c r="PFG956" s="252"/>
      <c r="PFH956" s="252"/>
      <c r="PFI956" s="252"/>
      <c r="PFJ956" s="252"/>
      <c r="PFK956" s="252"/>
      <c r="PFL956" s="252"/>
      <c r="PFM956" s="252"/>
      <c r="PFN956" s="252"/>
      <c r="PFO956" s="252"/>
      <c r="PFP956" s="252"/>
      <c r="PFQ956" s="252"/>
      <c r="PFR956" s="252"/>
      <c r="PFS956" s="252"/>
      <c r="PFT956" s="252"/>
      <c r="PFU956" s="252"/>
      <c r="PFV956" s="252"/>
      <c r="PFW956" s="252"/>
      <c r="PFX956" s="252"/>
      <c r="PFY956" s="252"/>
      <c r="PFZ956" s="252"/>
      <c r="PGA956" s="252"/>
      <c r="PGB956" s="252"/>
      <c r="PGC956" s="252"/>
      <c r="PGD956" s="252"/>
      <c r="PGE956" s="252"/>
      <c r="PGF956" s="252"/>
      <c r="PGG956" s="252"/>
      <c r="PGH956" s="252"/>
      <c r="PGI956" s="252"/>
      <c r="PGJ956" s="252"/>
      <c r="PGK956" s="252"/>
      <c r="PGL956" s="252"/>
      <c r="PGM956" s="252"/>
      <c r="PGN956" s="252"/>
      <c r="PGO956" s="252"/>
      <c r="PGP956" s="252"/>
      <c r="PGQ956" s="252"/>
      <c r="PGR956" s="252"/>
      <c r="PGS956" s="252"/>
      <c r="PGT956" s="252"/>
      <c r="PGU956" s="252"/>
      <c r="PGV956" s="252"/>
      <c r="PGW956" s="252"/>
      <c r="PGX956" s="252"/>
      <c r="PGY956" s="252"/>
      <c r="PGZ956" s="252"/>
      <c r="PHA956" s="252"/>
      <c r="PHB956" s="252"/>
      <c r="PHC956" s="252"/>
      <c r="PHD956" s="252"/>
      <c r="PHE956" s="252"/>
      <c r="PHF956" s="252"/>
      <c r="PHG956" s="252"/>
      <c r="PHH956" s="252"/>
      <c r="PHI956" s="252"/>
      <c r="PHJ956" s="252"/>
      <c r="PHK956" s="252"/>
      <c r="PHL956" s="252"/>
      <c r="PHM956" s="252"/>
      <c r="PHN956" s="252"/>
      <c r="PHO956" s="252"/>
      <c r="PHP956" s="252"/>
      <c r="PHQ956" s="252"/>
      <c r="PHR956" s="252"/>
      <c r="PHS956" s="252"/>
      <c r="PHT956" s="252"/>
      <c r="PHU956" s="252"/>
      <c r="PHV956" s="252"/>
      <c r="PHW956" s="252"/>
      <c r="PHX956" s="252"/>
      <c r="PHY956" s="252"/>
      <c r="PHZ956" s="252"/>
      <c r="PIA956" s="252"/>
      <c r="PIB956" s="252"/>
      <c r="PIC956" s="252"/>
      <c r="PID956" s="252"/>
      <c r="PIE956" s="252"/>
      <c r="PIF956" s="252"/>
      <c r="PIG956" s="252"/>
      <c r="PIH956" s="252"/>
      <c r="PII956" s="252"/>
      <c r="PIJ956" s="252"/>
      <c r="PIK956" s="252"/>
      <c r="PIL956" s="252"/>
      <c r="PIM956" s="252"/>
      <c r="PIN956" s="252"/>
      <c r="PIO956" s="252"/>
      <c r="PIP956" s="252"/>
      <c r="PIQ956" s="252"/>
      <c r="PIR956" s="252"/>
      <c r="PIS956" s="252"/>
      <c r="PIT956" s="252"/>
      <c r="PIU956" s="252"/>
      <c r="PIV956" s="252"/>
      <c r="PIW956" s="252"/>
      <c r="PIX956" s="252"/>
      <c r="PIY956" s="252"/>
      <c r="PIZ956" s="252"/>
      <c r="PJA956" s="252"/>
      <c r="PJB956" s="252"/>
      <c r="PJC956" s="252"/>
      <c r="PJD956" s="252"/>
      <c r="PJE956" s="252"/>
      <c r="PJF956" s="252"/>
      <c r="PJG956" s="252"/>
      <c r="PJH956" s="252"/>
      <c r="PJI956" s="252"/>
      <c r="PJJ956" s="252"/>
      <c r="PJK956" s="252"/>
      <c r="PJL956" s="252"/>
      <c r="PJM956" s="252"/>
      <c r="PJN956" s="252"/>
      <c r="PJO956" s="252"/>
      <c r="PJP956" s="252"/>
      <c r="PJQ956" s="252"/>
      <c r="PJR956" s="252"/>
      <c r="PJS956" s="252"/>
      <c r="PJT956" s="252"/>
      <c r="PJU956" s="252"/>
      <c r="PJV956" s="252"/>
      <c r="PJW956" s="252"/>
      <c r="PJX956" s="252"/>
      <c r="PJY956" s="252"/>
      <c r="PJZ956" s="252"/>
      <c r="PKA956" s="252"/>
      <c r="PKB956" s="252"/>
      <c r="PKC956" s="252"/>
      <c r="PKD956" s="252"/>
      <c r="PKE956" s="252"/>
      <c r="PKF956" s="252"/>
      <c r="PKG956" s="252"/>
      <c r="PKH956" s="252"/>
      <c r="PKI956" s="252"/>
      <c r="PKJ956" s="252"/>
      <c r="PKK956" s="252"/>
      <c r="PKL956" s="252"/>
      <c r="PKM956" s="252"/>
      <c r="PKN956" s="252"/>
      <c r="PKO956" s="252"/>
      <c r="PKP956" s="252"/>
      <c r="PKQ956" s="252"/>
      <c r="PKR956" s="252"/>
      <c r="PKS956" s="252"/>
      <c r="PKT956" s="252"/>
      <c r="PKU956" s="252"/>
      <c r="PKV956" s="252"/>
      <c r="PKW956" s="252"/>
      <c r="PKX956" s="252"/>
      <c r="PKY956" s="252"/>
      <c r="PKZ956" s="252"/>
      <c r="PLA956" s="252"/>
      <c r="PLB956" s="252"/>
      <c r="PLC956" s="252"/>
      <c r="PLD956" s="252"/>
      <c r="PLE956" s="252"/>
      <c r="PLF956" s="252"/>
      <c r="PLG956" s="252"/>
      <c r="PLH956" s="252"/>
      <c r="PLI956" s="252"/>
      <c r="PLJ956" s="252"/>
      <c r="PLK956" s="252"/>
      <c r="PLL956" s="252"/>
      <c r="PLM956" s="252"/>
      <c r="PLN956" s="252"/>
      <c r="PLO956" s="252"/>
      <c r="PLP956" s="252"/>
      <c r="PLQ956" s="252"/>
      <c r="PLR956" s="252"/>
      <c r="PLS956" s="252"/>
      <c r="PLT956" s="252"/>
      <c r="PLU956" s="252"/>
      <c r="PLV956" s="252"/>
      <c r="PLW956" s="252"/>
      <c r="PLX956" s="252"/>
      <c r="PLY956" s="252"/>
      <c r="PLZ956" s="252"/>
      <c r="PMA956" s="252"/>
      <c r="PMB956" s="252"/>
      <c r="PMC956" s="252"/>
      <c r="PMD956" s="252"/>
      <c r="PME956" s="252"/>
      <c r="PMF956" s="252"/>
      <c r="PMG956" s="252"/>
      <c r="PMH956" s="252"/>
      <c r="PMI956" s="252"/>
      <c r="PMJ956" s="252"/>
      <c r="PMK956" s="252"/>
      <c r="PML956" s="252"/>
      <c r="PMM956" s="252"/>
      <c r="PMN956" s="252"/>
      <c r="PMO956" s="252"/>
      <c r="PMP956" s="252"/>
      <c r="PMQ956" s="252"/>
      <c r="PMR956" s="252"/>
      <c r="PMS956" s="252"/>
      <c r="PMT956" s="252"/>
      <c r="PMU956" s="252"/>
      <c r="PMV956" s="252"/>
      <c r="PMW956" s="252"/>
      <c r="PMX956" s="252"/>
      <c r="PMY956" s="252"/>
      <c r="PMZ956" s="252"/>
      <c r="PNA956" s="252"/>
      <c r="PNB956" s="252"/>
      <c r="PNC956" s="252"/>
      <c r="PND956" s="252"/>
      <c r="PNE956" s="252"/>
      <c r="PNF956" s="252"/>
      <c r="PNG956" s="252"/>
      <c r="PNH956" s="252"/>
      <c r="PNI956" s="252"/>
      <c r="PNJ956" s="252"/>
      <c r="PNK956" s="252"/>
      <c r="PNL956" s="252"/>
      <c r="PNM956" s="252"/>
      <c r="PNN956" s="252"/>
      <c r="PNO956" s="252"/>
      <c r="PNP956" s="252"/>
      <c r="PNQ956" s="252"/>
      <c r="PNR956" s="252"/>
      <c r="PNS956" s="252"/>
      <c r="PNT956" s="252"/>
      <c r="PNU956" s="252"/>
      <c r="PNV956" s="252"/>
      <c r="PNW956" s="252"/>
      <c r="PNX956" s="252"/>
      <c r="PNY956" s="252"/>
      <c r="PNZ956" s="252"/>
      <c r="POA956" s="252"/>
      <c r="POB956" s="252"/>
      <c r="POC956" s="252"/>
      <c r="POD956" s="252"/>
      <c r="POE956" s="252"/>
      <c r="POF956" s="252"/>
      <c r="POG956" s="252"/>
      <c r="POH956" s="252"/>
      <c r="POI956" s="252"/>
      <c r="POJ956" s="252"/>
      <c r="POK956" s="252"/>
      <c r="POL956" s="252"/>
      <c r="POM956" s="252"/>
      <c r="PON956" s="252"/>
      <c r="POO956" s="252"/>
      <c r="POP956" s="252"/>
      <c r="POQ956" s="252"/>
      <c r="POR956" s="252"/>
      <c r="POS956" s="252"/>
      <c r="POT956" s="252"/>
      <c r="POU956" s="252"/>
      <c r="POV956" s="252"/>
      <c r="POW956" s="252"/>
      <c r="POX956" s="252"/>
      <c r="POY956" s="252"/>
      <c r="POZ956" s="252"/>
      <c r="PPA956" s="252"/>
      <c r="PPB956" s="252"/>
      <c r="PPC956" s="252"/>
      <c r="PPD956" s="252"/>
      <c r="PPE956" s="252"/>
      <c r="PPF956" s="252"/>
      <c r="PPG956" s="252"/>
      <c r="PPH956" s="252"/>
      <c r="PPI956" s="252"/>
      <c r="PPJ956" s="252"/>
      <c r="PPK956" s="252"/>
      <c r="PPL956" s="252"/>
      <c r="PPM956" s="252"/>
      <c r="PPN956" s="252"/>
      <c r="PPO956" s="252"/>
      <c r="PPP956" s="252"/>
      <c r="PPQ956" s="252"/>
      <c r="PPR956" s="252"/>
      <c r="PPS956" s="252"/>
      <c r="PPT956" s="252"/>
      <c r="PPU956" s="252"/>
      <c r="PPV956" s="252"/>
      <c r="PPW956" s="252"/>
      <c r="PPX956" s="252"/>
      <c r="PPY956" s="252"/>
      <c r="PPZ956" s="252"/>
      <c r="PQA956" s="252"/>
      <c r="PQB956" s="252"/>
      <c r="PQC956" s="252"/>
      <c r="PQD956" s="252"/>
      <c r="PQE956" s="252"/>
      <c r="PQF956" s="252"/>
      <c r="PQG956" s="252"/>
      <c r="PQH956" s="252"/>
      <c r="PQI956" s="252"/>
      <c r="PQJ956" s="252"/>
      <c r="PQK956" s="252"/>
      <c r="PQL956" s="252"/>
      <c r="PQM956" s="252"/>
      <c r="PQN956" s="252"/>
      <c r="PQO956" s="252"/>
      <c r="PQP956" s="252"/>
      <c r="PQQ956" s="252"/>
      <c r="PQR956" s="252"/>
      <c r="PQS956" s="252"/>
      <c r="PQT956" s="252"/>
      <c r="PQU956" s="252"/>
      <c r="PQV956" s="252"/>
      <c r="PQW956" s="252"/>
      <c r="PQX956" s="252"/>
      <c r="PQY956" s="252"/>
      <c r="PQZ956" s="252"/>
      <c r="PRA956" s="252"/>
      <c r="PRB956" s="252"/>
      <c r="PRC956" s="252"/>
      <c r="PRD956" s="252"/>
      <c r="PRE956" s="252"/>
      <c r="PRF956" s="252"/>
      <c r="PRG956" s="252"/>
      <c r="PRH956" s="252"/>
      <c r="PRI956" s="252"/>
      <c r="PRJ956" s="252"/>
      <c r="PRK956" s="252"/>
      <c r="PRL956" s="252"/>
      <c r="PRM956" s="252"/>
      <c r="PRN956" s="252"/>
      <c r="PRO956" s="252"/>
      <c r="PRP956" s="252"/>
      <c r="PRQ956" s="252"/>
      <c r="PRR956" s="252"/>
      <c r="PRS956" s="252"/>
      <c r="PRT956" s="252"/>
      <c r="PRU956" s="252"/>
      <c r="PRV956" s="252"/>
      <c r="PRW956" s="252"/>
      <c r="PRX956" s="252"/>
      <c r="PRY956" s="252"/>
      <c r="PRZ956" s="252"/>
      <c r="PSA956" s="252"/>
      <c r="PSB956" s="252"/>
      <c r="PSC956" s="252"/>
      <c r="PSD956" s="252"/>
      <c r="PSE956" s="252"/>
      <c r="PSF956" s="252"/>
      <c r="PSG956" s="252"/>
      <c r="PSH956" s="252"/>
      <c r="PSI956" s="252"/>
      <c r="PSJ956" s="252"/>
      <c r="PSK956" s="252"/>
      <c r="PSL956" s="252"/>
      <c r="PSM956" s="252"/>
      <c r="PSN956" s="252"/>
      <c r="PSO956" s="252"/>
      <c r="PSP956" s="252"/>
      <c r="PSQ956" s="252"/>
      <c r="PSR956" s="252"/>
      <c r="PSS956" s="252"/>
      <c r="PST956" s="252"/>
      <c r="PSU956" s="252"/>
      <c r="PSV956" s="252"/>
      <c r="PSW956" s="252"/>
      <c r="PSX956" s="252"/>
      <c r="PSY956" s="252"/>
      <c r="PSZ956" s="252"/>
      <c r="PTA956" s="252"/>
      <c r="PTB956" s="252"/>
      <c r="PTC956" s="252"/>
      <c r="PTD956" s="252"/>
      <c r="PTE956" s="252"/>
      <c r="PTF956" s="252"/>
      <c r="PTG956" s="252"/>
      <c r="PTH956" s="252"/>
      <c r="PTI956" s="252"/>
      <c r="PTJ956" s="252"/>
      <c r="PTK956" s="252"/>
      <c r="PTL956" s="252"/>
      <c r="PTM956" s="252"/>
      <c r="PTN956" s="252"/>
      <c r="PTO956" s="252"/>
      <c r="PTP956" s="252"/>
      <c r="PTQ956" s="252"/>
      <c r="PTR956" s="252"/>
      <c r="PTS956" s="252"/>
      <c r="PTT956" s="252"/>
      <c r="PTU956" s="252"/>
      <c r="PTV956" s="252"/>
      <c r="PTW956" s="252"/>
      <c r="PTX956" s="252"/>
      <c r="PTY956" s="252"/>
      <c r="PTZ956" s="252"/>
      <c r="PUA956" s="252"/>
      <c r="PUB956" s="252"/>
      <c r="PUC956" s="252"/>
      <c r="PUD956" s="252"/>
      <c r="PUE956" s="252"/>
      <c r="PUF956" s="252"/>
      <c r="PUG956" s="252"/>
      <c r="PUH956" s="252"/>
      <c r="PUI956" s="252"/>
      <c r="PUJ956" s="252"/>
      <c r="PUK956" s="252"/>
      <c r="PUL956" s="252"/>
      <c r="PUM956" s="252"/>
      <c r="PUN956" s="252"/>
      <c r="PUO956" s="252"/>
      <c r="PUP956" s="252"/>
      <c r="PUQ956" s="252"/>
      <c r="PUR956" s="252"/>
      <c r="PUS956" s="252"/>
      <c r="PUT956" s="252"/>
      <c r="PUU956" s="252"/>
      <c r="PUV956" s="252"/>
      <c r="PUW956" s="252"/>
      <c r="PUX956" s="252"/>
      <c r="PUY956" s="252"/>
      <c r="PUZ956" s="252"/>
      <c r="PVA956" s="252"/>
      <c r="PVB956" s="252"/>
      <c r="PVC956" s="252"/>
      <c r="PVD956" s="252"/>
      <c r="PVE956" s="252"/>
      <c r="PVF956" s="252"/>
      <c r="PVG956" s="252"/>
      <c r="PVH956" s="252"/>
      <c r="PVI956" s="252"/>
      <c r="PVJ956" s="252"/>
      <c r="PVK956" s="252"/>
      <c r="PVL956" s="252"/>
      <c r="PVM956" s="252"/>
      <c r="PVN956" s="252"/>
      <c r="PVO956" s="252"/>
      <c r="PVP956" s="252"/>
      <c r="PVQ956" s="252"/>
      <c r="PVR956" s="252"/>
      <c r="PVS956" s="252"/>
      <c r="PVT956" s="252"/>
      <c r="PVU956" s="252"/>
      <c r="PVV956" s="252"/>
      <c r="PVW956" s="252"/>
      <c r="PVX956" s="252"/>
      <c r="PVY956" s="252"/>
      <c r="PVZ956" s="252"/>
      <c r="PWA956" s="252"/>
      <c r="PWB956" s="252"/>
      <c r="PWC956" s="252"/>
      <c r="PWD956" s="252"/>
      <c r="PWE956" s="252"/>
      <c r="PWF956" s="252"/>
      <c r="PWG956" s="252"/>
      <c r="PWH956" s="252"/>
      <c r="PWI956" s="252"/>
      <c r="PWJ956" s="252"/>
      <c r="PWK956" s="252"/>
      <c r="PWL956" s="252"/>
      <c r="PWM956" s="252"/>
      <c r="PWN956" s="252"/>
      <c r="PWO956" s="252"/>
      <c r="PWP956" s="252"/>
      <c r="PWQ956" s="252"/>
      <c r="PWR956" s="252"/>
      <c r="PWS956" s="252"/>
      <c r="PWT956" s="252"/>
      <c r="PWU956" s="252"/>
      <c r="PWV956" s="252"/>
      <c r="PWW956" s="252"/>
      <c r="PWX956" s="252"/>
      <c r="PWY956" s="252"/>
      <c r="PWZ956" s="252"/>
      <c r="PXA956" s="252"/>
      <c r="PXB956" s="252"/>
      <c r="PXC956" s="252"/>
      <c r="PXD956" s="252"/>
      <c r="PXE956" s="252"/>
      <c r="PXF956" s="252"/>
      <c r="PXG956" s="252"/>
      <c r="PXH956" s="252"/>
      <c r="PXI956" s="252"/>
      <c r="PXJ956" s="252"/>
      <c r="PXK956" s="252"/>
      <c r="PXL956" s="252"/>
      <c r="PXM956" s="252"/>
      <c r="PXN956" s="252"/>
      <c r="PXO956" s="252"/>
      <c r="PXP956" s="252"/>
      <c r="PXQ956" s="252"/>
      <c r="PXR956" s="252"/>
      <c r="PXS956" s="252"/>
      <c r="PXT956" s="252"/>
      <c r="PXU956" s="252"/>
      <c r="PXV956" s="252"/>
      <c r="PXW956" s="252"/>
      <c r="PXX956" s="252"/>
      <c r="PXY956" s="252"/>
      <c r="PXZ956" s="252"/>
      <c r="PYA956" s="252"/>
      <c r="PYB956" s="252"/>
      <c r="PYC956" s="252"/>
      <c r="PYD956" s="252"/>
      <c r="PYE956" s="252"/>
      <c r="PYF956" s="252"/>
      <c r="PYG956" s="252"/>
      <c r="PYH956" s="252"/>
      <c r="PYI956" s="252"/>
      <c r="PYJ956" s="252"/>
      <c r="PYK956" s="252"/>
      <c r="PYL956" s="252"/>
      <c r="PYM956" s="252"/>
      <c r="PYN956" s="252"/>
      <c r="PYO956" s="252"/>
      <c r="PYP956" s="252"/>
      <c r="PYQ956" s="252"/>
      <c r="PYR956" s="252"/>
      <c r="PYS956" s="252"/>
      <c r="PYT956" s="252"/>
      <c r="PYU956" s="252"/>
      <c r="PYV956" s="252"/>
      <c r="PYW956" s="252"/>
      <c r="PYX956" s="252"/>
      <c r="PYY956" s="252"/>
      <c r="PYZ956" s="252"/>
      <c r="PZA956" s="252"/>
      <c r="PZB956" s="252"/>
      <c r="PZC956" s="252"/>
      <c r="PZD956" s="252"/>
      <c r="PZE956" s="252"/>
      <c r="PZF956" s="252"/>
      <c r="PZG956" s="252"/>
      <c r="PZH956" s="252"/>
      <c r="PZI956" s="252"/>
      <c r="PZJ956" s="252"/>
      <c r="PZK956" s="252"/>
      <c r="PZL956" s="252"/>
      <c r="PZM956" s="252"/>
      <c r="PZN956" s="252"/>
      <c r="PZO956" s="252"/>
      <c r="PZP956" s="252"/>
      <c r="PZQ956" s="252"/>
      <c r="PZR956" s="252"/>
      <c r="PZS956" s="252"/>
      <c r="PZT956" s="252"/>
      <c r="PZU956" s="252"/>
      <c r="PZV956" s="252"/>
      <c r="PZW956" s="252"/>
      <c r="PZX956" s="252"/>
      <c r="PZY956" s="252"/>
      <c r="PZZ956" s="252"/>
      <c r="QAA956" s="252"/>
      <c r="QAB956" s="252"/>
      <c r="QAC956" s="252"/>
      <c r="QAD956" s="252"/>
      <c r="QAE956" s="252"/>
      <c r="QAF956" s="252"/>
      <c r="QAG956" s="252"/>
      <c r="QAH956" s="252"/>
      <c r="QAI956" s="252"/>
      <c r="QAJ956" s="252"/>
      <c r="QAK956" s="252"/>
      <c r="QAL956" s="252"/>
      <c r="QAM956" s="252"/>
      <c r="QAN956" s="252"/>
      <c r="QAO956" s="252"/>
      <c r="QAP956" s="252"/>
      <c r="QAQ956" s="252"/>
      <c r="QAR956" s="252"/>
      <c r="QAS956" s="252"/>
      <c r="QAT956" s="252"/>
      <c r="QAU956" s="252"/>
      <c r="QAV956" s="252"/>
      <c r="QAW956" s="252"/>
      <c r="QAX956" s="252"/>
      <c r="QAY956" s="252"/>
      <c r="QAZ956" s="252"/>
      <c r="QBA956" s="252"/>
      <c r="QBB956" s="252"/>
      <c r="QBC956" s="252"/>
      <c r="QBD956" s="252"/>
      <c r="QBE956" s="252"/>
      <c r="QBF956" s="252"/>
      <c r="QBG956" s="252"/>
      <c r="QBH956" s="252"/>
      <c r="QBI956" s="252"/>
      <c r="QBJ956" s="252"/>
      <c r="QBK956" s="252"/>
      <c r="QBL956" s="252"/>
      <c r="QBM956" s="252"/>
      <c r="QBN956" s="252"/>
      <c r="QBO956" s="252"/>
      <c r="QBP956" s="252"/>
      <c r="QBQ956" s="252"/>
      <c r="QBR956" s="252"/>
      <c r="QBS956" s="252"/>
      <c r="QBT956" s="252"/>
      <c r="QBU956" s="252"/>
      <c r="QBV956" s="252"/>
      <c r="QBW956" s="252"/>
      <c r="QBX956" s="252"/>
      <c r="QBY956" s="252"/>
      <c r="QBZ956" s="252"/>
      <c r="QCA956" s="252"/>
      <c r="QCB956" s="252"/>
      <c r="QCC956" s="252"/>
      <c r="QCD956" s="252"/>
      <c r="QCE956" s="252"/>
      <c r="QCF956" s="252"/>
      <c r="QCG956" s="252"/>
      <c r="QCH956" s="252"/>
      <c r="QCI956" s="252"/>
      <c r="QCJ956" s="252"/>
      <c r="QCK956" s="252"/>
      <c r="QCL956" s="252"/>
      <c r="QCM956" s="252"/>
      <c r="QCN956" s="252"/>
      <c r="QCO956" s="252"/>
      <c r="QCP956" s="252"/>
      <c r="QCQ956" s="252"/>
      <c r="QCR956" s="252"/>
      <c r="QCS956" s="252"/>
      <c r="QCT956" s="252"/>
      <c r="QCU956" s="252"/>
      <c r="QCV956" s="252"/>
      <c r="QCW956" s="252"/>
      <c r="QCX956" s="252"/>
      <c r="QCY956" s="252"/>
      <c r="QCZ956" s="252"/>
      <c r="QDA956" s="252"/>
      <c r="QDB956" s="252"/>
      <c r="QDC956" s="252"/>
      <c r="QDD956" s="252"/>
      <c r="QDE956" s="252"/>
      <c r="QDF956" s="252"/>
      <c r="QDG956" s="252"/>
      <c r="QDH956" s="252"/>
      <c r="QDI956" s="252"/>
      <c r="QDJ956" s="252"/>
      <c r="QDK956" s="252"/>
      <c r="QDL956" s="252"/>
      <c r="QDM956" s="252"/>
      <c r="QDN956" s="252"/>
      <c r="QDO956" s="252"/>
      <c r="QDP956" s="252"/>
      <c r="QDQ956" s="252"/>
      <c r="QDR956" s="252"/>
      <c r="QDS956" s="252"/>
      <c r="QDT956" s="252"/>
      <c r="QDU956" s="252"/>
      <c r="QDV956" s="252"/>
      <c r="QDW956" s="252"/>
      <c r="QDX956" s="252"/>
      <c r="QDY956" s="252"/>
      <c r="QDZ956" s="252"/>
      <c r="QEA956" s="252"/>
      <c r="QEB956" s="252"/>
      <c r="QEC956" s="252"/>
      <c r="QED956" s="252"/>
      <c r="QEE956" s="252"/>
      <c r="QEF956" s="252"/>
      <c r="QEG956" s="252"/>
      <c r="QEH956" s="252"/>
      <c r="QEI956" s="252"/>
      <c r="QEJ956" s="252"/>
      <c r="QEK956" s="252"/>
      <c r="QEL956" s="252"/>
      <c r="QEM956" s="252"/>
      <c r="QEN956" s="252"/>
      <c r="QEO956" s="252"/>
      <c r="QEP956" s="252"/>
      <c r="QEQ956" s="252"/>
      <c r="QER956" s="252"/>
      <c r="QES956" s="252"/>
      <c r="QET956" s="252"/>
      <c r="QEU956" s="252"/>
      <c r="QEV956" s="252"/>
      <c r="QEW956" s="252"/>
      <c r="QEX956" s="252"/>
      <c r="QEY956" s="252"/>
      <c r="QEZ956" s="252"/>
      <c r="QFA956" s="252"/>
      <c r="QFB956" s="252"/>
      <c r="QFC956" s="252"/>
      <c r="QFD956" s="252"/>
      <c r="QFE956" s="252"/>
      <c r="QFF956" s="252"/>
      <c r="QFG956" s="252"/>
      <c r="QFH956" s="252"/>
      <c r="QFI956" s="252"/>
      <c r="QFJ956" s="252"/>
      <c r="QFK956" s="252"/>
      <c r="QFL956" s="252"/>
      <c r="QFM956" s="252"/>
      <c r="QFN956" s="252"/>
      <c r="QFO956" s="252"/>
      <c r="QFP956" s="252"/>
      <c r="QFQ956" s="252"/>
      <c r="QFR956" s="252"/>
      <c r="QFS956" s="252"/>
      <c r="QFT956" s="252"/>
      <c r="QFU956" s="252"/>
      <c r="QFV956" s="252"/>
      <c r="QFW956" s="252"/>
      <c r="QFX956" s="252"/>
      <c r="QFY956" s="252"/>
      <c r="QFZ956" s="252"/>
      <c r="QGA956" s="252"/>
      <c r="QGB956" s="252"/>
      <c r="QGC956" s="252"/>
      <c r="QGD956" s="252"/>
      <c r="QGE956" s="252"/>
      <c r="QGF956" s="252"/>
      <c r="QGG956" s="252"/>
      <c r="QGH956" s="252"/>
      <c r="QGI956" s="252"/>
      <c r="QGJ956" s="252"/>
      <c r="QGK956" s="252"/>
      <c r="QGL956" s="252"/>
      <c r="QGM956" s="252"/>
      <c r="QGN956" s="252"/>
      <c r="QGO956" s="252"/>
      <c r="QGP956" s="252"/>
      <c r="QGQ956" s="252"/>
      <c r="QGR956" s="252"/>
      <c r="QGS956" s="252"/>
      <c r="QGT956" s="252"/>
      <c r="QGU956" s="252"/>
      <c r="QGV956" s="252"/>
      <c r="QGW956" s="252"/>
      <c r="QGX956" s="252"/>
      <c r="QGY956" s="252"/>
      <c r="QGZ956" s="252"/>
      <c r="QHA956" s="252"/>
      <c r="QHB956" s="252"/>
      <c r="QHC956" s="252"/>
      <c r="QHD956" s="252"/>
      <c r="QHE956" s="252"/>
      <c r="QHF956" s="252"/>
      <c r="QHG956" s="252"/>
      <c r="QHH956" s="252"/>
      <c r="QHI956" s="252"/>
      <c r="QHJ956" s="252"/>
      <c r="QHK956" s="252"/>
      <c r="QHL956" s="252"/>
      <c r="QHM956" s="252"/>
      <c r="QHN956" s="252"/>
      <c r="QHO956" s="252"/>
      <c r="QHP956" s="252"/>
      <c r="QHQ956" s="252"/>
      <c r="QHR956" s="252"/>
      <c r="QHS956" s="252"/>
      <c r="QHT956" s="252"/>
      <c r="QHU956" s="252"/>
      <c r="QHV956" s="252"/>
      <c r="QHW956" s="252"/>
      <c r="QHX956" s="252"/>
      <c r="QHY956" s="252"/>
      <c r="QHZ956" s="252"/>
      <c r="QIA956" s="252"/>
      <c r="QIB956" s="252"/>
      <c r="QIC956" s="252"/>
      <c r="QID956" s="252"/>
      <c r="QIE956" s="252"/>
      <c r="QIF956" s="252"/>
      <c r="QIG956" s="252"/>
      <c r="QIH956" s="252"/>
      <c r="QII956" s="252"/>
      <c r="QIJ956" s="252"/>
      <c r="QIK956" s="252"/>
      <c r="QIL956" s="252"/>
      <c r="QIM956" s="252"/>
      <c r="QIN956" s="252"/>
      <c r="QIO956" s="252"/>
      <c r="QIP956" s="252"/>
      <c r="QIQ956" s="252"/>
      <c r="QIR956" s="252"/>
      <c r="QIS956" s="252"/>
      <c r="QIT956" s="252"/>
      <c r="QIU956" s="252"/>
      <c r="QIV956" s="252"/>
      <c r="QIW956" s="252"/>
      <c r="QIX956" s="252"/>
      <c r="QIY956" s="252"/>
      <c r="QIZ956" s="252"/>
      <c r="QJA956" s="252"/>
      <c r="QJB956" s="252"/>
      <c r="QJC956" s="252"/>
      <c r="QJD956" s="252"/>
      <c r="QJE956" s="252"/>
      <c r="QJF956" s="252"/>
      <c r="QJG956" s="252"/>
      <c r="QJH956" s="252"/>
      <c r="QJI956" s="252"/>
      <c r="QJJ956" s="252"/>
      <c r="QJK956" s="252"/>
      <c r="QJL956" s="252"/>
      <c r="QJM956" s="252"/>
      <c r="QJN956" s="252"/>
      <c r="QJO956" s="252"/>
      <c r="QJP956" s="252"/>
      <c r="QJQ956" s="252"/>
      <c r="QJR956" s="252"/>
      <c r="QJS956" s="252"/>
      <c r="QJT956" s="252"/>
      <c r="QJU956" s="252"/>
      <c r="QJV956" s="252"/>
      <c r="QJW956" s="252"/>
      <c r="QJX956" s="252"/>
      <c r="QJY956" s="252"/>
      <c r="QJZ956" s="252"/>
      <c r="QKA956" s="252"/>
      <c r="QKB956" s="252"/>
      <c r="QKC956" s="252"/>
      <c r="QKD956" s="252"/>
      <c r="QKE956" s="252"/>
      <c r="QKF956" s="252"/>
      <c r="QKG956" s="252"/>
      <c r="QKH956" s="252"/>
      <c r="QKI956" s="252"/>
      <c r="QKJ956" s="252"/>
      <c r="QKK956" s="252"/>
      <c r="QKL956" s="252"/>
      <c r="QKM956" s="252"/>
      <c r="QKN956" s="252"/>
      <c r="QKO956" s="252"/>
      <c r="QKP956" s="252"/>
      <c r="QKQ956" s="252"/>
      <c r="QKR956" s="252"/>
      <c r="QKS956" s="252"/>
      <c r="QKT956" s="252"/>
      <c r="QKU956" s="252"/>
      <c r="QKV956" s="252"/>
      <c r="QKW956" s="252"/>
      <c r="QKX956" s="252"/>
      <c r="QKY956" s="252"/>
      <c r="QKZ956" s="252"/>
      <c r="QLA956" s="252"/>
      <c r="QLB956" s="252"/>
      <c r="QLC956" s="252"/>
      <c r="QLD956" s="252"/>
      <c r="QLE956" s="252"/>
      <c r="QLF956" s="252"/>
      <c r="QLG956" s="252"/>
      <c r="QLH956" s="252"/>
      <c r="QLI956" s="252"/>
      <c r="QLJ956" s="252"/>
      <c r="QLK956" s="252"/>
      <c r="QLL956" s="252"/>
      <c r="QLM956" s="252"/>
      <c r="QLN956" s="252"/>
      <c r="QLO956" s="252"/>
      <c r="QLP956" s="252"/>
      <c r="QLQ956" s="252"/>
      <c r="QLR956" s="252"/>
      <c r="QLS956" s="252"/>
      <c r="QLT956" s="252"/>
      <c r="QLU956" s="252"/>
      <c r="QLV956" s="252"/>
      <c r="QLW956" s="252"/>
      <c r="QLX956" s="252"/>
      <c r="QLY956" s="252"/>
      <c r="QLZ956" s="252"/>
      <c r="QMA956" s="252"/>
      <c r="QMB956" s="252"/>
      <c r="QMC956" s="252"/>
      <c r="QMD956" s="252"/>
      <c r="QME956" s="252"/>
      <c r="QMF956" s="252"/>
      <c r="QMG956" s="252"/>
      <c r="QMH956" s="252"/>
      <c r="QMI956" s="252"/>
      <c r="QMJ956" s="252"/>
      <c r="QMK956" s="252"/>
      <c r="QML956" s="252"/>
      <c r="QMM956" s="252"/>
      <c r="QMN956" s="252"/>
      <c r="QMO956" s="252"/>
      <c r="QMP956" s="252"/>
      <c r="QMQ956" s="252"/>
      <c r="QMR956" s="252"/>
      <c r="QMS956" s="252"/>
      <c r="QMT956" s="252"/>
      <c r="QMU956" s="252"/>
      <c r="QMV956" s="252"/>
      <c r="QMW956" s="252"/>
      <c r="QMX956" s="252"/>
      <c r="QMY956" s="252"/>
      <c r="QMZ956" s="252"/>
      <c r="QNA956" s="252"/>
      <c r="QNB956" s="252"/>
      <c r="QNC956" s="252"/>
      <c r="QND956" s="252"/>
      <c r="QNE956" s="252"/>
      <c r="QNF956" s="252"/>
      <c r="QNG956" s="252"/>
      <c r="QNH956" s="252"/>
      <c r="QNI956" s="252"/>
      <c r="QNJ956" s="252"/>
      <c r="QNK956" s="252"/>
      <c r="QNL956" s="252"/>
      <c r="QNM956" s="252"/>
      <c r="QNN956" s="252"/>
      <c r="QNO956" s="252"/>
      <c r="QNP956" s="252"/>
      <c r="QNQ956" s="252"/>
      <c r="QNR956" s="252"/>
      <c r="QNS956" s="252"/>
      <c r="QNT956" s="252"/>
      <c r="QNU956" s="252"/>
      <c r="QNV956" s="252"/>
      <c r="QNW956" s="252"/>
      <c r="QNX956" s="252"/>
      <c r="QNY956" s="252"/>
      <c r="QNZ956" s="252"/>
      <c r="QOA956" s="252"/>
      <c r="QOB956" s="252"/>
      <c r="QOC956" s="252"/>
      <c r="QOD956" s="252"/>
      <c r="QOE956" s="252"/>
      <c r="QOF956" s="252"/>
      <c r="QOG956" s="252"/>
      <c r="QOH956" s="252"/>
      <c r="QOI956" s="252"/>
      <c r="QOJ956" s="252"/>
      <c r="QOK956" s="252"/>
      <c r="QOL956" s="252"/>
      <c r="QOM956" s="252"/>
      <c r="QON956" s="252"/>
      <c r="QOO956" s="252"/>
      <c r="QOP956" s="252"/>
      <c r="QOQ956" s="252"/>
      <c r="QOR956" s="252"/>
      <c r="QOS956" s="252"/>
      <c r="QOT956" s="252"/>
      <c r="QOU956" s="252"/>
      <c r="QOV956" s="252"/>
      <c r="QOW956" s="252"/>
      <c r="QOX956" s="252"/>
      <c r="QOY956" s="252"/>
      <c r="QOZ956" s="252"/>
      <c r="QPA956" s="252"/>
      <c r="QPB956" s="252"/>
      <c r="QPC956" s="252"/>
      <c r="QPD956" s="252"/>
      <c r="QPE956" s="252"/>
      <c r="QPF956" s="252"/>
      <c r="QPG956" s="252"/>
      <c r="QPH956" s="252"/>
      <c r="QPI956" s="252"/>
      <c r="QPJ956" s="252"/>
      <c r="QPK956" s="252"/>
      <c r="QPL956" s="252"/>
      <c r="QPM956" s="252"/>
      <c r="QPN956" s="252"/>
      <c r="QPO956" s="252"/>
      <c r="QPP956" s="252"/>
      <c r="QPQ956" s="252"/>
      <c r="QPR956" s="252"/>
      <c r="QPS956" s="252"/>
      <c r="QPT956" s="252"/>
      <c r="QPU956" s="252"/>
      <c r="QPV956" s="252"/>
      <c r="QPW956" s="252"/>
      <c r="QPX956" s="252"/>
      <c r="QPY956" s="252"/>
      <c r="QPZ956" s="252"/>
      <c r="QQA956" s="252"/>
      <c r="QQB956" s="252"/>
      <c r="QQC956" s="252"/>
      <c r="QQD956" s="252"/>
      <c r="QQE956" s="252"/>
      <c r="QQF956" s="252"/>
      <c r="QQG956" s="252"/>
      <c r="QQH956" s="252"/>
      <c r="QQI956" s="252"/>
      <c r="QQJ956" s="252"/>
      <c r="QQK956" s="252"/>
      <c r="QQL956" s="252"/>
      <c r="QQM956" s="252"/>
      <c r="QQN956" s="252"/>
      <c r="QQO956" s="252"/>
      <c r="QQP956" s="252"/>
      <c r="QQQ956" s="252"/>
      <c r="QQR956" s="252"/>
      <c r="QQS956" s="252"/>
      <c r="QQT956" s="252"/>
      <c r="QQU956" s="252"/>
      <c r="QQV956" s="252"/>
      <c r="QQW956" s="252"/>
      <c r="QQX956" s="252"/>
      <c r="QQY956" s="252"/>
      <c r="QQZ956" s="252"/>
      <c r="QRA956" s="252"/>
      <c r="QRB956" s="252"/>
      <c r="QRC956" s="252"/>
      <c r="QRD956" s="252"/>
      <c r="QRE956" s="252"/>
      <c r="QRF956" s="252"/>
      <c r="QRG956" s="252"/>
      <c r="QRH956" s="252"/>
      <c r="QRI956" s="252"/>
      <c r="QRJ956" s="252"/>
      <c r="QRK956" s="252"/>
      <c r="QRL956" s="252"/>
      <c r="QRM956" s="252"/>
      <c r="QRN956" s="252"/>
      <c r="QRO956" s="252"/>
      <c r="QRP956" s="252"/>
      <c r="QRQ956" s="252"/>
      <c r="QRR956" s="252"/>
      <c r="QRS956" s="252"/>
      <c r="QRT956" s="252"/>
      <c r="QRU956" s="252"/>
      <c r="QRV956" s="252"/>
      <c r="QRW956" s="252"/>
      <c r="QRX956" s="252"/>
      <c r="QRY956" s="252"/>
      <c r="QRZ956" s="252"/>
      <c r="QSA956" s="252"/>
      <c r="QSB956" s="252"/>
      <c r="QSC956" s="252"/>
      <c r="QSD956" s="252"/>
      <c r="QSE956" s="252"/>
      <c r="QSF956" s="252"/>
      <c r="QSG956" s="252"/>
      <c r="QSH956" s="252"/>
      <c r="QSI956" s="252"/>
      <c r="QSJ956" s="252"/>
      <c r="QSK956" s="252"/>
      <c r="QSL956" s="252"/>
      <c r="QSM956" s="252"/>
      <c r="QSN956" s="252"/>
      <c r="QSO956" s="252"/>
      <c r="QSP956" s="252"/>
      <c r="QSQ956" s="252"/>
      <c r="QSR956" s="252"/>
      <c r="QSS956" s="252"/>
      <c r="QST956" s="252"/>
      <c r="QSU956" s="252"/>
      <c r="QSV956" s="252"/>
      <c r="QSW956" s="252"/>
      <c r="QSX956" s="252"/>
      <c r="QSY956" s="252"/>
      <c r="QSZ956" s="252"/>
      <c r="QTA956" s="252"/>
      <c r="QTB956" s="252"/>
      <c r="QTC956" s="252"/>
      <c r="QTD956" s="252"/>
      <c r="QTE956" s="252"/>
      <c r="QTF956" s="252"/>
      <c r="QTG956" s="252"/>
      <c r="QTH956" s="252"/>
      <c r="QTI956" s="252"/>
      <c r="QTJ956" s="252"/>
      <c r="QTK956" s="252"/>
      <c r="QTL956" s="252"/>
      <c r="QTM956" s="252"/>
      <c r="QTN956" s="252"/>
      <c r="QTO956" s="252"/>
      <c r="QTP956" s="252"/>
      <c r="QTQ956" s="252"/>
      <c r="QTR956" s="252"/>
      <c r="QTS956" s="252"/>
      <c r="QTT956" s="252"/>
      <c r="QTU956" s="252"/>
      <c r="QTV956" s="252"/>
      <c r="QTW956" s="252"/>
      <c r="QTX956" s="252"/>
      <c r="QTY956" s="252"/>
      <c r="QTZ956" s="252"/>
      <c r="QUA956" s="252"/>
      <c r="QUB956" s="252"/>
      <c r="QUC956" s="252"/>
      <c r="QUD956" s="252"/>
      <c r="QUE956" s="252"/>
      <c r="QUF956" s="252"/>
      <c r="QUG956" s="252"/>
      <c r="QUH956" s="252"/>
      <c r="QUI956" s="252"/>
      <c r="QUJ956" s="252"/>
      <c r="QUK956" s="252"/>
      <c r="QUL956" s="252"/>
      <c r="QUM956" s="252"/>
      <c r="QUN956" s="252"/>
      <c r="QUO956" s="252"/>
      <c r="QUP956" s="252"/>
      <c r="QUQ956" s="252"/>
      <c r="QUR956" s="252"/>
      <c r="QUS956" s="252"/>
      <c r="QUT956" s="252"/>
      <c r="QUU956" s="252"/>
      <c r="QUV956" s="252"/>
      <c r="QUW956" s="252"/>
      <c r="QUX956" s="252"/>
      <c r="QUY956" s="252"/>
      <c r="QUZ956" s="252"/>
      <c r="QVA956" s="252"/>
      <c r="QVB956" s="252"/>
      <c r="QVC956" s="252"/>
      <c r="QVD956" s="252"/>
      <c r="QVE956" s="252"/>
      <c r="QVF956" s="252"/>
      <c r="QVG956" s="252"/>
      <c r="QVH956" s="252"/>
      <c r="QVI956" s="252"/>
      <c r="QVJ956" s="252"/>
      <c r="QVK956" s="252"/>
      <c r="QVL956" s="252"/>
      <c r="QVM956" s="252"/>
      <c r="QVN956" s="252"/>
      <c r="QVO956" s="252"/>
      <c r="QVP956" s="252"/>
      <c r="QVQ956" s="252"/>
      <c r="QVR956" s="252"/>
      <c r="QVS956" s="252"/>
      <c r="QVT956" s="252"/>
      <c r="QVU956" s="252"/>
      <c r="QVV956" s="252"/>
      <c r="QVW956" s="252"/>
      <c r="QVX956" s="252"/>
      <c r="QVY956" s="252"/>
      <c r="QVZ956" s="252"/>
      <c r="QWA956" s="252"/>
      <c r="QWB956" s="252"/>
      <c r="QWC956" s="252"/>
      <c r="QWD956" s="252"/>
      <c r="QWE956" s="252"/>
      <c r="QWF956" s="252"/>
      <c r="QWG956" s="252"/>
      <c r="QWH956" s="252"/>
      <c r="QWI956" s="252"/>
      <c r="QWJ956" s="252"/>
      <c r="QWK956" s="252"/>
      <c r="QWL956" s="252"/>
      <c r="QWM956" s="252"/>
      <c r="QWN956" s="252"/>
      <c r="QWO956" s="252"/>
      <c r="QWP956" s="252"/>
      <c r="QWQ956" s="252"/>
      <c r="QWR956" s="252"/>
      <c r="QWS956" s="252"/>
      <c r="QWT956" s="252"/>
      <c r="QWU956" s="252"/>
      <c r="QWV956" s="252"/>
      <c r="QWW956" s="252"/>
      <c r="QWX956" s="252"/>
      <c r="QWY956" s="252"/>
      <c r="QWZ956" s="252"/>
      <c r="QXA956" s="252"/>
      <c r="QXB956" s="252"/>
      <c r="QXC956" s="252"/>
      <c r="QXD956" s="252"/>
      <c r="QXE956" s="252"/>
      <c r="QXF956" s="252"/>
      <c r="QXG956" s="252"/>
      <c r="QXH956" s="252"/>
      <c r="QXI956" s="252"/>
      <c r="QXJ956" s="252"/>
      <c r="QXK956" s="252"/>
      <c r="QXL956" s="252"/>
      <c r="QXM956" s="252"/>
      <c r="QXN956" s="252"/>
      <c r="QXO956" s="252"/>
      <c r="QXP956" s="252"/>
      <c r="QXQ956" s="252"/>
      <c r="QXR956" s="252"/>
      <c r="QXS956" s="252"/>
      <c r="QXT956" s="252"/>
      <c r="QXU956" s="252"/>
      <c r="QXV956" s="252"/>
      <c r="QXW956" s="252"/>
      <c r="QXX956" s="252"/>
      <c r="QXY956" s="252"/>
      <c r="QXZ956" s="252"/>
      <c r="QYA956" s="252"/>
      <c r="QYB956" s="252"/>
      <c r="QYC956" s="252"/>
      <c r="QYD956" s="252"/>
      <c r="QYE956" s="252"/>
      <c r="QYF956" s="252"/>
      <c r="QYG956" s="252"/>
      <c r="QYH956" s="252"/>
      <c r="QYI956" s="252"/>
      <c r="QYJ956" s="252"/>
      <c r="QYK956" s="252"/>
      <c r="QYL956" s="252"/>
      <c r="QYM956" s="252"/>
      <c r="QYN956" s="252"/>
      <c r="QYO956" s="252"/>
      <c r="QYP956" s="252"/>
      <c r="QYQ956" s="252"/>
      <c r="QYR956" s="252"/>
      <c r="QYS956" s="252"/>
      <c r="QYT956" s="252"/>
      <c r="QYU956" s="252"/>
      <c r="QYV956" s="252"/>
      <c r="QYW956" s="252"/>
      <c r="QYX956" s="252"/>
      <c r="QYY956" s="252"/>
      <c r="QYZ956" s="252"/>
      <c r="QZA956" s="252"/>
      <c r="QZB956" s="252"/>
      <c r="QZC956" s="252"/>
      <c r="QZD956" s="252"/>
      <c r="QZE956" s="252"/>
      <c r="QZF956" s="252"/>
      <c r="QZG956" s="252"/>
      <c r="QZH956" s="252"/>
      <c r="QZI956" s="252"/>
      <c r="QZJ956" s="252"/>
      <c r="QZK956" s="252"/>
      <c r="QZL956" s="252"/>
      <c r="QZM956" s="252"/>
      <c r="QZN956" s="252"/>
      <c r="QZO956" s="252"/>
      <c r="QZP956" s="252"/>
      <c r="QZQ956" s="252"/>
      <c r="QZR956" s="252"/>
      <c r="QZS956" s="252"/>
      <c r="QZT956" s="252"/>
      <c r="QZU956" s="252"/>
      <c r="QZV956" s="252"/>
      <c r="QZW956" s="252"/>
      <c r="QZX956" s="252"/>
      <c r="QZY956" s="252"/>
      <c r="QZZ956" s="252"/>
      <c r="RAA956" s="252"/>
      <c r="RAB956" s="252"/>
      <c r="RAC956" s="252"/>
      <c r="RAD956" s="252"/>
      <c r="RAE956" s="252"/>
      <c r="RAF956" s="252"/>
      <c r="RAG956" s="252"/>
      <c r="RAH956" s="252"/>
      <c r="RAI956" s="252"/>
      <c r="RAJ956" s="252"/>
      <c r="RAK956" s="252"/>
      <c r="RAL956" s="252"/>
      <c r="RAM956" s="252"/>
      <c r="RAN956" s="252"/>
      <c r="RAO956" s="252"/>
      <c r="RAP956" s="252"/>
      <c r="RAQ956" s="252"/>
      <c r="RAR956" s="252"/>
      <c r="RAS956" s="252"/>
      <c r="RAT956" s="252"/>
      <c r="RAU956" s="252"/>
      <c r="RAV956" s="252"/>
      <c r="RAW956" s="252"/>
      <c r="RAX956" s="252"/>
      <c r="RAY956" s="252"/>
      <c r="RAZ956" s="252"/>
      <c r="RBA956" s="252"/>
      <c r="RBB956" s="252"/>
      <c r="RBC956" s="252"/>
      <c r="RBD956" s="252"/>
      <c r="RBE956" s="252"/>
      <c r="RBF956" s="252"/>
      <c r="RBG956" s="252"/>
      <c r="RBH956" s="252"/>
      <c r="RBI956" s="252"/>
      <c r="RBJ956" s="252"/>
      <c r="RBK956" s="252"/>
      <c r="RBL956" s="252"/>
      <c r="RBM956" s="252"/>
      <c r="RBN956" s="252"/>
      <c r="RBO956" s="252"/>
      <c r="RBP956" s="252"/>
      <c r="RBQ956" s="252"/>
      <c r="RBR956" s="252"/>
      <c r="RBS956" s="252"/>
      <c r="RBT956" s="252"/>
      <c r="RBU956" s="252"/>
      <c r="RBV956" s="252"/>
      <c r="RBW956" s="252"/>
      <c r="RBX956" s="252"/>
      <c r="RBY956" s="252"/>
      <c r="RBZ956" s="252"/>
      <c r="RCA956" s="252"/>
      <c r="RCB956" s="252"/>
      <c r="RCC956" s="252"/>
      <c r="RCD956" s="252"/>
      <c r="RCE956" s="252"/>
      <c r="RCF956" s="252"/>
      <c r="RCG956" s="252"/>
      <c r="RCH956" s="252"/>
      <c r="RCI956" s="252"/>
      <c r="RCJ956" s="252"/>
      <c r="RCK956" s="252"/>
      <c r="RCL956" s="252"/>
      <c r="RCM956" s="252"/>
      <c r="RCN956" s="252"/>
      <c r="RCO956" s="252"/>
      <c r="RCP956" s="252"/>
      <c r="RCQ956" s="252"/>
      <c r="RCR956" s="252"/>
      <c r="RCS956" s="252"/>
      <c r="RCT956" s="252"/>
      <c r="RCU956" s="252"/>
      <c r="RCV956" s="252"/>
      <c r="RCW956" s="252"/>
      <c r="RCX956" s="252"/>
      <c r="RCY956" s="252"/>
      <c r="RCZ956" s="252"/>
      <c r="RDA956" s="252"/>
      <c r="RDB956" s="252"/>
      <c r="RDC956" s="252"/>
      <c r="RDD956" s="252"/>
      <c r="RDE956" s="252"/>
      <c r="RDF956" s="252"/>
      <c r="RDG956" s="252"/>
      <c r="RDH956" s="252"/>
      <c r="RDI956" s="252"/>
      <c r="RDJ956" s="252"/>
      <c r="RDK956" s="252"/>
      <c r="RDL956" s="252"/>
      <c r="RDM956" s="252"/>
      <c r="RDN956" s="252"/>
      <c r="RDO956" s="252"/>
      <c r="RDP956" s="252"/>
      <c r="RDQ956" s="252"/>
      <c r="RDR956" s="252"/>
      <c r="RDS956" s="252"/>
      <c r="RDT956" s="252"/>
      <c r="RDU956" s="252"/>
      <c r="RDV956" s="252"/>
      <c r="RDW956" s="252"/>
      <c r="RDX956" s="252"/>
      <c r="RDY956" s="252"/>
      <c r="RDZ956" s="252"/>
      <c r="REA956" s="252"/>
      <c r="REB956" s="252"/>
      <c r="REC956" s="252"/>
      <c r="RED956" s="252"/>
      <c r="REE956" s="252"/>
      <c r="REF956" s="252"/>
      <c r="REG956" s="252"/>
      <c r="REH956" s="252"/>
      <c r="REI956" s="252"/>
      <c r="REJ956" s="252"/>
      <c r="REK956" s="252"/>
      <c r="REL956" s="252"/>
      <c r="REM956" s="252"/>
      <c r="REN956" s="252"/>
      <c r="REO956" s="252"/>
      <c r="REP956" s="252"/>
      <c r="REQ956" s="252"/>
      <c r="RER956" s="252"/>
      <c r="RES956" s="252"/>
      <c r="RET956" s="252"/>
      <c r="REU956" s="252"/>
      <c r="REV956" s="252"/>
      <c r="REW956" s="252"/>
      <c r="REX956" s="252"/>
      <c r="REY956" s="252"/>
      <c r="REZ956" s="252"/>
      <c r="RFA956" s="252"/>
      <c r="RFB956" s="252"/>
      <c r="RFC956" s="252"/>
      <c r="RFD956" s="252"/>
      <c r="RFE956" s="252"/>
      <c r="RFF956" s="252"/>
      <c r="RFG956" s="252"/>
      <c r="RFH956" s="252"/>
      <c r="RFI956" s="252"/>
      <c r="RFJ956" s="252"/>
      <c r="RFK956" s="252"/>
      <c r="RFL956" s="252"/>
      <c r="RFM956" s="252"/>
      <c r="RFN956" s="252"/>
      <c r="RFO956" s="252"/>
      <c r="RFP956" s="252"/>
      <c r="RFQ956" s="252"/>
      <c r="RFR956" s="252"/>
      <c r="RFS956" s="252"/>
      <c r="RFT956" s="252"/>
      <c r="RFU956" s="252"/>
      <c r="RFV956" s="252"/>
      <c r="RFW956" s="252"/>
      <c r="RFX956" s="252"/>
      <c r="RFY956" s="252"/>
      <c r="RFZ956" s="252"/>
      <c r="RGA956" s="252"/>
      <c r="RGB956" s="252"/>
      <c r="RGC956" s="252"/>
      <c r="RGD956" s="252"/>
      <c r="RGE956" s="252"/>
      <c r="RGF956" s="252"/>
      <c r="RGG956" s="252"/>
      <c r="RGH956" s="252"/>
      <c r="RGI956" s="252"/>
      <c r="RGJ956" s="252"/>
      <c r="RGK956" s="252"/>
      <c r="RGL956" s="252"/>
      <c r="RGM956" s="252"/>
      <c r="RGN956" s="252"/>
      <c r="RGO956" s="252"/>
      <c r="RGP956" s="252"/>
      <c r="RGQ956" s="252"/>
      <c r="RGR956" s="252"/>
      <c r="RGS956" s="252"/>
      <c r="RGT956" s="252"/>
      <c r="RGU956" s="252"/>
      <c r="RGV956" s="252"/>
      <c r="RGW956" s="252"/>
      <c r="RGX956" s="252"/>
      <c r="RGY956" s="252"/>
      <c r="RGZ956" s="252"/>
      <c r="RHA956" s="252"/>
      <c r="RHB956" s="252"/>
      <c r="RHC956" s="252"/>
      <c r="RHD956" s="252"/>
      <c r="RHE956" s="252"/>
      <c r="RHF956" s="252"/>
      <c r="RHG956" s="252"/>
      <c r="RHH956" s="252"/>
      <c r="RHI956" s="252"/>
      <c r="RHJ956" s="252"/>
      <c r="RHK956" s="252"/>
      <c r="RHL956" s="252"/>
      <c r="RHM956" s="252"/>
      <c r="RHN956" s="252"/>
      <c r="RHO956" s="252"/>
      <c r="RHP956" s="252"/>
      <c r="RHQ956" s="252"/>
      <c r="RHR956" s="252"/>
      <c r="RHS956" s="252"/>
      <c r="RHT956" s="252"/>
      <c r="RHU956" s="252"/>
      <c r="RHV956" s="252"/>
      <c r="RHW956" s="252"/>
      <c r="RHX956" s="252"/>
      <c r="RHY956" s="252"/>
      <c r="RHZ956" s="252"/>
      <c r="RIA956" s="252"/>
      <c r="RIB956" s="252"/>
      <c r="RIC956" s="252"/>
      <c r="RID956" s="252"/>
      <c r="RIE956" s="252"/>
      <c r="RIF956" s="252"/>
      <c r="RIG956" s="252"/>
      <c r="RIH956" s="252"/>
      <c r="RII956" s="252"/>
      <c r="RIJ956" s="252"/>
      <c r="RIK956" s="252"/>
      <c r="RIL956" s="252"/>
      <c r="RIM956" s="252"/>
      <c r="RIN956" s="252"/>
      <c r="RIO956" s="252"/>
      <c r="RIP956" s="252"/>
      <c r="RIQ956" s="252"/>
      <c r="RIR956" s="252"/>
      <c r="RIS956" s="252"/>
      <c r="RIT956" s="252"/>
      <c r="RIU956" s="252"/>
      <c r="RIV956" s="252"/>
      <c r="RIW956" s="252"/>
      <c r="RIX956" s="252"/>
      <c r="RIY956" s="252"/>
      <c r="RIZ956" s="252"/>
      <c r="RJA956" s="252"/>
      <c r="RJB956" s="252"/>
      <c r="RJC956" s="252"/>
      <c r="RJD956" s="252"/>
      <c r="RJE956" s="252"/>
      <c r="RJF956" s="252"/>
      <c r="RJG956" s="252"/>
      <c r="RJH956" s="252"/>
      <c r="RJI956" s="252"/>
      <c r="RJJ956" s="252"/>
      <c r="RJK956" s="252"/>
      <c r="RJL956" s="252"/>
      <c r="RJM956" s="252"/>
      <c r="RJN956" s="252"/>
      <c r="RJO956" s="252"/>
      <c r="RJP956" s="252"/>
      <c r="RJQ956" s="252"/>
      <c r="RJR956" s="252"/>
      <c r="RJS956" s="252"/>
      <c r="RJT956" s="252"/>
      <c r="RJU956" s="252"/>
      <c r="RJV956" s="252"/>
      <c r="RJW956" s="252"/>
      <c r="RJX956" s="252"/>
      <c r="RJY956" s="252"/>
      <c r="RJZ956" s="252"/>
      <c r="RKA956" s="252"/>
      <c r="RKB956" s="252"/>
      <c r="RKC956" s="252"/>
      <c r="RKD956" s="252"/>
      <c r="RKE956" s="252"/>
      <c r="RKF956" s="252"/>
      <c r="RKG956" s="252"/>
      <c r="RKH956" s="252"/>
      <c r="RKI956" s="252"/>
      <c r="RKJ956" s="252"/>
      <c r="RKK956" s="252"/>
      <c r="RKL956" s="252"/>
      <c r="RKM956" s="252"/>
      <c r="RKN956" s="252"/>
      <c r="RKO956" s="252"/>
      <c r="RKP956" s="252"/>
      <c r="RKQ956" s="252"/>
      <c r="RKR956" s="252"/>
      <c r="RKS956" s="252"/>
      <c r="RKT956" s="252"/>
      <c r="RKU956" s="252"/>
      <c r="RKV956" s="252"/>
      <c r="RKW956" s="252"/>
      <c r="RKX956" s="252"/>
      <c r="RKY956" s="252"/>
      <c r="RKZ956" s="252"/>
      <c r="RLA956" s="252"/>
      <c r="RLB956" s="252"/>
      <c r="RLC956" s="252"/>
      <c r="RLD956" s="252"/>
      <c r="RLE956" s="252"/>
      <c r="RLF956" s="252"/>
      <c r="RLG956" s="252"/>
      <c r="RLH956" s="252"/>
      <c r="RLI956" s="252"/>
      <c r="RLJ956" s="252"/>
      <c r="RLK956" s="252"/>
      <c r="RLL956" s="252"/>
      <c r="RLM956" s="252"/>
      <c r="RLN956" s="252"/>
      <c r="RLO956" s="252"/>
      <c r="RLP956" s="252"/>
      <c r="RLQ956" s="252"/>
      <c r="RLR956" s="252"/>
      <c r="RLS956" s="252"/>
      <c r="RLT956" s="252"/>
      <c r="RLU956" s="252"/>
      <c r="RLV956" s="252"/>
      <c r="RLW956" s="252"/>
      <c r="RLX956" s="252"/>
      <c r="RLY956" s="252"/>
      <c r="RLZ956" s="252"/>
      <c r="RMA956" s="252"/>
      <c r="RMB956" s="252"/>
      <c r="RMC956" s="252"/>
      <c r="RMD956" s="252"/>
      <c r="RME956" s="252"/>
      <c r="RMF956" s="252"/>
      <c r="RMG956" s="252"/>
      <c r="RMH956" s="252"/>
      <c r="RMI956" s="252"/>
      <c r="RMJ956" s="252"/>
      <c r="RMK956" s="252"/>
      <c r="RML956" s="252"/>
      <c r="RMM956" s="252"/>
      <c r="RMN956" s="252"/>
      <c r="RMO956" s="252"/>
      <c r="RMP956" s="252"/>
      <c r="RMQ956" s="252"/>
      <c r="RMR956" s="252"/>
      <c r="RMS956" s="252"/>
      <c r="RMT956" s="252"/>
      <c r="RMU956" s="252"/>
      <c r="RMV956" s="252"/>
      <c r="RMW956" s="252"/>
      <c r="RMX956" s="252"/>
      <c r="RMY956" s="252"/>
      <c r="RMZ956" s="252"/>
      <c r="RNA956" s="252"/>
      <c r="RNB956" s="252"/>
      <c r="RNC956" s="252"/>
      <c r="RND956" s="252"/>
      <c r="RNE956" s="252"/>
      <c r="RNF956" s="252"/>
      <c r="RNG956" s="252"/>
      <c r="RNH956" s="252"/>
      <c r="RNI956" s="252"/>
      <c r="RNJ956" s="252"/>
      <c r="RNK956" s="252"/>
      <c r="RNL956" s="252"/>
      <c r="RNM956" s="252"/>
      <c r="RNN956" s="252"/>
      <c r="RNO956" s="252"/>
      <c r="RNP956" s="252"/>
      <c r="RNQ956" s="252"/>
      <c r="RNR956" s="252"/>
      <c r="RNS956" s="252"/>
      <c r="RNT956" s="252"/>
      <c r="RNU956" s="252"/>
      <c r="RNV956" s="252"/>
      <c r="RNW956" s="252"/>
      <c r="RNX956" s="252"/>
      <c r="RNY956" s="252"/>
      <c r="RNZ956" s="252"/>
      <c r="ROA956" s="252"/>
      <c r="ROB956" s="252"/>
      <c r="ROC956" s="252"/>
      <c r="ROD956" s="252"/>
      <c r="ROE956" s="252"/>
      <c r="ROF956" s="252"/>
      <c r="ROG956" s="252"/>
      <c r="ROH956" s="252"/>
      <c r="ROI956" s="252"/>
      <c r="ROJ956" s="252"/>
      <c r="ROK956" s="252"/>
      <c r="ROL956" s="252"/>
      <c r="ROM956" s="252"/>
      <c r="RON956" s="252"/>
      <c r="ROO956" s="252"/>
      <c r="ROP956" s="252"/>
      <c r="ROQ956" s="252"/>
      <c r="ROR956" s="252"/>
      <c r="ROS956" s="252"/>
      <c r="ROT956" s="252"/>
      <c r="ROU956" s="252"/>
      <c r="ROV956" s="252"/>
      <c r="ROW956" s="252"/>
      <c r="ROX956" s="252"/>
      <c r="ROY956" s="252"/>
      <c r="ROZ956" s="252"/>
      <c r="RPA956" s="252"/>
      <c r="RPB956" s="252"/>
      <c r="RPC956" s="252"/>
      <c r="RPD956" s="252"/>
      <c r="RPE956" s="252"/>
      <c r="RPF956" s="252"/>
      <c r="RPG956" s="252"/>
      <c r="RPH956" s="252"/>
      <c r="RPI956" s="252"/>
      <c r="RPJ956" s="252"/>
      <c r="RPK956" s="252"/>
      <c r="RPL956" s="252"/>
      <c r="RPM956" s="252"/>
      <c r="RPN956" s="252"/>
      <c r="RPO956" s="252"/>
      <c r="RPP956" s="252"/>
      <c r="RPQ956" s="252"/>
      <c r="RPR956" s="252"/>
      <c r="RPS956" s="252"/>
      <c r="RPT956" s="252"/>
      <c r="RPU956" s="252"/>
      <c r="RPV956" s="252"/>
      <c r="RPW956" s="252"/>
      <c r="RPX956" s="252"/>
      <c r="RPY956" s="252"/>
      <c r="RPZ956" s="252"/>
      <c r="RQA956" s="252"/>
      <c r="RQB956" s="252"/>
      <c r="RQC956" s="252"/>
      <c r="RQD956" s="252"/>
      <c r="RQE956" s="252"/>
      <c r="RQF956" s="252"/>
      <c r="RQG956" s="252"/>
      <c r="RQH956" s="252"/>
      <c r="RQI956" s="252"/>
      <c r="RQJ956" s="252"/>
      <c r="RQK956" s="252"/>
      <c r="RQL956" s="252"/>
      <c r="RQM956" s="252"/>
      <c r="RQN956" s="252"/>
      <c r="RQO956" s="252"/>
      <c r="RQP956" s="252"/>
      <c r="RQQ956" s="252"/>
      <c r="RQR956" s="252"/>
      <c r="RQS956" s="252"/>
      <c r="RQT956" s="252"/>
      <c r="RQU956" s="252"/>
      <c r="RQV956" s="252"/>
      <c r="RQW956" s="252"/>
      <c r="RQX956" s="252"/>
      <c r="RQY956" s="252"/>
      <c r="RQZ956" s="252"/>
      <c r="RRA956" s="252"/>
      <c r="RRB956" s="252"/>
      <c r="RRC956" s="252"/>
      <c r="RRD956" s="252"/>
      <c r="RRE956" s="252"/>
      <c r="RRF956" s="252"/>
      <c r="RRG956" s="252"/>
      <c r="RRH956" s="252"/>
      <c r="RRI956" s="252"/>
      <c r="RRJ956" s="252"/>
      <c r="RRK956" s="252"/>
      <c r="RRL956" s="252"/>
      <c r="RRM956" s="252"/>
      <c r="RRN956" s="252"/>
      <c r="RRO956" s="252"/>
      <c r="RRP956" s="252"/>
      <c r="RRQ956" s="252"/>
      <c r="RRR956" s="252"/>
      <c r="RRS956" s="252"/>
      <c r="RRT956" s="252"/>
      <c r="RRU956" s="252"/>
      <c r="RRV956" s="252"/>
      <c r="RRW956" s="252"/>
      <c r="RRX956" s="252"/>
      <c r="RRY956" s="252"/>
      <c r="RRZ956" s="252"/>
      <c r="RSA956" s="252"/>
      <c r="RSB956" s="252"/>
      <c r="RSC956" s="252"/>
      <c r="RSD956" s="252"/>
      <c r="RSE956" s="252"/>
      <c r="RSF956" s="252"/>
      <c r="RSG956" s="252"/>
      <c r="RSH956" s="252"/>
      <c r="RSI956" s="252"/>
      <c r="RSJ956" s="252"/>
      <c r="RSK956" s="252"/>
      <c r="RSL956" s="252"/>
      <c r="RSM956" s="252"/>
      <c r="RSN956" s="252"/>
      <c r="RSO956" s="252"/>
      <c r="RSP956" s="252"/>
      <c r="RSQ956" s="252"/>
      <c r="RSR956" s="252"/>
      <c r="RSS956" s="252"/>
      <c r="RST956" s="252"/>
      <c r="RSU956" s="252"/>
      <c r="RSV956" s="252"/>
      <c r="RSW956" s="252"/>
      <c r="RSX956" s="252"/>
      <c r="RSY956" s="252"/>
      <c r="RSZ956" s="252"/>
      <c r="RTA956" s="252"/>
      <c r="RTB956" s="252"/>
      <c r="RTC956" s="252"/>
      <c r="RTD956" s="252"/>
      <c r="RTE956" s="252"/>
      <c r="RTF956" s="252"/>
      <c r="RTG956" s="252"/>
      <c r="RTH956" s="252"/>
      <c r="RTI956" s="252"/>
      <c r="RTJ956" s="252"/>
      <c r="RTK956" s="252"/>
      <c r="RTL956" s="252"/>
      <c r="RTM956" s="252"/>
      <c r="RTN956" s="252"/>
      <c r="RTO956" s="252"/>
      <c r="RTP956" s="252"/>
      <c r="RTQ956" s="252"/>
      <c r="RTR956" s="252"/>
      <c r="RTS956" s="252"/>
      <c r="RTT956" s="252"/>
      <c r="RTU956" s="252"/>
      <c r="RTV956" s="252"/>
      <c r="RTW956" s="252"/>
      <c r="RTX956" s="252"/>
      <c r="RTY956" s="252"/>
      <c r="RTZ956" s="252"/>
      <c r="RUA956" s="252"/>
      <c r="RUB956" s="252"/>
      <c r="RUC956" s="252"/>
      <c r="RUD956" s="252"/>
      <c r="RUE956" s="252"/>
      <c r="RUF956" s="252"/>
      <c r="RUG956" s="252"/>
      <c r="RUH956" s="252"/>
      <c r="RUI956" s="252"/>
      <c r="RUJ956" s="252"/>
      <c r="RUK956" s="252"/>
      <c r="RUL956" s="252"/>
      <c r="RUM956" s="252"/>
      <c r="RUN956" s="252"/>
      <c r="RUO956" s="252"/>
      <c r="RUP956" s="252"/>
      <c r="RUQ956" s="252"/>
      <c r="RUR956" s="252"/>
      <c r="RUS956" s="252"/>
      <c r="RUT956" s="252"/>
      <c r="RUU956" s="252"/>
      <c r="RUV956" s="252"/>
      <c r="RUW956" s="252"/>
      <c r="RUX956" s="252"/>
      <c r="RUY956" s="252"/>
      <c r="RUZ956" s="252"/>
      <c r="RVA956" s="252"/>
      <c r="RVB956" s="252"/>
      <c r="RVC956" s="252"/>
      <c r="RVD956" s="252"/>
      <c r="RVE956" s="252"/>
      <c r="RVF956" s="252"/>
      <c r="RVG956" s="252"/>
      <c r="RVH956" s="252"/>
      <c r="RVI956" s="252"/>
      <c r="RVJ956" s="252"/>
      <c r="RVK956" s="252"/>
      <c r="RVL956" s="252"/>
      <c r="RVM956" s="252"/>
      <c r="RVN956" s="252"/>
      <c r="RVO956" s="252"/>
      <c r="RVP956" s="252"/>
      <c r="RVQ956" s="252"/>
      <c r="RVR956" s="252"/>
      <c r="RVS956" s="252"/>
      <c r="RVT956" s="252"/>
      <c r="RVU956" s="252"/>
      <c r="RVV956" s="252"/>
      <c r="RVW956" s="252"/>
      <c r="RVX956" s="252"/>
      <c r="RVY956" s="252"/>
      <c r="RVZ956" s="252"/>
      <c r="RWA956" s="252"/>
      <c r="RWB956" s="252"/>
      <c r="RWC956" s="252"/>
      <c r="RWD956" s="252"/>
      <c r="RWE956" s="252"/>
      <c r="RWF956" s="252"/>
      <c r="RWG956" s="252"/>
      <c r="RWH956" s="252"/>
      <c r="RWI956" s="252"/>
      <c r="RWJ956" s="252"/>
      <c r="RWK956" s="252"/>
      <c r="RWL956" s="252"/>
      <c r="RWM956" s="252"/>
      <c r="RWN956" s="252"/>
      <c r="RWO956" s="252"/>
      <c r="RWP956" s="252"/>
      <c r="RWQ956" s="252"/>
      <c r="RWR956" s="252"/>
      <c r="RWS956" s="252"/>
      <c r="RWT956" s="252"/>
      <c r="RWU956" s="252"/>
      <c r="RWV956" s="252"/>
      <c r="RWW956" s="252"/>
      <c r="RWX956" s="252"/>
      <c r="RWY956" s="252"/>
      <c r="RWZ956" s="252"/>
      <c r="RXA956" s="252"/>
      <c r="RXB956" s="252"/>
      <c r="RXC956" s="252"/>
      <c r="RXD956" s="252"/>
      <c r="RXE956" s="252"/>
      <c r="RXF956" s="252"/>
      <c r="RXG956" s="252"/>
      <c r="RXH956" s="252"/>
      <c r="RXI956" s="252"/>
      <c r="RXJ956" s="252"/>
      <c r="RXK956" s="252"/>
      <c r="RXL956" s="252"/>
      <c r="RXM956" s="252"/>
      <c r="RXN956" s="252"/>
      <c r="RXO956" s="252"/>
      <c r="RXP956" s="252"/>
      <c r="RXQ956" s="252"/>
      <c r="RXR956" s="252"/>
      <c r="RXS956" s="252"/>
      <c r="RXT956" s="252"/>
      <c r="RXU956" s="252"/>
      <c r="RXV956" s="252"/>
      <c r="RXW956" s="252"/>
      <c r="RXX956" s="252"/>
      <c r="RXY956" s="252"/>
      <c r="RXZ956" s="252"/>
      <c r="RYA956" s="252"/>
      <c r="RYB956" s="252"/>
      <c r="RYC956" s="252"/>
      <c r="RYD956" s="252"/>
      <c r="RYE956" s="252"/>
      <c r="RYF956" s="252"/>
      <c r="RYG956" s="252"/>
      <c r="RYH956" s="252"/>
      <c r="RYI956" s="252"/>
      <c r="RYJ956" s="252"/>
      <c r="RYK956" s="252"/>
      <c r="RYL956" s="252"/>
      <c r="RYM956" s="252"/>
      <c r="RYN956" s="252"/>
      <c r="RYO956" s="252"/>
      <c r="RYP956" s="252"/>
      <c r="RYQ956" s="252"/>
      <c r="RYR956" s="252"/>
      <c r="RYS956" s="252"/>
      <c r="RYT956" s="252"/>
      <c r="RYU956" s="252"/>
      <c r="RYV956" s="252"/>
      <c r="RYW956" s="252"/>
      <c r="RYX956" s="252"/>
      <c r="RYY956" s="252"/>
      <c r="RYZ956" s="252"/>
      <c r="RZA956" s="252"/>
      <c r="RZB956" s="252"/>
      <c r="RZC956" s="252"/>
      <c r="RZD956" s="252"/>
      <c r="RZE956" s="252"/>
      <c r="RZF956" s="252"/>
      <c r="RZG956" s="252"/>
      <c r="RZH956" s="252"/>
      <c r="RZI956" s="252"/>
      <c r="RZJ956" s="252"/>
      <c r="RZK956" s="252"/>
      <c r="RZL956" s="252"/>
      <c r="RZM956" s="252"/>
      <c r="RZN956" s="252"/>
      <c r="RZO956" s="252"/>
      <c r="RZP956" s="252"/>
      <c r="RZQ956" s="252"/>
      <c r="RZR956" s="252"/>
      <c r="RZS956" s="252"/>
      <c r="RZT956" s="252"/>
      <c r="RZU956" s="252"/>
      <c r="RZV956" s="252"/>
      <c r="RZW956" s="252"/>
      <c r="RZX956" s="252"/>
      <c r="RZY956" s="252"/>
      <c r="RZZ956" s="252"/>
      <c r="SAA956" s="252"/>
      <c r="SAB956" s="252"/>
      <c r="SAC956" s="252"/>
      <c r="SAD956" s="252"/>
      <c r="SAE956" s="252"/>
      <c r="SAF956" s="252"/>
      <c r="SAG956" s="252"/>
      <c r="SAH956" s="252"/>
      <c r="SAI956" s="252"/>
      <c r="SAJ956" s="252"/>
      <c r="SAK956" s="252"/>
      <c r="SAL956" s="252"/>
      <c r="SAM956" s="252"/>
      <c r="SAN956" s="252"/>
      <c r="SAO956" s="252"/>
      <c r="SAP956" s="252"/>
      <c r="SAQ956" s="252"/>
      <c r="SAR956" s="252"/>
      <c r="SAS956" s="252"/>
      <c r="SAT956" s="252"/>
      <c r="SAU956" s="252"/>
      <c r="SAV956" s="252"/>
      <c r="SAW956" s="252"/>
      <c r="SAX956" s="252"/>
      <c r="SAY956" s="252"/>
      <c r="SAZ956" s="252"/>
      <c r="SBA956" s="252"/>
      <c r="SBB956" s="252"/>
      <c r="SBC956" s="252"/>
      <c r="SBD956" s="252"/>
      <c r="SBE956" s="252"/>
      <c r="SBF956" s="252"/>
      <c r="SBG956" s="252"/>
      <c r="SBH956" s="252"/>
      <c r="SBI956" s="252"/>
      <c r="SBJ956" s="252"/>
      <c r="SBK956" s="252"/>
      <c r="SBL956" s="252"/>
      <c r="SBM956" s="252"/>
      <c r="SBN956" s="252"/>
      <c r="SBO956" s="252"/>
      <c r="SBP956" s="252"/>
      <c r="SBQ956" s="252"/>
      <c r="SBR956" s="252"/>
      <c r="SBS956" s="252"/>
      <c r="SBT956" s="252"/>
      <c r="SBU956" s="252"/>
      <c r="SBV956" s="252"/>
      <c r="SBW956" s="252"/>
      <c r="SBX956" s="252"/>
      <c r="SBY956" s="252"/>
      <c r="SBZ956" s="252"/>
      <c r="SCA956" s="252"/>
      <c r="SCB956" s="252"/>
      <c r="SCC956" s="252"/>
      <c r="SCD956" s="252"/>
      <c r="SCE956" s="252"/>
      <c r="SCF956" s="252"/>
      <c r="SCG956" s="252"/>
      <c r="SCH956" s="252"/>
      <c r="SCI956" s="252"/>
      <c r="SCJ956" s="252"/>
      <c r="SCK956" s="252"/>
      <c r="SCL956" s="252"/>
      <c r="SCM956" s="252"/>
      <c r="SCN956" s="252"/>
      <c r="SCO956" s="252"/>
      <c r="SCP956" s="252"/>
      <c r="SCQ956" s="252"/>
      <c r="SCR956" s="252"/>
      <c r="SCS956" s="252"/>
      <c r="SCT956" s="252"/>
      <c r="SCU956" s="252"/>
      <c r="SCV956" s="252"/>
      <c r="SCW956" s="252"/>
      <c r="SCX956" s="252"/>
      <c r="SCY956" s="252"/>
      <c r="SCZ956" s="252"/>
      <c r="SDA956" s="252"/>
      <c r="SDB956" s="252"/>
      <c r="SDC956" s="252"/>
      <c r="SDD956" s="252"/>
      <c r="SDE956" s="252"/>
      <c r="SDF956" s="252"/>
      <c r="SDG956" s="252"/>
      <c r="SDH956" s="252"/>
      <c r="SDI956" s="252"/>
      <c r="SDJ956" s="252"/>
      <c r="SDK956" s="252"/>
      <c r="SDL956" s="252"/>
      <c r="SDM956" s="252"/>
      <c r="SDN956" s="252"/>
      <c r="SDO956" s="252"/>
      <c r="SDP956" s="252"/>
      <c r="SDQ956" s="252"/>
      <c r="SDR956" s="252"/>
      <c r="SDS956" s="252"/>
      <c r="SDT956" s="252"/>
      <c r="SDU956" s="252"/>
      <c r="SDV956" s="252"/>
      <c r="SDW956" s="252"/>
      <c r="SDX956" s="252"/>
      <c r="SDY956" s="252"/>
      <c r="SDZ956" s="252"/>
      <c r="SEA956" s="252"/>
      <c r="SEB956" s="252"/>
      <c r="SEC956" s="252"/>
      <c r="SED956" s="252"/>
      <c r="SEE956" s="252"/>
      <c r="SEF956" s="252"/>
      <c r="SEG956" s="252"/>
      <c r="SEH956" s="252"/>
      <c r="SEI956" s="252"/>
      <c r="SEJ956" s="252"/>
      <c r="SEK956" s="252"/>
      <c r="SEL956" s="252"/>
      <c r="SEM956" s="252"/>
      <c r="SEN956" s="252"/>
      <c r="SEO956" s="252"/>
      <c r="SEP956" s="252"/>
      <c r="SEQ956" s="252"/>
      <c r="SER956" s="252"/>
      <c r="SES956" s="252"/>
      <c r="SET956" s="252"/>
      <c r="SEU956" s="252"/>
      <c r="SEV956" s="252"/>
      <c r="SEW956" s="252"/>
      <c r="SEX956" s="252"/>
      <c r="SEY956" s="252"/>
      <c r="SEZ956" s="252"/>
      <c r="SFA956" s="252"/>
      <c r="SFB956" s="252"/>
      <c r="SFC956" s="252"/>
      <c r="SFD956" s="252"/>
      <c r="SFE956" s="252"/>
      <c r="SFF956" s="252"/>
      <c r="SFG956" s="252"/>
      <c r="SFH956" s="252"/>
      <c r="SFI956" s="252"/>
      <c r="SFJ956" s="252"/>
      <c r="SFK956" s="252"/>
      <c r="SFL956" s="252"/>
      <c r="SFM956" s="252"/>
      <c r="SFN956" s="252"/>
      <c r="SFO956" s="252"/>
      <c r="SFP956" s="252"/>
      <c r="SFQ956" s="252"/>
      <c r="SFR956" s="252"/>
      <c r="SFS956" s="252"/>
      <c r="SFT956" s="252"/>
      <c r="SFU956" s="252"/>
      <c r="SFV956" s="252"/>
      <c r="SFW956" s="252"/>
      <c r="SFX956" s="252"/>
      <c r="SFY956" s="252"/>
      <c r="SFZ956" s="252"/>
      <c r="SGA956" s="252"/>
      <c r="SGB956" s="252"/>
      <c r="SGC956" s="252"/>
      <c r="SGD956" s="252"/>
      <c r="SGE956" s="252"/>
      <c r="SGF956" s="252"/>
      <c r="SGG956" s="252"/>
      <c r="SGH956" s="252"/>
      <c r="SGI956" s="252"/>
      <c r="SGJ956" s="252"/>
      <c r="SGK956" s="252"/>
      <c r="SGL956" s="252"/>
      <c r="SGM956" s="252"/>
      <c r="SGN956" s="252"/>
      <c r="SGO956" s="252"/>
      <c r="SGP956" s="252"/>
      <c r="SGQ956" s="252"/>
      <c r="SGR956" s="252"/>
      <c r="SGS956" s="252"/>
      <c r="SGT956" s="252"/>
      <c r="SGU956" s="252"/>
      <c r="SGV956" s="252"/>
      <c r="SGW956" s="252"/>
      <c r="SGX956" s="252"/>
      <c r="SGY956" s="252"/>
      <c r="SGZ956" s="252"/>
      <c r="SHA956" s="252"/>
      <c r="SHB956" s="252"/>
      <c r="SHC956" s="252"/>
      <c r="SHD956" s="252"/>
      <c r="SHE956" s="252"/>
      <c r="SHF956" s="252"/>
      <c r="SHG956" s="252"/>
      <c r="SHH956" s="252"/>
      <c r="SHI956" s="252"/>
      <c r="SHJ956" s="252"/>
      <c r="SHK956" s="252"/>
      <c r="SHL956" s="252"/>
      <c r="SHM956" s="252"/>
      <c r="SHN956" s="252"/>
      <c r="SHO956" s="252"/>
      <c r="SHP956" s="252"/>
      <c r="SHQ956" s="252"/>
      <c r="SHR956" s="252"/>
      <c r="SHS956" s="252"/>
      <c r="SHT956" s="252"/>
      <c r="SHU956" s="252"/>
      <c r="SHV956" s="252"/>
      <c r="SHW956" s="252"/>
      <c r="SHX956" s="252"/>
      <c r="SHY956" s="252"/>
      <c r="SHZ956" s="252"/>
      <c r="SIA956" s="252"/>
      <c r="SIB956" s="252"/>
      <c r="SIC956" s="252"/>
      <c r="SID956" s="252"/>
      <c r="SIE956" s="252"/>
      <c r="SIF956" s="252"/>
      <c r="SIG956" s="252"/>
      <c r="SIH956" s="252"/>
      <c r="SII956" s="252"/>
      <c r="SIJ956" s="252"/>
      <c r="SIK956" s="252"/>
      <c r="SIL956" s="252"/>
      <c r="SIM956" s="252"/>
      <c r="SIN956" s="252"/>
      <c r="SIO956" s="252"/>
      <c r="SIP956" s="252"/>
      <c r="SIQ956" s="252"/>
      <c r="SIR956" s="252"/>
      <c r="SIS956" s="252"/>
      <c r="SIT956" s="252"/>
      <c r="SIU956" s="252"/>
      <c r="SIV956" s="252"/>
      <c r="SIW956" s="252"/>
      <c r="SIX956" s="252"/>
      <c r="SIY956" s="252"/>
      <c r="SIZ956" s="252"/>
      <c r="SJA956" s="252"/>
      <c r="SJB956" s="252"/>
      <c r="SJC956" s="252"/>
      <c r="SJD956" s="252"/>
      <c r="SJE956" s="252"/>
      <c r="SJF956" s="252"/>
      <c r="SJG956" s="252"/>
      <c r="SJH956" s="252"/>
      <c r="SJI956" s="252"/>
      <c r="SJJ956" s="252"/>
      <c r="SJK956" s="252"/>
      <c r="SJL956" s="252"/>
      <c r="SJM956" s="252"/>
      <c r="SJN956" s="252"/>
      <c r="SJO956" s="252"/>
      <c r="SJP956" s="252"/>
      <c r="SJQ956" s="252"/>
      <c r="SJR956" s="252"/>
      <c r="SJS956" s="252"/>
      <c r="SJT956" s="252"/>
      <c r="SJU956" s="252"/>
      <c r="SJV956" s="252"/>
      <c r="SJW956" s="252"/>
      <c r="SJX956" s="252"/>
      <c r="SJY956" s="252"/>
      <c r="SJZ956" s="252"/>
      <c r="SKA956" s="252"/>
      <c r="SKB956" s="252"/>
      <c r="SKC956" s="252"/>
      <c r="SKD956" s="252"/>
      <c r="SKE956" s="252"/>
      <c r="SKF956" s="252"/>
      <c r="SKG956" s="252"/>
      <c r="SKH956" s="252"/>
      <c r="SKI956" s="252"/>
      <c r="SKJ956" s="252"/>
      <c r="SKK956" s="252"/>
      <c r="SKL956" s="252"/>
      <c r="SKM956" s="252"/>
      <c r="SKN956" s="252"/>
      <c r="SKO956" s="252"/>
      <c r="SKP956" s="252"/>
      <c r="SKQ956" s="252"/>
      <c r="SKR956" s="252"/>
      <c r="SKS956" s="252"/>
      <c r="SKT956" s="252"/>
      <c r="SKU956" s="252"/>
      <c r="SKV956" s="252"/>
      <c r="SKW956" s="252"/>
      <c r="SKX956" s="252"/>
      <c r="SKY956" s="252"/>
      <c r="SKZ956" s="252"/>
      <c r="SLA956" s="252"/>
      <c r="SLB956" s="252"/>
      <c r="SLC956" s="252"/>
      <c r="SLD956" s="252"/>
      <c r="SLE956" s="252"/>
      <c r="SLF956" s="252"/>
      <c r="SLG956" s="252"/>
      <c r="SLH956" s="252"/>
      <c r="SLI956" s="252"/>
      <c r="SLJ956" s="252"/>
      <c r="SLK956" s="252"/>
      <c r="SLL956" s="252"/>
      <c r="SLM956" s="252"/>
      <c r="SLN956" s="252"/>
      <c r="SLO956" s="252"/>
      <c r="SLP956" s="252"/>
      <c r="SLQ956" s="252"/>
      <c r="SLR956" s="252"/>
      <c r="SLS956" s="252"/>
      <c r="SLT956" s="252"/>
      <c r="SLU956" s="252"/>
      <c r="SLV956" s="252"/>
      <c r="SLW956" s="252"/>
      <c r="SLX956" s="252"/>
      <c r="SLY956" s="252"/>
      <c r="SLZ956" s="252"/>
      <c r="SMA956" s="252"/>
      <c r="SMB956" s="252"/>
      <c r="SMC956" s="252"/>
      <c r="SMD956" s="252"/>
      <c r="SME956" s="252"/>
      <c r="SMF956" s="252"/>
      <c r="SMG956" s="252"/>
      <c r="SMH956" s="252"/>
      <c r="SMI956" s="252"/>
      <c r="SMJ956" s="252"/>
      <c r="SMK956" s="252"/>
      <c r="SML956" s="252"/>
      <c r="SMM956" s="252"/>
      <c r="SMN956" s="252"/>
      <c r="SMO956" s="252"/>
      <c r="SMP956" s="252"/>
      <c r="SMQ956" s="252"/>
      <c r="SMR956" s="252"/>
      <c r="SMS956" s="252"/>
      <c r="SMT956" s="252"/>
      <c r="SMU956" s="252"/>
      <c r="SMV956" s="252"/>
      <c r="SMW956" s="252"/>
      <c r="SMX956" s="252"/>
      <c r="SMY956" s="252"/>
      <c r="SMZ956" s="252"/>
      <c r="SNA956" s="252"/>
      <c r="SNB956" s="252"/>
      <c r="SNC956" s="252"/>
      <c r="SND956" s="252"/>
      <c r="SNE956" s="252"/>
      <c r="SNF956" s="252"/>
      <c r="SNG956" s="252"/>
      <c r="SNH956" s="252"/>
      <c r="SNI956" s="252"/>
      <c r="SNJ956" s="252"/>
      <c r="SNK956" s="252"/>
      <c r="SNL956" s="252"/>
      <c r="SNM956" s="252"/>
      <c r="SNN956" s="252"/>
      <c r="SNO956" s="252"/>
      <c r="SNP956" s="252"/>
      <c r="SNQ956" s="252"/>
      <c r="SNR956" s="252"/>
      <c r="SNS956" s="252"/>
      <c r="SNT956" s="252"/>
      <c r="SNU956" s="252"/>
      <c r="SNV956" s="252"/>
      <c r="SNW956" s="252"/>
      <c r="SNX956" s="252"/>
      <c r="SNY956" s="252"/>
      <c r="SNZ956" s="252"/>
      <c r="SOA956" s="252"/>
      <c r="SOB956" s="252"/>
      <c r="SOC956" s="252"/>
      <c r="SOD956" s="252"/>
      <c r="SOE956" s="252"/>
      <c r="SOF956" s="252"/>
      <c r="SOG956" s="252"/>
      <c r="SOH956" s="252"/>
      <c r="SOI956" s="252"/>
      <c r="SOJ956" s="252"/>
      <c r="SOK956" s="252"/>
      <c r="SOL956" s="252"/>
      <c r="SOM956" s="252"/>
      <c r="SON956" s="252"/>
      <c r="SOO956" s="252"/>
      <c r="SOP956" s="252"/>
      <c r="SOQ956" s="252"/>
      <c r="SOR956" s="252"/>
      <c r="SOS956" s="252"/>
      <c r="SOT956" s="252"/>
      <c r="SOU956" s="252"/>
      <c r="SOV956" s="252"/>
      <c r="SOW956" s="252"/>
      <c r="SOX956" s="252"/>
      <c r="SOY956" s="252"/>
      <c r="SOZ956" s="252"/>
      <c r="SPA956" s="252"/>
      <c r="SPB956" s="252"/>
      <c r="SPC956" s="252"/>
      <c r="SPD956" s="252"/>
      <c r="SPE956" s="252"/>
      <c r="SPF956" s="252"/>
      <c r="SPG956" s="252"/>
      <c r="SPH956" s="252"/>
      <c r="SPI956" s="252"/>
      <c r="SPJ956" s="252"/>
      <c r="SPK956" s="252"/>
      <c r="SPL956" s="252"/>
      <c r="SPM956" s="252"/>
      <c r="SPN956" s="252"/>
      <c r="SPO956" s="252"/>
      <c r="SPP956" s="252"/>
      <c r="SPQ956" s="252"/>
      <c r="SPR956" s="252"/>
      <c r="SPS956" s="252"/>
      <c r="SPT956" s="252"/>
      <c r="SPU956" s="252"/>
      <c r="SPV956" s="252"/>
      <c r="SPW956" s="252"/>
      <c r="SPX956" s="252"/>
      <c r="SPY956" s="252"/>
      <c r="SPZ956" s="252"/>
      <c r="SQA956" s="252"/>
      <c r="SQB956" s="252"/>
      <c r="SQC956" s="252"/>
      <c r="SQD956" s="252"/>
      <c r="SQE956" s="252"/>
      <c r="SQF956" s="252"/>
      <c r="SQG956" s="252"/>
      <c r="SQH956" s="252"/>
      <c r="SQI956" s="252"/>
      <c r="SQJ956" s="252"/>
      <c r="SQK956" s="252"/>
      <c r="SQL956" s="252"/>
      <c r="SQM956" s="252"/>
      <c r="SQN956" s="252"/>
      <c r="SQO956" s="252"/>
      <c r="SQP956" s="252"/>
      <c r="SQQ956" s="252"/>
      <c r="SQR956" s="252"/>
      <c r="SQS956" s="252"/>
      <c r="SQT956" s="252"/>
      <c r="SQU956" s="252"/>
      <c r="SQV956" s="252"/>
      <c r="SQW956" s="252"/>
      <c r="SQX956" s="252"/>
      <c r="SQY956" s="252"/>
      <c r="SQZ956" s="252"/>
      <c r="SRA956" s="252"/>
      <c r="SRB956" s="252"/>
      <c r="SRC956" s="252"/>
      <c r="SRD956" s="252"/>
      <c r="SRE956" s="252"/>
      <c r="SRF956" s="252"/>
      <c r="SRG956" s="252"/>
      <c r="SRH956" s="252"/>
      <c r="SRI956" s="252"/>
      <c r="SRJ956" s="252"/>
      <c r="SRK956" s="252"/>
      <c r="SRL956" s="252"/>
      <c r="SRM956" s="252"/>
      <c r="SRN956" s="252"/>
      <c r="SRO956" s="252"/>
      <c r="SRP956" s="252"/>
      <c r="SRQ956" s="252"/>
      <c r="SRR956" s="252"/>
      <c r="SRS956" s="252"/>
      <c r="SRT956" s="252"/>
      <c r="SRU956" s="252"/>
      <c r="SRV956" s="252"/>
      <c r="SRW956" s="252"/>
      <c r="SRX956" s="252"/>
      <c r="SRY956" s="252"/>
      <c r="SRZ956" s="252"/>
      <c r="SSA956" s="252"/>
      <c r="SSB956" s="252"/>
      <c r="SSC956" s="252"/>
      <c r="SSD956" s="252"/>
      <c r="SSE956" s="252"/>
      <c r="SSF956" s="252"/>
      <c r="SSG956" s="252"/>
      <c r="SSH956" s="252"/>
      <c r="SSI956" s="252"/>
      <c r="SSJ956" s="252"/>
      <c r="SSK956" s="252"/>
      <c r="SSL956" s="252"/>
      <c r="SSM956" s="252"/>
      <c r="SSN956" s="252"/>
      <c r="SSO956" s="252"/>
      <c r="SSP956" s="252"/>
      <c r="SSQ956" s="252"/>
      <c r="SSR956" s="252"/>
      <c r="SSS956" s="252"/>
      <c r="SST956" s="252"/>
      <c r="SSU956" s="252"/>
      <c r="SSV956" s="252"/>
      <c r="SSW956" s="252"/>
      <c r="SSX956" s="252"/>
      <c r="SSY956" s="252"/>
      <c r="SSZ956" s="252"/>
      <c r="STA956" s="252"/>
      <c r="STB956" s="252"/>
      <c r="STC956" s="252"/>
      <c r="STD956" s="252"/>
      <c r="STE956" s="252"/>
      <c r="STF956" s="252"/>
      <c r="STG956" s="252"/>
      <c r="STH956" s="252"/>
      <c r="STI956" s="252"/>
      <c r="STJ956" s="252"/>
      <c r="STK956" s="252"/>
      <c r="STL956" s="252"/>
      <c r="STM956" s="252"/>
      <c r="STN956" s="252"/>
      <c r="STO956" s="252"/>
      <c r="STP956" s="252"/>
      <c r="STQ956" s="252"/>
      <c r="STR956" s="252"/>
      <c r="STS956" s="252"/>
      <c r="STT956" s="252"/>
      <c r="STU956" s="252"/>
      <c r="STV956" s="252"/>
      <c r="STW956" s="252"/>
      <c r="STX956" s="252"/>
      <c r="STY956" s="252"/>
      <c r="STZ956" s="252"/>
      <c r="SUA956" s="252"/>
      <c r="SUB956" s="252"/>
      <c r="SUC956" s="252"/>
      <c r="SUD956" s="252"/>
      <c r="SUE956" s="252"/>
      <c r="SUF956" s="252"/>
      <c r="SUG956" s="252"/>
      <c r="SUH956" s="252"/>
      <c r="SUI956" s="252"/>
      <c r="SUJ956" s="252"/>
      <c r="SUK956" s="252"/>
      <c r="SUL956" s="252"/>
      <c r="SUM956" s="252"/>
      <c r="SUN956" s="252"/>
      <c r="SUO956" s="252"/>
      <c r="SUP956" s="252"/>
      <c r="SUQ956" s="252"/>
      <c r="SUR956" s="252"/>
      <c r="SUS956" s="252"/>
      <c r="SUT956" s="252"/>
      <c r="SUU956" s="252"/>
      <c r="SUV956" s="252"/>
      <c r="SUW956" s="252"/>
      <c r="SUX956" s="252"/>
      <c r="SUY956" s="252"/>
      <c r="SUZ956" s="252"/>
      <c r="SVA956" s="252"/>
      <c r="SVB956" s="252"/>
      <c r="SVC956" s="252"/>
      <c r="SVD956" s="252"/>
      <c r="SVE956" s="252"/>
      <c r="SVF956" s="252"/>
      <c r="SVG956" s="252"/>
      <c r="SVH956" s="252"/>
      <c r="SVI956" s="252"/>
      <c r="SVJ956" s="252"/>
      <c r="SVK956" s="252"/>
      <c r="SVL956" s="252"/>
      <c r="SVM956" s="252"/>
      <c r="SVN956" s="252"/>
      <c r="SVO956" s="252"/>
      <c r="SVP956" s="252"/>
      <c r="SVQ956" s="252"/>
      <c r="SVR956" s="252"/>
      <c r="SVS956" s="252"/>
      <c r="SVT956" s="252"/>
      <c r="SVU956" s="252"/>
      <c r="SVV956" s="252"/>
      <c r="SVW956" s="252"/>
      <c r="SVX956" s="252"/>
      <c r="SVY956" s="252"/>
      <c r="SVZ956" s="252"/>
      <c r="SWA956" s="252"/>
      <c r="SWB956" s="252"/>
      <c r="SWC956" s="252"/>
      <c r="SWD956" s="252"/>
      <c r="SWE956" s="252"/>
      <c r="SWF956" s="252"/>
      <c r="SWG956" s="252"/>
      <c r="SWH956" s="252"/>
      <c r="SWI956" s="252"/>
      <c r="SWJ956" s="252"/>
      <c r="SWK956" s="252"/>
      <c r="SWL956" s="252"/>
      <c r="SWM956" s="252"/>
      <c r="SWN956" s="252"/>
      <c r="SWO956" s="252"/>
      <c r="SWP956" s="252"/>
      <c r="SWQ956" s="252"/>
      <c r="SWR956" s="252"/>
      <c r="SWS956" s="252"/>
      <c r="SWT956" s="252"/>
      <c r="SWU956" s="252"/>
      <c r="SWV956" s="252"/>
      <c r="SWW956" s="252"/>
      <c r="SWX956" s="252"/>
      <c r="SWY956" s="252"/>
      <c r="SWZ956" s="252"/>
      <c r="SXA956" s="252"/>
      <c r="SXB956" s="252"/>
      <c r="SXC956" s="252"/>
      <c r="SXD956" s="252"/>
      <c r="SXE956" s="252"/>
      <c r="SXF956" s="252"/>
      <c r="SXG956" s="252"/>
      <c r="SXH956" s="252"/>
      <c r="SXI956" s="252"/>
      <c r="SXJ956" s="252"/>
      <c r="SXK956" s="252"/>
      <c r="SXL956" s="252"/>
      <c r="SXM956" s="252"/>
      <c r="SXN956" s="252"/>
      <c r="SXO956" s="252"/>
      <c r="SXP956" s="252"/>
      <c r="SXQ956" s="252"/>
      <c r="SXR956" s="252"/>
      <c r="SXS956" s="252"/>
      <c r="SXT956" s="252"/>
      <c r="SXU956" s="252"/>
      <c r="SXV956" s="252"/>
      <c r="SXW956" s="252"/>
      <c r="SXX956" s="252"/>
      <c r="SXY956" s="252"/>
      <c r="SXZ956" s="252"/>
      <c r="SYA956" s="252"/>
      <c r="SYB956" s="252"/>
      <c r="SYC956" s="252"/>
      <c r="SYD956" s="252"/>
      <c r="SYE956" s="252"/>
      <c r="SYF956" s="252"/>
      <c r="SYG956" s="252"/>
      <c r="SYH956" s="252"/>
      <c r="SYI956" s="252"/>
      <c r="SYJ956" s="252"/>
      <c r="SYK956" s="252"/>
      <c r="SYL956" s="252"/>
      <c r="SYM956" s="252"/>
      <c r="SYN956" s="252"/>
      <c r="SYO956" s="252"/>
      <c r="SYP956" s="252"/>
      <c r="SYQ956" s="252"/>
      <c r="SYR956" s="252"/>
      <c r="SYS956" s="252"/>
      <c r="SYT956" s="252"/>
      <c r="SYU956" s="252"/>
      <c r="SYV956" s="252"/>
      <c r="SYW956" s="252"/>
      <c r="SYX956" s="252"/>
      <c r="SYY956" s="252"/>
      <c r="SYZ956" s="252"/>
      <c r="SZA956" s="252"/>
      <c r="SZB956" s="252"/>
      <c r="SZC956" s="252"/>
      <c r="SZD956" s="252"/>
      <c r="SZE956" s="252"/>
      <c r="SZF956" s="252"/>
      <c r="SZG956" s="252"/>
      <c r="SZH956" s="252"/>
      <c r="SZI956" s="252"/>
      <c r="SZJ956" s="252"/>
      <c r="SZK956" s="252"/>
      <c r="SZL956" s="252"/>
      <c r="SZM956" s="252"/>
      <c r="SZN956" s="252"/>
      <c r="SZO956" s="252"/>
      <c r="SZP956" s="252"/>
      <c r="SZQ956" s="252"/>
      <c r="SZR956" s="252"/>
      <c r="SZS956" s="252"/>
      <c r="SZT956" s="252"/>
      <c r="SZU956" s="252"/>
      <c r="SZV956" s="252"/>
      <c r="SZW956" s="252"/>
      <c r="SZX956" s="252"/>
      <c r="SZY956" s="252"/>
      <c r="SZZ956" s="252"/>
      <c r="TAA956" s="252"/>
      <c r="TAB956" s="252"/>
      <c r="TAC956" s="252"/>
      <c r="TAD956" s="252"/>
      <c r="TAE956" s="252"/>
      <c r="TAF956" s="252"/>
      <c r="TAG956" s="252"/>
      <c r="TAH956" s="252"/>
      <c r="TAI956" s="252"/>
      <c r="TAJ956" s="252"/>
      <c r="TAK956" s="252"/>
      <c r="TAL956" s="252"/>
      <c r="TAM956" s="252"/>
      <c r="TAN956" s="252"/>
      <c r="TAO956" s="252"/>
      <c r="TAP956" s="252"/>
      <c r="TAQ956" s="252"/>
      <c r="TAR956" s="252"/>
      <c r="TAS956" s="252"/>
      <c r="TAT956" s="252"/>
      <c r="TAU956" s="252"/>
      <c r="TAV956" s="252"/>
      <c r="TAW956" s="252"/>
      <c r="TAX956" s="252"/>
      <c r="TAY956" s="252"/>
      <c r="TAZ956" s="252"/>
      <c r="TBA956" s="252"/>
      <c r="TBB956" s="252"/>
      <c r="TBC956" s="252"/>
      <c r="TBD956" s="252"/>
      <c r="TBE956" s="252"/>
      <c r="TBF956" s="252"/>
      <c r="TBG956" s="252"/>
      <c r="TBH956" s="252"/>
      <c r="TBI956" s="252"/>
      <c r="TBJ956" s="252"/>
      <c r="TBK956" s="252"/>
      <c r="TBL956" s="252"/>
      <c r="TBM956" s="252"/>
      <c r="TBN956" s="252"/>
      <c r="TBO956" s="252"/>
      <c r="TBP956" s="252"/>
      <c r="TBQ956" s="252"/>
      <c r="TBR956" s="252"/>
      <c r="TBS956" s="252"/>
      <c r="TBT956" s="252"/>
      <c r="TBU956" s="252"/>
      <c r="TBV956" s="252"/>
      <c r="TBW956" s="252"/>
      <c r="TBX956" s="252"/>
      <c r="TBY956" s="252"/>
      <c r="TBZ956" s="252"/>
      <c r="TCA956" s="252"/>
      <c r="TCB956" s="252"/>
      <c r="TCC956" s="252"/>
      <c r="TCD956" s="252"/>
      <c r="TCE956" s="252"/>
      <c r="TCF956" s="252"/>
      <c r="TCG956" s="252"/>
      <c r="TCH956" s="252"/>
      <c r="TCI956" s="252"/>
      <c r="TCJ956" s="252"/>
      <c r="TCK956" s="252"/>
      <c r="TCL956" s="252"/>
      <c r="TCM956" s="252"/>
      <c r="TCN956" s="252"/>
      <c r="TCO956" s="252"/>
      <c r="TCP956" s="252"/>
      <c r="TCQ956" s="252"/>
      <c r="TCR956" s="252"/>
      <c r="TCS956" s="252"/>
      <c r="TCT956" s="252"/>
      <c r="TCU956" s="252"/>
      <c r="TCV956" s="252"/>
      <c r="TCW956" s="252"/>
      <c r="TCX956" s="252"/>
      <c r="TCY956" s="252"/>
      <c r="TCZ956" s="252"/>
      <c r="TDA956" s="252"/>
      <c r="TDB956" s="252"/>
      <c r="TDC956" s="252"/>
      <c r="TDD956" s="252"/>
      <c r="TDE956" s="252"/>
      <c r="TDF956" s="252"/>
      <c r="TDG956" s="252"/>
      <c r="TDH956" s="252"/>
      <c r="TDI956" s="252"/>
      <c r="TDJ956" s="252"/>
      <c r="TDK956" s="252"/>
      <c r="TDL956" s="252"/>
      <c r="TDM956" s="252"/>
      <c r="TDN956" s="252"/>
      <c r="TDO956" s="252"/>
      <c r="TDP956" s="252"/>
      <c r="TDQ956" s="252"/>
      <c r="TDR956" s="252"/>
      <c r="TDS956" s="252"/>
      <c r="TDT956" s="252"/>
      <c r="TDU956" s="252"/>
      <c r="TDV956" s="252"/>
      <c r="TDW956" s="252"/>
      <c r="TDX956" s="252"/>
      <c r="TDY956" s="252"/>
      <c r="TDZ956" s="252"/>
      <c r="TEA956" s="252"/>
      <c r="TEB956" s="252"/>
      <c r="TEC956" s="252"/>
      <c r="TED956" s="252"/>
      <c r="TEE956" s="252"/>
      <c r="TEF956" s="252"/>
      <c r="TEG956" s="252"/>
      <c r="TEH956" s="252"/>
      <c r="TEI956" s="252"/>
      <c r="TEJ956" s="252"/>
      <c r="TEK956" s="252"/>
      <c r="TEL956" s="252"/>
      <c r="TEM956" s="252"/>
      <c r="TEN956" s="252"/>
      <c r="TEO956" s="252"/>
      <c r="TEP956" s="252"/>
      <c r="TEQ956" s="252"/>
      <c r="TER956" s="252"/>
      <c r="TES956" s="252"/>
      <c r="TET956" s="252"/>
      <c r="TEU956" s="252"/>
      <c r="TEV956" s="252"/>
      <c r="TEW956" s="252"/>
      <c r="TEX956" s="252"/>
      <c r="TEY956" s="252"/>
      <c r="TEZ956" s="252"/>
      <c r="TFA956" s="252"/>
      <c r="TFB956" s="252"/>
      <c r="TFC956" s="252"/>
      <c r="TFD956" s="252"/>
      <c r="TFE956" s="252"/>
      <c r="TFF956" s="252"/>
      <c r="TFG956" s="252"/>
      <c r="TFH956" s="252"/>
      <c r="TFI956" s="252"/>
      <c r="TFJ956" s="252"/>
      <c r="TFK956" s="252"/>
      <c r="TFL956" s="252"/>
      <c r="TFM956" s="252"/>
      <c r="TFN956" s="252"/>
      <c r="TFO956" s="252"/>
      <c r="TFP956" s="252"/>
      <c r="TFQ956" s="252"/>
      <c r="TFR956" s="252"/>
      <c r="TFS956" s="252"/>
      <c r="TFT956" s="252"/>
      <c r="TFU956" s="252"/>
      <c r="TFV956" s="252"/>
      <c r="TFW956" s="252"/>
      <c r="TFX956" s="252"/>
      <c r="TFY956" s="252"/>
      <c r="TFZ956" s="252"/>
      <c r="TGA956" s="252"/>
      <c r="TGB956" s="252"/>
      <c r="TGC956" s="252"/>
      <c r="TGD956" s="252"/>
      <c r="TGE956" s="252"/>
      <c r="TGF956" s="252"/>
      <c r="TGG956" s="252"/>
      <c r="TGH956" s="252"/>
      <c r="TGI956" s="252"/>
      <c r="TGJ956" s="252"/>
      <c r="TGK956" s="252"/>
      <c r="TGL956" s="252"/>
      <c r="TGM956" s="252"/>
      <c r="TGN956" s="252"/>
      <c r="TGO956" s="252"/>
      <c r="TGP956" s="252"/>
      <c r="TGQ956" s="252"/>
      <c r="TGR956" s="252"/>
      <c r="TGS956" s="252"/>
      <c r="TGT956" s="252"/>
      <c r="TGU956" s="252"/>
      <c r="TGV956" s="252"/>
      <c r="TGW956" s="252"/>
      <c r="TGX956" s="252"/>
      <c r="TGY956" s="252"/>
      <c r="TGZ956" s="252"/>
      <c r="THA956" s="252"/>
      <c r="THB956" s="252"/>
      <c r="THC956" s="252"/>
      <c r="THD956" s="252"/>
      <c r="THE956" s="252"/>
      <c r="THF956" s="252"/>
      <c r="THG956" s="252"/>
      <c r="THH956" s="252"/>
      <c r="THI956" s="252"/>
      <c r="THJ956" s="252"/>
      <c r="THK956" s="252"/>
      <c r="THL956" s="252"/>
      <c r="THM956" s="252"/>
      <c r="THN956" s="252"/>
      <c r="THO956" s="252"/>
      <c r="THP956" s="252"/>
      <c r="THQ956" s="252"/>
      <c r="THR956" s="252"/>
      <c r="THS956" s="252"/>
      <c r="THT956" s="252"/>
      <c r="THU956" s="252"/>
      <c r="THV956" s="252"/>
      <c r="THW956" s="252"/>
      <c r="THX956" s="252"/>
      <c r="THY956" s="252"/>
      <c r="THZ956" s="252"/>
      <c r="TIA956" s="252"/>
      <c r="TIB956" s="252"/>
      <c r="TIC956" s="252"/>
      <c r="TID956" s="252"/>
      <c r="TIE956" s="252"/>
      <c r="TIF956" s="252"/>
      <c r="TIG956" s="252"/>
      <c r="TIH956" s="252"/>
      <c r="TII956" s="252"/>
      <c r="TIJ956" s="252"/>
      <c r="TIK956" s="252"/>
      <c r="TIL956" s="252"/>
      <c r="TIM956" s="252"/>
      <c r="TIN956" s="252"/>
      <c r="TIO956" s="252"/>
      <c r="TIP956" s="252"/>
      <c r="TIQ956" s="252"/>
      <c r="TIR956" s="252"/>
      <c r="TIS956" s="252"/>
      <c r="TIT956" s="252"/>
      <c r="TIU956" s="252"/>
      <c r="TIV956" s="252"/>
      <c r="TIW956" s="252"/>
      <c r="TIX956" s="252"/>
      <c r="TIY956" s="252"/>
      <c r="TIZ956" s="252"/>
      <c r="TJA956" s="252"/>
      <c r="TJB956" s="252"/>
      <c r="TJC956" s="252"/>
      <c r="TJD956" s="252"/>
      <c r="TJE956" s="252"/>
      <c r="TJF956" s="252"/>
      <c r="TJG956" s="252"/>
      <c r="TJH956" s="252"/>
      <c r="TJI956" s="252"/>
      <c r="TJJ956" s="252"/>
      <c r="TJK956" s="252"/>
      <c r="TJL956" s="252"/>
      <c r="TJM956" s="252"/>
      <c r="TJN956" s="252"/>
      <c r="TJO956" s="252"/>
      <c r="TJP956" s="252"/>
      <c r="TJQ956" s="252"/>
      <c r="TJR956" s="252"/>
      <c r="TJS956" s="252"/>
      <c r="TJT956" s="252"/>
      <c r="TJU956" s="252"/>
      <c r="TJV956" s="252"/>
      <c r="TJW956" s="252"/>
      <c r="TJX956" s="252"/>
      <c r="TJY956" s="252"/>
      <c r="TJZ956" s="252"/>
      <c r="TKA956" s="252"/>
      <c r="TKB956" s="252"/>
      <c r="TKC956" s="252"/>
      <c r="TKD956" s="252"/>
      <c r="TKE956" s="252"/>
      <c r="TKF956" s="252"/>
      <c r="TKG956" s="252"/>
      <c r="TKH956" s="252"/>
      <c r="TKI956" s="252"/>
      <c r="TKJ956" s="252"/>
      <c r="TKK956" s="252"/>
      <c r="TKL956" s="252"/>
      <c r="TKM956" s="252"/>
      <c r="TKN956" s="252"/>
      <c r="TKO956" s="252"/>
      <c r="TKP956" s="252"/>
      <c r="TKQ956" s="252"/>
      <c r="TKR956" s="252"/>
      <c r="TKS956" s="252"/>
      <c r="TKT956" s="252"/>
      <c r="TKU956" s="252"/>
      <c r="TKV956" s="252"/>
      <c r="TKW956" s="252"/>
      <c r="TKX956" s="252"/>
      <c r="TKY956" s="252"/>
      <c r="TKZ956" s="252"/>
      <c r="TLA956" s="252"/>
      <c r="TLB956" s="252"/>
      <c r="TLC956" s="252"/>
      <c r="TLD956" s="252"/>
      <c r="TLE956" s="252"/>
      <c r="TLF956" s="252"/>
      <c r="TLG956" s="252"/>
      <c r="TLH956" s="252"/>
      <c r="TLI956" s="252"/>
      <c r="TLJ956" s="252"/>
      <c r="TLK956" s="252"/>
      <c r="TLL956" s="252"/>
      <c r="TLM956" s="252"/>
      <c r="TLN956" s="252"/>
      <c r="TLO956" s="252"/>
      <c r="TLP956" s="252"/>
      <c r="TLQ956" s="252"/>
      <c r="TLR956" s="252"/>
      <c r="TLS956" s="252"/>
      <c r="TLT956" s="252"/>
      <c r="TLU956" s="252"/>
      <c r="TLV956" s="252"/>
      <c r="TLW956" s="252"/>
      <c r="TLX956" s="252"/>
      <c r="TLY956" s="252"/>
      <c r="TLZ956" s="252"/>
      <c r="TMA956" s="252"/>
      <c r="TMB956" s="252"/>
      <c r="TMC956" s="252"/>
      <c r="TMD956" s="252"/>
      <c r="TME956" s="252"/>
      <c r="TMF956" s="252"/>
      <c r="TMG956" s="252"/>
      <c r="TMH956" s="252"/>
      <c r="TMI956" s="252"/>
      <c r="TMJ956" s="252"/>
      <c r="TMK956" s="252"/>
      <c r="TML956" s="252"/>
      <c r="TMM956" s="252"/>
      <c r="TMN956" s="252"/>
      <c r="TMO956" s="252"/>
      <c r="TMP956" s="252"/>
      <c r="TMQ956" s="252"/>
      <c r="TMR956" s="252"/>
      <c r="TMS956" s="252"/>
      <c r="TMT956" s="252"/>
      <c r="TMU956" s="252"/>
      <c r="TMV956" s="252"/>
      <c r="TMW956" s="252"/>
      <c r="TMX956" s="252"/>
      <c r="TMY956" s="252"/>
      <c r="TMZ956" s="252"/>
      <c r="TNA956" s="252"/>
      <c r="TNB956" s="252"/>
      <c r="TNC956" s="252"/>
      <c r="TND956" s="252"/>
      <c r="TNE956" s="252"/>
      <c r="TNF956" s="252"/>
      <c r="TNG956" s="252"/>
      <c r="TNH956" s="252"/>
      <c r="TNI956" s="252"/>
      <c r="TNJ956" s="252"/>
      <c r="TNK956" s="252"/>
      <c r="TNL956" s="252"/>
      <c r="TNM956" s="252"/>
      <c r="TNN956" s="252"/>
      <c r="TNO956" s="252"/>
      <c r="TNP956" s="252"/>
      <c r="TNQ956" s="252"/>
      <c r="TNR956" s="252"/>
      <c r="TNS956" s="252"/>
      <c r="TNT956" s="252"/>
      <c r="TNU956" s="252"/>
      <c r="TNV956" s="252"/>
      <c r="TNW956" s="252"/>
      <c r="TNX956" s="252"/>
      <c r="TNY956" s="252"/>
      <c r="TNZ956" s="252"/>
      <c r="TOA956" s="252"/>
      <c r="TOB956" s="252"/>
      <c r="TOC956" s="252"/>
      <c r="TOD956" s="252"/>
      <c r="TOE956" s="252"/>
      <c r="TOF956" s="252"/>
      <c r="TOG956" s="252"/>
      <c r="TOH956" s="252"/>
      <c r="TOI956" s="252"/>
      <c r="TOJ956" s="252"/>
      <c r="TOK956" s="252"/>
      <c r="TOL956" s="252"/>
      <c r="TOM956" s="252"/>
      <c r="TON956" s="252"/>
      <c r="TOO956" s="252"/>
      <c r="TOP956" s="252"/>
      <c r="TOQ956" s="252"/>
      <c r="TOR956" s="252"/>
      <c r="TOS956" s="252"/>
      <c r="TOT956" s="252"/>
      <c r="TOU956" s="252"/>
      <c r="TOV956" s="252"/>
      <c r="TOW956" s="252"/>
      <c r="TOX956" s="252"/>
      <c r="TOY956" s="252"/>
      <c r="TOZ956" s="252"/>
      <c r="TPA956" s="252"/>
      <c r="TPB956" s="252"/>
      <c r="TPC956" s="252"/>
      <c r="TPD956" s="252"/>
      <c r="TPE956" s="252"/>
      <c r="TPF956" s="252"/>
      <c r="TPG956" s="252"/>
      <c r="TPH956" s="252"/>
      <c r="TPI956" s="252"/>
      <c r="TPJ956" s="252"/>
      <c r="TPK956" s="252"/>
      <c r="TPL956" s="252"/>
      <c r="TPM956" s="252"/>
      <c r="TPN956" s="252"/>
      <c r="TPO956" s="252"/>
      <c r="TPP956" s="252"/>
      <c r="TPQ956" s="252"/>
      <c r="TPR956" s="252"/>
      <c r="TPS956" s="252"/>
      <c r="TPT956" s="252"/>
      <c r="TPU956" s="252"/>
      <c r="TPV956" s="252"/>
      <c r="TPW956" s="252"/>
      <c r="TPX956" s="252"/>
      <c r="TPY956" s="252"/>
      <c r="TPZ956" s="252"/>
      <c r="TQA956" s="252"/>
      <c r="TQB956" s="252"/>
      <c r="TQC956" s="252"/>
      <c r="TQD956" s="252"/>
      <c r="TQE956" s="252"/>
      <c r="TQF956" s="252"/>
      <c r="TQG956" s="252"/>
      <c r="TQH956" s="252"/>
      <c r="TQI956" s="252"/>
      <c r="TQJ956" s="252"/>
      <c r="TQK956" s="252"/>
      <c r="TQL956" s="252"/>
      <c r="TQM956" s="252"/>
      <c r="TQN956" s="252"/>
      <c r="TQO956" s="252"/>
      <c r="TQP956" s="252"/>
      <c r="TQQ956" s="252"/>
      <c r="TQR956" s="252"/>
      <c r="TQS956" s="252"/>
      <c r="TQT956" s="252"/>
      <c r="TQU956" s="252"/>
      <c r="TQV956" s="252"/>
      <c r="TQW956" s="252"/>
      <c r="TQX956" s="252"/>
      <c r="TQY956" s="252"/>
      <c r="TQZ956" s="252"/>
      <c r="TRA956" s="252"/>
      <c r="TRB956" s="252"/>
      <c r="TRC956" s="252"/>
      <c r="TRD956" s="252"/>
      <c r="TRE956" s="252"/>
      <c r="TRF956" s="252"/>
      <c r="TRG956" s="252"/>
      <c r="TRH956" s="252"/>
      <c r="TRI956" s="252"/>
      <c r="TRJ956" s="252"/>
      <c r="TRK956" s="252"/>
      <c r="TRL956" s="252"/>
      <c r="TRM956" s="252"/>
      <c r="TRN956" s="252"/>
      <c r="TRO956" s="252"/>
      <c r="TRP956" s="252"/>
      <c r="TRQ956" s="252"/>
      <c r="TRR956" s="252"/>
      <c r="TRS956" s="252"/>
      <c r="TRT956" s="252"/>
      <c r="TRU956" s="252"/>
      <c r="TRV956" s="252"/>
      <c r="TRW956" s="252"/>
      <c r="TRX956" s="252"/>
      <c r="TRY956" s="252"/>
      <c r="TRZ956" s="252"/>
      <c r="TSA956" s="252"/>
      <c r="TSB956" s="252"/>
      <c r="TSC956" s="252"/>
      <c r="TSD956" s="252"/>
      <c r="TSE956" s="252"/>
      <c r="TSF956" s="252"/>
      <c r="TSG956" s="252"/>
      <c r="TSH956" s="252"/>
      <c r="TSI956" s="252"/>
      <c r="TSJ956" s="252"/>
      <c r="TSK956" s="252"/>
      <c r="TSL956" s="252"/>
      <c r="TSM956" s="252"/>
      <c r="TSN956" s="252"/>
      <c r="TSO956" s="252"/>
      <c r="TSP956" s="252"/>
      <c r="TSQ956" s="252"/>
      <c r="TSR956" s="252"/>
      <c r="TSS956" s="252"/>
      <c r="TST956" s="252"/>
      <c r="TSU956" s="252"/>
      <c r="TSV956" s="252"/>
      <c r="TSW956" s="252"/>
      <c r="TSX956" s="252"/>
      <c r="TSY956" s="252"/>
      <c r="TSZ956" s="252"/>
      <c r="TTA956" s="252"/>
      <c r="TTB956" s="252"/>
      <c r="TTC956" s="252"/>
      <c r="TTD956" s="252"/>
      <c r="TTE956" s="252"/>
      <c r="TTF956" s="252"/>
      <c r="TTG956" s="252"/>
      <c r="TTH956" s="252"/>
      <c r="TTI956" s="252"/>
      <c r="TTJ956" s="252"/>
      <c r="TTK956" s="252"/>
      <c r="TTL956" s="252"/>
      <c r="TTM956" s="252"/>
      <c r="TTN956" s="252"/>
      <c r="TTO956" s="252"/>
      <c r="TTP956" s="252"/>
      <c r="TTQ956" s="252"/>
      <c r="TTR956" s="252"/>
      <c r="TTS956" s="252"/>
      <c r="TTT956" s="252"/>
      <c r="TTU956" s="252"/>
      <c r="TTV956" s="252"/>
      <c r="TTW956" s="252"/>
      <c r="TTX956" s="252"/>
      <c r="TTY956" s="252"/>
      <c r="TTZ956" s="252"/>
      <c r="TUA956" s="252"/>
      <c r="TUB956" s="252"/>
      <c r="TUC956" s="252"/>
      <c r="TUD956" s="252"/>
      <c r="TUE956" s="252"/>
      <c r="TUF956" s="252"/>
      <c r="TUG956" s="252"/>
      <c r="TUH956" s="252"/>
      <c r="TUI956" s="252"/>
      <c r="TUJ956" s="252"/>
      <c r="TUK956" s="252"/>
      <c r="TUL956" s="252"/>
      <c r="TUM956" s="252"/>
      <c r="TUN956" s="252"/>
      <c r="TUO956" s="252"/>
      <c r="TUP956" s="252"/>
      <c r="TUQ956" s="252"/>
      <c r="TUR956" s="252"/>
      <c r="TUS956" s="252"/>
      <c r="TUT956" s="252"/>
      <c r="TUU956" s="252"/>
      <c r="TUV956" s="252"/>
      <c r="TUW956" s="252"/>
      <c r="TUX956" s="252"/>
      <c r="TUY956" s="252"/>
      <c r="TUZ956" s="252"/>
      <c r="TVA956" s="252"/>
      <c r="TVB956" s="252"/>
      <c r="TVC956" s="252"/>
      <c r="TVD956" s="252"/>
      <c r="TVE956" s="252"/>
      <c r="TVF956" s="252"/>
      <c r="TVG956" s="252"/>
      <c r="TVH956" s="252"/>
      <c r="TVI956" s="252"/>
      <c r="TVJ956" s="252"/>
      <c r="TVK956" s="252"/>
      <c r="TVL956" s="252"/>
      <c r="TVM956" s="252"/>
      <c r="TVN956" s="252"/>
      <c r="TVO956" s="252"/>
      <c r="TVP956" s="252"/>
      <c r="TVQ956" s="252"/>
      <c r="TVR956" s="252"/>
      <c r="TVS956" s="252"/>
      <c r="TVT956" s="252"/>
      <c r="TVU956" s="252"/>
      <c r="TVV956" s="252"/>
      <c r="TVW956" s="252"/>
      <c r="TVX956" s="252"/>
      <c r="TVY956" s="252"/>
      <c r="TVZ956" s="252"/>
      <c r="TWA956" s="252"/>
      <c r="TWB956" s="252"/>
      <c r="TWC956" s="252"/>
      <c r="TWD956" s="252"/>
      <c r="TWE956" s="252"/>
      <c r="TWF956" s="252"/>
      <c r="TWG956" s="252"/>
      <c r="TWH956" s="252"/>
      <c r="TWI956" s="252"/>
      <c r="TWJ956" s="252"/>
      <c r="TWK956" s="252"/>
      <c r="TWL956" s="252"/>
      <c r="TWM956" s="252"/>
      <c r="TWN956" s="252"/>
      <c r="TWO956" s="252"/>
      <c r="TWP956" s="252"/>
      <c r="TWQ956" s="252"/>
      <c r="TWR956" s="252"/>
      <c r="TWS956" s="252"/>
      <c r="TWT956" s="252"/>
      <c r="TWU956" s="252"/>
      <c r="TWV956" s="252"/>
      <c r="TWW956" s="252"/>
      <c r="TWX956" s="252"/>
      <c r="TWY956" s="252"/>
      <c r="TWZ956" s="252"/>
      <c r="TXA956" s="252"/>
      <c r="TXB956" s="252"/>
      <c r="TXC956" s="252"/>
      <c r="TXD956" s="252"/>
      <c r="TXE956" s="252"/>
      <c r="TXF956" s="252"/>
      <c r="TXG956" s="252"/>
      <c r="TXH956" s="252"/>
      <c r="TXI956" s="252"/>
      <c r="TXJ956" s="252"/>
      <c r="TXK956" s="252"/>
      <c r="TXL956" s="252"/>
      <c r="TXM956" s="252"/>
      <c r="TXN956" s="252"/>
      <c r="TXO956" s="252"/>
      <c r="TXP956" s="252"/>
      <c r="TXQ956" s="252"/>
      <c r="TXR956" s="252"/>
      <c r="TXS956" s="252"/>
      <c r="TXT956" s="252"/>
      <c r="TXU956" s="252"/>
      <c r="TXV956" s="252"/>
      <c r="TXW956" s="252"/>
      <c r="TXX956" s="252"/>
      <c r="TXY956" s="252"/>
      <c r="TXZ956" s="252"/>
      <c r="TYA956" s="252"/>
      <c r="TYB956" s="252"/>
      <c r="TYC956" s="252"/>
      <c r="TYD956" s="252"/>
      <c r="TYE956" s="252"/>
      <c r="TYF956" s="252"/>
      <c r="TYG956" s="252"/>
      <c r="TYH956" s="252"/>
      <c r="TYI956" s="252"/>
      <c r="TYJ956" s="252"/>
      <c r="TYK956" s="252"/>
      <c r="TYL956" s="252"/>
      <c r="TYM956" s="252"/>
      <c r="TYN956" s="252"/>
      <c r="TYO956" s="252"/>
      <c r="TYP956" s="252"/>
      <c r="TYQ956" s="252"/>
      <c r="TYR956" s="252"/>
      <c r="TYS956" s="252"/>
      <c r="TYT956" s="252"/>
      <c r="TYU956" s="252"/>
      <c r="TYV956" s="252"/>
      <c r="TYW956" s="252"/>
      <c r="TYX956" s="252"/>
      <c r="TYY956" s="252"/>
      <c r="TYZ956" s="252"/>
      <c r="TZA956" s="252"/>
      <c r="TZB956" s="252"/>
      <c r="TZC956" s="252"/>
      <c r="TZD956" s="252"/>
      <c r="TZE956" s="252"/>
      <c r="TZF956" s="252"/>
      <c r="TZG956" s="252"/>
      <c r="TZH956" s="252"/>
      <c r="TZI956" s="252"/>
      <c r="TZJ956" s="252"/>
      <c r="TZK956" s="252"/>
      <c r="TZL956" s="252"/>
      <c r="TZM956" s="252"/>
      <c r="TZN956" s="252"/>
      <c r="TZO956" s="252"/>
      <c r="TZP956" s="252"/>
      <c r="TZQ956" s="252"/>
      <c r="TZR956" s="252"/>
      <c r="TZS956" s="252"/>
      <c r="TZT956" s="252"/>
      <c r="TZU956" s="252"/>
      <c r="TZV956" s="252"/>
      <c r="TZW956" s="252"/>
      <c r="TZX956" s="252"/>
      <c r="TZY956" s="252"/>
      <c r="TZZ956" s="252"/>
      <c r="UAA956" s="252"/>
      <c r="UAB956" s="252"/>
      <c r="UAC956" s="252"/>
      <c r="UAD956" s="252"/>
      <c r="UAE956" s="252"/>
      <c r="UAF956" s="252"/>
      <c r="UAG956" s="252"/>
      <c r="UAH956" s="252"/>
      <c r="UAI956" s="252"/>
      <c r="UAJ956" s="252"/>
      <c r="UAK956" s="252"/>
      <c r="UAL956" s="252"/>
      <c r="UAM956" s="252"/>
      <c r="UAN956" s="252"/>
      <c r="UAO956" s="252"/>
      <c r="UAP956" s="252"/>
      <c r="UAQ956" s="252"/>
      <c r="UAR956" s="252"/>
      <c r="UAS956" s="252"/>
      <c r="UAT956" s="252"/>
      <c r="UAU956" s="252"/>
      <c r="UAV956" s="252"/>
      <c r="UAW956" s="252"/>
      <c r="UAX956" s="252"/>
      <c r="UAY956" s="252"/>
      <c r="UAZ956" s="252"/>
      <c r="UBA956" s="252"/>
      <c r="UBB956" s="252"/>
      <c r="UBC956" s="252"/>
      <c r="UBD956" s="252"/>
      <c r="UBE956" s="252"/>
      <c r="UBF956" s="252"/>
      <c r="UBG956" s="252"/>
      <c r="UBH956" s="252"/>
      <c r="UBI956" s="252"/>
      <c r="UBJ956" s="252"/>
      <c r="UBK956" s="252"/>
      <c r="UBL956" s="252"/>
      <c r="UBM956" s="252"/>
      <c r="UBN956" s="252"/>
      <c r="UBO956" s="252"/>
      <c r="UBP956" s="252"/>
      <c r="UBQ956" s="252"/>
      <c r="UBR956" s="252"/>
      <c r="UBS956" s="252"/>
      <c r="UBT956" s="252"/>
      <c r="UBU956" s="252"/>
      <c r="UBV956" s="252"/>
      <c r="UBW956" s="252"/>
      <c r="UBX956" s="252"/>
      <c r="UBY956" s="252"/>
      <c r="UBZ956" s="252"/>
      <c r="UCA956" s="252"/>
      <c r="UCB956" s="252"/>
      <c r="UCC956" s="252"/>
      <c r="UCD956" s="252"/>
      <c r="UCE956" s="252"/>
      <c r="UCF956" s="252"/>
      <c r="UCG956" s="252"/>
      <c r="UCH956" s="252"/>
      <c r="UCI956" s="252"/>
      <c r="UCJ956" s="252"/>
      <c r="UCK956" s="252"/>
      <c r="UCL956" s="252"/>
      <c r="UCM956" s="252"/>
      <c r="UCN956" s="252"/>
      <c r="UCO956" s="252"/>
      <c r="UCP956" s="252"/>
      <c r="UCQ956" s="252"/>
      <c r="UCR956" s="252"/>
      <c r="UCS956" s="252"/>
      <c r="UCT956" s="252"/>
      <c r="UCU956" s="252"/>
      <c r="UCV956" s="252"/>
      <c r="UCW956" s="252"/>
      <c r="UCX956" s="252"/>
      <c r="UCY956" s="252"/>
      <c r="UCZ956" s="252"/>
      <c r="UDA956" s="252"/>
      <c r="UDB956" s="252"/>
      <c r="UDC956" s="252"/>
      <c r="UDD956" s="252"/>
      <c r="UDE956" s="252"/>
      <c r="UDF956" s="252"/>
      <c r="UDG956" s="252"/>
      <c r="UDH956" s="252"/>
      <c r="UDI956" s="252"/>
      <c r="UDJ956" s="252"/>
      <c r="UDK956" s="252"/>
      <c r="UDL956" s="252"/>
      <c r="UDM956" s="252"/>
      <c r="UDN956" s="252"/>
      <c r="UDO956" s="252"/>
      <c r="UDP956" s="252"/>
      <c r="UDQ956" s="252"/>
      <c r="UDR956" s="252"/>
      <c r="UDS956" s="252"/>
      <c r="UDT956" s="252"/>
      <c r="UDU956" s="252"/>
      <c r="UDV956" s="252"/>
      <c r="UDW956" s="252"/>
      <c r="UDX956" s="252"/>
      <c r="UDY956" s="252"/>
      <c r="UDZ956" s="252"/>
      <c r="UEA956" s="252"/>
      <c r="UEB956" s="252"/>
      <c r="UEC956" s="252"/>
      <c r="UED956" s="252"/>
      <c r="UEE956" s="252"/>
      <c r="UEF956" s="252"/>
      <c r="UEG956" s="252"/>
      <c r="UEH956" s="252"/>
      <c r="UEI956" s="252"/>
      <c r="UEJ956" s="252"/>
      <c r="UEK956" s="252"/>
      <c r="UEL956" s="252"/>
      <c r="UEM956" s="252"/>
      <c r="UEN956" s="252"/>
      <c r="UEO956" s="252"/>
      <c r="UEP956" s="252"/>
      <c r="UEQ956" s="252"/>
      <c r="UER956" s="252"/>
      <c r="UES956" s="252"/>
      <c r="UET956" s="252"/>
      <c r="UEU956" s="252"/>
      <c r="UEV956" s="252"/>
      <c r="UEW956" s="252"/>
      <c r="UEX956" s="252"/>
      <c r="UEY956" s="252"/>
      <c r="UEZ956" s="252"/>
      <c r="UFA956" s="252"/>
      <c r="UFB956" s="252"/>
      <c r="UFC956" s="252"/>
      <c r="UFD956" s="252"/>
      <c r="UFE956" s="252"/>
      <c r="UFF956" s="252"/>
      <c r="UFG956" s="252"/>
      <c r="UFH956" s="252"/>
      <c r="UFI956" s="252"/>
      <c r="UFJ956" s="252"/>
      <c r="UFK956" s="252"/>
      <c r="UFL956" s="252"/>
      <c r="UFM956" s="252"/>
      <c r="UFN956" s="252"/>
      <c r="UFO956" s="252"/>
      <c r="UFP956" s="252"/>
      <c r="UFQ956" s="252"/>
      <c r="UFR956" s="252"/>
      <c r="UFS956" s="252"/>
      <c r="UFT956" s="252"/>
      <c r="UFU956" s="252"/>
      <c r="UFV956" s="252"/>
      <c r="UFW956" s="252"/>
      <c r="UFX956" s="252"/>
      <c r="UFY956" s="252"/>
      <c r="UFZ956" s="252"/>
      <c r="UGA956" s="252"/>
      <c r="UGB956" s="252"/>
      <c r="UGC956" s="252"/>
      <c r="UGD956" s="252"/>
      <c r="UGE956" s="252"/>
      <c r="UGF956" s="252"/>
      <c r="UGG956" s="252"/>
      <c r="UGH956" s="252"/>
      <c r="UGI956" s="252"/>
      <c r="UGJ956" s="252"/>
      <c r="UGK956" s="252"/>
      <c r="UGL956" s="252"/>
      <c r="UGM956" s="252"/>
      <c r="UGN956" s="252"/>
      <c r="UGO956" s="252"/>
      <c r="UGP956" s="252"/>
      <c r="UGQ956" s="252"/>
      <c r="UGR956" s="252"/>
      <c r="UGS956" s="252"/>
      <c r="UGT956" s="252"/>
      <c r="UGU956" s="252"/>
      <c r="UGV956" s="252"/>
      <c r="UGW956" s="252"/>
      <c r="UGX956" s="252"/>
      <c r="UGY956" s="252"/>
      <c r="UGZ956" s="252"/>
      <c r="UHA956" s="252"/>
      <c r="UHB956" s="252"/>
      <c r="UHC956" s="252"/>
      <c r="UHD956" s="252"/>
      <c r="UHE956" s="252"/>
      <c r="UHF956" s="252"/>
      <c r="UHG956" s="252"/>
      <c r="UHH956" s="252"/>
      <c r="UHI956" s="252"/>
      <c r="UHJ956" s="252"/>
      <c r="UHK956" s="252"/>
      <c r="UHL956" s="252"/>
      <c r="UHM956" s="252"/>
      <c r="UHN956" s="252"/>
      <c r="UHO956" s="252"/>
      <c r="UHP956" s="252"/>
      <c r="UHQ956" s="252"/>
      <c r="UHR956" s="252"/>
      <c r="UHS956" s="252"/>
      <c r="UHT956" s="252"/>
      <c r="UHU956" s="252"/>
      <c r="UHV956" s="252"/>
      <c r="UHW956" s="252"/>
      <c r="UHX956" s="252"/>
      <c r="UHY956" s="252"/>
      <c r="UHZ956" s="252"/>
      <c r="UIA956" s="252"/>
      <c r="UIB956" s="252"/>
      <c r="UIC956" s="252"/>
      <c r="UID956" s="252"/>
      <c r="UIE956" s="252"/>
      <c r="UIF956" s="252"/>
      <c r="UIG956" s="252"/>
      <c r="UIH956" s="252"/>
      <c r="UII956" s="252"/>
      <c r="UIJ956" s="252"/>
      <c r="UIK956" s="252"/>
      <c r="UIL956" s="252"/>
      <c r="UIM956" s="252"/>
      <c r="UIN956" s="252"/>
      <c r="UIO956" s="252"/>
      <c r="UIP956" s="252"/>
      <c r="UIQ956" s="252"/>
      <c r="UIR956" s="252"/>
      <c r="UIS956" s="252"/>
      <c r="UIT956" s="252"/>
      <c r="UIU956" s="252"/>
      <c r="UIV956" s="252"/>
      <c r="UIW956" s="252"/>
      <c r="UIX956" s="252"/>
      <c r="UIY956" s="252"/>
      <c r="UIZ956" s="252"/>
      <c r="UJA956" s="252"/>
      <c r="UJB956" s="252"/>
      <c r="UJC956" s="252"/>
      <c r="UJD956" s="252"/>
      <c r="UJE956" s="252"/>
      <c r="UJF956" s="252"/>
      <c r="UJG956" s="252"/>
      <c r="UJH956" s="252"/>
      <c r="UJI956" s="252"/>
      <c r="UJJ956" s="252"/>
      <c r="UJK956" s="252"/>
      <c r="UJL956" s="252"/>
      <c r="UJM956" s="252"/>
      <c r="UJN956" s="252"/>
      <c r="UJO956" s="252"/>
      <c r="UJP956" s="252"/>
      <c r="UJQ956" s="252"/>
      <c r="UJR956" s="252"/>
      <c r="UJS956" s="252"/>
      <c r="UJT956" s="252"/>
      <c r="UJU956" s="252"/>
      <c r="UJV956" s="252"/>
      <c r="UJW956" s="252"/>
      <c r="UJX956" s="252"/>
      <c r="UJY956" s="252"/>
      <c r="UJZ956" s="252"/>
      <c r="UKA956" s="252"/>
      <c r="UKB956" s="252"/>
      <c r="UKC956" s="252"/>
      <c r="UKD956" s="252"/>
      <c r="UKE956" s="252"/>
      <c r="UKF956" s="252"/>
      <c r="UKG956" s="252"/>
      <c r="UKH956" s="252"/>
      <c r="UKI956" s="252"/>
      <c r="UKJ956" s="252"/>
      <c r="UKK956" s="252"/>
      <c r="UKL956" s="252"/>
      <c r="UKM956" s="252"/>
      <c r="UKN956" s="252"/>
      <c r="UKO956" s="252"/>
      <c r="UKP956" s="252"/>
      <c r="UKQ956" s="252"/>
      <c r="UKR956" s="252"/>
      <c r="UKS956" s="252"/>
      <c r="UKT956" s="252"/>
      <c r="UKU956" s="252"/>
      <c r="UKV956" s="252"/>
      <c r="UKW956" s="252"/>
      <c r="UKX956" s="252"/>
      <c r="UKY956" s="252"/>
      <c r="UKZ956" s="252"/>
      <c r="ULA956" s="252"/>
      <c r="ULB956" s="252"/>
      <c r="ULC956" s="252"/>
      <c r="ULD956" s="252"/>
      <c r="ULE956" s="252"/>
      <c r="ULF956" s="252"/>
      <c r="ULG956" s="252"/>
      <c r="ULH956" s="252"/>
      <c r="ULI956" s="252"/>
      <c r="ULJ956" s="252"/>
      <c r="ULK956" s="252"/>
      <c r="ULL956" s="252"/>
      <c r="ULM956" s="252"/>
      <c r="ULN956" s="252"/>
      <c r="ULO956" s="252"/>
      <c r="ULP956" s="252"/>
      <c r="ULQ956" s="252"/>
      <c r="ULR956" s="252"/>
      <c r="ULS956" s="252"/>
      <c r="ULT956" s="252"/>
      <c r="ULU956" s="252"/>
      <c r="ULV956" s="252"/>
      <c r="ULW956" s="252"/>
      <c r="ULX956" s="252"/>
      <c r="ULY956" s="252"/>
      <c r="ULZ956" s="252"/>
      <c r="UMA956" s="252"/>
      <c r="UMB956" s="252"/>
      <c r="UMC956" s="252"/>
      <c r="UMD956" s="252"/>
      <c r="UME956" s="252"/>
      <c r="UMF956" s="252"/>
      <c r="UMG956" s="252"/>
      <c r="UMH956" s="252"/>
      <c r="UMI956" s="252"/>
      <c r="UMJ956" s="252"/>
      <c r="UMK956" s="252"/>
      <c r="UML956" s="252"/>
      <c r="UMM956" s="252"/>
      <c r="UMN956" s="252"/>
      <c r="UMO956" s="252"/>
      <c r="UMP956" s="252"/>
      <c r="UMQ956" s="252"/>
      <c r="UMR956" s="252"/>
      <c r="UMS956" s="252"/>
      <c r="UMT956" s="252"/>
      <c r="UMU956" s="252"/>
      <c r="UMV956" s="252"/>
      <c r="UMW956" s="252"/>
      <c r="UMX956" s="252"/>
      <c r="UMY956" s="252"/>
      <c r="UMZ956" s="252"/>
      <c r="UNA956" s="252"/>
      <c r="UNB956" s="252"/>
      <c r="UNC956" s="252"/>
      <c r="UND956" s="252"/>
      <c r="UNE956" s="252"/>
      <c r="UNF956" s="252"/>
      <c r="UNG956" s="252"/>
      <c r="UNH956" s="252"/>
      <c r="UNI956" s="252"/>
      <c r="UNJ956" s="252"/>
      <c r="UNK956" s="252"/>
      <c r="UNL956" s="252"/>
      <c r="UNM956" s="252"/>
      <c r="UNN956" s="252"/>
      <c r="UNO956" s="252"/>
      <c r="UNP956" s="252"/>
      <c r="UNQ956" s="252"/>
      <c r="UNR956" s="252"/>
      <c r="UNS956" s="252"/>
      <c r="UNT956" s="252"/>
      <c r="UNU956" s="252"/>
      <c r="UNV956" s="252"/>
      <c r="UNW956" s="252"/>
      <c r="UNX956" s="252"/>
      <c r="UNY956" s="252"/>
      <c r="UNZ956" s="252"/>
      <c r="UOA956" s="252"/>
      <c r="UOB956" s="252"/>
      <c r="UOC956" s="252"/>
      <c r="UOD956" s="252"/>
      <c r="UOE956" s="252"/>
      <c r="UOF956" s="252"/>
      <c r="UOG956" s="252"/>
      <c r="UOH956" s="252"/>
      <c r="UOI956" s="252"/>
      <c r="UOJ956" s="252"/>
      <c r="UOK956" s="252"/>
      <c r="UOL956" s="252"/>
      <c r="UOM956" s="252"/>
      <c r="UON956" s="252"/>
      <c r="UOO956" s="252"/>
      <c r="UOP956" s="252"/>
      <c r="UOQ956" s="252"/>
      <c r="UOR956" s="252"/>
      <c r="UOS956" s="252"/>
      <c r="UOT956" s="252"/>
      <c r="UOU956" s="252"/>
      <c r="UOV956" s="252"/>
      <c r="UOW956" s="252"/>
      <c r="UOX956" s="252"/>
      <c r="UOY956" s="252"/>
      <c r="UOZ956" s="252"/>
      <c r="UPA956" s="252"/>
      <c r="UPB956" s="252"/>
      <c r="UPC956" s="252"/>
      <c r="UPD956" s="252"/>
      <c r="UPE956" s="252"/>
      <c r="UPF956" s="252"/>
      <c r="UPG956" s="252"/>
      <c r="UPH956" s="252"/>
      <c r="UPI956" s="252"/>
      <c r="UPJ956" s="252"/>
      <c r="UPK956" s="252"/>
      <c r="UPL956" s="252"/>
      <c r="UPM956" s="252"/>
      <c r="UPN956" s="252"/>
      <c r="UPO956" s="252"/>
      <c r="UPP956" s="252"/>
      <c r="UPQ956" s="252"/>
      <c r="UPR956" s="252"/>
      <c r="UPS956" s="252"/>
      <c r="UPT956" s="252"/>
      <c r="UPU956" s="252"/>
      <c r="UPV956" s="252"/>
      <c r="UPW956" s="252"/>
      <c r="UPX956" s="252"/>
      <c r="UPY956" s="252"/>
      <c r="UPZ956" s="252"/>
      <c r="UQA956" s="252"/>
      <c r="UQB956" s="252"/>
      <c r="UQC956" s="252"/>
      <c r="UQD956" s="252"/>
      <c r="UQE956" s="252"/>
      <c r="UQF956" s="252"/>
      <c r="UQG956" s="252"/>
      <c r="UQH956" s="252"/>
      <c r="UQI956" s="252"/>
      <c r="UQJ956" s="252"/>
      <c r="UQK956" s="252"/>
      <c r="UQL956" s="252"/>
      <c r="UQM956" s="252"/>
      <c r="UQN956" s="252"/>
      <c r="UQO956" s="252"/>
      <c r="UQP956" s="252"/>
      <c r="UQQ956" s="252"/>
      <c r="UQR956" s="252"/>
      <c r="UQS956" s="252"/>
      <c r="UQT956" s="252"/>
      <c r="UQU956" s="252"/>
      <c r="UQV956" s="252"/>
      <c r="UQW956" s="252"/>
      <c r="UQX956" s="252"/>
      <c r="UQY956" s="252"/>
      <c r="UQZ956" s="252"/>
      <c r="URA956" s="252"/>
      <c r="URB956" s="252"/>
      <c r="URC956" s="252"/>
      <c r="URD956" s="252"/>
      <c r="URE956" s="252"/>
      <c r="URF956" s="252"/>
      <c r="URG956" s="252"/>
      <c r="URH956" s="252"/>
      <c r="URI956" s="252"/>
      <c r="URJ956" s="252"/>
      <c r="URK956" s="252"/>
      <c r="URL956" s="252"/>
      <c r="URM956" s="252"/>
      <c r="URN956" s="252"/>
      <c r="URO956" s="252"/>
      <c r="URP956" s="252"/>
      <c r="URQ956" s="252"/>
      <c r="URR956" s="252"/>
      <c r="URS956" s="252"/>
      <c r="URT956" s="252"/>
      <c r="URU956" s="252"/>
      <c r="URV956" s="252"/>
      <c r="URW956" s="252"/>
      <c r="URX956" s="252"/>
      <c r="URY956" s="252"/>
      <c r="URZ956" s="252"/>
      <c r="USA956" s="252"/>
      <c r="USB956" s="252"/>
      <c r="USC956" s="252"/>
      <c r="USD956" s="252"/>
      <c r="USE956" s="252"/>
      <c r="USF956" s="252"/>
      <c r="USG956" s="252"/>
      <c r="USH956" s="252"/>
      <c r="USI956" s="252"/>
      <c r="USJ956" s="252"/>
      <c r="USK956" s="252"/>
      <c r="USL956" s="252"/>
      <c r="USM956" s="252"/>
      <c r="USN956" s="252"/>
      <c r="USO956" s="252"/>
      <c r="USP956" s="252"/>
      <c r="USQ956" s="252"/>
      <c r="USR956" s="252"/>
      <c r="USS956" s="252"/>
      <c r="UST956" s="252"/>
      <c r="USU956" s="252"/>
      <c r="USV956" s="252"/>
      <c r="USW956" s="252"/>
      <c r="USX956" s="252"/>
      <c r="USY956" s="252"/>
      <c r="USZ956" s="252"/>
      <c r="UTA956" s="252"/>
      <c r="UTB956" s="252"/>
      <c r="UTC956" s="252"/>
      <c r="UTD956" s="252"/>
      <c r="UTE956" s="252"/>
      <c r="UTF956" s="252"/>
      <c r="UTG956" s="252"/>
      <c r="UTH956" s="252"/>
      <c r="UTI956" s="252"/>
      <c r="UTJ956" s="252"/>
      <c r="UTK956" s="252"/>
      <c r="UTL956" s="252"/>
      <c r="UTM956" s="252"/>
      <c r="UTN956" s="252"/>
      <c r="UTO956" s="252"/>
      <c r="UTP956" s="252"/>
      <c r="UTQ956" s="252"/>
      <c r="UTR956" s="252"/>
      <c r="UTS956" s="252"/>
      <c r="UTT956" s="252"/>
      <c r="UTU956" s="252"/>
      <c r="UTV956" s="252"/>
      <c r="UTW956" s="252"/>
      <c r="UTX956" s="252"/>
      <c r="UTY956" s="252"/>
      <c r="UTZ956" s="252"/>
      <c r="UUA956" s="252"/>
      <c r="UUB956" s="252"/>
      <c r="UUC956" s="252"/>
      <c r="UUD956" s="252"/>
      <c r="UUE956" s="252"/>
      <c r="UUF956" s="252"/>
      <c r="UUG956" s="252"/>
      <c r="UUH956" s="252"/>
      <c r="UUI956" s="252"/>
      <c r="UUJ956" s="252"/>
      <c r="UUK956" s="252"/>
      <c r="UUL956" s="252"/>
      <c r="UUM956" s="252"/>
      <c r="UUN956" s="252"/>
      <c r="UUO956" s="252"/>
      <c r="UUP956" s="252"/>
      <c r="UUQ956" s="252"/>
      <c r="UUR956" s="252"/>
      <c r="UUS956" s="252"/>
      <c r="UUT956" s="252"/>
      <c r="UUU956" s="252"/>
      <c r="UUV956" s="252"/>
      <c r="UUW956" s="252"/>
      <c r="UUX956" s="252"/>
      <c r="UUY956" s="252"/>
      <c r="UUZ956" s="252"/>
      <c r="UVA956" s="252"/>
      <c r="UVB956" s="252"/>
      <c r="UVC956" s="252"/>
      <c r="UVD956" s="252"/>
      <c r="UVE956" s="252"/>
      <c r="UVF956" s="252"/>
      <c r="UVG956" s="252"/>
      <c r="UVH956" s="252"/>
      <c r="UVI956" s="252"/>
      <c r="UVJ956" s="252"/>
      <c r="UVK956" s="252"/>
      <c r="UVL956" s="252"/>
      <c r="UVM956" s="252"/>
      <c r="UVN956" s="252"/>
      <c r="UVO956" s="252"/>
      <c r="UVP956" s="252"/>
      <c r="UVQ956" s="252"/>
      <c r="UVR956" s="252"/>
      <c r="UVS956" s="252"/>
      <c r="UVT956" s="252"/>
      <c r="UVU956" s="252"/>
      <c r="UVV956" s="252"/>
      <c r="UVW956" s="252"/>
      <c r="UVX956" s="252"/>
      <c r="UVY956" s="252"/>
      <c r="UVZ956" s="252"/>
      <c r="UWA956" s="252"/>
      <c r="UWB956" s="252"/>
      <c r="UWC956" s="252"/>
      <c r="UWD956" s="252"/>
      <c r="UWE956" s="252"/>
      <c r="UWF956" s="252"/>
      <c r="UWG956" s="252"/>
      <c r="UWH956" s="252"/>
      <c r="UWI956" s="252"/>
      <c r="UWJ956" s="252"/>
      <c r="UWK956" s="252"/>
      <c r="UWL956" s="252"/>
      <c r="UWM956" s="252"/>
      <c r="UWN956" s="252"/>
      <c r="UWO956" s="252"/>
      <c r="UWP956" s="252"/>
      <c r="UWQ956" s="252"/>
      <c r="UWR956" s="252"/>
      <c r="UWS956" s="252"/>
      <c r="UWT956" s="252"/>
      <c r="UWU956" s="252"/>
      <c r="UWV956" s="252"/>
      <c r="UWW956" s="252"/>
      <c r="UWX956" s="252"/>
      <c r="UWY956" s="252"/>
      <c r="UWZ956" s="252"/>
      <c r="UXA956" s="252"/>
      <c r="UXB956" s="252"/>
      <c r="UXC956" s="252"/>
      <c r="UXD956" s="252"/>
      <c r="UXE956" s="252"/>
      <c r="UXF956" s="252"/>
      <c r="UXG956" s="252"/>
      <c r="UXH956" s="252"/>
      <c r="UXI956" s="252"/>
      <c r="UXJ956" s="252"/>
      <c r="UXK956" s="252"/>
      <c r="UXL956" s="252"/>
      <c r="UXM956" s="252"/>
      <c r="UXN956" s="252"/>
      <c r="UXO956" s="252"/>
      <c r="UXP956" s="252"/>
      <c r="UXQ956" s="252"/>
      <c r="UXR956" s="252"/>
      <c r="UXS956" s="252"/>
      <c r="UXT956" s="252"/>
      <c r="UXU956" s="252"/>
      <c r="UXV956" s="252"/>
      <c r="UXW956" s="252"/>
      <c r="UXX956" s="252"/>
      <c r="UXY956" s="252"/>
      <c r="UXZ956" s="252"/>
      <c r="UYA956" s="252"/>
      <c r="UYB956" s="252"/>
      <c r="UYC956" s="252"/>
      <c r="UYD956" s="252"/>
      <c r="UYE956" s="252"/>
      <c r="UYF956" s="252"/>
      <c r="UYG956" s="252"/>
      <c r="UYH956" s="252"/>
      <c r="UYI956" s="252"/>
      <c r="UYJ956" s="252"/>
      <c r="UYK956" s="252"/>
      <c r="UYL956" s="252"/>
      <c r="UYM956" s="252"/>
      <c r="UYN956" s="252"/>
      <c r="UYO956" s="252"/>
      <c r="UYP956" s="252"/>
      <c r="UYQ956" s="252"/>
      <c r="UYR956" s="252"/>
      <c r="UYS956" s="252"/>
      <c r="UYT956" s="252"/>
      <c r="UYU956" s="252"/>
      <c r="UYV956" s="252"/>
      <c r="UYW956" s="252"/>
      <c r="UYX956" s="252"/>
      <c r="UYY956" s="252"/>
      <c r="UYZ956" s="252"/>
      <c r="UZA956" s="252"/>
      <c r="UZB956" s="252"/>
      <c r="UZC956" s="252"/>
      <c r="UZD956" s="252"/>
      <c r="UZE956" s="252"/>
      <c r="UZF956" s="252"/>
      <c r="UZG956" s="252"/>
      <c r="UZH956" s="252"/>
      <c r="UZI956" s="252"/>
      <c r="UZJ956" s="252"/>
      <c r="UZK956" s="252"/>
      <c r="UZL956" s="252"/>
      <c r="UZM956" s="252"/>
      <c r="UZN956" s="252"/>
      <c r="UZO956" s="252"/>
      <c r="UZP956" s="252"/>
      <c r="UZQ956" s="252"/>
      <c r="UZR956" s="252"/>
      <c r="UZS956" s="252"/>
      <c r="UZT956" s="252"/>
      <c r="UZU956" s="252"/>
      <c r="UZV956" s="252"/>
      <c r="UZW956" s="252"/>
      <c r="UZX956" s="252"/>
      <c r="UZY956" s="252"/>
      <c r="UZZ956" s="252"/>
      <c r="VAA956" s="252"/>
      <c r="VAB956" s="252"/>
      <c r="VAC956" s="252"/>
      <c r="VAD956" s="252"/>
      <c r="VAE956" s="252"/>
      <c r="VAF956" s="252"/>
      <c r="VAG956" s="252"/>
      <c r="VAH956" s="252"/>
      <c r="VAI956" s="252"/>
      <c r="VAJ956" s="252"/>
      <c r="VAK956" s="252"/>
      <c r="VAL956" s="252"/>
      <c r="VAM956" s="252"/>
      <c r="VAN956" s="252"/>
      <c r="VAO956" s="252"/>
      <c r="VAP956" s="252"/>
      <c r="VAQ956" s="252"/>
      <c r="VAR956" s="252"/>
      <c r="VAS956" s="252"/>
      <c r="VAT956" s="252"/>
      <c r="VAU956" s="252"/>
      <c r="VAV956" s="252"/>
      <c r="VAW956" s="252"/>
      <c r="VAX956" s="252"/>
      <c r="VAY956" s="252"/>
      <c r="VAZ956" s="252"/>
      <c r="VBA956" s="252"/>
      <c r="VBB956" s="252"/>
      <c r="VBC956" s="252"/>
      <c r="VBD956" s="252"/>
      <c r="VBE956" s="252"/>
      <c r="VBF956" s="252"/>
      <c r="VBG956" s="252"/>
      <c r="VBH956" s="252"/>
      <c r="VBI956" s="252"/>
      <c r="VBJ956" s="252"/>
      <c r="VBK956" s="252"/>
      <c r="VBL956" s="252"/>
      <c r="VBM956" s="252"/>
      <c r="VBN956" s="252"/>
      <c r="VBO956" s="252"/>
      <c r="VBP956" s="252"/>
      <c r="VBQ956" s="252"/>
      <c r="VBR956" s="252"/>
      <c r="VBS956" s="252"/>
      <c r="VBT956" s="252"/>
      <c r="VBU956" s="252"/>
      <c r="VBV956" s="252"/>
      <c r="VBW956" s="252"/>
      <c r="VBX956" s="252"/>
      <c r="VBY956" s="252"/>
      <c r="VBZ956" s="252"/>
      <c r="VCA956" s="252"/>
      <c r="VCB956" s="252"/>
      <c r="VCC956" s="252"/>
      <c r="VCD956" s="252"/>
      <c r="VCE956" s="252"/>
      <c r="VCF956" s="252"/>
      <c r="VCG956" s="252"/>
      <c r="VCH956" s="252"/>
      <c r="VCI956" s="252"/>
      <c r="VCJ956" s="252"/>
      <c r="VCK956" s="252"/>
      <c r="VCL956" s="252"/>
      <c r="VCM956" s="252"/>
      <c r="VCN956" s="252"/>
      <c r="VCO956" s="252"/>
      <c r="VCP956" s="252"/>
      <c r="VCQ956" s="252"/>
      <c r="VCR956" s="252"/>
      <c r="VCS956" s="252"/>
      <c r="VCT956" s="252"/>
      <c r="VCU956" s="252"/>
      <c r="VCV956" s="252"/>
      <c r="VCW956" s="252"/>
      <c r="VCX956" s="252"/>
      <c r="VCY956" s="252"/>
      <c r="VCZ956" s="252"/>
      <c r="VDA956" s="252"/>
      <c r="VDB956" s="252"/>
      <c r="VDC956" s="252"/>
      <c r="VDD956" s="252"/>
      <c r="VDE956" s="252"/>
      <c r="VDF956" s="252"/>
      <c r="VDG956" s="252"/>
      <c r="VDH956" s="252"/>
      <c r="VDI956" s="252"/>
      <c r="VDJ956" s="252"/>
      <c r="VDK956" s="252"/>
      <c r="VDL956" s="252"/>
      <c r="VDM956" s="252"/>
      <c r="VDN956" s="252"/>
      <c r="VDO956" s="252"/>
      <c r="VDP956" s="252"/>
      <c r="VDQ956" s="252"/>
      <c r="VDR956" s="252"/>
      <c r="VDS956" s="252"/>
      <c r="VDT956" s="252"/>
      <c r="VDU956" s="252"/>
      <c r="VDV956" s="252"/>
      <c r="VDW956" s="252"/>
      <c r="VDX956" s="252"/>
      <c r="VDY956" s="252"/>
      <c r="VDZ956" s="252"/>
      <c r="VEA956" s="252"/>
      <c r="VEB956" s="252"/>
      <c r="VEC956" s="252"/>
      <c r="VED956" s="252"/>
      <c r="VEE956" s="252"/>
      <c r="VEF956" s="252"/>
      <c r="VEG956" s="252"/>
      <c r="VEH956" s="252"/>
      <c r="VEI956" s="252"/>
      <c r="VEJ956" s="252"/>
      <c r="VEK956" s="252"/>
      <c r="VEL956" s="252"/>
      <c r="VEM956" s="252"/>
      <c r="VEN956" s="252"/>
      <c r="VEO956" s="252"/>
      <c r="VEP956" s="252"/>
      <c r="VEQ956" s="252"/>
      <c r="VER956" s="252"/>
      <c r="VES956" s="252"/>
      <c r="VET956" s="252"/>
      <c r="VEU956" s="252"/>
      <c r="VEV956" s="252"/>
      <c r="VEW956" s="252"/>
      <c r="VEX956" s="252"/>
      <c r="VEY956" s="252"/>
      <c r="VEZ956" s="252"/>
      <c r="VFA956" s="252"/>
      <c r="VFB956" s="252"/>
      <c r="VFC956" s="252"/>
      <c r="VFD956" s="252"/>
      <c r="VFE956" s="252"/>
      <c r="VFF956" s="252"/>
      <c r="VFG956" s="252"/>
      <c r="VFH956" s="252"/>
      <c r="VFI956" s="252"/>
      <c r="VFJ956" s="252"/>
      <c r="VFK956" s="252"/>
      <c r="VFL956" s="252"/>
      <c r="VFM956" s="252"/>
      <c r="VFN956" s="252"/>
      <c r="VFO956" s="252"/>
      <c r="VFP956" s="252"/>
      <c r="VFQ956" s="252"/>
      <c r="VFR956" s="252"/>
      <c r="VFS956" s="252"/>
      <c r="VFT956" s="252"/>
      <c r="VFU956" s="252"/>
      <c r="VFV956" s="252"/>
      <c r="VFW956" s="252"/>
      <c r="VFX956" s="252"/>
      <c r="VFY956" s="252"/>
      <c r="VFZ956" s="252"/>
      <c r="VGA956" s="252"/>
      <c r="VGB956" s="252"/>
      <c r="VGC956" s="252"/>
      <c r="VGD956" s="252"/>
      <c r="VGE956" s="252"/>
      <c r="VGF956" s="252"/>
      <c r="VGG956" s="252"/>
      <c r="VGH956" s="252"/>
      <c r="VGI956" s="252"/>
      <c r="VGJ956" s="252"/>
      <c r="VGK956" s="252"/>
      <c r="VGL956" s="252"/>
      <c r="VGM956" s="252"/>
      <c r="VGN956" s="252"/>
      <c r="VGO956" s="252"/>
      <c r="VGP956" s="252"/>
      <c r="VGQ956" s="252"/>
      <c r="VGR956" s="252"/>
      <c r="VGS956" s="252"/>
      <c r="VGT956" s="252"/>
      <c r="VGU956" s="252"/>
      <c r="VGV956" s="252"/>
      <c r="VGW956" s="252"/>
      <c r="VGX956" s="252"/>
      <c r="VGY956" s="252"/>
      <c r="VGZ956" s="252"/>
      <c r="VHA956" s="252"/>
      <c r="VHB956" s="252"/>
      <c r="VHC956" s="252"/>
      <c r="VHD956" s="252"/>
      <c r="VHE956" s="252"/>
      <c r="VHF956" s="252"/>
      <c r="VHG956" s="252"/>
      <c r="VHH956" s="252"/>
      <c r="VHI956" s="252"/>
      <c r="VHJ956" s="252"/>
      <c r="VHK956" s="252"/>
      <c r="VHL956" s="252"/>
      <c r="VHM956" s="252"/>
      <c r="VHN956" s="252"/>
      <c r="VHO956" s="252"/>
      <c r="VHP956" s="252"/>
      <c r="VHQ956" s="252"/>
      <c r="VHR956" s="252"/>
      <c r="VHS956" s="252"/>
      <c r="VHT956" s="252"/>
      <c r="VHU956" s="252"/>
      <c r="VHV956" s="252"/>
      <c r="VHW956" s="252"/>
      <c r="VHX956" s="252"/>
      <c r="VHY956" s="252"/>
      <c r="VHZ956" s="252"/>
      <c r="VIA956" s="252"/>
      <c r="VIB956" s="252"/>
      <c r="VIC956" s="252"/>
      <c r="VID956" s="252"/>
      <c r="VIE956" s="252"/>
      <c r="VIF956" s="252"/>
      <c r="VIG956" s="252"/>
      <c r="VIH956" s="252"/>
      <c r="VII956" s="252"/>
      <c r="VIJ956" s="252"/>
      <c r="VIK956" s="252"/>
      <c r="VIL956" s="252"/>
      <c r="VIM956" s="252"/>
      <c r="VIN956" s="252"/>
      <c r="VIO956" s="252"/>
      <c r="VIP956" s="252"/>
      <c r="VIQ956" s="252"/>
      <c r="VIR956" s="252"/>
      <c r="VIS956" s="252"/>
      <c r="VIT956" s="252"/>
      <c r="VIU956" s="252"/>
      <c r="VIV956" s="252"/>
      <c r="VIW956" s="252"/>
      <c r="VIX956" s="252"/>
      <c r="VIY956" s="252"/>
      <c r="VIZ956" s="252"/>
      <c r="VJA956" s="252"/>
      <c r="VJB956" s="252"/>
      <c r="VJC956" s="252"/>
      <c r="VJD956" s="252"/>
      <c r="VJE956" s="252"/>
      <c r="VJF956" s="252"/>
      <c r="VJG956" s="252"/>
      <c r="VJH956" s="252"/>
      <c r="VJI956" s="252"/>
      <c r="VJJ956" s="252"/>
      <c r="VJK956" s="252"/>
      <c r="VJL956" s="252"/>
      <c r="VJM956" s="252"/>
      <c r="VJN956" s="252"/>
      <c r="VJO956" s="252"/>
      <c r="VJP956" s="252"/>
      <c r="VJQ956" s="252"/>
      <c r="VJR956" s="252"/>
      <c r="VJS956" s="252"/>
      <c r="VJT956" s="252"/>
      <c r="VJU956" s="252"/>
      <c r="VJV956" s="252"/>
      <c r="VJW956" s="252"/>
      <c r="VJX956" s="252"/>
      <c r="VJY956" s="252"/>
      <c r="VJZ956" s="252"/>
      <c r="VKA956" s="252"/>
      <c r="VKB956" s="252"/>
      <c r="VKC956" s="252"/>
      <c r="VKD956" s="252"/>
      <c r="VKE956" s="252"/>
      <c r="VKF956" s="252"/>
      <c r="VKG956" s="252"/>
      <c r="VKH956" s="252"/>
      <c r="VKI956" s="252"/>
      <c r="VKJ956" s="252"/>
      <c r="VKK956" s="252"/>
      <c r="VKL956" s="252"/>
      <c r="VKM956" s="252"/>
      <c r="VKN956" s="252"/>
      <c r="VKO956" s="252"/>
      <c r="VKP956" s="252"/>
      <c r="VKQ956" s="252"/>
      <c r="VKR956" s="252"/>
      <c r="VKS956" s="252"/>
      <c r="VKT956" s="252"/>
      <c r="VKU956" s="252"/>
      <c r="VKV956" s="252"/>
      <c r="VKW956" s="252"/>
      <c r="VKX956" s="252"/>
      <c r="VKY956" s="252"/>
      <c r="VKZ956" s="252"/>
      <c r="VLA956" s="252"/>
      <c r="VLB956" s="252"/>
      <c r="VLC956" s="252"/>
      <c r="VLD956" s="252"/>
      <c r="VLE956" s="252"/>
      <c r="VLF956" s="252"/>
      <c r="VLG956" s="252"/>
      <c r="VLH956" s="252"/>
      <c r="VLI956" s="252"/>
      <c r="VLJ956" s="252"/>
      <c r="VLK956" s="252"/>
      <c r="VLL956" s="252"/>
      <c r="VLM956" s="252"/>
      <c r="VLN956" s="252"/>
      <c r="VLO956" s="252"/>
      <c r="VLP956" s="252"/>
      <c r="VLQ956" s="252"/>
      <c r="VLR956" s="252"/>
      <c r="VLS956" s="252"/>
      <c r="VLT956" s="252"/>
      <c r="VLU956" s="252"/>
      <c r="VLV956" s="252"/>
      <c r="VLW956" s="252"/>
      <c r="VLX956" s="252"/>
      <c r="VLY956" s="252"/>
      <c r="VLZ956" s="252"/>
      <c r="VMA956" s="252"/>
      <c r="VMB956" s="252"/>
      <c r="VMC956" s="252"/>
      <c r="VMD956" s="252"/>
      <c r="VME956" s="252"/>
      <c r="VMF956" s="252"/>
      <c r="VMG956" s="252"/>
      <c r="VMH956" s="252"/>
      <c r="VMI956" s="252"/>
      <c r="VMJ956" s="252"/>
      <c r="VMK956" s="252"/>
      <c r="VML956" s="252"/>
      <c r="VMM956" s="252"/>
      <c r="VMN956" s="252"/>
      <c r="VMO956" s="252"/>
      <c r="VMP956" s="252"/>
      <c r="VMQ956" s="252"/>
      <c r="VMR956" s="252"/>
      <c r="VMS956" s="252"/>
      <c r="VMT956" s="252"/>
      <c r="VMU956" s="252"/>
      <c r="VMV956" s="252"/>
      <c r="VMW956" s="252"/>
      <c r="VMX956" s="252"/>
      <c r="VMY956" s="252"/>
      <c r="VMZ956" s="252"/>
      <c r="VNA956" s="252"/>
      <c r="VNB956" s="252"/>
      <c r="VNC956" s="252"/>
      <c r="VND956" s="252"/>
      <c r="VNE956" s="252"/>
      <c r="VNF956" s="252"/>
      <c r="VNG956" s="252"/>
      <c r="VNH956" s="252"/>
      <c r="VNI956" s="252"/>
      <c r="VNJ956" s="252"/>
      <c r="VNK956" s="252"/>
      <c r="VNL956" s="252"/>
      <c r="VNM956" s="252"/>
      <c r="VNN956" s="252"/>
      <c r="VNO956" s="252"/>
      <c r="VNP956" s="252"/>
      <c r="VNQ956" s="252"/>
      <c r="VNR956" s="252"/>
      <c r="VNS956" s="252"/>
      <c r="VNT956" s="252"/>
      <c r="VNU956" s="252"/>
      <c r="VNV956" s="252"/>
      <c r="VNW956" s="252"/>
      <c r="VNX956" s="252"/>
      <c r="VNY956" s="252"/>
      <c r="VNZ956" s="252"/>
      <c r="VOA956" s="252"/>
      <c r="VOB956" s="252"/>
      <c r="VOC956" s="252"/>
      <c r="VOD956" s="252"/>
      <c r="VOE956" s="252"/>
      <c r="VOF956" s="252"/>
      <c r="VOG956" s="252"/>
      <c r="VOH956" s="252"/>
      <c r="VOI956" s="252"/>
      <c r="VOJ956" s="252"/>
      <c r="VOK956" s="252"/>
      <c r="VOL956" s="252"/>
      <c r="VOM956" s="252"/>
      <c r="VON956" s="252"/>
      <c r="VOO956" s="252"/>
      <c r="VOP956" s="252"/>
      <c r="VOQ956" s="252"/>
      <c r="VOR956" s="252"/>
      <c r="VOS956" s="252"/>
      <c r="VOT956" s="252"/>
      <c r="VOU956" s="252"/>
      <c r="VOV956" s="252"/>
      <c r="VOW956" s="252"/>
      <c r="VOX956" s="252"/>
      <c r="VOY956" s="252"/>
      <c r="VOZ956" s="252"/>
      <c r="VPA956" s="252"/>
      <c r="VPB956" s="252"/>
      <c r="VPC956" s="252"/>
      <c r="VPD956" s="252"/>
      <c r="VPE956" s="252"/>
      <c r="VPF956" s="252"/>
      <c r="VPG956" s="252"/>
      <c r="VPH956" s="252"/>
      <c r="VPI956" s="252"/>
      <c r="VPJ956" s="252"/>
      <c r="VPK956" s="252"/>
      <c r="VPL956" s="252"/>
      <c r="VPM956" s="252"/>
      <c r="VPN956" s="252"/>
      <c r="VPO956" s="252"/>
      <c r="VPP956" s="252"/>
      <c r="VPQ956" s="252"/>
      <c r="VPR956" s="252"/>
      <c r="VPS956" s="252"/>
      <c r="VPT956" s="252"/>
      <c r="VPU956" s="252"/>
      <c r="VPV956" s="252"/>
      <c r="VPW956" s="252"/>
      <c r="VPX956" s="252"/>
      <c r="VPY956" s="252"/>
      <c r="VPZ956" s="252"/>
      <c r="VQA956" s="252"/>
      <c r="VQB956" s="252"/>
      <c r="VQC956" s="252"/>
      <c r="VQD956" s="252"/>
      <c r="VQE956" s="252"/>
      <c r="VQF956" s="252"/>
      <c r="VQG956" s="252"/>
      <c r="VQH956" s="252"/>
      <c r="VQI956" s="252"/>
      <c r="VQJ956" s="252"/>
      <c r="VQK956" s="252"/>
      <c r="VQL956" s="252"/>
      <c r="VQM956" s="252"/>
      <c r="VQN956" s="252"/>
      <c r="VQO956" s="252"/>
      <c r="VQP956" s="252"/>
      <c r="VQQ956" s="252"/>
      <c r="VQR956" s="252"/>
      <c r="VQS956" s="252"/>
      <c r="VQT956" s="252"/>
      <c r="VQU956" s="252"/>
      <c r="VQV956" s="252"/>
      <c r="VQW956" s="252"/>
      <c r="VQX956" s="252"/>
      <c r="VQY956" s="252"/>
      <c r="VQZ956" s="252"/>
      <c r="VRA956" s="252"/>
      <c r="VRB956" s="252"/>
      <c r="VRC956" s="252"/>
      <c r="VRD956" s="252"/>
      <c r="VRE956" s="252"/>
      <c r="VRF956" s="252"/>
      <c r="VRG956" s="252"/>
      <c r="VRH956" s="252"/>
      <c r="VRI956" s="252"/>
      <c r="VRJ956" s="252"/>
      <c r="VRK956" s="252"/>
      <c r="VRL956" s="252"/>
      <c r="VRM956" s="252"/>
      <c r="VRN956" s="252"/>
      <c r="VRO956" s="252"/>
      <c r="VRP956" s="252"/>
      <c r="VRQ956" s="252"/>
      <c r="VRR956" s="252"/>
      <c r="VRS956" s="252"/>
      <c r="VRT956" s="252"/>
      <c r="VRU956" s="252"/>
      <c r="VRV956" s="252"/>
      <c r="VRW956" s="252"/>
      <c r="VRX956" s="252"/>
      <c r="VRY956" s="252"/>
      <c r="VRZ956" s="252"/>
      <c r="VSA956" s="252"/>
      <c r="VSB956" s="252"/>
      <c r="VSC956" s="252"/>
      <c r="VSD956" s="252"/>
      <c r="VSE956" s="252"/>
      <c r="VSF956" s="252"/>
      <c r="VSG956" s="252"/>
      <c r="VSH956" s="252"/>
      <c r="VSI956" s="252"/>
      <c r="VSJ956" s="252"/>
      <c r="VSK956" s="252"/>
      <c r="VSL956" s="252"/>
      <c r="VSM956" s="252"/>
      <c r="VSN956" s="252"/>
      <c r="VSO956" s="252"/>
      <c r="VSP956" s="252"/>
      <c r="VSQ956" s="252"/>
      <c r="VSR956" s="252"/>
      <c r="VSS956" s="252"/>
      <c r="VST956" s="252"/>
      <c r="VSU956" s="252"/>
      <c r="VSV956" s="252"/>
      <c r="VSW956" s="252"/>
      <c r="VSX956" s="252"/>
      <c r="VSY956" s="252"/>
      <c r="VSZ956" s="252"/>
      <c r="VTA956" s="252"/>
      <c r="VTB956" s="252"/>
      <c r="VTC956" s="252"/>
      <c r="VTD956" s="252"/>
      <c r="VTE956" s="252"/>
      <c r="VTF956" s="252"/>
      <c r="VTG956" s="252"/>
      <c r="VTH956" s="252"/>
      <c r="VTI956" s="252"/>
      <c r="VTJ956" s="252"/>
      <c r="VTK956" s="252"/>
      <c r="VTL956" s="252"/>
      <c r="VTM956" s="252"/>
      <c r="VTN956" s="252"/>
      <c r="VTO956" s="252"/>
      <c r="VTP956" s="252"/>
      <c r="VTQ956" s="252"/>
      <c r="VTR956" s="252"/>
      <c r="VTS956" s="252"/>
      <c r="VTT956" s="252"/>
      <c r="VTU956" s="252"/>
      <c r="VTV956" s="252"/>
      <c r="VTW956" s="252"/>
      <c r="VTX956" s="252"/>
      <c r="VTY956" s="252"/>
      <c r="VTZ956" s="252"/>
      <c r="VUA956" s="252"/>
      <c r="VUB956" s="252"/>
      <c r="VUC956" s="252"/>
      <c r="VUD956" s="252"/>
      <c r="VUE956" s="252"/>
      <c r="VUF956" s="252"/>
      <c r="VUG956" s="252"/>
      <c r="VUH956" s="252"/>
      <c r="VUI956" s="252"/>
      <c r="VUJ956" s="252"/>
      <c r="VUK956" s="252"/>
      <c r="VUL956" s="252"/>
      <c r="VUM956" s="252"/>
      <c r="VUN956" s="252"/>
      <c r="VUO956" s="252"/>
      <c r="VUP956" s="252"/>
      <c r="VUQ956" s="252"/>
      <c r="VUR956" s="252"/>
      <c r="VUS956" s="252"/>
      <c r="VUT956" s="252"/>
      <c r="VUU956" s="252"/>
      <c r="VUV956" s="252"/>
      <c r="VUW956" s="252"/>
      <c r="VUX956" s="252"/>
      <c r="VUY956" s="252"/>
      <c r="VUZ956" s="252"/>
      <c r="VVA956" s="252"/>
      <c r="VVB956" s="252"/>
      <c r="VVC956" s="252"/>
      <c r="VVD956" s="252"/>
      <c r="VVE956" s="252"/>
      <c r="VVF956" s="252"/>
      <c r="VVG956" s="252"/>
      <c r="VVH956" s="252"/>
      <c r="VVI956" s="252"/>
      <c r="VVJ956" s="252"/>
      <c r="VVK956" s="252"/>
      <c r="VVL956" s="252"/>
      <c r="VVM956" s="252"/>
      <c r="VVN956" s="252"/>
      <c r="VVO956" s="252"/>
      <c r="VVP956" s="252"/>
      <c r="VVQ956" s="252"/>
      <c r="VVR956" s="252"/>
      <c r="VVS956" s="252"/>
      <c r="VVT956" s="252"/>
      <c r="VVU956" s="252"/>
      <c r="VVV956" s="252"/>
      <c r="VVW956" s="252"/>
      <c r="VVX956" s="252"/>
      <c r="VVY956" s="252"/>
      <c r="VVZ956" s="252"/>
      <c r="VWA956" s="252"/>
      <c r="VWB956" s="252"/>
      <c r="VWC956" s="252"/>
      <c r="VWD956" s="252"/>
      <c r="VWE956" s="252"/>
      <c r="VWF956" s="252"/>
      <c r="VWG956" s="252"/>
      <c r="VWH956" s="252"/>
      <c r="VWI956" s="252"/>
      <c r="VWJ956" s="252"/>
      <c r="VWK956" s="252"/>
      <c r="VWL956" s="252"/>
      <c r="VWM956" s="252"/>
      <c r="VWN956" s="252"/>
      <c r="VWO956" s="252"/>
      <c r="VWP956" s="252"/>
      <c r="VWQ956" s="252"/>
      <c r="VWR956" s="252"/>
      <c r="VWS956" s="252"/>
      <c r="VWT956" s="252"/>
      <c r="VWU956" s="252"/>
      <c r="VWV956" s="252"/>
      <c r="VWW956" s="252"/>
      <c r="VWX956" s="252"/>
      <c r="VWY956" s="252"/>
      <c r="VWZ956" s="252"/>
      <c r="VXA956" s="252"/>
      <c r="VXB956" s="252"/>
      <c r="VXC956" s="252"/>
      <c r="VXD956" s="252"/>
      <c r="VXE956" s="252"/>
      <c r="VXF956" s="252"/>
      <c r="VXG956" s="252"/>
      <c r="VXH956" s="252"/>
      <c r="VXI956" s="252"/>
      <c r="VXJ956" s="252"/>
      <c r="VXK956" s="252"/>
      <c r="VXL956" s="252"/>
      <c r="VXM956" s="252"/>
      <c r="VXN956" s="252"/>
      <c r="VXO956" s="252"/>
      <c r="VXP956" s="252"/>
      <c r="VXQ956" s="252"/>
      <c r="VXR956" s="252"/>
      <c r="VXS956" s="252"/>
      <c r="VXT956" s="252"/>
      <c r="VXU956" s="252"/>
      <c r="VXV956" s="252"/>
      <c r="VXW956" s="252"/>
      <c r="VXX956" s="252"/>
      <c r="VXY956" s="252"/>
      <c r="VXZ956" s="252"/>
      <c r="VYA956" s="252"/>
      <c r="VYB956" s="252"/>
      <c r="VYC956" s="252"/>
      <c r="VYD956" s="252"/>
      <c r="VYE956" s="252"/>
      <c r="VYF956" s="252"/>
      <c r="VYG956" s="252"/>
      <c r="VYH956" s="252"/>
      <c r="VYI956" s="252"/>
      <c r="VYJ956" s="252"/>
      <c r="VYK956" s="252"/>
      <c r="VYL956" s="252"/>
      <c r="VYM956" s="252"/>
      <c r="VYN956" s="252"/>
      <c r="VYO956" s="252"/>
      <c r="VYP956" s="252"/>
      <c r="VYQ956" s="252"/>
      <c r="VYR956" s="252"/>
      <c r="VYS956" s="252"/>
      <c r="VYT956" s="252"/>
      <c r="VYU956" s="252"/>
      <c r="VYV956" s="252"/>
      <c r="VYW956" s="252"/>
      <c r="VYX956" s="252"/>
      <c r="VYY956" s="252"/>
      <c r="VYZ956" s="252"/>
      <c r="VZA956" s="252"/>
      <c r="VZB956" s="252"/>
      <c r="VZC956" s="252"/>
      <c r="VZD956" s="252"/>
      <c r="VZE956" s="252"/>
      <c r="VZF956" s="252"/>
      <c r="VZG956" s="252"/>
      <c r="VZH956" s="252"/>
      <c r="VZI956" s="252"/>
      <c r="VZJ956" s="252"/>
      <c r="VZK956" s="252"/>
      <c r="VZL956" s="252"/>
      <c r="VZM956" s="252"/>
      <c r="VZN956" s="252"/>
      <c r="VZO956" s="252"/>
      <c r="VZP956" s="252"/>
      <c r="VZQ956" s="252"/>
      <c r="VZR956" s="252"/>
      <c r="VZS956" s="252"/>
      <c r="VZT956" s="252"/>
      <c r="VZU956" s="252"/>
      <c r="VZV956" s="252"/>
      <c r="VZW956" s="252"/>
      <c r="VZX956" s="252"/>
      <c r="VZY956" s="252"/>
      <c r="VZZ956" s="252"/>
      <c r="WAA956" s="252"/>
      <c r="WAB956" s="252"/>
      <c r="WAC956" s="252"/>
      <c r="WAD956" s="252"/>
      <c r="WAE956" s="252"/>
      <c r="WAF956" s="252"/>
      <c r="WAG956" s="252"/>
      <c r="WAH956" s="252"/>
      <c r="WAI956" s="252"/>
      <c r="WAJ956" s="252"/>
      <c r="WAK956" s="252"/>
      <c r="WAL956" s="252"/>
      <c r="WAM956" s="252"/>
      <c r="WAN956" s="252"/>
      <c r="WAO956" s="252"/>
      <c r="WAP956" s="252"/>
      <c r="WAQ956" s="252"/>
      <c r="WAR956" s="252"/>
      <c r="WAS956" s="252"/>
      <c r="WAT956" s="252"/>
      <c r="WAU956" s="252"/>
      <c r="WAV956" s="252"/>
      <c r="WAW956" s="252"/>
      <c r="WAX956" s="252"/>
      <c r="WAY956" s="252"/>
      <c r="WAZ956" s="252"/>
      <c r="WBA956" s="252"/>
      <c r="WBB956" s="252"/>
      <c r="WBC956" s="252"/>
      <c r="WBD956" s="252"/>
      <c r="WBE956" s="252"/>
      <c r="WBF956" s="252"/>
      <c r="WBG956" s="252"/>
      <c r="WBH956" s="252"/>
      <c r="WBI956" s="252"/>
      <c r="WBJ956" s="252"/>
      <c r="WBK956" s="252"/>
      <c r="WBL956" s="252"/>
      <c r="WBM956" s="252"/>
      <c r="WBN956" s="252"/>
      <c r="WBO956" s="252"/>
      <c r="WBP956" s="252"/>
      <c r="WBQ956" s="252"/>
      <c r="WBR956" s="252"/>
      <c r="WBS956" s="252"/>
      <c r="WBT956" s="252"/>
      <c r="WBU956" s="252"/>
      <c r="WBV956" s="252"/>
      <c r="WBW956" s="252"/>
      <c r="WBX956" s="252"/>
      <c r="WBY956" s="252"/>
      <c r="WBZ956" s="252"/>
      <c r="WCA956" s="252"/>
      <c r="WCB956" s="252"/>
      <c r="WCC956" s="252"/>
      <c r="WCD956" s="252"/>
      <c r="WCE956" s="252"/>
      <c r="WCF956" s="252"/>
      <c r="WCG956" s="252"/>
      <c r="WCH956" s="252"/>
      <c r="WCI956" s="252"/>
      <c r="WCJ956" s="252"/>
      <c r="WCK956" s="252"/>
      <c r="WCL956" s="252"/>
      <c r="WCM956" s="252"/>
      <c r="WCN956" s="252"/>
      <c r="WCO956" s="252"/>
      <c r="WCP956" s="252"/>
      <c r="WCQ956" s="252"/>
      <c r="WCR956" s="252"/>
      <c r="WCS956" s="252"/>
      <c r="WCT956" s="252"/>
      <c r="WCU956" s="252"/>
      <c r="WCV956" s="252"/>
      <c r="WCW956" s="252"/>
      <c r="WCX956" s="252"/>
      <c r="WCY956" s="252"/>
      <c r="WCZ956" s="252"/>
      <c r="WDA956" s="252"/>
      <c r="WDB956" s="252"/>
      <c r="WDC956" s="252"/>
      <c r="WDD956" s="252"/>
      <c r="WDE956" s="252"/>
      <c r="WDF956" s="252"/>
      <c r="WDG956" s="252"/>
      <c r="WDH956" s="252"/>
      <c r="WDI956" s="252"/>
      <c r="WDJ956" s="252"/>
      <c r="WDK956" s="252"/>
      <c r="WDL956" s="252"/>
      <c r="WDM956" s="252"/>
      <c r="WDN956" s="252"/>
      <c r="WDO956" s="252"/>
      <c r="WDP956" s="252"/>
      <c r="WDQ956" s="252"/>
      <c r="WDR956" s="252"/>
      <c r="WDS956" s="252"/>
      <c r="WDT956" s="252"/>
      <c r="WDU956" s="252"/>
      <c r="WDV956" s="252"/>
      <c r="WDW956" s="252"/>
      <c r="WDX956" s="252"/>
      <c r="WDY956" s="252"/>
      <c r="WDZ956" s="252"/>
      <c r="WEA956" s="252"/>
      <c r="WEB956" s="252"/>
      <c r="WEC956" s="252"/>
      <c r="WED956" s="252"/>
      <c r="WEE956" s="252"/>
      <c r="WEF956" s="252"/>
      <c r="WEG956" s="252"/>
      <c r="WEH956" s="252"/>
      <c r="WEI956" s="252"/>
      <c r="WEJ956" s="252"/>
      <c r="WEK956" s="252"/>
      <c r="WEL956" s="252"/>
      <c r="WEM956" s="252"/>
      <c r="WEN956" s="252"/>
      <c r="WEO956" s="252"/>
      <c r="WEP956" s="252"/>
      <c r="WEQ956" s="252"/>
      <c r="WER956" s="252"/>
      <c r="WES956" s="252"/>
      <c r="WET956" s="252"/>
      <c r="WEU956" s="252"/>
      <c r="WEV956" s="252"/>
      <c r="WEW956" s="252"/>
      <c r="WEX956" s="252"/>
      <c r="WEY956" s="252"/>
      <c r="WEZ956" s="252"/>
      <c r="WFA956" s="252"/>
      <c r="WFB956" s="252"/>
      <c r="WFC956" s="252"/>
      <c r="WFD956" s="252"/>
      <c r="WFE956" s="252"/>
      <c r="WFF956" s="252"/>
      <c r="WFG956" s="252"/>
      <c r="WFH956" s="252"/>
      <c r="WFI956" s="252"/>
      <c r="WFJ956" s="252"/>
      <c r="WFK956" s="252"/>
      <c r="WFL956" s="252"/>
      <c r="WFM956" s="252"/>
      <c r="WFN956" s="252"/>
      <c r="WFO956" s="252"/>
      <c r="WFP956" s="252"/>
      <c r="WFQ956" s="252"/>
      <c r="WFR956" s="252"/>
      <c r="WFS956" s="252"/>
      <c r="WFT956" s="252"/>
      <c r="WFU956" s="252"/>
      <c r="WFV956" s="252"/>
      <c r="WFW956" s="252"/>
      <c r="WFX956" s="252"/>
      <c r="WFY956" s="252"/>
      <c r="WFZ956" s="252"/>
      <c r="WGA956" s="252"/>
      <c r="WGB956" s="252"/>
      <c r="WGC956" s="252"/>
      <c r="WGD956" s="252"/>
      <c r="WGE956" s="252"/>
      <c r="WGF956" s="252"/>
      <c r="WGG956" s="252"/>
      <c r="WGH956" s="252"/>
      <c r="WGI956" s="252"/>
      <c r="WGJ956" s="252"/>
      <c r="WGK956" s="252"/>
      <c r="WGL956" s="252"/>
      <c r="WGM956" s="252"/>
      <c r="WGN956" s="252"/>
      <c r="WGO956" s="252"/>
      <c r="WGP956" s="252"/>
      <c r="WGQ956" s="252"/>
      <c r="WGR956" s="252"/>
      <c r="WGS956" s="252"/>
      <c r="WGT956" s="252"/>
      <c r="WGU956" s="252"/>
      <c r="WGV956" s="252"/>
      <c r="WGW956" s="252"/>
      <c r="WGX956" s="252"/>
      <c r="WGY956" s="252"/>
      <c r="WGZ956" s="252"/>
      <c r="WHA956" s="252"/>
      <c r="WHB956" s="252"/>
      <c r="WHC956" s="252"/>
      <c r="WHD956" s="252"/>
      <c r="WHE956" s="252"/>
      <c r="WHF956" s="252"/>
      <c r="WHG956" s="252"/>
      <c r="WHH956" s="252"/>
      <c r="WHI956" s="252"/>
      <c r="WHJ956" s="252"/>
      <c r="WHK956" s="252"/>
      <c r="WHL956" s="252"/>
      <c r="WHM956" s="252"/>
      <c r="WHN956" s="252"/>
      <c r="WHO956" s="252"/>
      <c r="WHP956" s="252"/>
      <c r="WHQ956" s="252"/>
      <c r="WHR956" s="252"/>
      <c r="WHS956" s="252"/>
      <c r="WHT956" s="252"/>
      <c r="WHU956" s="252"/>
      <c r="WHV956" s="252"/>
      <c r="WHW956" s="252"/>
      <c r="WHX956" s="252"/>
      <c r="WHY956" s="252"/>
      <c r="WHZ956" s="252"/>
      <c r="WIA956" s="252"/>
      <c r="WIB956" s="252"/>
      <c r="WIC956" s="252"/>
      <c r="WID956" s="252"/>
      <c r="WIE956" s="252"/>
      <c r="WIF956" s="252"/>
      <c r="WIG956" s="252"/>
      <c r="WIH956" s="252"/>
      <c r="WII956" s="252"/>
      <c r="WIJ956" s="252"/>
      <c r="WIK956" s="252"/>
      <c r="WIL956" s="252"/>
      <c r="WIM956" s="252"/>
      <c r="WIN956" s="252"/>
      <c r="WIO956" s="252"/>
      <c r="WIP956" s="252"/>
      <c r="WIQ956" s="252"/>
      <c r="WIR956" s="252"/>
      <c r="WIS956" s="252"/>
      <c r="WIT956" s="252"/>
      <c r="WIU956" s="252"/>
      <c r="WIV956" s="252"/>
      <c r="WIW956" s="252"/>
      <c r="WIX956" s="252"/>
      <c r="WIY956" s="252"/>
      <c r="WIZ956" s="252"/>
      <c r="WJA956" s="252"/>
      <c r="WJB956" s="252"/>
      <c r="WJC956" s="252"/>
      <c r="WJD956" s="252"/>
      <c r="WJE956" s="252"/>
      <c r="WJF956" s="252"/>
      <c r="WJG956" s="252"/>
      <c r="WJH956" s="252"/>
      <c r="WJI956" s="252"/>
      <c r="WJJ956" s="252"/>
      <c r="WJK956" s="252"/>
      <c r="WJL956" s="252"/>
      <c r="WJM956" s="252"/>
      <c r="WJN956" s="252"/>
      <c r="WJO956" s="252"/>
      <c r="WJP956" s="252"/>
      <c r="WJQ956" s="252"/>
      <c r="WJR956" s="252"/>
      <c r="WJS956" s="252"/>
      <c r="WJT956" s="252"/>
      <c r="WJU956" s="252"/>
      <c r="WJV956" s="252"/>
      <c r="WJW956" s="252"/>
      <c r="WJX956" s="252"/>
      <c r="WJY956" s="252"/>
      <c r="WJZ956" s="252"/>
      <c r="WKA956" s="252"/>
      <c r="WKB956" s="252"/>
      <c r="WKC956" s="252"/>
      <c r="WKD956" s="252"/>
      <c r="WKE956" s="252"/>
      <c r="WKF956" s="252"/>
      <c r="WKG956" s="252"/>
      <c r="WKH956" s="252"/>
      <c r="WKI956" s="252"/>
      <c r="WKJ956" s="252"/>
      <c r="WKK956" s="252"/>
      <c r="WKL956" s="252"/>
      <c r="WKM956" s="252"/>
      <c r="WKN956" s="252"/>
      <c r="WKO956" s="252"/>
      <c r="WKP956" s="252"/>
      <c r="WKQ956" s="252"/>
      <c r="WKR956" s="252"/>
      <c r="WKS956" s="252"/>
      <c r="WKT956" s="252"/>
      <c r="WKU956" s="252"/>
      <c r="WKV956" s="252"/>
      <c r="WKW956" s="252"/>
      <c r="WKX956" s="252"/>
      <c r="WKY956" s="252"/>
      <c r="WKZ956" s="252"/>
      <c r="WLA956" s="252"/>
      <c r="WLB956" s="252"/>
      <c r="WLC956" s="252"/>
      <c r="WLD956" s="252"/>
      <c r="WLE956" s="252"/>
      <c r="WLF956" s="252"/>
      <c r="WLG956" s="252"/>
      <c r="WLH956" s="252"/>
      <c r="WLI956" s="252"/>
      <c r="WLJ956" s="252"/>
      <c r="WLK956" s="252"/>
      <c r="WLL956" s="252"/>
      <c r="WLM956" s="252"/>
      <c r="WLN956" s="252"/>
      <c r="WLO956" s="252"/>
      <c r="WLP956" s="252"/>
      <c r="WLQ956" s="252"/>
      <c r="WLR956" s="252"/>
      <c r="WLS956" s="252"/>
      <c r="WLT956" s="252"/>
      <c r="WLU956" s="252"/>
      <c r="WLV956" s="252"/>
      <c r="WLW956" s="252"/>
      <c r="WLX956" s="252"/>
      <c r="WLY956" s="252"/>
      <c r="WLZ956" s="252"/>
      <c r="WMA956" s="252"/>
      <c r="WMB956" s="252"/>
      <c r="WMC956" s="252"/>
      <c r="WMD956" s="252"/>
      <c r="WME956" s="252"/>
      <c r="WMF956" s="252"/>
      <c r="WMG956" s="252"/>
      <c r="WMH956" s="252"/>
      <c r="WMI956" s="252"/>
      <c r="WMJ956" s="252"/>
      <c r="WMK956" s="252"/>
      <c r="WML956" s="252"/>
      <c r="WMM956" s="252"/>
      <c r="WMN956" s="252"/>
      <c r="WMO956" s="252"/>
      <c r="WMP956" s="252"/>
      <c r="WMQ956" s="252"/>
      <c r="WMR956" s="252"/>
      <c r="WMS956" s="252"/>
      <c r="WMT956" s="252"/>
      <c r="WMU956" s="252"/>
      <c r="WMV956" s="252"/>
      <c r="WMW956" s="252"/>
      <c r="WMX956" s="252"/>
      <c r="WMY956" s="252"/>
      <c r="WMZ956" s="252"/>
      <c r="WNA956" s="252"/>
      <c r="WNB956" s="252"/>
      <c r="WNC956" s="252"/>
      <c r="WND956" s="252"/>
      <c r="WNE956" s="252"/>
      <c r="WNF956" s="252"/>
      <c r="WNG956" s="252"/>
      <c r="WNH956" s="252"/>
      <c r="WNI956" s="252"/>
      <c r="WNJ956" s="252"/>
      <c r="WNK956" s="252"/>
      <c r="WNL956" s="252"/>
      <c r="WNM956" s="252"/>
      <c r="WNN956" s="252"/>
      <c r="WNO956" s="252"/>
      <c r="WNP956" s="252"/>
      <c r="WNQ956" s="252"/>
      <c r="WNR956" s="252"/>
      <c r="WNS956" s="252"/>
      <c r="WNT956" s="252"/>
      <c r="WNU956" s="252"/>
      <c r="WNV956" s="252"/>
      <c r="WNW956" s="252"/>
      <c r="WNX956" s="252"/>
      <c r="WNY956" s="252"/>
      <c r="WNZ956" s="252"/>
      <c r="WOA956" s="252"/>
      <c r="WOB956" s="252"/>
      <c r="WOC956" s="252"/>
      <c r="WOD956" s="252"/>
      <c r="WOE956" s="252"/>
      <c r="WOF956" s="252"/>
      <c r="WOG956" s="252"/>
      <c r="WOH956" s="252"/>
      <c r="WOI956" s="252"/>
      <c r="WOJ956" s="252"/>
      <c r="WOK956" s="252"/>
      <c r="WOL956" s="252"/>
      <c r="WOM956" s="252"/>
      <c r="WON956" s="252"/>
      <c r="WOO956" s="252"/>
      <c r="WOP956" s="252"/>
      <c r="WOQ956" s="252"/>
      <c r="WOR956" s="252"/>
      <c r="WOS956" s="252"/>
      <c r="WOT956" s="252"/>
      <c r="WOU956" s="252"/>
      <c r="WOV956" s="252"/>
      <c r="WOW956" s="252"/>
      <c r="WOX956" s="252"/>
      <c r="WOY956" s="252"/>
      <c r="WOZ956" s="252"/>
      <c r="WPA956" s="252"/>
      <c r="WPB956" s="252"/>
      <c r="WPC956" s="252"/>
      <c r="WPD956" s="252"/>
      <c r="WPE956" s="252"/>
      <c r="WPF956" s="252"/>
      <c r="WPG956" s="252"/>
      <c r="WPH956" s="252"/>
      <c r="WPI956" s="252"/>
      <c r="WPJ956" s="252"/>
      <c r="WPK956" s="252"/>
      <c r="WPL956" s="252"/>
      <c r="WPM956" s="252"/>
      <c r="WPN956" s="252"/>
      <c r="WPO956" s="252"/>
      <c r="WPP956" s="252"/>
      <c r="WPQ956" s="252"/>
      <c r="WPR956" s="252"/>
      <c r="WPS956" s="252"/>
      <c r="WPT956" s="252"/>
      <c r="WPU956" s="252"/>
      <c r="WPV956" s="252"/>
      <c r="WPW956" s="252"/>
      <c r="WPX956" s="252"/>
      <c r="WPY956" s="252"/>
      <c r="WPZ956" s="252"/>
      <c r="WQA956" s="252"/>
      <c r="WQB956" s="252"/>
      <c r="WQC956" s="252"/>
      <c r="WQD956" s="252"/>
      <c r="WQE956" s="252"/>
      <c r="WQF956" s="252"/>
      <c r="WQG956" s="252"/>
      <c r="WQH956" s="252"/>
      <c r="WQI956" s="252"/>
      <c r="WQJ956" s="252"/>
      <c r="WQK956" s="252"/>
      <c r="WQL956" s="252"/>
      <c r="WQM956" s="252"/>
      <c r="WQN956" s="252"/>
      <c r="WQO956" s="252"/>
      <c r="WQP956" s="252"/>
      <c r="WQQ956" s="252"/>
      <c r="WQR956" s="252"/>
      <c r="WQS956" s="252"/>
      <c r="WQT956" s="252"/>
      <c r="WQU956" s="252"/>
      <c r="WQV956" s="252"/>
      <c r="WQW956" s="252"/>
      <c r="WQX956" s="252"/>
      <c r="WQY956" s="252"/>
      <c r="WQZ956" s="252"/>
      <c r="WRA956" s="252"/>
      <c r="WRB956" s="252"/>
      <c r="WRC956" s="252"/>
      <c r="WRD956" s="252"/>
      <c r="WRE956" s="252"/>
      <c r="WRF956" s="252"/>
      <c r="WRG956" s="252"/>
      <c r="WRH956" s="252"/>
      <c r="WRI956" s="252"/>
      <c r="WRJ956" s="252"/>
      <c r="WRK956" s="252"/>
      <c r="WRL956" s="252"/>
      <c r="WRM956" s="252"/>
      <c r="WRN956" s="252"/>
      <c r="WRO956" s="252"/>
      <c r="WRP956" s="252"/>
      <c r="WRQ956" s="252"/>
      <c r="WRR956" s="252"/>
      <c r="WRS956" s="252"/>
      <c r="WRT956" s="252"/>
      <c r="WRU956" s="252"/>
      <c r="WRV956" s="252"/>
      <c r="WRW956" s="252"/>
      <c r="WRX956" s="252"/>
      <c r="WRY956" s="252"/>
      <c r="WRZ956" s="252"/>
      <c r="WSA956" s="252"/>
      <c r="WSB956" s="252"/>
      <c r="WSC956" s="252"/>
      <c r="WSD956" s="252"/>
      <c r="WSE956" s="252"/>
      <c r="WSF956" s="252"/>
      <c r="WSG956" s="252"/>
      <c r="WSH956" s="252"/>
      <c r="WSI956" s="252"/>
      <c r="WSJ956" s="252"/>
      <c r="WSK956" s="252"/>
      <c r="WSL956" s="252"/>
      <c r="WSM956" s="252"/>
      <c r="WSN956" s="252"/>
      <c r="WSO956" s="252"/>
      <c r="WSP956" s="252"/>
      <c r="WSQ956" s="252"/>
      <c r="WSR956" s="252"/>
      <c r="WSS956" s="252"/>
      <c r="WST956" s="252"/>
      <c r="WSU956" s="252"/>
      <c r="WSV956" s="252"/>
      <c r="WSW956" s="252"/>
      <c r="WSX956" s="252"/>
      <c r="WSY956" s="252"/>
      <c r="WSZ956" s="252"/>
      <c r="WTA956" s="252"/>
      <c r="WTB956" s="252"/>
      <c r="WTC956" s="252"/>
      <c r="WTD956" s="252"/>
      <c r="WTE956" s="252"/>
      <c r="WTF956" s="252"/>
      <c r="WTG956" s="252"/>
      <c r="WTH956" s="252"/>
      <c r="WTI956" s="252"/>
      <c r="WTJ956" s="252"/>
      <c r="WTK956" s="252"/>
      <c r="WTL956" s="252"/>
      <c r="WTM956" s="252"/>
      <c r="WTN956" s="252"/>
      <c r="WTO956" s="252"/>
      <c r="WTP956" s="252"/>
      <c r="WTQ956" s="252"/>
      <c r="WTR956" s="252"/>
      <c r="WTS956" s="252"/>
      <c r="WTT956" s="252"/>
      <c r="WTU956" s="252"/>
      <c r="WTV956" s="252"/>
      <c r="WTW956" s="252"/>
      <c r="WTX956" s="252"/>
      <c r="WTY956" s="252"/>
      <c r="WTZ956" s="252"/>
      <c r="WUA956" s="252"/>
      <c r="WUB956" s="252"/>
      <c r="WUC956" s="252"/>
      <c r="WUD956" s="252"/>
      <c r="WUE956" s="252"/>
      <c r="WUF956" s="252"/>
      <c r="WUG956" s="252"/>
      <c r="WUH956" s="252"/>
      <c r="WUI956" s="252"/>
      <c r="WUJ956" s="252"/>
      <c r="WUK956" s="252"/>
      <c r="WUL956" s="252"/>
      <c r="WUM956" s="252"/>
      <c r="WUN956" s="252"/>
      <c r="WUO956" s="252"/>
      <c r="WUP956" s="252"/>
      <c r="WUQ956" s="252"/>
      <c r="WUR956" s="252"/>
      <c r="WUS956" s="252"/>
      <c r="WUT956" s="252"/>
      <c r="WUU956" s="252"/>
      <c r="WUV956" s="252"/>
      <c r="WUW956" s="252"/>
      <c r="WUX956" s="252"/>
      <c r="WUY956" s="252"/>
      <c r="WUZ956" s="252"/>
      <c r="WVA956" s="252"/>
      <c r="WVB956" s="252"/>
      <c r="WVC956" s="252"/>
      <c r="WVD956" s="252"/>
      <c r="WVE956" s="252"/>
      <c r="WVF956" s="252"/>
      <c r="WVG956" s="252"/>
      <c r="WVH956" s="252"/>
      <c r="WVI956" s="252"/>
      <c r="WVJ956" s="252"/>
      <c r="WVK956" s="252"/>
      <c r="WVL956" s="252"/>
      <c r="WVM956" s="252"/>
      <c r="WVN956" s="252"/>
      <c r="WVO956" s="252"/>
      <c r="WVP956" s="252"/>
      <c r="WVQ956" s="252"/>
      <c r="WVR956" s="252"/>
      <c r="WVS956" s="252"/>
      <c r="WVT956" s="252"/>
      <c r="WVU956" s="252"/>
      <c r="WVV956" s="252"/>
      <c r="WVW956" s="252"/>
      <c r="WVX956" s="252"/>
      <c r="WVY956" s="252"/>
      <c r="WVZ956" s="252"/>
      <c r="WWA956" s="252"/>
      <c r="WWB956" s="252"/>
      <c r="WWC956" s="252"/>
      <c r="WWD956" s="252"/>
      <c r="WWE956" s="252"/>
      <c r="WWF956" s="252"/>
      <c r="WWG956" s="252"/>
      <c r="WWH956" s="252"/>
      <c r="WWI956" s="252"/>
      <c r="WWJ956" s="252"/>
      <c r="WWK956" s="252"/>
      <c r="WWL956" s="252"/>
      <c r="WWM956" s="252"/>
      <c r="WWN956" s="252"/>
      <c r="WWO956" s="252"/>
      <c r="WWP956" s="252"/>
      <c r="WWQ956" s="252"/>
      <c r="WWR956" s="252"/>
      <c r="WWS956" s="252"/>
      <c r="WWT956" s="252"/>
      <c r="WWU956" s="252"/>
      <c r="WWV956" s="252"/>
      <c r="WWW956" s="252"/>
      <c r="WWX956" s="252"/>
      <c r="WWY956" s="252"/>
      <c r="WWZ956" s="252"/>
      <c r="WXA956" s="252"/>
      <c r="WXB956" s="252"/>
      <c r="WXC956" s="252"/>
      <c r="WXD956" s="252"/>
      <c r="WXE956" s="252"/>
      <c r="WXF956" s="252"/>
      <c r="WXG956" s="252"/>
      <c r="WXH956" s="252"/>
      <c r="WXI956" s="252"/>
      <c r="WXJ956" s="252"/>
      <c r="WXK956" s="252"/>
      <c r="WXL956" s="252"/>
      <c r="WXM956" s="252"/>
      <c r="WXN956" s="252"/>
      <c r="WXO956" s="252"/>
      <c r="WXP956" s="252"/>
      <c r="WXQ956" s="252"/>
      <c r="WXR956" s="252"/>
      <c r="WXS956" s="252"/>
      <c r="WXT956" s="252"/>
      <c r="WXU956" s="252"/>
      <c r="WXV956" s="252"/>
      <c r="WXW956" s="252"/>
      <c r="WXX956" s="252"/>
      <c r="WXY956" s="252"/>
      <c r="WXZ956" s="252"/>
      <c r="WYA956" s="252"/>
      <c r="WYB956" s="252"/>
      <c r="WYC956" s="252"/>
      <c r="WYD956" s="252"/>
      <c r="WYE956" s="252"/>
    </row>
    <row r="957" spans="1:16203" s="7" customFormat="1" ht="12.75" hidden="1" customHeight="1" outlineLevel="1" x14ac:dyDescent="0.2">
      <c r="B957" s="250" t="s">
        <v>643</v>
      </c>
      <c r="C957" s="109">
        <f>C414</f>
        <v>19.900000000000034</v>
      </c>
      <c r="D957" s="109"/>
      <c r="E957" s="109">
        <f>E414</f>
        <v>30.199999999999989</v>
      </c>
      <c r="F957" s="109"/>
      <c r="G957" s="109">
        <f>G414</f>
        <v>31.500000000000057</v>
      </c>
      <c r="H957" s="109"/>
      <c r="I957" s="109">
        <f>I414</f>
        <v>42.584615384615375</v>
      </c>
      <c r="J957" s="226"/>
      <c r="K957" s="109">
        <f>K414</f>
        <v>21.800000000000011</v>
      </c>
      <c r="L957" s="226"/>
      <c r="M957" s="109">
        <f>M414</f>
        <v>27.599999999999966</v>
      </c>
      <c r="N957" s="226"/>
      <c r="O957" s="109">
        <f>O414</f>
        <v>16.499999999999943</v>
      </c>
      <c r="P957" s="226"/>
      <c r="Q957" s="109">
        <f>Q414</f>
        <v>39.000000000000057</v>
      </c>
      <c r="R957" s="226"/>
      <c r="S957" s="109">
        <f>S414</f>
        <v>35.100000000000023</v>
      </c>
      <c r="T957" s="226"/>
      <c r="U957" s="109">
        <f>U414</f>
        <v>36.699999999999989</v>
      </c>
      <c r="V957" s="226"/>
      <c r="W957" s="109">
        <f>W414</f>
        <v>42.269230769230774</v>
      </c>
      <c r="X957" s="226"/>
      <c r="Y957" s="109">
        <f>Y414</f>
        <v>29.800000000000011</v>
      </c>
      <c r="Z957" s="226"/>
      <c r="AA957" s="109">
        <f>AA414</f>
        <v>41.899999999999977</v>
      </c>
      <c r="AB957" s="226"/>
      <c r="AC957" s="109">
        <f>AC414</f>
        <v>37.099999999999966</v>
      </c>
      <c r="AD957" s="226"/>
      <c r="AE957" s="109">
        <f>AE414</f>
        <v>39.500000000000071</v>
      </c>
      <c r="AF957" s="226"/>
      <c r="AG957" s="109">
        <f>AG414</f>
        <v>35</v>
      </c>
      <c r="AH957" s="109"/>
      <c r="AI957" s="109">
        <f>AI414</f>
        <v>40.699999999999989</v>
      </c>
      <c r="AJ957" s="109"/>
      <c r="AK957" s="109">
        <f>AK414</f>
        <v>37.800000000000011</v>
      </c>
      <c r="AL957" s="109"/>
      <c r="AM957" s="109">
        <f>AM414</f>
        <v>46.399999999999977</v>
      </c>
      <c r="AN957" s="109"/>
      <c r="AO957" s="109">
        <f>AO414</f>
        <v>48.300000000000011</v>
      </c>
      <c r="AP957" s="109"/>
      <c r="AQ957" s="109">
        <f t="shared" ref="AQ957" si="3964">AQ414</f>
        <v>37.100329999999985</v>
      </c>
      <c r="AR957" s="109"/>
      <c r="AS957" s="109">
        <f t="shared" ref="AS957" si="3965">AS414</f>
        <v>39.686480450000033</v>
      </c>
      <c r="AT957" s="109"/>
      <c r="AU957" s="109">
        <f t="shared" ref="AU957" si="3966">AU414</f>
        <v>43.439293186750035</v>
      </c>
      <c r="AV957" s="109"/>
      <c r="AW957" s="109">
        <f t="shared" ref="AW957" si="3967">AW414</f>
        <v>46.13335772633252</v>
      </c>
      <c r="AX957" s="109"/>
      <c r="AY957" s="273"/>
      <c r="BA957" s="9"/>
      <c r="BB957" s="109">
        <f>BB414</f>
        <v>124.18461538461557</v>
      </c>
      <c r="BC957" s="9" t="str">
        <f>IF(ISERROR(BB957/#REF!),"NA",IF(OR(BB957/#REF!&gt;2,BB957/#REF!&lt;0.5),"NM",BB957/#REF!*100-100))</f>
        <v>NA</v>
      </c>
      <c r="BD957" s="930">
        <f>BD414</f>
        <v>104.90000000000009</v>
      </c>
      <c r="BE957" s="9">
        <f t="shared" si="3938"/>
        <v>-15.528989098116995</v>
      </c>
      <c r="BF957" s="691">
        <f>BF414</f>
        <v>143.86923076923046</v>
      </c>
      <c r="BG957" s="9">
        <f t="shared" si="3938"/>
        <v>37.1489330497906</v>
      </c>
      <c r="BH957" s="109">
        <f>BH414</f>
        <v>153.49999999999972</v>
      </c>
      <c r="BI957" s="9">
        <f t="shared" si="3938"/>
        <v>6.6941132438646633</v>
      </c>
      <c r="BJ957" s="109">
        <f>BJ414</f>
        <v>173.20000000000005</v>
      </c>
      <c r="BK957" s="9">
        <f t="shared" si="3938"/>
        <v>12.833876221498613</v>
      </c>
      <c r="BL957" s="109">
        <f>BL414</f>
        <v>166.35946136308257</v>
      </c>
      <c r="BM957" s="9">
        <f t="shared" si="3938"/>
        <v>-3.9495026772040802</v>
      </c>
      <c r="BN957" s="109">
        <f>BN414</f>
        <v>174.86614895248226</v>
      </c>
      <c r="BO957" s="9">
        <f t="shared" si="3938"/>
        <v>5.1134378049191298</v>
      </c>
      <c r="BP957" s="109">
        <f>BP414</f>
        <v>176.08159040976625</v>
      </c>
      <c r="BQ957" s="9">
        <f t="shared" si="3938"/>
        <v>0.69506960870640455</v>
      </c>
      <c r="BR957" s="109">
        <f>BR414</f>
        <v>179.1179389055917</v>
      </c>
      <c r="BS957" s="9">
        <f t="shared" si="3938"/>
        <v>1.7243986090535941</v>
      </c>
      <c r="BT957" s="109">
        <f>BT414</f>
        <v>182.11546473642716</v>
      </c>
      <c r="BU957" s="9">
        <f t="shared" si="3939"/>
        <v>1.6734928110217879</v>
      </c>
      <c r="BV957" s="180"/>
      <c r="BW957" s="180"/>
      <c r="BX957" s="180"/>
      <c r="BY957"/>
      <c r="BZ957"/>
      <c r="CA957"/>
      <c r="CB957"/>
      <c r="CC957"/>
      <c r="CD957"/>
    </row>
    <row r="958" spans="1:16203" s="7" customFormat="1" ht="12.75" hidden="1" customHeight="1" outlineLevel="1" x14ac:dyDescent="0.2">
      <c r="B958" s="250" t="s">
        <v>442</v>
      </c>
      <c r="C958" s="109">
        <f>C500</f>
        <v>31.899999999999977</v>
      </c>
      <c r="D958" s="109"/>
      <c r="E958" s="109">
        <f>E500</f>
        <v>39.5</v>
      </c>
      <c r="F958" s="109"/>
      <c r="G958" s="109">
        <f>G500</f>
        <v>48.700000000000045</v>
      </c>
      <c r="H958" s="109"/>
      <c r="I958" s="109">
        <f>I500</f>
        <v>41.699999999999932</v>
      </c>
      <c r="J958" s="226"/>
      <c r="K958" s="109">
        <f>K500</f>
        <v>40.900000000000091</v>
      </c>
      <c r="L958" s="226"/>
      <c r="M958" s="109">
        <f>M500</f>
        <v>45.600000000000023</v>
      </c>
      <c r="N958" s="226"/>
      <c r="O958" s="109">
        <f>O500</f>
        <v>48.600000000000023</v>
      </c>
      <c r="P958" s="226"/>
      <c r="Q958" s="109">
        <f>Q500</f>
        <v>44.099999999999966</v>
      </c>
      <c r="R958" s="226"/>
      <c r="S958" s="109">
        <f>S500</f>
        <v>42.184615384615455</v>
      </c>
      <c r="T958" s="226"/>
      <c r="U958" s="109">
        <f>U500</f>
        <v>51.400000000000034</v>
      </c>
      <c r="V958" s="226"/>
      <c r="W958" s="109">
        <f>W500</f>
        <v>53.246153846153824</v>
      </c>
      <c r="X958" s="226"/>
      <c r="Y958" s="109">
        <f>Y500</f>
        <v>56.800000000000011</v>
      </c>
      <c r="Z958" s="226"/>
      <c r="AA958" s="109">
        <f>AA500</f>
        <v>38.599999999999966</v>
      </c>
      <c r="AB958" s="226"/>
      <c r="AC958" s="109">
        <f>AC500</f>
        <v>66.500000000000114</v>
      </c>
      <c r="AD958" s="226"/>
      <c r="AE958" s="109">
        <f>AE500</f>
        <v>56.000000000000092</v>
      </c>
      <c r="AF958" s="226"/>
      <c r="AG958" s="109">
        <f>AG500</f>
        <v>66.899999999999977</v>
      </c>
      <c r="AH958" s="109"/>
      <c r="AI958" s="109">
        <f>AI500</f>
        <v>45.5</v>
      </c>
      <c r="AJ958" s="109"/>
      <c r="AK958" s="109">
        <f>AK500</f>
        <v>63.599999999999966</v>
      </c>
      <c r="AL958" s="109"/>
      <c r="AM958" s="109">
        <f>AM500</f>
        <v>69.800000000000011</v>
      </c>
      <c r="AN958" s="109"/>
      <c r="AO958" s="109">
        <f>AO500</f>
        <v>62.599999999999909</v>
      </c>
      <c r="AP958" s="109"/>
      <c r="AQ958" s="109">
        <f t="shared" ref="AQ958" si="3968">AQ500</f>
        <v>56.458019284956038</v>
      </c>
      <c r="AR958" s="109"/>
      <c r="AS958" s="109">
        <f t="shared" ref="AS958" si="3969">AS500</f>
        <v>65.749889880234036</v>
      </c>
      <c r="AT958" s="109"/>
      <c r="AU958" s="109">
        <f t="shared" ref="AU958" si="3970">AU500</f>
        <v>75.248319734541496</v>
      </c>
      <c r="AV958" s="109"/>
      <c r="AW958" s="109">
        <f t="shared" ref="AW958" si="3971">AW500</f>
        <v>80.076433950049818</v>
      </c>
      <c r="AX958" s="109"/>
      <c r="AY958" s="273"/>
      <c r="BA958" s="9"/>
      <c r="BB958" s="109">
        <f>BB500</f>
        <v>161.79999999999973</v>
      </c>
      <c r="BC958" s="9" t="str">
        <f>IF(ISERROR(BB958/#REF!),"NA",IF(OR(BB958/#REF!&gt;2,BB958/#REF!&lt;0.5),"NM",BB958/#REF!*100-100))</f>
        <v>NA</v>
      </c>
      <c r="BD958" s="930">
        <f>BD500</f>
        <v>179.19999999999982</v>
      </c>
      <c r="BE958" s="9">
        <f t="shared" si="3938"/>
        <v>10.754017305315287</v>
      </c>
      <c r="BF958" s="691">
        <f>BF500</f>
        <v>203.63076923076954</v>
      </c>
      <c r="BG958" s="9">
        <f t="shared" si="3938"/>
        <v>13.63324175824205</v>
      </c>
      <c r="BH958" s="109">
        <f>BH500</f>
        <v>228.00000000000009</v>
      </c>
      <c r="BI958" s="9">
        <f t="shared" si="3938"/>
        <v>11.967361740707034</v>
      </c>
      <c r="BJ958" s="109">
        <f>BJ500</f>
        <v>241.49999999999955</v>
      </c>
      <c r="BK958" s="9">
        <f t="shared" si="3938"/>
        <v>5.9210526315787178</v>
      </c>
      <c r="BL958" s="109">
        <f>BL500</f>
        <v>277.53266284978167</v>
      </c>
      <c r="BM958" s="9">
        <f t="shared" si="3938"/>
        <v>14.9203572876945</v>
      </c>
      <c r="BN958" s="109">
        <f>BN500</f>
        <v>292.15154771861262</v>
      </c>
      <c r="BO958" s="9">
        <f t="shared" si="3938"/>
        <v>5.2674466200555372</v>
      </c>
      <c r="BP958" s="109">
        <f>BP500</f>
        <v>302.56401683520153</v>
      </c>
      <c r="BQ958" s="9">
        <f t="shared" si="3938"/>
        <v>3.564064335068224</v>
      </c>
      <c r="BR958" s="109">
        <f>BR500</f>
        <v>313.05489576432819</v>
      </c>
      <c r="BS958" s="9">
        <f t="shared" si="3938"/>
        <v>3.467325374266423</v>
      </c>
      <c r="BT958" s="109">
        <f>BT500</f>
        <v>323.58675111707817</v>
      </c>
      <c r="BU958" s="9">
        <f t="shared" si="3939"/>
        <v>3.3642199803444441</v>
      </c>
      <c r="BV958" s="180"/>
      <c r="BW958" s="180"/>
      <c r="BX958" s="180"/>
      <c r="BY958"/>
      <c r="BZ958"/>
      <c r="CA958"/>
      <c r="CB958"/>
      <c r="CC958"/>
      <c r="CD958"/>
    </row>
    <row r="959" spans="1:16203" s="252" customFormat="1" ht="12.75" hidden="1" customHeight="1" outlineLevel="1" x14ac:dyDescent="0.2">
      <c r="B959" s="253" t="s">
        <v>573</v>
      </c>
      <c r="C959" s="580">
        <f>C957+C958</f>
        <v>51.800000000000011</v>
      </c>
      <c r="D959" s="580"/>
      <c r="E959" s="580">
        <f t="shared" ref="E959:W959" si="3972">E957+E958</f>
        <v>69.699999999999989</v>
      </c>
      <c r="F959" s="580"/>
      <c r="G959" s="580">
        <f t="shared" si="3972"/>
        <v>80.200000000000102</v>
      </c>
      <c r="H959" s="580"/>
      <c r="I959" s="580">
        <f t="shared" si="3972"/>
        <v>84.284615384615307</v>
      </c>
      <c r="J959" s="681"/>
      <c r="K959" s="580">
        <f t="shared" si="3972"/>
        <v>62.700000000000102</v>
      </c>
      <c r="L959" s="681"/>
      <c r="M959" s="580">
        <f t="shared" si="3972"/>
        <v>73.199999999999989</v>
      </c>
      <c r="N959" s="681"/>
      <c r="O959" s="580">
        <f t="shared" si="3972"/>
        <v>65.099999999999966</v>
      </c>
      <c r="P959" s="681"/>
      <c r="Q959" s="580">
        <f t="shared" si="3972"/>
        <v>83.100000000000023</v>
      </c>
      <c r="R959" s="681"/>
      <c r="S959" s="580">
        <f t="shared" si="3972"/>
        <v>77.284615384615478</v>
      </c>
      <c r="T959" s="681"/>
      <c r="U959" s="580">
        <f t="shared" si="3972"/>
        <v>88.100000000000023</v>
      </c>
      <c r="V959" s="681"/>
      <c r="W959" s="580">
        <f t="shared" si="3972"/>
        <v>95.51538461538459</v>
      </c>
      <c r="X959" s="681"/>
      <c r="Y959" s="580">
        <f t="shared" ref="Y959:AA959" si="3973">Y957+Y958</f>
        <v>86.600000000000023</v>
      </c>
      <c r="Z959" s="681"/>
      <c r="AA959" s="580">
        <f t="shared" si="3973"/>
        <v>80.499999999999943</v>
      </c>
      <c r="AB959" s="681"/>
      <c r="AC959" s="580">
        <f t="shared" ref="AC959:AE959" si="3974">AC957+AC958</f>
        <v>103.60000000000008</v>
      </c>
      <c r="AD959" s="681"/>
      <c r="AE959" s="580">
        <f t="shared" si="3974"/>
        <v>95.500000000000171</v>
      </c>
      <c r="AF959" s="681"/>
      <c r="AG959" s="580">
        <f t="shared" ref="AG959:AI959" si="3975">AG957+AG958</f>
        <v>101.89999999999998</v>
      </c>
      <c r="AH959" s="580"/>
      <c r="AI959" s="580">
        <f t="shared" si="3975"/>
        <v>86.199999999999989</v>
      </c>
      <c r="AJ959" s="580"/>
      <c r="AK959" s="580">
        <f t="shared" ref="AK959" si="3976">AK957+AK958</f>
        <v>101.39999999999998</v>
      </c>
      <c r="AL959" s="580"/>
      <c r="AM959" s="580">
        <f t="shared" ref="AM959:AO959" si="3977">AM957+AM958</f>
        <v>116.19999999999999</v>
      </c>
      <c r="AN959" s="580"/>
      <c r="AO959" s="580">
        <f t="shared" si="3977"/>
        <v>110.89999999999992</v>
      </c>
      <c r="AP959" s="580"/>
      <c r="AQ959" s="580">
        <f t="shared" ref="AQ959:AW959" si="3978">AQ957+AQ958</f>
        <v>93.558349284956023</v>
      </c>
      <c r="AR959" s="580"/>
      <c r="AS959" s="580">
        <f t="shared" si="3978"/>
        <v>105.43637033023407</v>
      </c>
      <c r="AT959" s="580"/>
      <c r="AU959" s="580">
        <f t="shared" si="3978"/>
        <v>118.68761292129153</v>
      </c>
      <c r="AV959" s="580"/>
      <c r="AW959" s="580">
        <f t="shared" si="3978"/>
        <v>126.20979167638234</v>
      </c>
      <c r="AX959" s="580"/>
      <c r="AY959" s="273"/>
      <c r="BA959" s="254"/>
      <c r="BB959" s="580">
        <f t="shared" ref="BB959" si="3979">BB957+BB958</f>
        <v>285.98461538461527</v>
      </c>
      <c r="BC959" s="565" t="str">
        <f>IF(ISERROR(BB959/#REF!),"NA",IF(OR(BB959/#REF!&gt;2,BB959/#REF!&lt;0.5),"NM",BB959/#REF!*100-100))</f>
        <v>NA</v>
      </c>
      <c r="BD959" s="984">
        <f t="shared" ref="BD959" si="3980">BD957+BD958</f>
        <v>284.09999999999991</v>
      </c>
      <c r="BE959" s="565">
        <f t="shared" si="3938"/>
        <v>-0.65899187691644556</v>
      </c>
      <c r="BF959" s="848">
        <f t="shared" ref="BF959" si="3981">BF957+BF958</f>
        <v>347.5</v>
      </c>
      <c r="BG959" s="565">
        <f t="shared" si="3938"/>
        <v>22.316085885251709</v>
      </c>
      <c r="BH959" s="580">
        <f t="shared" ref="BH959" si="3982">BH957+BH958</f>
        <v>381.49999999999977</v>
      </c>
      <c r="BI959" s="565">
        <f t="shared" si="3938"/>
        <v>9.7841726618704428</v>
      </c>
      <c r="BJ959" s="580">
        <f t="shared" ref="BJ959" si="3983">BJ957+BJ958</f>
        <v>414.69999999999959</v>
      </c>
      <c r="BK959" s="565">
        <f t="shared" si="3938"/>
        <v>8.702490170380031</v>
      </c>
      <c r="BL959" s="580">
        <f t="shared" ref="BL959" si="3984">BL957+BL958</f>
        <v>443.89212421286425</v>
      </c>
      <c r="BM959" s="565">
        <f t="shared" si="3938"/>
        <v>7.0393354745272916</v>
      </c>
      <c r="BN959" s="580">
        <f t="shared" ref="BN959" si="3985">BN957+BN958</f>
        <v>467.01769667109488</v>
      </c>
      <c r="BO959" s="565">
        <f t="shared" si="3938"/>
        <v>5.2097280390451317</v>
      </c>
      <c r="BP959" s="580">
        <f t="shared" ref="BP959:BR959" si="3986">BP957+BP958</f>
        <v>478.64560724496778</v>
      </c>
      <c r="BQ959" s="565">
        <f t="shared" si="3938"/>
        <v>2.4898222608600804</v>
      </c>
      <c r="BR959" s="580">
        <f t="shared" si="3986"/>
        <v>492.17283466991989</v>
      </c>
      <c r="BS959" s="565">
        <f t="shared" si="3938"/>
        <v>2.8261467817104489</v>
      </c>
      <c r="BT959" s="580">
        <f t="shared" ref="BT959" si="3987">BT957+BT958</f>
        <v>505.70221585350532</v>
      </c>
      <c r="BU959" s="565">
        <f t="shared" si="3939"/>
        <v>2.7489085602741596</v>
      </c>
      <c r="BV959" s="255"/>
      <c r="BW959" s="255"/>
      <c r="BX959" s="255"/>
      <c r="BY959"/>
      <c r="BZ959"/>
      <c r="CA959"/>
      <c r="CB959"/>
      <c r="CC959"/>
      <c r="CD959"/>
    </row>
    <row r="960" spans="1:16203" s="252" customFormat="1" ht="12.75" hidden="1" customHeight="1" outlineLevel="1" x14ac:dyDescent="0.2">
      <c r="B960" s="253" t="s">
        <v>324</v>
      </c>
      <c r="C960" s="580">
        <f>C568</f>
        <v>-44.100000000000009</v>
      </c>
      <c r="D960" s="580"/>
      <c r="E960" s="580">
        <f>E568</f>
        <v>-49.000000000000007</v>
      </c>
      <c r="F960" s="580"/>
      <c r="G960" s="580">
        <f>G568</f>
        <v>-41.499999999999993</v>
      </c>
      <c r="H960" s="580"/>
      <c r="I960" s="580">
        <f>I568</f>
        <v>-49.269230769230774</v>
      </c>
      <c r="J960" s="681"/>
      <c r="K960" s="580">
        <f>K568</f>
        <v>-42.7</v>
      </c>
      <c r="L960" s="681"/>
      <c r="M960" s="580">
        <f>M568</f>
        <v>-39.800000000000004</v>
      </c>
      <c r="N960" s="681"/>
      <c r="O960" s="580">
        <f>O568</f>
        <v>-43.2</v>
      </c>
      <c r="P960" s="681"/>
      <c r="Q960" s="580">
        <f>Q568</f>
        <v>-58.330769230769235</v>
      </c>
      <c r="R960" s="681"/>
      <c r="S960" s="580">
        <f>S568</f>
        <v>-37.300000000000004</v>
      </c>
      <c r="T960" s="681"/>
      <c r="U960" s="580">
        <f>U568</f>
        <v>-36.969230769230776</v>
      </c>
      <c r="V960" s="681"/>
      <c r="W960" s="580">
        <f>W568</f>
        <v>-54</v>
      </c>
      <c r="X960" s="681"/>
      <c r="Y960" s="580">
        <f>Y568</f>
        <v>-54.8</v>
      </c>
      <c r="Z960" s="681"/>
      <c r="AA960" s="580">
        <f>AA568</f>
        <v>-53.29999999999999</v>
      </c>
      <c r="AB960" s="681"/>
      <c r="AC960" s="580">
        <f>AC568</f>
        <v>-54.499999999999993</v>
      </c>
      <c r="AD960" s="681"/>
      <c r="AE960" s="580">
        <f>AE568</f>
        <v>-57.8</v>
      </c>
      <c r="AF960" s="681"/>
      <c r="AG960" s="580">
        <f>AG568</f>
        <v>-53.3</v>
      </c>
      <c r="AH960" s="580"/>
      <c r="AI960" s="580">
        <f>AI568</f>
        <v>-58.5</v>
      </c>
      <c r="AJ960" s="580"/>
      <c r="AK960" s="580">
        <f>AK568</f>
        <v>-47.5</v>
      </c>
      <c r="AL960" s="580"/>
      <c r="AM960" s="580">
        <f t="shared" ref="AM960:AO960" si="3988">AM568</f>
        <v>-42.999999999999993</v>
      </c>
      <c r="AN960" s="580"/>
      <c r="AO960" s="580">
        <f t="shared" si="3988"/>
        <v>-61.499999999999993</v>
      </c>
      <c r="AP960" s="580"/>
      <c r="AQ960" s="580">
        <f t="shared" ref="AQ960:AW960" si="3989">AQ568</f>
        <v>-51.500259740259729</v>
      </c>
      <c r="AR960" s="580"/>
      <c r="AS960" s="580">
        <f t="shared" si="3989"/>
        <v>-51.500259740259729</v>
      </c>
      <c r="AT960" s="580"/>
      <c r="AU960" s="580">
        <f t="shared" si="3989"/>
        <v>-51.500259740259729</v>
      </c>
      <c r="AV960" s="580"/>
      <c r="AW960" s="580">
        <f t="shared" si="3989"/>
        <v>-51.500259740259729</v>
      </c>
      <c r="AX960" s="580"/>
      <c r="AY960" s="273"/>
      <c r="BA960" s="254"/>
      <c r="BB960" s="580">
        <f>BB568</f>
        <v>-183.86923076923077</v>
      </c>
      <c r="BC960" s="565" t="str">
        <f>IF(ISERROR(BB960/#REF!),"NA",IF(OR(BB960/#REF!&gt;2,BB960/#REF!&lt;0.5),"NM",BB960/#REF!*100-100))</f>
        <v>NA</v>
      </c>
      <c r="BD960" s="984">
        <f>BD568</f>
        <v>-184.03076923076924</v>
      </c>
      <c r="BE960" s="565">
        <f t="shared" si="3938"/>
        <v>8.7855080952195408E-2</v>
      </c>
      <c r="BF960" s="848">
        <f>BF568</f>
        <v>-183.06923076923076</v>
      </c>
      <c r="BG960" s="565">
        <f t="shared" si="3938"/>
        <v>-0.52248787828122545</v>
      </c>
      <c r="BH960" s="580">
        <f>BH568</f>
        <v>-218.89999999999998</v>
      </c>
      <c r="BI960" s="565">
        <f t="shared" si="3938"/>
        <v>19.572250934913242</v>
      </c>
      <c r="BJ960" s="580">
        <f>BJ568</f>
        <v>-210.5</v>
      </c>
      <c r="BK960" s="565">
        <f t="shared" si="3938"/>
        <v>-3.8373686614892648</v>
      </c>
      <c r="BL960" s="580">
        <f>BL568</f>
        <v>-206.00103896103892</v>
      </c>
      <c r="BM960" s="565">
        <f t="shared" si="3938"/>
        <v>-2.1372736527131053</v>
      </c>
      <c r="BN960" s="580">
        <f>BN568</f>
        <v>-206.70183896103896</v>
      </c>
      <c r="BO960" s="565">
        <f t="shared" si="3938"/>
        <v>0.3401924589965688</v>
      </c>
      <c r="BP960" s="580">
        <f>BP568</f>
        <v>-214.90795896103896</v>
      </c>
      <c r="BQ960" s="565">
        <f t="shared" si="3938"/>
        <v>3.9700275726848986</v>
      </c>
      <c r="BR960" s="580">
        <f>BR568</f>
        <v>-223.47907056103895</v>
      </c>
      <c r="BS960" s="565">
        <f t="shared" si="3938"/>
        <v>3.9882709051058782</v>
      </c>
      <c r="BT960" s="580">
        <f>BT568</f>
        <v>-232.43251705303899</v>
      </c>
      <c r="BU960" s="565">
        <f t="shared" si="3939"/>
        <v>4.0063915021315495</v>
      </c>
      <c r="BV960" s="255"/>
      <c r="BW960" s="255"/>
      <c r="BX960" s="255"/>
      <c r="BY960"/>
      <c r="BZ960"/>
      <c r="CA960"/>
      <c r="CB960"/>
      <c r="CC960"/>
      <c r="CD960"/>
    </row>
    <row r="961" spans="1:16203" s="4" customFormat="1" ht="12.75" hidden="1" customHeight="1" outlineLevel="1" x14ac:dyDescent="0.2">
      <c r="B961" s="256" t="s">
        <v>50</v>
      </c>
      <c r="C961" s="713">
        <f>C954+C955+C956+C959+C960</f>
        <v>301.46153846153857</v>
      </c>
      <c r="D961" s="710"/>
      <c r="E961" s="713">
        <f t="shared" ref="E961:W961" si="3990">E954+E955+E956+E959+E960</f>
        <v>370.91538461538465</v>
      </c>
      <c r="F961" s="710"/>
      <c r="G961" s="713">
        <f t="shared" si="3990"/>
        <v>375.48461538461555</v>
      </c>
      <c r="H961" s="710"/>
      <c r="I961" s="713">
        <f t="shared" si="3990"/>
        <v>394.13846153846151</v>
      </c>
      <c r="J961" s="226"/>
      <c r="K961" s="713">
        <f t="shared" si="3990"/>
        <v>364.54615384615397</v>
      </c>
      <c r="L961" s="226"/>
      <c r="M961" s="713">
        <f t="shared" si="3990"/>
        <v>412.69230769230762</v>
      </c>
      <c r="N961" s="226"/>
      <c r="O961" s="713">
        <f t="shared" si="3990"/>
        <v>398.52307692307704</v>
      </c>
      <c r="P961" s="226"/>
      <c r="Q961" s="713">
        <f t="shared" si="3990"/>
        <v>400.76923076923089</v>
      </c>
      <c r="R961" s="226"/>
      <c r="S961" s="713">
        <f t="shared" si="3990"/>
        <v>402.43846153846147</v>
      </c>
      <c r="T961" s="226"/>
      <c r="U961" s="713">
        <f t="shared" si="3990"/>
        <v>434.11538461538458</v>
      </c>
      <c r="V961" s="226"/>
      <c r="W961" s="713">
        <f t="shared" si="3990"/>
        <v>390.80000000000007</v>
      </c>
      <c r="X961" s="226"/>
      <c r="Y961" s="713">
        <f t="shared" ref="Y961:AA961" si="3991">Y954+Y955+Y956+Y959+Y960</f>
        <v>387.90000000000003</v>
      </c>
      <c r="Z961" s="226"/>
      <c r="AA961" s="713">
        <f t="shared" si="3991"/>
        <v>356.29999999999995</v>
      </c>
      <c r="AB961" s="226"/>
      <c r="AC961" s="713">
        <f t="shared" ref="AC961:AE961" si="3992">AC954+AC955+AC956+AC959+AC960</f>
        <v>431.19999999999993</v>
      </c>
      <c r="AD961" s="226"/>
      <c r="AE961" s="713">
        <f t="shared" si="3992"/>
        <v>447.4000000000002</v>
      </c>
      <c r="AF961" s="226"/>
      <c r="AG961" s="713">
        <f t="shared" ref="AG961:AI961" si="3993">AG954+AG955+AG956+AG959+AG960</f>
        <v>458.7999999999999</v>
      </c>
      <c r="AH961" s="259"/>
      <c r="AI961" s="713">
        <f t="shared" si="3993"/>
        <v>449.8</v>
      </c>
      <c r="AJ961" s="259"/>
      <c r="AK961" s="713">
        <f t="shared" ref="AK961" si="3994">AK954+AK955+AK956+AK959+AK960</f>
        <v>489.50000000000011</v>
      </c>
      <c r="AL961" s="259"/>
      <c r="AM961" s="713">
        <f t="shared" ref="AM961:AO961" si="3995">AM954+AM955+AM956+AM959+AM960</f>
        <v>519.90000000000009</v>
      </c>
      <c r="AN961" s="259"/>
      <c r="AO961" s="713">
        <f t="shared" si="3995"/>
        <v>453.49999999999977</v>
      </c>
      <c r="AP961" s="259"/>
      <c r="AQ961" s="713">
        <f t="shared" ref="AQ961:AW961" si="3996">AQ954+AQ955+AQ956+AQ959+AQ960</f>
        <v>491.99524432143357</v>
      </c>
      <c r="AR961" s="259"/>
      <c r="AS961" s="713">
        <f t="shared" si="3996"/>
        <v>501.06390495507867</v>
      </c>
      <c r="AT961" s="259"/>
      <c r="AU961" s="713">
        <f t="shared" si="3996"/>
        <v>519.63403221869135</v>
      </c>
      <c r="AV961" s="259"/>
      <c r="AW961" s="713">
        <f t="shared" si="3996"/>
        <v>537.4501252391517</v>
      </c>
      <c r="AX961" s="259"/>
      <c r="AY961" s="273"/>
      <c r="AZ961" s="258"/>
      <c r="BA961" s="259"/>
      <c r="BB961" s="713">
        <f t="shared" ref="BB961" si="3997">BB954+BB955+BB956+BB959+BB960</f>
        <v>1441.9999999999995</v>
      </c>
      <c r="BC961" s="9" t="str">
        <f>IF(ISERROR(BB961/#REF!),"NA",IF(OR(BB961/#REF!&gt;2,BB961/#REF!&lt;0.5),"NM",BB961/#REF!*100-100))</f>
        <v>NA</v>
      </c>
      <c r="BD961" s="949">
        <f t="shared" ref="BD961" si="3998">BD954+BD955+BD956+BD959+BD960</f>
        <v>1576.5307692307688</v>
      </c>
      <c r="BE961" s="9">
        <f t="shared" si="3938"/>
        <v>9.3294569508161658</v>
      </c>
      <c r="BF961" s="155">
        <f t="shared" ref="BF961" si="3999">BF954+BF955+BF956+BF959+BF960</f>
        <v>1615.2538461538456</v>
      </c>
      <c r="BG961" s="9">
        <f t="shared" si="3938"/>
        <v>2.4562208159102994</v>
      </c>
      <c r="BH961" s="713">
        <f t="shared" ref="BH961" si="4000">BH954+BH955+BH956+BH959+BH960</f>
        <v>1693.7000000000003</v>
      </c>
      <c r="BI961" s="9">
        <f t="shared" si="3938"/>
        <v>4.8565836281985213</v>
      </c>
      <c r="BJ961" s="713">
        <f t="shared" ref="BJ961" si="4001">BJ954+BJ955+BJ956+BJ959+BJ960</f>
        <v>1912.6999999999998</v>
      </c>
      <c r="BK961" s="9">
        <f t="shared" si="3938"/>
        <v>12.930271004310057</v>
      </c>
      <c r="BL961" s="713">
        <f t="shared" ref="BL961" si="4002">BL954+BL955+BL956+BL959+BL960</f>
        <v>2050.1433067343542</v>
      </c>
      <c r="BM961" s="9">
        <f t="shared" si="3938"/>
        <v>7.185826670902614</v>
      </c>
      <c r="BN961" s="713">
        <f t="shared" ref="BN961" si="4003">BN954+BN955+BN956+BN959+BN960</f>
        <v>2152.5429853267606</v>
      </c>
      <c r="BO961" s="9">
        <f t="shared" si="3938"/>
        <v>4.9947571106879138</v>
      </c>
      <c r="BP961" s="713">
        <f t="shared" ref="BP961:BR961" si="4004">BP954+BP955+BP956+BP959+BP960</f>
        <v>2262.1211541109315</v>
      </c>
      <c r="BQ961" s="9">
        <f t="shared" si="3938"/>
        <v>5.090637888819515</v>
      </c>
      <c r="BR961" s="713">
        <f t="shared" si="4004"/>
        <v>2364.8769688981488</v>
      </c>
      <c r="BS961" s="9">
        <f t="shared" si="3938"/>
        <v>4.5424540856478899</v>
      </c>
      <c r="BT961" s="713">
        <f t="shared" ref="BT961" si="4005">BT954+BT955+BT956+BT959+BT960</f>
        <v>2470.4230345843162</v>
      </c>
      <c r="BU961" s="9">
        <f t="shared" si="3939"/>
        <v>4.4630679343688655</v>
      </c>
      <c r="BV961" s="257"/>
      <c r="BW961" s="257"/>
      <c r="BX961" s="103"/>
      <c r="BY961"/>
      <c r="BZ961"/>
      <c r="CA961"/>
      <c r="CB961"/>
      <c r="CC961"/>
      <c r="CD961"/>
    </row>
    <row r="962" spans="1:16203" s="2" customFormat="1" ht="12.75" hidden="1" customHeight="1" outlineLevel="1" x14ac:dyDescent="0.2">
      <c r="B962" s="666" t="s">
        <v>167</v>
      </c>
      <c r="C962" s="667" t="b">
        <f>C961=C668</f>
        <v>1</v>
      </c>
      <c r="D962" s="667"/>
      <c r="E962" s="667" t="b">
        <f>E961=E668</f>
        <v>1</v>
      </c>
      <c r="F962" s="667"/>
      <c r="G962" s="667" t="b">
        <f>G961=G668</f>
        <v>1</v>
      </c>
      <c r="H962" s="667"/>
      <c r="I962" s="667" t="b">
        <f>I961=I668</f>
        <v>1</v>
      </c>
      <c r="J962" s="667"/>
      <c r="K962" s="667" t="b">
        <f>K961=K668</f>
        <v>1</v>
      </c>
      <c r="L962" s="667"/>
      <c r="M962" s="667" t="b">
        <f>M961=M668</f>
        <v>1</v>
      </c>
      <c r="N962" s="667"/>
      <c r="O962" s="667" t="b">
        <f>O961=O668</f>
        <v>1</v>
      </c>
      <c r="P962" s="667"/>
      <c r="Q962" s="667" t="b">
        <f>Q961=Q668</f>
        <v>1</v>
      </c>
      <c r="R962" s="667"/>
      <c r="S962" s="667" t="b">
        <f>S961=S668</f>
        <v>1</v>
      </c>
      <c r="T962" s="667"/>
      <c r="U962" s="667" t="b">
        <f>U961=U668</f>
        <v>1</v>
      </c>
      <c r="V962" s="667"/>
      <c r="W962" s="667" t="b">
        <f>W961=W668</f>
        <v>1</v>
      </c>
      <c r="X962" s="667"/>
      <c r="Y962" s="667" t="b">
        <f>Y961=Y668</f>
        <v>1</v>
      </c>
      <c r="Z962" s="667"/>
      <c r="AA962" s="667" t="b">
        <f>AA961=AA668</f>
        <v>1</v>
      </c>
      <c r="AB962" s="667"/>
      <c r="AC962" s="667" t="b">
        <f>AC961=AC668</f>
        <v>1</v>
      </c>
      <c r="AD962" s="667"/>
      <c r="AE962" s="667" t="b">
        <f>AE961=AE668</f>
        <v>1</v>
      </c>
      <c r="AF962" s="667"/>
      <c r="AG962" s="667" t="b">
        <f>AG961=AG668</f>
        <v>1</v>
      </c>
      <c r="AH962" s="667"/>
      <c r="AI962" s="667" t="b">
        <f>AI961=AI668</f>
        <v>1</v>
      </c>
      <c r="AJ962" s="667"/>
      <c r="AK962" s="667" t="b">
        <f>AK961=AK668</f>
        <v>1</v>
      </c>
      <c r="AL962" s="667"/>
      <c r="AM962" s="667" t="b">
        <f t="shared" ref="AM962:AO962" si="4006">AM961=AM668</f>
        <v>1</v>
      </c>
      <c r="AN962" s="667"/>
      <c r="AO962" s="667" t="b">
        <f t="shared" si="4006"/>
        <v>1</v>
      </c>
      <c r="AP962" s="667"/>
      <c r="AQ962" s="667" t="b">
        <f t="shared" ref="AQ962:AW962" si="4007">AQ961=AQ668</f>
        <v>1</v>
      </c>
      <c r="AR962" s="667"/>
      <c r="AS962" s="667" t="b">
        <f t="shared" si="4007"/>
        <v>1</v>
      </c>
      <c r="AT962" s="667"/>
      <c r="AU962" s="667" t="b">
        <f t="shared" si="4007"/>
        <v>1</v>
      </c>
      <c r="AV962" s="667"/>
      <c r="AW962" s="667" t="b">
        <f t="shared" si="4007"/>
        <v>1</v>
      </c>
      <c r="AX962" s="667"/>
      <c r="AY962" s="299"/>
      <c r="AZ962" s="205"/>
      <c r="BA962" s="230"/>
      <c r="BB962" s="685" t="b">
        <f>BB961=BB668</f>
        <v>1</v>
      </c>
      <c r="BC962" s="685"/>
      <c r="BD962" s="909" t="b">
        <f>BD961=BD668</f>
        <v>1</v>
      </c>
      <c r="BE962" s="685"/>
      <c r="BF962" s="634" t="b">
        <f>BF961=BF668</f>
        <v>1</v>
      </c>
      <c r="BG962" s="685"/>
      <c r="BH962" s="685" t="b">
        <f>BH961=BH668</f>
        <v>1</v>
      </c>
      <c r="BI962" s="685"/>
      <c r="BJ962" s="685" t="b">
        <f>BJ961=BJ668</f>
        <v>1</v>
      </c>
      <c r="BK962" s="685"/>
      <c r="BL962" s="685" t="b">
        <f>BL961=BL668</f>
        <v>0</v>
      </c>
      <c r="BM962" s="685"/>
      <c r="BN962" s="667" t="b">
        <f>BN961=BN668</f>
        <v>1</v>
      </c>
      <c r="BO962" s="685"/>
      <c r="BP962" s="667" t="b">
        <f>BP961=BP668</f>
        <v>1</v>
      </c>
      <c r="BQ962" s="685"/>
      <c r="BR962" s="667" t="b">
        <f>BR961=BR668</f>
        <v>1</v>
      </c>
      <c r="BS962" s="685"/>
      <c r="BT962" s="667" t="b">
        <f>BT961=BT668</f>
        <v>1</v>
      </c>
      <c r="BU962" s="685"/>
      <c r="BV962" s="227"/>
      <c r="BW962" s="227"/>
      <c r="BX962" s="7"/>
      <c r="BY962"/>
      <c r="BZ962"/>
      <c r="CA962"/>
      <c r="CB962"/>
      <c r="CC962"/>
      <c r="CD962"/>
    </row>
    <row r="963" spans="1:16203" s="2" customFormat="1" ht="12.75" hidden="1" customHeight="1" outlineLevel="2" x14ac:dyDescent="0.2">
      <c r="B963" s="86"/>
      <c r="C963" s="205"/>
      <c r="D963" s="230"/>
      <c r="E963" s="205"/>
      <c r="F963" s="230"/>
      <c r="G963" s="205"/>
      <c r="H963" s="230"/>
      <c r="I963" s="205"/>
      <c r="J963" s="230"/>
      <c r="K963" s="205"/>
      <c r="L963" s="230"/>
      <c r="M963" s="115"/>
      <c r="N963" s="230"/>
      <c r="O963" s="205"/>
      <c r="P963" s="230"/>
      <c r="Q963" s="205"/>
      <c r="R963" s="230"/>
      <c r="S963" s="205"/>
      <c r="T963" s="230"/>
      <c r="U963" s="205"/>
      <c r="V963" s="230"/>
      <c r="W963" s="205"/>
      <c r="X963" s="230"/>
      <c r="Y963" s="205"/>
      <c r="Z963" s="230"/>
      <c r="AA963" s="205"/>
      <c r="AB963" s="230"/>
      <c r="AC963" s="205"/>
      <c r="AD963" s="230"/>
      <c r="AE963" s="205"/>
      <c r="AF963" s="230"/>
      <c r="AG963" s="205"/>
      <c r="AH963" s="230"/>
      <c r="AI963" s="205"/>
      <c r="AJ963" s="230"/>
      <c r="AK963" s="205"/>
      <c r="AL963" s="230"/>
      <c r="AM963" s="205"/>
      <c r="AN963" s="230"/>
      <c r="AO963" s="205"/>
      <c r="AP963" s="230"/>
      <c r="AQ963" s="205"/>
      <c r="AR963" s="230"/>
      <c r="AS963" s="205"/>
      <c r="AT963" s="230"/>
      <c r="AU963" s="205"/>
      <c r="AV963" s="230"/>
      <c r="AW963" s="205"/>
      <c r="AX963" s="230"/>
      <c r="AY963" s="299"/>
      <c r="AZ963" s="205"/>
      <c r="BA963" s="230"/>
      <c r="BB963" s="205"/>
      <c r="BC963" s="205"/>
      <c r="BD963" s="985"/>
      <c r="BE963" s="205"/>
      <c r="BF963" s="115"/>
      <c r="BG963" s="205"/>
      <c r="BH963" s="205"/>
      <c r="BI963" s="205"/>
      <c r="BJ963" s="205"/>
      <c r="BK963" s="205"/>
      <c r="BL963" s="205"/>
      <c r="BM963" s="205"/>
      <c r="BN963" s="205"/>
      <c r="BO963" s="205"/>
      <c r="BP963" s="205"/>
      <c r="BQ963" s="205"/>
      <c r="BR963" s="205"/>
      <c r="BS963" s="205"/>
      <c r="BT963" s="205"/>
      <c r="BU963" s="205"/>
      <c r="BV963" s="227"/>
      <c r="BW963" s="227"/>
      <c r="BX963" s="7"/>
      <c r="BY963"/>
      <c r="BZ963"/>
      <c r="CA963"/>
      <c r="CB963"/>
      <c r="CC963"/>
      <c r="CD963"/>
    </row>
    <row r="964" spans="1:16203" s="2" customFormat="1" ht="12.75" hidden="1" customHeight="1" outlineLevel="2" x14ac:dyDescent="0.2">
      <c r="A964" s="2" t="s">
        <v>469</v>
      </c>
      <c r="B964" s="86" t="s">
        <v>531</v>
      </c>
      <c r="C964" s="710"/>
      <c r="D964" s="230"/>
      <c r="E964" s="710"/>
      <c r="F964" s="230"/>
      <c r="G964" s="710"/>
      <c r="H964" s="230"/>
      <c r="I964" s="710"/>
      <c r="J964" s="230"/>
      <c r="K964" s="710"/>
      <c r="L964" s="230"/>
      <c r="M964" s="110"/>
      <c r="N964" s="230"/>
      <c r="O964" s="710"/>
      <c r="P964" s="230"/>
      <c r="Q964" s="710"/>
      <c r="R964" s="230"/>
      <c r="S964" s="710"/>
      <c r="T964" s="230"/>
      <c r="U964" s="710"/>
      <c r="V964" s="230"/>
      <c r="W964" s="710"/>
      <c r="X964" s="230"/>
      <c r="Y964" s="710"/>
      <c r="Z964" s="230"/>
      <c r="AA964" s="710"/>
      <c r="AB964" s="230"/>
      <c r="AC964" s="710"/>
      <c r="AD964" s="230"/>
      <c r="AE964" s="710"/>
      <c r="AF964" s="230"/>
      <c r="AG964" s="710"/>
      <c r="AH964" s="230"/>
      <c r="AI964" s="710"/>
      <c r="AJ964" s="230"/>
      <c r="AK964" s="710"/>
      <c r="AL964" s="230"/>
      <c r="AM964" s="710"/>
      <c r="AN964" s="230"/>
      <c r="AO964" s="710"/>
      <c r="AP964" s="230"/>
      <c r="AQ964" s="710"/>
      <c r="AR964" s="230"/>
      <c r="AS964" s="710"/>
      <c r="AT964" s="230"/>
      <c r="AU964" s="710"/>
      <c r="AV964" s="230"/>
      <c r="AW964" s="710"/>
      <c r="AX964" s="230"/>
      <c r="AY964" s="299"/>
      <c r="AZ964" s="205"/>
      <c r="BA964" s="230"/>
      <c r="BB964" s="710"/>
      <c r="BC964" s="710"/>
      <c r="BD964" s="983"/>
      <c r="BE964" s="710"/>
      <c r="BF964" s="110"/>
      <c r="BG964" s="710"/>
      <c r="BH964" s="710"/>
      <c r="BI964" s="710"/>
      <c r="BJ964" s="710"/>
      <c r="BK964" s="710"/>
      <c r="BL964" s="710"/>
      <c r="BM964" s="710"/>
      <c r="BN964" s="710"/>
      <c r="BO964" s="710"/>
      <c r="BP964" s="710"/>
      <c r="BQ964" s="710"/>
      <c r="BR964" s="710"/>
      <c r="BS964" s="710"/>
      <c r="BT964" s="710"/>
      <c r="BU964" s="710"/>
      <c r="BV964" s="227"/>
      <c r="BW964" s="227"/>
      <c r="BX964" s="7"/>
      <c r="BY964"/>
      <c r="BZ964"/>
      <c r="CA964"/>
      <c r="CB964"/>
      <c r="CC964"/>
      <c r="CD964"/>
    </row>
    <row r="965" spans="1:16203" s="2" customFormat="1" ht="12.75" hidden="1" customHeight="1" outlineLevel="2" x14ac:dyDescent="0.2">
      <c r="A965" s="2" t="s">
        <v>470</v>
      </c>
      <c r="B965" s="86" t="s">
        <v>532</v>
      </c>
      <c r="C965" s="710"/>
      <c r="D965" s="230"/>
      <c r="E965" s="710"/>
      <c r="F965" s="230"/>
      <c r="G965" s="710"/>
      <c r="H965" s="230"/>
      <c r="I965" s="710"/>
      <c r="J965" s="230"/>
      <c r="K965" s="710"/>
      <c r="L965" s="230"/>
      <c r="M965" s="110"/>
      <c r="N965" s="230"/>
      <c r="O965" s="710"/>
      <c r="P965" s="230"/>
      <c r="Q965" s="710"/>
      <c r="R965" s="230"/>
      <c r="S965" s="710"/>
      <c r="T965" s="230"/>
      <c r="U965" s="710"/>
      <c r="V965" s="230"/>
      <c r="W965" s="710"/>
      <c r="X965" s="230"/>
      <c r="Y965" s="710"/>
      <c r="Z965" s="230"/>
      <c r="AA965" s="710"/>
      <c r="AB965" s="230"/>
      <c r="AC965" s="710"/>
      <c r="AD965" s="230"/>
      <c r="AE965" s="710"/>
      <c r="AF965" s="230"/>
      <c r="AG965" s="710"/>
      <c r="AH965" s="230"/>
      <c r="AI965" s="710"/>
      <c r="AJ965" s="230"/>
      <c r="AK965" s="710"/>
      <c r="AL965" s="230"/>
      <c r="AM965" s="710"/>
      <c r="AN965" s="230"/>
      <c r="AO965" s="710"/>
      <c r="AP965" s="230"/>
      <c r="AQ965" s="710"/>
      <c r="AR965" s="230"/>
      <c r="AS965" s="710"/>
      <c r="AT965" s="230"/>
      <c r="AU965" s="710"/>
      <c r="AV965" s="230"/>
      <c r="AW965" s="710"/>
      <c r="AX965" s="230"/>
      <c r="AY965" s="299"/>
      <c r="AZ965" s="205"/>
      <c r="BA965" s="230"/>
      <c r="BB965" s="710"/>
      <c r="BC965" s="710"/>
      <c r="BD965" s="983"/>
      <c r="BE965" s="710"/>
      <c r="BF965" s="110"/>
      <c r="BG965" s="710"/>
      <c r="BH965" s="710"/>
      <c r="BI965" s="710"/>
      <c r="BJ965" s="710"/>
      <c r="BK965" s="710"/>
      <c r="BL965" s="710"/>
      <c r="BM965" s="710"/>
      <c r="BN965" s="710"/>
      <c r="BO965" s="710"/>
      <c r="BP965" s="710"/>
      <c r="BQ965" s="710"/>
      <c r="BR965" s="710"/>
      <c r="BS965" s="710"/>
      <c r="BT965" s="710"/>
      <c r="BU965" s="710"/>
      <c r="BV965" s="227"/>
      <c r="BW965" s="227"/>
      <c r="BX965" s="7"/>
      <c r="BY965"/>
      <c r="BZ965"/>
      <c r="CA965"/>
      <c r="CB965"/>
      <c r="CC965"/>
      <c r="CD965"/>
    </row>
    <row r="966" spans="1:16203" s="2" customFormat="1" ht="12.75" hidden="1" customHeight="1" outlineLevel="1" x14ac:dyDescent="0.2">
      <c r="B966" s="86"/>
      <c r="C966" s="205"/>
      <c r="D966" s="230"/>
      <c r="E966" s="205"/>
      <c r="F966" s="230"/>
      <c r="G966" s="205"/>
      <c r="H966" s="230"/>
      <c r="I966" s="205"/>
      <c r="J966" s="230"/>
      <c r="K966" s="205"/>
      <c r="L966" s="230"/>
      <c r="M966" s="115"/>
      <c r="N966" s="230"/>
      <c r="O966" s="205"/>
      <c r="P966" s="230"/>
      <c r="Q966" s="205"/>
      <c r="R966" s="230"/>
      <c r="S966" s="205"/>
      <c r="T966" s="230"/>
      <c r="U966" s="205"/>
      <c r="V966" s="230"/>
      <c r="W966" s="205"/>
      <c r="X966" s="230"/>
      <c r="Y966" s="205"/>
      <c r="Z966" s="230"/>
      <c r="AA966" s="205"/>
      <c r="AB966" s="230"/>
      <c r="AC966" s="205"/>
      <c r="AD966" s="230"/>
      <c r="AE966" s="205"/>
      <c r="AF966" s="230"/>
      <c r="AG966" s="205"/>
      <c r="AH966" s="230"/>
      <c r="AI966" s="205"/>
      <c r="AJ966" s="230"/>
      <c r="AK966" s="205"/>
      <c r="AL966" s="230"/>
      <c r="AM966" s="205"/>
      <c r="AN966" s="230"/>
      <c r="AO966" s="205"/>
      <c r="AP966" s="230"/>
      <c r="AQ966" s="205"/>
      <c r="AR966" s="230"/>
      <c r="AS966" s="205"/>
      <c r="AT966" s="230"/>
      <c r="AU966" s="205"/>
      <c r="AV966" s="230"/>
      <c r="AW966" s="205"/>
      <c r="AX966" s="230"/>
      <c r="AY966" s="299"/>
      <c r="AZ966" s="205"/>
      <c r="BA966" s="230"/>
      <c r="BB966" s="205"/>
      <c r="BC966" s="205"/>
      <c r="BD966" s="985"/>
      <c r="BE966" s="205"/>
      <c r="BF966" s="115"/>
      <c r="BG966" s="205"/>
      <c r="BH966" s="205"/>
      <c r="BI966" s="205"/>
      <c r="BJ966" s="205"/>
      <c r="BK966" s="205"/>
      <c r="BL966" s="205"/>
      <c r="BM966" s="205"/>
      <c r="BN966" s="205"/>
      <c r="BO966" s="205"/>
      <c r="BP966" s="205"/>
      <c r="BQ966" s="205"/>
      <c r="BR966" s="205"/>
      <c r="BS966" s="205"/>
      <c r="BT966" s="205"/>
      <c r="BU966" s="205"/>
      <c r="BV966" s="227"/>
      <c r="BW966" s="227"/>
      <c r="BX966" s="7"/>
      <c r="BY966"/>
      <c r="BZ966"/>
      <c r="CA966"/>
      <c r="CB966"/>
      <c r="CC966"/>
      <c r="CD966"/>
    </row>
    <row r="967" spans="1:16203" s="2" customFormat="1" ht="12.75" hidden="1" customHeight="1" outlineLevel="1" x14ac:dyDescent="0.2">
      <c r="A967" s="2" t="s">
        <v>471</v>
      </c>
      <c r="B967" s="86" t="s">
        <v>467</v>
      </c>
      <c r="C967" s="710" t="e">
        <f>#REF!</f>
        <v>#REF!</v>
      </c>
      <c r="D967" s="231"/>
      <c r="E967" s="710" t="e">
        <f>#REF!</f>
        <v>#REF!</v>
      </c>
      <c r="F967" s="231"/>
      <c r="G967" s="710">
        <f>G709</f>
        <v>279.2</v>
      </c>
      <c r="H967" s="710"/>
      <c r="I967" s="710">
        <f>I709</f>
        <v>287</v>
      </c>
      <c r="J967" s="710"/>
      <c r="K967" s="710">
        <f>K709</f>
        <v>293.5</v>
      </c>
      <c r="L967" s="710"/>
      <c r="M967" s="710">
        <f>M709</f>
        <v>308.5</v>
      </c>
      <c r="N967" s="710"/>
      <c r="O967" s="710">
        <f>O709</f>
        <v>329.97692307692307</v>
      </c>
      <c r="P967" s="710"/>
      <c r="Q967" s="710">
        <f>Q709</f>
        <v>321.23076923076923</v>
      </c>
      <c r="R967" s="710"/>
      <c r="S967" s="710">
        <f>S709</f>
        <v>320.86153846153849</v>
      </c>
      <c r="T967" s="710"/>
      <c r="U967" s="710">
        <f>U709</f>
        <v>325.28461538461534</v>
      </c>
      <c r="V967" s="710"/>
      <c r="W967" s="710">
        <f>W709</f>
        <v>314.60000000000008</v>
      </c>
      <c r="X967" s="710"/>
      <c r="Y967" s="710">
        <f>Y709</f>
        <v>303.2</v>
      </c>
      <c r="Z967" s="710"/>
      <c r="AA967" s="710">
        <f>AA709</f>
        <v>286.29999999999995</v>
      </c>
      <c r="AB967" s="710"/>
      <c r="AC967" s="710">
        <f>AC709</f>
        <v>337.1</v>
      </c>
      <c r="AD967" s="710"/>
      <c r="AE967" s="710">
        <f>AE709</f>
        <v>355.85</v>
      </c>
      <c r="AF967" s="710"/>
      <c r="AG967" s="710">
        <f>AG709</f>
        <v>368.10000000000008</v>
      </c>
      <c r="AH967" s="231"/>
      <c r="AI967" s="710">
        <f>AI709</f>
        <v>355.55</v>
      </c>
      <c r="AJ967" s="231"/>
      <c r="AK967" s="710">
        <f>AK709</f>
        <v>380.35</v>
      </c>
      <c r="AL967" s="231"/>
      <c r="AM967" s="710">
        <f t="shared" ref="AM967:AO967" si="4008">AM709</f>
        <v>417.24999999999994</v>
      </c>
      <c r="AN967" s="231"/>
      <c r="AO967" s="710">
        <f t="shared" si="4008"/>
        <v>350.80000000000007</v>
      </c>
      <c r="AP967" s="231"/>
      <c r="AQ967" s="710">
        <f t="shared" ref="AQ967:AW967" si="4009">AQ709</f>
        <v>398.5161479003612</v>
      </c>
      <c r="AR967" s="231"/>
      <c r="AS967" s="710">
        <f t="shared" si="4009"/>
        <v>405.86176301361377</v>
      </c>
      <c r="AT967" s="231"/>
      <c r="AU967" s="710">
        <f t="shared" si="4009"/>
        <v>420.90356609714001</v>
      </c>
      <c r="AV967" s="231"/>
      <c r="AW967" s="710">
        <f t="shared" si="4009"/>
        <v>435.33460144371293</v>
      </c>
      <c r="AX967" s="231"/>
      <c r="AY967" s="273"/>
      <c r="BA967" s="231"/>
      <c r="BB967" s="710">
        <f>BB709</f>
        <v>1065.1000000000001</v>
      </c>
      <c r="BC967" s="9" t="str">
        <f>IF(ISERROR(BB967/#REF!),"NA",IF(OR(BB967/#REF!&gt;2,BB967/#REF!&lt;0.5),"NM",BB967/#REF!*100-100))</f>
        <v>NA</v>
      </c>
      <c r="BD967" s="983">
        <f>BD709</f>
        <v>1253.2076923076922</v>
      </c>
      <c r="BE967" s="9">
        <f t="shared" ref="BE967:BS968" si="4010">IF(ISERROR(BD967/BB967),"NA",IF(OR(BD967/BB967&gt;2,BD967/BB967&lt;0.5),"NM",BD967/BB967*100-100))</f>
        <v>17.661035800177643</v>
      </c>
      <c r="BF967" s="110">
        <f>BF709</f>
        <v>1263.9461538461542</v>
      </c>
      <c r="BG967" s="9">
        <f t="shared" si="4010"/>
        <v>0.85687804219330133</v>
      </c>
      <c r="BH967" s="710">
        <f>BH709</f>
        <v>1347.3500000000008</v>
      </c>
      <c r="BI967" s="9">
        <f t="shared" si="4010"/>
        <v>6.5986866529124484</v>
      </c>
      <c r="BJ967" s="710">
        <f>BJ709</f>
        <v>1503.9500000000007</v>
      </c>
      <c r="BK967" s="9">
        <f t="shared" si="4010"/>
        <v>11.622815155675937</v>
      </c>
      <c r="BL967" s="710">
        <f>BL709</f>
        <v>1660.6160784548281</v>
      </c>
      <c r="BM967" s="9">
        <f t="shared" si="4010"/>
        <v>10.416973865808529</v>
      </c>
      <c r="BN967" s="710">
        <f>BN709</f>
        <v>1743.5598181146775</v>
      </c>
      <c r="BO967" s="9">
        <f t="shared" si="4010"/>
        <v>4.9947571106879138</v>
      </c>
      <c r="BP967" s="710">
        <f>BP709</f>
        <v>1832.3181348298554</v>
      </c>
      <c r="BQ967" s="9">
        <f t="shared" si="4010"/>
        <v>5.0906378888194865</v>
      </c>
      <c r="BR967" s="710">
        <f>BR709</f>
        <v>1915.5503448074996</v>
      </c>
      <c r="BS967" s="9">
        <f t="shared" si="4010"/>
        <v>4.5424540856477904</v>
      </c>
      <c r="BT967" s="710">
        <f>BT709</f>
        <v>2001.0426580132957</v>
      </c>
      <c r="BU967" s="9">
        <f t="shared" ref="BU967:BU968" si="4011">IF(ISERROR(BT967/BR967),"NA",IF(OR(BT967/BR967&gt;2,BT967/BR967&lt;0.5),"NM",BT967/BR967*100-100))</f>
        <v>4.4630679343688797</v>
      </c>
      <c r="BV967" s="227"/>
      <c r="BW967" s="227"/>
      <c r="BX967" s="7"/>
      <c r="BY967"/>
      <c r="BZ967"/>
      <c r="CA967"/>
      <c r="CB967"/>
      <c r="CC967"/>
      <c r="CD967"/>
    </row>
    <row r="968" spans="1:16203" s="2" customFormat="1" ht="12.75" hidden="1" customHeight="1" outlineLevel="1" x14ac:dyDescent="0.2">
      <c r="A968" s="2" t="s">
        <v>472</v>
      </c>
      <c r="B968" s="86" t="s">
        <v>468</v>
      </c>
      <c r="C968" s="207">
        <f>C850</f>
        <v>0.75563783237967042</v>
      </c>
      <c r="D968" s="231"/>
      <c r="E968" s="207">
        <f>E850</f>
        <v>0.92328398384925969</v>
      </c>
      <c r="F968" s="231"/>
      <c r="G968" s="207">
        <f>G850</f>
        <v>0.93503014065639645</v>
      </c>
      <c r="H968" s="231"/>
      <c r="I968" s="207">
        <f>I850</f>
        <v>0.95890410958904104</v>
      </c>
      <c r="J968" s="231"/>
      <c r="K968" s="207">
        <f>K850</f>
        <v>0.97996661101836391</v>
      </c>
      <c r="L968" s="231"/>
      <c r="M968" s="578">
        <f>M850</f>
        <v>1.0341937646664432</v>
      </c>
      <c r="N968" s="231"/>
      <c r="O968" s="207">
        <f>O850</f>
        <v>1.1065624516328743</v>
      </c>
      <c r="P968" s="231"/>
      <c r="Q968" s="207">
        <f>Q850</f>
        <v>1.0768715026173961</v>
      </c>
      <c r="R968" s="231"/>
      <c r="S968" s="207">
        <f>S850</f>
        <v>1.0749130266718208</v>
      </c>
      <c r="T968" s="231"/>
      <c r="U968" s="207">
        <f>U850</f>
        <v>1.0900958960610434</v>
      </c>
      <c r="V968" s="231"/>
      <c r="W968" s="207">
        <f>W850</f>
        <v>1.0539363484087105</v>
      </c>
      <c r="X968" s="231"/>
      <c r="Y968" s="207">
        <f>Y850</f>
        <v>1.0236326806212019</v>
      </c>
      <c r="Z968" s="231"/>
      <c r="AA968" s="207">
        <f>AA850</f>
        <v>0.97281685355079828</v>
      </c>
      <c r="AB968" s="231"/>
      <c r="AC968" s="207">
        <f>AC850</f>
        <v>1.1520847573479152</v>
      </c>
      <c r="AD968" s="231"/>
      <c r="AE968" s="207">
        <f>AE850</f>
        <v>1.2211736444749488</v>
      </c>
      <c r="AF968" s="231"/>
      <c r="AG968" s="207">
        <f>AG850</f>
        <v>1.2606164383561647</v>
      </c>
      <c r="AH968" s="231"/>
      <c r="AI968" s="207">
        <f>AI850</f>
        <v>1.2159712722298224</v>
      </c>
      <c r="AJ968" s="231"/>
      <c r="AK968" s="207">
        <f>AK850</f>
        <v>1.2994533652203624</v>
      </c>
      <c r="AL968" s="231"/>
      <c r="AM968" s="207">
        <f t="shared" ref="AM968:AO968" si="4012">AM850</f>
        <v>1.4238184610134788</v>
      </c>
      <c r="AN968" s="231"/>
      <c r="AO968" s="207">
        <f t="shared" si="4012"/>
        <v>1.1948228882833789</v>
      </c>
      <c r="AP968" s="231"/>
      <c r="AQ968" s="207">
        <f t="shared" ref="AQ968:AW968" si="4013">AQ850</f>
        <v>1.3611633992033498</v>
      </c>
      <c r="AR968" s="231"/>
      <c r="AS968" s="207">
        <f t="shared" si="4013"/>
        <v>1.3906444916339205</v>
      </c>
      <c r="AT968" s="231"/>
      <c r="AU968" s="207">
        <f t="shared" si="4013"/>
        <v>1.4461102977607878</v>
      </c>
      <c r="AV968" s="231"/>
      <c r="AW968" s="207">
        <f t="shared" si="4013"/>
        <v>1.4987367420827074</v>
      </c>
      <c r="AX968" s="231"/>
      <c r="AY968" s="273"/>
      <c r="BA968" s="231"/>
      <c r="BB968" s="207">
        <f t="shared" ref="BB968:BP968" si="4014">BB850</f>
        <v>3.5735614829726559</v>
      </c>
      <c r="BC968" s="9" t="str">
        <f>IF(ISERROR(BB968/#REF!),"NA",IF(OR(BB968/#REF!&gt;2,BB968/#REF!&lt;0.5),"NM",BB968/#REF!*100-100))</f>
        <v>NA</v>
      </c>
      <c r="BD968" s="986">
        <f t="shared" si="4014"/>
        <v>4.197296130981135</v>
      </c>
      <c r="BE968" s="9">
        <f t="shared" si="4010"/>
        <v>17.454146262222054</v>
      </c>
      <c r="BF968" s="578">
        <f t="shared" si="4014"/>
        <v>4.2428538229142472</v>
      </c>
      <c r="BG968" s="9">
        <f t="shared" si="4010"/>
        <v>1.0854057114731717</v>
      </c>
      <c r="BH968" s="207">
        <f t="shared" si="4014"/>
        <v>4.6051439801760248</v>
      </c>
      <c r="BI968" s="9">
        <f t="shared" si="4010"/>
        <v>8.5388319367772851</v>
      </c>
      <c r="BJ968" s="207">
        <f t="shared" ref="BJ968" si="4015">BJ850</f>
        <v>5.1340302965649691</v>
      </c>
      <c r="BK968" s="9">
        <f t="shared" si="4010"/>
        <v>11.484685791924548</v>
      </c>
      <c r="BL968" s="207">
        <f t="shared" ref="BL968" si="4016">BL850</f>
        <v>5.696041499291117</v>
      </c>
      <c r="BM968" s="9">
        <f t="shared" si="4010"/>
        <v>10.946783915594978</v>
      </c>
      <c r="BN968" s="207">
        <f t="shared" si="4014"/>
        <v>6.0453425267725773</v>
      </c>
      <c r="BO968" s="9">
        <f t="shared" si="4010"/>
        <v>6.1323469557750201</v>
      </c>
      <c r="BP968" s="207">
        <f t="shared" si="4014"/>
        <v>6.3982805255733526</v>
      </c>
      <c r="BQ968" s="9">
        <f t="shared" si="4010"/>
        <v>5.838180338628348</v>
      </c>
      <c r="BR968" s="207">
        <f t="shared" ref="BR968:BT968" si="4017">BR850</f>
        <v>6.7461607794123113</v>
      </c>
      <c r="BS968" s="9">
        <f t="shared" si="4010"/>
        <v>5.4370897376023493</v>
      </c>
      <c r="BT968" s="207">
        <f t="shared" si="4017"/>
        <v>7.1006337608389298</v>
      </c>
      <c r="BU968" s="9">
        <f t="shared" si="4011"/>
        <v>5.254440162594193</v>
      </c>
      <c r="BV968" s="227"/>
      <c r="BW968" s="227"/>
      <c r="BX968" s="7"/>
      <c r="BY968"/>
      <c r="BZ968"/>
      <c r="CA968"/>
      <c r="CB968"/>
      <c r="CC968"/>
      <c r="CD968"/>
    </row>
    <row r="969" spans="1:16203" s="2" customFormat="1" ht="12.75" hidden="1" customHeight="1" outlineLevel="1" x14ac:dyDescent="0.2">
      <c r="D969" s="231"/>
      <c r="F969" s="231"/>
      <c r="H969" s="231"/>
      <c r="J969" s="231"/>
      <c r="L969" s="231"/>
      <c r="M969" s="41"/>
      <c r="N969" s="231"/>
      <c r="P969" s="231"/>
      <c r="R969" s="231"/>
      <c r="T969" s="231"/>
      <c r="V969" s="231"/>
      <c r="X969" s="231"/>
      <c r="Z969" s="231"/>
      <c r="AB969" s="231"/>
      <c r="AD969" s="231"/>
      <c r="AF969" s="231"/>
      <c r="AH969" s="231"/>
      <c r="AJ969" s="231"/>
      <c r="AL969" s="231"/>
      <c r="AN969" s="231"/>
      <c r="AP969" s="231"/>
      <c r="AR969" s="231"/>
      <c r="AT969" s="231"/>
      <c r="AV969" s="231"/>
      <c r="AX969" s="231"/>
      <c r="AY969" s="273"/>
      <c r="BA969" s="231"/>
      <c r="BD969" s="927"/>
      <c r="BF969" s="41"/>
      <c r="BV969" s="227"/>
      <c r="BW969" s="227"/>
      <c r="BX969" s="7"/>
      <c r="BY969"/>
      <c r="BZ969"/>
      <c r="CA969"/>
      <c r="CB969"/>
      <c r="CC969"/>
      <c r="CD969"/>
    </row>
    <row r="970" spans="1:16203" s="2" customFormat="1" ht="12.75" hidden="1" customHeight="1" outlineLevel="1" x14ac:dyDescent="0.2">
      <c r="B970" s="80" t="s">
        <v>51</v>
      </c>
      <c r="D970" s="231"/>
      <c r="F970" s="231"/>
      <c r="H970" s="231"/>
      <c r="J970" s="231"/>
      <c r="L970" s="231"/>
      <c r="M970" s="41"/>
      <c r="N970" s="231"/>
      <c r="P970" s="231"/>
      <c r="R970" s="231"/>
      <c r="T970" s="231"/>
      <c r="V970" s="231"/>
      <c r="X970" s="231"/>
      <c r="Z970" s="231"/>
      <c r="AB970" s="231"/>
      <c r="AD970" s="231"/>
      <c r="AF970" s="231"/>
      <c r="AH970" s="231"/>
      <c r="AJ970" s="231"/>
      <c r="AL970" s="231"/>
      <c r="AN970" s="231"/>
      <c r="AP970" s="231"/>
      <c r="AR970" s="231"/>
      <c r="AT970" s="231"/>
      <c r="AV970" s="231"/>
      <c r="AX970" s="231"/>
      <c r="AY970" s="273"/>
      <c r="BA970" s="231"/>
      <c r="BD970" s="927"/>
      <c r="BF970" s="41"/>
      <c r="BV970" s="227"/>
      <c r="BW970" s="227"/>
      <c r="BX970" s="7"/>
      <c r="BY970"/>
      <c r="BZ970"/>
      <c r="CA970"/>
      <c r="CB970"/>
      <c r="CC970"/>
      <c r="CD970"/>
    </row>
    <row r="971" spans="1:16203" s="2" customFormat="1" ht="12.75" hidden="1" customHeight="1" outlineLevel="1" x14ac:dyDescent="0.2">
      <c r="A971" s="2" t="s">
        <v>124</v>
      </c>
      <c r="B971" s="250" t="s">
        <v>556</v>
      </c>
      <c r="C971" s="710">
        <f>C62-C64/0.65</f>
        <v>86.365088757396464</v>
      </c>
      <c r="D971" s="710"/>
      <c r="E971" s="710">
        <f>E62-E64/0.65</f>
        <v>119.79999999999995</v>
      </c>
      <c r="F971" s="710"/>
      <c r="G971" s="710">
        <f>G62-G64/0.65</f>
        <v>102.90000000000003</v>
      </c>
      <c r="H971" s="710"/>
      <c r="I971" s="710">
        <f>I62-I64/0.65</f>
        <v>115.89940828402366</v>
      </c>
      <c r="J971" s="710"/>
      <c r="K971" s="710">
        <f>K62-K64/0.65</f>
        <v>105.49704142011828</v>
      </c>
      <c r="L971" s="710"/>
      <c r="M971" s="710">
        <f>M62-M64/0.65</f>
        <v>139.09881656804734</v>
      </c>
      <c r="N971" s="710"/>
      <c r="O971" s="710">
        <f>O62-O64/0.65</f>
        <v>145.5</v>
      </c>
      <c r="P971" s="710"/>
      <c r="Q971" s="710">
        <f>Q62-Q64/0.65</f>
        <v>138.69999999999999</v>
      </c>
      <c r="R971" s="710"/>
      <c r="S971" s="710">
        <f>S62-S64/0.65</f>
        <v>127.59881656804735</v>
      </c>
      <c r="T971" s="710"/>
      <c r="U971" s="710">
        <f>U62-U64/0.65</f>
        <v>136.29940828402366</v>
      </c>
      <c r="V971" s="710"/>
      <c r="W971" s="710">
        <f>W62-W64/0.65</f>
        <v>153.6591715976331</v>
      </c>
      <c r="X971" s="710"/>
      <c r="Y971" s="710">
        <f>Y62-Y64/0.65</f>
        <v>124.69999999999999</v>
      </c>
      <c r="Z971" s="710"/>
      <c r="AA971" s="710">
        <f>AA62-AA64/0.65</f>
        <v>114</v>
      </c>
      <c r="AB971" s="710"/>
      <c r="AC971" s="710">
        <f>AC62-AC64/0.65</f>
        <v>124.5</v>
      </c>
      <c r="AD971" s="710"/>
      <c r="AE971" s="710">
        <f>AE62-AE64/0.65</f>
        <v>153.05384615384614</v>
      </c>
      <c r="AF971" s="710"/>
      <c r="AG971" s="710">
        <f>AG62-AG64/0.65</f>
        <v>124.00000000000006</v>
      </c>
      <c r="AH971" s="9"/>
      <c r="AI971" s="710">
        <f>AI62-AI64/0.65</f>
        <v>135.46923076923076</v>
      </c>
      <c r="AJ971" s="9"/>
      <c r="AK971" s="710">
        <f>AK62-AK64/0.65</f>
        <v>147.5</v>
      </c>
      <c r="AL971" s="9"/>
      <c r="AM971" s="710">
        <f>AM62-AM64/0.65</f>
        <v>171.07692307692307</v>
      </c>
      <c r="AN971" s="9"/>
      <c r="AO971" s="710">
        <f>AO62-AO64/0.65</f>
        <v>126.60000000000002</v>
      </c>
      <c r="AP971" s="9"/>
      <c r="AQ971" s="710">
        <f>AQ62-AQ64/0.65</f>
        <v>142.05612240496151</v>
      </c>
      <c r="AR971" s="9"/>
      <c r="AS971" s="710">
        <f>AS62-AS64/0.65</f>
        <v>142.19182518538878</v>
      </c>
      <c r="AT971" s="9"/>
      <c r="AU971" s="710">
        <f>AU62-AU64/0.65</f>
        <v>143.63086237263838</v>
      </c>
      <c r="AV971" s="9"/>
      <c r="AW971" s="710">
        <f>AW62-AW64/0.65</f>
        <v>153.34038105962878</v>
      </c>
      <c r="AX971" s="9"/>
      <c r="AY971" s="273"/>
      <c r="BA971" s="9"/>
      <c r="BB971" s="710">
        <f>BB62-BB64/0.65</f>
        <v>424.96449704142015</v>
      </c>
      <c r="BC971" s="9" t="str">
        <f>IF(ISERROR(BB971/#REF!),"NA",IF(OR(BB971/#REF!&gt;2,BB971/#REF!&lt;0.5),"NM",BB971/#REF!*100-100))</f>
        <v>NA</v>
      </c>
      <c r="BD971" s="983">
        <f>BD62-BD64/0.65</f>
        <v>528.79585798816572</v>
      </c>
      <c r="BE971" s="9">
        <f t="shared" ref="BE971:BS980" si="4018">IF(ISERROR(BD971/BB971),"NA",IF(OR(BD971/BB971&gt;2,BD971/BB971&lt;0.5),"NM",BD971/BB971*100-100))</f>
        <v>24.432949498043683</v>
      </c>
      <c r="BF971" s="110">
        <f>BF62-BF64/0.65</f>
        <v>542.25739644970417</v>
      </c>
      <c r="BG971" s="9">
        <f t="shared" si="4018"/>
        <v>2.545696653667747</v>
      </c>
      <c r="BH971" s="710">
        <f>BH62-BH64/0.65</f>
        <v>515.55384615384605</v>
      </c>
      <c r="BI971" s="9">
        <f t="shared" si="4018"/>
        <v>-4.9245156397483925</v>
      </c>
      <c r="BJ971" s="710">
        <f>BJ62-BJ64/0.65</f>
        <v>580.64615384615377</v>
      </c>
      <c r="BK971" s="9">
        <f t="shared" si="4018"/>
        <v>12.625704992390581</v>
      </c>
      <c r="BL971" s="710">
        <f>BL62-BL64/0.65</f>
        <v>581.21919102261722</v>
      </c>
      <c r="BM971" s="9">
        <f t="shared" si="4018"/>
        <v>9.868956724636746E-2</v>
      </c>
      <c r="BN971" s="710">
        <f>BN62-BN64/0.65</f>
        <v>602.06469029652203</v>
      </c>
      <c r="BO971" s="9">
        <f t="shared" si="4018"/>
        <v>3.586512557719999</v>
      </c>
      <c r="BP971" s="710">
        <f>BP62-BP64/0.65</f>
        <v>623.87014885527947</v>
      </c>
      <c r="BQ971" s="9">
        <f t="shared" si="4018"/>
        <v>3.6217800030787544</v>
      </c>
      <c r="BR971" s="710">
        <f>BR62-BR64/0.65</f>
        <v>648.12151853782029</v>
      </c>
      <c r="BS971" s="9">
        <f t="shared" si="4018"/>
        <v>3.887246364814672</v>
      </c>
      <c r="BT971" s="710">
        <f>BT62-BT64/0.65</f>
        <v>672.55931623420452</v>
      </c>
      <c r="BU971" s="9">
        <f t="shared" ref="BU971:BU980" si="4019">IF(ISERROR(BT971/BR971),"NA",IF(OR(BT971/BR971&gt;2,BT971/BR971&lt;0.5),"NM",BT971/BR971*100-100))</f>
        <v>3.770557989112362</v>
      </c>
      <c r="BV971" s="180"/>
      <c r="BW971" s="180"/>
      <c r="BX971" s="180"/>
      <c r="BY971"/>
      <c r="BZ971"/>
      <c r="CA971"/>
      <c r="CB971"/>
      <c r="CC971"/>
      <c r="CD971"/>
    </row>
    <row r="972" spans="1:16203" s="2" customFormat="1" ht="12.75" hidden="1" customHeight="1" outlineLevel="1" x14ac:dyDescent="0.2">
      <c r="A972" s="2" t="s">
        <v>125</v>
      </c>
      <c r="B972" s="250" t="s">
        <v>557</v>
      </c>
      <c r="C972" s="710">
        <f>C111-C113/0.65</f>
        <v>76.700000000000045</v>
      </c>
      <c r="D972" s="710"/>
      <c r="E972" s="710">
        <f>E111-E113/0.65</f>
        <v>76.700000000000045</v>
      </c>
      <c r="F972" s="710"/>
      <c r="G972" s="710">
        <f>G111-G113/0.65</f>
        <v>80.200000000000045</v>
      </c>
      <c r="H972" s="710"/>
      <c r="I972" s="710">
        <f>I111-I113/0.65</f>
        <v>67.899999999999977</v>
      </c>
      <c r="J972" s="710"/>
      <c r="K972" s="710">
        <f>K111-K113/0.65</f>
        <v>62.698816568047434</v>
      </c>
      <c r="L972" s="710"/>
      <c r="M972" s="710">
        <f>M111-M113/0.65</f>
        <v>66.899408284023664</v>
      </c>
      <c r="N972" s="710"/>
      <c r="O972" s="710">
        <f>O111-O113/0.65</f>
        <v>62.100000000000136</v>
      </c>
      <c r="P972" s="710"/>
      <c r="Q972" s="710">
        <f>Q111-Q113/0.65</f>
        <v>59.700000000000159</v>
      </c>
      <c r="R972" s="710"/>
      <c r="S972" s="710">
        <f>S111-S113/0.65</f>
        <v>53.999408284023581</v>
      </c>
      <c r="T972" s="710"/>
      <c r="U972" s="710">
        <f>U111-U113/0.65</f>
        <v>73.5</v>
      </c>
      <c r="V972" s="710"/>
      <c r="W972" s="710">
        <f>W111-W113/0.65</f>
        <v>66.704733727810748</v>
      </c>
      <c r="X972" s="710"/>
      <c r="Y972" s="710">
        <f>Y111-Y113/0.65</f>
        <v>62.100000000000023</v>
      </c>
      <c r="Z972" s="710"/>
      <c r="AA972" s="710">
        <f>AA111-AA113/0.65</f>
        <v>67.399999999999977</v>
      </c>
      <c r="AB972" s="710"/>
      <c r="AC972" s="710">
        <f>AC111-AC113/0.65</f>
        <v>70.199999999999932</v>
      </c>
      <c r="AD972" s="710"/>
      <c r="AE972" s="710">
        <f>AE111-AE113/0.65</f>
        <v>61.230769230769234</v>
      </c>
      <c r="AF972" s="710"/>
      <c r="AG972" s="710">
        <f>AG111-AG113/0.65</f>
        <v>69.03846153846132</v>
      </c>
      <c r="AH972" s="9"/>
      <c r="AI972" s="710">
        <f>AI111-AI113/0.65</f>
        <v>91.80769230769242</v>
      </c>
      <c r="AJ972" s="9"/>
      <c r="AK972" s="710">
        <f>AK111-AK113/0.65</f>
        <v>85.530769230769408</v>
      </c>
      <c r="AL972" s="9"/>
      <c r="AM972" s="710">
        <f>AM111-AM113/0.65</f>
        <v>72.86923076923091</v>
      </c>
      <c r="AN972" s="9"/>
      <c r="AO972" s="710">
        <f>AO111-AO113/0.65</f>
        <v>75.099999999999682</v>
      </c>
      <c r="AP972" s="9"/>
      <c r="AQ972" s="710">
        <f>AQ111-AQ113/0.65</f>
        <v>89.527146472392815</v>
      </c>
      <c r="AR972" s="9"/>
      <c r="AS972" s="710">
        <f>AS111-AS113/0.65</f>
        <v>85.40283843558268</v>
      </c>
      <c r="AT972" s="9"/>
      <c r="AU972" s="710">
        <f>AU111-AU113/0.65</f>
        <v>86.414754059509278</v>
      </c>
      <c r="AV972" s="9"/>
      <c r="AW972" s="710">
        <f>AW111-AW113/0.65</f>
        <v>85.269450972957202</v>
      </c>
      <c r="AX972" s="9"/>
      <c r="AY972" s="273"/>
      <c r="BA972" s="9"/>
      <c r="BB972" s="710">
        <f>BB111-BB113/0.65</f>
        <v>301.49999999999955</v>
      </c>
      <c r="BC972" s="9" t="str">
        <f>IF(ISERROR(BB972/#REF!),"NA",IF(OR(BB972/#REF!&gt;2,BB972/#REF!&lt;0.5),"NM",BB972/#REF!*100-100))</f>
        <v>NA</v>
      </c>
      <c r="BD972" s="983">
        <f>BD111-BD113/0.65</f>
        <v>251.39822485207083</v>
      </c>
      <c r="BE972" s="9">
        <f t="shared" si="4018"/>
        <v>-16.61750419500126</v>
      </c>
      <c r="BF972" s="110">
        <f>BF111-BF113/0.65</f>
        <v>256.30414201183379</v>
      </c>
      <c r="BG972" s="9">
        <f t="shared" si="4018"/>
        <v>1.9514525858922696</v>
      </c>
      <c r="BH972" s="710">
        <f>BH111-BH113/0.65</f>
        <v>267.86923076923114</v>
      </c>
      <c r="BI972" s="9">
        <f t="shared" si="4018"/>
        <v>4.5122519935176797</v>
      </c>
      <c r="BJ972" s="710">
        <f>BJ111-BJ113/0.65</f>
        <v>325.30769230769232</v>
      </c>
      <c r="BK972" s="9">
        <f t="shared" si="4018"/>
        <v>21.442724636016266</v>
      </c>
      <c r="BL972" s="710">
        <f>BL111-BL113/0.65</f>
        <v>346.61418994044107</v>
      </c>
      <c r="BM972" s="9">
        <f t="shared" si="4018"/>
        <v>6.5496445785229014</v>
      </c>
      <c r="BN972" s="710">
        <f>BN111-BN113/0.65</f>
        <v>358.31452402740069</v>
      </c>
      <c r="BO972" s="9">
        <f t="shared" si="4018"/>
        <v>3.3756073543815575</v>
      </c>
      <c r="BP972" s="710">
        <f>BP111-BP113/0.65</f>
        <v>378.78907885412536</v>
      </c>
      <c r="BQ972" s="9">
        <f t="shared" si="4018"/>
        <v>5.7141291948185113</v>
      </c>
      <c r="BR972" s="710">
        <f>BR111-BR113/0.65</f>
        <v>399.70905001593383</v>
      </c>
      <c r="BS972" s="9">
        <f t="shared" si="4018"/>
        <v>5.5228548893472578</v>
      </c>
      <c r="BT972" s="710">
        <f>BT111-BT113/0.65</f>
        <v>421.11411200071416</v>
      </c>
      <c r="BU972" s="9">
        <f t="shared" si="4019"/>
        <v>5.3551607060002766</v>
      </c>
      <c r="BV972" s="180"/>
      <c r="BW972" s="180"/>
      <c r="BX972" s="180"/>
      <c r="BY972"/>
      <c r="BZ972"/>
      <c r="CA972"/>
      <c r="CB972"/>
      <c r="CC972"/>
      <c r="CD972"/>
    </row>
    <row r="973" spans="1:16203" s="252" customFormat="1" ht="12.75" hidden="1" customHeight="1" outlineLevel="1" x14ac:dyDescent="0.2">
      <c r="B973" s="253" t="s">
        <v>547</v>
      </c>
      <c r="C973" s="580">
        <f>C971+C972</f>
        <v>163.0650887573965</v>
      </c>
      <c r="D973" s="580"/>
      <c r="E973" s="580">
        <f t="shared" ref="E973:W973" si="4020">E971+E972</f>
        <v>196.5</v>
      </c>
      <c r="F973" s="580"/>
      <c r="G973" s="580">
        <f t="shared" si="4020"/>
        <v>183.10000000000008</v>
      </c>
      <c r="H973" s="580"/>
      <c r="I973" s="580">
        <f t="shared" si="4020"/>
        <v>183.79940828402363</v>
      </c>
      <c r="J973" s="580"/>
      <c r="K973" s="580">
        <f t="shared" si="4020"/>
        <v>168.1958579881657</v>
      </c>
      <c r="L973" s="580"/>
      <c r="M973" s="580">
        <f t="shared" si="4020"/>
        <v>205.99822485207102</v>
      </c>
      <c r="N973" s="580"/>
      <c r="O973" s="580">
        <f t="shared" si="4020"/>
        <v>207.60000000000014</v>
      </c>
      <c r="P973" s="580"/>
      <c r="Q973" s="580">
        <f t="shared" si="4020"/>
        <v>198.40000000000015</v>
      </c>
      <c r="R973" s="580"/>
      <c r="S973" s="580">
        <f t="shared" si="4020"/>
        <v>181.59822485207093</v>
      </c>
      <c r="T973" s="580"/>
      <c r="U973" s="580">
        <f t="shared" si="4020"/>
        <v>209.79940828402366</v>
      </c>
      <c r="V973" s="580"/>
      <c r="W973" s="580">
        <f t="shared" si="4020"/>
        <v>220.36390532544385</v>
      </c>
      <c r="X973" s="580"/>
      <c r="Y973" s="580">
        <f t="shared" ref="Y973:AA973" si="4021">Y971+Y972</f>
        <v>186.8</v>
      </c>
      <c r="Z973" s="580"/>
      <c r="AA973" s="580">
        <f t="shared" si="4021"/>
        <v>181.39999999999998</v>
      </c>
      <c r="AB973" s="580"/>
      <c r="AC973" s="580">
        <f t="shared" ref="AC973:AE973" si="4022">AC971+AC972</f>
        <v>194.69999999999993</v>
      </c>
      <c r="AD973" s="580"/>
      <c r="AE973" s="580">
        <f t="shared" si="4022"/>
        <v>214.28461538461536</v>
      </c>
      <c r="AF973" s="580"/>
      <c r="AG973" s="580">
        <f t="shared" ref="AG973:AI973" si="4023">AG971+AG972</f>
        <v>193.03846153846138</v>
      </c>
      <c r="AH973" s="254"/>
      <c r="AI973" s="580">
        <f t="shared" si="4023"/>
        <v>227.2769230769232</v>
      </c>
      <c r="AJ973" s="254"/>
      <c r="AK973" s="580">
        <f t="shared" ref="AK973" si="4024">AK971+AK972</f>
        <v>233.03076923076941</v>
      </c>
      <c r="AL973" s="254"/>
      <c r="AM973" s="580">
        <f t="shared" ref="AM973:AO973" si="4025">AM971+AM972</f>
        <v>243.94615384615398</v>
      </c>
      <c r="AN973" s="254"/>
      <c r="AO973" s="580">
        <f t="shared" si="4025"/>
        <v>201.6999999999997</v>
      </c>
      <c r="AP973" s="254"/>
      <c r="AQ973" s="580">
        <f t="shared" ref="AQ973:AW973" si="4026">AQ971+AQ972</f>
        <v>231.58326887735433</v>
      </c>
      <c r="AR973" s="254"/>
      <c r="AS973" s="580">
        <f t="shared" si="4026"/>
        <v>227.59466362097146</v>
      </c>
      <c r="AT973" s="254"/>
      <c r="AU973" s="580">
        <f t="shared" si="4026"/>
        <v>230.04561643214765</v>
      </c>
      <c r="AV973" s="254"/>
      <c r="AW973" s="580">
        <f t="shared" si="4026"/>
        <v>238.60983203258598</v>
      </c>
      <c r="AX973" s="254"/>
      <c r="AY973" s="273"/>
      <c r="BA973" s="254"/>
      <c r="BB973" s="580">
        <f t="shared" ref="BB973" si="4027">BB971+BB972</f>
        <v>726.46449704141969</v>
      </c>
      <c r="BC973" s="565" t="str">
        <f>IF(ISERROR(BB973/#REF!),"NA",IF(OR(BB973/#REF!&gt;2,BB973/#REF!&lt;0.5),"NM",BB973/#REF!*100-100))</f>
        <v>NA</v>
      </c>
      <c r="BD973" s="984">
        <f t="shared" ref="BD973" si="4028">BD971+BD972</f>
        <v>780.19408284023655</v>
      </c>
      <c r="BE973" s="565">
        <f t="shared" si="4018"/>
        <v>7.3960373862225168</v>
      </c>
      <c r="BF973" s="848">
        <f t="shared" ref="BF973" si="4029">BF971+BF972</f>
        <v>798.56153846153802</v>
      </c>
      <c r="BG973" s="565">
        <f t="shared" si="4018"/>
        <v>2.3542162168721035</v>
      </c>
      <c r="BH973" s="580">
        <f t="shared" ref="BH973" si="4030">BH971+BH972</f>
        <v>783.42307692307713</v>
      </c>
      <c r="BI973" s="565">
        <f t="shared" si="4018"/>
        <v>-1.8957163361042575</v>
      </c>
      <c r="BJ973" s="580">
        <f t="shared" ref="BJ973" si="4031">BJ971+BJ972</f>
        <v>905.95384615384614</v>
      </c>
      <c r="BK973" s="565">
        <f t="shared" si="4018"/>
        <v>15.640433992832214</v>
      </c>
      <c r="BL973" s="580">
        <f t="shared" ref="BL973" si="4032">BL971+BL972</f>
        <v>927.83338096305829</v>
      </c>
      <c r="BM973" s="565">
        <f t="shared" si="4018"/>
        <v>2.4150827221607329</v>
      </c>
      <c r="BN973" s="580">
        <f t="shared" ref="BN973" si="4033">BN971+BN972</f>
        <v>960.37921432392272</v>
      </c>
      <c r="BO973" s="565">
        <f t="shared" si="4018"/>
        <v>3.5077239112784468</v>
      </c>
      <c r="BP973" s="580">
        <f t="shared" ref="BP973:BR973" si="4034">BP971+BP972</f>
        <v>1002.6592277094048</v>
      </c>
      <c r="BQ973" s="565">
        <f t="shared" si="4018"/>
        <v>4.4024290358310054</v>
      </c>
      <c r="BR973" s="580">
        <f t="shared" si="4034"/>
        <v>1047.8305685537541</v>
      </c>
      <c r="BS973" s="565">
        <f t="shared" si="4018"/>
        <v>4.5051538544699952</v>
      </c>
      <c r="BT973" s="580">
        <f t="shared" ref="BT973" si="4035">BT971+BT972</f>
        <v>1093.6734282349187</v>
      </c>
      <c r="BU973" s="565">
        <f t="shared" si="4019"/>
        <v>4.3750259876878914</v>
      </c>
      <c r="BV973" s="255"/>
      <c r="BW973" s="255"/>
      <c r="BX973" s="255"/>
      <c r="BY973"/>
      <c r="BZ973"/>
      <c r="CA973"/>
      <c r="CB973"/>
      <c r="CC973"/>
      <c r="CD973"/>
    </row>
    <row r="974" spans="1:16203" s="2" customFormat="1" hidden="1" outlineLevel="1" x14ac:dyDescent="0.2">
      <c r="A974" s="252"/>
      <c r="B974" s="253" t="s">
        <v>190</v>
      </c>
      <c r="C974" s="580">
        <f>C184-C186/0.65</f>
        <v>54.499408284023687</v>
      </c>
      <c r="D974" s="580"/>
      <c r="E974" s="580">
        <f>E184-E186/0.65</f>
        <v>63.932544378698232</v>
      </c>
      <c r="F974" s="580"/>
      <c r="G974" s="580">
        <f>G184-G186/0.65</f>
        <v>72.199999999999989</v>
      </c>
      <c r="H974" s="580"/>
      <c r="I974" s="580">
        <f>I184-I186/0.65</f>
        <v>82.400000000000034</v>
      </c>
      <c r="J974" s="580"/>
      <c r="K974" s="580">
        <f>K184-K186/0.65</f>
        <v>80.599999999999994</v>
      </c>
      <c r="L974" s="580"/>
      <c r="M974" s="580">
        <f>M184-M186/0.65</f>
        <v>83.699999999999974</v>
      </c>
      <c r="N974" s="580"/>
      <c r="O974" s="580">
        <f>O184-O186/0.65</f>
        <v>85.7</v>
      </c>
      <c r="P974" s="580"/>
      <c r="Q974" s="580">
        <f>Q184-Q186/0.65</f>
        <v>100.10000000000001</v>
      </c>
      <c r="R974" s="580"/>
      <c r="S974" s="580">
        <f>S184-S186/0.65</f>
        <v>92.59999999999998</v>
      </c>
      <c r="T974" s="580"/>
      <c r="U974" s="580">
        <f>U184-U186/0.65</f>
        <v>98.500000000000028</v>
      </c>
      <c r="V974" s="580"/>
      <c r="W974" s="580">
        <f>W184-W186/0.65</f>
        <v>95.4</v>
      </c>
      <c r="X974" s="580"/>
      <c r="Y974" s="580">
        <f>Y184-Y186/0.65</f>
        <v>102.00000000000003</v>
      </c>
      <c r="Z974" s="580"/>
      <c r="AA974" s="580">
        <f>AA184-AA186/0.65</f>
        <v>79.700000000000017</v>
      </c>
      <c r="AB974" s="580"/>
      <c r="AC974" s="580">
        <f>AC184-AC186/0.65</f>
        <v>117.49999999999996</v>
      </c>
      <c r="AD974" s="580"/>
      <c r="AE974" s="580">
        <f>AE184-AE186/0.65</f>
        <v>112.9</v>
      </c>
      <c r="AF974" s="580"/>
      <c r="AG974" s="580">
        <f>AG184-AG186/0.65</f>
        <v>133.70000000000002</v>
      </c>
      <c r="AH974" s="254"/>
      <c r="AI974" s="580">
        <f>AI184-AI186/0.65</f>
        <v>100</v>
      </c>
      <c r="AJ974" s="254"/>
      <c r="AK974" s="580">
        <f>AK184-AK186/0.65</f>
        <v>115.40000000000002</v>
      </c>
      <c r="AL974" s="254"/>
      <c r="AM974" s="580">
        <f>AM184-AM186/0.65</f>
        <v>130.20000000000002</v>
      </c>
      <c r="AN974" s="254"/>
      <c r="AO974" s="580">
        <f>AO184-AO186/0.65</f>
        <v>124.10000000000001</v>
      </c>
      <c r="AP974" s="254"/>
      <c r="AQ974" s="580">
        <f t="shared" ref="AQ974" si="4036">AQ184-AQ186/0.65</f>
        <v>128.93566912992608</v>
      </c>
      <c r="AR974" s="254"/>
      <c r="AS974" s="580">
        <f t="shared" ref="AS974" si="4037">AS184-AS186/0.65</f>
        <v>129.57417779295389</v>
      </c>
      <c r="AT974" s="254"/>
      <c r="AU974" s="580">
        <f t="shared" ref="AU974" si="4038">AU184-AU186/0.65</f>
        <v>131.61129112913176</v>
      </c>
      <c r="AV974" s="254"/>
      <c r="AW974" s="580">
        <f t="shared" ref="AW974" si="4039">AW184-AW186/0.65</f>
        <v>134.67239232122225</v>
      </c>
      <c r="AX974" s="254"/>
      <c r="AY974" s="273"/>
      <c r="AZ974" s="252"/>
      <c r="BA974" s="254"/>
      <c r="BB974" s="580">
        <f>BB184-BB186/0.65</f>
        <v>273.03195266272189</v>
      </c>
      <c r="BC974" s="565" t="str">
        <f>IF(ISERROR(BB974/#REF!),"NA",IF(OR(BB974/#REF!&gt;2,BB974/#REF!&lt;0.5),"NM",BB974/#REF!*100-100))</f>
        <v>NA</v>
      </c>
      <c r="BD974" s="984">
        <f>BD184-BD186/0.65</f>
        <v>350.1</v>
      </c>
      <c r="BE974" s="565">
        <f t="shared" si="4018"/>
        <v>28.226750234058045</v>
      </c>
      <c r="BF974" s="848">
        <f>BF184-BF186/0.65</f>
        <v>388.5</v>
      </c>
      <c r="BG974" s="565">
        <f t="shared" si="4018"/>
        <v>10.968294772922007</v>
      </c>
      <c r="BH974" s="580">
        <f>BH184-BH186/0.65</f>
        <v>443.80000000000007</v>
      </c>
      <c r="BI974" s="565">
        <f t="shared" si="4018"/>
        <v>14.23423423423425</v>
      </c>
      <c r="BJ974" s="580">
        <f>BJ184-BJ186/0.65</f>
        <v>469.70000000000005</v>
      </c>
      <c r="BK974" s="565">
        <f t="shared" si="4018"/>
        <v>5.8359621451104005</v>
      </c>
      <c r="BL974" s="580">
        <f>BL184-BL186/0.65</f>
        <v>524.79353037323403</v>
      </c>
      <c r="BM974" s="565">
        <f t="shared" si="4018"/>
        <v>11.729514663239087</v>
      </c>
      <c r="BN974" s="580">
        <f>BN184-BN186/0.65</f>
        <v>550.50015402645852</v>
      </c>
      <c r="BO974" s="565">
        <f t="shared" si="4018"/>
        <v>4.8984261743741229</v>
      </c>
      <c r="BP974" s="580">
        <f>BP184-BP186/0.65</f>
        <v>563.85419045671711</v>
      </c>
      <c r="BQ974" s="565">
        <f t="shared" si="4018"/>
        <v>2.42580067100522</v>
      </c>
      <c r="BR974" s="580">
        <f>BR184-BR186/0.65</f>
        <v>598.21777251477977</v>
      </c>
      <c r="BS974" s="565">
        <f t="shared" si="4018"/>
        <v>6.0944092709905249</v>
      </c>
      <c r="BT974" s="580">
        <f>BT184-BT186/0.65</f>
        <v>618.99998773386778</v>
      </c>
      <c r="BU974" s="565">
        <f t="shared" si="4019"/>
        <v>3.4740216981056875</v>
      </c>
      <c r="BV974" s="255"/>
      <c r="BW974" s="255"/>
      <c r="BX974" s="255"/>
      <c r="BY974"/>
      <c r="BZ974"/>
      <c r="CA974"/>
      <c r="CB974"/>
      <c r="CC974"/>
      <c r="CD974"/>
      <c r="CE974" s="252"/>
      <c r="CF974" s="252"/>
      <c r="CG974" s="252"/>
      <c r="CH974" s="252"/>
      <c r="CI974" s="252"/>
      <c r="CJ974" s="252"/>
      <c r="CK974" s="252"/>
      <c r="CL974" s="252"/>
      <c r="CM974" s="252"/>
      <c r="CN974" s="252"/>
      <c r="CO974" s="252"/>
      <c r="CP974" s="252"/>
      <c r="CQ974" s="252"/>
      <c r="CR974" s="252"/>
      <c r="CS974" s="252"/>
      <c r="CT974" s="252"/>
      <c r="CU974" s="252"/>
      <c r="CV974" s="252"/>
      <c r="CW974" s="252"/>
      <c r="CX974" s="252"/>
      <c r="CY974" s="252"/>
      <c r="CZ974" s="252"/>
      <c r="DA974" s="252"/>
      <c r="DB974" s="252"/>
      <c r="DC974" s="252"/>
      <c r="DD974" s="252"/>
      <c r="DE974" s="252"/>
      <c r="DF974" s="252"/>
      <c r="DG974" s="252"/>
      <c r="DH974" s="252"/>
      <c r="DI974" s="252"/>
      <c r="DJ974" s="252"/>
      <c r="DK974" s="252"/>
      <c r="DL974" s="252"/>
      <c r="DM974" s="252"/>
      <c r="DN974" s="252"/>
      <c r="DO974" s="252"/>
      <c r="DP974" s="252"/>
      <c r="DQ974" s="252"/>
      <c r="DR974" s="252"/>
      <c r="DS974" s="252"/>
      <c r="DT974" s="252"/>
      <c r="DU974" s="252"/>
      <c r="DV974" s="252"/>
      <c r="DW974" s="252"/>
      <c r="DX974" s="252"/>
      <c r="DY974" s="252"/>
      <c r="DZ974" s="252"/>
      <c r="EA974" s="252"/>
      <c r="EB974" s="252"/>
      <c r="EC974" s="252"/>
      <c r="ED974" s="252"/>
      <c r="EE974" s="252"/>
      <c r="EF974" s="252"/>
      <c r="EG974" s="252"/>
      <c r="EH974" s="252"/>
      <c r="EI974" s="252"/>
      <c r="EJ974" s="252"/>
      <c r="EK974" s="252"/>
      <c r="EL974" s="252"/>
      <c r="EM974" s="252"/>
      <c r="EN974" s="252"/>
      <c r="EO974" s="252"/>
      <c r="EP974" s="252"/>
      <c r="EQ974" s="252"/>
      <c r="ER974" s="252"/>
      <c r="ES974" s="252"/>
      <c r="ET974" s="252"/>
      <c r="EU974" s="252"/>
      <c r="EV974" s="252"/>
      <c r="EW974" s="252"/>
      <c r="EX974" s="252"/>
      <c r="EY974" s="252"/>
      <c r="EZ974" s="252"/>
      <c r="FA974" s="252"/>
      <c r="FB974" s="252"/>
      <c r="FC974" s="252"/>
      <c r="FD974" s="252"/>
      <c r="FE974" s="252"/>
      <c r="FF974" s="252"/>
      <c r="FG974" s="252"/>
      <c r="FH974" s="252"/>
      <c r="FI974" s="252"/>
      <c r="FJ974" s="252"/>
      <c r="FK974" s="252"/>
      <c r="FL974" s="252"/>
      <c r="FM974" s="252"/>
      <c r="FN974" s="252"/>
      <c r="FO974" s="252"/>
      <c r="FP974" s="252"/>
      <c r="FQ974" s="252"/>
      <c r="FR974" s="252"/>
      <c r="FS974" s="252"/>
      <c r="FT974" s="252"/>
      <c r="FU974" s="252"/>
      <c r="FV974" s="252"/>
      <c r="FW974" s="252"/>
      <c r="FX974" s="252"/>
      <c r="FY974" s="252"/>
      <c r="FZ974" s="252"/>
      <c r="GA974" s="252"/>
      <c r="GB974" s="252"/>
      <c r="GC974" s="252"/>
      <c r="GD974" s="252"/>
      <c r="GE974" s="252"/>
      <c r="GF974" s="252"/>
      <c r="GG974" s="252"/>
      <c r="GH974" s="252"/>
      <c r="GI974" s="252"/>
      <c r="GJ974" s="252"/>
      <c r="GK974" s="252"/>
      <c r="GL974" s="252"/>
      <c r="GM974" s="252"/>
      <c r="GN974" s="252"/>
      <c r="GO974" s="252"/>
      <c r="GP974" s="252"/>
      <c r="GQ974" s="252"/>
      <c r="GR974" s="252"/>
      <c r="GS974" s="252"/>
      <c r="GT974" s="252"/>
      <c r="GU974" s="252"/>
      <c r="GV974" s="252"/>
      <c r="GW974" s="252"/>
      <c r="GX974" s="252"/>
      <c r="GY974" s="252"/>
      <c r="GZ974" s="252"/>
      <c r="HA974" s="252"/>
      <c r="HB974" s="252"/>
      <c r="HC974" s="252"/>
      <c r="HD974" s="252"/>
      <c r="HE974" s="252"/>
      <c r="HF974" s="252"/>
      <c r="HG974" s="252"/>
      <c r="HH974" s="252"/>
      <c r="HI974" s="252"/>
      <c r="HJ974" s="252"/>
      <c r="HK974" s="252"/>
      <c r="HL974" s="252"/>
      <c r="HM974" s="252"/>
      <c r="HN974" s="252"/>
      <c r="HO974" s="252"/>
      <c r="HP974" s="252"/>
      <c r="HQ974" s="252"/>
      <c r="HR974" s="252"/>
      <c r="HS974" s="252"/>
      <c r="HT974" s="252"/>
      <c r="HU974" s="252"/>
      <c r="HV974" s="252"/>
      <c r="HW974" s="252"/>
      <c r="HX974" s="252"/>
      <c r="HY974" s="252"/>
      <c r="HZ974" s="252"/>
      <c r="IA974" s="252"/>
      <c r="IB974" s="252"/>
      <c r="IC974" s="252"/>
      <c r="ID974" s="252"/>
      <c r="IE974" s="252"/>
      <c r="IF974" s="252"/>
      <c r="IG974" s="252"/>
      <c r="IH974" s="252"/>
      <c r="II974" s="252"/>
      <c r="IJ974" s="252"/>
      <c r="IK974" s="252"/>
      <c r="IL974" s="252"/>
      <c r="IM974" s="252"/>
      <c r="IN974" s="252"/>
      <c r="IO974" s="252"/>
      <c r="IP974" s="252"/>
      <c r="IQ974" s="252"/>
      <c r="IR974" s="252"/>
      <c r="IS974" s="252"/>
      <c r="IT974" s="252"/>
      <c r="IU974" s="252"/>
      <c r="IV974" s="252"/>
      <c r="IW974" s="252"/>
      <c r="IX974" s="252"/>
      <c r="IY974" s="252"/>
      <c r="IZ974" s="252"/>
      <c r="JA974" s="252"/>
      <c r="JB974" s="252"/>
      <c r="JC974" s="252"/>
      <c r="JD974" s="252"/>
      <c r="JE974" s="252"/>
      <c r="JF974" s="252"/>
      <c r="JG974" s="252"/>
      <c r="JH974" s="252"/>
      <c r="JI974" s="252"/>
      <c r="JJ974" s="252"/>
      <c r="JK974" s="252"/>
      <c r="JL974" s="252"/>
      <c r="JM974" s="252"/>
      <c r="JN974" s="252"/>
      <c r="JO974" s="252"/>
      <c r="JP974" s="252"/>
      <c r="JQ974" s="252"/>
      <c r="JR974" s="252"/>
      <c r="JS974" s="252"/>
      <c r="JT974" s="252"/>
      <c r="JU974" s="252"/>
      <c r="JV974" s="252"/>
      <c r="JW974" s="252"/>
      <c r="JX974" s="252"/>
      <c r="JY974" s="252"/>
      <c r="JZ974" s="252"/>
      <c r="KA974" s="252"/>
      <c r="KB974" s="252"/>
      <c r="KC974" s="252"/>
      <c r="KD974" s="252"/>
      <c r="KE974" s="252"/>
      <c r="KF974" s="252"/>
      <c r="KG974" s="252"/>
      <c r="KH974" s="252"/>
      <c r="KI974" s="252"/>
      <c r="KJ974" s="252"/>
      <c r="KK974" s="252"/>
      <c r="KL974" s="252"/>
      <c r="KM974" s="252"/>
      <c r="KN974" s="252"/>
      <c r="KO974" s="252"/>
      <c r="KP974" s="252"/>
      <c r="KQ974" s="252"/>
      <c r="KR974" s="252"/>
      <c r="KS974" s="252"/>
      <c r="KT974" s="252"/>
      <c r="KU974" s="252"/>
      <c r="KV974" s="252"/>
      <c r="KW974" s="252"/>
      <c r="KX974" s="252"/>
      <c r="KY974" s="252"/>
      <c r="KZ974" s="252"/>
      <c r="LA974" s="252"/>
      <c r="LB974" s="252"/>
      <c r="LC974" s="252"/>
      <c r="LD974" s="252"/>
      <c r="LE974" s="252"/>
      <c r="LF974" s="252"/>
      <c r="LG974" s="252"/>
      <c r="LH974" s="252"/>
      <c r="LI974" s="252"/>
      <c r="LJ974" s="252"/>
      <c r="LK974" s="252"/>
      <c r="LL974" s="252"/>
      <c r="LM974" s="252"/>
      <c r="LN974" s="252"/>
      <c r="LO974" s="252"/>
      <c r="LP974" s="252"/>
      <c r="LQ974" s="252"/>
      <c r="LR974" s="252"/>
      <c r="LS974" s="252"/>
      <c r="LT974" s="252"/>
      <c r="LU974" s="252"/>
      <c r="LV974" s="252"/>
      <c r="LW974" s="252"/>
      <c r="LX974" s="252"/>
      <c r="LY974" s="252"/>
      <c r="LZ974" s="252"/>
      <c r="MA974" s="252"/>
      <c r="MB974" s="252"/>
      <c r="MC974" s="252"/>
      <c r="MD974" s="252"/>
      <c r="ME974" s="252"/>
      <c r="MF974" s="252"/>
      <c r="MG974" s="252"/>
      <c r="MH974" s="252"/>
      <c r="MI974" s="252"/>
      <c r="MJ974" s="252"/>
      <c r="MK974" s="252"/>
      <c r="ML974" s="252"/>
      <c r="MM974" s="252"/>
      <c r="MN974" s="252"/>
      <c r="MO974" s="252"/>
      <c r="MP974" s="252"/>
      <c r="MQ974" s="252"/>
      <c r="MR974" s="252"/>
      <c r="MS974" s="252"/>
      <c r="MT974" s="252"/>
      <c r="MU974" s="252"/>
      <c r="MV974" s="252"/>
      <c r="MW974" s="252"/>
      <c r="MX974" s="252"/>
      <c r="MY974" s="252"/>
      <c r="MZ974" s="252"/>
      <c r="NA974" s="252"/>
      <c r="NB974" s="252"/>
      <c r="NC974" s="252"/>
      <c r="ND974" s="252"/>
      <c r="NE974" s="252"/>
      <c r="NF974" s="252"/>
      <c r="NG974" s="252"/>
      <c r="NH974" s="252"/>
      <c r="NI974" s="252"/>
      <c r="NJ974" s="252"/>
      <c r="NK974" s="252"/>
      <c r="NL974" s="252"/>
      <c r="NM974" s="252"/>
      <c r="NN974" s="252"/>
      <c r="NO974" s="252"/>
      <c r="NP974" s="252"/>
      <c r="NQ974" s="252"/>
      <c r="NR974" s="252"/>
      <c r="NS974" s="252"/>
      <c r="NT974" s="252"/>
      <c r="NU974" s="252"/>
      <c r="NV974" s="252"/>
      <c r="NW974" s="252"/>
      <c r="NX974" s="252"/>
      <c r="NY974" s="252"/>
      <c r="NZ974" s="252"/>
      <c r="OA974" s="252"/>
      <c r="OB974" s="252"/>
      <c r="OC974" s="252"/>
      <c r="OD974" s="252"/>
      <c r="OE974" s="252"/>
      <c r="OF974" s="252"/>
      <c r="OG974" s="252"/>
      <c r="OH974" s="252"/>
      <c r="OI974" s="252"/>
      <c r="OJ974" s="252"/>
      <c r="OK974" s="252"/>
      <c r="OL974" s="252"/>
      <c r="OM974" s="252"/>
      <c r="ON974" s="252"/>
      <c r="OO974" s="252"/>
      <c r="OP974" s="252"/>
      <c r="OQ974" s="252"/>
      <c r="OR974" s="252"/>
      <c r="OS974" s="252"/>
      <c r="OT974" s="252"/>
      <c r="OU974" s="252"/>
      <c r="OV974" s="252"/>
      <c r="OW974" s="252"/>
      <c r="OX974" s="252"/>
      <c r="OY974" s="252"/>
      <c r="OZ974" s="252"/>
      <c r="PA974" s="252"/>
      <c r="PB974" s="252"/>
      <c r="PC974" s="252"/>
      <c r="PD974" s="252"/>
      <c r="PE974" s="252"/>
      <c r="PF974" s="252"/>
      <c r="PG974" s="252"/>
      <c r="PH974" s="252"/>
      <c r="PI974" s="252"/>
      <c r="PJ974" s="252"/>
      <c r="PK974" s="252"/>
      <c r="PL974" s="252"/>
      <c r="PM974" s="252"/>
      <c r="PN974" s="252"/>
      <c r="PO974" s="252"/>
      <c r="PP974" s="252"/>
      <c r="PQ974" s="252"/>
      <c r="PR974" s="252"/>
      <c r="PS974" s="252"/>
      <c r="PT974" s="252"/>
      <c r="PU974" s="252"/>
      <c r="PV974" s="252"/>
      <c r="PW974" s="252"/>
      <c r="PX974" s="252"/>
      <c r="PY974" s="252"/>
      <c r="PZ974" s="252"/>
      <c r="QA974" s="252"/>
      <c r="QB974" s="252"/>
      <c r="QC974" s="252"/>
      <c r="QD974" s="252"/>
      <c r="QE974" s="252"/>
      <c r="QF974" s="252"/>
      <c r="QG974" s="252"/>
      <c r="QH974" s="252"/>
      <c r="QI974" s="252"/>
      <c r="QJ974" s="252"/>
      <c r="QK974" s="252"/>
      <c r="QL974" s="252"/>
      <c r="QM974" s="252"/>
      <c r="QN974" s="252"/>
      <c r="QO974" s="252"/>
      <c r="QP974" s="252"/>
      <c r="QQ974" s="252"/>
      <c r="QR974" s="252"/>
      <c r="QS974" s="252"/>
      <c r="QT974" s="252"/>
      <c r="QU974" s="252"/>
      <c r="QV974" s="252"/>
      <c r="QW974" s="252"/>
      <c r="QX974" s="252"/>
      <c r="QY974" s="252"/>
      <c r="QZ974" s="252"/>
      <c r="RA974" s="252"/>
      <c r="RB974" s="252"/>
      <c r="RC974" s="252"/>
      <c r="RD974" s="252"/>
      <c r="RE974" s="252"/>
      <c r="RF974" s="252"/>
      <c r="RG974" s="252"/>
      <c r="RH974" s="252"/>
      <c r="RI974" s="252"/>
      <c r="RJ974" s="252"/>
      <c r="RK974" s="252"/>
      <c r="RL974" s="252"/>
      <c r="RM974" s="252"/>
      <c r="RN974" s="252"/>
      <c r="RO974" s="252"/>
      <c r="RP974" s="252"/>
      <c r="RQ974" s="252"/>
      <c r="RR974" s="252"/>
      <c r="RS974" s="252"/>
      <c r="RT974" s="252"/>
      <c r="RU974" s="252"/>
      <c r="RV974" s="252"/>
      <c r="RW974" s="252"/>
      <c r="RX974" s="252"/>
      <c r="RY974" s="252"/>
      <c r="RZ974" s="252"/>
      <c r="SA974" s="252"/>
      <c r="SB974" s="252"/>
      <c r="SC974" s="252"/>
      <c r="SD974" s="252"/>
      <c r="SE974" s="252"/>
      <c r="SF974" s="252"/>
      <c r="SG974" s="252"/>
      <c r="SH974" s="252"/>
      <c r="SI974" s="252"/>
      <c r="SJ974" s="252"/>
      <c r="SK974" s="252"/>
      <c r="SL974" s="252"/>
      <c r="SM974" s="252"/>
      <c r="SN974" s="252"/>
      <c r="SO974" s="252"/>
      <c r="SP974" s="252"/>
      <c r="SQ974" s="252"/>
      <c r="SR974" s="252"/>
      <c r="SS974" s="252"/>
      <c r="ST974" s="252"/>
      <c r="SU974" s="252"/>
      <c r="SV974" s="252"/>
      <c r="SW974" s="252"/>
      <c r="SX974" s="252"/>
      <c r="SY974" s="252"/>
      <c r="SZ974" s="252"/>
      <c r="TA974" s="252"/>
      <c r="TB974" s="252"/>
      <c r="TC974" s="252"/>
      <c r="TD974" s="252"/>
      <c r="TE974" s="252"/>
      <c r="TF974" s="252"/>
      <c r="TG974" s="252"/>
      <c r="TH974" s="252"/>
      <c r="TI974" s="252"/>
      <c r="TJ974" s="252"/>
      <c r="TK974" s="252"/>
      <c r="TL974" s="252"/>
      <c r="TM974" s="252"/>
      <c r="TN974" s="252"/>
      <c r="TO974" s="252"/>
      <c r="TP974" s="252"/>
      <c r="TQ974" s="252"/>
      <c r="TR974" s="252"/>
      <c r="TS974" s="252"/>
      <c r="TT974" s="252"/>
      <c r="TU974" s="252"/>
      <c r="TV974" s="252"/>
      <c r="TW974" s="252"/>
      <c r="TX974" s="252"/>
      <c r="TY974" s="252"/>
      <c r="TZ974" s="252"/>
      <c r="UA974" s="252"/>
      <c r="UB974" s="252"/>
      <c r="UC974" s="252"/>
      <c r="UD974" s="252"/>
      <c r="UE974" s="252"/>
      <c r="UF974" s="252"/>
      <c r="UG974" s="252"/>
      <c r="UH974" s="252"/>
      <c r="UI974" s="252"/>
      <c r="UJ974" s="252"/>
      <c r="UK974" s="252"/>
      <c r="UL974" s="252"/>
      <c r="UM974" s="252"/>
      <c r="UN974" s="252"/>
      <c r="UO974" s="252"/>
      <c r="UP974" s="252"/>
      <c r="UQ974" s="252"/>
      <c r="UR974" s="252"/>
      <c r="US974" s="252"/>
      <c r="UT974" s="252"/>
      <c r="UU974" s="252"/>
      <c r="UV974" s="252"/>
      <c r="UW974" s="252"/>
      <c r="UX974" s="252"/>
      <c r="UY974" s="252"/>
      <c r="UZ974" s="252"/>
      <c r="VA974" s="252"/>
      <c r="VB974" s="252"/>
      <c r="VC974" s="252"/>
      <c r="VD974" s="252"/>
      <c r="VE974" s="252"/>
      <c r="VF974" s="252"/>
      <c r="VG974" s="252"/>
      <c r="VH974" s="252"/>
      <c r="VI974" s="252"/>
      <c r="VJ974" s="252"/>
      <c r="VK974" s="252"/>
      <c r="VL974" s="252"/>
      <c r="VM974" s="252"/>
      <c r="VN974" s="252"/>
      <c r="VO974" s="252"/>
      <c r="VP974" s="252"/>
      <c r="VQ974" s="252"/>
      <c r="VR974" s="252"/>
      <c r="VS974" s="252"/>
      <c r="VT974" s="252"/>
      <c r="VU974" s="252"/>
      <c r="VV974" s="252"/>
      <c r="VW974" s="252"/>
      <c r="VX974" s="252"/>
      <c r="VY974" s="252"/>
      <c r="VZ974" s="252"/>
      <c r="WA974" s="252"/>
      <c r="WB974" s="252"/>
      <c r="WC974" s="252"/>
      <c r="WD974" s="252"/>
      <c r="WE974" s="252"/>
      <c r="WF974" s="252"/>
      <c r="WG974" s="252"/>
      <c r="WH974" s="252"/>
      <c r="WI974" s="252"/>
      <c r="WJ974" s="252"/>
      <c r="WK974" s="252"/>
      <c r="WL974" s="252"/>
      <c r="WM974" s="252"/>
      <c r="WN974" s="252"/>
      <c r="WO974" s="252"/>
      <c r="WP974" s="252"/>
      <c r="WQ974" s="252"/>
      <c r="WR974" s="252"/>
      <c r="WS974" s="252"/>
      <c r="WT974" s="252"/>
      <c r="WU974" s="252"/>
      <c r="WV974" s="252"/>
      <c r="WW974" s="252"/>
      <c r="WX974" s="252"/>
      <c r="WY974" s="252"/>
      <c r="WZ974" s="252"/>
      <c r="XA974" s="252"/>
      <c r="XB974" s="252"/>
      <c r="XC974" s="252"/>
      <c r="XD974" s="252"/>
      <c r="XE974" s="252"/>
      <c r="XF974" s="252"/>
      <c r="XG974" s="252"/>
      <c r="XH974" s="252"/>
      <c r="XI974" s="252"/>
      <c r="XJ974" s="252"/>
      <c r="XK974" s="252"/>
      <c r="XL974" s="252"/>
      <c r="XM974" s="252"/>
      <c r="XN974" s="252"/>
      <c r="XO974" s="252"/>
      <c r="XP974" s="252"/>
      <c r="XQ974" s="252"/>
      <c r="XR974" s="252"/>
      <c r="XS974" s="252"/>
      <c r="XT974" s="252"/>
      <c r="XU974" s="252"/>
      <c r="XV974" s="252"/>
      <c r="XW974" s="252"/>
      <c r="XX974" s="252"/>
      <c r="XY974" s="252"/>
      <c r="XZ974" s="252"/>
      <c r="YA974" s="252"/>
      <c r="YB974" s="252"/>
      <c r="YC974" s="252"/>
      <c r="YD974" s="252"/>
      <c r="YE974" s="252"/>
      <c r="YF974" s="252"/>
      <c r="YG974" s="252"/>
      <c r="YH974" s="252"/>
      <c r="YI974" s="252"/>
      <c r="YJ974" s="252"/>
      <c r="YK974" s="252"/>
      <c r="YL974" s="252"/>
      <c r="YM974" s="252"/>
      <c r="YN974" s="252"/>
      <c r="YO974" s="252"/>
      <c r="YP974" s="252"/>
      <c r="YQ974" s="252"/>
      <c r="YR974" s="252"/>
      <c r="YS974" s="252"/>
      <c r="YT974" s="252"/>
      <c r="YU974" s="252"/>
      <c r="YV974" s="252"/>
      <c r="YW974" s="252"/>
      <c r="YX974" s="252"/>
      <c r="YY974" s="252"/>
      <c r="YZ974" s="252"/>
      <c r="ZA974" s="252"/>
      <c r="ZB974" s="252"/>
      <c r="ZC974" s="252"/>
      <c r="ZD974" s="252"/>
      <c r="ZE974" s="252"/>
      <c r="ZF974" s="252"/>
      <c r="ZG974" s="252"/>
      <c r="ZH974" s="252"/>
      <c r="ZI974" s="252"/>
      <c r="ZJ974" s="252"/>
      <c r="ZK974" s="252"/>
      <c r="ZL974" s="252"/>
      <c r="ZM974" s="252"/>
      <c r="ZN974" s="252"/>
      <c r="ZO974" s="252"/>
      <c r="ZP974" s="252"/>
      <c r="ZQ974" s="252"/>
      <c r="ZR974" s="252"/>
      <c r="ZS974" s="252"/>
      <c r="ZT974" s="252"/>
      <c r="ZU974" s="252"/>
      <c r="ZV974" s="252"/>
      <c r="ZW974" s="252"/>
      <c r="ZX974" s="252"/>
      <c r="ZY974" s="252"/>
      <c r="ZZ974" s="252"/>
      <c r="AAA974" s="252"/>
      <c r="AAB974" s="252"/>
      <c r="AAC974" s="252"/>
      <c r="AAD974" s="252"/>
      <c r="AAE974" s="252"/>
      <c r="AAF974" s="252"/>
      <c r="AAG974" s="252"/>
      <c r="AAH974" s="252"/>
      <c r="AAI974" s="252"/>
      <c r="AAJ974" s="252"/>
      <c r="AAK974" s="252"/>
      <c r="AAL974" s="252"/>
      <c r="AAM974" s="252"/>
      <c r="AAN974" s="252"/>
      <c r="AAO974" s="252"/>
      <c r="AAP974" s="252"/>
      <c r="AAQ974" s="252"/>
      <c r="AAR974" s="252"/>
      <c r="AAS974" s="252"/>
      <c r="AAT974" s="252"/>
      <c r="AAU974" s="252"/>
      <c r="AAV974" s="252"/>
      <c r="AAW974" s="252"/>
      <c r="AAX974" s="252"/>
      <c r="AAY974" s="252"/>
      <c r="AAZ974" s="252"/>
      <c r="ABA974" s="252"/>
      <c r="ABB974" s="252"/>
      <c r="ABC974" s="252"/>
      <c r="ABD974" s="252"/>
      <c r="ABE974" s="252"/>
      <c r="ABF974" s="252"/>
      <c r="ABG974" s="252"/>
      <c r="ABH974" s="252"/>
      <c r="ABI974" s="252"/>
      <c r="ABJ974" s="252"/>
      <c r="ABK974" s="252"/>
      <c r="ABL974" s="252"/>
      <c r="ABM974" s="252"/>
      <c r="ABN974" s="252"/>
      <c r="ABO974" s="252"/>
      <c r="ABP974" s="252"/>
      <c r="ABQ974" s="252"/>
      <c r="ABR974" s="252"/>
      <c r="ABS974" s="252"/>
      <c r="ABT974" s="252"/>
      <c r="ABU974" s="252"/>
      <c r="ABV974" s="252"/>
      <c r="ABW974" s="252"/>
      <c r="ABX974" s="252"/>
      <c r="ABY974" s="252"/>
      <c r="ABZ974" s="252"/>
      <c r="ACA974" s="252"/>
      <c r="ACB974" s="252"/>
      <c r="ACC974" s="252"/>
      <c r="ACD974" s="252"/>
      <c r="ACE974" s="252"/>
      <c r="ACF974" s="252"/>
      <c r="ACG974" s="252"/>
      <c r="ACH974" s="252"/>
      <c r="ACI974" s="252"/>
      <c r="ACJ974" s="252"/>
      <c r="ACK974" s="252"/>
      <c r="ACL974" s="252"/>
      <c r="ACM974" s="252"/>
      <c r="ACN974" s="252"/>
      <c r="ACO974" s="252"/>
      <c r="ACP974" s="252"/>
      <c r="ACQ974" s="252"/>
      <c r="ACR974" s="252"/>
      <c r="ACS974" s="252"/>
      <c r="ACT974" s="252"/>
      <c r="ACU974" s="252"/>
      <c r="ACV974" s="252"/>
      <c r="ACW974" s="252"/>
      <c r="ACX974" s="252"/>
      <c r="ACY974" s="252"/>
      <c r="ACZ974" s="252"/>
      <c r="ADA974" s="252"/>
      <c r="ADB974" s="252"/>
      <c r="ADC974" s="252"/>
      <c r="ADD974" s="252"/>
      <c r="ADE974" s="252"/>
      <c r="ADF974" s="252"/>
      <c r="ADG974" s="252"/>
      <c r="ADH974" s="252"/>
      <c r="ADI974" s="252"/>
      <c r="ADJ974" s="252"/>
      <c r="ADK974" s="252"/>
      <c r="ADL974" s="252"/>
      <c r="ADM974" s="252"/>
      <c r="ADN974" s="252"/>
      <c r="ADO974" s="252"/>
      <c r="ADP974" s="252"/>
      <c r="ADQ974" s="252"/>
      <c r="ADR974" s="252"/>
      <c r="ADS974" s="252"/>
      <c r="ADT974" s="252"/>
      <c r="ADU974" s="252"/>
      <c r="ADV974" s="252"/>
      <c r="ADW974" s="252"/>
      <c r="ADX974" s="252"/>
      <c r="ADY974" s="252"/>
      <c r="ADZ974" s="252"/>
      <c r="AEA974" s="252"/>
      <c r="AEB974" s="252"/>
      <c r="AEC974" s="252"/>
      <c r="AED974" s="252"/>
      <c r="AEE974" s="252"/>
      <c r="AEF974" s="252"/>
      <c r="AEG974" s="252"/>
      <c r="AEH974" s="252"/>
      <c r="AEI974" s="252"/>
      <c r="AEJ974" s="252"/>
      <c r="AEK974" s="252"/>
      <c r="AEL974" s="252"/>
      <c r="AEM974" s="252"/>
      <c r="AEN974" s="252"/>
      <c r="AEO974" s="252"/>
      <c r="AEP974" s="252"/>
      <c r="AEQ974" s="252"/>
      <c r="AER974" s="252"/>
      <c r="AES974" s="252"/>
      <c r="AET974" s="252"/>
      <c r="AEU974" s="252"/>
      <c r="AEV974" s="252"/>
      <c r="AEW974" s="252"/>
      <c r="AEX974" s="252"/>
      <c r="AEY974" s="252"/>
      <c r="AEZ974" s="252"/>
      <c r="AFA974" s="252"/>
      <c r="AFB974" s="252"/>
      <c r="AFC974" s="252"/>
      <c r="AFD974" s="252"/>
      <c r="AFE974" s="252"/>
      <c r="AFF974" s="252"/>
      <c r="AFG974" s="252"/>
      <c r="AFH974" s="252"/>
      <c r="AFI974" s="252"/>
      <c r="AFJ974" s="252"/>
      <c r="AFK974" s="252"/>
      <c r="AFL974" s="252"/>
      <c r="AFM974" s="252"/>
      <c r="AFN974" s="252"/>
      <c r="AFO974" s="252"/>
      <c r="AFP974" s="252"/>
      <c r="AFQ974" s="252"/>
      <c r="AFR974" s="252"/>
      <c r="AFS974" s="252"/>
      <c r="AFT974" s="252"/>
      <c r="AFU974" s="252"/>
      <c r="AFV974" s="252"/>
      <c r="AFW974" s="252"/>
      <c r="AFX974" s="252"/>
      <c r="AFY974" s="252"/>
      <c r="AFZ974" s="252"/>
      <c r="AGA974" s="252"/>
      <c r="AGB974" s="252"/>
      <c r="AGC974" s="252"/>
      <c r="AGD974" s="252"/>
      <c r="AGE974" s="252"/>
      <c r="AGF974" s="252"/>
      <c r="AGG974" s="252"/>
      <c r="AGH974" s="252"/>
      <c r="AGI974" s="252"/>
      <c r="AGJ974" s="252"/>
      <c r="AGK974" s="252"/>
      <c r="AGL974" s="252"/>
      <c r="AGM974" s="252"/>
      <c r="AGN974" s="252"/>
      <c r="AGO974" s="252"/>
      <c r="AGP974" s="252"/>
      <c r="AGQ974" s="252"/>
      <c r="AGR974" s="252"/>
      <c r="AGS974" s="252"/>
      <c r="AGT974" s="252"/>
      <c r="AGU974" s="252"/>
      <c r="AGV974" s="252"/>
      <c r="AGW974" s="252"/>
      <c r="AGX974" s="252"/>
      <c r="AGY974" s="252"/>
      <c r="AGZ974" s="252"/>
      <c r="AHA974" s="252"/>
      <c r="AHB974" s="252"/>
      <c r="AHC974" s="252"/>
      <c r="AHD974" s="252"/>
      <c r="AHE974" s="252"/>
      <c r="AHF974" s="252"/>
      <c r="AHG974" s="252"/>
      <c r="AHH974" s="252"/>
      <c r="AHI974" s="252"/>
      <c r="AHJ974" s="252"/>
      <c r="AHK974" s="252"/>
      <c r="AHL974" s="252"/>
      <c r="AHM974" s="252"/>
      <c r="AHN974" s="252"/>
      <c r="AHO974" s="252"/>
      <c r="AHP974" s="252"/>
      <c r="AHQ974" s="252"/>
      <c r="AHR974" s="252"/>
      <c r="AHS974" s="252"/>
      <c r="AHT974" s="252"/>
      <c r="AHU974" s="252"/>
      <c r="AHV974" s="252"/>
      <c r="AHW974" s="252"/>
      <c r="AHX974" s="252"/>
      <c r="AHY974" s="252"/>
      <c r="AHZ974" s="252"/>
      <c r="AIA974" s="252"/>
      <c r="AIB974" s="252"/>
      <c r="AIC974" s="252"/>
      <c r="AID974" s="252"/>
      <c r="AIE974" s="252"/>
      <c r="AIF974" s="252"/>
      <c r="AIG974" s="252"/>
      <c r="AIH974" s="252"/>
      <c r="AII974" s="252"/>
      <c r="AIJ974" s="252"/>
      <c r="AIK974" s="252"/>
      <c r="AIL974" s="252"/>
      <c r="AIM974" s="252"/>
      <c r="AIN974" s="252"/>
      <c r="AIO974" s="252"/>
      <c r="AIP974" s="252"/>
      <c r="AIQ974" s="252"/>
      <c r="AIR974" s="252"/>
      <c r="AIS974" s="252"/>
      <c r="AIT974" s="252"/>
      <c r="AIU974" s="252"/>
      <c r="AIV974" s="252"/>
      <c r="AIW974" s="252"/>
      <c r="AIX974" s="252"/>
      <c r="AIY974" s="252"/>
      <c r="AIZ974" s="252"/>
      <c r="AJA974" s="252"/>
      <c r="AJB974" s="252"/>
      <c r="AJC974" s="252"/>
      <c r="AJD974" s="252"/>
      <c r="AJE974" s="252"/>
      <c r="AJF974" s="252"/>
      <c r="AJG974" s="252"/>
      <c r="AJH974" s="252"/>
      <c r="AJI974" s="252"/>
      <c r="AJJ974" s="252"/>
      <c r="AJK974" s="252"/>
      <c r="AJL974" s="252"/>
      <c r="AJM974" s="252"/>
      <c r="AJN974" s="252"/>
      <c r="AJO974" s="252"/>
      <c r="AJP974" s="252"/>
      <c r="AJQ974" s="252"/>
      <c r="AJR974" s="252"/>
      <c r="AJS974" s="252"/>
      <c r="AJT974" s="252"/>
      <c r="AJU974" s="252"/>
      <c r="AJV974" s="252"/>
      <c r="AJW974" s="252"/>
      <c r="AJX974" s="252"/>
      <c r="AJY974" s="252"/>
      <c r="AJZ974" s="252"/>
      <c r="AKA974" s="252"/>
      <c r="AKB974" s="252"/>
      <c r="AKC974" s="252"/>
      <c r="AKD974" s="252"/>
      <c r="AKE974" s="252"/>
      <c r="AKF974" s="252"/>
      <c r="AKG974" s="252"/>
      <c r="AKH974" s="252"/>
      <c r="AKI974" s="252"/>
      <c r="AKJ974" s="252"/>
      <c r="AKK974" s="252"/>
      <c r="AKL974" s="252"/>
      <c r="AKM974" s="252"/>
      <c r="AKN974" s="252"/>
      <c r="AKO974" s="252"/>
      <c r="AKP974" s="252"/>
      <c r="AKQ974" s="252"/>
      <c r="AKR974" s="252"/>
      <c r="AKS974" s="252"/>
      <c r="AKT974" s="252"/>
      <c r="AKU974" s="252"/>
      <c r="AKV974" s="252"/>
      <c r="AKW974" s="252"/>
      <c r="AKX974" s="252"/>
      <c r="AKY974" s="252"/>
      <c r="AKZ974" s="252"/>
      <c r="ALA974" s="252"/>
      <c r="ALB974" s="252"/>
      <c r="ALC974" s="252"/>
      <c r="ALD974" s="252"/>
      <c r="ALE974" s="252"/>
      <c r="ALF974" s="252"/>
      <c r="ALG974" s="252"/>
      <c r="ALH974" s="252"/>
      <c r="ALI974" s="252"/>
      <c r="ALJ974" s="252"/>
      <c r="ALK974" s="252"/>
      <c r="ALL974" s="252"/>
      <c r="ALM974" s="252"/>
      <c r="ALN974" s="252"/>
      <c r="ALO974" s="252"/>
      <c r="ALP974" s="252"/>
      <c r="ALQ974" s="252"/>
      <c r="ALR974" s="252"/>
      <c r="ALS974" s="252"/>
      <c r="ALT974" s="252"/>
      <c r="ALU974" s="252"/>
      <c r="ALV974" s="252"/>
      <c r="ALW974" s="252"/>
      <c r="ALX974" s="252"/>
      <c r="ALY974" s="252"/>
      <c r="ALZ974" s="252"/>
      <c r="AMA974" s="252"/>
      <c r="AMB974" s="252"/>
      <c r="AMC974" s="252"/>
      <c r="AMD974" s="252"/>
      <c r="AME974" s="252"/>
      <c r="AMF974" s="252"/>
      <c r="AMG974" s="252"/>
      <c r="AMH974" s="252"/>
      <c r="AMI974" s="252"/>
      <c r="AMJ974" s="252"/>
      <c r="AMK974" s="252"/>
      <c r="AML974" s="252"/>
      <c r="AMM974" s="252"/>
      <c r="AMN974" s="252"/>
      <c r="AMO974" s="252"/>
      <c r="AMP974" s="252"/>
      <c r="AMQ974" s="252"/>
      <c r="AMR974" s="252"/>
      <c r="AMS974" s="252"/>
      <c r="AMT974" s="252"/>
      <c r="AMU974" s="252"/>
      <c r="AMV974" s="252"/>
      <c r="AMW974" s="252"/>
      <c r="AMX974" s="252"/>
      <c r="AMY974" s="252"/>
      <c r="AMZ974" s="252"/>
      <c r="ANA974" s="252"/>
      <c r="ANB974" s="252"/>
      <c r="ANC974" s="252"/>
      <c r="AND974" s="252"/>
      <c r="ANE974" s="252"/>
      <c r="ANF974" s="252"/>
      <c r="ANG974" s="252"/>
      <c r="ANH974" s="252"/>
      <c r="ANI974" s="252"/>
      <c r="ANJ974" s="252"/>
      <c r="ANK974" s="252"/>
      <c r="ANL974" s="252"/>
      <c r="ANM974" s="252"/>
      <c r="ANN974" s="252"/>
      <c r="ANO974" s="252"/>
      <c r="ANP974" s="252"/>
      <c r="ANQ974" s="252"/>
      <c r="ANR974" s="252"/>
      <c r="ANS974" s="252"/>
      <c r="ANT974" s="252"/>
      <c r="ANU974" s="252"/>
      <c r="ANV974" s="252"/>
      <c r="ANW974" s="252"/>
      <c r="ANX974" s="252"/>
      <c r="ANY974" s="252"/>
      <c r="ANZ974" s="252"/>
      <c r="AOA974" s="252"/>
      <c r="AOB974" s="252"/>
      <c r="AOC974" s="252"/>
      <c r="AOD974" s="252"/>
      <c r="AOE974" s="252"/>
      <c r="AOF974" s="252"/>
      <c r="AOG974" s="252"/>
      <c r="AOH974" s="252"/>
      <c r="AOI974" s="252"/>
      <c r="AOJ974" s="252"/>
      <c r="AOK974" s="252"/>
      <c r="AOL974" s="252"/>
      <c r="AOM974" s="252"/>
      <c r="AON974" s="252"/>
      <c r="AOO974" s="252"/>
      <c r="AOP974" s="252"/>
      <c r="AOQ974" s="252"/>
      <c r="AOR974" s="252"/>
      <c r="AOS974" s="252"/>
      <c r="AOT974" s="252"/>
      <c r="AOU974" s="252"/>
      <c r="AOV974" s="252"/>
      <c r="AOW974" s="252"/>
      <c r="AOX974" s="252"/>
      <c r="AOY974" s="252"/>
      <c r="AOZ974" s="252"/>
      <c r="APA974" s="252"/>
      <c r="APB974" s="252"/>
      <c r="APC974" s="252"/>
      <c r="APD974" s="252"/>
      <c r="APE974" s="252"/>
      <c r="APF974" s="252"/>
      <c r="APG974" s="252"/>
      <c r="APH974" s="252"/>
      <c r="API974" s="252"/>
      <c r="APJ974" s="252"/>
      <c r="APK974" s="252"/>
      <c r="APL974" s="252"/>
      <c r="APM974" s="252"/>
      <c r="APN974" s="252"/>
      <c r="APO974" s="252"/>
      <c r="APP974" s="252"/>
      <c r="APQ974" s="252"/>
      <c r="APR974" s="252"/>
      <c r="APS974" s="252"/>
      <c r="APT974" s="252"/>
      <c r="APU974" s="252"/>
      <c r="APV974" s="252"/>
      <c r="APW974" s="252"/>
      <c r="APX974" s="252"/>
      <c r="APY974" s="252"/>
      <c r="APZ974" s="252"/>
      <c r="AQA974" s="252"/>
      <c r="AQB974" s="252"/>
      <c r="AQC974" s="252"/>
      <c r="AQD974" s="252"/>
      <c r="AQE974" s="252"/>
      <c r="AQF974" s="252"/>
      <c r="AQG974" s="252"/>
      <c r="AQH974" s="252"/>
      <c r="AQI974" s="252"/>
      <c r="AQJ974" s="252"/>
      <c r="AQK974" s="252"/>
      <c r="AQL974" s="252"/>
      <c r="AQM974" s="252"/>
      <c r="AQN974" s="252"/>
      <c r="AQO974" s="252"/>
      <c r="AQP974" s="252"/>
      <c r="AQQ974" s="252"/>
      <c r="AQR974" s="252"/>
      <c r="AQS974" s="252"/>
      <c r="AQT974" s="252"/>
      <c r="AQU974" s="252"/>
      <c r="AQV974" s="252"/>
      <c r="AQW974" s="252"/>
      <c r="AQX974" s="252"/>
      <c r="AQY974" s="252"/>
      <c r="AQZ974" s="252"/>
      <c r="ARA974" s="252"/>
      <c r="ARB974" s="252"/>
      <c r="ARC974" s="252"/>
      <c r="ARD974" s="252"/>
      <c r="ARE974" s="252"/>
      <c r="ARF974" s="252"/>
      <c r="ARG974" s="252"/>
      <c r="ARH974" s="252"/>
      <c r="ARI974" s="252"/>
      <c r="ARJ974" s="252"/>
      <c r="ARK974" s="252"/>
      <c r="ARL974" s="252"/>
      <c r="ARM974" s="252"/>
      <c r="ARN974" s="252"/>
      <c r="ARO974" s="252"/>
      <c r="ARP974" s="252"/>
      <c r="ARQ974" s="252"/>
      <c r="ARR974" s="252"/>
      <c r="ARS974" s="252"/>
      <c r="ART974" s="252"/>
      <c r="ARU974" s="252"/>
      <c r="ARV974" s="252"/>
      <c r="ARW974" s="252"/>
      <c r="ARX974" s="252"/>
      <c r="ARY974" s="252"/>
      <c r="ARZ974" s="252"/>
      <c r="ASA974" s="252"/>
      <c r="ASB974" s="252"/>
      <c r="ASC974" s="252"/>
      <c r="ASD974" s="252"/>
      <c r="ASE974" s="252"/>
      <c r="ASF974" s="252"/>
      <c r="ASG974" s="252"/>
      <c r="ASH974" s="252"/>
      <c r="ASI974" s="252"/>
      <c r="ASJ974" s="252"/>
      <c r="ASK974" s="252"/>
      <c r="ASL974" s="252"/>
      <c r="ASM974" s="252"/>
      <c r="ASN974" s="252"/>
      <c r="ASO974" s="252"/>
      <c r="ASP974" s="252"/>
      <c r="ASQ974" s="252"/>
      <c r="ASR974" s="252"/>
      <c r="ASS974" s="252"/>
      <c r="AST974" s="252"/>
      <c r="ASU974" s="252"/>
      <c r="ASV974" s="252"/>
      <c r="ASW974" s="252"/>
      <c r="ASX974" s="252"/>
      <c r="ASY974" s="252"/>
      <c r="ASZ974" s="252"/>
      <c r="ATA974" s="252"/>
      <c r="ATB974" s="252"/>
      <c r="ATC974" s="252"/>
      <c r="ATD974" s="252"/>
      <c r="ATE974" s="252"/>
      <c r="ATF974" s="252"/>
      <c r="ATG974" s="252"/>
      <c r="ATH974" s="252"/>
      <c r="ATI974" s="252"/>
      <c r="ATJ974" s="252"/>
      <c r="ATK974" s="252"/>
      <c r="ATL974" s="252"/>
      <c r="ATM974" s="252"/>
      <c r="ATN974" s="252"/>
      <c r="ATO974" s="252"/>
      <c r="ATP974" s="252"/>
      <c r="ATQ974" s="252"/>
      <c r="ATR974" s="252"/>
      <c r="ATS974" s="252"/>
      <c r="ATT974" s="252"/>
      <c r="ATU974" s="252"/>
      <c r="ATV974" s="252"/>
      <c r="ATW974" s="252"/>
      <c r="ATX974" s="252"/>
      <c r="ATY974" s="252"/>
      <c r="ATZ974" s="252"/>
      <c r="AUA974" s="252"/>
      <c r="AUB974" s="252"/>
      <c r="AUC974" s="252"/>
      <c r="AUD974" s="252"/>
      <c r="AUE974" s="252"/>
      <c r="AUF974" s="252"/>
      <c r="AUG974" s="252"/>
      <c r="AUH974" s="252"/>
      <c r="AUI974" s="252"/>
      <c r="AUJ974" s="252"/>
      <c r="AUK974" s="252"/>
      <c r="AUL974" s="252"/>
      <c r="AUM974" s="252"/>
      <c r="AUN974" s="252"/>
      <c r="AUO974" s="252"/>
      <c r="AUP974" s="252"/>
      <c r="AUQ974" s="252"/>
      <c r="AUR974" s="252"/>
      <c r="AUS974" s="252"/>
      <c r="AUT974" s="252"/>
      <c r="AUU974" s="252"/>
      <c r="AUV974" s="252"/>
      <c r="AUW974" s="252"/>
      <c r="AUX974" s="252"/>
      <c r="AUY974" s="252"/>
      <c r="AUZ974" s="252"/>
      <c r="AVA974" s="252"/>
      <c r="AVB974" s="252"/>
      <c r="AVC974" s="252"/>
      <c r="AVD974" s="252"/>
      <c r="AVE974" s="252"/>
      <c r="AVF974" s="252"/>
      <c r="AVG974" s="252"/>
      <c r="AVH974" s="252"/>
      <c r="AVI974" s="252"/>
      <c r="AVJ974" s="252"/>
      <c r="AVK974" s="252"/>
      <c r="AVL974" s="252"/>
      <c r="AVM974" s="252"/>
      <c r="AVN974" s="252"/>
      <c r="AVO974" s="252"/>
      <c r="AVP974" s="252"/>
      <c r="AVQ974" s="252"/>
      <c r="AVR974" s="252"/>
      <c r="AVS974" s="252"/>
      <c r="AVT974" s="252"/>
      <c r="AVU974" s="252"/>
      <c r="AVV974" s="252"/>
      <c r="AVW974" s="252"/>
      <c r="AVX974" s="252"/>
      <c r="AVY974" s="252"/>
      <c r="AVZ974" s="252"/>
      <c r="AWA974" s="252"/>
      <c r="AWB974" s="252"/>
      <c r="AWC974" s="252"/>
      <c r="AWD974" s="252"/>
      <c r="AWE974" s="252"/>
      <c r="AWF974" s="252"/>
      <c r="AWG974" s="252"/>
      <c r="AWH974" s="252"/>
      <c r="AWI974" s="252"/>
      <c r="AWJ974" s="252"/>
      <c r="AWK974" s="252"/>
      <c r="AWL974" s="252"/>
      <c r="AWM974" s="252"/>
      <c r="AWN974" s="252"/>
      <c r="AWO974" s="252"/>
      <c r="AWP974" s="252"/>
      <c r="AWQ974" s="252"/>
      <c r="AWR974" s="252"/>
      <c r="AWS974" s="252"/>
      <c r="AWT974" s="252"/>
      <c r="AWU974" s="252"/>
      <c r="AWV974" s="252"/>
      <c r="AWW974" s="252"/>
      <c r="AWX974" s="252"/>
      <c r="AWY974" s="252"/>
      <c r="AWZ974" s="252"/>
      <c r="AXA974" s="252"/>
      <c r="AXB974" s="252"/>
      <c r="AXC974" s="252"/>
      <c r="AXD974" s="252"/>
      <c r="AXE974" s="252"/>
      <c r="AXF974" s="252"/>
      <c r="AXG974" s="252"/>
      <c r="AXH974" s="252"/>
      <c r="AXI974" s="252"/>
      <c r="AXJ974" s="252"/>
      <c r="AXK974" s="252"/>
      <c r="AXL974" s="252"/>
      <c r="AXM974" s="252"/>
      <c r="AXN974" s="252"/>
      <c r="AXO974" s="252"/>
      <c r="AXP974" s="252"/>
      <c r="AXQ974" s="252"/>
      <c r="AXR974" s="252"/>
      <c r="AXS974" s="252"/>
      <c r="AXT974" s="252"/>
      <c r="AXU974" s="252"/>
      <c r="AXV974" s="252"/>
      <c r="AXW974" s="252"/>
      <c r="AXX974" s="252"/>
      <c r="AXY974" s="252"/>
      <c r="AXZ974" s="252"/>
      <c r="AYA974" s="252"/>
      <c r="AYB974" s="252"/>
      <c r="AYC974" s="252"/>
      <c r="AYD974" s="252"/>
      <c r="AYE974" s="252"/>
      <c r="AYF974" s="252"/>
      <c r="AYG974" s="252"/>
      <c r="AYH974" s="252"/>
      <c r="AYI974" s="252"/>
      <c r="AYJ974" s="252"/>
      <c r="AYK974" s="252"/>
      <c r="AYL974" s="252"/>
      <c r="AYM974" s="252"/>
      <c r="AYN974" s="252"/>
      <c r="AYO974" s="252"/>
      <c r="AYP974" s="252"/>
      <c r="AYQ974" s="252"/>
      <c r="AYR974" s="252"/>
      <c r="AYS974" s="252"/>
      <c r="AYT974" s="252"/>
      <c r="AYU974" s="252"/>
      <c r="AYV974" s="252"/>
      <c r="AYW974" s="252"/>
      <c r="AYX974" s="252"/>
      <c r="AYY974" s="252"/>
      <c r="AYZ974" s="252"/>
      <c r="AZA974" s="252"/>
      <c r="AZB974" s="252"/>
      <c r="AZC974" s="252"/>
      <c r="AZD974" s="252"/>
      <c r="AZE974" s="252"/>
      <c r="AZF974" s="252"/>
      <c r="AZG974" s="252"/>
      <c r="AZH974" s="252"/>
      <c r="AZI974" s="252"/>
      <c r="AZJ974" s="252"/>
      <c r="AZK974" s="252"/>
      <c r="AZL974" s="252"/>
      <c r="AZM974" s="252"/>
      <c r="AZN974" s="252"/>
      <c r="AZO974" s="252"/>
      <c r="AZP974" s="252"/>
      <c r="AZQ974" s="252"/>
      <c r="AZR974" s="252"/>
      <c r="AZS974" s="252"/>
      <c r="AZT974" s="252"/>
      <c r="AZU974" s="252"/>
      <c r="AZV974" s="252"/>
      <c r="AZW974" s="252"/>
      <c r="AZX974" s="252"/>
      <c r="AZY974" s="252"/>
      <c r="AZZ974" s="252"/>
      <c r="BAA974" s="252"/>
      <c r="BAB974" s="252"/>
      <c r="BAC974" s="252"/>
      <c r="BAD974" s="252"/>
      <c r="BAE974" s="252"/>
      <c r="BAF974" s="252"/>
      <c r="BAG974" s="252"/>
      <c r="BAH974" s="252"/>
      <c r="BAI974" s="252"/>
      <c r="BAJ974" s="252"/>
      <c r="BAK974" s="252"/>
      <c r="BAL974" s="252"/>
      <c r="BAM974" s="252"/>
      <c r="BAN974" s="252"/>
      <c r="BAO974" s="252"/>
      <c r="BAP974" s="252"/>
      <c r="BAQ974" s="252"/>
      <c r="BAR974" s="252"/>
      <c r="BAS974" s="252"/>
      <c r="BAT974" s="252"/>
      <c r="BAU974" s="252"/>
      <c r="BAV974" s="252"/>
      <c r="BAW974" s="252"/>
      <c r="BAX974" s="252"/>
      <c r="BAY974" s="252"/>
      <c r="BAZ974" s="252"/>
      <c r="BBA974" s="252"/>
      <c r="BBB974" s="252"/>
      <c r="BBC974" s="252"/>
      <c r="BBD974" s="252"/>
      <c r="BBE974" s="252"/>
      <c r="BBF974" s="252"/>
      <c r="BBG974" s="252"/>
      <c r="BBH974" s="252"/>
      <c r="BBI974" s="252"/>
      <c r="BBJ974" s="252"/>
      <c r="BBK974" s="252"/>
      <c r="BBL974" s="252"/>
      <c r="BBM974" s="252"/>
      <c r="BBN974" s="252"/>
      <c r="BBO974" s="252"/>
      <c r="BBP974" s="252"/>
      <c r="BBQ974" s="252"/>
      <c r="BBR974" s="252"/>
      <c r="BBS974" s="252"/>
      <c r="BBT974" s="252"/>
      <c r="BBU974" s="252"/>
      <c r="BBV974" s="252"/>
      <c r="BBW974" s="252"/>
      <c r="BBX974" s="252"/>
      <c r="BBY974" s="252"/>
      <c r="BBZ974" s="252"/>
      <c r="BCA974" s="252"/>
      <c r="BCB974" s="252"/>
      <c r="BCC974" s="252"/>
      <c r="BCD974" s="252"/>
      <c r="BCE974" s="252"/>
      <c r="BCF974" s="252"/>
      <c r="BCG974" s="252"/>
      <c r="BCH974" s="252"/>
      <c r="BCI974" s="252"/>
      <c r="BCJ974" s="252"/>
      <c r="BCK974" s="252"/>
      <c r="BCL974" s="252"/>
      <c r="BCM974" s="252"/>
      <c r="BCN974" s="252"/>
      <c r="BCO974" s="252"/>
      <c r="BCP974" s="252"/>
      <c r="BCQ974" s="252"/>
      <c r="BCR974" s="252"/>
      <c r="BCS974" s="252"/>
      <c r="BCT974" s="252"/>
      <c r="BCU974" s="252"/>
      <c r="BCV974" s="252"/>
      <c r="BCW974" s="252"/>
      <c r="BCX974" s="252"/>
      <c r="BCY974" s="252"/>
      <c r="BCZ974" s="252"/>
      <c r="BDA974" s="252"/>
      <c r="BDB974" s="252"/>
      <c r="BDC974" s="252"/>
      <c r="BDD974" s="252"/>
      <c r="BDE974" s="252"/>
      <c r="BDF974" s="252"/>
      <c r="BDG974" s="252"/>
      <c r="BDH974" s="252"/>
      <c r="BDI974" s="252"/>
      <c r="BDJ974" s="252"/>
      <c r="BDK974" s="252"/>
      <c r="BDL974" s="252"/>
      <c r="BDM974" s="252"/>
      <c r="BDN974" s="252"/>
      <c r="BDO974" s="252"/>
      <c r="BDP974" s="252"/>
      <c r="BDQ974" s="252"/>
      <c r="BDR974" s="252"/>
      <c r="BDS974" s="252"/>
      <c r="BDT974" s="252"/>
      <c r="BDU974" s="252"/>
      <c r="BDV974" s="252"/>
      <c r="BDW974" s="252"/>
      <c r="BDX974" s="252"/>
      <c r="BDY974" s="252"/>
      <c r="BDZ974" s="252"/>
      <c r="BEA974" s="252"/>
      <c r="BEB974" s="252"/>
      <c r="BEC974" s="252"/>
      <c r="BED974" s="252"/>
      <c r="BEE974" s="252"/>
      <c r="BEF974" s="252"/>
      <c r="BEG974" s="252"/>
      <c r="BEH974" s="252"/>
      <c r="BEI974" s="252"/>
      <c r="BEJ974" s="252"/>
      <c r="BEK974" s="252"/>
      <c r="BEL974" s="252"/>
      <c r="BEM974" s="252"/>
      <c r="BEN974" s="252"/>
      <c r="BEO974" s="252"/>
      <c r="BEP974" s="252"/>
      <c r="BEQ974" s="252"/>
      <c r="BER974" s="252"/>
      <c r="BES974" s="252"/>
      <c r="BET974" s="252"/>
      <c r="BEU974" s="252"/>
      <c r="BEV974" s="252"/>
      <c r="BEW974" s="252"/>
      <c r="BEX974" s="252"/>
      <c r="BEY974" s="252"/>
      <c r="BEZ974" s="252"/>
      <c r="BFA974" s="252"/>
      <c r="BFB974" s="252"/>
      <c r="BFC974" s="252"/>
      <c r="BFD974" s="252"/>
      <c r="BFE974" s="252"/>
      <c r="BFF974" s="252"/>
      <c r="BFG974" s="252"/>
      <c r="BFH974" s="252"/>
      <c r="BFI974" s="252"/>
      <c r="BFJ974" s="252"/>
      <c r="BFK974" s="252"/>
      <c r="BFL974" s="252"/>
      <c r="BFM974" s="252"/>
      <c r="BFN974" s="252"/>
      <c r="BFO974" s="252"/>
      <c r="BFP974" s="252"/>
      <c r="BFQ974" s="252"/>
      <c r="BFR974" s="252"/>
      <c r="BFS974" s="252"/>
      <c r="BFT974" s="252"/>
      <c r="BFU974" s="252"/>
      <c r="BFV974" s="252"/>
      <c r="BFW974" s="252"/>
      <c r="BFX974" s="252"/>
      <c r="BFY974" s="252"/>
      <c r="BFZ974" s="252"/>
      <c r="BGA974" s="252"/>
      <c r="BGB974" s="252"/>
      <c r="BGC974" s="252"/>
      <c r="BGD974" s="252"/>
      <c r="BGE974" s="252"/>
      <c r="BGF974" s="252"/>
      <c r="BGG974" s="252"/>
      <c r="BGH974" s="252"/>
      <c r="BGI974" s="252"/>
      <c r="BGJ974" s="252"/>
      <c r="BGK974" s="252"/>
      <c r="BGL974" s="252"/>
      <c r="BGM974" s="252"/>
      <c r="BGN974" s="252"/>
      <c r="BGO974" s="252"/>
      <c r="BGP974" s="252"/>
      <c r="BGQ974" s="252"/>
      <c r="BGR974" s="252"/>
      <c r="BGS974" s="252"/>
      <c r="BGT974" s="252"/>
      <c r="BGU974" s="252"/>
      <c r="BGV974" s="252"/>
      <c r="BGW974" s="252"/>
      <c r="BGX974" s="252"/>
      <c r="BGY974" s="252"/>
      <c r="BGZ974" s="252"/>
      <c r="BHA974" s="252"/>
      <c r="BHB974" s="252"/>
      <c r="BHC974" s="252"/>
      <c r="BHD974" s="252"/>
      <c r="BHE974" s="252"/>
      <c r="BHF974" s="252"/>
      <c r="BHG974" s="252"/>
      <c r="BHH974" s="252"/>
      <c r="BHI974" s="252"/>
      <c r="BHJ974" s="252"/>
      <c r="BHK974" s="252"/>
      <c r="BHL974" s="252"/>
      <c r="BHM974" s="252"/>
      <c r="BHN974" s="252"/>
      <c r="BHO974" s="252"/>
      <c r="BHP974" s="252"/>
      <c r="BHQ974" s="252"/>
      <c r="BHR974" s="252"/>
      <c r="BHS974" s="252"/>
      <c r="BHT974" s="252"/>
      <c r="BHU974" s="252"/>
      <c r="BHV974" s="252"/>
      <c r="BHW974" s="252"/>
      <c r="BHX974" s="252"/>
      <c r="BHY974" s="252"/>
      <c r="BHZ974" s="252"/>
      <c r="BIA974" s="252"/>
      <c r="BIB974" s="252"/>
      <c r="BIC974" s="252"/>
      <c r="BID974" s="252"/>
      <c r="BIE974" s="252"/>
      <c r="BIF974" s="252"/>
      <c r="BIG974" s="252"/>
      <c r="BIH974" s="252"/>
      <c r="BII974" s="252"/>
      <c r="BIJ974" s="252"/>
      <c r="BIK974" s="252"/>
      <c r="BIL974" s="252"/>
      <c r="BIM974" s="252"/>
      <c r="BIN974" s="252"/>
      <c r="BIO974" s="252"/>
      <c r="BIP974" s="252"/>
      <c r="BIQ974" s="252"/>
      <c r="BIR974" s="252"/>
      <c r="BIS974" s="252"/>
      <c r="BIT974" s="252"/>
      <c r="BIU974" s="252"/>
      <c r="BIV974" s="252"/>
      <c r="BIW974" s="252"/>
      <c r="BIX974" s="252"/>
      <c r="BIY974" s="252"/>
      <c r="BIZ974" s="252"/>
      <c r="BJA974" s="252"/>
      <c r="BJB974" s="252"/>
      <c r="BJC974" s="252"/>
      <c r="BJD974" s="252"/>
      <c r="BJE974" s="252"/>
      <c r="BJF974" s="252"/>
      <c r="BJG974" s="252"/>
      <c r="BJH974" s="252"/>
      <c r="BJI974" s="252"/>
      <c r="BJJ974" s="252"/>
      <c r="BJK974" s="252"/>
      <c r="BJL974" s="252"/>
      <c r="BJM974" s="252"/>
      <c r="BJN974" s="252"/>
      <c r="BJO974" s="252"/>
      <c r="BJP974" s="252"/>
      <c r="BJQ974" s="252"/>
      <c r="BJR974" s="252"/>
      <c r="BJS974" s="252"/>
      <c r="BJT974" s="252"/>
      <c r="BJU974" s="252"/>
      <c r="BJV974" s="252"/>
      <c r="BJW974" s="252"/>
      <c r="BJX974" s="252"/>
      <c r="BJY974" s="252"/>
      <c r="BJZ974" s="252"/>
      <c r="BKA974" s="252"/>
      <c r="BKB974" s="252"/>
      <c r="BKC974" s="252"/>
      <c r="BKD974" s="252"/>
      <c r="BKE974" s="252"/>
      <c r="BKF974" s="252"/>
      <c r="BKG974" s="252"/>
      <c r="BKH974" s="252"/>
      <c r="BKI974" s="252"/>
      <c r="BKJ974" s="252"/>
      <c r="BKK974" s="252"/>
      <c r="BKL974" s="252"/>
      <c r="BKM974" s="252"/>
      <c r="BKN974" s="252"/>
      <c r="BKO974" s="252"/>
      <c r="BKP974" s="252"/>
      <c r="BKQ974" s="252"/>
      <c r="BKR974" s="252"/>
      <c r="BKS974" s="252"/>
      <c r="BKT974" s="252"/>
      <c r="BKU974" s="252"/>
      <c r="BKV974" s="252"/>
      <c r="BKW974" s="252"/>
      <c r="BKX974" s="252"/>
      <c r="BKY974" s="252"/>
      <c r="BKZ974" s="252"/>
      <c r="BLA974" s="252"/>
      <c r="BLB974" s="252"/>
      <c r="BLC974" s="252"/>
      <c r="BLD974" s="252"/>
      <c r="BLE974" s="252"/>
      <c r="BLF974" s="252"/>
      <c r="BLG974" s="252"/>
      <c r="BLH974" s="252"/>
      <c r="BLI974" s="252"/>
      <c r="BLJ974" s="252"/>
      <c r="BLK974" s="252"/>
      <c r="BLL974" s="252"/>
      <c r="BLM974" s="252"/>
      <c r="BLN974" s="252"/>
      <c r="BLO974" s="252"/>
      <c r="BLP974" s="252"/>
      <c r="BLQ974" s="252"/>
      <c r="BLR974" s="252"/>
      <c r="BLS974" s="252"/>
      <c r="BLT974" s="252"/>
      <c r="BLU974" s="252"/>
      <c r="BLV974" s="252"/>
      <c r="BLW974" s="252"/>
      <c r="BLX974" s="252"/>
      <c r="BLY974" s="252"/>
      <c r="BLZ974" s="252"/>
      <c r="BMA974" s="252"/>
      <c r="BMB974" s="252"/>
      <c r="BMC974" s="252"/>
      <c r="BMD974" s="252"/>
      <c r="BME974" s="252"/>
      <c r="BMF974" s="252"/>
      <c r="BMG974" s="252"/>
      <c r="BMH974" s="252"/>
      <c r="BMI974" s="252"/>
      <c r="BMJ974" s="252"/>
      <c r="BMK974" s="252"/>
      <c r="BML974" s="252"/>
      <c r="BMM974" s="252"/>
      <c r="BMN974" s="252"/>
      <c r="BMO974" s="252"/>
      <c r="BMP974" s="252"/>
      <c r="BMQ974" s="252"/>
      <c r="BMR974" s="252"/>
      <c r="BMS974" s="252"/>
      <c r="BMT974" s="252"/>
      <c r="BMU974" s="252"/>
      <c r="BMV974" s="252"/>
      <c r="BMW974" s="252"/>
      <c r="BMX974" s="252"/>
      <c r="BMY974" s="252"/>
      <c r="BMZ974" s="252"/>
      <c r="BNA974" s="252"/>
      <c r="BNB974" s="252"/>
      <c r="BNC974" s="252"/>
      <c r="BND974" s="252"/>
      <c r="BNE974" s="252"/>
      <c r="BNF974" s="252"/>
      <c r="BNG974" s="252"/>
      <c r="BNH974" s="252"/>
      <c r="BNI974" s="252"/>
      <c r="BNJ974" s="252"/>
      <c r="BNK974" s="252"/>
      <c r="BNL974" s="252"/>
      <c r="BNM974" s="252"/>
      <c r="BNN974" s="252"/>
      <c r="BNO974" s="252"/>
      <c r="BNP974" s="252"/>
      <c r="BNQ974" s="252"/>
      <c r="BNR974" s="252"/>
      <c r="BNS974" s="252"/>
      <c r="BNT974" s="252"/>
      <c r="BNU974" s="252"/>
      <c r="BNV974" s="252"/>
      <c r="BNW974" s="252"/>
      <c r="BNX974" s="252"/>
      <c r="BNY974" s="252"/>
      <c r="BNZ974" s="252"/>
      <c r="BOA974" s="252"/>
      <c r="BOB974" s="252"/>
      <c r="BOC974" s="252"/>
      <c r="BOD974" s="252"/>
      <c r="BOE974" s="252"/>
      <c r="BOF974" s="252"/>
      <c r="BOG974" s="252"/>
      <c r="BOH974" s="252"/>
      <c r="BOI974" s="252"/>
      <c r="BOJ974" s="252"/>
      <c r="BOK974" s="252"/>
      <c r="BOL974" s="252"/>
      <c r="BOM974" s="252"/>
      <c r="BON974" s="252"/>
      <c r="BOO974" s="252"/>
      <c r="BOP974" s="252"/>
      <c r="BOQ974" s="252"/>
      <c r="BOR974" s="252"/>
      <c r="BOS974" s="252"/>
      <c r="BOT974" s="252"/>
      <c r="BOU974" s="252"/>
      <c r="BOV974" s="252"/>
      <c r="BOW974" s="252"/>
      <c r="BOX974" s="252"/>
      <c r="BOY974" s="252"/>
      <c r="BOZ974" s="252"/>
      <c r="BPA974" s="252"/>
      <c r="BPB974" s="252"/>
      <c r="BPC974" s="252"/>
      <c r="BPD974" s="252"/>
      <c r="BPE974" s="252"/>
      <c r="BPF974" s="252"/>
      <c r="BPG974" s="252"/>
      <c r="BPH974" s="252"/>
      <c r="BPI974" s="252"/>
      <c r="BPJ974" s="252"/>
      <c r="BPK974" s="252"/>
      <c r="BPL974" s="252"/>
      <c r="BPM974" s="252"/>
      <c r="BPN974" s="252"/>
      <c r="BPO974" s="252"/>
      <c r="BPP974" s="252"/>
      <c r="BPQ974" s="252"/>
      <c r="BPR974" s="252"/>
      <c r="BPS974" s="252"/>
      <c r="BPT974" s="252"/>
      <c r="BPU974" s="252"/>
      <c r="BPV974" s="252"/>
      <c r="BPW974" s="252"/>
      <c r="BPX974" s="252"/>
      <c r="BPY974" s="252"/>
      <c r="BPZ974" s="252"/>
      <c r="BQA974" s="252"/>
      <c r="BQB974" s="252"/>
      <c r="BQC974" s="252"/>
      <c r="BQD974" s="252"/>
      <c r="BQE974" s="252"/>
      <c r="BQF974" s="252"/>
      <c r="BQG974" s="252"/>
      <c r="BQH974" s="252"/>
      <c r="BQI974" s="252"/>
      <c r="BQJ974" s="252"/>
      <c r="BQK974" s="252"/>
      <c r="BQL974" s="252"/>
      <c r="BQM974" s="252"/>
      <c r="BQN974" s="252"/>
      <c r="BQO974" s="252"/>
      <c r="BQP974" s="252"/>
      <c r="BQQ974" s="252"/>
      <c r="BQR974" s="252"/>
      <c r="BQS974" s="252"/>
      <c r="BQT974" s="252"/>
      <c r="BQU974" s="252"/>
      <c r="BQV974" s="252"/>
      <c r="BQW974" s="252"/>
      <c r="BQX974" s="252"/>
      <c r="BQY974" s="252"/>
      <c r="BQZ974" s="252"/>
      <c r="BRA974" s="252"/>
      <c r="BRB974" s="252"/>
      <c r="BRC974" s="252"/>
      <c r="BRD974" s="252"/>
      <c r="BRE974" s="252"/>
      <c r="BRF974" s="252"/>
      <c r="BRG974" s="252"/>
      <c r="BRH974" s="252"/>
      <c r="BRI974" s="252"/>
      <c r="BRJ974" s="252"/>
      <c r="BRK974" s="252"/>
      <c r="BRL974" s="252"/>
      <c r="BRM974" s="252"/>
      <c r="BRN974" s="252"/>
      <c r="BRO974" s="252"/>
      <c r="BRP974" s="252"/>
      <c r="BRQ974" s="252"/>
      <c r="BRR974" s="252"/>
      <c r="BRS974" s="252"/>
      <c r="BRT974" s="252"/>
      <c r="BRU974" s="252"/>
      <c r="BRV974" s="252"/>
      <c r="BRW974" s="252"/>
      <c r="BRX974" s="252"/>
      <c r="BRY974" s="252"/>
      <c r="BRZ974" s="252"/>
      <c r="BSA974" s="252"/>
      <c r="BSB974" s="252"/>
      <c r="BSC974" s="252"/>
      <c r="BSD974" s="252"/>
      <c r="BSE974" s="252"/>
      <c r="BSF974" s="252"/>
      <c r="BSG974" s="252"/>
      <c r="BSH974" s="252"/>
      <c r="BSI974" s="252"/>
      <c r="BSJ974" s="252"/>
      <c r="BSK974" s="252"/>
      <c r="BSL974" s="252"/>
      <c r="BSM974" s="252"/>
      <c r="BSN974" s="252"/>
      <c r="BSO974" s="252"/>
      <c r="BSP974" s="252"/>
      <c r="BSQ974" s="252"/>
      <c r="BSR974" s="252"/>
      <c r="BSS974" s="252"/>
      <c r="BST974" s="252"/>
      <c r="BSU974" s="252"/>
      <c r="BSV974" s="252"/>
      <c r="BSW974" s="252"/>
      <c r="BSX974" s="252"/>
      <c r="BSY974" s="252"/>
      <c r="BSZ974" s="252"/>
      <c r="BTA974" s="252"/>
      <c r="BTB974" s="252"/>
      <c r="BTC974" s="252"/>
      <c r="BTD974" s="252"/>
      <c r="BTE974" s="252"/>
      <c r="BTF974" s="252"/>
      <c r="BTG974" s="252"/>
      <c r="BTH974" s="252"/>
      <c r="BTI974" s="252"/>
      <c r="BTJ974" s="252"/>
      <c r="BTK974" s="252"/>
      <c r="BTL974" s="252"/>
      <c r="BTM974" s="252"/>
      <c r="BTN974" s="252"/>
      <c r="BTO974" s="252"/>
      <c r="BTP974" s="252"/>
      <c r="BTQ974" s="252"/>
      <c r="BTR974" s="252"/>
      <c r="BTS974" s="252"/>
      <c r="BTT974" s="252"/>
      <c r="BTU974" s="252"/>
      <c r="BTV974" s="252"/>
      <c r="BTW974" s="252"/>
      <c r="BTX974" s="252"/>
      <c r="BTY974" s="252"/>
      <c r="BTZ974" s="252"/>
      <c r="BUA974" s="252"/>
      <c r="BUB974" s="252"/>
      <c r="BUC974" s="252"/>
      <c r="BUD974" s="252"/>
      <c r="BUE974" s="252"/>
      <c r="BUF974" s="252"/>
      <c r="BUG974" s="252"/>
      <c r="BUH974" s="252"/>
      <c r="BUI974" s="252"/>
      <c r="BUJ974" s="252"/>
      <c r="BUK974" s="252"/>
      <c r="BUL974" s="252"/>
      <c r="BUM974" s="252"/>
      <c r="BUN974" s="252"/>
      <c r="BUO974" s="252"/>
      <c r="BUP974" s="252"/>
      <c r="BUQ974" s="252"/>
      <c r="BUR974" s="252"/>
      <c r="BUS974" s="252"/>
      <c r="BUT974" s="252"/>
      <c r="BUU974" s="252"/>
      <c r="BUV974" s="252"/>
      <c r="BUW974" s="252"/>
      <c r="BUX974" s="252"/>
      <c r="BUY974" s="252"/>
      <c r="BUZ974" s="252"/>
      <c r="BVA974" s="252"/>
      <c r="BVB974" s="252"/>
      <c r="BVC974" s="252"/>
      <c r="BVD974" s="252"/>
      <c r="BVE974" s="252"/>
      <c r="BVF974" s="252"/>
      <c r="BVG974" s="252"/>
      <c r="BVH974" s="252"/>
      <c r="BVI974" s="252"/>
      <c r="BVJ974" s="252"/>
      <c r="BVK974" s="252"/>
      <c r="BVL974" s="252"/>
      <c r="BVM974" s="252"/>
      <c r="BVN974" s="252"/>
      <c r="BVO974" s="252"/>
      <c r="BVP974" s="252"/>
      <c r="BVQ974" s="252"/>
      <c r="BVR974" s="252"/>
      <c r="BVS974" s="252"/>
      <c r="BVT974" s="252"/>
      <c r="BVU974" s="252"/>
      <c r="BVV974" s="252"/>
      <c r="BVW974" s="252"/>
      <c r="BVX974" s="252"/>
      <c r="BVY974" s="252"/>
      <c r="BVZ974" s="252"/>
      <c r="BWA974" s="252"/>
      <c r="BWB974" s="252"/>
      <c r="BWC974" s="252"/>
      <c r="BWD974" s="252"/>
      <c r="BWE974" s="252"/>
      <c r="BWF974" s="252"/>
      <c r="BWG974" s="252"/>
      <c r="BWH974" s="252"/>
      <c r="BWI974" s="252"/>
      <c r="BWJ974" s="252"/>
      <c r="BWK974" s="252"/>
      <c r="BWL974" s="252"/>
      <c r="BWM974" s="252"/>
      <c r="BWN974" s="252"/>
      <c r="BWO974" s="252"/>
      <c r="BWP974" s="252"/>
      <c r="BWQ974" s="252"/>
      <c r="BWR974" s="252"/>
      <c r="BWS974" s="252"/>
      <c r="BWT974" s="252"/>
      <c r="BWU974" s="252"/>
      <c r="BWV974" s="252"/>
      <c r="BWW974" s="252"/>
      <c r="BWX974" s="252"/>
      <c r="BWY974" s="252"/>
      <c r="BWZ974" s="252"/>
      <c r="BXA974" s="252"/>
      <c r="BXB974" s="252"/>
      <c r="BXC974" s="252"/>
      <c r="BXD974" s="252"/>
      <c r="BXE974" s="252"/>
      <c r="BXF974" s="252"/>
      <c r="BXG974" s="252"/>
      <c r="BXH974" s="252"/>
      <c r="BXI974" s="252"/>
      <c r="BXJ974" s="252"/>
      <c r="BXK974" s="252"/>
      <c r="BXL974" s="252"/>
      <c r="BXM974" s="252"/>
      <c r="BXN974" s="252"/>
      <c r="BXO974" s="252"/>
      <c r="BXP974" s="252"/>
      <c r="BXQ974" s="252"/>
      <c r="BXR974" s="252"/>
      <c r="BXS974" s="252"/>
      <c r="BXT974" s="252"/>
      <c r="BXU974" s="252"/>
      <c r="BXV974" s="252"/>
      <c r="BXW974" s="252"/>
      <c r="BXX974" s="252"/>
      <c r="BXY974" s="252"/>
      <c r="BXZ974" s="252"/>
      <c r="BYA974" s="252"/>
      <c r="BYB974" s="252"/>
      <c r="BYC974" s="252"/>
      <c r="BYD974" s="252"/>
      <c r="BYE974" s="252"/>
      <c r="BYF974" s="252"/>
      <c r="BYG974" s="252"/>
      <c r="BYH974" s="252"/>
      <c r="BYI974" s="252"/>
      <c r="BYJ974" s="252"/>
      <c r="BYK974" s="252"/>
      <c r="BYL974" s="252"/>
      <c r="BYM974" s="252"/>
      <c r="BYN974" s="252"/>
      <c r="BYO974" s="252"/>
      <c r="BYP974" s="252"/>
      <c r="BYQ974" s="252"/>
      <c r="BYR974" s="252"/>
      <c r="BYS974" s="252"/>
      <c r="BYT974" s="252"/>
      <c r="BYU974" s="252"/>
      <c r="BYV974" s="252"/>
      <c r="BYW974" s="252"/>
      <c r="BYX974" s="252"/>
      <c r="BYY974" s="252"/>
      <c r="BYZ974" s="252"/>
      <c r="BZA974" s="252"/>
      <c r="BZB974" s="252"/>
      <c r="BZC974" s="252"/>
      <c r="BZD974" s="252"/>
      <c r="BZE974" s="252"/>
      <c r="BZF974" s="252"/>
      <c r="BZG974" s="252"/>
      <c r="BZH974" s="252"/>
      <c r="BZI974" s="252"/>
      <c r="BZJ974" s="252"/>
      <c r="BZK974" s="252"/>
      <c r="BZL974" s="252"/>
      <c r="BZM974" s="252"/>
      <c r="BZN974" s="252"/>
      <c r="BZO974" s="252"/>
      <c r="BZP974" s="252"/>
      <c r="BZQ974" s="252"/>
      <c r="BZR974" s="252"/>
      <c r="BZS974" s="252"/>
      <c r="BZT974" s="252"/>
      <c r="BZU974" s="252"/>
      <c r="BZV974" s="252"/>
      <c r="BZW974" s="252"/>
      <c r="BZX974" s="252"/>
      <c r="BZY974" s="252"/>
      <c r="BZZ974" s="252"/>
      <c r="CAA974" s="252"/>
      <c r="CAB974" s="252"/>
      <c r="CAC974" s="252"/>
      <c r="CAD974" s="252"/>
      <c r="CAE974" s="252"/>
      <c r="CAF974" s="252"/>
      <c r="CAG974" s="252"/>
      <c r="CAH974" s="252"/>
      <c r="CAI974" s="252"/>
      <c r="CAJ974" s="252"/>
      <c r="CAK974" s="252"/>
      <c r="CAL974" s="252"/>
      <c r="CAM974" s="252"/>
      <c r="CAN974" s="252"/>
      <c r="CAO974" s="252"/>
      <c r="CAP974" s="252"/>
      <c r="CAQ974" s="252"/>
      <c r="CAR974" s="252"/>
      <c r="CAS974" s="252"/>
      <c r="CAT974" s="252"/>
      <c r="CAU974" s="252"/>
      <c r="CAV974" s="252"/>
      <c r="CAW974" s="252"/>
      <c r="CAX974" s="252"/>
      <c r="CAY974" s="252"/>
      <c r="CAZ974" s="252"/>
      <c r="CBA974" s="252"/>
      <c r="CBB974" s="252"/>
      <c r="CBC974" s="252"/>
      <c r="CBD974" s="252"/>
      <c r="CBE974" s="252"/>
      <c r="CBF974" s="252"/>
      <c r="CBG974" s="252"/>
      <c r="CBH974" s="252"/>
      <c r="CBI974" s="252"/>
      <c r="CBJ974" s="252"/>
      <c r="CBK974" s="252"/>
      <c r="CBL974" s="252"/>
      <c r="CBM974" s="252"/>
      <c r="CBN974" s="252"/>
      <c r="CBO974" s="252"/>
      <c r="CBP974" s="252"/>
      <c r="CBQ974" s="252"/>
      <c r="CBR974" s="252"/>
      <c r="CBS974" s="252"/>
      <c r="CBT974" s="252"/>
      <c r="CBU974" s="252"/>
      <c r="CBV974" s="252"/>
      <c r="CBW974" s="252"/>
      <c r="CBX974" s="252"/>
      <c r="CBY974" s="252"/>
      <c r="CBZ974" s="252"/>
      <c r="CCA974" s="252"/>
      <c r="CCB974" s="252"/>
      <c r="CCC974" s="252"/>
      <c r="CCD974" s="252"/>
      <c r="CCE974" s="252"/>
      <c r="CCF974" s="252"/>
      <c r="CCG974" s="252"/>
      <c r="CCH974" s="252"/>
      <c r="CCI974" s="252"/>
      <c r="CCJ974" s="252"/>
      <c r="CCK974" s="252"/>
      <c r="CCL974" s="252"/>
      <c r="CCM974" s="252"/>
      <c r="CCN974" s="252"/>
      <c r="CCO974" s="252"/>
      <c r="CCP974" s="252"/>
      <c r="CCQ974" s="252"/>
      <c r="CCR974" s="252"/>
      <c r="CCS974" s="252"/>
      <c r="CCT974" s="252"/>
      <c r="CCU974" s="252"/>
      <c r="CCV974" s="252"/>
      <c r="CCW974" s="252"/>
      <c r="CCX974" s="252"/>
      <c r="CCY974" s="252"/>
      <c r="CCZ974" s="252"/>
      <c r="CDA974" s="252"/>
      <c r="CDB974" s="252"/>
      <c r="CDC974" s="252"/>
      <c r="CDD974" s="252"/>
      <c r="CDE974" s="252"/>
      <c r="CDF974" s="252"/>
      <c r="CDG974" s="252"/>
      <c r="CDH974" s="252"/>
      <c r="CDI974" s="252"/>
      <c r="CDJ974" s="252"/>
      <c r="CDK974" s="252"/>
      <c r="CDL974" s="252"/>
      <c r="CDM974" s="252"/>
      <c r="CDN974" s="252"/>
      <c r="CDO974" s="252"/>
      <c r="CDP974" s="252"/>
      <c r="CDQ974" s="252"/>
      <c r="CDR974" s="252"/>
      <c r="CDS974" s="252"/>
      <c r="CDT974" s="252"/>
      <c r="CDU974" s="252"/>
      <c r="CDV974" s="252"/>
      <c r="CDW974" s="252"/>
      <c r="CDX974" s="252"/>
      <c r="CDY974" s="252"/>
      <c r="CDZ974" s="252"/>
      <c r="CEA974" s="252"/>
      <c r="CEB974" s="252"/>
      <c r="CEC974" s="252"/>
      <c r="CED974" s="252"/>
      <c r="CEE974" s="252"/>
      <c r="CEF974" s="252"/>
      <c r="CEG974" s="252"/>
      <c r="CEH974" s="252"/>
      <c r="CEI974" s="252"/>
      <c r="CEJ974" s="252"/>
      <c r="CEK974" s="252"/>
      <c r="CEL974" s="252"/>
      <c r="CEM974" s="252"/>
      <c r="CEN974" s="252"/>
      <c r="CEO974" s="252"/>
      <c r="CEP974" s="252"/>
      <c r="CEQ974" s="252"/>
      <c r="CER974" s="252"/>
      <c r="CES974" s="252"/>
      <c r="CET974" s="252"/>
      <c r="CEU974" s="252"/>
      <c r="CEV974" s="252"/>
      <c r="CEW974" s="252"/>
      <c r="CEX974" s="252"/>
      <c r="CEY974" s="252"/>
      <c r="CEZ974" s="252"/>
      <c r="CFA974" s="252"/>
      <c r="CFB974" s="252"/>
      <c r="CFC974" s="252"/>
      <c r="CFD974" s="252"/>
      <c r="CFE974" s="252"/>
      <c r="CFF974" s="252"/>
      <c r="CFG974" s="252"/>
      <c r="CFH974" s="252"/>
      <c r="CFI974" s="252"/>
      <c r="CFJ974" s="252"/>
      <c r="CFK974" s="252"/>
      <c r="CFL974" s="252"/>
      <c r="CFM974" s="252"/>
      <c r="CFN974" s="252"/>
      <c r="CFO974" s="252"/>
      <c r="CFP974" s="252"/>
      <c r="CFQ974" s="252"/>
      <c r="CFR974" s="252"/>
      <c r="CFS974" s="252"/>
      <c r="CFT974" s="252"/>
      <c r="CFU974" s="252"/>
      <c r="CFV974" s="252"/>
      <c r="CFW974" s="252"/>
      <c r="CFX974" s="252"/>
      <c r="CFY974" s="252"/>
      <c r="CFZ974" s="252"/>
      <c r="CGA974" s="252"/>
      <c r="CGB974" s="252"/>
      <c r="CGC974" s="252"/>
      <c r="CGD974" s="252"/>
      <c r="CGE974" s="252"/>
      <c r="CGF974" s="252"/>
      <c r="CGG974" s="252"/>
      <c r="CGH974" s="252"/>
      <c r="CGI974" s="252"/>
      <c r="CGJ974" s="252"/>
      <c r="CGK974" s="252"/>
      <c r="CGL974" s="252"/>
      <c r="CGM974" s="252"/>
      <c r="CGN974" s="252"/>
      <c r="CGO974" s="252"/>
      <c r="CGP974" s="252"/>
      <c r="CGQ974" s="252"/>
      <c r="CGR974" s="252"/>
      <c r="CGS974" s="252"/>
      <c r="CGT974" s="252"/>
      <c r="CGU974" s="252"/>
      <c r="CGV974" s="252"/>
      <c r="CGW974" s="252"/>
      <c r="CGX974" s="252"/>
      <c r="CGY974" s="252"/>
      <c r="CGZ974" s="252"/>
      <c r="CHA974" s="252"/>
      <c r="CHB974" s="252"/>
      <c r="CHC974" s="252"/>
      <c r="CHD974" s="252"/>
      <c r="CHE974" s="252"/>
      <c r="CHF974" s="252"/>
      <c r="CHG974" s="252"/>
      <c r="CHH974" s="252"/>
      <c r="CHI974" s="252"/>
      <c r="CHJ974" s="252"/>
      <c r="CHK974" s="252"/>
      <c r="CHL974" s="252"/>
      <c r="CHM974" s="252"/>
      <c r="CHN974" s="252"/>
      <c r="CHO974" s="252"/>
      <c r="CHP974" s="252"/>
      <c r="CHQ974" s="252"/>
      <c r="CHR974" s="252"/>
      <c r="CHS974" s="252"/>
      <c r="CHT974" s="252"/>
      <c r="CHU974" s="252"/>
      <c r="CHV974" s="252"/>
      <c r="CHW974" s="252"/>
      <c r="CHX974" s="252"/>
      <c r="CHY974" s="252"/>
      <c r="CHZ974" s="252"/>
      <c r="CIA974" s="252"/>
      <c r="CIB974" s="252"/>
      <c r="CIC974" s="252"/>
      <c r="CID974" s="252"/>
      <c r="CIE974" s="252"/>
      <c r="CIF974" s="252"/>
      <c r="CIG974" s="252"/>
      <c r="CIH974" s="252"/>
      <c r="CII974" s="252"/>
      <c r="CIJ974" s="252"/>
      <c r="CIK974" s="252"/>
      <c r="CIL974" s="252"/>
      <c r="CIM974" s="252"/>
      <c r="CIN974" s="252"/>
      <c r="CIO974" s="252"/>
      <c r="CIP974" s="252"/>
      <c r="CIQ974" s="252"/>
      <c r="CIR974" s="252"/>
      <c r="CIS974" s="252"/>
      <c r="CIT974" s="252"/>
      <c r="CIU974" s="252"/>
      <c r="CIV974" s="252"/>
      <c r="CIW974" s="252"/>
      <c r="CIX974" s="252"/>
      <c r="CIY974" s="252"/>
      <c r="CIZ974" s="252"/>
      <c r="CJA974" s="252"/>
      <c r="CJB974" s="252"/>
      <c r="CJC974" s="252"/>
      <c r="CJD974" s="252"/>
      <c r="CJE974" s="252"/>
      <c r="CJF974" s="252"/>
      <c r="CJG974" s="252"/>
      <c r="CJH974" s="252"/>
      <c r="CJI974" s="252"/>
      <c r="CJJ974" s="252"/>
      <c r="CJK974" s="252"/>
      <c r="CJL974" s="252"/>
      <c r="CJM974" s="252"/>
      <c r="CJN974" s="252"/>
      <c r="CJO974" s="252"/>
      <c r="CJP974" s="252"/>
      <c r="CJQ974" s="252"/>
      <c r="CJR974" s="252"/>
      <c r="CJS974" s="252"/>
      <c r="CJT974" s="252"/>
      <c r="CJU974" s="252"/>
      <c r="CJV974" s="252"/>
      <c r="CJW974" s="252"/>
      <c r="CJX974" s="252"/>
      <c r="CJY974" s="252"/>
      <c r="CJZ974" s="252"/>
      <c r="CKA974" s="252"/>
      <c r="CKB974" s="252"/>
      <c r="CKC974" s="252"/>
      <c r="CKD974" s="252"/>
      <c r="CKE974" s="252"/>
      <c r="CKF974" s="252"/>
      <c r="CKG974" s="252"/>
      <c r="CKH974" s="252"/>
      <c r="CKI974" s="252"/>
      <c r="CKJ974" s="252"/>
      <c r="CKK974" s="252"/>
      <c r="CKL974" s="252"/>
      <c r="CKM974" s="252"/>
      <c r="CKN974" s="252"/>
      <c r="CKO974" s="252"/>
      <c r="CKP974" s="252"/>
      <c r="CKQ974" s="252"/>
      <c r="CKR974" s="252"/>
      <c r="CKS974" s="252"/>
      <c r="CKT974" s="252"/>
      <c r="CKU974" s="252"/>
      <c r="CKV974" s="252"/>
      <c r="CKW974" s="252"/>
      <c r="CKX974" s="252"/>
      <c r="CKY974" s="252"/>
      <c r="CKZ974" s="252"/>
      <c r="CLA974" s="252"/>
      <c r="CLB974" s="252"/>
      <c r="CLC974" s="252"/>
      <c r="CLD974" s="252"/>
      <c r="CLE974" s="252"/>
      <c r="CLF974" s="252"/>
      <c r="CLG974" s="252"/>
      <c r="CLH974" s="252"/>
      <c r="CLI974" s="252"/>
      <c r="CLJ974" s="252"/>
      <c r="CLK974" s="252"/>
      <c r="CLL974" s="252"/>
      <c r="CLM974" s="252"/>
      <c r="CLN974" s="252"/>
      <c r="CLO974" s="252"/>
      <c r="CLP974" s="252"/>
      <c r="CLQ974" s="252"/>
      <c r="CLR974" s="252"/>
      <c r="CLS974" s="252"/>
      <c r="CLT974" s="252"/>
      <c r="CLU974" s="252"/>
      <c r="CLV974" s="252"/>
      <c r="CLW974" s="252"/>
      <c r="CLX974" s="252"/>
      <c r="CLY974" s="252"/>
      <c r="CLZ974" s="252"/>
      <c r="CMA974" s="252"/>
      <c r="CMB974" s="252"/>
      <c r="CMC974" s="252"/>
      <c r="CMD974" s="252"/>
      <c r="CME974" s="252"/>
      <c r="CMF974" s="252"/>
      <c r="CMG974" s="252"/>
      <c r="CMH974" s="252"/>
      <c r="CMI974" s="252"/>
      <c r="CMJ974" s="252"/>
      <c r="CMK974" s="252"/>
      <c r="CML974" s="252"/>
      <c r="CMM974" s="252"/>
      <c r="CMN974" s="252"/>
      <c r="CMO974" s="252"/>
      <c r="CMP974" s="252"/>
      <c r="CMQ974" s="252"/>
      <c r="CMR974" s="252"/>
      <c r="CMS974" s="252"/>
      <c r="CMT974" s="252"/>
      <c r="CMU974" s="252"/>
      <c r="CMV974" s="252"/>
      <c r="CMW974" s="252"/>
      <c r="CMX974" s="252"/>
      <c r="CMY974" s="252"/>
      <c r="CMZ974" s="252"/>
      <c r="CNA974" s="252"/>
      <c r="CNB974" s="252"/>
      <c r="CNC974" s="252"/>
      <c r="CND974" s="252"/>
      <c r="CNE974" s="252"/>
      <c r="CNF974" s="252"/>
      <c r="CNG974" s="252"/>
      <c r="CNH974" s="252"/>
      <c r="CNI974" s="252"/>
      <c r="CNJ974" s="252"/>
      <c r="CNK974" s="252"/>
      <c r="CNL974" s="252"/>
      <c r="CNM974" s="252"/>
      <c r="CNN974" s="252"/>
      <c r="CNO974" s="252"/>
      <c r="CNP974" s="252"/>
      <c r="CNQ974" s="252"/>
      <c r="CNR974" s="252"/>
      <c r="CNS974" s="252"/>
      <c r="CNT974" s="252"/>
      <c r="CNU974" s="252"/>
      <c r="CNV974" s="252"/>
      <c r="CNW974" s="252"/>
      <c r="CNX974" s="252"/>
      <c r="CNY974" s="252"/>
      <c r="CNZ974" s="252"/>
      <c r="COA974" s="252"/>
      <c r="COB974" s="252"/>
      <c r="COC974" s="252"/>
      <c r="COD974" s="252"/>
      <c r="COE974" s="252"/>
      <c r="COF974" s="252"/>
      <c r="COG974" s="252"/>
      <c r="COH974" s="252"/>
      <c r="COI974" s="252"/>
      <c r="COJ974" s="252"/>
      <c r="COK974" s="252"/>
      <c r="COL974" s="252"/>
      <c r="COM974" s="252"/>
      <c r="CON974" s="252"/>
      <c r="COO974" s="252"/>
      <c r="COP974" s="252"/>
      <c r="COQ974" s="252"/>
      <c r="COR974" s="252"/>
      <c r="COS974" s="252"/>
      <c r="COT974" s="252"/>
      <c r="COU974" s="252"/>
      <c r="COV974" s="252"/>
      <c r="COW974" s="252"/>
      <c r="COX974" s="252"/>
      <c r="COY974" s="252"/>
      <c r="COZ974" s="252"/>
      <c r="CPA974" s="252"/>
      <c r="CPB974" s="252"/>
      <c r="CPC974" s="252"/>
      <c r="CPD974" s="252"/>
      <c r="CPE974" s="252"/>
      <c r="CPF974" s="252"/>
      <c r="CPG974" s="252"/>
      <c r="CPH974" s="252"/>
      <c r="CPI974" s="252"/>
      <c r="CPJ974" s="252"/>
      <c r="CPK974" s="252"/>
      <c r="CPL974" s="252"/>
      <c r="CPM974" s="252"/>
      <c r="CPN974" s="252"/>
      <c r="CPO974" s="252"/>
      <c r="CPP974" s="252"/>
      <c r="CPQ974" s="252"/>
      <c r="CPR974" s="252"/>
      <c r="CPS974" s="252"/>
      <c r="CPT974" s="252"/>
      <c r="CPU974" s="252"/>
      <c r="CPV974" s="252"/>
      <c r="CPW974" s="252"/>
      <c r="CPX974" s="252"/>
      <c r="CPY974" s="252"/>
      <c r="CPZ974" s="252"/>
      <c r="CQA974" s="252"/>
      <c r="CQB974" s="252"/>
      <c r="CQC974" s="252"/>
      <c r="CQD974" s="252"/>
      <c r="CQE974" s="252"/>
      <c r="CQF974" s="252"/>
      <c r="CQG974" s="252"/>
      <c r="CQH974" s="252"/>
      <c r="CQI974" s="252"/>
      <c r="CQJ974" s="252"/>
      <c r="CQK974" s="252"/>
      <c r="CQL974" s="252"/>
      <c r="CQM974" s="252"/>
      <c r="CQN974" s="252"/>
      <c r="CQO974" s="252"/>
      <c r="CQP974" s="252"/>
      <c r="CQQ974" s="252"/>
      <c r="CQR974" s="252"/>
      <c r="CQS974" s="252"/>
      <c r="CQT974" s="252"/>
      <c r="CQU974" s="252"/>
      <c r="CQV974" s="252"/>
      <c r="CQW974" s="252"/>
      <c r="CQX974" s="252"/>
      <c r="CQY974" s="252"/>
      <c r="CQZ974" s="252"/>
      <c r="CRA974" s="252"/>
      <c r="CRB974" s="252"/>
      <c r="CRC974" s="252"/>
      <c r="CRD974" s="252"/>
      <c r="CRE974" s="252"/>
      <c r="CRF974" s="252"/>
      <c r="CRG974" s="252"/>
      <c r="CRH974" s="252"/>
      <c r="CRI974" s="252"/>
      <c r="CRJ974" s="252"/>
      <c r="CRK974" s="252"/>
      <c r="CRL974" s="252"/>
      <c r="CRM974" s="252"/>
      <c r="CRN974" s="252"/>
      <c r="CRO974" s="252"/>
      <c r="CRP974" s="252"/>
      <c r="CRQ974" s="252"/>
      <c r="CRR974" s="252"/>
      <c r="CRS974" s="252"/>
      <c r="CRT974" s="252"/>
      <c r="CRU974" s="252"/>
      <c r="CRV974" s="252"/>
      <c r="CRW974" s="252"/>
      <c r="CRX974" s="252"/>
      <c r="CRY974" s="252"/>
      <c r="CRZ974" s="252"/>
      <c r="CSA974" s="252"/>
      <c r="CSB974" s="252"/>
      <c r="CSC974" s="252"/>
      <c r="CSD974" s="252"/>
      <c r="CSE974" s="252"/>
      <c r="CSF974" s="252"/>
      <c r="CSG974" s="252"/>
      <c r="CSH974" s="252"/>
      <c r="CSI974" s="252"/>
      <c r="CSJ974" s="252"/>
      <c r="CSK974" s="252"/>
      <c r="CSL974" s="252"/>
      <c r="CSM974" s="252"/>
      <c r="CSN974" s="252"/>
      <c r="CSO974" s="252"/>
      <c r="CSP974" s="252"/>
      <c r="CSQ974" s="252"/>
      <c r="CSR974" s="252"/>
      <c r="CSS974" s="252"/>
      <c r="CST974" s="252"/>
      <c r="CSU974" s="252"/>
      <c r="CSV974" s="252"/>
      <c r="CSW974" s="252"/>
      <c r="CSX974" s="252"/>
      <c r="CSY974" s="252"/>
      <c r="CSZ974" s="252"/>
      <c r="CTA974" s="252"/>
      <c r="CTB974" s="252"/>
      <c r="CTC974" s="252"/>
      <c r="CTD974" s="252"/>
      <c r="CTE974" s="252"/>
      <c r="CTF974" s="252"/>
      <c r="CTG974" s="252"/>
      <c r="CTH974" s="252"/>
      <c r="CTI974" s="252"/>
      <c r="CTJ974" s="252"/>
      <c r="CTK974" s="252"/>
      <c r="CTL974" s="252"/>
      <c r="CTM974" s="252"/>
      <c r="CTN974" s="252"/>
      <c r="CTO974" s="252"/>
      <c r="CTP974" s="252"/>
      <c r="CTQ974" s="252"/>
      <c r="CTR974" s="252"/>
      <c r="CTS974" s="252"/>
      <c r="CTT974" s="252"/>
      <c r="CTU974" s="252"/>
      <c r="CTV974" s="252"/>
      <c r="CTW974" s="252"/>
      <c r="CTX974" s="252"/>
      <c r="CTY974" s="252"/>
      <c r="CTZ974" s="252"/>
      <c r="CUA974" s="252"/>
      <c r="CUB974" s="252"/>
      <c r="CUC974" s="252"/>
      <c r="CUD974" s="252"/>
      <c r="CUE974" s="252"/>
      <c r="CUF974" s="252"/>
      <c r="CUG974" s="252"/>
      <c r="CUH974" s="252"/>
      <c r="CUI974" s="252"/>
      <c r="CUJ974" s="252"/>
      <c r="CUK974" s="252"/>
      <c r="CUL974" s="252"/>
      <c r="CUM974" s="252"/>
      <c r="CUN974" s="252"/>
      <c r="CUO974" s="252"/>
      <c r="CUP974" s="252"/>
      <c r="CUQ974" s="252"/>
      <c r="CUR974" s="252"/>
      <c r="CUS974" s="252"/>
      <c r="CUT974" s="252"/>
      <c r="CUU974" s="252"/>
      <c r="CUV974" s="252"/>
      <c r="CUW974" s="252"/>
      <c r="CUX974" s="252"/>
      <c r="CUY974" s="252"/>
      <c r="CUZ974" s="252"/>
      <c r="CVA974" s="252"/>
      <c r="CVB974" s="252"/>
      <c r="CVC974" s="252"/>
      <c r="CVD974" s="252"/>
      <c r="CVE974" s="252"/>
      <c r="CVF974" s="252"/>
      <c r="CVG974" s="252"/>
      <c r="CVH974" s="252"/>
      <c r="CVI974" s="252"/>
      <c r="CVJ974" s="252"/>
      <c r="CVK974" s="252"/>
      <c r="CVL974" s="252"/>
      <c r="CVM974" s="252"/>
      <c r="CVN974" s="252"/>
      <c r="CVO974" s="252"/>
      <c r="CVP974" s="252"/>
      <c r="CVQ974" s="252"/>
      <c r="CVR974" s="252"/>
      <c r="CVS974" s="252"/>
      <c r="CVT974" s="252"/>
      <c r="CVU974" s="252"/>
      <c r="CVV974" s="252"/>
      <c r="CVW974" s="252"/>
      <c r="CVX974" s="252"/>
      <c r="CVY974" s="252"/>
      <c r="CVZ974" s="252"/>
      <c r="CWA974" s="252"/>
      <c r="CWB974" s="252"/>
      <c r="CWC974" s="252"/>
      <c r="CWD974" s="252"/>
      <c r="CWE974" s="252"/>
      <c r="CWF974" s="252"/>
      <c r="CWG974" s="252"/>
      <c r="CWH974" s="252"/>
      <c r="CWI974" s="252"/>
      <c r="CWJ974" s="252"/>
      <c r="CWK974" s="252"/>
      <c r="CWL974" s="252"/>
      <c r="CWM974" s="252"/>
      <c r="CWN974" s="252"/>
      <c r="CWO974" s="252"/>
      <c r="CWP974" s="252"/>
      <c r="CWQ974" s="252"/>
      <c r="CWR974" s="252"/>
      <c r="CWS974" s="252"/>
      <c r="CWT974" s="252"/>
      <c r="CWU974" s="252"/>
      <c r="CWV974" s="252"/>
      <c r="CWW974" s="252"/>
      <c r="CWX974" s="252"/>
      <c r="CWY974" s="252"/>
      <c r="CWZ974" s="252"/>
      <c r="CXA974" s="252"/>
      <c r="CXB974" s="252"/>
      <c r="CXC974" s="252"/>
      <c r="CXD974" s="252"/>
      <c r="CXE974" s="252"/>
      <c r="CXF974" s="252"/>
      <c r="CXG974" s="252"/>
      <c r="CXH974" s="252"/>
      <c r="CXI974" s="252"/>
      <c r="CXJ974" s="252"/>
      <c r="CXK974" s="252"/>
      <c r="CXL974" s="252"/>
      <c r="CXM974" s="252"/>
      <c r="CXN974" s="252"/>
      <c r="CXO974" s="252"/>
      <c r="CXP974" s="252"/>
      <c r="CXQ974" s="252"/>
      <c r="CXR974" s="252"/>
      <c r="CXS974" s="252"/>
      <c r="CXT974" s="252"/>
      <c r="CXU974" s="252"/>
      <c r="CXV974" s="252"/>
      <c r="CXW974" s="252"/>
      <c r="CXX974" s="252"/>
      <c r="CXY974" s="252"/>
      <c r="CXZ974" s="252"/>
      <c r="CYA974" s="252"/>
      <c r="CYB974" s="252"/>
      <c r="CYC974" s="252"/>
      <c r="CYD974" s="252"/>
      <c r="CYE974" s="252"/>
      <c r="CYF974" s="252"/>
      <c r="CYG974" s="252"/>
      <c r="CYH974" s="252"/>
      <c r="CYI974" s="252"/>
      <c r="CYJ974" s="252"/>
      <c r="CYK974" s="252"/>
      <c r="CYL974" s="252"/>
      <c r="CYM974" s="252"/>
      <c r="CYN974" s="252"/>
      <c r="CYO974" s="252"/>
      <c r="CYP974" s="252"/>
      <c r="CYQ974" s="252"/>
      <c r="CYR974" s="252"/>
      <c r="CYS974" s="252"/>
      <c r="CYT974" s="252"/>
      <c r="CYU974" s="252"/>
      <c r="CYV974" s="252"/>
      <c r="CYW974" s="252"/>
      <c r="CYX974" s="252"/>
      <c r="CYY974" s="252"/>
      <c r="CYZ974" s="252"/>
      <c r="CZA974" s="252"/>
      <c r="CZB974" s="252"/>
      <c r="CZC974" s="252"/>
      <c r="CZD974" s="252"/>
      <c r="CZE974" s="252"/>
      <c r="CZF974" s="252"/>
      <c r="CZG974" s="252"/>
      <c r="CZH974" s="252"/>
      <c r="CZI974" s="252"/>
      <c r="CZJ974" s="252"/>
      <c r="CZK974" s="252"/>
      <c r="CZL974" s="252"/>
      <c r="CZM974" s="252"/>
      <c r="CZN974" s="252"/>
      <c r="CZO974" s="252"/>
      <c r="CZP974" s="252"/>
      <c r="CZQ974" s="252"/>
      <c r="CZR974" s="252"/>
      <c r="CZS974" s="252"/>
      <c r="CZT974" s="252"/>
      <c r="CZU974" s="252"/>
      <c r="CZV974" s="252"/>
      <c r="CZW974" s="252"/>
      <c r="CZX974" s="252"/>
      <c r="CZY974" s="252"/>
      <c r="CZZ974" s="252"/>
      <c r="DAA974" s="252"/>
      <c r="DAB974" s="252"/>
      <c r="DAC974" s="252"/>
      <c r="DAD974" s="252"/>
      <c r="DAE974" s="252"/>
      <c r="DAF974" s="252"/>
      <c r="DAG974" s="252"/>
      <c r="DAH974" s="252"/>
      <c r="DAI974" s="252"/>
      <c r="DAJ974" s="252"/>
      <c r="DAK974" s="252"/>
      <c r="DAL974" s="252"/>
      <c r="DAM974" s="252"/>
      <c r="DAN974" s="252"/>
      <c r="DAO974" s="252"/>
      <c r="DAP974" s="252"/>
      <c r="DAQ974" s="252"/>
      <c r="DAR974" s="252"/>
      <c r="DAS974" s="252"/>
      <c r="DAT974" s="252"/>
      <c r="DAU974" s="252"/>
      <c r="DAV974" s="252"/>
      <c r="DAW974" s="252"/>
      <c r="DAX974" s="252"/>
      <c r="DAY974" s="252"/>
      <c r="DAZ974" s="252"/>
      <c r="DBA974" s="252"/>
      <c r="DBB974" s="252"/>
      <c r="DBC974" s="252"/>
      <c r="DBD974" s="252"/>
      <c r="DBE974" s="252"/>
      <c r="DBF974" s="252"/>
      <c r="DBG974" s="252"/>
      <c r="DBH974" s="252"/>
      <c r="DBI974" s="252"/>
      <c r="DBJ974" s="252"/>
      <c r="DBK974" s="252"/>
      <c r="DBL974" s="252"/>
      <c r="DBM974" s="252"/>
      <c r="DBN974" s="252"/>
      <c r="DBO974" s="252"/>
      <c r="DBP974" s="252"/>
      <c r="DBQ974" s="252"/>
      <c r="DBR974" s="252"/>
      <c r="DBS974" s="252"/>
      <c r="DBT974" s="252"/>
      <c r="DBU974" s="252"/>
      <c r="DBV974" s="252"/>
      <c r="DBW974" s="252"/>
      <c r="DBX974" s="252"/>
      <c r="DBY974" s="252"/>
      <c r="DBZ974" s="252"/>
      <c r="DCA974" s="252"/>
      <c r="DCB974" s="252"/>
      <c r="DCC974" s="252"/>
      <c r="DCD974" s="252"/>
      <c r="DCE974" s="252"/>
      <c r="DCF974" s="252"/>
      <c r="DCG974" s="252"/>
      <c r="DCH974" s="252"/>
      <c r="DCI974" s="252"/>
      <c r="DCJ974" s="252"/>
      <c r="DCK974" s="252"/>
      <c r="DCL974" s="252"/>
      <c r="DCM974" s="252"/>
      <c r="DCN974" s="252"/>
      <c r="DCO974" s="252"/>
      <c r="DCP974" s="252"/>
      <c r="DCQ974" s="252"/>
      <c r="DCR974" s="252"/>
      <c r="DCS974" s="252"/>
      <c r="DCT974" s="252"/>
      <c r="DCU974" s="252"/>
      <c r="DCV974" s="252"/>
      <c r="DCW974" s="252"/>
      <c r="DCX974" s="252"/>
      <c r="DCY974" s="252"/>
      <c r="DCZ974" s="252"/>
      <c r="DDA974" s="252"/>
      <c r="DDB974" s="252"/>
      <c r="DDC974" s="252"/>
      <c r="DDD974" s="252"/>
      <c r="DDE974" s="252"/>
      <c r="DDF974" s="252"/>
      <c r="DDG974" s="252"/>
      <c r="DDH974" s="252"/>
      <c r="DDI974" s="252"/>
      <c r="DDJ974" s="252"/>
      <c r="DDK974" s="252"/>
      <c r="DDL974" s="252"/>
      <c r="DDM974" s="252"/>
      <c r="DDN974" s="252"/>
      <c r="DDO974" s="252"/>
      <c r="DDP974" s="252"/>
      <c r="DDQ974" s="252"/>
      <c r="DDR974" s="252"/>
      <c r="DDS974" s="252"/>
      <c r="DDT974" s="252"/>
      <c r="DDU974" s="252"/>
      <c r="DDV974" s="252"/>
      <c r="DDW974" s="252"/>
      <c r="DDX974" s="252"/>
      <c r="DDY974" s="252"/>
      <c r="DDZ974" s="252"/>
      <c r="DEA974" s="252"/>
      <c r="DEB974" s="252"/>
      <c r="DEC974" s="252"/>
      <c r="DED974" s="252"/>
      <c r="DEE974" s="252"/>
      <c r="DEF974" s="252"/>
      <c r="DEG974" s="252"/>
      <c r="DEH974" s="252"/>
      <c r="DEI974" s="252"/>
      <c r="DEJ974" s="252"/>
      <c r="DEK974" s="252"/>
      <c r="DEL974" s="252"/>
      <c r="DEM974" s="252"/>
      <c r="DEN974" s="252"/>
      <c r="DEO974" s="252"/>
      <c r="DEP974" s="252"/>
      <c r="DEQ974" s="252"/>
      <c r="DER974" s="252"/>
      <c r="DES974" s="252"/>
      <c r="DET974" s="252"/>
      <c r="DEU974" s="252"/>
      <c r="DEV974" s="252"/>
      <c r="DEW974" s="252"/>
      <c r="DEX974" s="252"/>
      <c r="DEY974" s="252"/>
      <c r="DEZ974" s="252"/>
      <c r="DFA974" s="252"/>
      <c r="DFB974" s="252"/>
      <c r="DFC974" s="252"/>
      <c r="DFD974" s="252"/>
      <c r="DFE974" s="252"/>
      <c r="DFF974" s="252"/>
      <c r="DFG974" s="252"/>
      <c r="DFH974" s="252"/>
      <c r="DFI974" s="252"/>
      <c r="DFJ974" s="252"/>
      <c r="DFK974" s="252"/>
      <c r="DFL974" s="252"/>
      <c r="DFM974" s="252"/>
      <c r="DFN974" s="252"/>
      <c r="DFO974" s="252"/>
      <c r="DFP974" s="252"/>
      <c r="DFQ974" s="252"/>
      <c r="DFR974" s="252"/>
      <c r="DFS974" s="252"/>
      <c r="DFT974" s="252"/>
      <c r="DFU974" s="252"/>
      <c r="DFV974" s="252"/>
      <c r="DFW974" s="252"/>
      <c r="DFX974" s="252"/>
      <c r="DFY974" s="252"/>
      <c r="DFZ974" s="252"/>
      <c r="DGA974" s="252"/>
      <c r="DGB974" s="252"/>
      <c r="DGC974" s="252"/>
      <c r="DGD974" s="252"/>
      <c r="DGE974" s="252"/>
      <c r="DGF974" s="252"/>
      <c r="DGG974" s="252"/>
      <c r="DGH974" s="252"/>
      <c r="DGI974" s="252"/>
      <c r="DGJ974" s="252"/>
      <c r="DGK974" s="252"/>
      <c r="DGL974" s="252"/>
      <c r="DGM974" s="252"/>
      <c r="DGN974" s="252"/>
      <c r="DGO974" s="252"/>
      <c r="DGP974" s="252"/>
      <c r="DGQ974" s="252"/>
      <c r="DGR974" s="252"/>
      <c r="DGS974" s="252"/>
      <c r="DGT974" s="252"/>
      <c r="DGU974" s="252"/>
      <c r="DGV974" s="252"/>
      <c r="DGW974" s="252"/>
      <c r="DGX974" s="252"/>
      <c r="DGY974" s="252"/>
      <c r="DGZ974" s="252"/>
      <c r="DHA974" s="252"/>
      <c r="DHB974" s="252"/>
      <c r="DHC974" s="252"/>
      <c r="DHD974" s="252"/>
      <c r="DHE974" s="252"/>
      <c r="DHF974" s="252"/>
      <c r="DHG974" s="252"/>
      <c r="DHH974" s="252"/>
      <c r="DHI974" s="252"/>
      <c r="DHJ974" s="252"/>
      <c r="DHK974" s="252"/>
      <c r="DHL974" s="252"/>
      <c r="DHM974" s="252"/>
      <c r="DHN974" s="252"/>
      <c r="DHO974" s="252"/>
      <c r="DHP974" s="252"/>
      <c r="DHQ974" s="252"/>
      <c r="DHR974" s="252"/>
      <c r="DHS974" s="252"/>
      <c r="DHT974" s="252"/>
      <c r="DHU974" s="252"/>
      <c r="DHV974" s="252"/>
      <c r="DHW974" s="252"/>
      <c r="DHX974" s="252"/>
      <c r="DHY974" s="252"/>
      <c r="DHZ974" s="252"/>
      <c r="DIA974" s="252"/>
      <c r="DIB974" s="252"/>
      <c r="DIC974" s="252"/>
      <c r="DID974" s="252"/>
      <c r="DIE974" s="252"/>
      <c r="DIF974" s="252"/>
      <c r="DIG974" s="252"/>
      <c r="DIH974" s="252"/>
      <c r="DII974" s="252"/>
      <c r="DIJ974" s="252"/>
      <c r="DIK974" s="252"/>
      <c r="DIL974" s="252"/>
      <c r="DIM974" s="252"/>
      <c r="DIN974" s="252"/>
      <c r="DIO974" s="252"/>
      <c r="DIP974" s="252"/>
      <c r="DIQ974" s="252"/>
      <c r="DIR974" s="252"/>
      <c r="DIS974" s="252"/>
      <c r="DIT974" s="252"/>
      <c r="DIU974" s="252"/>
      <c r="DIV974" s="252"/>
      <c r="DIW974" s="252"/>
      <c r="DIX974" s="252"/>
      <c r="DIY974" s="252"/>
      <c r="DIZ974" s="252"/>
      <c r="DJA974" s="252"/>
      <c r="DJB974" s="252"/>
      <c r="DJC974" s="252"/>
      <c r="DJD974" s="252"/>
      <c r="DJE974" s="252"/>
      <c r="DJF974" s="252"/>
      <c r="DJG974" s="252"/>
      <c r="DJH974" s="252"/>
      <c r="DJI974" s="252"/>
      <c r="DJJ974" s="252"/>
      <c r="DJK974" s="252"/>
      <c r="DJL974" s="252"/>
      <c r="DJM974" s="252"/>
      <c r="DJN974" s="252"/>
      <c r="DJO974" s="252"/>
      <c r="DJP974" s="252"/>
      <c r="DJQ974" s="252"/>
      <c r="DJR974" s="252"/>
      <c r="DJS974" s="252"/>
      <c r="DJT974" s="252"/>
      <c r="DJU974" s="252"/>
      <c r="DJV974" s="252"/>
      <c r="DJW974" s="252"/>
      <c r="DJX974" s="252"/>
      <c r="DJY974" s="252"/>
      <c r="DJZ974" s="252"/>
      <c r="DKA974" s="252"/>
      <c r="DKB974" s="252"/>
      <c r="DKC974" s="252"/>
      <c r="DKD974" s="252"/>
      <c r="DKE974" s="252"/>
      <c r="DKF974" s="252"/>
      <c r="DKG974" s="252"/>
      <c r="DKH974" s="252"/>
      <c r="DKI974" s="252"/>
      <c r="DKJ974" s="252"/>
      <c r="DKK974" s="252"/>
      <c r="DKL974" s="252"/>
      <c r="DKM974" s="252"/>
      <c r="DKN974" s="252"/>
      <c r="DKO974" s="252"/>
      <c r="DKP974" s="252"/>
      <c r="DKQ974" s="252"/>
      <c r="DKR974" s="252"/>
      <c r="DKS974" s="252"/>
      <c r="DKT974" s="252"/>
      <c r="DKU974" s="252"/>
      <c r="DKV974" s="252"/>
      <c r="DKW974" s="252"/>
      <c r="DKX974" s="252"/>
      <c r="DKY974" s="252"/>
      <c r="DKZ974" s="252"/>
      <c r="DLA974" s="252"/>
      <c r="DLB974" s="252"/>
      <c r="DLC974" s="252"/>
      <c r="DLD974" s="252"/>
      <c r="DLE974" s="252"/>
      <c r="DLF974" s="252"/>
      <c r="DLG974" s="252"/>
      <c r="DLH974" s="252"/>
      <c r="DLI974" s="252"/>
      <c r="DLJ974" s="252"/>
      <c r="DLK974" s="252"/>
      <c r="DLL974" s="252"/>
      <c r="DLM974" s="252"/>
      <c r="DLN974" s="252"/>
      <c r="DLO974" s="252"/>
      <c r="DLP974" s="252"/>
      <c r="DLQ974" s="252"/>
      <c r="DLR974" s="252"/>
      <c r="DLS974" s="252"/>
      <c r="DLT974" s="252"/>
      <c r="DLU974" s="252"/>
      <c r="DLV974" s="252"/>
      <c r="DLW974" s="252"/>
      <c r="DLX974" s="252"/>
      <c r="DLY974" s="252"/>
      <c r="DLZ974" s="252"/>
      <c r="DMA974" s="252"/>
      <c r="DMB974" s="252"/>
      <c r="DMC974" s="252"/>
      <c r="DMD974" s="252"/>
      <c r="DME974" s="252"/>
      <c r="DMF974" s="252"/>
      <c r="DMG974" s="252"/>
      <c r="DMH974" s="252"/>
      <c r="DMI974" s="252"/>
      <c r="DMJ974" s="252"/>
      <c r="DMK974" s="252"/>
      <c r="DML974" s="252"/>
      <c r="DMM974" s="252"/>
      <c r="DMN974" s="252"/>
      <c r="DMO974" s="252"/>
      <c r="DMP974" s="252"/>
      <c r="DMQ974" s="252"/>
      <c r="DMR974" s="252"/>
      <c r="DMS974" s="252"/>
      <c r="DMT974" s="252"/>
      <c r="DMU974" s="252"/>
      <c r="DMV974" s="252"/>
      <c r="DMW974" s="252"/>
      <c r="DMX974" s="252"/>
      <c r="DMY974" s="252"/>
      <c r="DMZ974" s="252"/>
      <c r="DNA974" s="252"/>
      <c r="DNB974" s="252"/>
      <c r="DNC974" s="252"/>
      <c r="DND974" s="252"/>
      <c r="DNE974" s="252"/>
      <c r="DNF974" s="252"/>
      <c r="DNG974" s="252"/>
      <c r="DNH974" s="252"/>
      <c r="DNI974" s="252"/>
      <c r="DNJ974" s="252"/>
      <c r="DNK974" s="252"/>
      <c r="DNL974" s="252"/>
      <c r="DNM974" s="252"/>
      <c r="DNN974" s="252"/>
      <c r="DNO974" s="252"/>
      <c r="DNP974" s="252"/>
      <c r="DNQ974" s="252"/>
      <c r="DNR974" s="252"/>
      <c r="DNS974" s="252"/>
      <c r="DNT974" s="252"/>
      <c r="DNU974" s="252"/>
      <c r="DNV974" s="252"/>
      <c r="DNW974" s="252"/>
      <c r="DNX974" s="252"/>
      <c r="DNY974" s="252"/>
      <c r="DNZ974" s="252"/>
      <c r="DOA974" s="252"/>
      <c r="DOB974" s="252"/>
      <c r="DOC974" s="252"/>
      <c r="DOD974" s="252"/>
      <c r="DOE974" s="252"/>
      <c r="DOF974" s="252"/>
      <c r="DOG974" s="252"/>
      <c r="DOH974" s="252"/>
      <c r="DOI974" s="252"/>
      <c r="DOJ974" s="252"/>
      <c r="DOK974" s="252"/>
      <c r="DOL974" s="252"/>
      <c r="DOM974" s="252"/>
      <c r="DON974" s="252"/>
      <c r="DOO974" s="252"/>
      <c r="DOP974" s="252"/>
      <c r="DOQ974" s="252"/>
      <c r="DOR974" s="252"/>
      <c r="DOS974" s="252"/>
      <c r="DOT974" s="252"/>
      <c r="DOU974" s="252"/>
      <c r="DOV974" s="252"/>
      <c r="DOW974" s="252"/>
      <c r="DOX974" s="252"/>
      <c r="DOY974" s="252"/>
      <c r="DOZ974" s="252"/>
      <c r="DPA974" s="252"/>
      <c r="DPB974" s="252"/>
      <c r="DPC974" s="252"/>
      <c r="DPD974" s="252"/>
      <c r="DPE974" s="252"/>
      <c r="DPF974" s="252"/>
      <c r="DPG974" s="252"/>
      <c r="DPH974" s="252"/>
      <c r="DPI974" s="252"/>
      <c r="DPJ974" s="252"/>
      <c r="DPK974" s="252"/>
      <c r="DPL974" s="252"/>
      <c r="DPM974" s="252"/>
      <c r="DPN974" s="252"/>
      <c r="DPO974" s="252"/>
      <c r="DPP974" s="252"/>
      <c r="DPQ974" s="252"/>
      <c r="DPR974" s="252"/>
      <c r="DPS974" s="252"/>
      <c r="DPT974" s="252"/>
      <c r="DPU974" s="252"/>
      <c r="DPV974" s="252"/>
      <c r="DPW974" s="252"/>
      <c r="DPX974" s="252"/>
      <c r="DPY974" s="252"/>
      <c r="DPZ974" s="252"/>
      <c r="DQA974" s="252"/>
      <c r="DQB974" s="252"/>
      <c r="DQC974" s="252"/>
      <c r="DQD974" s="252"/>
      <c r="DQE974" s="252"/>
      <c r="DQF974" s="252"/>
      <c r="DQG974" s="252"/>
      <c r="DQH974" s="252"/>
      <c r="DQI974" s="252"/>
      <c r="DQJ974" s="252"/>
      <c r="DQK974" s="252"/>
      <c r="DQL974" s="252"/>
      <c r="DQM974" s="252"/>
      <c r="DQN974" s="252"/>
      <c r="DQO974" s="252"/>
      <c r="DQP974" s="252"/>
      <c r="DQQ974" s="252"/>
      <c r="DQR974" s="252"/>
      <c r="DQS974" s="252"/>
      <c r="DQT974" s="252"/>
      <c r="DQU974" s="252"/>
      <c r="DQV974" s="252"/>
      <c r="DQW974" s="252"/>
      <c r="DQX974" s="252"/>
      <c r="DQY974" s="252"/>
      <c r="DQZ974" s="252"/>
      <c r="DRA974" s="252"/>
      <c r="DRB974" s="252"/>
      <c r="DRC974" s="252"/>
      <c r="DRD974" s="252"/>
      <c r="DRE974" s="252"/>
      <c r="DRF974" s="252"/>
      <c r="DRG974" s="252"/>
      <c r="DRH974" s="252"/>
      <c r="DRI974" s="252"/>
      <c r="DRJ974" s="252"/>
      <c r="DRK974" s="252"/>
      <c r="DRL974" s="252"/>
      <c r="DRM974" s="252"/>
      <c r="DRN974" s="252"/>
      <c r="DRO974" s="252"/>
      <c r="DRP974" s="252"/>
      <c r="DRQ974" s="252"/>
      <c r="DRR974" s="252"/>
      <c r="DRS974" s="252"/>
      <c r="DRT974" s="252"/>
      <c r="DRU974" s="252"/>
      <c r="DRV974" s="252"/>
      <c r="DRW974" s="252"/>
      <c r="DRX974" s="252"/>
      <c r="DRY974" s="252"/>
      <c r="DRZ974" s="252"/>
      <c r="DSA974" s="252"/>
      <c r="DSB974" s="252"/>
      <c r="DSC974" s="252"/>
      <c r="DSD974" s="252"/>
      <c r="DSE974" s="252"/>
      <c r="DSF974" s="252"/>
      <c r="DSG974" s="252"/>
      <c r="DSH974" s="252"/>
      <c r="DSI974" s="252"/>
      <c r="DSJ974" s="252"/>
      <c r="DSK974" s="252"/>
      <c r="DSL974" s="252"/>
      <c r="DSM974" s="252"/>
      <c r="DSN974" s="252"/>
      <c r="DSO974" s="252"/>
      <c r="DSP974" s="252"/>
      <c r="DSQ974" s="252"/>
      <c r="DSR974" s="252"/>
      <c r="DSS974" s="252"/>
      <c r="DST974" s="252"/>
      <c r="DSU974" s="252"/>
      <c r="DSV974" s="252"/>
      <c r="DSW974" s="252"/>
      <c r="DSX974" s="252"/>
      <c r="DSY974" s="252"/>
      <c r="DSZ974" s="252"/>
      <c r="DTA974" s="252"/>
      <c r="DTB974" s="252"/>
      <c r="DTC974" s="252"/>
      <c r="DTD974" s="252"/>
      <c r="DTE974" s="252"/>
      <c r="DTF974" s="252"/>
      <c r="DTG974" s="252"/>
      <c r="DTH974" s="252"/>
      <c r="DTI974" s="252"/>
      <c r="DTJ974" s="252"/>
      <c r="DTK974" s="252"/>
      <c r="DTL974" s="252"/>
      <c r="DTM974" s="252"/>
      <c r="DTN974" s="252"/>
      <c r="DTO974" s="252"/>
      <c r="DTP974" s="252"/>
      <c r="DTQ974" s="252"/>
      <c r="DTR974" s="252"/>
      <c r="DTS974" s="252"/>
      <c r="DTT974" s="252"/>
      <c r="DTU974" s="252"/>
      <c r="DTV974" s="252"/>
      <c r="DTW974" s="252"/>
      <c r="DTX974" s="252"/>
      <c r="DTY974" s="252"/>
      <c r="DTZ974" s="252"/>
      <c r="DUA974" s="252"/>
      <c r="DUB974" s="252"/>
      <c r="DUC974" s="252"/>
      <c r="DUD974" s="252"/>
      <c r="DUE974" s="252"/>
      <c r="DUF974" s="252"/>
      <c r="DUG974" s="252"/>
      <c r="DUH974" s="252"/>
      <c r="DUI974" s="252"/>
      <c r="DUJ974" s="252"/>
      <c r="DUK974" s="252"/>
      <c r="DUL974" s="252"/>
      <c r="DUM974" s="252"/>
      <c r="DUN974" s="252"/>
      <c r="DUO974" s="252"/>
      <c r="DUP974" s="252"/>
      <c r="DUQ974" s="252"/>
      <c r="DUR974" s="252"/>
      <c r="DUS974" s="252"/>
      <c r="DUT974" s="252"/>
      <c r="DUU974" s="252"/>
      <c r="DUV974" s="252"/>
      <c r="DUW974" s="252"/>
      <c r="DUX974" s="252"/>
      <c r="DUY974" s="252"/>
      <c r="DUZ974" s="252"/>
      <c r="DVA974" s="252"/>
      <c r="DVB974" s="252"/>
      <c r="DVC974" s="252"/>
      <c r="DVD974" s="252"/>
      <c r="DVE974" s="252"/>
      <c r="DVF974" s="252"/>
      <c r="DVG974" s="252"/>
      <c r="DVH974" s="252"/>
      <c r="DVI974" s="252"/>
      <c r="DVJ974" s="252"/>
      <c r="DVK974" s="252"/>
      <c r="DVL974" s="252"/>
      <c r="DVM974" s="252"/>
      <c r="DVN974" s="252"/>
      <c r="DVO974" s="252"/>
      <c r="DVP974" s="252"/>
      <c r="DVQ974" s="252"/>
      <c r="DVR974" s="252"/>
      <c r="DVS974" s="252"/>
      <c r="DVT974" s="252"/>
      <c r="DVU974" s="252"/>
      <c r="DVV974" s="252"/>
      <c r="DVW974" s="252"/>
      <c r="DVX974" s="252"/>
      <c r="DVY974" s="252"/>
      <c r="DVZ974" s="252"/>
      <c r="DWA974" s="252"/>
      <c r="DWB974" s="252"/>
      <c r="DWC974" s="252"/>
      <c r="DWD974" s="252"/>
      <c r="DWE974" s="252"/>
      <c r="DWF974" s="252"/>
      <c r="DWG974" s="252"/>
      <c r="DWH974" s="252"/>
      <c r="DWI974" s="252"/>
      <c r="DWJ974" s="252"/>
      <c r="DWK974" s="252"/>
      <c r="DWL974" s="252"/>
      <c r="DWM974" s="252"/>
      <c r="DWN974" s="252"/>
      <c r="DWO974" s="252"/>
      <c r="DWP974" s="252"/>
      <c r="DWQ974" s="252"/>
      <c r="DWR974" s="252"/>
      <c r="DWS974" s="252"/>
      <c r="DWT974" s="252"/>
      <c r="DWU974" s="252"/>
      <c r="DWV974" s="252"/>
      <c r="DWW974" s="252"/>
      <c r="DWX974" s="252"/>
      <c r="DWY974" s="252"/>
      <c r="DWZ974" s="252"/>
      <c r="DXA974" s="252"/>
      <c r="DXB974" s="252"/>
      <c r="DXC974" s="252"/>
      <c r="DXD974" s="252"/>
      <c r="DXE974" s="252"/>
      <c r="DXF974" s="252"/>
      <c r="DXG974" s="252"/>
      <c r="DXH974" s="252"/>
      <c r="DXI974" s="252"/>
      <c r="DXJ974" s="252"/>
      <c r="DXK974" s="252"/>
      <c r="DXL974" s="252"/>
      <c r="DXM974" s="252"/>
      <c r="DXN974" s="252"/>
      <c r="DXO974" s="252"/>
      <c r="DXP974" s="252"/>
      <c r="DXQ974" s="252"/>
      <c r="DXR974" s="252"/>
      <c r="DXS974" s="252"/>
      <c r="DXT974" s="252"/>
      <c r="DXU974" s="252"/>
      <c r="DXV974" s="252"/>
      <c r="DXW974" s="252"/>
      <c r="DXX974" s="252"/>
      <c r="DXY974" s="252"/>
      <c r="DXZ974" s="252"/>
      <c r="DYA974" s="252"/>
      <c r="DYB974" s="252"/>
      <c r="DYC974" s="252"/>
      <c r="DYD974" s="252"/>
      <c r="DYE974" s="252"/>
      <c r="DYF974" s="252"/>
      <c r="DYG974" s="252"/>
      <c r="DYH974" s="252"/>
      <c r="DYI974" s="252"/>
      <c r="DYJ974" s="252"/>
      <c r="DYK974" s="252"/>
      <c r="DYL974" s="252"/>
      <c r="DYM974" s="252"/>
      <c r="DYN974" s="252"/>
      <c r="DYO974" s="252"/>
      <c r="DYP974" s="252"/>
      <c r="DYQ974" s="252"/>
      <c r="DYR974" s="252"/>
      <c r="DYS974" s="252"/>
      <c r="DYT974" s="252"/>
      <c r="DYU974" s="252"/>
      <c r="DYV974" s="252"/>
      <c r="DYW974" s="252"/>
      <c r="DYX974" s="252"/>
      <c r="DYY974" s="252"/>
      <c r="DYZ974" s="252"/>
      <c r="DZA974" s="252"/>
      <c r="DZB974" s="252"/>
      <c r="DZC974" s="252"/>
      <c r="DZD974" s="252"/>
      <c r="DZE974" s="252"/>
      <c r="DZF974" s="252"/>
      <c r="DZG974" s="252"/>
      <c r="DZH974" s="252"/>
      <c r="DZI974" s="252"/>
      <c r="DZJ974" s="252"/>
      <c r="DZK974" s="252"/>
      <c r="DZL974" s="252"/>
      <c r="DZM974" s="252"/>
      <c r="DZN974" s="252"/>
      <c r="DZO974" s="252"/>
      <c r="DZP974" s="252"/>
      <c r="DZQ974" s="252"/>
      <c r="DZR974" s="252"/>
      <c r="DZS974" s="252"/>
      <c r="DZT974" s="252"/>
      <c r="DZU974" s="252"/>
      <c r="DZV974" s="252"/>
      <c r="DZW974" s="252"/>
      <c r="DZX974" s="252"/>
      <c r="DZY974" s="252"/>
      <c r="DZZ974" s="252"/>
      <c r="EAA974" s="252"/>
      <c r="EAB974" s="252"/>
      <c r="EAC974" s="252"/>
      <c r="EAD974" s="252"/>
      <c r="EAE974" s="252"/>
      <c r="EAF974" s="252"/>
      <c r="EAG974" s="252"/>
      <c r="EAH974" s="252"/>
      <c r="EAI974" s="252"/>
      <c r="EAJ974" s="252"/>
      <c r="EAK974" s="252"/>
      <c r="EAL974" s="252"/>
      <c r="EAM974" s="252"/>
      <c r="EAN974" s="252"/>
      <c r="EAO974" s="252"/>
      <c r="EAP974" s="252"/>
      <c r="EAQ974" s="252"/>
      <c r="EAR974" s="252"/>
      <c r="EAS974" s="252"/>
      <c r="EAT974" s="252"/>
      <c r="EAU974" s="252"/>
      <c r="EAV974" s="252"/>
      <c r="EAW974" s="252"/>
      <c r="EAX974" s="252"/>
      <c r="EAY974" s="252"/>
      <c r="EAZ974" s="252"/>
      <c r="EBA974" s="252"/>
      <c r="EBB974" s="252"/>
      <c r="EBC974" s="252"/>
      <c r="EBD974" s="252"/>
      <c r="EBE974" s="252"/>
      <c r="EBF974" s="252"/>
      <c r="EBG974" s="252"/>
      <c r="EBH974" s="252"/>
      <c r="EBI974" s="252"/>
      <c r="EBJ974" s="252"/>
      <c r="EBK974" s="252"/>
      <c r="EBL974" s="252"/>
      <c r="EBM974" s="252"/>
      <c r="EBN974" s="252"/>
      <c r="EBO974" s="252"/>
      <c r="EBP974" s="252"/>
      <c r="EBQ974" s="252"/>
      <c r="EBR974" s="252"/>
      <c r="EBS974" s="252"/>
      <c r="EBT974" s="252"/>
      <c r="EBU974" s="252"/>
      <c r="EBV974" s="252"/>
      <c r="EBW974" s="252"/>
      <c r="EBX974" s="252"/>
      <c r="EBY974" s="252"/>
      <c r="EBZ974" s="252"/>
      <c r="ECA974" s="252"/>
      <c r="ECB974" s="252"/>
      <c r="ECC974" s="252"/>
      <c r="ECD974" s="252"/>
      <c r="ECE974" s="252"/>
      <c r="ECF974" s="252"/>
      <c r="ECG974" s="252"/>
      <c r="ECH974" s="252"/>
      <c r="ECI974" s="252"/>
      <c r="ECJ974" s="252"/>
      <c r="ECK974" s="252"/>
      <c r="ECL974" s="252"/>
      <c r="ECM974" s="252"/>
      <c r="ECN974" s="252"/>
      <c r="ECO974" s="252"/>
      <c r="ECP974" s="252"/>
      <c r="ECQ974" s="252"/>
      <c r="ECR974" s="252"/>
      <c r="ECS974" s="252"/>
      <c r="ECT974" s="252"/>
      <c r="ECU974" s="252"/>
      <c r="ECV974" s="252"/>
      <c r="ECW974" s="252"/>
      <c r="ECX974" s="252"/>
      <c r="ECY974" s="252"/>
      <c r="ECZ974" s="252"/>
      <c r="EDA974" s="252"/>
      <c r="EDB974" s="252"/>
      <c r="EDC974" s="252"/>
      <c r="EDD974" s="252"/>
      <c r="EDE974" s="252"/>
      <c r="EDF974" s="252"/>
      <c r="EDG974" s="252"/>
      <c r="EDH974" s="252"/>
      <c r="EDI974" s="252"/>
      <c r="EDJ974" s="252"/>
      <c r="EDK974" s="252"/>
      <c r="EDL974" s="252"/>
      <c r="EDM974" s="252"/>
      <c r="EDN974" s="252"/>
      <c r="EDO974" s="252"/>
      <c r="EDP974" s="252"/>
      <c r="EDQ974" s="252"/>
      <c r="EDR974" s="252"/>
      <c r="EDS974" s="252"/>
      <c r="EDT974" s="252"/>
      <c r="EDU974" s="252"/>
      <c r="EDV974" s="252"/>
      <c r="EDW974" s="252"/>
      <c r="EDX974" s="252"/>
      <c r="EDY974" s="252"/>
      <c r="EDZ974" s="252"/>
      <c r="EEA974" s="252"/>
      <c r="EEB974" s="252"/>
      <c r="EEC974" s="252"/>
      <c r="EED974" s="252"/>
      <c r="EEE974" s="252"/>
      <c r="EEF974" s="252"/>
      <c r="EEG974" s="252"/>
      <c r="EEH974" s="252"/>
      <c r="EEI974" s="252"/>
      <c r="EEJ974" s="252"/>
      <c r="EEK974" s="252"/>
      <c r="EEL974" s="252"/>
      <c r="EEM974" s="252"/>
      <c r="EEN974" s="252"/>
      <c r="EEO974" s="252"/>
      <c r="EEP974" s="252"/>
      <c r="EEQ974" s="252"/>
      <c r="EER974" s="252"/>
      <c r="EES974" s="252"/>
      <c r="EET974" s="252"/>
      <c r="EEU974" s="252"/>
      <c r="EEV974" s="252"/>
      <c r="EEW974" s="252"/>
      <c r="EEX974" s="252"/>
      <c r="EEY974" s="252"/>
      <c r="EEZ974" s="252"/>
      <c r="EFA974" s="252"/>
      <c r="EFB974" s="252"/>
      <c r="EFC974" s="252"/>
      <c r="EFD974" s="252"/>
      <c r="EFE974" s="252"/>
      <c r="EFF974" s="252"/>
      <c r="EFG974" s="252"/>
      <c r="EFH974" s="252"/>
      <c r="EFI974" s="252"/>
      <c r="EFJ974" s="252"/>
      <c r="EFK974" s="252"/>
      <c r="EFL974" s="252"/>
      <c r="EFM974" s="252"/>
      <c r="EFN974" s="252"/>
      <c r="EFO974" s="252"/>
      <c r="EFP974" s="252"/>
      <c r="EFQ974" s="252"/>
      <c r="EFR974" s="252"/>
      <c r="EFS974" s="252"/>
      <c r="EFT974" s="252"/>
      <c r="EFU974" s="252"/>
      <c r="EFV974" s="252"/>
      <c r="EFW974" s="252"/>
      <c r="EFX974" s="252"/>
      <c r="EFY974" s="252"/>
      <c r="EFZ974" s="252"/>
      <c r="EGA974" s="252"/>
      <c r="EGB974" s="252"/>
      <c r="EGC974" s="252"/>
      <c r="EGD974" s="252"/>
      <c r="EGE974" s="252"/>
      <c r="EGF974" s="252"/>
      <c r="EGG974" s="252"/>
      <c r="EGH974" s="252"/>
      <c r="EGI974" s="252"/>
      <c r="EGJ974" s="252"/>
      <c r="EGK974" s="252"/>
      <c r="EGL974" s="252"/>
      <c r="EGM974" s="252"/>
      <c r="EGN974" s="252"/>
      <c r="EGO974" s="252"/>
      <c r="EGP974" s="252"/>
      <c r="EGQ974" s="252"/>
      <c r="EGR974" s="252"/>
      <c r="EGS974" s="252"/>
      <c r="EGT974" s="252"/>
      <c r="EGU974" s="252"/>
      <c r="EGV974" s="252"/>
      <c r="EGW974" s="252"/>
      <c r="EGX974" s="252"/>
      <c r="EGY974" s="252"/>
      <c r="EGZ974" s="252"/>
      <c r="EHA974" s="252"/>
      <c r="EHB974" s="252"/>
      <c r="EHC974" s="252"/>
      <c r="EHD974" s="252"/>
      <c r="EHE974" s="252"/>
      <c r="EHF974" s="252"/>
      <c r="EHG974" s="252"/>
      <c r="EHH974" s="252"/>
      <c r="EHI974" s="252"/>
      <c r="EHJ974" s="252"/>
      <c r="EHK974" s="252"/>
      <c r="EHL974" s="252"/>
      <c r="EHM974" s="252"/>
      <c r="EHN974" s="252"/>
      <c r="EHO974" s="252"/>
      <c r="EHP974" s="252"/>
      <c r="EHQ974" s="252"/>
      <c r="EHR974" s="252"/>
      <c r="EHS974" s="252"/>
      <c r="EHT974" s="252"/>
      <c r="EHU974" s="252"/>
      <c r="EHV974" s="252"/>
      <c r="EHW974" s="252"/>
      <c r="EHX974" s="252"/>
      <c r="EHY974" s="252"/>
      <c r="EHZ974" s="252"/>
      <c r="EIA974" s="252"/>
      <c r="EIB974" s="252"/>
      <c r="EIC974" s="252"/>
      <c r="EID974" s="252"/>
      <c r="EIE974" s="252"/>
      <c r="EIF974" s="252"/>
      <c r="EIG974" s="252"/>
      <c r="EIH974" s="252"/>
      <c r="EII974" s="252"/>
      <c r="EIJ974" s="252"/>
      <c r="EIK974" s="252"/>
      <c r="EIL974" s="252"/>
      <c r="EIM974" s="252"/>
      <c r="EIN974" s="252"/>
      <c r="EIO974" s="252"/>
      <c r="EIP974" s="252"/>
      <c r="EIQ974" s="252"/>
      <c r="EIR974" s="252"/>
      <c r="EIS974" s="252"/>
      <c r="EIT974" s="252"/>
      <c r="EIU974" s="252"/>
      <c r="EIV974" s="252"/>
      <c r="EIW974" s="252"/>
      <c r="EIX974" s="252"/>
      <c r="EIY974" s="252"/>
      <c r="EIZ974" s="252"/>
      <c r="EJA974" s="252"/>
      <c r="EJB974" s="252"/>
      <c r="EJC974" s="252"/>
      <c r="EJD974" s="252"/>
      <c r="EJE974" s="252"/>
      <c r="EJF974" s="252"/>
      <c r="EJG974" s="252"/>
      <c r="EJH974" s="252"/>
      <c r="EJI974" s="252"/>
      <c r="EJJ974" s="252"/>
      <c r="EJK974" s="252"/>
      <c r="EJL974" s="252"/>
      <c r="EJM974" s="252"/>
      <c r="EJN974" s="252"/>
      <c r="EJO974" s="252"/>
      <c r="EJP974" s="252"/>
      <c r="EJQ974" s="252"/>
      <c r="EJR974" s="252"/>
      <c r="EJS974" s="252"/>
      <c r="EJT974" s="252"/>
      <c r="EJU974" s="252"/>
      <c r="EJV974" s="252"/>
      <c r="EJW974" s="252"/>
      <c r="EJX974" s="252"/>
      <c r="EJY974" s="252"/>
      <c r="EJZ974" s="252"/>
      <c r="EKA974" s="252"/>
      <c r="EKB974" s="252"/>
      <c r="EKC974" s="252"/>
      <c r="EKD974" s="252"/>
      <c r="EKE974" s="252"/>
      <c r="EKF974" s="252"/>
      <c r="EKG974" s="252"/>
      <c r="EKH974" s="252"/>
      <c r="EKI974" s="252"/>
      <c r="EKJ974" s="252"/>
      <c r="EKK974" s="252"/>
      <c r="EKL974" s="252"/>
      <c r="EKM974" s="252"/>
      <c r="EKN974" s="252"/>
      <c r="EKO974" s="252"/>
      <c r="EKP974" s="252"/>
      <c r="EKQ974" s="252"/>
      <c r="EKR974" s="252"/>
      <c r="EKS974" s="252"/>
      <c r="EKT974" s="252"/>
      <c r="EKU974" s="252"/>
      <c r="EKV974" s="252"/>
      <c r="EKW974" s="252"/>
      <c r="EKX974" s="252"/>
      <c r="EKY974" s="252"/>
      <c r="EKZ974" s="252"/>
      <c r="ELA974" s="252"/>
      <c r="ELB974" s="252"/>
      <c r="ELC974" s="252"/>
      <c r="ELD974" s="252"/>
      <c r="ELE974" s="252"/>
      <c r="ELF974" s="252"/>
      <c r="ELG974" s="252"/>
      <c r="ELH974" s="252"/>
      <c r="ELI974" s="252"/>
      <c r="ELJ974" s="252"/>
      <c r="ELK974" s="252"/>
      <c r="ELL974" s="252"/>
      <c r="ELM974" s="252"/>
      <c r="ELN974" s="252"/>
      <c r="ELO974" s="252"/>
      <c r="ELP974" s="252"/>
      <c r="ELQ974" s="252"/>
      <c r="ELR974" s="252"/>
      <c r="ELS974" s="252"/>
      <c r="ELT974" s="252"/>
      <c r="ELU974" s="252"/>
      <c r="ELV974" s="252"/>
      <c r="ELW974" s="252"/>
      <c r="ELX974" s="252"/>
      <c r="ELY974" s="252"/>
      <c r="ELZ974" s="252"/>
      <c r="EMA974" s="252"/>
      <c r="EMB974" s="252"/>
      <c r="EMC974" s="252"/>
      <c r="EMD974" s="252"/>
      <c r="EME974" s="252"/>
      <c r="EMF974" s="252"/>
      <c r="EMG974" s="252"/>
      <c r="EMH974" s="252"/>
      <c r="EMI974" s="252"/>
      <c r="EMJ974" s="252"/>
      <c r="EMK974" s="252"/>
      <c r="EML974" s="252"/>
      <c r="EMM974" s="252"/>
      <c r="EMN974" s="252"/>
      <c r="EMO974" s="252"/>
      <c r="EMP974" s="252"/>
      <c r="EMQ974" s="252"/>
      <c r="EMR974" s="252"/>
      <c r="EMS974" s="252"/>
      <c r="EMT974" s="252"/>
      <c r="EMU974" s="252"/>
      <c r="EMV974" s="252"/>
      <c r="EMW974" s="252"/>
      <c r="EMX974" s="252"/>
      <c r="EMY974" s="252"/>
      <c r="EMZ974" s="252"/>
      <c r="ENA974" s="252"/>
      <c r="ENB974" s="252"/>
      <c r="ENC974" s="252"/>
      <c r="END974" s="252"/>
      <c r="ENE974" s="252"/>
      <c r="ENF974" s="252"/>
      <c r="ENG974" s="252"/>
      <c r="ENH974" s="252"/>
      <c r="ENI974" s="252"/>
      <c r="ENJ974" s="252"/>
      <c r="ENK974" s="252"/>
      <c r="ENL974" s="252"/>
      <c r="ENM974" s="252"/>
      <c r="ENN974" s="252"/>
      <c r="ENO974" s="252"/>
      <c r="ENP974" s="252"/>
      <c r="ENQ974" s="252"/>
      <c r="ENR974" s="252"/>
      <c r="ENS974" s="252"/>
      <c r="ENT974" s="252"/>
      <c r="ENU974" s="252"/>
      <c r="ENV974" s="252"/>
      <c r="ENW974" s="252"/>
      <c r="ENX974" s="252"/>
      <c r="ENY974" s="252"/>
      <c r="ENZ974" s="252"/>
      <c r="EOA974" s="252"/>
      <c r="EOB974" s="252"/>
      <c r="EOC974" s="252"/>
      <c r="EOD974" s="252"/>
      <c r="EOE974" s="252"/>
      <c r="EOF974" s="252"/>
      <c r="EOG974" s="252"/>
      <c r="EOH974" s="252"/>
      <c r="EOI974" s="252"/>
      <c r="EOJ974" s="252"/>
      <c r="EOK974" s="252"/>
      <c r="EOL974" s="252"/>
      <c r="EOM974" s="252"/>
      <c r="EON974" s="252"/>
      <c r="EOO974" s="252"/>
      <c r="EOP974" s="252"/>
      <c r="EOQ974" s="252"/>
      <c r="EOR974" s="252"/>
      <c r="EOS974" s="252"/>
      <c r="EOT974" s="252"/>
      <c r="EOU974" s="252"/>
      <c r="EOV974" s="252"/>
      <c r="EOW974" s="252"/>
      <c r="EOX974" s="252"/>
      <c r="EOY974" s="252"/>
      <c r="EOZ974" s="252"/>
      <c r="EPA974" s="252"/>
      <c r="EPB974" s="252"/>
      <c r="EPC974" s="252"/>
      <c r="EPD974" s="252"/>
      <c r="EPE974" s="252"/>
      <c r="EPF974" s="252"/>
      <c r="EPG974" s="252"/>
      <c r="EPH974" s="252"/>
      <c r="EPI974" s="252"/>
      <c r="EPJ974" s="252"/>
      <c r="EPK974" s="252"/>
      <c r="EPL974" s="252"/>
      <c r="EPM974" s="252"/>
      <c r="EPN974" s="252"/>
      <c r="EPO974" s="252"/>
      <c r="EPP974" s="252"/>
      <c r="EPQ974" s="252"/>
      <c r="EPR974" s="252"/>
      <c r="EPS974" s="252"/>
      <c r="EPT974" s="252"/>
      <c r="EPU974" s="252"/>
      <c r="EPV974" s="252"/>
      <c r="EPW974" s="252"/>
      <c r="EPX974" s="252"/>
      <c r="EPY974" s="252"/>
      <c r="EPZ974" s="252"/>
      <c r="EQA974" s="252"/>
      <c r="EQB974" s="252"/>
      <c r="EQC974" s="252"/>
      <c r="EQD974" s="252"/>
      <c r="EQE974" s="252"/>
      <c r="EQF974" s="252"/>
      <c r="EQG974" s="252"/>
      <c r="EQH974" s="252"/>
      <c r="EQI974" s="252"/>
      <c r="EQJ974" s="252"/>
      <c r="EQK974" s="252"/>
      <c r="EQL974" s="252"/>
      <c r="EQM974" s="252"/>
      <c r="EQN974" s="252"/>
      <c r="EQO974" s="252"/>
      <c r="EQP974" s="252"/>
      <c r="EQQ974" s="252"/>
      <c r="EQR974" s="252"/>
      <c r="EQS974" s="252"/>
      <c r="EQT974" s="252"/>
      <c r="EQU974" s="252"/>
      <c r="EQV974" s="252"/>
      <c r="EQW974" s="252"/>
      <c r="EQX974" s="252"/>
      <c r="EQY974" s="252"/>
      <c r="EQZ974" s="252"/>
      <c r="ERA974" s="252"/>
      <c r="ERB974" s="252"/>
      <c r="ERC974" s="252"/>
      <c r="ERD974" s="252"/>
      <c r="ERE974" s="252"/>
      <c r="ERF974" s="252"/>
      <c r="ERG974" s="252"/>
      <c r="ERH974" s="252"/>
      <c r="ERI974" s="252"/>
      <c r="ERJ974" s="252"/>
      <c r="ERK974" s="252"/>
      <c r="ERL974" s="252"/>
      <c r="ERM974" s="252"/>
      <c r="ERN974" s="252"/>
      <c r="ERO974" s="252"/>
      <c r="ERP974" s="252"/>
      <c r="ERQ974" s="252"/>
      <c r="ERR974" s="252"/>
      <c r="ERS974" s="252"/>
      <c r="ERT974" s="252"/>
      <c r="ERU974" s="252"/>
      <c r="ERV974" s="252"/>
      <c r="ERW974" s="252"/>
      <c r="ERX974" s="252"/>
      <c r="ERY974" s="252"/>
      <c r="ERZ974" s="252"/>
      <c r="ESA974" s="252"/>
      <c r="ESB974" s="252"/>
      <c r="ESC974" s="252"/>
      <c r="ESD974" s="252"/>
      <c r="ESE974" s="252"/>
      <c r="ESF974" s="252"/>
      <c r="ESG974" s="252"/>
      <c r="ESH974" s="252"/>
      <c r="ESI974" s="252"/>
      <c r="ESJ974" s="252"/>
      <c r="ESK974" s="252"/>
      <c r="ESL974" s="252"/>
      <c r="ESM974" s="252"/>
      <c r="ESN974" s="252"/>
      <c r="ESO974" s="252"/>
      <c r="ESP974" s="252"/>
      <c r="ESQ974" s="252"/>
      <c r="ESR974" s="252"/>
      <c r="ESS974" s="252"/>
      <c r="EST974" s="252"/>
      <c r="ESU974" s="252"/>
      <c r="ESV974" s="252"/>
      <c r="ESW974" s="252"/>
      <c r="ESX974" s="252"/>
      <c r="ESY974" s="252"/>
      <c r="ESZ974" s="252"/>
      <c r="ETA974" s="252"/>
      <c r="ETB974" s="252"/>
      <c r="ETC974" s="252"/>
      <c r="ETD974" s="252"/>
      <c r="ETE974" s="252"/>
      <c r="ETF974" s="252"/>
      <c r="ETG974" s="252"/>
      <c r="ETH974" s="252"/>
      <c r="ETI974" s="252"/>
      <c r="ETJ974" s="252"/>
      <c r="ETK974" s="252"/>
      <c r="ETL974" s="252"/>
      <c r="ETM974" s="252"/>
      <c r="ETN974" s="252"/>
      <c r="ETO974" s="252"/>
      <c r="ETP974" s="252"/>
      <c r="ETQ974" s="252"/>
      <c r="ETR974" s="252"/>
      <c r="ETS974" s="252"/>
      <c r="ETT974" s="252"/>
      <c r="ETU974" s="252"/>
      <c r="ETV974" s="252"/>
      <c r="ETW974" s="252"/>
      <c r="ETX974" s="252"/>
      <c r="ETY974" s="252"/>
      <c r="ETZ974" s="252"/>
      <c r="EUA974" s="252"/>
      <c r="EUB974" s="252"/>
      <c r="EUC974" s="252"/>
      <c r="EUD974" s="252"/>
      <c r="EUE974" s="252"/>
      <c r="EUF974" s="252"/>
      <c r="EUG974" s="252"/>
      <c r="EUH974" s="252"/>
      <c r="EUI974" s="252"/>
      <c r="EUJ974" s="252"/>
      <c r="EUK974" s="252"/>
      <c r="EUL974" s="252"/>
      <c r="EUM974" s="252"/>
      <c r="EUN974" s="252"/>
      <c r="EUO974" s="252"/>
      <c r="EUP974" s="252"/>
      <c r="EUQ974" s="252"/>
      <c r="EUR974" s="252"/>
      <c r="EUS974" s="252"/>
      <c r="EUT974" s="252"/>
      <c r="EUU974" s="252"/>
      <c r="EUV974" s="252"/>
      <c r="EUW974" s="252"/>
      <c r="EUX974" s="252"/>
      <c r="EUY974" s="252"/>
      <c r="EUZ974" s="252"/>
      <c r="EVA974" s="252"/>
      <c r="EVB974" s="252"/>
      <c r="EVC974" s="252"/>
      <c r="EVD974" s="252"/>
      <c r="EVE974" s="252"/>
      <c r="EVF974" s="252"/>
      <c r="EVG974" s="252"/>
      <c r="EVH974" s="252"/>
      <c r="EVI974" s="252"/>
      <c r="EVJ974" s="252"/>
      <c r="EVK974" s="252"/>
      <c r="EVL974" s="252"/>
      <c r="EVM974" s="252"/>
      <c r="EVN974" s="252"/>
      <c r="EVO974" s="252"/>
      <c r="EVP974" s="252"/>
      <c r="EVQ974" s="252"/>
      <c r="EVR974" s="252"/>
      <c r="EVS974" s="252"/>
      <c r="EVT974" s="252"/>
      <c r="EVU974" s="252"/>
      <c r="EVV974" s="252"/>
      <c r="EVW974" s="252"/>
      <c r="EVX974" s="252"/>
      <c r="EVY974" s="252"/>
      <c r="EVZ974" s="252"/>
      <c r="EWA974" s="252"/>
      <c r="EWB974" s="252"/>
      <c r="EWC974" s="252"/>
      <c r="EWD974" s="252"/>
      <c r="EWE974" s="252"/>
      <c r="EWF974" s="252"/>
      <c r="EWG974" s="252"/>
      <c r="EWH974" s="252"/>
      <c r="EWI974" s="252"/>
      <c r="EWJ974" s="252"/>
      <c r="EWK974" s="252"/>
      <c r="EWL974" s="252"/>
      <c r="EWM974" s="252"/>
      <c r="EWN974" s="252"/>
      <c r="EWO974" s="252"/>
      <c r="EWP974" s="252"/>
      <c r="EWQ974" s="252"/>
      <c r="EWR974" s="252"/>
      <c r="EWS974" s="252"/>
      <c r="EWT974" s="252"/>
      <c r="EWU974" s="252"/>
      <c r="EWV974" s="252"/>
      <c r="EWW974" s="252"/>
      <c r="EWX974" s="252"/>
      <c r="EWY974" s="252"/>
      <c r="EWZ974" s="252"/>
      <c r="EXA974" s="252"/>
      <c r="EXB974" s="252"/>
      <c r="EXC974" s="252"/>
      <c r="EXD974" s="252"/>
      <c r="EXE974" s="252"/>
      <c r="EXF974" s="252"/>
      <c r="EXG974" s="252"/>
      <c r="EXH974" s="252"/>
      <c r="EXI974" s="252"/>
      <c r="EXJ974" s="252"/>
      <c r="EXK974" s="252"/>
      <c r="EXL974" s="252"/>
      <c r="EXM974" s="252"/>
      <c r="EXN974" s="252"/>
      <c r="EXO974" s="252"/>
      <c r="EXP974" s="252"/>
      <c r="EXQ974" s="252"/>
      <c r="EXR974" s="252"/>
      <c r="EXS974" s="252"/>
      <c r="EXT974" s="252"/>
      <c r="EXU974" s="252"/>
      <c r="EXV974" s="252"/>
      <c r="EXW974" s="252"/>
      <c r="EXX974" s="252"/>
      <c r="EXY974" s="252"/>
      <c r="EXZ974" s="252"/>
      <c r="EYA974" s="252"/>
      <c r="EYB974" s="252"/>
      <c r="EYC974" s="252"/>
      <c r="EYD974" s="252"/>
      <c r="EYE974" s="252"/>
      <c r="EYF974" s="252"/>
      <c r="EYG974" s="252"/>
      <c r="EYH974" s="252"/>
      <c r="EYI974" s="252"/>
      <c r="EYJ974" s="252"/>
      <c r="EYK974" s="252"/>
      <c r="EYL974" s="252"/>
      <c r="EYM974" s="252"/>
      <c r="EYN974" s="252"/>
      <c r="EYO974" s="252"/>
      <c r="EYP974" s="252"/>
      <c r="EYQ974" s="252"/>
      <c r="EYR974" s="252"/>
      <c r="EYS974" s="252"/>
      <c r="EYT974" s="252"/>
      <c r="EYU974" s="252"/>
      <c r="EYV974" s="252"/>
      <c r="EYW974" s="252"/>
      <c r="EYX974" s="252"/>
      <c r="EYY974" s="252"/>
      <c r="EYZ974" s="252"/>
      <c r="EZA974" s="252"/>
      <c r="EZB974" s="252"/>
      <c r="EZC974" s="252"/>
      <c r="EZD974" s="252"/>
      <c r="EZE974" s="252"/>
      <c r="EZF974" s="252"/>
      <c r="EZG974" s="252"/>
      <c r="EZH974" s="252"/>
      <c r="EZI974" s="252"/>
      <c r="EZJ974" s="252"/>
      <c r="EZK974" s="252"/>
      <c r="EZL974" s="252"/>
      <c r="EZM974" s="252"/>
      <c r="EZN974" s="252"/>
      <c r="EZO974" s="252"/>
      <c r="EZP974" s="252"/>
      <c r="EZQ974" s="252"/>
      <c r="EZR974" s="252"/>
      <c r="EZS974" s="252"/>
      <c r="EZT974" s="252"/>
      <c r="EZU974" s="252"/>
      <c r="EZV974" s="252"/>
      <c r="EZW974" s="252"/>
      <c r="EZX974" s="252"/>
      <c r="EZY974" s="252"/>
      <c r="EZZ974" s="252"/>
      <c r="FAA974" s="252"/>
      <c r="FAB974" s="252"/>
      <c r="FAC974" s="252"/>
      <c r="FAD974" s="252"/>
      <c r="FAE974" s="252"/>
      <c r="FAF974" s="252"/>
      <c r="FAG974" s="252"/>
      <c r="FAH974" s="252"/>
      <c r="FAI974" s="252"/>
      <c r="FAJ974" s="252"/>
      <c r="FAK974" s="252"/>
      <c r="FAL974" s="252"/>
      <c r="FAM974" s="252"/>
      <c r="FAN974" s="252"/>
      <c r="FAO974" s="252"/>
      <c r="FAP974" s="252"/>
      <c r="FAQ974" s="252"/>
      <c r="FAR974" s="252"/>
      <c r="FAS974" s="252"/>
      <c r="FAT974" s="252"/>
      <c r="FAU974" s="252"/>
      <c r="FAV974" s="252"/>
      <c r="FAW974" s="252"/>
      <c r="FAX974" s="252"/>
      <c r="FAY974" s="252"/>
      <c r="FAZ974" s="252"/>
      <c r="FBA974" s="252"/>
      <c r="FBB974" s="252"/>
      <c r="FBC974" s="252"/>
      <c r="FBD974" s="252"/>
      <c r="FBE974" s="252"/>
      <c r="FBF974" s="252"/>
      <c r="FBG974" s="252"/>
      <c r="FBH974" s="252"/>
      <c r="FBI974" s="252"/>
      <c r="FBJ974" s="252"/>
      <c r="FBK974" s="252"/>
      <c r="FBL974" s="252"/>
      <c r="FBM974" s="252"/>
      <c r="FBN974" s="252"/>
      <c r="FBO974" s="252"/>
      <c r="FBP974" s="252"/>
      <c r="FBQ974" s="252"/>
      <c r="FBR974" s="252"/>
      <c r="FBS974" s="252"/>
      <c r="FBT974" s="252"/>
      <c r="FBU974" s="252"/>
      <c r="FBV974" s="252"/>
      <c r="FBW974" s="252"/>
      <c r="FBX974" s="252"/>
      <c r="FBY974" s="252"/>
      <c r="FBZ974" s="252"/>
      <c r="FCA974" s="252"/>
      <c r="FCB974" s="252"/>
      <c r="FCC974" s="252"/>
      <c r="FCD974" s="252"/>
      <c r="FCE974" s="252"/>
      <c r="FCF974" s="252"/>
      <c r="FCG974" s="252"/>
      <c r="FCH974" s="252"/>
      <c r="FCI974" s="252"/>
      <c r="FCJ974" s="252"/>
      <c r="FCK974" s="252"/>
      <c r="FCL974" s="252"/>
      <c r="FCM974" s="252"/>
      <c r="FCN974" s="252"/>
      <c r="FCO974" s="252"/>
      <c r="FCP974" s="252"/>
      <c r="FCQ974" s="252"/>
      <c r="FCR974" s="252"/>
      <c r="FCS974" s="252"/>
      <c r="FCT974" s="252"/>
      <c r="FCU974" s="252"/>
      <c r="FCV974" s="252"/>
      <c r="FCW974" s="252"/>
      <c r="FCX974" s="252"/>
      <c r="FCY974" s="252"/>
      <c r="FCZ974" s="252"/>
      <c r="FDA974" s="252"/>
      <c r="FDB974" s="252"/>
      <c r="FDC974" s="252"/>
      <c r="FDD974" s="252"/>
      <c r="FDE974" s="252"/>
      <c r="FDF974" s="252"/>
      <c r="FDG974" s="252"/>
      <c r="FDH974" s="252"/>
      <c r="FDI974" s="252"/>
      <c r="FDJ974" s="252"/>
      <c r="FDK974" s="252"/>
      <c r="FDL974" s="252"/>
      <c r="FDM974" s="252"/>
      <c r="FDN974" s="252"/>
      <c r="FDO974" s="252"/>
      <c r="FDP974" s="252"/>
      <c r="FDQ974" s="252"/>
      <c r="FDR974" s="252"/>
      <c r="FDS974" s="252"/>
      <c r="FDT974" s="252"/>
      <c r="FDU974" s="252"/>
      <c r="FDV974" s="252"/>
      <c r="FDW974" s="252"/>
      <c r="FDX974" s="252"/>
      <c r="FDY974" s="252"/>
      <c r="FDZ974" s="252"/>
      <c r="FEA974" s="252"/>
      <c r="FEB974" s="252"/>
      <c r="FEC974" s="252"/>
      <c r="FED974" s="252"/>
      <c r="FEE974" s="252"/>
      <c r="FEF974" s="252"/>
      <c r="FEG974" s="252"/>
      <c r="FEH974" s="252"/>
      <c r="FEI974" s="252"/>
      <c r="FEJ974" s="252"/>
      <c r="FEK974" s="252"/>
      <c r="FEL974" s="252"/>
      <c r="FEM974" s="252"/>
      <c r="FEN974" s="252"/>
      <c r="FEO974" s="252"/>
      <c r="FEP974" s="252"/>
      <c r="FEQ974" s="252"/>
      <c r="FER974" s="252"/>
      <c r="FES974" s="252"/>
      <c r="FET974" s="252"/>
      <c r="FEU974" s="252"/>
      <c r="FEV974" s="252"/>
      <c r="FEW974" s="252"/>
      <c r="FEX974" s="252"/>
      <c r="FEY974" s="252"/>
      <c r="FEZ974" s="252"/>
      <c r="FFA974" s="252"/>
      <c r="FFB974" s="252"/>
      <c r="FFC974" s="252"/>
      <c r="FFD974" s="252"/>
      <c r="FFE974" s="252"/>
      <c r="FFF974" s="252"/>
      <c r="FFG974" s="252"/>
      <c r="FFH974" s="252"/>
      <c r="FFI974" s="252"/>
      <c r="FFJ974" s="252"/>
      <c r="FFK974" s="252"/>
      <c r="FFL974" s="252"/>
      <c r="FFM974" s="252"/>
      <c r="FFN974" s="252"/>
      <c r="FFO974" s="252"/>
      <c r="FFP974" s="252"/>
      <c r="FFQ974" s="252"/>
      <c r="FFR974" s="252"/>
      <c r="FFS974" s="252"/>
      <c r="FFT974" s="252"/>
      <c r="FFU974" s="252"/>
      <c r="FFV974" s="252"/>
      <c r="FFW974" s="252"/>
      <c r="FFX974" s="252"/>
      <c r="FFY974" s="252"/>
      <c r="FFZ974" s="252"/>
      <c r="FGA974" s="252"/>
      <c r="FGB974" s="252"/>
      <c r="FGC974" s="252"/>
      <c r="FGD974" s="252"/>
      <c r="FGE974" s="252"/>
      <c r="FGF974" s="252"/>
      <c r="FGG974" s="252"/>
      <c r="FGH974" s="252"/>
      <c r="FGI974" s="252"/>
      <c r="FGJ974" s="252"/>
      <c r="FGK974" s="252"/>
      <c r="FGL974" s="252"/>
      <c r="FGM974" s="252"/>
      <c r="FGN974" s="252"/>
      <c r="FGO974" s="252"/>
      <c r="FGP974" s="252"/>
      <c r="FGQ974" s="252"/>
      <c r="FGR974" s="252"/>
      <c r="FGS974" s="252"/>
      <c r="FGT974" s="252"/>
      <c r="FGU974" s="252"/>
      <c r="FGV974" s="252"/>
      <c r="FGW974" s="252"/>
      <c r="FGX974" s="252"/>
      <c r="FGY974" s="252"/>
      <c r="FGZ974" s="252"/>
      <c r="FHA974" s="252"/>
      <c r="FHB974" s="252"/>
      <c r="FHC974" s="252"/>
      <c r="FHD974" s="252"/>
      <c r="FHE974" s="252"/>
      <c r="FHF974" s="252"/>
      <c r="FHG974" s="252"/>
      <c r="FHH974" s="252"/>
      <c r="FHI974" s="252"/>
      <c r="FHJ974" s="252"/>
      <c r="FHK974" s="252"/>
      <c r="FHL974" s="252"/>
      <c r="FHM974" s="252"/>
      <c r="FHN974" s="252"/>
      <c r="FHO974" s="252"/>
      <c r="FHP974" s="252"/>
      <c r="FHQ974" s="252"/>
      <c r="FHR974" s="252"/>
      <c r="FHS974" s="252"/>
      <c r="FHT974" s="252"/>
      <c r="FHU974" s="252"/>
      <c r="FHV974" s="252"/>
      <c r="FHW974" s="252"/>
      <c r="FHX974" s="252"/>
      <c r="FHY974" s="252"/>
      <c r="FHZ974" s="252"/>
      <c r="FIA974" s="252"/>
      <c r="FIB974" s="252"/>
      <c r="FIC974" s="252"/>
      <c r="FID974" s="252"/>
      <c r="FIE974" s="252"/>
      <c r="FIF974" s="252"/>
      <c r="FIG974" s="252"/>
      <c r="FIH974" s="252"/>
      <c r="FII974" s="252"/>
      <c r="FIJ974" s="252"/>
      <c r="FIK974" s="252"/>
      <c r="FIL974" s="252"/>
      <c r="FIM974" s="252"/>
      <c r="FIN974" s="252"/>
      <c r="FIO974" s="252"/>
      <c r="FIP974" s="252"/>
      <c r="FIQ974" s="252"/>
      <c r="FIR974" s="252"/>
      <c r="FIS974" s="252"/>
      <c r="FIT974" s="252"/>
      <c r="FIU974" s="252"/>
      <c r="FIV974" s="252"/>
      <c r="FIW974" s="252"/>
      <c r="FIX974" s="252"/>
      <c r="FIY974" s="252"/>
      <c r="FIZ974" s="252"/>
      <c r="FJA974" s="252"/>
      <c r="FJB974" s="252"/>
      <c r="FJC974" s="252"/>
      <c r="FJD974" s="252"/>
      <c r="FJE974" s="252"/>
      <c r="FJF974" s="252"/>
      <c r="FJG974" s="252"/>
      <c r="FJH974" s="252"/>
      <c r="FJI974" s="252"/>
      <c r="FJJ974" s="252"/>
      <c r="FJK974" s="252"/>
      <c r="FJL974" s="252"/>
      <c r="FJM974" s="252"/>
      <c r="FJN974" s="252"/>
      <c r="FJO974" s="252"/>
      <c r="FJP974" s="252"/>
      <c r="FJQ974" s="252"/>
      <c r="FJR974" s="252"/>
      <c r="FJS974" s="252"/>
      <c r="FJT974" s="252"/>
      <c r="FJU974" s="252"/>
      <c r="FJV974" s="252"/>
      <c r="FJW974" s="252"/>
      <c r="FJX974" s="252"/>
      <c r="FJY974" s="252"/>
      <c r="FJZ974" s="252"/>
      <c r="FKA974" s="252"/>
      <c r="FKB974" s="252"/>
      <c r="FKC974" s="252"/>
      <c r="FKD974" s="252"/>
      <c r="FKE974" s="252"/>
      <c r="FKF974" s="252"/>
      <c r="FKG974" s="252"/>
      <c r="FKH974" s="252"/>
      <c r="FKI974" s="252"/>
      <c r="FKJ974" s="252"/>
      <c r="FKK974" s="252"/>
      <c r="FKL974" s="252"/>
      <c r="FKM974" s="252"/>
      <c r="FKN974" s="252"/>
      <c r="FKO974" s="252"/>
      <c r="FKP974" s="252"/>
      <c r="FKQ974" s="252"/>
      <c r="FKR974" s="252"/>
      <c r="FKS974" s="252"/>
      <c r="FKT974" s="252"/>
      <c r="FKU974" s="252"/>
      <c r="FKV974" s="252"/>
      <c r="FKW974" s="252"/>
      <c r="FKX974" s="252"/>
      <c r="FKY974" s="252"/>
      <c r="FKZ974" s="252"/>
      <c r="FLA974" s="252"/>
      <c r="FLB974" s="252"/>
      <c r="FLC974" s="252"/>
      <c r="FLD974" s="252"/>
      <c r="FLE974" s="252"/>
      <c r="FLF974" s="252"/>
      <c r="FLG974" s="252"/>
      <c r="FLH974" s="252"/>
      <c r="FLI974" s="252"/>
      <c r="FLJ974" s="252"/>
      <c r="FLK974" s="252"/>
      <c r="FLL974" s="252"/>
      <c r="FLM974" s="252"/>
      <c r="FLN974" s="252"/>
      <c r="FLO974" s="252"/>
      <c r="FLP974" s="252"/>
      <c r="FLQ974" s="252"/>
      <c r="FLR974" s="252"/>
      <c r="FLS974" s="252"/>
      <c r="FLT974" s="252"/>
      <c r="FLU974" s="252"/>
      <c r="FLV974" s="252"/>
      <c r="FLW974" s="252"/>
      <c r="FLX974" s="252"/>
      <c r="FLY974" s="252"/>
      <c r="FLZ974" s="252"/>
      <c r="FMA974" s="252"/>
      <c r="FMB974" s="252"/>
      <c r="FMC974" s="252"/>
      <c r="FMD974" s="252"/>
      <c r="FME974" s="252"/>
      <c r="FMF974" s="252"/>
      <c r="FMG974" s="252"/>
      <c r="FMH974" s="252"/>
      <c r="FMI974" s="252"/>
      <c r="FMJ974" s="252"/>
      <c r="FMK974" s="252"/>
      <c r="FML974" s="252"/>
      <c r="FMM974" s="252"/>
      <c r="FMN974" s="252"/>
      <c r="FMO974" s="252"/>
      <c r="FMP974" s="252"/>
      <c r="FMQ974" s="252"/>
      <c r="FMR974" s="252"/>
      <c r="FMS974" s="252"/>
      <c r="FMT974" s="252"/>
      <c r="FMU974" s="252"/>
      <c r="FMV974" s="252"/>
      <c r="FMW974" s="252"/>
      <c r="FMX974" s="252"/>
      <c r="FMY974" s="252"/>
      <c r="FMZ974" s="252"/>
      <c r="FNA974" s="252"/>
      <c r="FNB974" s="252"/>
      <c r="FNC974" s="252"/>
      <c r="FND974" s="252"/>
      <c r="FNE974" s="252"/>
      <c r="FNF974" s="252"/>
      <c r="FNG974" s="252"/>
      <c r="FNH974" s="252"/>
      <c r="FNI974" s="252"/>
      <c r="FNJ974" s="252"/>
      <c r="FNK974" s="252"/>
      <c r="FNL974" s="252"/>
      <c r="FNM974" s="252"/>
      <c r="FNN974" s="252"/>
      <c r="FNO974" s="252"/>
      <c r="FNP974" s="252"/>
      <c r="FNQ974" s="252"/>
      <c r="FNR974" s="252"/>
      <c r="FNS974" s="252"/>
      <c r="FNT974" s="252"/>
      <c r="FNU974" s="252"/>
      <c r="FNV974" s="252"/>
      <c r="FNW974" s="252"/>
      <c r="FNX974" s="252"/>
      <c r="FNY974" s="252"/>
      <c r="FNZ974" s="252"/>
      <c r="FOA974" s="252"/>
      <c r="FOB974" s="252"/>
      <c r="FOC974" s="252"/>
      <c r="FOD974" s="252"/>
      <c r="FOE974" s="252"/>
      <c r="FOF974" s="252"/>
      <c r="FOG974" s="252"/>
      <c r="FOH974" s="252"/>
      <c r="FOI974" s="252"/>
      <c r="FOJ974" s="252"/>
      <c r="FOK974" s="252"/>
      <c r="FOL974" s="252"/>
      <c r="FOM974" s="252"/>
      <c r="FON974" s="252"/>
      <c r="FOO974" s="252"/>
      <c r="FOP974" s="252"/>
      <c r="FOQ974" s="252"/>
      <c r="FOR974" s="252"/>
      <c r="FOS974" s="252"/>
      <c r="FOT974" s="252"/>
      <c r="FOU974" s="252"/>
      <c r="FOV974" s="252"/>
      <c r="FOW974" s="252"/>
      <c r="FOX974" s="252"/>
      <c r="FOY974" s="252"/>
      <c r="FOZ974" s="252"/>
      <c r="FPA974" s="252"/>
      <c r="FPB974" s="252"/>
      <c r="FPC974" s="252"/>
      <c r="FPD974" s="252"/>
      <c r="FPE974" s="252"/>
      <c r="FPF974" s="252"/>
      <c r="FPG974" s="252"/>
      <c r="FPH974" s="252"/>
      <c r="FPI974" s="252"/>
      <c r="FPJ974" s="252"/>
      <c r="FPK974" s="252"/>
      <c r="FPL974" s="252"/>
      <c r="FPM974" s="252"/>
      <c r="FPN974" s="252"/>
      <c r="FPO974" s="252"/>
      <c r="FPP974" s="252"/>
      <c r="FPQ974" s="252"/>
      <c r="FPR974" s="252"/>
      <c r="FPS974" s="252"/>
      <c r="FPT974" s="252"/>
      <c r="FPU974" s="252"/>
      <c r="FPV974" s="252"/>
      <c r="FPW974" s="252"/>
      <c r="FPX974" s="252"/>
      <c r="FPY974" s="252"/>
      <c r="FPZ974" s="252"/>
      <c r="FQA974" s="252"/>
      <c r="FQB974" s="252"/>
      <c r="FQC974" s="252"/>
      <c r="FQD974" s="252"/>
      <c r="FQE974" s="252"/>
      <c r="FQF974" s="252"/>
      <c r="FQG974" s="252"/>
      <c r="FQH974" s="252"/>
      <c r="FQI974" s="252"/>
      <c r="FQJ974" s="252"/>
      <c r="FQK974" s="252"/>
      <c r="FQL974" s="252"/>
      <c r="FQM974" s="252"/>
      <c r="FQN974" s="252"/>
      <c r="FQO974" s="252"/>
      <c r="FQP974" s="252"/>
      <c r="FQQ974" s="252"/>
      <c r="FQR974" s="252"/>
      <c r="FQS974" s="252"/>
      <c r="FQT974" s="252"/>
      <c r="FQU974" s="252"/>
      <c r="FQV974" s="252"/>
      <c r="FQW974" s="252"/>
      <c r="FQX974" s="252"/>
      <c r="FQY974" s="252"/>
      <c r="FQZ974" s="252"/>
      <c r="FRA974" s="252"/>
      <c r="FRB974" s="252"/>
      <c r="FRC974" s="252"/>
      <c r="FRD974" s="252"/>
      <c r="FRE974" s="252"/>
      <c r="FRF974" s="252"/>
      <c r="FRG974" s="252"/>
      <c r="FRH974" s="252"/>
      <c r="FRI974" s="252"/>
      <c r="FRJ974" s="252"/>
      <c r="FRK974" s="252"/>
      <c r="FRL974" s="252"/>
      <c r="FRM974" s="252"/>
      <c r="FRN974" s="252"/>
      <c r="FRO974" s="252"/>
      <c r="FRP974" s="252"/>
      <c r="FRQ974" s="252"/>
      <c r="FRR974" s="252"/>
      <c r="FRS974" s="252"/>
      <c r="FRT974" s="252"/>
      <c r="FRU974" s="252"/>
      <c r="FRV974" s="252"/>
      <c r="FRW974" s="252"/>
      <c r="FRX974" s="252"/>
      <c r="FRY974" s="252"/>
      <c r="FRZ974" s="252"/>
      <c r="FSA974" s="252"/>
      <c r="FSB974" s="252"/>
      <c r="FSC974" s="252"/>
      <c r="FSD974" s="252"/>
      <c r="FSE974" s="252"/>
      <c r="FSF974" s="252"/>
      <c r="FSG974" s="252"/>
      <c r="FSH974" s="252"/>
      <c r="FSI974" s="252"/>
      <c r="FSJ974" s="252"/>
      <c r="FSK974" s="252"/>
      <c r="FSL974" s="252"/>
      <c r="FSM974" s="252"/>
      <c r="FSN974" s="252"/>
      <c r="FSO974" s="252"/>
      <c r="FSP974" s="252"/>
      <c r="FSQ974" s="252"/>
      <c r="FSR974" s="252"/>
      <c r="FSS974" s="252"/>
      <c r="FST974" s="252"/>
      <c r="FSU974" s="252"/>
      <c r="FSV974" s="252"/>
      <c r="FSW974" s="252"/>
      <c r="FSX974" s="252"/>
      <c r="FSY974" s="252"/>
      <c r="FSZ974" s="252"/>
      <c r="FTA974" s="252"/>
      <c r="FTB974" s="252"/>
      <c r="FTC974" s="252"/>
      <c r="FTD974" s="252"/>
      <c r="FTE974" s="252"/>
      <c r="FTF974" s="252"/>
      <c r="FTG974" s="252"/>
      <c r="FTH974" s="252"/>
      <c r="FTI974" s="252"/>
      <c r="FTJ974" s="252"/>
      <c r="FTK974" s="252"/>
      <c r="FTL974" s="252"/>
      <c r="FTM974" s="252"/>
      <c r="FTN974" s="252"/>
      <c r="FTO974" s="252"/>
      <c r="FTP974" s="252"/>
      <c r="FTQ974" s="252"/>
      <c r="FTR974" s="252"/>
      <c r="FTS974" s="252"/>
      <c r="FTT974" s="252"/>
      <c r="FTU974" s="252"/>
      <c r="FTV974" s="252"/>
      <c r="FTW974" s="252"/>
      <c r="FTX974" s="252"/>
      <c r="FTY974" s="252"/>
      <c r="FTZ974" s="252"/>
      <c r="FUA974" s="252"/>
      <c r="FUB974" s="252"/>
      <c r="FUC974" s="252"/>
      <c r="FUD974" s="252"/>
      <c r="FUE974" s="252"/>
      <c r="FUF974" s="252"/>
      <c r="FUG974" s="252"/>
      <c r="FUH974" s="252"/>
      <c r="FUI974" s="252"/>
      <c r="FUJ974" s="252"/>
      <c r="FUK974" s="252"/>
      <c r="FUL974" s="252"/>
      <c r="FUM974" s="252"/>
      <c r="FUN974" s="252"/>
      <c r="FUO974" s="252"/>
      <c r="FUP974" s="252"/>
      <c r="FUQ974" s="252"/>
      <c r="FUR974" s="252"/>
      <c r="FUS974" s="252"/>
      <c r="FUT974" s="252"/>
      <c r="FUU974" s="252"/>
      <c r="FUV974" s="252"/>
      <c r="FUW974" s="252"/>
      <c r="FUX974" s="252"/>
      <c r="FUY974" s="252"/>
      <c r="FUZ974" s="252"/>
      <c r="FVA974" s="252"/>
      <c r="FVB974" s="252"/>
      <c r="FVC974" s="252"/>
      <c r="FVD974" s="252"/>
      <c r="FVE974" s="252"/>
      <c r="FVF974" s="252"/>
      <c r="FVG974" s="252"/>
      <c r="FVH974" s="252"/>
      <c r="FVI974" s="252"/>
      <c r="FVJ974" s="252"/>
      <c r="FVK974" s="252"/>
      <c r="FVL974" s="252"/>
      <c r="FVM974" s="252"/>
      <c r="FVN974" s="252"/>
      <c r="FVO974" s="252"/>
      <c r="FVP974" s="252"/>
      <c r="FVQ974" s="252"/>
      <c r="FVR974" s="252"/>
      <c r="FVS974" s="252"/>
      <c r="FVT974" s="252"/>
      <c r="FVU974" s="252"/>
      <c r="FVV974" s="252"/>
      <c r="FVW974" s="252"/>
      <c r="FVX974" s="252"/>
      <c r="FVY974" s="252"/>
      <c r="FVZ974" s="252"/>
      <c r="FWA974" s="252"/>
      <c r="FWB974" s="252"/>
      <c r="FWC974" s="252"/>
      <c r="FWD974" s="252"/>
      <c r="FWE974" s="252"/>
      <c r="FWF974" s="252"/>
      <c r="FWG974" s="252"/>
      <c r="FWH974" s="252"/>
      <c r="FWI974" s="252"/>
      <c r="FWJ974" s="252"/>
      <c r="FWK974" s="252"/>
      <c r="FWL974" s="252"/>
      <c r="FWM974" s="252"/>
      <c r="FWN974" s="252"/>
      <c r="FWO974" s="252"/>
      <c r="FWP974" s="252"/>
      <c r="FWQ974" s="252"/>
      <c r="FWR974" s="252"/>
      <c r="FWS974" s="252"/>
      <c r="FWT974" s="252"/>
      <c r="FWU974" s="252"/>
      <c r="FWV974" s="252"/>
      <c r="FWW974" s="252"/>
      <c r="FWX974" s="252"/>
      <c r="FWY974" s="252"/>
      <c r="FWZ974" s="252"/>
      <c r="FXA974" s="252"/>
      <c r="FXB974" s="252"/>
      <c r="FXC974" s="252"/>
      <c r="FXD974" s="252"/>
      <c r="FXE974" s="252"/>
      <c r="FXF974" s="252"/>
      <c r="FXG974" s="252"/>
      <c r="FXH974" s="252"/>
      <c r="FXI974" s="252"/>
      <c r="FXJ974" s="252"/>
      <c r="FXK974" s="252"/>
      <c r="FXL974" s="252"/>
      <c r="FXM974" s="252"/>
      <c r="FXN974" s="252"/>
      <c r="FXO974" s="252"/>
      <c r="FXP974" s="252"/>
      <c r="FXQ974" s="252"/>
      <c r="FXR974" s="252"/>
      <c r="FXS974" s="252"/>
      <c r="FXT974" s="252"/>
      <c r="FXU974" s="252"/>
      <c r="FXV974" s="252"/>
      <c r="FXW974" s="252"/>
      <c r="FXX974" s="252"/>
      <c r="FXY974" s="252"/>
      <c r="FXZ974" s="252"/>
      <c r="FYA974" s="252"/>
      <c r="FYB974" s="252"/>
      <c r="FYC974" s="252"/>
      <c r="FYD974" s="252"/>
      <c r="FYE974" s="252"/>
      <c r="FYF974" s="252"/>
      <c r="FYG974" s="252"/>
      <c r="FYH974" s="252"/>
      <c r="FYI974" s="252"/>
      <c r="FYJ974" s="252"/>
      <c r="FYK974" s="252"/>
      <c r="FYL974" s="252"/>
      <c r="FYM974" s="252"/>
      <c r="FYN974" s="252"/>
      <c r="FYO974" s="252"/>
      <c r="FYP974" s="252"/>
      <c r="FYQ974" s="252"/>
      <c r="FYR974" s="252"/>
      <c r="FYS974" s="252"/>
      <c r="FYT974" s="252"/>
      <c r="FYU974" s="252"/>
      <c r="FYV974" s="252"/>
      <c r="FYW974" s="252"/>
      <c r="FYX974" s="252"/>
      <c r="FYY974" s="252"/>
      <c r="FYZ974" s="252"/>
      <c r="FZA974" s="252"/>
      <c r="FZB974" s="252"/>
      <c r="FZC974" s="252"/>
      <c r="FZD974" s="252"/>
      <c r="FZE974" s="252"/>
      <c r="FZF974" s="252"/>
      <c r="FZG974" s="252"/>
      <c r="FZH974" s="252"/>
      <c r="FZI974" s="252"/>
      <c r="FZJ974" s="252"/>
      <c r="FZK974" s="252"/>
      <c r="FZL974" s="252"/>
      <c r="FZM974" s="252"/>
      <c r="FZN974" s="252"/>
      <c r="FZO974" s="252"/>
      <c r="FZP974" s="252"/>
      <c r="FZQ974" s="252"/>
      <c r="FZR974" s="252"/>
      <c r="FZS974" s="252"/>
      <c r="FZT974" s="252"/>
      <c r="FZU974" s="252"/>
      <c r="FZV974" s="252"/>
      <c r="FZW974" s="252"/>
      <c r="FZX974" s="252"/>
      <c r="FZY974" s="252"/>
      <c r="FZZ974" s="252"/>
      <c r="GAA974" s="252"/>
      <c r="GAB974" s="252"/>
      <c r="GAC974" s="252"/>
      <c r="GAD974" s="252"/>
      <c r="GAE974" s="252"/>
      <c r="GAF974" s="252"/>
      <c r="GAG974" s="252"/>
      <c r="GAH974" s="252"/>
      <c r="GAI974" s="252"/>
      <c r="GAJ974" s="252"/>
      <c r="GAK974" s="252"/>
      <c r="GAL974" s="252"/>
      <c r="GAM974" s="252"/>
      <c r="GAN974" s="252"/>
      <c r="GAO974" s="252"/>
      <c r="GAP974" s="252"/>
      <c r="GAQ974" s="252"/>
      <c r="GAR974" s="252"/>
      <c r="GAS974" s="252"/>
      <c r="GAT974" s="252"/>
      <c r="GAU974" s="252"/>
      <c r="GAV974" s="252"/>
      <c r="GAW974" s="252"/>
      <c r="GAX974" s="252"/>
      <c r="GAY974" s="252"/>
      <c r="GAZ974" s="252"/>
      <c r="GBA974" s="252"/>
      <c r="GBB974" s="252"/>
      <c r="GBC974" s="252"/>
      <c r="GBD974" s="252"/>
      <c r="GBE974" s="252"/>
      <c r="GBF974" s="252"/>
      <c r="GBG974" s="252"/>
      <c r="GBH974" s="252"/>
      <c r="GBI974" s="252"/>
      <c r="GBJ974" s="252"/>
      <c r="GBK974" s="252"/>
      <c r="GBL974" s="252"/>
      <c r="GBM974" s="252"/>
      <c r="GBN974" s="252"/>
      <c r="GBO974" s="252"/>
      <c r="GBP974" s="252"/>
      <c r="GBQ974" s="252"/>
      <c r="GBR974" s="252"/>
      <c r="GBS974" s="252"/>
      <c r="GBT974" s="252"/>
      <c r="GBU974" s="252"/>
      <c r="GBV974" s="252"/>
      <c r="GBW974" s="252"/>
      <c r="GBX974" s="252"/>
      <c r="GBY974" s="252"/>
      <c r="GBZ974" s="252"/>
      <c r="GCA974" s="252"/>
      <c r="GCB974" s="252"/>
      <c r="GCC974" s="252"/>
      <c r="GCD974" s="252"/>
      <c r="GCE974" s="252"/>
      <c r="GCF974" s="252"/>
      <c r="GCG974" s="252"/>
      <c r="GCH974" s="252"/>
      <c r="GCI974" s="252"/>
      <c r="GCJ974" s="252"/>
      <c r="GCK974" s="252"/>
      <c r="GCL974" s="252"/>
      <c r="GCM974" s="252"/>
      <c r="GCN974" s="252"/>
      <c r="GCO974" s="252"/>
      <c r="GCP974" s="252"/>
      <c r="GCQ974" s="252"/>
      <c r="GCR974" s="252"/>
      <c r="GCS974" s="252"/>
      <c r="GCT974" s="252"/>
      <c r="GCU974" s="252"/>
      <c r="GCV974" s="252"/>
      <c r="GCW974" s="252"/>
      <c r="GCX974" s="252"/>
      <c r="GCY974" s="252"/>
      <c r="GCZ974" s="252"/>
      <c r="GDA974" s="252"/>
      <c r="GDB974" s="252"/>
      <c r="GDC974" s="252"/>
      <c r="GDD974" s="252"/>
      <c r="GDE974" s="252"/>
      <c r="GDF974" s="252"/>
      <c r="GDG974" s="252"/>
      <c r="GDH974" s="252"/>
      <c r="GDI974" s="252"/>
      <c r="GDJ974" s="252"/>
      <c r="GDK974" s="252"/>
      <c r="GDL974" s="252"/>
      <c r="GDM974" s="252"/>
      <c r="GDN974" s="252"/>
      <c r="GDO974" s="252"/>
      <c r="GDP974" s="252"/>
      <c r="GDQ974" s="252"/>
      <c r="GDR974" s="252"/>
      <c r="GDS974" s="252"/>
      <c r="GDT974" s="252"/>
      <c r="GDU974" s="252"/>
      <c r="GDV974" s="252"/>
      <c r="GDW974" s="252"/>
      <c r="GDX974" s="252"/>
      <c r="GDY974" s="252"/>
      <c r="GDZ974" s="252"/>
      <c r="GEA974" s="252"/>
      <c r="GEB974" s="252"/>
      <c r="GEC974" s="252"/>
      <c r="GED974" s="252"/>
      <c r="GEE974" s="252"/>
      <c r="GEF974" s="252"/>
      <c r="GEG974" s="252"/>
      <c r="GEH974" s="252"/>
      <c r="GEI974" s="252"/>
      <c r="GEJ974" s="252"/>
      <c r="GEK974" s="252"/>
      <c r="GEL974" s="252"/>
      <c r="GEM974" s="252"/>
      <c r="GEN974" s="252"/>
      <c r="GEO974" s="252"/>
      <c r="GEP974" s="252"/>
      <c r="GEQ974" s="252"/>
      <c r="GER974" s="252"/>
      <c r="GES974" s="252"/>
      <c r="GET974" s="252"/>
      <c r="GEU974" s="252"/>
      <c r="GEV974" s="252"/>
      <c r="GEW974" s="252"/>
      <c r="GEX974" s="252"/>
      <c r="GEY974" s="252"/>
      <c r="GEZ974" s="252"/>
      <c r="GFA974" s="252"/>
      <c r="GFB974" s="252"/>
      <c r="GFC974" s="252"/>
      <c r="GFD974" s="252"/>
      <c r="GFE974" s="252"/>
      <c r="GFF974" s="252"/>
      <c r="GFG974" s="252"/>
      <c r="GFH974" s="252"/>
      <c r="GFI974" s="252"/>
      <c r="GFJ974" s="252"/>
      <c r="GFK974" s="252"/>
      <c r="GFL974" s="252"/>
      <c r="GFM974" s="252"/>
      <c r="GFN974" s="252"/>
      <c r="GFO974" s="252"/>
      <c r="GFP974" s="252"/>
      <c r="GFQ974" s="252"/>
      <c r="GFR974" s="252"/>
      <c r="GFS974" s="252"/>
      <c r="GFT974" s="252"/>
      <c r="GFU974" s="252"/>
      <c r="GFV974" s="252"/>
      <c r="GFW974" s="252"/>
      <c r="GFX974" s="252"/>
      <c r="GFY974" s="252"/>
      <c r="GFZ974" s="252"/>
      <c r="GGA974" s="252"/>
      <c r="GGB974" s="252"/>
      <c r="GGC974" s="252"/>
      <c r="GGD974" s="252"/>
      <c r="GGE974" s="252"/>
      <c r="GGF974" s="252"/>
      <c r="GGG974" s="252"/>
      <c r="GGH974" s="252"/>
      <c r="GGI974" s="252"/>
      <c r="GGJ974" s="252"/>
      <c r="GGK974" s="252"/>
      <c r="GGL974" s="252"/>
      <c r="GGM974" s="252"/>
      <c r="GGN974" s="252"/>
      <c r="GGO974" s="252"/>
      <c r="GGP974" s="252"/>
      <c r="GGQ974" s="252"/>
      <c r="GGR974" s="252"/>
      <c r="GGS974" s="252"/>
      <c r="GGT974" s="252"/>
      <c r="GGU974" s="252"/>
      <c r="GGV974" s="252"/>
      <c r="GGW974" s="252"/>
      <c r="GGX974" s="252"/>
      <c r="GGY974" s="252"/>
      <c r="GGZ974" s="252"/>
      <c r="GHA974" s="252"/>
      <c r="GHB974" s="252"/>
      <c r="GHC974" s="252"/>
      <c r="GHD974" s="252"/>
      <c r="GHE974" s="252"/>
      <c r="GHF974" s="252"/>
      <c r="GHG974" s="252"/>
      <c r="GHH974" s="252"/>
      <c r="GHI974" s="252"/>
      <c r="GHJ974" s="252"/>
      <c r="GHK974" s="252"/>
      <c r="GHL974" s="252"/>
      <c r="GHM974" s="252"/>
      <c r="GHN974" s="252"/>
      <c r="GHO974" s="252"/>
      <c r="GHP974" s="252"/>
      <c r="GHQ974" s="252"/>
      <c r="GHR974" s="252"/>
      <c r="GHS974" s="252"/>
      <c r="GHT974" s="252"/>
      <c r="GHU974" s="252"/>
      <c r="GHV974" s="252"/>
      <c r="GHW974" s="252"/>
      <c r="GHX974" s="252"/>
      <c r="GHY974" s="252"/>
      <c r="GHZ974" s="252"/>
      <c r="GIA974" s="252"/>
      <c r="GIB974" s="252"/>
      <c r="GIC974" s="252"/>
      <c r="GID974" s="252"/>
      <c r="GIE974" s="252"/>
      <c r="GIF974" s="252"/>
      <c r="GIG974" s="252"/>
      <c r="GIH974" s="252"/>
      <c r="GII974" s="252"/>
      <c r="GIJ974" s="252"/>
      <c r="GIK974" s="252"/>
      <c r="GIL974" s="252"/>
      <c r="GIM974" s="252"/>
      <c r="GIN974" s="252"/>
      <c r="GIO974" s="252"/>
      <c r="GIP974" s="252"/>
      <c r="GIQ974" s="252"/>
      <c r="GIR974" s="252"/>
      <c r="GIS974" s="252"/>
      <c r="GIT974" s="252"/>
      <c r="GIU974" s="252"/>
      <c r="GIV974" s="252"/>
      <c r="GIW974" s="252"/>
      <c r="GIX974" s="252"/>
      <c r="GIY974" s="252"/>
      <c r="GIZ974" s="252"/>
      <c r="GJA974" s="252"/>
      <c r="GJB974" s="252"/>
      <c r="GJC974" s="252"/>
      <c r="GJD974" s="252"/>
      <c r="GJE974" s="252"/>
      <c r="GJF974" s="252"/>
      <c r="GJG974" s="252"/>
      <c r="GJH974" s="252"/>
      <c r="GJI974" s="252"/>
      <c r="GJJ974" s="252"/>
      <c r="GJK974" s="252"/>
      <c r="GJL974" s="252"/>
      <c r="GJM974" s="252"/>
      <c r="GJN974" s="252"/>
      <c r="GJO974" s="252"/>
      <c r="GJP974" s="252"/>
      <c r="GJQ974" s="252"/>
      <c r="GJR974" s="252"/>
      <c r="GJS974" s="252"/>
      <c r="GJT974" s="252"/>
      <c r="GJU974" s="252"/>
      <c r="GJV974" s="252"/>
      <c r="GJW974" s="252"/>
      <c r="GJX974" s="252"/>
      <c r="GJY974" s="252"/>
      <c r="GJZ974" s="252"/>
      <c r="GKA974" s="252"/>
      <c r="GKB974" s="252"/>
      <c r="GKC974" s="252"/>
      <c r="GKD974" s="252"/>
      <c r="GKE974" s="252"/>
      <c r="GKF974" s="252"/>
      <c r="GKG974" s="252"/>
      <c r="GKH974" s="252"/>
      <c r="GKI974" s="252"/>
      <c r="GKJ974" s="252"/>
      <c r="GKK974" s="252"/>
      <c r="GKL974" s="252"/>
      <c r="GKM974" s="252"/>
      <c r="GKN974" s="252"/>
      <c r="GKO974" s="252"/>
      <c r="GKP974" s="252"/>
      <c r="GKQ974" s="252"/>
      <c r="GKR974" s="252"/>
      <c r="GKS974" s="252"/>
      <c r="GKT974" s="252"/>
      <c r="GKU974" s="252"/>
      <c r="GKV974" s="252"/>
      <c r="GKW974" s="252"/>
      <c r="GKX974" s="252"/>
      <c r="GKY974" s="252"/>
      <c r="GKZ974" s="252"/>
      <c r="GLA974" s="252"/>
      <c r="GLB974" s="252"/>
      <c r="GLC974" s="252"/>
      <c r="GLD974" s="252"/>
      <c r="GLE974" s="252"/>
      <c r="GLF974" s="252"/>
      <c r="GLG974" s="252"/>
      <c r="GLH974" s="252"/>
      <c r="GLI974" s="252"/>
      <c r="GLJ974" s="252"/>
      <c r="GLK974" s="252"/>
      <c r="GLL974" s="252"/>
      <c r="GLM974" s="252"/>
      <c r="GLN974" s="252"/>
      <c r="GLO974" s="252"/>
      <c r="GLP974" s="252"/>
      <c r="GLQ974" s="252"/>
      <c r="GLR974" s="252"/>
      <c r="GLS974" s="252"/>
      <c r="GLT974" s="252"/>
      <c r="GLU974" s="252"/>
      <c r="GLV974" s="252"/>
      <c r="GLW974" s="252"/>
      <c r="GLX974" s="252"/>
      <c r="GLY974" s="252"/>
      <c r="GLZ974" s="252"/>
      <c r="GMA974" s="252"/>
      <c r="GMB974" s="252"/>
      <c r="GMC974" s="252"/>
      <c r="GMD974" s="252"/>
      <c r="GME974" s="252"/>
      <c r="GMF974" s="252"/>
      <c r="GMG974" s="252"/>
      <c r="GMH974" s="252"/>
      <c r="GMI974" s="252"/>
      <c r="GMJ974" s="252"/>
      <c r="GMK974" s="252"/>
      <c r="GML974" s="252"/>
      <c r="GMM974" s="252"/>
      <c r="GMN974" s="252"/>
      <c r="GMO974" s="252"/>
      <c r="GMP974" s="252"/>
      <c r="GMQ974" s="252"/>
      <c r="GMR974" s="252"/>
      <c r="GMS974" s="252"/>
      <c r="GMT974" s="252"/>
      <c r="GMU974" s="252"/>
      <c r="GMV974" s="252"/>
      <c r="GMW974" s="252"/>
      <c r="GMX974" s="252"/>
      <c r="GMY974" s="252"/>
      <c r="GMZ974" s="252"/>
      <c r="GNA974" s="252"/>
      <c r="GNB974" s="252"/>
      <c r="GNC974" s="252"/>
      <c r="GND974" s="252"/>
      <c r="GNE974" s="252"/>
      <c r="GNF974" s="252"/>
      <c r="GNG974" s="252"/>
      <c r="GNH974" s="252"/>
      <c r="GNI974" s="252"/>
      <c r="GNJ974" s="252"/>
      <c r="GNK974" s="252"/>
      <c r="GNL974" s="252"/>
      <c r="GNM974" s="252"/>
      <c r="GNN974" s="252"/>
      <c r="GNO974" s="252"/>
      <c r="GNP974" s="252"/>
      <c r="GNQ974" s="252"/>
      <c r="GNR974" s="252"/>
      <c r="GNS974" s="252"/>
      <c r="GNT974" s="252"/>
      <c r="GNU974" s="252"/>
      <c r="GNV974" s="252"/>
      <c r="GNW974" s="252"/>
      <c r="GNX974" s="252"/>
      <c r="GNY974" s="252"/>
      <c r="GNZ974" s="252"/>
      <c r="GOA974" s="252"/>
      <c r="GOB974" s="252"/>
      <c r="GOC974" s="252"/>
      <c r="GOD974" s="252"/>
      <c r="GOE974" s="252"/>
      <c r="GOF974" s="252"/>
      <c r="GOG974" s="252"/>
      <c r="GOH974" s="252"/>
      <c r="GOI974" s="252"/>
      <c r="GOJ974" s="252"/>
      <c r="GOK974" s="252"/>
      <c r="GOL974" s="252"/>
      <c r="GOM974" s="252"/>
      <c r="GON974" s="252"/>
      <c r="GOO974" s="252"/>
      <c r="GOP974" s="252"/>
      <c r="GOQ974" s="252"/>
      <c r="GOR974" s="252"/>
      <c r="GOS974" s="252"/>
      <c r="GOT974" s="252"/>
      <c r="GOU974" s="252"/>
      <c r="GOV974" s="252"/>
      <c r="GOW974" s="252"/>
      <c r="GOX974" s="252"/>
      <c r="GOY974" s="252"/>
      <c r="GOZ974" s="252"/>
      <c r="GPA974" s="252"/>
      <c r="GPB974" s="252"/>
      <c r="GPC974" s="252"/>
      <c r="GPD974" s="252"/>
      <c r="GPE974" s="252"/>
      <c r="GPF974" s="252"/>
      <c r="GPG974" s="252"/>
      <c r="GPH974" s="252"/>
      <c r="GPI974" s="252"/>
      <c r="GPJ974" s="252"/>
      <c r="GPK974" s="252"/>
      <c r="GPL974" s="252"/>
      <c r="GPM974" s="252"/>
      <c r="GPN974" s="252"/>
      <c r="GPO974" s="252"/>
      <c r="GPP974" s="252"/>
      <c r="GPQ974" s="252"/>
      <c r="GPR974" s="252"/>
      <c r="GPS974" s="252"/>
      <c r="GPT974" s="252"/>
      <c r="GPU974" s="252"/>
      <c r="GPV974" s="252"/>
      <c r="GPW974" s="252"/>
      <c r="GPX974" s="252"/>
      <c r="GPY974" s="252"/>
      <c r="GPZ974" s="252"/>
      <c r="GQA974" s="252"/>
      <c r="GQB974" s="252"/>
      <c r="GQC974" s="252"/>
      <c r="GQD974" s="252"/>
      <c r="GQE974" s="252"/>
      <c r="GQF974" s="252"/>
      <c r="GQG974" s="252"/>
      <c r="GQH974" s="252"/>
      <c r="GQI974" s="252"/>
      <c r="GQJ974" s="252"/>
      <c r="GQK974" s="252"/>
      <c r="GQL974" s="252"/>
      <c r="GQM974" s="252"/>
      <c r="GQN974" s="252"/>
      <c r="GQO974" s="252"/>
      <c r="GQP974" s="252"/>
      <c r="GQQ974" s="252"/>
      <c r="GQR974" s="252"/>
      <c r="GQS974" s="252"/>
      <c r="GQT974" s="252"/>
      <c r="GQU974" s="252"/>
      <c r="GQV974" s="252"/>
      <c r="GQW974" s="252"/>
      <c r="GQX974" s="252"/>
      <c r="GQY974" s="252"/>
      <c r="GQZ974" s="252"/>
      <c r="GRA974" s="252"/>
      <c r="GRB974" s="252"/>
      <c r="GRC974" s="252"/>
      <c r="GRD974" s="252"/>
      <c r="GRE974" s="252"/>
      <c r="GRF974" s="252"/>
      <c r="GRG974" s="252"/>
      <c r="GRH974" s="252"/>
      <c r="GRI974" s="252"/>
      <c r="GRJ974" s="252"/>
      <c r="GRK974" s="252"/>
      <c r="GRL974" s="252"/>
      <c r="GRM974" s="252"/>
      <c r="GRN974" s="252"/>
      <c r="GRO974" s="252"/>
      <c r="GRP974" s="252"/>
      <c r="GRQ974" s="252"/>
      <c r="GRR974" s="252"/>
      <c r="GRS974" s="252"/>
      <c r="GRT974" s="252"/>
      <c r="GRU974" s="252"/>
      <c r="GRV974" s="252"/>
      <c r="GRW974" s="252"/>
      <c r="GRX974" s="252"/>
      <c r="GRY974" s="252"/>
      <c r="GRZ974" s="252"/>
      <c r="GSA974" s="252"/>
      <c r="GSB974" s="252"/>
      <c r="GSC974" s="252"/>
      <c r="GSD974" s="252"/>
      <c r="GSE974" s="252"/>
      <c r="GSF974" s="252"/>
      <c r="GSG974" s="252"/>
      <c r="GSH974" s="252"/>
      <c r="GSI974" s="252"/>
      <c r="GSJ974" s="252"/>
      <c r="GSK974" s="252"/>
      <c r="GSL974" s="252"/>
      <c r="GSM974" s="252"/>
      <c r="GSN974" s="252"/>
      <c r="GSO974" s="252"/>
      <c r="GSP974" s="252"/>
      <c r="GSQ974" s="252"/>
      <c r="GSR974" s="252"/>
      <c r="GSS974" s="252"/>
      <c r="GST974" s="252"/>
      <c r="GSU974" s="252"/>
      <c r="GSV974" s="252"/>
      <c r="GSW974" s="252"/>
      <c r="GSX974" s="252"/>
      <c r="GSY974" s="252"/>
      <c r="GSZ974" s="252"/>
      <c r="GTA974" s="252"/>
      <c r="GTB974" s="252"/>
      <c r="GTC974" s="252"/>
      <c r="GTD974" s="252"/>
      <c r="GTE974" s="252"/>
      <c r="GTF974" s="252"/>
      <c r="GTG974" s="252"/>
      <c r="GTH974" s="252"/>
      <c r="GTI974" s="252"/>
      <c r="GTJ974" s="252"/>
      <c r="GTK974" s="252"/>
      <c r="GTL974" s="252"/>
      <c r="GTM974" s="252"/>
      <c r="GTN974" s="252"/>
      <c r="GTO974" s="252"/>
      <c r="GTP974" s="252"/>
      <c r="GTQ974" s="252"/>
      <c r="GTR974" s="252"/>
      <c r="GTS974" s="252"/>
      <c r="GTT974" s="252"/>
      <c r="GTU974" s="252"/>
      <c r="GTV974" s="252"/>
      <c r="GTW974" s="252"/>
      <c r="GTX974" s="252"/>
      <c r="GTY974" s="252"/>
      <c r="GTZ974" s="252"/>
      <c r="GUA974" s="252"/>
      <c r="GUB974" s="252"/>
      <c r="GUC974" s="252"/>
      <c r="GUD974" s="252"/>
      <c r="GUE974" s="252"/>
      <c r="GUF974" s="252"/>
      <c r="GUG974" s="252"/>
      <c r="GUH974" s="252"/>
      <c r="GUI974" s="252"/>
      <c r="GUJ974" s="252"/>
      <c r="GUK974" s="252"/>
      <c r="GUL974" s="252"/>
      <c r="GUM974" s="252"/>
      <c r="GUN974" s="252"/>
      <c r="GUO974" s="252"/>
      <c r="GUP974" s="252"/>
      <c r="GUQ974" s="252"/>
      <c r="GUR974" s="252"/>
      <c r="GUS974" s="252"/>
      <c r="GUT974" s="252"/>
      <c r="GUU974" s="252"/>
      <c r="GUV974" s="252"/>
      <c r="GUW974" s="252"/>
      <c r="GUX974" s="252"/>
      <c r="GUY974" s="252"/>
      <c r="GUZ974" s="252"/>
      <c r="GVA974" s="252"/>
      <c r="GVB974" s="252"/>
      <c r="GVC974" s="252"/>
      <c r="GVD974" s="252"/>
      <c r="GVE974" s="252"/>
      <c r="GVF974" s="252"/>
      <c r="GVG974" s="252"/>
      <c r="GVH974" s="252"/>
      <c r="GVI974" s="252"/>
      <c r="GVJ974" s="252"/>
      <c r="GVK974" s="252"/>
      <c r="GVL974" s="252"/>
      <c r="GVM974" s="252"/>
      <c r="GVN974" s="252"/>
      <c r="GVO974" s="252"/>
      <c r="GVP974" s="252"/>
      <c r="GVQ974" s="252"/>
      <c r="GVR974" s="252"/>
      <c r="GVS974" s="252"/>
      <c r="GVT974" s="252"/>
      <c r="GVU974" s="252"/>
      <c r="GVV974" s="252"/>
      <c r="GVW974" s="252"/>
      <c r="GVX974" s="252"/>
      <c r="GVY974" s="252"/>
      <c r="GVZ974" s="252"/>
      <c r="GWA974" s="252"/>
      <c r="GWB974" s="252"/>
      <c r="GWC974" s="252"/>
      <c r="GWD974" s="252"/>
      <c r="GWE974" s="252"/>
      <c r="GWF974" s="252"/>
      <c r="GWG974" s="252"/>
      <c r="GWH974" s="252"/>
      <c r="GWI974" s="252"/>
      <c r="GWJ974" s="252"/>
      <c r="GWK974" s="252"/>
      <c r="GWL974" s="252"/>
      <c r="GWM974" s="252"/>
      <c r="GWN974" s="252"/>
      <c r="GWO974" s="252"/>
      <c r="GWP974" s="252"/>
      <c r="GWQ974" s="252"/>
      <c r="GWR974" s="252"/>
      <c r="GWS974" s="252"/>
      <c r="GWT974" s="252"/>
      <c r="GWU974" s="252"/>
      <c r="GWV974" s="252"/>
      <c r="GWW974" s="252"/>
      <c r="GWX974" s="252"/>
      <c r="GWY974" s="252"/>
      <c r="GWZ974" s="252"/>
      <c r="GXA974" s="252"/>
      <c r="GXB974" s="252"/>
      <c r="GXC974" s="252"/>
      <c r="GXD974" s="252"/>
      <c r="GXE974" s="252"/>
      <c r="GXF974" s="252"/>
      <c r="GXG974" s="252"/>
      <c r="GXH974" s="252"/>
      <c r="GXI974" s="252"/>
      <c r="GXJ974" s="252"/>
      <c r="GXK974" s="252"/>
      <c r="GXL974" s="252"/>
      <c r="GXM974" s="252"/>
      <c r="GXN974" s="252"/>
      <c r="GXO974" s="252"/>
      <c r="GXP974" s="252"/>
      <c r="GXQ974" s="252"/>
      <c r="GXR974" s="252"/>
      <c r="GXS974" s="252"/>
      <c r="GXT974" s="252"/>
      <c r="GXU974" s="252"/>
      <c r="GXV974" s="252"/>
      <c r="GXW974" s="252"/>
      <c r="GXX974" s="252"/>
      <c r="GXY974" s="252"/>
      <c r="GXZ974" s="252"/>
      <c r="GYA974" s="252"/>
      <c r="GYB974" s="252"/>
      <c r="GYC974" s="252"/>
      <c r="GYD974" s="252"/>
      <c r="GYE974" s="252"/>
      <c r="GYF974" s="252"/>
      <c r="GYG974" s="252"/>
      <c r="GYH974" s="252"/>
      <c r="GYI974" s="252"/>
      <c r="GYJ974" s="252"/>
      <c r="GYK974" s="252"/>
      <c r="GYL974" s="252"/>
      <c r="GYM974" s="252"/>
      <c r="GYN974" s="252"/>
      <c r="GYO974" s="252"/>
      <c r="GYP974" s="252"/>
      <c r="GYQ974" s="252"/>
      <c r="GYR974" s="252"/>
      <c r="GYS974" s="252"/>
      <c r="GYT974" s="252"/>
      <c r="GYU974" s="252"/>
      <c r="GYV974" s="252"/>
      <c r="GYW974" s="252"/>
      <c r="GYX974" s="252"/>
      <c r="GYY974" s="252"/>
      <c r="GYZ974" s="252"/>
      <c r="GZA974" s="252"/>
      <c r="GZB974" s="252"/>
      <c r="GZC974" s="252"/>
      <c r="GZD974" s="252"/>
      <c r="GZE974" s="252"/>
      <c r="GZF974" s="252"/>
      <c r="GZG974" s="252"/>
      <c r="GZH974" s="252"/>
      <c r="GZI974" s="252"/>
      <c r="GZJ974" s="252"/>
      <c r="GZK974" s="252"/>
      <c r="GZL974" s="252"/>
      <c r="GZM974" s="252"/>
      <c r="GZN974" s="252"/>
      <c r="GZO974" s="252"/>
      <c r="GZP974" s="252"/>
      <c r="GZQ974" s="252"/>
      <c r="GZR974" s="252"/>
      <c r="GZS974" s="252"/>
      <c r="GZT974" s="252"/>
      <c r="GZU974" s="252"/>
      <c r="GZV974" s="252"/>
      <c r="GZW974" s="252"/>
      <c r="GZX974" s="252"/>
      <c r="GZY974" s="252"/>
      <c r="GZZ974" s="252"/>
      <c r="HAA974" s="252"/>
      <c r="HAB974" s="252"/>
      <c r="HAC974" s="252"/>
      <c r="HAD974" s="252"/>
      <c r="HAE974" s="252"/>
      <c r="HAF974" s="252"/>
      <c r="HAG974" s="252"/>
      <c r="HAH974" s="252"/>
      <c r="HAI974" s="252"/>
      <c r="HAJ974" s="252"/>
      <c r="HAK974" s="252"/>
      <c r="HAL974" s="252"/>
      <c r="HAM974" s="252"/>
      <c r="HAN974" s="252"/>
      <c r="HAO974" s="252"/>
      <c r="HAP974" s="252"/>
      <c r="HAQ974" s="252"/>
      <c r="HAR974" s="252"/>
      <c r="HAS974" s="252"/>
      <c r="HAT974" s="252"/>
      <c r="HAU974" s="252"/>
      <c r="HAV974" s="252"/>
      <c r="HAW974" s="252"/>
      <c r="HAX974" s="252"/>
      <c r="HAY974" s="252"/>
      <c r="HAZ974" s="252"/>
      <c r="HBA974" s="252"/>
      <c r="HBB974" s="252"/>
      <c r="HBC974" s="252"/>
      <c r="HBD974" s="252"/>
      <c r="HBE974" s="252"/>
      <c r="HBF974" s="252"/>
      <c r="HBG974" s="252"/>
      <c r="HBH974" s="252"/>
      <c r="HBI974" s="252"/>
      <c r="HBJ974" s="252"/>
      <c r="HBK974" s="252"/>
      <c r="HBL974" s="252"/>
      <c r="HBM974" s="252"/>
      <c r="HBN974" s="252"/>
      <c r="HBO974" s="252"/>
      <c r="HBP974" s="252"/>
      <c r="HBQ974" s="252"/>
      <c r="HBR974" s="252"/>
      <c r="HBS974" s="252"/>
      <c r="HBT974" s="252"/>
      <c r="HBU974" s="252"/>
      <c r="HBV974" s="252"/>
      <c r="HBW974" s="252"/>
      <c r="HBX974" s="252"/>
      <c r="HBY974" s="252"/>
      <c r="HBZ974" s="252"/>
      <c r="HCA974" s="252"/>
      <c r="HCB974" s="252"/>
      <c r="HCC974" s="252"/>
      <c r="HCD974" s="252"/>
      <c r="HCE974" s="252"/>
      <c r="HCF974" s="252"/>
      <c r="HCG974" s="252"/>
      <c r="HCH974" s="252"/>
      <c r="HCI974" s="252"/>
      <c r="HCJ974" s="252"/>
      <c r="HCK974" s="252"/>
      <c r="HCL974" s="252"/>
      <c r="HCM974" s="252"/>
      <c r="HCN974" s="252"/>
      <c r="HCO974" s="252"/>
      <c r="HCP974" s="252"/>
      <c r="HCQ974" s="252"/>
      <c r="HCR974" s="252"/>
      <c r="HCS974" s="252"/>
      <c r="HCT974" s="252"/>
      <c r="HCU974" s="252"/>
      <c r="HCV974" s="252"/>
      <c r="HCW974" s="252"/>
      <c r="HCX974" s="252"/>
      <c r="HCY974" s="252"/>
      <c r="HCZ974" s="252"/>
      <c r="HDA974" s="252"/>
      <c r="HDB974" s="252"/>
      <c r="HDC974" s="252"/>
      <c r="HDD974" s="252"/>
      <c r="HDE974" s="252"/>
      <c r="HDF974" s="252"/>
      <c r="HDG974" s="252"/>
      <c r="HDH974" s="252"/>
      <c r="HDI974" s="252"/>
      <c r="HDJ974" s="252"/>
      <c r="HDK974" s="252"/>
      <c r="HDL974" s="252"/>
      <c r="HDM974" s="252"/>
      <c r="HDN974" s="252"/>
      <c r="HDO974" s="252"/>
      <c r="HDP974" s="252"/>
      <c r="HDQ974" s="252"/>
      <c r="HDR974" s="252"/>
      <c r="HDS974" s="252"/>
      <c r="HDT974" s="252"/>
      <c r="HDU974" s="252"/>
      <c r="HDV974" s="252"/>
      <c r="HDW974" s="252"/>
      <c r="HDX974" s="252"/>
      <c r="HDY974" s="252"/>
      <c r="HDZ974" s="252"/>
      <c r="HEA974" s="252"/>
      <c r="HEB974" s="252"/>
      <c r="HEC974" s="252"/>
      <c r="HED974" s="252"/>
      <c r="HEE974" s="252"/>
      <c r="HEF974" s="252"/>
      <c r="HEG974" s="252"/>
      <c r="HEH974" s="252"/>
      <c r="HEI974" s="252"/>
      <c r="HEJ974" s="252"/>
      <c r="HEK974" s="252"/>
      <c r="HEL974" s="252"/>
      <c r="HEM974" s="252"/>
      <c r="HEN974" s="252"/>
      <c r="HEO974" s="252"/>
      <c r="HEP974" s="252"/>
      <c r="HEQ974" s="252"/>
      <c r="HER974" s="252"/>
      <c r="HES974" s="252"/>
      <c r="HET974" s="252"/>
      <c r="HEU974" s="252"/>
      <c r="HEV974" s="252"/>
      <c r="HEW974" s="252"/>
      <c r="HEX974" s="252"/>
      <c r="HEY974" s="252"/>
      <c r="HEZ974" s="252"/>
      <c r="HFA974" s="252"/>
      <c r="HFB974" s="252"/>
      <c r="HFC974" s="252"/>
      <c r="HFD974" s="252"/>
      <c r="HFE974" s="252"/>
      <c r="HFF974" s="252"/>
      <c r="HFG974" s="252"/>
      <c r="HFH974" s="252"/>
      <c r="HFI974" s="252"/>
      <c r="HFJ974" s="252"/>
      <c r="HFK974" s="252"/>
      <c r="HFL974" s="252"/>
      <c r="HFM974" s="252"/>
      <c r="HFN974" s="252"/>
      <c r="HFO974" s="252"/>
      <c r="HFP974" s="252"/>
      <c r="HFQ974" s="252"/>
      <c r="HFR974" s="252"/>
      <c r="HFS974" s="252"/>
      <c r="HFT974" s="252"/>
      <c r="HFU974" s="252"/>
      <c r="HFV974" s="252"/>
      <c r="HFW974" s="252"/>
      <c r="HFX974" s="252"/>
      <c r="HFY974" s="252"/>
      <c r="HFZ974" s="252"/>
      <c r="HGA974" s="252"/>
      <c r="HGB974" s="252"/>
      <c r="HGC974" s="252"/>
      <c r="HGD974" s="252"/>
      <c r="HGE974" s="252"/>
      <c r="HGF974" s="252"/>
      <c r="HGG974" s="252"/>
      <c r="HGH974" s="252"/>
      <c r="HGI974" s="252"/>
      <c r="HGJ974" s="252"/>
      <c r="HGK974" s="252"/>
      <c r="HGL974" s="252"/>
      <c r="HGM974" s="252"/>
      <c r="HGN974" s="252"/>
      <c r="HGO974" s="252"/>
      <c r="HGP974" s="252"/>
      <c r="HGQ974" s="252"/>
      <c r="HGR974" s="252"/>
      <c r="HGS974" s="252"/>
      <c r="HGT974" s="252"/>
      <c r="HGU974" s="252"/>
      <c r="HGV974" s="252"/>
      <c r="HGW974" s="252"/>
      <c r="HGX974" s="252"/>
      <c r="HGY974" s="252"/>
      <c r="HGZ974" s="252"/>
      <c r="HHA974" s="252"/>
      <c r="HHB974" s="252"/>
      <c r="HHC974" s="252"/>
      <c r="HHD974" s="252"/>
      <c r="HHE974" s="252"/>
      <c r="HHF974" s="252"/>
      <c r="HHG974" s="252"/>
      <c r="HHH974" s="252"/>
      <c r="HHI974" s="252"/>
      <c r="HHJ974" s="252"/>
      <c r="HHK974" s="252"/>
      <c r="HHL974" s="252"/>
      <c r="HHM974" s="252"/>
      <c r="HHN974" s="252"/>
      <c r="HHO974" s="252"/>
      <c r="HHP974" s="252"/>
      <c r="HHQ974" s="252"/>
      <c r="HHR974" s="252"/>
      <c r="HHS974" s="252"/>
      <c r="HHT974" s="252"/>
      <c r="HHU974" s="252"/>
      <c r="HHV974" s="252"/>
      <c r="HHW974" s="252"/>
      <c r="HHX974" s="252"/>
      <c r="HHY974" s="252"/>
      <c r="HHZ974" s="252"/>
      <c r="HIA974" s="252"/>
      <c r="HIB974" s="252"/>
      <c r="HIC974" s="252"/>
      <c r="HID974" s="252"/>
      <c r="HIE974" s="252"/>
      <c r="HIF974" s="252"/>
      <c r="HIG974" s="252"/>
      <c r="HIH974" s="252"/>
      <c r="HII974" s="252"/>
      <c r="HIJ974" s="252"/>
      <c r="HIK974" s="252"/>
      <c r="HIL974" s="252"/>
      <c r="HIM974" s="252"/>
      <c r="HIN974" s="252"/>
      <c r="HIO974" s="252"/>
      <c r="HIP974" s="252"/>
      <c r="HIQ974" s="252"/>
      <c r="HIR974" s="252"/>
      <c r="HIS974" s="252"/>
      <c r="HIT974" s="252"/>
      <c r="HIU974" s="252"/>
      <c r="HIV974" s="252"/>
      <c r="HIW974" s="252"/>
      <c r="HIX974" s="252"/>
      <c r="HIY974" s="252"/>
      <c r="HIZ974" s="252"/>
      <c r="HJA974" s="252"/>
      <c r="HJB974" s="252"/>
      <c r="HJC974" s="252"/>
      <c r="HJD974" s="252"/>
      <c r="HJE974" s="252"/>
      <c r="HJF974" s="252"/>
      <c r="HJG974" s="252"/>
      <c r="HJH974" s="252"/>
      <c r="HJI974" s="252"/>
      <c r="HJJ974" s="252"/>
      <c r="HJK974" s="252"/>
      <c r="HJL974" s="252"/>
      <c r="HJM974" s="252"/>
      <c r="HJN974" s="252"/>
      <c r="HJO974" s="252"/>
      <c r="HJP974" s="252"/>
      <c r="HJQ974" s="252"/>
      <c r="HJR974" s="252"/>
      <c r="HJS974" s="252"/>
      <c r="HJT974" s="252"/>
      <c r="HJU974" s="252"/>
      <c r="HJV974" s="252"/>
      <c r="HJW974" s="252"/>
      <c r="HJX974" s="252"/>
      <c r="HJY974" s="252"/>
      <c r="HJZ974" s="252"/>
      <c r="HKA974" s="252"/>
      <c r="HKB974" s="252"/>
      <c r="HKC974" s="252"/>
      <c r="HKD974" s="252"/>
      <c r="HKE974" s="252"/>
      <c r="HKF974" s="252"/>
      <c r="HKG974" s="252"/>
      <c r="HKH974" s="252"/>
      <c r="HKI974" s="252"/>
      <c r="HKJ974" s="252"/>
      <c r="HKK974" s="252"/>
      <c r="HKL974" s="252"/>
      <c r="HKM974" s="252"/>
      <c r="HKN974" s="252"/>
      <c r="HKO974" s="252"/>
      <c r="HKP974" s="252"/>
      <c r="HKQ974" s="252"/>
      <c r="HKR974" s="252"/>
      <c r="HKS974" s="252"/>
      <c r="HKT974" s="252"/>
      <c r="HKU974" s="252"/>
      <c r="HKV974" s="252"/>
      <c r="HKW974" s="252"/>
      <c r="HKX974" s="252"/>
      <c r="HKY974" s="252"/>
      <c r="HKZ974" s="252"/>
      <c r="HLA974" s="252"/>
      <c r="HLB974" s="252"/>
      <c r="HLC974" s="252"/>
      <c r="HLD974" s="252"/>
      <c r="HLE974" s="252"/>
      <c r="HLF974" s="252"/>
      <c r="HLG974" s="252"/>
      <c r="HLH974" s="252"/>
      <c r="HLI974" s="252"/>
      <c r="HLJ974" s="252"/>
      <c r="HLK974" s="252"/>
      <c r="HLL974" s="252"/>
      <c r="HLM974" s="252"/>
      <c r="HLN974" s="252"/>
      <c r="HLO974" s="252"/>
      <c r="HLP974" s="252"/>
      <c r="HLQ974" s="252"/>
      <c r="HLR974" s="252"/>
      <c r="HLS974" s="252"/>
      <c r="HLT974" s="252"/>
      <c r="HLU974" s="252"/>
      <c r="HLV974" s="252"/>
      <c r="HLW974" s="252"/>
      <c r="HLX974" s="252"/>
      <c r="HLY974" s="252"/>
      <c r="HLZ974" s="252"/>
      <c r="HMA974" s="252"/>
      <c r="HMB974" s="252"/>
      <c r="HMC974" s="252"/>
      <c r="HMD974" s="252"/>
      <c r="HME974" s="252"/>
      <c r="HMF974" s="252"/>
      <c r="HMG974" s="252"/>
      <c r="HMH974" s="252"/>
      <c r="HMI974" s="252"/>
      <c r="HMJ974" s="252"/>
      <c r="HMK974" s="252"/>
      <c r="HML974" s="252"/>
      <c r="HMM974" s="252"/>
      <c r="HMN974" s="252"/>
      <c r="HMO974" s="252"/>
      <c r="HMP974" s="252"/>
      <c r="HMQ974" s="252"/>
      <c r="HMR974" s="252"/>
      <c r="HMS974" s="252"/>
      <c r="HMT974" s="252"/>
      <c r="HMU974" s="252"/>
      <c r="HMV974" s="252"/>
      <c r="HMW974" s="252"/>
      <c r="HMX974" s="252"/>
      <c r="HMY974" s="252"/>
      <c r="HMZ974" s="252"/>
      <c r="HNA974" s="252"/>
      <c r="HNB974" s="252"/>
      <c r="HNC974" s="252"/>
      <c r="HND974" s="252"/>
      <c r="HNE974" s="252"/>
      <c r="HNF974" s="252"/>
      <c r="HNG974" s="252"/>
      <c r="HNH974" s="252"/>
      <c r="HNI974" s="252"/>
      <c r="HNJ974" s="252"/>
      <c r="HNK974" s="252"/>
      <c r="HNL974" s="252"/>
      <c r="HNM974" s="252"/>
      <c r="HNN974" s="252"/>
      <c r="HNO974" s="252"/>
      <c r="HNP974" s="252"/>
      <c r="HNQ974" s="252"/>
      <c r="HNR974" s="252"/>
      <c r="HNS974" s="252"/>
      <c r="HNT974" s="252"/>
      <c r="HNU974" s="252"/>
      <c r="HNV974" s="252"/>
      <c r="HNW974" s="252"/>
      <c r="HNX974" s="252"/>
      <c r="HNY974" s="252"/>
      <c r="HNZ974" s="252"/>
      <c r="HOA974" s="252"/>
      <c r="HOB974" s="252"/>
      <c r="HOC974" s="252"/>
      <c r="HOD974" s="252"/>
      <c r="HOE974" s="252"/>
      <c r="HOF974" s="252"/>
      <c r="HOG974" s="252"/>
      <c r="HOH974" s="252"/>
      <c r="HOI974" s="252"/>
      <c r="HOJ974" s="252"/>
      <c r="HOK974" s="252"/>
      <c r="HOL974" s="252"/>
      <c r="HOM974" s="252"/>
      <c r="HON974" s="252"/>
      <c r="HOO974" s="252"/>
      <c r="HOP974" s="252"/>
      <c r="HOQ974" s="252"/>
      <c r="HOR974" s="252"/>
      <c r="HOS974" s="252"/>
      <c r="HOT974" s="252"/>
      <c r="HOU974" s="252"/>
      <c r="HOV974" s="252"/>
      <c r="HOW974" s="252"/>
      <c r="HOX974" s="252"/>
      <c r="HOY974" s="252"/>
      <c r="HOZ974" s="252"/>
      <c r="HPA974" s="252"/>
      <c r="HPB974" s="252"/>
      <c r="HPC974" s="252"/>
      <c r="HPD974" s="252"/>
      <c r="HPE974" s="252"/>
      <c r="HPF974" s="252"/>
      <c r="HPG974" s="252"/>
      <c r="HPH974" s="252"/>
      <c r="HPI974" s="252"/>
      <c r="HPJ974" s="252"/>
      <c r="HPK974" s="252"/>
      <c r="HPL974" s="252"/>
      <c r="HPM974" s="252"/>
      <c r="HPN974" s="252"/>
      <c r="HPO974" s="252"/>
      <c r="HPP974" s="252"/>
      <c r="HPQ974" s="252"/>
      <c r="HPR974" s="252"/>
      <c r="HPS974" s="252"/>
      <c r="HPT974" s="252"/>
      <c r="HPU974" s="252"/>
      <c r="HPV974" s="252"/>
      <c r="HPW974" s="252"/>
      <c r="HPX974" s="252"/>
      <c r="HPY974" s="252"/>
      <c r="HPZ974" s="252"/>
      <c r="HQA974" s="252"/>
      <c r="HQB974" s="252"/>
      <c r="HQC974" s="252"/>
      <c r="HQD974" s="252"/>
      <c r="HQE974" s="252"/>
      <c r="HQF974" s="252"/>
      <c r="HQG974" s="252"/>
      <c r="HQH974" s="252"/>
      <c r="HQI974" s="252"/>
      <c r="HQJ974" s="252"/>
      <c r="HQK974" s="252"/>
      <c r="HQL974" s="252"/>
      <c r="HQM974" s="252"/>
      <c r="HQN974" s="252"/>
      <c r="HQO974" s="252"/>
      <c r="HQP974" s="252"/>
      <c r="HQQ974" s="252"/>
      <c r="HQR974" s="252"/>
      <c r="HQS974" s="252"/>
      <c r="HQT974" s="252"/>
      <c r="HQU974" s="252"/>
      <c r="HQV974" s="252"/>
      <c r="HQW974" s="252"/>
      <c r="HQX974" s="252"/>
      <c r="HQY974" s="252"/>
      <c r="HQZ974" s="252"/>
      <c r="HRA974" s="252"/>
      <c r="HRB974" s="252"/>
      <c r="HRC974" s="252"/>
      <c r="HRD974" s="252"/>
      <c r="HRE974" s="252"/>
      <c r="HRF974" s="252"/>
      <c r="HRG974" s="252"/>
      <c r="HRH974" s="252"/>
      <c r="HRI974" s="252"/>
      <c r="HRJ974" s="252"/>
      <c r="HRK974" s="252"/>
      <c r="HRL974" s="252"/>
      <c r="HRM974" s="252"/>
      <c r="HRN974" s="252"/>
      <c r="HRO974" s="252"/>
      <c r="HRP974" s="252"/>
      <c r="HRQ974" s="252"/>
      <c r="HRR974" s="252"/>
      <c r="HRS974" s="252"/>
      <c r="HRT974" s="252"/>
      <c r="HRU974" s="252"/>
      <c r="HRV974" s="252"/>
      <c r="HRW974" s="252"/>
      <c r="HRX974" s="252"/>
      <c r="HRY974" s="252"/>
      <c r="HRZ974" s="252"/>
      <c r="HSA974" s="252"/>
      <c r="HSB974" s="252"/>
      <c r="HSC974" s="252"/>
      <c r="HSD974" s="252"/>
      <c r="HSE974" s="252"/>
      <c r="HSF974" s="252"/>
      <c r="HSG974" s="252"/>
      <c r="HSH974" s="252"/>
      <c r="HSI974" s="252"/>
      <c r="HSJ974" s="252"/>
      <c r="HSK974" s="252"/>
      <c r="HSL974" s="252"/>
      <c r="HSM974" s="252"/>
      <c r="HSN974" s="252"/>
      <c r="HSO974" s="252"/>
      <c r="HSP974" s="252"/>
      <c r="HSQ974" s="252"/>
      <c r="HSR974" s="252"/>
      <c r="HSS974" s="252"/>
      <c r="HST974" s="252"/>
      <c r="HSU974" s="252"/>
      <c r="HSV974" s="252"/>
      <c r="HSW974" s="252"/>
      <c r="HSX974" s="252"/>
      <c r="HSY974" s="252"/>
      <c r="HSZ974" s="252"/>
      <c r="HTA974" s="252"/>
      <c r="HTB974" s="252"/>
      <c r="HTC974" s="252"/>
      <c r="HTD974" s="252"/>
      <c r="HTE974" s="252"/>
      <c r="HTF974" s="252"/>
      <c r="HTG974" s="252"/>
      <c r="HTH974" s="252"/>
      <c r="HTI974" s="252"/>
      <c r="HTJ974" s="252"/>
      <c r="HTK974" s="252"/>
      <c r="HTL974" s="252"/>
      <c r="HTM974" s="252"/>
      <c r="HTN974" s="252"/>
      <c r="HTO974" s="252"/>
      <c r="HTP974" s="252"/>
      <c r="HTQ974" s="252"/>
      <c r="HTR974" s="252"/>
      <c r="HTS974" s="252"/>
      <c r="HTT974" s="252"/>
      <c r="HTU974" s="252"/>
      <c r="HTV974" s="252"/>
      <c r="HTW974" s="252"/>
      <c r="HTX974" s="252"/>
      <c r="HTY974" s="252"/>
      <c r="HTZ974" s="252"/>
      <c r="HUA974" s="252"/>
      <c r="HUB974" s="252"/>
      <c r="HUC974" s="252"/>
      <c r="HUD974" s="252"/>
      <c r="HUE974" s="252"/>
      <c r="HUF974" s="252"/>
      <c r="HUG974" s="252"/>
      <c r="HUH974" s="252"/>
      <c r="HUI974" s="252"/>
      <c r="HUJ974" s="252"/>
      <c r="HUK974" s="252"/>
      <c r="HUL974" s="252"/>
      <c r="HUM974" s="252"/>
      <c r="HUN974" s="252"/>
      <c r="HUO974" s="252"/>
      <c r="HUP974" s="252"/>
      <c r="HUQ974" s="252"/>
      <c r="HUR974" s="252"/>
      <c r="HUS974" s="252"/>
      <c r="HUT974" s="252"/>
      <c r="HUU974" s="252"/>
      <c r="HUV974" s="252"/>
      <c r="HUW974" s="252"/>
      <c r="HUX974" s="252"/>
      <c r="HUY974" s="252"/>
      <c r="HUZ974" s="252"/>
      <c r="HVA974" s="252"/>
      <c r="HVB974" s="252"/>
      <c r="HVC974" s="252"/>
      <c r="HVD974" s="252"/>
      <c r="HVE974" s="252"/>
      <c r="HVF974" s="252"/>
      <c r="HVG974" s="252"/>
      <c r="HVH974" s="252"/>
      <c r="HVI974" s="252"/>
      <c r="HVJ974" s="252"/>
      <c r="HVK974" s="252"/>
      <c r="HVL974" s="252"/>
      <c r="HVM974" s="252"/>
      <c r="HVN974" s="252"/>
      <c r="HVO974" s="252"/>
      <c r="HVP974" s="252"/>
      <c r="HVQ974" s="252"/>
      <c r="HVR974" s="252"/>
      <c r="HVS974" s="252"/>
      <c r="HVT974" s="252"/>
      <c r="HVU974" s="252"/>
      <c r="HVV974" s="252"/>
      <c r="HVW974" s="252"/>
      <c r="HVX974" s="252"/>
      <c r="HVY974" s="252"/>
      <c r="HVZ974" s="252"/>
      <c r="HWA974" s="252"/>
      <c r="HWB974" s="252"/>
      <c r="HWC974" s="252"/>
      <c r="HWD974" s="252"/>
      <c r="HWE974" s="252"/>
      <c r="HWF974" s="252"/>
      <c r="HWG974" s="252"/>
      <c r="HWH974" s="252"/>
      <c r="HWI974" s="252"/>
      <c r="HWJ974" s="252"/>
      <c r="HWK974" s="252"/>
      <c r="HWL974" s="252"/>
      <c r="HWM974" s="252"/>
      <c r="HWN974" s="252"/>
      <c r="HWO974" s="252"/>
      <c r="HWP974" s="252"/>
      <c r="HWQ974" s="252"/>
      <c r="HWR974" s="252"/>
      <c r="HWS974" s="252"/>
      <c r="HWT974" s="252"/>
      <c r="HWU974" s="252"/>
      <c r="HWV974" s="252"/>
      <c r="HWW974" s="252"/>
      <c r="HWX974" s="252"/>
      <c r="HWY974" s="252"/>
      <c r="HWZ974" s="252"/>
      <c r="HXA974" s="252"/>
      <c r="HXB974" s="252"/>
      <c r="HXC974" s="252"/>
      <c r="HXD974" s="252"/>
      <c r="HXE974" s="252"/>
      <c r="HXF974" s="252"/>
      <c r="HXG974" s="252"/>
      <c r="HXH974" s="252"/>
      <c r="HXI974" s="252"/>
      <c r="HXJ974" s="252"/>
      <c r="HXK974" s="252"/>
      <c r="HXL974" s="252"/>
      <c r="HXM974" s="252"/>
      <c r="HXN974" s="252"/>
      <c r="HXO974" s="252"/>
      <c r="HXP974" s="252"/>
      <c r="HXQ974" s="252"/>
      <c r="HXR974" s="252"/>
      <c r="HXS974" s="252"/>
      <c r="HXT974" s="252"/>
      <c r="HXU974" s="252"/>
      <c r="HXV974" s="252"/>
      <c r="HXW974" s="252"/>
      <c r="HXX974" s="252"/>
      <c r="HXY974" s="252"/>
      <c r="HXZ974" s="252"/>
      <c r="HYA974" s="252"/>
      <c r="HYB974" s="252"/>
      <c r="HYC974" s="252"/>
      <c r="HYD974" s="252"/>
      <c r="HYE974" s="252"/>
      <c r="HYF974" s="252"/>
      <c r="HYG974" s="252"/>
      <c r="HYH974" s="252"/>
      <c r="HYI974" s="252"/>
      <c r="HYJ974" s="252"/>
      <c r="HYK974" s="252"/>
      <c r="HYL974" s="252"/>
      <c r="HYM974" s="252"/>
      <c r="HYN974" s="252"/>
      <c r="HYO974" s="252"/>
      <c r="HYP974" s="252"/>
      <c r="HYQ974" s="252"/>
      <c r="HYR974" s="252"/>
      <c r="HYS974" s="252"/>
      <c r="HYT974" s="252"/>
      <c r="HYU974" s="252"/>
      <c r="HYV974" s="252"/>
      <c r="HYW974" s="252"/>
      <c r="HYX974" s="252"/>
      <c r="HYY974" s="252"/>
      <c r="HYZ974" s="252"/>
      <c r="HZA974" s="252"/>
      <c r="HZB974" s="252"/>
      <c r="HZC974" s="252"/>
      <c r="HZD974" s="252"/>
      <c r="HZE974" s="252"/>
      <c r="HZF974" s="252"/>
      <c r="HZG974" s="252"/>
      <c r="HZH974" s="252"/>
      <c r="HZI974" s="252"/>
      <c r="HZJ974" s="252"/>
      <c r="HZK974" s="252"/>
      <c r="HZL974" s="252"/>
      <c r="HZM974" s="252"/>
      <c r="HZN974" s="252"/>
      <c r="HZO974" s="252"/>
      <c r="HZP974" s="252"/>
      <c r="HZQ974" s="252"/>
      <c r="HZR974" s="252"/>
      <c r="HZS974" s="252"/>
      <c r="HZT974" s="252"/>
      <c r="HZU974" s="252"/>
      <c r="HZV974" s="252"/>
      <c r="HZW974" s="252"/>
      <c r="HZX974" s="252"/>
      <c r="HZY974" s="252"/>
      <c r="HZZ974" s="252"/>
      <c r="IAA974" s="252"/>
      <c r="IAB974" s="252"/>
      <c r="IAC974" s="252"/>
      <c r="IAD974" s="252"/>
      <c r="IAE974" s="252"/>
      <c r="IAF974" s="252"/>
      <c r="IAG974" s="252"/>
      <c r="IAH974" s="252"/>
      <c r="IAI974" s="252"/>
      <c r="IAJ974" s="252"/>
      <c r="IAK974" s="252"/>
      <c r="IAL974" s="252"/>
      <c r="IAM974" s="252"/>
      <c r="IAN974" s="252"/>
      <c r="IAO974" s="252"/>
      <c r="IAP974" s="252"/>
      <c r="IAQ974" s="252"/>
      <c r="IAR974" s="252"/>
      <c r="IAS974" s="252"/>
      <c r="IAT974" s="252"/>
      <c r="IAU974" s="252"/>
      <c r="IAV974" s="252"/>
      <c r="IAW974" s="252"/>
      <c r="IAX974" s="252"/>
      <c r="IAY974" s="252"/>
      <c r="IAZ974" s="252"/>
      <c r="IBA974" s="252"/>
      <c r="IBB974" s="252"/>
      <c r="IBC974" s="252"/>
      <c r="IBD974" s="252"/>
      <c r="IBE974" s="252"/>
      <c r="IBF974" s="252"/>
      <c r="IBG974" s="252"/>
      <c r="IBH974" s="252"/>
      <c r="IBI974" s="252"/>
      <c r="IBJ974" s="252"/>
      <c r="IBK974" s="252"/>
      <c r="IBL974" s="252"/>
      <c r="IBM974" s="252"/>
      <c r="IBN974" s="252"/>
      <c r="IBO974" s="252"/>
      <c r="IBP974" s="252"/>
      <c r="IBQ974" s="252"/>
      <c r="IBR974" s="252"/>
      <c r="IBS974" s="252"/>
      <c r="IBT974" s="252"/>
      <c r="IBU974" s="252"/>
      <c r="IBV974" s="252"/>
      <c r="IBW974" s="252"/>
      <c r="IBX974" s="252"/>
      <c r="IBY974" s="252"/>
      <c r="IBZ974" s="252"/>
      <c r="ICA974" s="252"/>
      <c r="ICB974" s="252"/>
      <c r="ICC974" s="252"/>
      <c r="ICD974" s="252"/>
      <c r="ICE974" s="252"/>
      <c r="ICF974" s="252"/>
      <c r="ICG974" s="252"/>
      <c r="ICH974" s="252"/>
      <c r="ICI974" s="252"/>
      <c r="ICJ974" s="252"/>
      <c r="ICK974" s="252"/>
      <c r="ICL974" s="252"/>
      <c r="ICM974" s="252"/>
      <c r="ICN974" s="252"/>
      <c r="ICO974" s="252"/>
      <c r="ICP974" s="252"/>
      <c r="ICQ974" s="252"/>
      <c r="ICR974" s="252"/>
      <c r="ICS974" s="252"/>
      <c r="ICT974" s="252"/>
      <c r="ICU974" s="252"/>
      <c r="ICV974" s="252"/>
      <c r="ICW974" s="252"/>
      <c r="ICX974" s="252"/>
      <c r="ICY974" s="252"/>
      <c r="ICZ974" s="252"/>
      <c r="IDA974" s="252"/>
      <c r="IDB974" s="252"/>
      <c r="IDC974" s="252"/>
      <c r="IDD974" s="252"/>
      <c r="IDE974" s="252"/>
      <c r="IDF974" s="252"/>
      <c r="IDG974" s="252"/>
      <c r="IDH974" s="252"/>
      <c r="IDI974" s="252"/>
      <c r="IDJ974" s="252"/>
      <c r="IDK974" s="252"/>
      <c r="IDL974" s="252"/>
      <c r="IDM974" s="252"/>
      <c r="IDN974" s="252"/>
      <c r="IDO974" s="252"/>
      <c r="IDP974" s="252"/>
      <c r="IDQ974" s="252"/>
      <c r="IDR974" s="252"/>
      <c r="IDS974" s="252"/>
      <c r="IDT974" s="252"/>
      <c r="IDU974" s="252"/>
      <c r="IDV974" s="252"/>
      <c r="IDW974" s="252"/>
      <c r="IDX974" s="252"/>
      <c r="IDY974" s="252"/>
      <c r="IDZ974" s="252"/>
      <c r="IEA974" s="252"/>
      <c r="IEB974" s="252"/>
      <c r="IEC974" s="252"/>
      <c r="IED974" s="252"/>
      <c r="IEE974" s="252"/>
      <c r="IEF974" s="252"/>
      <c r="IEG974" s="252"/>
      <c r="IEH974" s="252"/>
      <c r="IEI974" s="252"/>
      <c r="IEJ974" s="252"/>
      <c r="IEK974" s="252"/>
      <c r="IEL974" s="252"/>
      <c r="IEM974" s="252"/>
      <c r="IEN974" s="252"/>
      <c r="IEO974" s="252"/>
      <c r="IEP974" s="252"/>
      <c r="IEQ974" s="252"/>
      <c r="IER974" s="252"/>
      <c r="IES974" s="252"/>
      <c r="IET974" s="252"/>
      <c r="IEU974" s="252"/>
      <c r="IEV974" s="252"/>
      <c r="IEW974" s="252"/>
      <c r="IEX974" s="252"/>
      <c r="IEY974" s="252"/>
      <c r="IEZ974" s="252"/>
      <c r="IFA974" s="252"/>
      <c r="IFB974" s="252"/>
      <c r="IFC974" s="252"/>
      <c r="IFD974" s="252"/>
      <c r="IFE974" s="252"/>
      <c r="IFF974" s="252"/>
      <c r="IFG974" s="252"/>
      <c r="IFH974" s="252"/>
      <c r="IFI974" s="252"/>
      <c r="IFJ974" s="252"/>
      <c r="IFK974" s="252"/>
      <c r="IFL974" s="252"/>
      <c r="IFM974" s="252"/>
      <c r="IFN974" s="252"/>
      <c r="IFO974" s="252"/>
      <c r="IFP974" s="252"/>
      <c r="IFQ974" s="252"/>
      <c r="IFR974" s="252"/>
      <c r="IFS974" s="252"/>
      <c r="IFT974" s="252"/>
      <c r="IFU974" s="252"/>
      <c r="IFV974" s="252"/>
      <c r="IFW974" s="252"/>
      <c r="IFX974" s="252"/>
      <c r="IFY974" s="252"/>
      <c r="IFZ974" s="252"/>
      <c r="IGA974" s="252"/>
      <c r="IGB974" s="252"/>
      <c r="IGC974" s="252"/>
      <c r="IGD974" s="252"/>
      <c r="IGE974" s="252"/>
      <c r="IGF974" s="252"/>
      <c r="IGG974" s="252"/>
      <c r="IGH974" s="252"/>
      <c r="IGI974" s="252"/>
      <c r="IGJ974" s="252"/>
      <c r="IGK974" s="252"/>
      <c r="IGL974" s="252"/>
      <c r="IGM974" s="252"/>
      <c r="IGN974" s="252"/>
      <c r="IGO974" s="252"/>
      <c r="IGP974" s="252"/>
      <c r="IGQ974" s="252"/>
      <c r="IGR974" s="252"/>
      <c r="IGS974" s="252"/>
      <c r="IGT974" s="252"/>
      <c r="IGU974" s="252"/>
      <c r="IGV974" s="252"/>
      <c r="IGW974" s="252"/>
      <c r="IGX974" s="252"/>
      <c r="IGY974" s="252"/>
      <c r="IGZ974" s="252"/>
      <c r="IHA974" s="252"/>
      <c r="IHB974" s="252"/>
      <c r="IHC974" s="252"/>
      <c r="IHD974" s="252"/>
      <c r="IHE974" s="252"/>
      <c r="IHF974" s="252"/>
      <c r="IHG974" s="252"/>
      <c r="IHH974" s="252"/>
      <c r="IHI974" s="252"/>
      <c r="IHJ974" s="252"/>
      <c r="IHK974" s="252"/>
      <c r="IHL974" s="252"/>
      <c r="IHM974" s="252"/>
      <c r="IHN974" s="252"/>
      <c r="IHO974" s="252"/>
      <c r="IHP974" s="252"/>
      <c r="IHQ974" s="252"/>
      <c r="IHR974" s="252"/>
      <c r="IHS974" s="252"/>
      <c r="IHT974" s="252"/>
      <c r="IHU974" s="252"/>
      <c r="IHV974" s="252"/>
      <c r="IHW974" s="252"/>
      <c r="IHX974" s="252"/>
      <c r="IHY974" s="252"/>
      <c r="IHZ974" s="252"/>
      <c r="IIA974" s="252"/>
      <c r="IIB974" s="252"/>
      <c r="IIC974" s="252"/>
      <c r="IID974" s="252"/>
      <c r="IIE974" s="252"/>
      <c r="IIF974" s="252"/>
      <c r="IIG974" s="252"/>
      <c r="IIH974" s="252"/>
      <c r="III974" s="252"/>
      <c r="IIJ974" s="252"/>
      <c r="IIK974" s="252"/>
      <c r="IIL974" s="252"/>
      <c r="IIM974" s="252"/>
      <c r="IIN974" s="252"/>
      <c r="IIO974" s="252"/>
      <c r="IIP974" s="252"/>
      <c r="IIQ974" s="252"/>
      <c r="IIR974" s="252"/>
      <c r="IIS974" s="252"/>
      <c r="IIT974" s="252"/>
      <c r="IIU974" s="252"/>
      <c r="IIV974" s="252"/>
      <c r="IIW974" s="252"/>
      <c r="IIX974" s="252"/>
      <c r="IIY974" s="252"/>
      <c r="IIZ974" s="252"/>
      <c r="IJA974" s="252"/>
      <c r="IJB974" s="252"/>
      <c r="IJC974" s="252"/>
      <c r="IJD974" s="252"/>
      <c r="IJE974" s="252"/>
      <c r="IJF974" s="252"/>
      <c r="IJG974" s="252"/>
      <c r="IJH974" s="252"/>
      <c r="IJI974" s="252"/>
      <c r="IJJ974" s="252"/>
      <c r="IJK974" s="252"/>
      <c r="IJL974" s="252"/>
      <c r="IJM974" s="252"/>
      <c r="IJN974" s="252"/>
      <c r="IJO974" s="252"/>
      <c r="IJP974" s="252"/>
      <c r="IJQ974" s="252"/>
      <c r="IJR974" s="252"/>
      <c r="IJS974" s="252"/>
      <c r="IJT974" s="252"/>
      <c r="IJU974" s="252"/>
      <c r="IJV974" s="252"/>
      <c r="IJW974" s="252"/>
      <c r="IJX974" s="252"/>
      <c r="IJY974" s="252"/>
      <c r="IJZ974" s="252"/>
      <c r="IKA974" s="252"/>
      <c r="IKB974" s="252"/>
      <c r="IKC974" s="252"/>
      <c r="IKD974" s="252"/>
      <c r="IKE974" s="252"/>
      <c r="IKF974" s="252"/>
      <c r="IKG974" s="252"/>
      <c r="IKH974" s="252"/>
      <c r="IKI974" s="252"/>
      <c r="IKJ974" s="252"/>
      <c r="IKK974" s="252"/>
      <c r="IKL974" s="252"/>
      <c r="IKM974" s="252"/>
      <c r="IKN974" s="252"/>
      <c r="IKO974" s="252"/>
      <c r="IKP974" s="252"/>
      <c r="IKQ974" s="252"/>
      <c r="IKR974" s="252"/>
      <c r="IKS974" s="252"/>
      <c r="IKT974" s="252"/>
      <c r="IKU974" s="252"/>
      <c r="IKV974" s="252"/>
      <c r="IKW974" s="252"/>
      <c r="IKX974" s="252"/>
      <c r="IKY974" s="252"/>
      <c r="IKZ974" s="252"/>
      <c r="ILA974" s="252"/>
      <c r="ILB974" s="252"/>
      <c r="ILC974" s="252"/>
      <c r="ILD974" s="252"/>
      <c r="ILE974" s="252"/>
      <c r="ILF974" s="252"/>
      <c r="ILG974" s="252"/>
      <c r="ILH974" s="252"/>
      <c r="ILI974" s="252"/>
      <c r="ILJ974" s="252"/>
      <c r="ILK974" s="252"/>
      <c r="ILL974" s="252"/>
      <c r="ILM974" s="252"/>
      <c r="ILN974" s="252"/>
      <c r="ILO974" s="252"/>
      <c r="ILP974" s="252"/>
      <c r="ILQ974" s="252"/>
      <c r="ILR974" s="252"/>
      <c r="ILS974" s="252"/>
      <c r="ILT974" s="252"/>
      <c r="ILU974" s="252"/>
      <c r="ILV974" s="252"/>
      <c r="ILW974" s="252"/>
      <c r="ILX974" s="252"/>
      <c r="ILY974" s="252"/>
      <c r="ILZ974" s="252"/>
      <c r="IMA974" s="252"/>
      <c r="IMB974" s="252"/>
      <c r="IMC974" s="252"/>
      <c r="IMD974" s="252"/>
      <c r="IME974" s="252"/>
      <c r="IMF974" s="252"/>
      <c r="IMG974" s="252"/>
      <c r="IMH974" s="252"/>
      <c r="IMI974" s="252"/>
      <c r="IMJ974" s="252"/>
      <c r="IMK974" s="252"/>
      <c r="IML974" s="252"/>
      <c r="IMM974" s="252"/>
      <c r="IMN974" s="252"/>
      <c r="IMO974" s="252"/>
      <c r="IMP974" s="252"/>
      <c r="IMQ974" s="252"/>
      <c r="IMR974" s="252"/>
      <c r="IMS974" s="252"/>
      <c r="IMT974" s="252"/>
      <c r="IMU974" s="252"/>
      <c r="IMV974" s="252"/>
      <c r="IMW974" s="252"/>
      <c r="IMX974" s="252"/>
      <c r="IMY974" s="252"/>
      <c r="IMZ974" s="252"/>
      <c r="INA974" s="252"/>
      <c r="INB974" s="252"/>
      <c r="INC974" s="252"/>
      <c r="IND974" s="252"/>
      <c r="INE974" s="252"/>
      <c r="INF974" s="252"/>
      <c r="ING974" s="252"/>
      <c r="INH974" s="252"/>
      <c r="INI974" s="252"/>
      <c r="INJ974" s="252"/>
      <c r="INK974" s="252"/>
      <c r="INL974" s="252"/>
      <c r="INM974" s="252"/>
      <c r="INN974" s="252"/>
      <c r="INO974" s="252"/>
      <c r="INP974" s="252"/>
      <c r="INQ974" s="252"/>
      <c r="INR974" s="252"/>
      <c r="INS974" s="252"/>
      <c r="INT974" s="252"/>
      <c r="INU974" s="252"/>
      <c r="INV974" s="252"/>
      <c r="INW974" s="252"/>
      <c r="INX974" s="252"/>
      <c r="INY974" s="252"/>
      <c r="INZ974" s="252"/>
      <c r="IOA974" s="252"/>
      <c r="IOB974" s="252"/>
      <c r="IOC974" s="252"/>
      <c r="IOD974" s="252"/>
      <c r="IOE974" s="252"/>
      <c r="IOF974" s="252"/>
      <c r="IOG974" s="252"/>
      <c r="IOH974" s="252"/>
      <c r="IOI974" s="252"/>
      <c r="IOJ974" s="252"/>
      <c r="IOK974" s="252"/>
      <c r="IOL974" s="252"/>
      <c r="IOM974" s="252"/>
      <c r="ION974" s="252"/>
      <c r="IOO974" s="252"/>
      <c r="IOP974" s="252"/>
      <c r="IOQ974" s="252"/>
      <c r="IOR974" s="252"/>
      <c r="IOS974" s="252"/>
      <c r="IOT974" s="252"/>
      <c r="IOU974" s="252"/>
      <c r="IOV974" s="252"/>
      <c r="IOW974" s="252"/>
      <c r="IOX974" s="252"/>
      <c r="IOY974" s="252"/>
      <c r="IOZ974" s="252"/>
      <c r="IPA974" s="252"/>
      <c r="IPB974" s="252"/>
      <c r="IPC974" s="252"/>
      <c r="IPD974" s="252"/>
      <c r="IPE974" s="252"/>
      <c r="IPF974" s="252"/>
      <c r="IPG974" s="252"/>
      <c r="IPH974" s="252"/>
      <c r="IPI974" s="252"/>
      <c r="IPJ974" s="252"/>
      <c r="IPK974" s="252"/>
      <c r="IPL974" s="252"/>
      <c r="IPM974" s="252"/>
      <c r="IPN974" s="252"/>
      <c r="IPO974" s="252"/>
      <c r="IPP974" s="252"/>
      <c r="IPQ974" s="252"/>
      <c r="IPR974" s="252"/>
      <c r="IPS974" s="252"/>
      <c r="IPT974" s="252"/>
      <c r="IPU974" s="252"/>
      <c r="IPV974" s="252"/>
      <c r="IPW974" s="252"/>
      <c r="IPX974" s="252"/>
      <c r="IPY974" s="252"/>
      <c r="IPZ974" s="252"/>
      <c r="IQA974" s="252"/>
      <c r="IQB974" s="252"/>
      <c r="IQC974" s="252"/>
      <c r="IQD974" s="252"/>
      <c r="IQE974" s="252"/>
      <c r="IQF974" s="252"/>
      <c r="IQG974" s="252"/>
      <c r="IQH974" s="252"/>
      <c r="IQI974" s="252"/>
      <c r="IQJ974" s="252"/>
      <c r="IQK974" s="252"/>
      <c r="IQL974" s="252"/>
      <c r="IQM974" s="252"/>
      <c r="IQN974" s="252"/>
      <c r="IQO974" s="252"/>
      <c r="IQP974" s="252"/>
      <c r="IQQ974" s="252"/>
      <c r="IQR974" s="252"/>
      <c r="IQS974" s="252"/>
      <c r="IQT974" s="252"/>
      <c r="IQU974" s="252"/>
      <c r="IQV974" s="252"/>
      <c r="IQW974" s="252"/>
      <c r="IQX974" s="252"/>
      <c r="IQY974" s="252"/>
      <c r="IQZ974" s="252"/>
      <c r="IRA974" s="252"/>
      <c r="IRB974" s="252"/>
      <c r="IRC974" s="252"/>
      <c r="IRD974" s="252"/>
      <c r="IRE974" s="252"/>
      <c r="IRF974" s="252"/>
      <c r="IRG974" s="252"/>
      <c r="IRH974" s="252"/>
      <c r="IRI974" s="252"/>
      <c r="IRJ974" s="252"/>
      <c r="IRK974" s="252"/>
      <c r="IRL974" s="252"/>
      <c r="IRM974" s="252"/>
      <c r="IRN974" s="252"/>
      <c r="IRO974" s="252"/>
      <c r="IRP974" s="252"/>
      <c r="IRQ974" s="252"/>
      <c r="IRR974" s="252"/>
      <c r="IRS974" s="252"/>
      <c r="IRT974" s="252"/>
      <c r="IRU974" s="252"/>
      <c r="IRV974" s="252"/>
      <c r="IRW974" s="252"/>
      <c r="IRX974" s="252"/>
      <c r="IRY974" s="252"/>
      <c r="IRZ974" s="252"/>
      <c r="ISA974" s="252"/>
      <c r="ISB974" s="252"/>
      <c r="ISC974" s="252"/>
      <c r="ISD974" s="252"/>
      <c r="ISE974" s="252"/>
      <c r="ISF974" s="252"/>
      <c r="ISG974" s="252"/>
      <c r="ISH974" s="252"/>
      <c r="ISI974" s="252"/>
      <c r="ISJ974" s="252"/>
      <c r="ISK974" s="252"/>
      <c r="ISL974" s="252"/>
      <c r="ISM974" s="252"/>
      <c r="ISN974" s="252"/>
      <c r="ISO974" s="252"/>
      <c r="ISP974" s="252"/>
      <c r="ISQ974" s="252"/>
      <c r="ISR974" s="252"/>
      <c r="ISS974" s="252"/>
      <c r="IST974" s="252"/>
      <c r="ISU974" s="252"/>
      <c r="ISV974" s="252"/>
      <c r="ISW974" s="252"/>
      <c r="ISX974" s="252"/>
      <c r="ISY974" s="252"/>
      <c r="ISZ974" s="252"/>
      <c r="ITA974" s="252"/>
      <c r="ITB974" s="252"/>
      <c r="ITC974" s="252"/>
      <c r="ITD974" s="252"/>
      <c r="ITE974" s="252"/>
      <c r="ITF974" s="252"/>
      <c r="ITG974" s="252"/>
      <c r="ITH974" s="252"/>
      <c r="ITI974" s="252"/>
      <c r="ITJ974" s="252"/>
      <c r="ITK974" s="252"/>
      <c r="ITL974" s="252"/>
      <c r="ITM974" s="252"/>
      <c r="ITN974" s="252"/>
      <c r="ITO974" s="252"/>
      <c r="ITP974" s="252"/>
      <c r="ITQ974" s="252"/>
      <c r="ITR974" s="252"/>
      <c r="ITS974" s="252"/>
      <c r="ITT974" s="252"/>
      <c r="ITU974" s="252"/>
      <c r="ITV974" s="252"/>
      <c r="ITW974" s="252"/>
      <c r="ITX974" s="252"/>
      <c r="ITY974" s="252"/>
      <c r="ITZ974" s="252"/>
      <c r="IUA974" s="252"/>
      <c r="IUB974" s="252"/>
      <c r="IUC974" s="252"/>
      <c r="IUD974" s="252"/>
      <c r="IUE974" s="252"/>
      <c r="IUF974" s="252"/>
      <c r="IUG974" s="252"/>
      <c r="IUH974" s="252"/>
      <c r="IUI974" s="252"/>
      <c r="IUJ974" s="252"/>
      <c r="IUK974" s="252"/>
      <c r="IUL974" s="252"/>
      <c r="IUM974" s="252"/>
      <c r="IUN974" s="252"/>
      <c r="IUO974" s="252"/>
      <c r="IUP974" s="252"/>
      <c r="IUQ974" s="252"/>
      <c r="IUR974" s="252"/>
      <c r="IUS974" s="252"/>
      <c r="IUT974" s="252"/>
      <c r="IUU974" s="252"/>
      <c r="IUV974" s="252"/>
      <c r="IUW974" s="252"/>
      <c r="IUX974" s="252"/>
      <c r="IUY974" s="252"/>
      <c r="IUZ974" s="252"/>
      <c r="IVA974" s="252"/>
      <c r="IVB974" s="252"/>
      <c r="IVC974" s="252"/>
      <c r="IVD974" s="252"/>
      <c r="IVE974" s="252"/>
      <c r="IVF974" s="252"/>
      <c r="IVG974" s="252"/>
      <c r="IVH974" s="252"/>
      <c r="IVI974" s="252"/>
      <c r="IVJ974" s="252"/>
      <c r="IVK974" s="252"/>
      <c r="IVL974" s="252"/>
      <c r="IVM974" s="252"/>
      <c r="IVN974" s="252"/>
      <c r="IVO974" s="252"/>
      <c r="IVP974" s="252"/>
      <c r="IVQ974" s="252"/>
      <c r="IVR974" s="252"/>
      <c r="IVS974" s="252"/>
      <c r="IVT974" s="252"/>
      <c r="IVU974" s="252"/>
      <c r="IVV974" s="252"/>
      <c r="IVW974" s="252"/>
      <c r="IVX974" s="252"/>
      <c r="IVY974" s="252"/>
      <c r="IVZ974" s="252"/>
      <c r="IWA974" s="252"/>
      <c r="IWB974" s="252"/>
      <c r="IWC974" s="252"/>
      <c r="IWD974" s="252"/>
      <c r="IWE974" s="252"/>
      <c r="IWF974" s="252"/>
      <c r="IWG974" s="252"/>
      <c r="IWH974" s="252"/>
      <c r="IWI974" s="252"/>
      <c r="IWJ974" s="252"/>
      <c r="IWK974" s="252"/>
      <c r="IWL974" s="252"/>
      <c r="IWM974" s="252"/>
      <c r="IWN974" s="252"/>
      <c r="IWO974" s="252"/>
      <c r="IWP974" s="252"/>
      <c r="IWQ974" s="252"/>
      <c r="IWR974" s="252"/>
      <c r="IWS974" s="252"/>
      <c r="IWT974" s="252"/>
      <c r="IWU974" s="252"/>
      <c r="IWV974" s="252"/>
      <c r="IWW974" s="252"/>
      <c r="IWX974" s="252"/>
      <c r="IWY974" s="252"/>
      <c r="IWZ974" s="252"/>
      <c r="IXA974" s="252"/>
      <c r="IXB974" s="252"/>
      <c r="IXC974" s="252"/>
      <c r="IXD974" s="252"/>
      <c r="IXE974" s="252"/>
      <c r="IXF974" s="252"/>
      <c r="IXG974" s="252"/>
      <c r="IXH974" s="252"/>
      <c r="IXI974" s="252"/>
      <c r="IXJ974" s="252"/>
      <c r="IXK974" s="252"/>
      <c r="IXL974" s="252"/>
      <c r="IXM974" s="252"/>
      <c r="IXN974" s="252"/>
      <c r="IXO974" s="252"/>
      <c r="IXP974" s="252"/>
      <c r="IXQ974" s="252"/>
      <c r="IXR974" s="252"/>
      <c r="IXS974" s="252"/>
      <c r="IXT974" s="252"/>
      <c r="IXU974" s="252"/>
      <c r="IXV974" s="252"/>
      <c r="IXW974" s="252"/>
      <c r="IXX974" s="252"/>
      <c r="IXY974" s="252"/>
      <c r="IXZ974" s="252"/>
      <c r="IYA974" s="252"/>
      <c r="IYB974" s="252"/>
      <c r="IYC974" s="252"/>
      <c r="IYD974" s="252"/>
      <c r="IYE974" s="252"/>
      <c r="IYF974" s="252"/>
      <c r="IYG974" s="252"/>
      <c r="IYH974" s="252"/>
      <c r="IYI974" s="252"/>
      <c r="IYJ974" s="252"/>
      <c r="IYK974" s="252"/>
      <c r="IYL974" s="252"/>
      <c r="IYM974" s="252"/>
      <c r="IYN974" s="252"/>
      <c r="IYO974" s="252"/>
      <c r="IYP974" s="252"/>
      <c r="IYQ974" s="252"/>
      <c r="IYR974" s="252"/>
      <c r="IYS974" s="252"/>
      <c r="IYT974" s="252"/>
      <c r="IYU974" s="252"/>
      <c r="IYV974" s="252"/>
      <c r="IYW974" s="252"/>
      <c r="IYX974" s="252"/>
      <c r="IYY974" s="252"/>
      <c r="IYZ974" s="252"/>
      <c r="IZA974" s="252"/>
      <c r="IZB974" s="252"/>
      <c r="IZC974" s="252"/>
      <c r="IZD974" s="252"/>
      <c r="IZE974" s="252"/>
      <c r="IZF974" s="252"/>
      <c r="IZG974" s="252"/>
      <c r="IZH974" s="252"/>
      <c r="IZI974" s="252"/>
      <c r="IZJ974" s="252"/>
      <c r="IZK974" s="252"/>
      <c r="IZL974" s="252"/>
      <c r="IZM974" s="252"/>
      <c r="IZN974" s="252"/>
      <c r="IZO974" s="252"/>
      <c r="IZP974" s="252"/>
      <c r="IZQ974" s="252"/>
      <c r="IZR974" s="252"/>
      <c r="IZS974" s="252"/>
      <c r="IZT974" s="252"/>
      <c r="IZU974" s="252"/>
      <c r="IZV974" s="252"/>
      <c r="IZW974" s="252"/>
      <c r="IZX974" s="252"/>
      <c r="IZY974" s="252"/>
      <c r="IZZ974" s="252"/>
      <c r="JAA974" s="252"/>
      <c r="JAB974" s="252"/>
      <c r="JAC974" s="252"/>
      <c r="JAD974" s="252"/>
      <c r="JAE974" s="252"/>
      <c r="JAF974" s="252"/>
      <c r="JAG974" s="252"/>
      <c r="JAH974" s="252"/>
      <c r="JAI974" s="252"/>
      <c r="JAJ974" s="252"/>
      <c r="JAK974" s="252"/>
      <c r="JAL974" s="252"/>
      <c r="JAM974" s="252"/>
      <c r="JAN974" s="252"/>
      <c r="JAO974" s="252"/>
      <c r="JAP974" s="252"/>
      <c r="JAQ974" s="252"/>
      <c r="JAR974" s="252"/>
      <c r="JAS974" s="252"/>
      <c r="JAT974" s="252"/>
      <c r="JAU974" s="252"/>
      <c r="JAV974" s="252"/>
      <c r="JAW974" s="252"/>
      <c r="JAX974" s="252"/>
      <c r="JAY974" s="252"/>
      <c r="JAZ974" s="252"/>
      <c r="JBA974" s="252"/>
      <c r="JBB974" s="252"/>
      <c r="JBC974" s="252"/>
      <c r="JBD974" s="252"/>
      <c r="JBE974" s="252"/>
      <c r="JBF974" s="252"/>
      <c r="JBG974" s="252"/>
      <c r="JBH974" s="252"/>
      <c r="JBI974" s="252"/>
      <c r="JBJ974" s="252"/>
      <c r="JBK974" s="252"/>
      <c r="JBL974" s="252"/>
      <c r="JBM974" s="252"/>
      <c r="JBN974" s="252"/>
      <c r="JBO974" s="252"/>
      <c r="JBP974" s="252"/>
      <c r="JBQ974" s="252"/>
      <c r="JBR974" s="252"/>
      <c r="JBS974" s="252"/>
      <c r="JBT974" s="252"/>
      <c r="JBU974" s="252"/>
      <c r="JBV974" s="252"/>
      <c r="JBW974" s="252"/>
      <c r="JBX974" s="252"/>
      <c r="JBY974" s="252"/>
      <c r="JBZ974" s="252"/>
      <c r="JCA974" s="252"/>
      <c r="JCB974" s="252"/>
      <c r="JCC974" s="252"/>
      <c r="JCD974" s="252"/>
      <c r="JCE974" s="252"/>
      <c r="JCF974" s="252"/>
      <c r="JCG974" s="252"/>
      <c r="JCH974" s="252"/>
      <c r="JCI974" s="252"/>
      <c r="JCJ974" s="252"/>
      <c r="JCK974" s="252"/>
      <c r="JCL974" s="252"/>
      <c r="JCM974" s="252"/>
      <c r="JCN974" s="252"/>
      <c r="JCO974" s="252"/>
      <c r="JCP974" s="252"/>
      <c r="JCQ974" s="252"/>
      <c r="JCR974" s="252"/>
      <c r="JCS974" s="252"/>
      <c r="JCT974" s="252"/>
      <c r="JCU974" s="252"/>
      <c r="JCV974" s="252"/>
      <c r="JCW974" s="252"/>
      <c r="JCX974" s="252"/>
      <c r="JCY974" s="252"/>
      <c r="JCZ974" s="252"/>
      <c r="JDA974" s="252"/>
      <c r="JDB974" s="252"/>
      <c r="JDC974" s="252"/>
      <c r="JDD974" s="252"/>
      <c r="JDE974" s="252"/>
      <c r="JDF974" s="252"/>
      <c r="JDG974" s="252"/>
      <c r="JDH974" s="252"/>
      <c r="JDI974" s="252"/>
      <c r="JDJ974" s="252"/>
      <c r="JDK974" s="252"/>
      <c r="JDL974" s="252"/>
      <c r="JDM974" s="252"/>
      <c r="JDN974" s="252"/>
      <c r="JDO974" s="252"/>
      <c r="JDP974" s="252"/>
      <c r="JDQ974" s="252"/>
      <c r="JDR974" s="252"/>
      <c r="JDS974" s="252"/>
      <c r="JDT974" s="252"/>
      <c r="JDU974" s="252"/>
      <c r="JDV974" s="252"/>
      <c r="JDW974" s="252"/>
      <c r="JDX974" s="252"/>
      <c r="JDY974" s="252"/>
      <c r="JDZ974" s="252"/>
      <c r="JEA974" s="252"/>
      <c r="JEB974" s="252"/>
      <c r="JEC974" s="252"/>
      <c r="JED974" s="252"/>
      <c r="JEE974" s="252"/>
      <c r="JEF974" s="252"/>
      <c r="JEG974" s="252"/>
      <c r="JEH974" s="252"/>
      <c r="JEI974" s="252"/>
      <c r="JEJ974" s="252"/>
      <c r="JEK974" s="252"/>
      <c r="JEL974" s="252"/>
      <c r="JEM974" s="252"/>
      <c r="JEN974" s="252"/>
      <c r="JEO974" s="252"/>
      <c r="JEP974" s="252"/>
      <c r="JEQ974" s="252"/>
      <c r="JER974" s="252"/>
      <c r="JES974" s="252"/>
      <c r="JET974" s="252"/>
      <c r="JEU974" s="252"/>
      <c r="JEV974" s="252"/>
      <c r="JEW974" s="252"/>
      <c r="JEX974" s="252"/>
      <c r="JEY974" s="252"/>
      <c r="JEZ974" s="252"/>
      <c r="JFA974" s="252"/>
      <c r="JFB974" s="252"/>
      <c r="JFC974" s="252"/>
      <c r="JFD974" s="252"/>
      <c r="JFE974" s="252"/>
      <c r="JFF974" s="252"/>
      <c r="JFG974" s="252"/>
      <c r="JFH974" s="252"/>
      <c r="JFI974" s="252"/>
      <c r="JFJ974" s="252"/>
      <c r="JFK974" s="252"/>
      <c r="JFL974" s="252"/>
      <c r="JFM974" s="252"/>
      <c r="JFN974" s="252"/>
      <c r="JFO974" s="252"/>
      <c r="JFP974" s="252"/>
      <c r="JFQ974" s="252"/>
      <c r="JFR974" s="252"/>
      <c r="JFS974" s="252"/>
      <c r="JFT974" s="252"/>
      <c r="JFU974" s="252"/>
      <c r="JFV974" s="252"/>
      <c r="JFW974" s="252"/>
      <c r="JFX974" s="252"/>
      <c r="JFY974" s="252"/>
      <c r="JFZ974" s="252"/>
      <c r="JGA974" s="252"/>
      <c r="JGB974" s="252"/>
      <c r="JGC974" s="252"/>
      <c r="JGD974" s="252"/>
      <c r="JGE974" s="252"/>
      <c r="JGF974" s="252"/>
      <c r="JGG974" s="252"/>
      <c r="JGH974" s="252"/>
      <c r="JGI974" s="252"/>
      <c r="JGJ974" s="252"/>
      <c r="JGK974" s="252"/>
      <c r="JGL974" s="252"/>
      <c r="JGM974" s="252"/>
      <c r="JGN974" s="252"/>
      <c r="JGO974" s="252"/>
      <c r="JGP974" s="252"/>
      <c r="JGQ974" s="252"/>
      <c r="JGR974" s="252"/>
      <c r="JGS974" s="252"/>
      <c r="JGT974" s="252"/>
      <c r="JGU974" s="252"/>
      <c r="JGV974" s="252"/>
      <c r="JGW974" s="252"/>
      <c r="JGX974" s="252"/>
      <c r="JGY974" s="252"/>
      <c r="JGZ974" s="252"/>
      <c r="JHA974" s="252"/>
      <c r="JHB974" s="252"/>
      <c r="JHC974" s="252"/>
      <c r="JHD974" s="252"/>
      <c r="JHE974" s="252"/>
      <c r="JHF974" s="252"/>
      <c r="JHG974" s="252"/>
      <c r="JHH974" s="252"/>
      <c r="JHI974" s="252"/>
      <c r="JHJ974" s="252"/>
      <c r="JHK974" s="252"/>
      <c r="JHL974" s="252"/>
      <c r="JHM974" s="252"/>
      <c r="JHN974" s="252"/>
      <c r="JHO974" s="252"/>
      <c r="JHP974" s="252"/>
      <c r="JHQ974" s="252"/>
      <c r="JHR974" s="252"/>
      <c r="JHS974" s="252"/>
      <c r="JHT974" s="252"/>
      <c r="JHU974" s="252"/>
      <c r="JHV974" s="252"/>
      <c r="JHW974" s="252"/>
      <c r="JHX974" s="252"/>
      <c r="JHY974" s="252"/>
      <c r="JHZ974" s="252"/>
      <c r="JIA974" s="252"/>
      <c r="JIB974" s="252"/>
      <c r="JIC974" s="252"/>
      <c r="JID974" s="252"/>
      <c r="JIE974" s="252"/>
      <c r="JIF974" s="252"/>
      <c r="JIG974" s="252"/>
      <c r="JIH974" s="252"/>
      <c r="JII974" s="252"/>
      <c r="JIJ974" s="252"/>
      <c r="JIK974" s="252"/>
      <c r="JIL974" s="252"/>
      <c r="JIM974" s="252"/>
      <c r="JIN974" s="252"/>
      <c r="JIO974" s="252"/>
      <c r="JIP974" s="252"/>
      <c r="JIQ974" s="252"/>
      <c r="JIR974" s="252"/>
      <c r="JIS974" s="252"/>
      <c r="JIT974" s="252"/>
      <c r="JIU974" s="252"/>
      <c r="JIV974" s="252"/>
      <c r="JIW974" s="252"/>
      <c r="JIX974" s="252"/>
      <c r="JIY974" s="252"/>
      <c r="JIZ974" s="252"/>
      <c r="JJA974" s="252"/>
      <c r="JJB974" s="252"/>
      <c r="JJC974" s="252"/>
      <c r="JJD974" s="252"/>
      <c r="JJE974" s="252"/>
      <c r="JJF974" s="252"/>
      <c r="JJG974" s="252"/>
      <c r="JJH974" s="252"/>
      <c r="JJI974" s="252"/>
      <c r="JJJ974" s="252"/>
      <c r="JJK974" s="252"/>
      <c r="JJL974" s="252"/>
      <c r="JJM974" s="252"/>
      <c r="JJN974" s="252"/>
      <c r="JJO974" s="252"/>
      <c r="JJP974" s="252"/>
      <c r="JJQ974" s="252"/>
      <c r="JJR974" s="252"/>
      <c r="JJS974" s="252"/>
      <c r="JJT974" s="252"/>
      <c r="JJU974" s="252"/>
      <c r="JJV974" s="252"/>
      <c r="JJW974" s="252"/>
      <c r="JJX974" s="252"/>
      <c r="JJY974" s="252"/>
      <c r="JJZ974" s="252"/>
      <c r="JKA974" s="252"/>
      <c r="JKB974" s="252"/>
      <c r="JKC974" s="252"/>
      <c r="JKD974" s="252"/>
      <c r="JKE974" s="252"/>
      <c r="JKF974" s="252"/>
      <c r="JKG974" s="252"/>
      <c r="JKH974" s="252"/>
      <c r="JKI974" s="252"/>
      <c r="JKJ974" s="252"/>
      <c r="JKK974" s="252"/>
      <c r="JKL974" s="252"/>
      <c r="JKM974" s="252"/>
      <c r="JKN974" s="252"/>
      <c r="JKO974" s="252"/>
      <c r="JKP974" s="252"/>
      <c r="JKQ974" s="252"/>
      <c r="JKR974" s="252"/>
      <c r="JKS974" s="252"/>
      <c r="JKT974" s="252"/>
      <c r="JKU974" s="252"/>
      <c r="JKV974" s="252"/>
      <c r="JKW974" s="252"/>
      <c r="JKX974" s="252"/>
      <c r="JKY974" s="252"/>
      <c r="JKZ974" s="252"/>
      <c r="JLA974" s="252"/>
      <c r="JLB974" s="252"/>
      <c r="JLC974" s="252"/>
      <c r="JLD974" s="252"/>
      <c r="JLE974" s="252"/>
      <c r="JLF974" s="252"/>
      <c r="JLG974" s="252"/>
      <c r="JLH974" s="252"/>
      <c r="JLI974" s="252"/>
      <c r="JLJ974" s="252"/>
      <c r="JLK974" s="252"/>
      <c r="JLL974" s="252"/>
      <c r="JLM974" s="252"/>
      <c r="JLN974" s="252"/>
      <c r="JLO974" s="252"/>
      <c r="JLP974" s="252"/>
      <c r="JLQ974" s="252"/>
      <c r="JLR974" s="252"/>
      <c r="JLS974" s="252"/>
      <c r="JLT974" s="252"/>
      <c r="JLU974" s="252"/>
      <c r="JLV974" s="252"/>
      <c r="JLW974" s="252"/>
      <c r="JLX974" s="252"/>
      <c r="JLY974" s="252"/>
      <c r="JLZ974" s="252"/>
      <c r="JMA974" s="252"/>
      <c r="JMB974" s="252"/>
      <c r="JMC974" s="252"/>
      <c r="JMD974" s="252"/>
      <c r="JME974" s="252"/>
      <c r="JMF974" s="252"/>
      <c r="JMG974" s="252"/>
      <c r="JMH974" s="252"/>
      <c r="JMI974" s="252"/>
      <c r="JMJ974" s="252"/>
      <c r="JMK974" s="252"/>
      <c r="JML974" s="252"/>
      <c r="JMM974" s="252"/>
      <c r="JMN974" s="252"/>
      <c r="JMO974" s="252"/>
      <c r="JMP974" s="252"/>
      <c r="JMQ974" s="252"/>
      <c r="JMR974" s="252"/>
      <c r="JMS974" s="252"/>
      <c r="JMT974" s="252"/>
      <c r="JMU974" s="252"/>
      <c r="JMV974" s="252"/>
      <c r="JMW974" s="252"/>
      <c r="JMX974" s="252"/>
      <c r="JMY974" s="252"/>
      <c r="JMZ974" s="252"/>
      <c r="JNA974" s="252"/>
      <c r="JNB974" s="252"/>
      <c r="JNC974" s="252"/>
      <c r="JND974" s="252"/>
      <c r="JNE974" s="252"/>
      <c r="JNF974" s="252"/>
      <c r="JNG974" s="252"/>
      <c r="JNH974" s="252"/>
      <c r="JNI974" s="252"/>
      <c r="JNJ974" s="252"/>
      <c r="JNK974" s="252"/>
      <c r="JNL974" s="252"/>
      <c r="JNM974" s="252"/>
      <c r="JNN974" s="252"/>
      <c r="JNO974" s="252"/>
      <c r="JNP974" s="252"/>
      <c r="JNQ974" s="252"/>
      <c r="JNR974" s="252"/>
      <c r="JNS974" s="252"/>
      <c r="JNT974" s="252"/>
      <c r="JNU974" s="252"/>
      <c r="JNV974" s="252"/>
      <c r="JNW974" s="252"/>
      <c r="JNX974" s="252"/>
      <c r="JNY974" s="252"/>
      <c r="JNZ974" s="252"/>
      <c r="JOA974" s="252"/>
      <c r="JOB974" s="252"/>
      <c r="JOC974" s="252"/>
      <c r="JOD974" s="252"/>
      <c r="JOE974" s="252"/>
      <c r="JOF974" s="252"/>
      <c r="JOG974" s="252"/>
      <c r="JOH974" s="252"/>
      <c r="JOI974" s="252"/>
      <c r="JOJ974" s="252"/>
      <c r="JOK974" s="252"/>
      <c r="JOL974" s="252"/>
      <c r="JOM974" s="252"/>
      <c r="JON974" s="252"/>
      <c r="JOO974" s="252"/>
      <c r="JOP974" s="252"/>
      <c r="JOQ974" s="252"/>
      <c r="JOR974" s="252"/>
      <c r="JOS974" s="252"/>
      <c r="JOT974" s="252"/>
      <c r="JOU974" s="252"/>
      <c r="JOV974" s="252"/>
      <c r="JOW974" s="252"/>
      <c r="JOX974" s="252"/>
      <c r="JOY974" s="252"/>
      <c r="JOZ974" s="252"/>
      <c r="JPA974" s="252"/>
      <c r="JPB974" s="252"/>
      <c r="JPC974" s="252"/>
      <c r="JPD974" s="252"/>
      <c r="JPE974" s="252"/>
      <c r="JPF974" s="252"/>
      <c r="JPG974" s="252"/>
      <c r="JPH974" s="252"/>
      <c r="JPI974" s="252"/>
      <c r="JPJ974" s="252"/>
      <c r="JPK974" s="252"/>
      <c r="JPL974" s="252"/>
      <c r="JPM974" s="252"/>
      <c r="JPN974" s="252"/>
      <c r="JPO974" s="252"/>
      <c r="JPP974" s="252"/>
      <c r="JPQ974" s="252"/>
      <c r="JPR974" s="252"/>
      <c r="JPS974" s="252"/>
      <c r="JPT974" s="252"/>
      <c r="JPU974" s="252"/>
      <c r="JPV974" s="252"/>
      <c r="JPW974" s="252"/>
      <c r="JPX974" s="252"/>
      <c r="JPY974" s="252"/>
      <c r="JPZ974" s="252"/>
      <c r="JQA974" s="252"/>
      <c r="JQB974" s="252"/>
      <c r="JQC974" s="252"/>
      <c r="JQD974" s="252"/>
      <c r="JQE974" s="252"/>
      <c r="JQF974" s="252"/>
      <c r="JQG974" s="252"/>
      <c r="JQH974" s="252"/>
      <c r="JQI974" s="252"/>
      <c r="JQJ974" s="252"/>
      <c r="JQK974" s="252"/>
      <c r="JQL974" s="252"/>
      <c r="JQM974" s="252"/>
      <c r="JQN974" s="252"/>
      <c r="JQO974" s="252"/>
      <c r="JQP974" s="252"/>
      <c r="JQQ974" s="252"/>
      <c r="JQR974" s="252"/>
      <c r="JQS974" s="252"/>
      <c r="JQT974" s="252"/>
      <c r="JQU974" s="252"/>
      <c r="JQV974" s="252"/>
      <c r="JQW974" s="252"/>
      <c r="JQX974" s="252"/>
      <c r="JQY974" s="252"/>
      <c r="JQZ974" s="252"/>
      <c r="JRA974" s="252"/>
      <c r="JRB974" s="252"/>
      <c r="JRC974" s="252"/>
      <c r="JRD974" s="252"/>
      <c r="JRE974" s="252"/>
      <c r="JRF974" s="252"/>
      <c r="JRG974" s="252"/>
      <c r="JRH974" s="252"/>
      <c r="JRI974" s="252"/>
      <c r="JRJ974" s="252"/>
      <c r="JRK974" s="252"/>
      <c r="JRL974" s="252"/>
      <c r="JRM974" s="252"/>
      <c r="JRN974" s="252"/>
      <c r="JRO974" s="252"/>
      <c r="JRP974" s="252"/>
      <c r="JRQ974" s="252"/>
      <c r="JRR974" s="252"/>
      <c r="JRS974" s="252"/>
      <c r="JRT974" s="252"/>
      <c r="JRU974" s="252"/>
      <c r="JRV974" s="252"/>
      <c r="JRW974" s="252"/>
      <c r="JRX974" s="252"/>
      <c r="JRY974" s="252"/>
      <c r="JRZ974" s="252"/>
      <c r="JSA974" s="252"/>
      <c r="JSB974" s="252"/>
      <c r="JSC974" s="252"/>
      <c r="JSD974" s="252"/>
      <c r="JSE974" s="252"/>
      <c r="JSF974" s="252"/>
      <c r="JSG974" s="252"/>
      <c r="JSH974" s="252"/>
      <c r="JSI974" s="252"/>
      <c r="JSJ974" s="252"/>
      <c r="JSK974" s="252"/>
      <c r="JSL974" s="252"/>
      <c r="JSM974" s="252"/>
      <c r="JSN974" s="252"/>
      <c r="JSO974" s="252"/>
      <c r="JSP974" s="252"/>
      <c r="JSQ974" s="252"/>
      <c r="JSR974" s="252"/>
      <c r="JSS974" s="252"/>
      <c r="JST974" s="252"/>
      <c r="JSU974" s="252"/>
      <c r="JSV974" s="252"/>
      <c r="JSW974" s="252"/>
      <c r="JSX974" s="252"/>
      <c r="JSY974" s="252"/>
      <c r="JSZ974" s="252"/>
      <c r="JTA974" s="252"/>
      <c r="JTB974" s="252"/>
      <c r="JTC974" s="252"/>
      <c r="JTD974" s="252"/>
      <c r="JTE974" s="252"/>
      <c r="JTF974" s="252"/>
      <c r="JTG974" s="252"/>
      <c r="JTH974" s="252"/>
      <c r="JTI974" s="252"/>
      <c r="JTJ974" s="252"/>
      <c r="JTK974" s="252"/>
      <c r="JTL974" s="252"/>
      <c r="JTM974" s="252"/>
      <c r="JTN974" s="252"/>
      <c r="JTO974" s="252"/>
      <c r="JTP974" s="252"/>
      <c r="JTQ974" s="252"/>
      <c r="JTR974" s="252"/>
      <c r="JTS974" s="252"/>
      <c r="JTT974" s="252"/>
      <c r="JTU974" s="252"/>
      <c r="JTV974" s="252"/>
      <c r="JTW974" s="252"/>
      <c r="JTX974" s="252"/>
      <c r="JTY974" s="252"/>
      <c r="JTZ974" s="252"/>
      <c r="JUA974" s="252"/>
      <c r="JUB974" s="252"/>
      <c r="JUC974" s="252"/>
      <c r="JUD974" s="252"/>
      <c r="JUE974" s="252"/>
      <c r="JUF974" s="252"/>
      <c r="JUG974" s="252"/>
      <c r="JUH974" s="252"/>
      <c r="JUI974" s="252"/>
      <c r="JUJ974" s="252"/>
      <c r="JUK974" s="252"/>
      <c r="JUL974" s="252"/>
      <c r="JUM974" s="252"/>
      <c r="JUN974" s="252"/>
      <c r="JUO974" s="252"/>
      <c r="JUP974" s="252"/>
      <c r="JUQ974" s="252"/>
      <c r="JUR974" s="252"/>
      <c r="JUS974" s="252"/>
      <c r="JUT974" s="252"/>
      <c r="JUU974" s="252"/>
      <c r="JUV974" s="252"/>
      <c r="JUW974" s="252"/>
      <c r="JUX974" s="252"/>
      <c r="JUY974" s="252"/>
      <c r="JUZ974" s="252"/>
      <c r="JVA974" s="252"/>
      <c r="JVB974" s="252"/>
      <c r="JVC974" s="252"/>
      <c r="JVD974" s="252"/>
      <c r="JVE974" s="252"/>
      <c r="JVF974" s="252"/>
      <c r="JVG974" s="252"/>
      <c r="JVH974" s="252"/>
      <c r="JVI974" s="252"/>
      <c r="JVJ974" s="252"/>
      <c r="JVK974" s="252"/>
      <c r="JVL974" s="252"/>
      <c r="JVM974" s="252"/>
      <c r="JVN974" s="252"/>
      <c r="JVO974" s="252"/>
      <c r="JVP974" s="252"/>
      <c r="JVQ974" s="252"/>
      <c r="JVR974" s="252"/>
      <c r="JVS974" s="252"/>
      <c r="JVT974" s="252"/>
      <c r="JVU974" s="252"/>
      <c r="JVV974" s="252"/>
      <c r="JVW974" s="252"/>
      <c r="JVX974" s="252"/>
      <c r="JVY974" s="252"/>
      <c r="JVZ974" s="252"/>
      <c r="JWA974" s="252"/>
      <c r="JWB974" s="252"/>
      <c r="JWC974" s="252"/>
      <c r="JWD974" s="252"/>
      <c r="JWE974" s="252"/>
      <c r="JWF974" s="252"/>
      <c r="JWG974" s="252"/>
      <c r="JWH974" s="252"/>
      <c r="JWI974" s="252"/>
      <c r="JWJ974" s="252"/>
      <c r="JWK974" s="252"/>
      <c r="JWL974" s="252"/>
      <c r="JWM974" s="252"/>
      <c r="JWN974" s="252"/>
      <c r="JWO974" s="252"/>
      <c r="JWP974" s="252"/>
      <c r="JWQ974" s="252"/>
      <c r="JWR974" s="252"/>
      <c r="JWS974" s="252"/>
      <c r="JWT974" s="252"/>
      <c r="JWU974" s="252"/>
      <c r="JWV974" s="252"/>
      <c r="JWW974" s="252"/>
      <c r="JWX974" s="252"/>
      <c r="JWY974" s="252"/>
      <c r="JWZ974" s="252"/>
      <c r="JXA974" s="252"/>
      <c r="JXB974" s="252"/>
      <c r="JXC974" s="252"/>
      <c r="JXD974" s="252"/>
      <c r="JXE974" s="252"/>
      <c r="JXF974" s="252"/>
      <c r="JXG974" s="252"/>
      <c r="JXH974" s="252"/>
      <c r="JXI974" s="252"/>
      <c r="JXJ974" s="252"/>
      <c r="JXK974" s="252"/>
      <c r="JXL974" s="252"/>
      <c r="JXM974" s="252"/>
      <c r="JXN974" s="252"/>
      <c r="JXO974" s="252"/>
      <c r="JXP974" s="252"/>
      <c r="JXQ974" s="252"/>
      <c r="JXR974" s="252"/>
      <c r="JXS974" s="252"/>
      <c r="JXT974" s="252"/>
      <c r="JXU974" s="252"/>
      <c r="JXV974" s="252"/>
      <c r="JXW974" s="252"/>
      <c r="JXX974" s="252"/>
      <c r="JXY974" s="252"/>
      <c r="JXZ974" s="252"/>
      <c r="JYA974" s="252"/>
      <c r="JYB974" s="252"/>
      <c r="JYC974" s="252"/>
      <c r="JYD974" s="252"/>
      <c r="JYE974" s="252"/>
      <c r="JYF974" s="252"/>
      <c r="JYG974" s="252"/>
      <c r="JYH974" s="252"/>
      <c r="JYI974" s="252"/>
      <c r="JYJ974" s="252"/>
      <c r="JYK974" s="252"/>
      <c r="JYL974" s="252"/>
      <c r="JYM974" s="252"/>
      <c r="JYN974" s="252"/>
      <c r="JYO974" s="252"/>
      <c r="JYP974" s="252"/>
      <c r="JYQ974" s="252"/>
      <c r="JYR974" s="252"/>
      <c r="JYS974" s="252"/>
      <c r="JYT974" s="252"/>
      <c r="JYU974" s="252"/>
      <c r="JYV974" s="252"/>
      <c r="JYW974" s="252"/>
      <c r="JYX974" s="252"/>
      <c r="JYY974" s="252"/>
      <c r="JYZ974" s="252"/>
      <c r="JZA974" s="252"/>
      <c r="JZB974" s="252"/>
      <c r="JZC974" s="252"/>
      <c r="JZD974" s="252"/>
      <c r="JZE974" s="252"/>
      <c r="JZF974" s="252"/>
      <c r="JZG974" s="252"/>
      <c r="JZH974" s="252"/>
      <c r="JZI974" s="252"/>
      <c r="JZJ974" s="252"/>
      <c r="JZK974" s="252"/>
      <c r="JZL974" s="252"/>
      <c r="JZM974" s="252"/>
      <c r="JZN974" s="252"/>
      <c r="JZO974" s="252"/>
      <c r="JZP974" s="252"/>
      <c r="JZQ974" s="252"/>
      <c r="JZR974" s="252"/>
      <c r="JZS974" s="252"/>
      <c r="JZT974" s="252"/>
      <c r="JZU974" s="252"/>
      <c r="JZV974" s="252"/>
      <c r="JZW974" s="252"/>
      <c r="JZX974" s="252"/>
      <c r="JZY974" s="252"/>
      <c r="JZZ974" s="252"/>
      <c r="KAA974" s="252"/>
      <c r="KAB974" s="252"/>
      <c r="KAC974" s="252"/>
      <c r="KAD974" s="252"/>
      <c r="KAE974" s="252"/>
      <c r="KAF974" s="252"/>
      <c r="KAG974" s="252"/>
      <c r="KAH974" s="252"/>
      <c r="KAI974" s="252"/>
      <c r="KAJ974" s="252"/>
      <c r="KAK974" s="252"/>
      <c r="KAL974" s="252"/>
      <c r="KAM974" s="252"/>
      <c r="KAN974" s="252"/>
      <c r="KAO974" s="252"/>
      <c r="KAP974" s="252"/>
      <c r="KAQ974" s="252"/>
      <c r="KAR974" s="252"/>
      <c r="KAS974" s="252"/>
      <c r="KAT974" s="252"/>
      <c r="KAU974" s="252"/>
      <c r="KAV974" s="252"/>
      <c r="KAW974" s="252"/>
      <c r="KAX974" s="252"/>
      <c r="KAY974" s="252"/>
      <c r="KAZ974" s="252"/>
      <c r="KBA974" s="252"/>
      <c r="KBB974" s="252"/>
      <c r="KBC974" s="252"/>
      <c r="KBD974" s="252"/>
      <c r="KBE974" s="252"/>
      <c r="KBF974" s="252"/>
      <c r="KBG974" s="252"/>
      <c r="KBH974" s="252"/>
      <c r="KBI974" s="252"/>
      <c r="KBJ974" s="252"/>
      <c r="KBK974" s="252"/>
      <c r="KBL974" s="252"/>
      <c r="KBM974" s="252"/>
      <c r="KBN974" s="252"/>
      <c r="KBO974" s="252"/>
      <c r="KBP974" s="252"/>
      <c r="KBQ974" s="252"/>
      <c r="KBR974" s="252"/>
      <c r="KBS974" s="252"/>
      <c r="KBT974" s="252"/>
      <c r="KBU974" s="252"/>
      <c r="KBV974" s="252"/>
      <c r="KBW974" s="252"/>
      <c r="KBX974" s="252"/>
      <c r="KBY974" s="252"/>
      <c r="KBZ974" s="252"/>
      <c r="KCA974" s="252"/>
      <c r="KCB974" s="252"/>
      <c r="KCC974" s="252"/>
      <c r="KCD974" s="252"/>
      <c r="KCE974" s="252"/>
      <c r="KCF974" s="252"/>
      <c r="KCG974" s="252"/>
      <c r="KCH974" s="252"/>
      <c r="KCI974" s="252"/>
      <c r="KCJ974" s="252"/>
      <c r="KCK974" s="252"/>
      <c r="KCL974" s="252"/>
      <c r="KCM974" s="252"/>
      <c r="KCN974" s="252"/>
      <c r="KCO974" s="252"/>
      <c r="KCP974" s="252"/>
      <c r="KCQ974" s="252"/>
      <c r="KCR974" s="252"/>
      <c r="KCS974" s="252"/>
      <c r="KCT974" s="252"/>
      <c r="KCU974" s="252"/>
      <c r="KCV974" s="252"/>
      <c r="KCW974" s="252"/>
      <c r="KCX974" s="252"/>
      <c r="KCY974" s="252"/>
      <c r="KCZ974" s="252"/>
      <c r="KDA974" s="252"/>
      <c r="KDB974" s="252"/>
      <c r="KDC974" s="252"/>
      <c r="KDD974" s="252"/>
      <c r="KDE974" s="252"/>
      <c r="KDF974" s="252"/>
      <c r="KDG974" s="252"/>
      <c r="KDH974" s="252"/>
      <c r="KDI974" s="252"/>
      <c r="KDJ974" s="252"/>
      <c r="KDK974" s="252"/>
      <c r="KDL974" s="252"/>
      <c r="KDM974" s="252"/>
      <c r="KDN974" s="252"/>
      <c r="KDO974" s="252"/>
      <c r="KDP974" s="252"/>
      <c r="KDQ974" s="252"/>
      <c r="KDR974" s="252"/>
      <c r="KDS974" s="252"/>
      <c r="KDT974" s="252"/>
      <c r="KDU974" s="252"/>
      <c r="KDV974" s="252"/>
      <c r="KDW974" s="252"/>
      <c r="KDX974" s="252"/>
      <c r="KDY974" s="252"/>
      <c r="KDZ974" s="252"/>
      <c r="KEA974" s="252"/>
      <c r="KEB974" s="252"/>
      <c r="KEC974" s="252"/>
      <c r="KED974" s="252"/>
      <c r="KEE974" s="252"/>
      <c r="KEF974" s="252"/>
      <c r="KEG974" s="252"/>
      <c r="KEH974" s="252"/>
      <c r="KEI974" s="252"/>
      <c r="KEJ974" s="252"/>
      <c r="KEK974" s="252"/>
      <c r="KEL974" s="252"/>
      <c r="KEM974" s="252"/>
      <c r="KEN974" s="252"/>
      <c r="KEO974" s="252"/>
      <c r="KEP974" s="252"/>
      <c r="KEQ974" s="252"/>
      <c r="KER974" s="252"/>
      <c r="KES974" s="252"/>
      <c r="KET974" s="252"/>
      <c r="KEU974" s="252"/>
      <c r="KEV974" s="252"/>
      <c r="KEW974" s="252"/>
      <c r="KEX974" s="252"/>
      <c r="KEY974" s="252"/>
      <c r="KEZ974" s="252"/>
      <c r="KFA974" s="252"/>
      <c r="KFB974" s="252"/>
      <c r="KFC974" s="252"/>
      <c r="KFD974" s="252"/>
      <c r="KFE974" s="252"/>
      <c r="KFF974" s="252"/>
      <c r="KFG974" s="252"/>
      <c r="KFH974" s="252"/>
      <c r="KFI974" s="252"/>
      <c r="KFJ974" s="252"/>
      <c r="KFK974" s="252"/>
      <c r="KFL974" s="252"/>
      <c r="KFM974" s="252"/>
      <c r="KFN974" s="252"/>
      <c r="KFO974" s="252"/>
      <c r="KFP974" s="252"/>
      <c r="KFQ974" s="252"/>
      <c r="KFR974" s="252"/>
      <c r="KFS974" s="252"/>
      <c r="KFT974" s="252"/>
      <c r="KFU974" s="252"/>
      <c r="KFV974" s="252"/>
      <c r="KFW974" s="252"/>
      <c r="KFX974" s="252"/>
      <c r="KFY974" s="252"/>
      <c r="KFZ974" s="252"/>
      <c r="KGA974" s="252"/>
      <c r="KGB974" s="252"/>
      <c r="KGC974" s="252"/>
      <c r="KGD974" s="252"/>
      <c r="KGE974" s="252"/>
      <c r="KGF974" s="252"/>
      <c r="KGG974" s="252"/>
      <c r="KGH974" s="252"/>
      <c r="KGI974" s="252"/>
      <c r="KGJ974" s="252"/>
      <c r="KGK974" s="252"/>
      <c r="KGL974" s="252"/>
      <c r="KGM974" s="252"/>
      <c r="KGN974" s="252"/>
      <c r="KGO974" s="252"/>
      <c r="KGP974" s="252"/>
      <c r="KGQ974" s="252"/>
      <c r="KGR974" s="252"/>
      <c r="KGS974" s="252"/>
      <c r="KGT974" s="252"/>
      <c r="KGU974" s="252"/>
      <c r="KGV974" s="252"/>
      <c r="KGW974" s="252"/>
      <c r="KGX974" s="252"/>
      <c r="KGY974" s="252"/>
      <c r="KGZ974" s="252"/>
      <c r="KHA974" s="252"/>
      <c r="KHB974" s="252"/>
      <c r="KHC974" s="252"/>
      <c r="KHD974" s="252"/>
      <c r="KHE974" s="252"/>
      <c r="KHF974" s="252"/>
      <c r="KHG974" s="252"/>
      <c r="KHH974" s="252"/>
      <c r="KHI974" s="252"/>
      <c r="KHJ974" s="252"/>
      <c r="KHK974" s="252"/>
      <c r="KHL974" s="252"/>
      <c r="KHM974" s="252"/>
      <c r="KHN974" s="252"/>
      <c r="KHO974" s="252"/>
      <c r="KHP974" s="252"/>
      <c r="KHQ974" s="252"/>
      <c r="KHR974" s="252"/>
      <c r="KHS974" s="252"/>
      <c r="KHT974" s="252"/>
      <c r="KHU974" s="252"/>
      <c r="KHV974" s="252"/>
      <c r="KHW974" s="252"/>
      <c r="KHX974" s="252"/>
      <c r="KHY974" s="252"/>
      <c r="KHZ974" s="252"/>
      <c r="KIA974" s="252"/>
      <c r="KIB974" s="252"/>
      <c r="KIC974" s="252"/>
      <c r="KID974" s="252"/>
      <c r="KIE974" s="252"/>
      <c r="KIF974" s="252"/>
      <c r="KIG974" s="252"/>
      <c r="KIH974" s="252"/>
      <c r="KII974" s="252"/>
      <c r="KIJ974" s="252"/>
      <c r="KIK974" s="252"/>
      <c r="KIL974" s="252"/>
      <c r="KIM974" s="252"/>
      <c r="KIN974" s="252"/>
      <c r="KIO974" s="252"/>
      <c r="KIP974" s="252"/>
      <c r="KIQ974" s="252"/>
      <c r="KIR974" s="252"/>
      <c r="KIS974" s="252"/>
      <c r="KIT974" s="252"/>
      <c r="KIU974" s="252"/>
      <c r="KIV974" s="252"/>
      <c r="KIW974" s="252"/>
      <c r="KIX974" s="252"/>
      <c r="KIY974" s="252"/>
      <c r="KIZ974" s="252"/>
      <c r="KJA974" s="252"/>
      <c r="KJB974" s="252"/>
      <c r="KJC974" s="252"/>
      <c r="KJD974" s="252"/>
      <c r="KJE974" s="252"/>
      <c r="KJF974" s="252"/>
      <c r="KJG974" s="252"/>
      <c r="KJH974" s="252"/>
      <c r="KJI974" s="252"/>
      <c r="KJJ974" s="252"/>
      <c r="KJK974" s="252"/>
      <c r="KJL974" s="252"/>
      <c r="KJM974" s="252"/>
      <c r="KJN974" s="252"/>
      <c r="KJO974" s="252"/>
      <c r="KJP974" s="252"/>
      <c r="KJQ974" s="252"/>
      <c r="KJR974" s="252"/>
      <c r="KJS974" s="252"/>
      <c r="KJT974" s="252"/>
      <c r="KJU974" s="252"/>
      <c r="KJV974" s="252"/>
      <c r="KJW974" s="252"/>
      <c r="KJX974" s="252"/>
      <c r="KJY974" s="252"/>
      <c r="KJZ974" s="252"/>
      <c r="KKA974" s="252"/>
      <c r="KKB974" s="252"/>
      <c r="KKC974" s="252"/>
      <c r="KKD974" s="252"/>
      <c r="KKE974" s="252"/>
      <c r="KKF974" s="252"/>
      <c r="KKG974" s="252"/>
      <c r="KKH974" s="252"/>
      <c r="KKI974" s="252"/>
      <c r="KKJ974" s="252"/>
      <c r="KKK974" s="252"/>
      <c r="KKL974" s="252"/>
      <c r="KKM974" s="252"/>
      <c r="KKN974" s="252"/>
      <c r="KKO974" s="252"/>
      <c r="KKP974" s="252"/>
      <c r="KKQ974" s="252"/>
      <c r="KKR974" s="252"/>
      <c r="KKS974" s="252"/>
      <c r="KKT974" s="252"/>
      <c r="KKU974" s="252"/>
      <c r="KKV974" s="252"/>
      <c r="KKW974" s="252"/>
      <c r="KKX974" s="252"/>
      <c r="KKY974" s="252"/>
      <c r="KKZ974" s="252"/>
      <c r="KLA974" s="252"/>
      <c r="KLB974" s="252"/>
      <c r="KLC974" s="252"/>
      <c r="KLD974" s="252"/>
      <c r="KLE974" s="252"/>
      <c r="KLF974" s="252"/>
      <c r="KLG974" s="252"/>
      <c r="KLH974" s="252"/>
      <c r="KLI974" s="252"/>
      <c r="KLJ974" s="252"/>
      <c r="KLK974" s="252"/>
      <c r="KLL974" s="252"/>
      <c r="KLM974" s="252"/>
      <c r="KLN974" s="252"/>
      <c r="KLO974" s="252"/>
      <c r="KLP974" s="252"/>
      <c r="KLQ974" s="252"/>
      <c r="KLR974" s="252"/>
      <c r="KLS974" s="252"/>
      <c r="KLT974" s="252"/>
      <c r="KLU974" s="252"/>
      <c r="KLV974" s="252"/>
      <c r="KLW974" s="252"/>
      <c r="KLX974" s="252"/>
      <c r="KLY974" s="252"/>
      <c r="KLZ974" s="252"/>
      <c r="KMA974" s="252"/>
      <c r="KMB974" s="252"/>
      <c r="KMC974" s="252"/>
      <c r="KMD974" s="252"/>
      <c r="KME974" s="252"/>
      <c r="KMF974" s="252"/>
      <c r="KMG974" s="252"/>
      <c r="KMH974" s="252"/>
      <c r="KMI974" s="252"/>
      <c r="KMJ974" s="252"/>
      <c r="KMK974" s="252"/>
      <c r="KML974" s="252"/>
      <c r="KMM974" s="252"/>
      <c r="KMN974" s="252"/>
      <c r="KMO974" s="252"/>
      <c r="KMP974" s="252"/>
      <c r="KMQ974" s="252"/>
      <c r="KMR974" s="252"/>
      <c r="KMS974" s="252"/>
      <c r="KMT974" s="252"/>
      <c r="KMU974" s="252"/>
      <c r="KMV974" s="252"/>
      <c r="KMW974" s="252"/>
      <c r="KMX974" s="252"/>
      <c r="KMY974" s="252"/>
      <c r="KMZ974" s="252"/>
      <c r="KNA974" s="252"/>
      <c r="KNB974" s="252"/>
      <c r="KNC974" s="252"/>
      <c r="KND974" s="252"/>
      <c r="KNE974" s="252"/>
      <c r="KNF974" s="252"/>
      <c r="KNG974" s="252"/>
      <c r="KNH974" s="252"/>
      <c r="KNI974" s="252"/>
      <c r="KNJ974" s="252"/>
      <c r="KNK974" s="252"/>
      <c r="KNL974" s="252"/>
      <c r="KNM974" s="252"/>
      <c r="KNN974" s="252"/>
      <c r="KNO974" s="252"/>
      <c r="KNP974" s="252"/>
      <c r="KNQ974" s="252"/>
      <c r="KNR974" s="252"/>
      <c r="KNS974" s="252"/>
      <c r="KNT974" s="252"/>
      <c r="KNU974" s="252"/>
      <c r="KNV974" s="252"/>
      <c r="KNW974" s="252"/>
      <c r="KNX974" s="252"/>
      <c r="KNY974" s="252"/>
      <c r="KNZ974" s="252"/>
      <c r="KOA974" s="252"/>
      <c r="KOB974" s="252"/>
      <c r="KOC974" s="252"/>
      <c r="KOD974" s="252"/>
      <c r="KOE974" s="252"/>
      <c r="KOF974" s="252"/>
      <c r="KOG974" s="252"/>
      <c r="KOH974" s="252"/>
      <c r="KOI974" s="252"/>
      <c r="KOJ974" s="252"/>
      <c r="KOK974" s="252"/>
      <c r="KOL974" s="252"/>
      <c r="KOM974" s="252"/>
      <c r="KON974" s="252"/>
      <c r="KOO974" s="252"/>
      <c r="KOP974" s="252"/>
      <c r="KOQ974" s="252"/>
      <c r="KOR974" s="252"/>
      <c r="KOS974" s="252"/>
      <c r="KOT974" s="252"/>
      <c r="KOU974" s="252"/>
      <c r="KOV974" s="252"/>
      <c r="KOW974" s="252"/>
      <c r="KOX974" s="252"/>
      <c r="KOY974" s="252"/>
      <c r="KOZ974" s="252"/>
      <c r="KPA974" s="252"/>
      <c r="KPB974" s="252"/>
      <c r="KPC974" s="252"/>
      <c r="KPD974" s="252"/>
      <c r="KPE974" s="252"/>
      <c r="KPF974" s="252"/>
      <c r="KPG974" s="252"/>
      <c r="KPH974" s="252"/>
      <c r="KPI974" s="252"/>
      <c r="KPJ974" s="252"/>
      <c r="KPK974" s="252"/>
      <c r="KPL974" s="252"/>
      <c r="KPM974" s="252"/>
      <c r="KPN974" s="252"/>
      <c r="KPO974" s="252"/>
      <c r="KPP974" s="252"/>
      <c r="KPQ974" s="252"/>
      <c r="KPR974" s="252"/>
      <c r="KPS974" s="252"/>
      <c r="KPT974" s="252"/>
      <c r="KPU974" s="252"/>
      <c r="KPV974" s="252"/>
      <c r="KPW974" s="252"/>
      <c r="KPX974" s="252"/>
      <c r="KPY974" s="252"/>
      <c r="KPZ974" s="252"/>
      <c r="KQA974" s="252"/>
      <c r="KQB974" s="252"/>
      <c r="KQC974" s="252"/>
      <c r="KQD974" s="252"/>
      <c r="KQE974" s="252"/>
      <c r="KQF974" s="252"/>
      <c r="KQG974" s="252"/>
      <c r="KQH974" s="252"/>
      <c r="KQI974" s="252"/>
      <c r="KQJ974" s="252"/>
      <c r="KQK974" s="252"/>
      <c r="KQL974" s="252"/>
      <c r="KQM974" s="252"/>
      <c r="KQN974" s="252"/>
      <c r="KQO974" s="252"/>
      <c r="KQP974" s="252"/>
      <c r="KQQ974" s="252"/>
      <c r="KQR974" s="252"/>
      <c r="KQS974" s="252"/>
      <c r="KQT974" s="252"/>
      <c r="KQU974" s="252"/>
      <c r="KQV974" s="252"/>
      <c r="KQW974" s="252"/>
      <c r="KQX974" s="252"/>
      <c r="KQY974" s="252"/>
      <c r="KQZ974" s="252"/>
      <c r="KRA974" s="252"/>
      <c r="KRB974" s="252"/>
      <c r="KRC974" s="252"/>
      <c r="KRD974" s="252"/>
      <c r="KRE974" s="252"/>
      <c r="KRF974" s="252"/>
      <c r="KRG974" s="252"/>
      <c r="KRH974" s="252"/>
      <c r="KRI974" s="252"/>
      <c r="KRJ974" s="252"/>
      <c r="KRK974" s="252"/>
      <c r="KRL974" s="252"/>
      <c r="KRM974" s="252"/>
      <c r="KRN974" s="252"/>
      <c r="KRO974" s="252"/>
      <c r="KRP974" s="252"/>
      <c r="KRQ974" s="252"/>
      <c r="KRR974" s="252"/>
      <c r="KRS974" s="252"/>
      <c r="KRT974" s="252"/>
      <c r="KRU974" s="252"/>
      <c r="KRV974" s="252"/>
      <c r="KRW974" s="252"/>
      <c r="KRX974" s="252"/>
      <c r="KRY974" s="252"/>
      <c r="KRZ974" s="252"/>
      <c r="KSA974" s="252"/>
      <c r="KSB974" s="252"/>
      <c r="KSC974" s="252"/>
      <c r="KSD974" s="252"/>
      <c r="KSE974" s="252"/>
      <c r="KSF974" s="252"/>
      <c r="KSG974" s="252"/>
      <c r="KSH974" s="252"/>
      <c r="KSI974" s="252"/>
      <c r="KSJ974" s="252"/>
      <c r="KSK974" s="252"/>
      <c r="KSL974" s="252"/>
      <c r="KSM974" s="252"/>
      <c r="KSN974" s="252"/>
      <c r="KSO974" s="252"/>
      <c r="KSP974" s="252"/>
      <c r="KSQ974" s="252"/>
      <c r="KSR974" s="252"/>
      <c r="KSS974" s="252"/>
      <c r="KST974" s="252"/>
      <c r="KSU974" s="252"/>
      <c r="KSV974" s="252"/>
      <c r="KSW974" s="252"/>
      <c r="KSX974" s="252"/>
      <c r="KSY974" s="252"/>
      <c r="KSZ974" s="252"/>
      <c r="KTA974" s="252"/>
      <c r="KTB974" s="252"/>
      <c r="KTC974" s="252"/>
      <c r="KTD974" s="252"/>
      <c r="KTE974" s="252"/>
      <c r="KTF974" s="252"/>
      <c r="KTG974" s="252"/>
      <c r="KTH974" s="252"/>
      <c r="KTI974" s="252"/>
      <c r="KTJ974" s="252"/>
      <c r="KTK974" s="252"/>
      <c r="KTL974" s="252"/>
      <c r="KTM974" s="252"/>
      <c r="KTN974" s="252"/>
      <c r="KTO974" s="252"/>
      <c r="KTP974" s="252"/>
      <c r="KTQ974" s="252"/>
      <c r="KTR974" s="252"/>
      <c r="KTS974" s="252"/>
      <c r="KTT974" s="252"/>
      <c r="KTU974" s="252"/>
      <c r="KTV974" s="252"/>
      <c r="KTW974" s="252"/>
      <c r="KTX974" s="252"/>
      <c r="KTY974" s="252"/>
      <c r="KTZ974" s="252"/>
      <c r="KUA974" s="252"/>
      <c r="KUB974" s="252"/>
      <c r="KUC974" s="252"/>
      <c r="KUD974" s="252"/>
      <c r="KUE974" s="252"/>
      <c r="KUF974" s="252"/>
      <c r="KUG974" s="252"/>
      <c r="KUH974" s="252"/>
      <c r="KUI974" s="252"/>
      <c r="KUJ974" s="252"/>
      <c r="KUK974" s="252"/>
      <c r="KUL974" s="252"/>
      <c r="KUM974" s="252"/>
      <c r="KUN974" s="252"/>
      <c r="KUO974" s="252"/>
      <c r="KUP974" s="252"/>
      <c r="KUQ974" s="252"/>
      <c r="KUR974" s="252"/>
      <c r="KUS974" s="252"/>
      <c r="KUT974" s="252"/>
      <c r="KUU974" s="252"/>
      <c r="KUV974" s="252"/>
      <c r="KUW974" s="252"/>
      <c r="KUX974" s="252"/>
      <c r="KUY974" s="252"/>
      <c r="KUZ974" s="252"/>
      <c r="KVA974" s="252"/>
      <c r="KVB974" s="252"/>
      <c r="KVC974" s="252"/>
      <c r="KVD974" s="252"/>
      <c r="KVE974" s="252"/>
      <c r="KVF974" s="252"/>
      <c r="KVG974" s="252"/>
      <c r="KVH974" s="252"/>
      <c r="KVI974" s="252"/>
      <c r="KVJ974" s="252"/>
      <c r="KVK974" s="252"/>
      <c r="KVL974" s="252"/>
      <c r="KVM974" s="252"/>
      <c r="KVN974" s="252"/>
      <c r="KVO974" s="252"/>
      <c r="KVP974" s="252"/>
      <c r="KVQ974" s="252"/>
      <c r="KVR974" s="252"/>
      <c r="KVS974" s="252"/>
      <c r="KVT974" s="252"/>
      <c r="KVU974" s="252"/>
      <c r="KVV974" s="252"/>
      <c r="KVW974" s="252"/>
      <c r="KVX974" s="252"/>
      <c r="KVY974" s="252"/>
      <c r="KVZ974" s="252"/>
      <c r="KWA974" s="252"/>
      <c r="KWB974" s="252"/>
      <c r="KWC974" s="252"/>
      <c r="KWD974" s="252"/>
      <c r="KWE974" s="252"/>
      <c r="KWF974" s="252"/>
      <c r="KWG974" s="252"/>
      <c r="KWH974" s="252"/>
      <c r="KWI974" s="252"/>
      <c r="KWJ974" s="252"/>
      <c r="KWK974" s="252"/>
      <c r="KWL974" s="252"/>
      <c r="KWM974" s="252"/>
      <c r="KWN974" s="252"/>
      <c r="KWO974" s="252"/>
      <c r="KWP974" s="252"/>
      <c r="KWQ974" s="252"/>
      <c r="KWR974" s="252"/>
      <c r="KWS974" s="252"/>
      <c r="KWT974" s="252"/>
      <c r="KWU974" s="252"/>
      <c r="KWV974" s="252"/>
      <c r="KWW974" s="252"/>
      <c r="KWX974" s="252"/>
      <c r="KWY974" s="252"/>
      <c r="KWZ974" s="252"/>
      <c r="KXA974" s="252"/>
      <c r="KXB974" s="252"/>
      <c r="KXC974" s="252"/>
      <c r="KXD974" s="252"/>
      <c r="KXE974" s="252"/>
      <c r="KXF974" s="252"/>
      <c r="KXG974" s="252"/>
      <c r="KXH974" s="252"/>
      <c r="KXI974" s="252"/>
      <c r="KXJ974" s="252"/>
      <c r="KXK974" s="252"/>
      <c r="KXL974" s="252"/>
      <c r="KXM974" s="252"/>
      <c r="KXN974" s="252"/>
      <c r="KXO974" s="252"/>
      <c r="KXP974" s="252"/>
      <c r="KXQ974" s="252"/>
      <c r="KXR974" s="252"/>
      <c r="KXS974" s="252"/>
      <c r="KXT974" s="252"/>
      <c r="KXU974" s="252"/>
      <c r="KXV974" s="252"/>
      <c r="KXW974" s="252"/>
      <c r="KXX974" s="252"/>
      <c r="KXY974" s="252"/>
      <c r="KXZ974" s="252"/>
      <c r="KYA974" s="252"/>
      <c r="KYB974" s="252"/>
      <c r="KYC974" s="252"/>
      <c r="KYD974" s="252"/>
      <c r="KYE974" s="252"/>
      <c r="KYF974" s="252"/>
      <c r="KYG974" s="252"/>
      <c r="KYH974" s="252"/>
      <c r="KYI974" s="252"/>
      <c r="KYJ974" s="252"/>
      <c r="KYK974" s="252"/>
      <c r="KYL974" s="252"/>
      <c r="KYM974" s="252"/>
      <c r="KYN974" s="252"/>
      <c r="KYO974" s="252"/>
      <c r="KYP974" s="252"/>
      <c r="KYQ974" s="252"/>
      <c r="KYR974" s="252"/>
      <c r="KYS974" s="252"/>
      <c r="KYT974" s="252"/>
      <c r="KYU974" s="252"/>
      <c r="KYV974" s="252"/>
      <c r="KYW974" s="252"/>
      <c r="KYX974" s="252"/>
      <c r="KYY974" s="252"/>
      <c r="KYZ974" s="252"/>
      <c r="KZA974" s="252"/>
      <c r="KZB974" s="252"/>
      <c r="KZC974" s="252"/>
      <c r="KZD974" s="252"/>
      <c r="KZE974" s="252"/>
      <c r="KZF974" s="252"/>
      <c r="KZG974" s="252"/>
      <c r="KZH974" s="252"/>
      <c r="KZI974" s="252"/>
      <c r="KZJ974" s="252"/>
      <c r="KZK974" s="252"/>
      <c r="KZL974" s="252"/>
      <c r="KZM974" s="252"/>
      <c r="KZN974" s="252"/>
      <c r="KZO974" s="252"/>
      <c r="KZP974" s="252"/>
      <c r="KZQ974" s="252"/>
      <c r="KZR974" s="252"/>
      <c r="KZS974" s="252"/>
      <c r="KZT974" s="252"/>
      <c r="KZU974" s="252"/>
      <c r="KZV974" s="252"/>
      <c r="KZW974" s="252"/>
      <c r="KZX974" s="252"/>
      <c r="KZY974" s="252"/>
      <c r="KZZ974" s="252"/>
      <c r="LAA974" s="252"/>
      <c r="LAB974" s="252"/>
      <c r="LAC974" s="252"/>
      <c r="LAD974" s="252"/>
      <c r="LAE974" s="252"/>
      <c r="LAF974" s="252"/>
      <c r="LAG974" s="252"/>
      <c r="LAH974" s="252"/>
      <c r="LAI974" s="252"/>
      <c r="LAJ974" s="252"/>
      <c r="LAK974" s="252"/>
      <c r="LAL974" s="252"/>
      <c r="LAM974" s="252"/>
      <c r="LAN974" s="252"/>
      <c r="LAO974" s="252"/>
      <c r="LAP974" s="252"/>
      <c r="LAQ974" s="252"/>
      <c r="LAR974" s="252"/>
      <c r="LAS974" s="252"/>
      <c r="LAT974" s="252"/>
      <c r="LAU974" s="252"/>
      <c r="LAV974" s="252"/>
      <c r="LAW974" s="252"/>
      <c r="LAX974" s="252"/>
      <c r="LAY974" s="252"/>
      <c r="LAZ974" s="252"/>
      <c r="LBA974" s="252"/>
      <c r="LBB974" s="252"/>
      <c r="LBC974" s="252"/>
      <c r="LBD974" s="252"/>
      <c r="LBE974" s="252"/>
      <c r="LBF974" s="252"/>
      <c r="LBG974" s="252"/>
      <c r="LBH974" s="252"/>
      <c r="LBI974" s="252"/>
      <c r="LBJ974" s="252"/>
      <c r="LBK974" s="252"/>
      <c r="LBL974" s="252"/>
      <c r="LBM974" s="252"/>
      <c r="LBN974" s="252"/>
      <c r="LBO974" s="252"/>
      <c r="LBP974" s="252"/>
      <c r="LBQ974" s="252"/>
      <c r="LBR974" s="252"/>
      <c r="LBS974" s="252"/>
      <c r="LBT974" s="252"/>
      <c r="LBU974" s="252"/>
      <c r="LBV974" s="252"/>
      <c r="LBW974" s="252"/>
      <c r="LBX974" s="252"/>
      <c r="LBY974" s="252"/>
      <c r="LBZ974" s="252"/>
      <c r="LCA974" s="252"/>
      <c r="LCB974" s="252"/>
      <c r="LCC974" s="252"/>
      <c r="LCD974" s="252"/>
      <c r="LCE974" s="252"/>
      <c r="LCF974" s="252"/>
      <c r="LCG974" s="252"/>
      <c r="LCH974" s="252"/>
      <c r="LCI974" s="252"/>
      <c r="LCJ974" s="252"/>
      <c r="LCK974" s="252"/>
      <c r="LCL974" s="252"/>
      <c r="LCM974" s="252"/>
      <c r="LCN974" s="252"/>
      <c r="LCO974" s="252"/>
      <c r="LCP974" s="252"/>
      <c r="LCQ974" s="252"/>
      <c r="LCR974" s="252"/>
      <c r="LCS974" s="252"/>
      <c r="LCT974" s="252"/>
      <c r="LCU974" s="252"/>
      <c r="LCV974" s="252"/>
      <c r="LCW974" s="252"/>
      <c r="LCX974" s="252"/>
      <c r="LCY974" s="252"/>
      <c r="LCZ974" s="252"/>
      <c r="LDA974" s="252"/>
      <c r="LDB974" s="252"/>
      <c r="LDC974" s="252"/>
      <c r="LDD974" s="252"/>
      <c r="LDE974" s="252"/>
      <c r="LDF974" s="252"/>
      <c r="LDG974" s="252"/>
      <c r="LDH974" s="252"/>
      <c r="LDI974" s="252"/>
      <c r="LDJ974" s="252"/>
      <c r="LDK974" s="252"/>
      <c r="LDL974" s="252"/>
      <c r="LDM974" s="252"/>
      <c r="LDN974" s="252"/>
      <c r="LDO974" s="252"/>
      <c r="LDP974" s="252"/>
      <c r="LDQ974" s="252"/>
      <c r="LDR974" s="252"/>
      <c r="LDS974" s="252"/>
      <c r="LDT974" s="252"/>
      <c r="LDU974" s="252"/>
      <c r="LDV974" s="252"/>
      <c r="LDW974" s="252"/>
      <c r="LDX974" s="252"/>
      <c r="LDY974" s="252"/>
      <c r="LDZ974" s="252"/>
      <c r="LEA974" s="252"/>
      <c r="LEB974" s="252"/>
      <c r="LEC974" s="252"/>
      <c r="LED974" s="252"/>
      <c r="LEE974" s="252"/>
      <c r="LEF974" s="252"/>
      <c r="LEG974" s="252"/>
      <c r="LEH974" s="252"/>
      <c r="LEI974" s="252"/>
      <c r="LEJ974" s="252"/>
      <c r="LEK974" s="252"/>
      <c r="LEL974" s="252"/>
      <c r="LEM974" s="252"/>
      <c r="LEN974" s="252"/>
      <c r="LEO974" s="252"/>
      <c r="LEP974" s="252"/>
      <c r="LEQ974" s="252"/>
      <c r="LER974" s="252"/>
      <c r="LES974" s="252"/>
      <c r="LET974" s="252"/>
      <c r="LEU974" s="252"/>
      <c r="LEV974" s="252"/>
      <c r="LEW974" s="252"/>
      <c r="LEX974" s="252"/>
      <c r="LEY974" s="252"/>
      <c r="LEZ974" s="252"/>
      <c r="LFA974" s="252"/>
      <c r="LFB974" s="252"/>
      <c r="LFC974" s="252"/>
      <c r="LFD974" s="252"/>
      <c r="LFE974" s="252"/>
      <c r="LFF974" s="252"/>
      <c r="LFG974" s="252"/>
      <c r="LFH974" s="252"/>
      <c r="LFI974" s="252"/>
      <c r="LFJ974" s="252"/>
      <c r="LFK974" s="252"/>
      <c r="LFL974" s="252"/>
      <c r="LFM974" s="252"/>
      <c r="LFN974" s="252"/>
      <c r="LFO974" s="252"/>
      <c r="LFP974" s="252"/>
      <c r="LFQ974" s="252"/>
      <c r="LFR974" s="252"/>
      <c r="LFS974" s="252"/>
      <c r="LFT974" s="252"/>
      <c r="LFU974" s="252"/>
      <c r="LFV974" s="252"/>
      <c r="LFW974" s="252"/>
      <c r="LFX974" s="252"/>
      <c r="LFY974" s="252"/>
      <c r="LFZ974" s="252"/>
      <c r="LGA974" s="252"/>
      <c r="LGB974" s="252"/>
      <c r="LGC974" s="252"/>
      <c r="LGD974" s="252"/>
      <c r="LGE974" s="252"/>
      <c r="LGF974" s="252"/>
      <c r="LGG974" s="252"/>
      <c r="LGH974" s="252"/>
      <c r="LGI974" s="252"/>
      <c r="LGJ974" s="252"/>
      <c r="LGK974" s="252"/>
      <c r="LGL974" s="252"/>
      <c r="LGM974" s="252"/>
      <c r="LGN974" s="252"/>
      <c r="LGO974" s="252"/>
      <c r="LGP974" s="252"/>
      <c r="LGQ974" s="252"/>
      <c r="LGR974" s="252"/>
      <c r="LGS974" s="252"/>
      <c r="LGT974" s="252"/>
      <c r="LGU974" s="252"/>
      <c r="LGV974" s="252"/>
      <c r="LGW974" s="252"/>
      <c r="LGX974" s="252"/>
      <c r="LGY974" s="252"/>
      <c r="LGZ974" s="252"/>
      <c r="LHA974" s="252"/>
      <c r="LHB974" s="252"/>
      <c r="LHC974" s="252"/>
      <c r="LHD974" s="252"/>
      <c r="LHE974" s="252"/>
      <c r="LHF974" s="252"/>
      <c r="LHG974" s="252"/>
      <c r="LHH974" s="252"/>
      <c r="LHI974" s="252"/>
      <c r="LHJ974" s="252"/>
      <c r="LHK974" s="252"/>
      <c r="LHL974" s="252"/>
      <c r="LHM974" s="252"/>
      <c r="LHN974" s="252"/>
      <c r="LHO974" s="252"/>
      <c r="LHP974" s="252"/>
      <c r="LHQ974" s="252"/>
      <c r="LHR974" s="252"/>
      <c r="LHS974" s="252"/>
      <c r="LHT974" s="252"/>
      <c r="LHU974" s="252"/>
      <c r="LHV974" s="252"/>
      <c r="LHW974" s="252"/>
      <c r="LHX974" s="252"/>
      <c r="LHY974" s="252"/>
      <c r="LHZ974" s="252"/>
      <c r="LIA974" s="252"/>
      <c r="LIB974" s="252"/>
      <c r="LIC974" s="252"/>
      <c r="LID974" s="252"/>
      <c r="LIE974" s="252"/>
      <c r="LIF974" s="252"/>
      <c r="LIG974" s="252"/>
      <c r="LIH974" s="252"/>
      <c r="LII974" s="252"/>
      <c r="LIJ974" s="252"/>
      <c r="LIK974" s="252"/>
      <c r="LIL974" s="252"/>
      <c r="LIM974" s="252"/>
      <c r="LIN974" s="252"/>
      <c r="LIO974" s="252"/>
      <c r="LIP974" s="252"/>
      <c r="LIQ974" s="252"/>
      <c r="LIR974" s="252"/>
      <c r="LIS974" s="252"/>
      <c r="LIT974" s="252"/>
      <c r="LIU974" s="252"/>
      <c r="LIV974" s="252"/>
      <c r="LIW974" s="252"/>
      <c r="LIX974" s="252"/>
      <c r="LIY974" s="252"/>
      <c r="LIZ974" s="252"/>
      <c r="LJA974" s="252"/>
      <c r="LJB974" s="252"/>
      <c r="LJC974" s="252"/>
      <c r="LJD974" s="252"/>
      <c r="LJE974" s="252"/>
      <c r="LJF974" s="252"/>
      <c r="LJG974" s="252"/>
      <c r="LJH974" s="252"/>
      <c r="LJI974" s="252"/>
      <c r="LJJ974" s="252"/>
      <c r="LJK974" s="252"/>
      <c r="LJL974" s="252"/>
      <c r="LJM974" s="252"/>
      <c r="LJN974" s="252"/>
      <c r="LJO974" s="252"/>
      <c r="LJP974" s="252"/>
      <c r="LJQ974" s="252"/>
      <c r="LJR974" s="252"/>
      <c r="LJS974" s="252"/>
      <c r="LJT974" s="252"/>
      <c r="LJU974" s="252"/>
      <c r="LJV974" s="252"/>
      <c r="LJW974" s="252"/>
      <c r="LJX974" s="252"/>
      <c r="LJY974" s="252"/>
      <c r="LJZ974" s="252"/>
      <c r="LKA974" s="252"/>
      <c r="LKB974" s="252"/>
      <c r="LKC974" s="252"/>
      <c r="LKD974" s="252"/>
      <c r="LKE974" s="252"/>
      <c r="LKF974" s="252"/>
      <c r="LKG974" s="252"/>
      <c r="LKH974" s="252"/>
      <c r="LKI974" s="252"/>
      <c r="LKJ974" s="252"/>
      <c r="LKK974" s="252"/>
      <c r="LKL974" s="252"/>
      <c r="LKM974" s="252"/>
      <c r="LKN974" s="252"/>
      <c r="LKO974" s="252"/>
      <c r="LKP974" s="252"/>
      <c r="LKQ974" s="252"/>
      <c r="LKR974" s="252"/>
      <c r="LKS974" s="252"/>
      <c r="LKT974" s="252"/>
      <c r="LKU974" s="252"/>
      <c r="LKV974" s="252"/>
      <c r="LKW974" s="252"/>
      <c r="LKX974" s="252"/>
      <c r="LKY974" s="252"/>
      <c r="LKZ974" s="252"/>
      <c r="LLA974" s="252"/>
      <c r="LLB974" s="252"/>
      <c r="LLC974" s="252"/>
      <c r="LLD974" s="252"/>
      <c r="LLE974" s="252"/>
      <c r="LLF974" s="252"/>
      <c r="LLG974" s="252"/>
      <c r="LLH974" s="252"/>
      <c r="LLI974" s="252"/>
      <c r="LLJ974" s="252"/>
      <c r="LLK974" s="252"/>
      <c r="LLL974" s="252"/>
      <c r="LLM974" s="252"/>
      <c r="LLN974" s="252"/>
      <c r="LLO974" s="252"/>
      <c r="LLP974" s="252"/>
      <c r="LLQ974" s="252"/>
      <c r="LLR974" s="252"/>
      <c r="LLS974" s="252"/>
      <c r="LLT974" s="252"/>
      <c r="LLU974" s="252"/>
      <c r="LLV974" s="252"/>
      <c r="LLW974" s="252"/>
      <c r="LLX974" s="252"/>
      <c r="LLY974" s="252"/>
      <c r="LLZ974" s="252"/>
      <c r="LMA974" s="252"/>
      <c r="LMB974" s="252"/>
      <c r="LMC974" s="252"/>
      <c r="LMD974" s="252"/>
      <c r="LME974" s="252"/>
      <c r="LMF974" s="252"/>
      <c r="LMG974" s="252"/>
      <c r="LMH974" s="252"/>
      <c r="LMI974" s="252"/>
      <c r="LMJ974" s="252"/>
      <c r="LMK974" s="252"/>
      <c r="LML974" s="252"/>
      <c r="LMM974" s="252"/>
      <c r="LMN974" s="252"/>
      <c r="LMO974" s="252"/>
      <c r="LMP974" s="252"/>
      <c r="LMQ974" s="252"/>
      <c r="LMR974" s="252"/>
      <c r="LMS974" s="252"/>
      <c r="LMT974" s="252"/>
      <c r="LMU974" s="252"/>
      <c r="LMV974" s="252"/>
      <c r="LMW974" s="252"/>
      <c r="LMX974" s="252"/>
      <c r="LMY974" s="252"/>
      <c r="LMZ974" s="252"/>
      <c r="LNA974" s="252"/>
      <c r="LNB974" s="252"/>
      <c r="LNC974" s="252"/>
      <c r="LND974" s="252"/>
      <c r="LNE974" s="252"/>
      <c r="LNF974" s="252"/>
      <c r="LNG974" s="252"/>
      <c r="LNH974" s="252"/>
      <c r="LNI974" s="252"/>
      <c r="LNJ974" s="252"/>
      <c r="LNK974" s="252"/>
      <c r="LNL974" s="252"/>
      <c r="LNM974" s="252"/>
      <c r="LNN974" s="252"/>
      <c r="LNO974" s="252"/>
      <c r="LNP974" s="252"/>
      <c r="LNQ974" s="252"/>
      <c r="LNR974" s="252"/>
      <c r="LNS974" s="252"/>
      <c r="LNT974" s="252"/>
      <c r="LNU974" s="252"/>
      <c r="LNV974" s="252"/>
      <c r="LNW974" s="252"/>
      <c r="LNX974" s="252"/>
      <c r="LNY974" s="252"/>
      <c r="LNZ974" s="252"/>
      <c r="LOA974" s="252"/>
      <c r="LOB974" s="252"/>
      <c r="LOC974" s="252"/>
      <c r="LOD974" s="252"/>
      <c r="LOE974" s="252"/>
      <c r="LOF974" s="252"/>
      <c r="LOG974" s="252"/>
      <c r="LOH974" s="252"/>
      <c r="LOI974" s="252"/>
      <c r="LOJ974" s="252"/>
      <c r="LOK974" s="252"/>
      <c r="LOL974" s="252"/>
      <c r="LOM974" s="252"/>
      <c r="LON974" s="252"/>
      <c r="LOO974" s="252"/>
      <c r="LOP974" s="252"/>
      <c r="LOQ974" s="252"/>
      <c r="LOR974" s="252"/>
      <c r="LOS974" s="252"/>
      <c r="LOT974" s="252"/>
      <c r="LOU974" s="252"/>
      <c r="LOV974" s="252"/>
      <c r="LOW974" s="252"/>
      <c r="LOX974" s="252"/>
      <c r="LOY974" s="252"/>
      <c r="LOZ974" s="252"/>
      <c r="LPA974" s="252"/>
      <c r="LPB974" s="252"/>
      <c r="LPC974" s="252"/>
      <c r="LPD974" s="252"/>
      <c r="LPE974" s="252"/>
      <c r="LPF974" s="252"/>
      <c r="LPG974" s="252"/>
      <c r="LPH974" s="252"/>
      <c r="LPI974" s="252"/>
      <c r="LPJ974" s="252"/>
      <c r="LPK974" s="252"/>
      <c r="LPL974" s="252"/>
      <c r="LPM974" s="252"/>
      <c r="LPN974" s="252"/>
      <c r="LPO974" s="252"/>
      <c r="LPP974" s="252"/>
      <c r="LPQ974" s="252"/>
      <c r="LPR974" s="252"/>
      <c r="LPS974" s="252"/>
      <c r="LPT974" s="252"/>
      <c r="LPU974" s="252"/>
      <c r="LPV974" s="252"/>
      <c r="LPW974" s="252"/>
      <c r="LPX974" s="252"/>
      <c r="LPY974" s="252"/>
      <c r="LPZ974" s="252"/>
      <c r="LQA974" s="252"/>
      <c r="LQB974" s="252"/>
      <c r="LQC974" s="252"/>
      <c r="LQD974" s="252"/>
      <c r="LQE974" s="252"/>
      <c r="LQF974" s="252"/>
      <c r="LQG974" s="252"/>
      <c r="LQH974" s="252"/>
      <c r="LQI974" s="252"/>
      <c r="LQJ974" s="252"/>
      <c r="LQK974" s="252"/>
      <c r="LQL974" s="252"/>
      <c r="LQM974" s="252"/>
      <c r="LQN974" s="252"/>
      <c r="LQO974" s="252"/>
      <c r="LQP974" s="252"/>
      <c r="LQQ974" s="252"/>
      <c r="LQR974" s="252"/>
      <c r="LQS974" s="252"/>
      <c r="LQT974" s="252"/>
      <c r="LQU974" s="252"/>
      <c r="LQV974" s="252"/>
      <c r="LQW974" s="252"/>
      <c r="LQX974" s="252"/>
      <c r="LQY974" s="252"/>
      <c r="LQZ974" s="252"/>
      <c r="LRA974" s="252"/>
      <c r="LRB974" s="252"/>
      <c r="LRC974" s="252"/>
      <c r="LRD974" s="252"/>
      <c r="LRE974" s="252"/>
      <c r="LRF974" s="252"/>
      <c r="LRG974" s="252"/>
      <c r="LRH974" s="252"/>
      <c r="LRI974" s="252"/>
      <c r="LRJ974" s="252"/>
      <c r="LRK974" s="252"/>
      <c r="LRL974" s="252"/>
      <c r="LRM974" s="252"/>
      <c r="LRN974" s="252"/>
      <c r="LRO974" s="252"/>
      <c r="LRP974" s="252"/>
      <c r="LRQ974" s="252"/>
      <c r="LRR974" s="252"/>
      <c r="LRS974" s="252"/>
      <c r="LRT974" s="252"/>
      <c r="LRU974" s="252"/>
      <c r="LRV974" s="252"/>
      <c r="LRW974" s="252"/>
      <c r="LRX974" s="252"/>
      <c r="LRY974" s="252"/>
      <c r="LRZ974" s="252"/>
      <c r="LSA974" s="252"/>
      <c r="LSB974" s="252"/>
      <c r="LSC974" s="252"/>
      <c r="LSD974" s="252"/>
      <c r="LSE974" s="252"/>
      <c r="LSF974" s="252"/>
      <c r="LSG974" s="252"/>
      <c r="LSH974" s="252"/>
      <c r="LSI974" s="252"/>
      <c r="LSJ974" s="252"/>
      <c r="LSK974" s="252"/>
      <c r="LSL974" s="252"/>
      <c r="LSM974" s="252"/>
      <c r="LSN974" s="252"/>
      <c r="LSO974" s="252"/>
      <c r="LSP974" s="252"/>
      <c r="LSQ974" s="252"/>
      <c r="LSR974" s="252"/>
      <c r="LSS974" s="252"/>
      <c r="LST974" s="252"/>
      <c r="LSU974" s="252"/>
      <c r="LSV974" s="252"/>
      <c r="LSW974" s="252"/>
      <c r="LSX974" s="252"/>
      <c r="LSY974" s="252"/>
      <c r="LSZ974" s="252"/>
      <c r="LTA974" s="252"/>
      <c r="LTB974" s="252"/>
      <c r="LTC974" s="252"/>
      <c r="LTD974" s="252"/>
      <c r="LTE974" s="252"/>
      <c r="LTF974" s="252"/>
      <c r="LTG974" s="252"/>
      <c r="LTH974" s="252"/>
      <c r="LTI974" s="252"/>
      <c r="LTJ974" s="252"/>
      <c r="LTK974" s="252"/>
      <c r="LTL974" s="252"/>
      <c r="LTM974" s="252"/>
      <c r="LTN974" s="252"/>
      <c r="LTO974" s="252"/>
      <c r="LTP974" s="252"/>
      <c r="LTQ974" s="252"/>
      <c r="LTR974" s="252"/>
      <c r="LTS974" s="252"/>
      <c r="LTT974" s="252"/>
      <c r="LTU974" s="252"/>
      <c r="LTV974" s="252"/>
      <c r="LTW974" s="252"/>
      <c r="LTX974" s="252"/>
      <c r="LTY974" s="252"/>
      <c r="LTZ974" s="252"/>
      <c r="LUA974" s="252"/>
      <c r="LUB974" s="252"/>
      <c r="LUC974" s="252"/>
      <c r="LUD974" s="252"/>
      <c r="LUE974" s="252"/>
      <c r="LUF974" s="252"/>
      <c r="LUG974" s="252"/>
      <c r="LUH974" s="252"/>
      <c r="LUI974" s="252"/>
      <c r="LUJ974" s="252"/>
      <c r="LUK974" s="252"/>
      <c r="LUL974" s="252"/>
      <c r="LUM974" s="252"/>
      <c r="LUN974" s="252"/>
      <c r="LUO974" s="252"/>
      <c r="LUP974" s="252"/>
      <c r="LUQ974" s="252"/>
      <c r="LUR974" s="252"/>
      <c r="LUS974" s="252"/>
      <c r="LUT974" s="252"/>
      <c r="LUU974" s="252"/>
      <c r="LUV974" s="252"/>
      <c r="LUW974" s="252"/>
      <c r="LUX974" s="252"/>
      <c r="LUY974" s="252"/>
      <c r="LUZ974" s="252"/>
      <c r="LVA974" s="252"/>
      <c r="LVB974" s="252"/>
      <c r="LVC974" s="252"/>
      <c r="LVD974" s="252"/>
      <c r="LVE974" s="252"/>
      <c r="LVF974" s="252"/>
      <c r="LVG974" s="252"/>
      <c r="LVH974" s="252"/>
      <c r="LVI974" s="252"/>
      <c r="LVJ974" s="252"/>
      <c r="LVK974" s="252"/>
      <c r="LVL974" s="252"/>
      <c r="LVM974" s="252"/>
      <c r="LVN974" s="252"/>
      <c r="LVO974" s="252"/>
      <c r="LVP974" s="252"/>
      <c r="LVQ974" s="252"/>
      <c r="LVR974" s="252"/>
      <c r="LVS974" s="252"/>
      <c r="LVT974" s="252"/>
      <c r="LVU974" s="252"/>
      <c r="LVV974" s="252"/>
      <c r="LVW974" s="252"/>
      <c r="LVX974" s="252"/>
      <c r="LVY974" s="252"/>
      <c r="LVZ974" s="252"/>
      <c r="LWA974" s="252"/>
      <c r="LWB974" s="252"/>
      <c r="LWC974" s="252"/>
      <c r="LWD974" s="252"/>
      <c r="LWE974" s="252"/>
      <c r="LWF974" s="252"/>
      <c r="LWG974" s="252"/>
      <c r="LWH974" s="252"/>
      <c r="LWI974" s="252"/>
      <c r="LWJ974" s="252"/>
      <c r="LWK974" s="252"/>
      <c r="LWL974" s="252"/>
      <c r="LWM974" s="252"/>
      <c r="LWN974" s="252"/>
      <c r="LWO974" s="252"/>
      <c r="LWP974" s="252"/>
      <c r="LWQ974" s="252"/>
      <c r="LWR974" s="252"/>
      <c r="LWS974" s="252"/>
      <c r="LWT974" s="252"/>
      <c r="LWU974" s="252"/>
      <c r="LWV974" s="252"/>
      <c r="LWW974" s="252"/>
      <c r="LWX974" s="252"/>
      <c r="LWY974" s="252"/>
      <c r="LWZ974" s="252"/>
      <c r="LXA974" s="252"/>
      <c r="LXB974" s="252"/>
      <c r="LXC974" s="252"/>
      <c r="LXD974" s="252"/>
      <c r="LXE974" s="252"/>
      <c r="LXF974" s="252"/>
      <c r="LXG974" s="252"/>
      <c r="LXH974" s="252"/>
      <c r="LXI974" s="252"/>
      <c r="LXJ974" s="252"/>
      <c r="LXK974" s="252"/>
      <c r="LXL974" s="252"/>
      <c r="LXM974" s="252"/>
      <c r="LXN974" s="252"/>
      <c r="LXO974" s="252"/>
      <c r="LXP974" s="252"/>
      <c r="LXQ974" s="252"/>
      <c r="LXR974" s="252"/>
      <c r="LXS974" s="252"/>
      <c r="LXT974" s="252"/>
      <c r="LXU974" s="252"/>
      <c r="LXV974" s="252"/>
      <c r="LXW974" s="252"/>
      <c r="LXX974" s="252"/>
      <c r="LXY974" s="252"/>
      <c r="LXZ974" s="252"/>
      <c r="LYA974" s="252"/>
      <c r="LYB974" s="252"/>
      <c r="LYC974" s="252"/>
      <c r="LYD974" s="252"/>
      <c r="LYE974" s="252"/>
      <c r="LYF974" s="252"/>
      <c r="LYG974" s="252"/>
      <c r="LYH974" s="252"/>
      <c r="LYI974" s="252"/>
      <c r="LYJ974" s="252"/>
      <c r="LYK974" s="252"/>
      <c r="LYL974" s="252"/>
      <c r="LYM974" s="252"/>
      <c r="LYN974" s="252"/>
      <c r="LYO974" s="252"/>
      <c r="LYP974" s="252"/>
      <c r="LYQ974" s="252"/>
      <c r="LYR974" s="252"/>
      <c r="LYS974" s="252"/>
      <c r="LYT974" s="252"/>
      <c r="LYU974" s="252"/>
      <c r="LYV974" s="252"/>
      <c r="LYW974" s="252"/>
      <c r="LYX974" s="252"/>
      <c r="LYY974" s="252"/>
      <c r="LYZ974" s="252"/>
      <c r="LZA974" s="252"/>
      <c r="LZB974" s="252"/>
      <c r="LZC974" s="252"/>
      <c r="LZD974" s="252"/>
      <c r="LZE974" s="252"/>
      <c r="LZF974" s="252"/>
      <c r="LZG974" s="252"/>
      <c r="LZH974" s="252"/>
      <c r="LZI974" s="252"/>
      <c r="LZJ974" s="252"/>
      <c r="LZK974" s="252"/>
      <c r="LZL974" s="252"/>
      <c r="LZM974" s="252"/>
      <c r="LZN974" s="252"/>
      <c r="LZO974" s="252"/>
      <c r="LZP974" s="252"/>
      <c r="LZQ974" s="252"/>
      <c r="LZR974" s="252"/>
      <c r="LZS974" s="252"/>
      <c r="LZT974" s="252"/>
      <c r="LZU974" s="252"/>
      <c r="LZV974" s="252"/>
      <c r="LZW974" s="252"/>
      <c r="LZX974" s="252"/>
      <c r="LZY974" s="252"/>
      <c r="LZZ974" s="252"/>
      <c r="MAA974" s="252"/>
      <c r="MAB974" s="252"/>
      <c r="MAC974" s="252"/>
      <c r="MAD974" s="252"/>
      <c r="MAE974" s="252"/>
      <c r="MAF974" s="252"/>
      <c r="MAG974" s="252"/>
      <c r="MAH974" s="252"/>
      <c r="MAI974" s="252"/>
      <c r="MAJ974" s="252"/>
      <c r="MAK974" s="252"/>
      <c r="MAL974" s="252"/>
      <c r="MAM974" s="252"/>
      <c r="MAN974" s="252"/>
      <c r="MAO974" s="252"/>
      <c r="MAP974" s="252"/>
      <c r="MAQ974" s="252"/>
      <c r="MAR974" s="252"/>
      <c r="MAS974" s="252"/>
      <c r="MAT974" s="252"/>
      <c r="MAU974" s="252"/>
      <c r="MAV974" s="252"/>
      <c r="MAW974" s="252"/>
      <c r="MAX974" s="252"/>
      <c r="MAY974" s="252"/>
      <c r="MAZ974" s="252"/>
      <c r="MBA974" s="252"/>
      <c r="MBB974" s="252"/>
      <c r="MBC974" s="252"/>
      <c r="MBD974" s="252"/>
      <c r="MBE974" s="252"/>
      <c r="MBF974" s="252"/>
      <c r="MBG974" s="252"/>
      <c r="MBH974" s="252"/>
      <c r="MBI974" s="252"/>
      <c r="MBJ974" s="252"/>
      <c r="MBK974" s="252"/>
      <c r="MBL974" s="252"/>
      <c r="MBM974" s="252"/>
      <c r="MBN974" s="252"/>
      <c r="MBO974" s="252"/>
      <c r="MBP974" s="252"/>
      <c r="MBQ974" s="252"/>
      <c r="MBR974" s="252"/>
      <c r="MBS974" s="252"/>
      <c r="MBT974" s="252"/>
      <c r="MBU974" s="252"/>
      <c r="MBV974" s="252"/>
      <c r="MBW974" s="252"/>
      <c r="MBX974" s="252"/>
      <c r="MBY974" s="252"/>
      <c r="MBZ974" s="252"/>
      <c r="MCA974" s="252"/>
      <c r="MCB974" s="252"/>
      <c r="MCC974" s="252"/>
      <c r="MCD974" s="252"/>
      <c r="MCE974" s="252"/>
      <c r="MCF974" s="252"/>
      <c r="MCG974" s="252"/>
      <c r="MCH974" s="252"/>
      <c r="MCI974" s="252"/>
      <c r="MCJ974" s="252"/>
      <c r="MCK974" s="252"/>
      <c r="MCL974" s="252"/>
      <c r="MCM974" s="252"/>
      <c r="MCN974" s="252"/>
      <c r="MCO974" s="252"/>
      <c r="MCP974" s="252"/>
      <c r="MCQ974" s="252"/>
      <c r="MCR974" s="252"/>
      <c r="MCS974" s="252"/>
      <c r="MCT974" s="252"/>
      <c r="MCU974" s="252"/>
      <c r="MCV974" s="252"/>
      <c r="MCW974" s="252"/>
      <c r="MCX974" s="252"/>
      <c r="MCY974" s="252"/>
      <c r="MCZ974" s="252"/>
      <c r="MDA974" s="252"/>
      <c r="MDB974" s="252"/>
      <c r="MDC974" s="252"/>
      <c r="MDD974" s="252"/>
      <c r="MDE974" s="252"/>
      <c r="MDF974" s="252"/>
      <c r="MDG974" s="252"/>
      <c r="MDH974" s="252"/>
      <c r="MDI974" s="252"/>
      <c r="MDJ974" s="252"/>
      <c r="MDK974" s="252"/>
      <c r="MDL974" s="252"/>
      <c r="MDM974" s="252"/>
      <c r="MDN974" s="252"/>
      <c r="MDO974" s="252"/>
      <c r="MDP974" s="252"/>
      <c r="MDQ974" s="252"/>
      <c r="MDR974" s="252"/>
      <c r="MDS974" s="252"/>
      <c r="MDT974" s="252"/>
      <c r="MDU974" s="252"/>
      <c r="MDV974" s="252"/>
      <c r="MDW974" s="252"/>
      <c r="MDX974" s="252"/>
      <c r="MDY974" s="252"/>
      <c r="MDZ974" s="252"/>
      <c r="MEA974" s="252"/>
      <c r="MEB974" s="252"/>
      <c r="MEC974" s="252"/>
      <c r="MED974" s="252"/>
      <c r="MEE974" s="252"/>
      <c r="MEF974" s="252"/>
      <c r="MEG974" s="252"/>
      <c r="MEH974" s="252"/>
      <c r="MEI974" s="252"/>
      <c r="MEJ974" s="252"/>
      <c r="MEK974" s="252"/>
      <c r="MEL974" s="252"/>
      <c r="MEM974" s="252"/>
      <c r="MEN974" s="252"/>
      <c r="MEO974" s="252"/>
      <c r="MEP974" s="252"/>
      <c r="MEQ974" s="252"/>
      <c r="MER974" s="252"/>
      <c r="MES974" s="252"/>
      <c r="MET974" s="252"/>
      <c r="MEU974" s="252"/>
      <c r="MEV974" s="252"/>
      <c r="MEW974" s="252"/>
      <c r="MEX974" s="252"/>
      <c r="MEY974" s="252"/>
      <c r="MEZ974" s="252"/>
      <c r="MFA974" s="252"/>
      <c r="MFB974" s="252"/>
      <c r="MFC974" s="252"/>
      <c r="MFD974" s="252"/>
      <c r="MFE974" s="252"/>
      <c r="MFF974" s="252"/>
      <c r="MFG974" s="252"/>
      <c r="MFH974" s="252"/>
      <c r="MFI974" s="252"/>
      <c r="MFJ974" s="252"/>
      <c r="MFK974" s="252"/>
      <c r="MFL974" s="252"/>
      <c r="MFM974" s="252"/>
      <c r="MFN974" s="252"/>
      <c r="MFO974" s="252"/>
      <c r="MFP974" s="252"/>
      <c r="MFQ974" s="252"/>
      <c r="MFR974" s="252"/>
      <c r="MFS974" s="252"/>
      <c r="MFT974" s="252"/>
      <c r="MFU974" s="252"/>
      <c r="MFV974" s="252"/>
      <c r="MFW974" s="252"/>
      <c r="MFX974" s="252"/>
      <c r="MFY974" s="252"/>
      <c r="MFZ974" s="252"/>
      <c r="MGA974" s="252"/>
      <c r="MGB974" s="252"/>
      <c r="MGC974" s="252"/>
      <c r="MGD974" s="252"/>
      <c r="MGE974" s="252"/>
      <c r="MGF974" s="252"/>
      <c r="MGG974" s="252"/>
      <c r="MGH974" s="252"/>
      <c r="MGI974" s="252"/>
      <c r="MGJ974" s="252"/>
      <c r="MGK974" s="252"/>
      <c r="MGL974" s="252"/>
      <c r="MGM974" s="252"/>
      <c r="MGN974" s="252"/>
      <c r="MGO974" s="252"/>
      <c r="MGP974" s="252"/>
      <c r="MGQ974" s="252"/>
      <c r="MGR974" s="252"/>
      <c r="MGS974" s="252"/>
      <c r="MGT974" s="252"/>
      <c r="MGU974" s="252"/>
      <c r="MGV974" s="252"/>
      <c r="MGW974" s="252"/>
      <c r="MGX974" s="252"/>
      <c r="MGY974" s="252"/>
      <c r="MGZ974" s="252"/>
      <c r="MHA974" s="252"/>
      <c r="MHB974" s="252"/>
      <c r="MHC974" s="252"/>
      <c r="MHD974" s="252"/>
      <c r="MHE974" s="252"/>
      <c r="MHF974" s="252"/>
      <c r="MHG974" s="252"/>
      <c r="MHH974" s="252"/>
      <c r="MHI974" s="252"/>
      <c r="MHJ974" s="252"/>
      <c r="MHK974" s="252"/>
      <c r="MHL974" s="252"/>
      <c r="MHM974" s="252"/>
      <c r="MHN974" s="252"/>
      <c r="MHO974" s="252"/>
      <c r="MHP974" s="252"/>
      <c r="MHQ974" s="252"/>
      <c r="MHR974" s="252"/>
      <c r="MHS974" s="252"/>
      <c r="MHT974" s="252"/>
      <c r="MHU974" s="252"/>
      <c r="MHV974" s="252"/>
      <c r="MHW974" s="252"/>
      <c r="MHX974" s="252"/>
      <c r="MHY974" s="252"/>
      <c r="MHZ974" s="252"/>
      <c r="MIA974" s="252"/>
      <c r="MIB974" s="252"/>
      <c r="MIC974" s="252"/>
      <c r="MID974" s="252"/>
      <c r="MIE974" s="252"/>
      <c r="MIF974" s="252"/>
      <c r="MIG974" s="252"/>
      <c r="MIH974" s="252"/>
      <c r="MII974" s="252"/>
      <c r="MIJ974" s="252"/>
      <c r="MIK974" s="252"/>
      <c r="MIL974" s="252"/>
      <c r="MIM974" s="252"/>
      <c r="MIN974" s="252"/>
      <c r="MIO974" s="252"/>
      <c r="MIP974" s="252"/>
      <c r="MIQ974" s="252"/>
      <c r="MIR974" s="252"/>
      <c r="MIS974" s="252"/>
      <c r="MIT974" s="252"/>
      <c r="MIU974" s="252"/>
      <c r="MIV974" s="252"/>
      <c r="MIW974" s="252"/>
      <c r="MIX974" s="252"/>
      <c r="MIY974" s="252"/>
      <c r="MIZ974" s="252"/>
      <c r="MJA974" s="252"/>
      <c r="MJB974" s="252"/>
      <c r="MJC974" s="252"/>
      <c r="MJD974" s="252"/>
      <c r="MJE974" s="252"/>
      <c r="MJF974" s="252"/>
      <c r="MJG974" s="252"/>
      <c r="MJH974" s="252"/>
      <c r="MJI974" s="252"/>
      <c r="MJJ974" s="252"/>
      <c r="MJK974" s="252"/>
      <c r="MJL974" s="252"/>
      <c r="MJM974" s="252"/>
      <c r="MJN974" s="252"/>
      <c r="MJO974" s="252"/>
      <c r="MJP974" s="252"/>
      <c r="MJQ974" s="252"/>
      <c r="MJR974" s="252"/>
      <c r="MJS974" s="252"/>
      <c r="MJT974" s="252"/>
      <c r="MJU974" s="252"/>
      <c r="MJV974" s="252"/>
      <c r="MJW974" s="252"/>
      <c r="MJX974" s="252"/>
      <c r="MJY974" s="252"/>
      <c r="MJZ974" s="252"/>
      <c r="MKA974" s="252"/>
      <c r="MKB974" s="252"/>
      <c r="MKC974" s="252"/>
      <c r="MKD974" s="252"/>
      <c r="MKE974" s="252"/>
      <c r="MKF974" s="252"/>
      <c r="MKG974" s="252"/>
      <c r="MKH974" s="252"/>
      <c r="MKI974" s="252"/>
      <c r="MKJ974" s="252"/>
      <c r="MKK974" s="252"/>
      <c r="MKL974" s="252"/>
      <c r="MKM974" s="252"/>
      <c r="MKN974" s="252"/>
      <c r="MKO974" s="252"/>
      <c r="MKP974" s="252"/>
      <c r="MKQ974" s="252"/>
      <c r="MKR974" s="252"/>
      <c r="MKS974" s="252"/>
      <c r="MKT974" s="252"/>
      <c r="MKU974" s="252"/>
      <c r="MKV974" s="252"/>
      <c r="MKW974" s="252"/>
      <c r="MKX974" s="252"/>
      <c r="MKY974" s="252"/>
      <c r="MKZ974" s="252"/>
      <c r="MLA974" s="252"/>
      <c r="MLB974" s="252"/>
      <c r="MLC974" s="252"/>
      <c r="MLD974" s="252"/>
      <c r="MLE974" s="252"/>
      <c r="MLF974" s="252"/>
      <c r="MLG974" s="252"/>
      <c r="MLH974" s="252"/>
      <c r="MLI974" s="252"/>
      <c r="MLJ974" s="252"/>
      <c r="MLK974" s="252"/>
      <c r="MLL974" s="252"/>
      <c r="MLM974" s="252"/>
      <c r="MLN974" s="252"/>
      <c r="MLO974" s="252"/>
      <c r="MLP974" s="252"/>
      <c r="MLQ974" s="252"/>
      <c r="MLR974" s="252"/>
      <c r="MLS974" s="252"/>
      <c r="MLT974" s="252"/>
      <c r="MLU974" s="252"/>
      <c r="MLV974" s="252"/>
      <c r="MLW974" s="252"/>
      <c r="MLX974" s="252"/>
      <c r="MLY974" s="252"/>
      <c r="MLZ974" s="252"/>
      <c r="MMA974" s="252"/>
      <c r="MMB974" s="252"/>
      <c r="MMC974" s="252"/>
      <c r="MMD974" s="252"/>
      <c r="MME974" s="252"/>
      <c r="MMF974" s="252"/>
      <c r="MMG974" s="252"/>
      <c r="MMH974" s="252"/>
      <c r="MMI974" s="252"/>
      <c r="MMJ974" s="252"/>
      <c r="MMK974" s="252"/>
      <c r="MML974" s="252"/>
      <c r="MMM974" s="252"/>
      <c r="MMN974" s="252"/>
      <c r="MMO974" s="252"/>
      <c r="MMP974" s="252"/>
      <c r="MMQ974" s="252"/>
      <c r="MMR974" s="252"/>
      <c r="MMS974" s="252"/>
      <c r="MMT974" s="252"/>
      <c r="MMU974" s="252"/>
      <c r="MMV974" s="252"/>
      <c r="MMW974" s="252"/>
      <c r="MMX974" s="252"/>
      <c r="MMY974" s="252"/>
      <c r="MMZ974" s="252"/>
      <c r="MNA974" s="252"/>
      <c r="MNB974" s="252"/>
      <c r="MNC974" s="252"/>
      <c r="MND974" s="252"/>
      <c r="MNE974" s="252"/>
      <c r="MNF974" s="252"/>
      <c r="MNG974" s="252"/>
      <c r="MNH974" s="252"/>
      <c r="MNI974" s="252"/>
      <c r="MNJ974" s="252"/>
      <c r="MNK974" s="252"/>
      <c r="MNL974" s="252"/>
      <c r="MNM974" s="252"/>
      <c r="MNN974" s="252"/>
      <c r="MNO974" s="252"/>
      <c r="MNP974" s="252"/>
      <c r="MNQ974" s="252"/>
      <c r="MNR974" s="252"/>
      <c r="MNS974" s="252"/>
      <c r="MNT974" s="252"/>
      <c r="MNU974" s="252"/>
      <c r="MNV974" s="252"/>
      <c r="MNW974" s="252"/>
      <c r="MNX974" s="252"/>
      <c r="MNY974" s="252"/>
      <c r="MNZ974" s="252"/>
      <c r="MOA974" s="252"/>
      <c r="MOB974" s="252"/>
      <c r="MOC974" s="252"/>
      <c r="MOD974" s="252"/>
      <c r="MOE974" s="252"/>
      <c r="MOF974" s="252"/>
      <c r="MOG974" s="252"/>
      <c r="MOH974" s="252"/>
      <c r="MOI974" s="252"/>
      <c r="MOJ974" s="252"/>
      <c r="MOK974" s="252"/>
      <c r="MOL974" s="252"/>
      <c r="MOM974" s="252"/>
      <c r="MON974" s="252"/>
      <c r="MOO974" s="252"/>
      <c r="MOP974" s="252"/>
      <c r="MOQ974" s="252"/>
      <c r="MOR974" s="252"/>
      <c r="MOS974" s="252"/>
      <c r="MOT974" s="252"/>
      <c r="MOU974" s="252"/>
      <c r="MOV974" s="252"/>
      <c r="MOW974" s="252"/>
      <c r="MOX974" s="252"/>
      <c r="MOY974" s="252"/>
      <c r="MOZ974" s="252"/>
      <c r="MPA974" s="252"/>
      <c r="MPB974" s="252"/>
      <c r="MPC974" s="252"/>
      <c r="MPD974" s="252"/>
      <c r="MPE974" s="252"/>
      <c r="MPF974" s="252"/>
      <c r="MPG974" s="252"/>
      <c r="MPH974" s="252"/>
      <c r="MPI974" s="252"/>
      <c r="MPJ974" s="252"/>
      <c r="MPK974" s="252"/>
      <c r="MPL974" s="252"/>
      <c r="MPM974" s="252"/>
      <c r="MPN974" s="252"/>
      <c r="MPO974" s="252"/>
      <c r="MPP974" s="252"/>
      <c r="MPQ974" s="252"/>
      <c r="MPR974" s="252"/>
      <c r="MPS974" s="252"/>
      <c r="MPT974" s="252"/>
      <c r="MPU974" s="252"/>
      <c r="MPV974" s="252"/>
      <c r="MPW974" s="252"/>
      <c r="MPX974" s="252"/>
      <c r="MPY974" s="252"/>
      <c r="MPZ974" s="252"/>
      <c r="MQA974" s="252"/>
      <c r="MQB974" s="252"/>
      <c r="MQC974" s="252"/>
      <c r="MQD974" s="252"/>
      <c r="MQE974" s="252"/>
      <c r="MQF974" s="252"/>
      <c r="MQG974" s="252"/>
      <c r="MQH974" s="252"/>
      <c r="MQI974" s="252"/>
      <c r="MQJ974" s="252"/>
      <c r="MQK974" s="252"/>
      <c r="MQL974" s="252"/>
      <c r="MQM974" s="252"/>
      <c r="MQN974" s="252"/>
      <c r="MQO974" s="252"/>
      <c r="MQP974" s="252"/>
      <c r="MQQ974" s="252"/>
      <c r="MQR974" s="252"/>
      <c r="MQS974" s="252"/>
      <c r="MQT974" s="252"/>
      <c r="MQU974" s="252"/>
      <c r="MQV974" s="252"/>
      <c r="MQW974" s="252"/>
      <c r="MQX974" s="252"/>
      <c r="MQY974" s="252"/>
      <c r="MQZ974" s="252"/>
      <c r="MRA974" s="252"/>
      <c r="MRB974" s="252"/>
      <c r="MRC974" s="252"/>
      <c r="MRD974" s="252"/>
      <c r="MRE974" s="252"/>
      <c r="MRF974" s="252"/>
      <c r="MRG974" s="252"/>
      <c r="MRH974" s="252"/>
      <c r="MRI974" s="252"/>
      <c r="MRJ974" s="252"/>
      <c r="MRK974" s="252"/>
      <c r="MRL974" s="252"/>
      <c r="MRM974" s="252"/>
      <c r="MRN974" s="252"/>
      <c r="MRO974" s="252"/>
      <c r="MRP974" s="252"/>
      <c r="MRQ974" s="252"/>
      <c r="MRR974" s="252"/>
      <c r="MRS974" s="252"/>
      <c r="MRT974" s="252"/>
      <c r="MRU974" s="252"/>
      <c r="MRV974" s="252"/>
      <c r="MRW974" s="252"/>
      <c r="MRX974" s="252"/>
      <c r="MRY974" s="252"/>
      <c r="MRZ974" s="252"/>
      <c r="MSA974" s="252"/>
      <c r="MSB974" s="252"/>
      <c r="MSC974" s="252"/>
      <c r="MSD974" s="252"/>
      <c r="MSE974" s="252"/>
      <c r="MSF974" s="252"/>
      <c r="MSG974" s="252"/>
      <c r="MSH974" s="252"/>
      <c r="MSI974" s="252"/>
      <c r="MSJ974" s="252"/>
      <c r="MSK974" s="252"/>
      <c r="MSL974" s="252"/>
      <c r="MSM974" s="252"/>
      <c r="MSN974" s="252"/>
      <c r="MSO974" s="252"/>
      <c r="MSP974" s="252"/>
      <c r="MSQ974" s="252"/>
      <c r="MSR974" s="252"/>
      <c r="MSS974" s="252"/>
      <c r="MST974" s="252"/>
      <c r="MSU974" s="252"/>
      <c r="MSV974" s="252"/>
      <c r="MSW974" s="252"/>
      <c r="MSX974" s="252"/>
      <c r="MSY974" s="252"/>
      <c r="MSZ974" s="252"/>
      <c r="MTA974" s="252"/>
      <c r="MTB974" s="252"/>
      <c r="MTC974" s="252"/>
      <c r="MTD974" s="252"/>
      <c r="MTE974" s="252"/>
      <c r="MTF974" s="252"/>
      <c r="MTG974" s="252"/>
      <c r="MTH974" s="252"/>
      <c r="MTI974" s="252"/>
      <c r="MTJ974" s="252"/>
      <c r="MTK974" s="252"/>
      <c r="MTL974" s="252"/>
      <c r="MTM974" s="252"/>
      <c r="MTN974" s="252"/>
      <c r="MTO974" s="252"/>
      <c r="MTP974" s="252"/>
      <c r="MTQ974" s="252"/>
      <c r="MTR974" s="252"/>
      <c r="MTS974" s="252"/>
      <c r="MTT974" s="252"/>
      <c r="MTU974" s="252"/>
      <c r="MTV974" s="252"/>
      <c r="MTW974" s="252"/>
      <c r="MTX974" s="252"/>
      <c r="MTY974" s="252"/>
      <c r="MTZ974" s="252"/>
      <c r="MUA974" s="252"/>
      <c r="MUB974" s="252"/>
      <c r="MUC974" s="252"/>
      <c r="MUD974" s="252"/>
      <c r="MUE974" s="252"/>
      <c r="MUF974" s="252"/>
      <c r="MUG974" s="252"/>
      <c r="MUH974" s="252"/>
      <c r="MUI974" s="252"/>
      <c r="MUJ974" s="252"/>
      <c r="MUK974" s="252"/>
      <c r="MUL974" s="252"/>
      <c r="MUM974" s="252"/>
      <c r="MUN974" s="252"/>
      <c r="MUO974" s="252"/>
      <c r="MUP974" s="252"/>
      <c r="MUQ974" s="252"/>
      <c r="MUR974" s="252"/>
      <c r="MUS974" s="252"/>
      <c r="MUT974" s="252"/>
      <c r="MUU974" s="252"/>
      <c r="MUV974" s="252"/>
      <c r="MUW974" s="252"/>
      <c r="MUX974" s="252"/>
      <c r="MUY974" s="252"/>
      <c r="MUZ974" s="252"/>
      <c r="MVA974" s="252"/>
      <c r="MVB974" s="252"/>
      <c r="MVC974" s="252"/>
      <c r="MVD974" s="252"/>
      <c r="MVE974" s="252"/>
      <c r="MVF974" s="252"/>
      <c r="MVG974" s="252"/>
      <c r="MVH974" s="252"/>
      <c r="MVI974" s="252"/>
      <c r="MVJ974" s="252"/>
      <c r="MVK974" s="252"/>
      <c r="MVL974" s="252"/>
      <c r="MVM974" s="252"/>
      <c r="MVN974" s="252"/>
      <c r="MVO974" s="252"/>
      <c r="MVP974" s="252"/>
      <c r="MVQ974" s="252"/>
      <c r="MVR974" s="252"/>
      <c r="MVS974" s="252"/>
      <c r="MVT974" s="252"/>
      <c r="MVU974" s="252"/>
      <c r="MVV974" s="252"/>
      <c r="MVW974" s="252"/>
      <c r="MVX974" s="252"/>
      <c r="MVY974" s="252"/>
      <c r="MVZ974" s="252"/>
      <c r="MWA974" s="252"/>
      <c r="MWB974" s="252"/>
      <c r="MWC974" s="252"/>
      <c r="MWD974" s="252"/>
      <c r="MWE974" s="252"/>
      <c r="MWF974" s="252"/>
      <c r="MWG974" s="252"/>
      <c r="MWH974" s="252"/>
      <c r="MWI974" s="252"/>
      <c r="MWJ974" s="252"/>
      <c r="MWK974" s="252"/>
      <c r="MWL974" s="252"/>
      <c r="MWM974" s="252"/>
      <c r="MWN974" s="252"/>
      <c r="MWO974" s="252"/>
      <c r="MWP974" s="252"/>
      <c r="MWQ974" s="252"/>
      <c r="MWR974" s="252"/>
      <c r="MWS974" s="252"/>
      <c r="MWT974" s="252"/>
      <c r="MWU974" s="252"/>
      <c r="MWV974" s="252"/>
      <c r="MWW974" s="252"/>
      <c r="MWX974" s="252"/>
      <c r="MWY974" s="252"/>
      <c r="MWZ974" s="252"/>
      <c r="MXA974" s="252"/>
      <c r="MXB974" s="252"/>
      <c r="MXC974" s="252"/>
      <c r="MXD974" s="252"/>
      <c r="MXE974" s="252"/>
      <c r="MXF974" s="252"/>
      <c r="MXG974" s="252"/>
      <c r="MXH974" s="252"/>
      <c r="MXI974" s="252"/>
      <c r="MXJ974" s="252"/>
      <c r="MXK974" s="252"/>
      <c r="MXL974" s="252"/>
      <c r="MXM974" s="252"/>
      <c r="MXN974" s="252"/>
      <c r="MXO974" s="252"/>
      <c r="MXP974" s="252"/>
      <c r="MXQ974" s="252"/>
      <c r="MXR974" s="252"/>
      <c r="MXS974" s="252"/>
      <c r="MXT974" s="252"/>
      <c r="MXU974" s="252"/>
      <c r="MXV974" s="252"/>
      <c r="MXW974" s="252"/>
      <c r="MXX974" s="252"/>
      <c r="MXY974" s="252"/>
      <c r="MXZ974" s="252"/>
      <c r="MYA974" s="252"/>
      <c r="MYB974" s="252"/>
      <c r="MYC974" s="252"/>
      <c r="MYD974" s="252"/>
      <c r="MYE974" s="252"/>
      <c r="MYF974" s="252"/>
      <c r="MYG974" s="252"/>
      <c r="MYH974" s="252"/>
      <c r="MYI974" s="252"/>
      <c r="MYJ974" s="252"/>
      <c r="MYK974" s="252"/>
      <c r="MYL974" s="252"/>
      <c r="MYM974" s="252"/>
      <c r="MYN974" s="252"/>
      <c r="MYO974" s="252"/>
      <c r="MYP974" s="252"/>
      <c r="MYQ974" s="252"/>
      <c r="MYR974" s="252"/>
      <c r="MYS974" s="252"/>
      <c r="MYT974" s="252"/>
      <c r="MYU974" s="252"/>
      <c r="MYV974" s="252"/>
      <c r="MYW974" s="252"/>
      <c r="MYX974" s="252"/>
      <c r="MYY974" s="252"/>
      <c r="MYZ974" s="252"/>
      <c r="MZA974" s="252"/>
      <c r="MZB974" s="252"/>
      <c r="MZC974" s="252"/>
      <c r="MZD974" s="252"/>
      <c r="MZE974" s="252"/>
      <c r="MZF974" s="252"/>
      <c r="MZG974" s="252"/>
      <c r="MZH974" s="252"/>
      <c r="MZI974" s="252"/>
      <c r="MZJ974" s="252"/>
      <c r="MZK974" s="252"/>
      <c r="MZL974" s="252"/>
      <c r="MZM974" s="252"/>
      <c r="MZN974" s="252"/>
      <c r="MZO974" s="252"/>
      <c r="MZP974" s="252"/>
      <c r="MZQ974" s="252"/>
      <c r="MZR974" s="252"/>
      <c r="MZS974" s="252"/>
      <c r="MZT974" s="252"/>
      <c r="MZU974" s="252"/>
      <c r="MZV974" s="252"/>
      <c r="MZW974" s="252"/>
      <c r="MZX974" s="252"/>
      <c r="MZY974" s="252"/>
      <c r="MZZ974" s="252"/>
      <c r="NAA974" s="252"/>
      <c r="NAB974" s="252"/>
      <c r="NAC974" s="252"/>
      <c r="NAD974" s="252"/>
      <c r="NAE974" s="252"/>
      <c r="NAF974" s="252"/>
      <c r="NAG974" s="252"/>
      <c r="NAH974" s="252"/>
      <c r="NAI974" s="252"/>
      <c r="NAJ974" s="252"/>
      <c r="NAK974" s="252"/>
      <c r="NAL974" s="252"/>
      <c r="NAM974" s="252"/>
      <c r="NAN974" s="252"/>
      <c r="NAO974" s="252"/>
      <c r="NAP974" s="252"/>
      <c r="NAQ974" s="252"/>
      <c r="NAR974" s="252"/>
      <c r="NAS974" s="252"/>
      <c r="NAT974" s="252"/>
      <c r="NAU974" s="252"/>
      <c r="NAV974" s="252"/>
      <c r="NAW974" s="252"/>
      <c r="NAX974" s="252"/>
      <c r="NAY974" s="252"/>
      <c r="NAZ974" s="252"/>
      <c r="NBA974" s="252"/>
      <c r="NBB974" s="252"/>
      <c r="NBC974" s="252"/>
      <c r="NBD974" s="252"/>
      <c r="NBE974" s="252"/>
      <c r="NBF974" s="252"/>
      <c r="NBG974" s="252"/>
      <c r="NBH974" s="252"/>
      <c r="NBI974" s="252"/>
      <c r="NBJ974" s="252"/>
      <c r="NBK974" s="252"/>
      <c r="NBL974" s="252"/>
      <c r="NBM974" s="252"/>
      <c r="NBN974" s="252"/>
      <c r="NBO974" s="252"/>
      <c r="NBP974" s="252"/>
      <c r="NBQ974" s="252"/>
      <c r="NBR974" s="252"/>
      <c r="NBS974" s="252"/>
      <c r="NBT974" s="252"/>
      <c r="NBU974" s="252"/>
      <c r="NBV974" s="252"/>
      <c r="NBW974" s="252"/>
      <c r="NBX974" s="252"/>
      <c r="NBY974" s="252"/>
      <c r="NBZ974" s="252"/>
      <c r="NCA974" s="252"/>
      <c r="NCB974" s="252"/>
      <c r="NCC974" s="252"/>
      <c r="NCD974" s="252"/>
      <c r="NCE974" s="252"/>
      <c r="NCF974" s="252"/>
      <c r="NCG974" s="252"/>
      <c r="NCH974" s="252"/>
      <c r="NCI974" s="252"/>
      <c r="NCJ974" s="252"/>
      <c r="NCK974" s="252"/>
      <c r="NCL974" s="252"/>
      <c r="NCM974" s="252"/>
      <c r="NCN974" s="252"/>
      <c r="NCO974" s="252"/>
      <c r="NCP974" s="252"/>
      <c r="NCQ974" s="252"/>
      <c r="NCR974" s="252"/>
      <c r="NCS974" s="252"/>
      <c r="NCT974" s="252"/>
      <c r="NCU974" s="252"/>
      <c r="NCV974" s="252"/>
      <c r="NCW974" s="252"/>
      <c r="NCX974" s="252"/>
      <c r="NCY974" s="252"/>
      <c r="NCZ974" s="252"/>
      <c r="NDA974" s="252"/>
      <c r="NDB974" s="252"/>
      <c r="NDC974" s="252"/>
      <c r="NDD974" s="252"/>
      <c r="NDE974" s="252"/>
      <c r="NDF974" s="252"/>
      <c r="NDG974" s="252"/>
      <c r="NDH974" s="252"/>
      <c r="NDI974" s="252"/>
      <c r="NDJ974" s="252"/>
      <c r="NDK974" s="252"/>
      <c r="NDL974" s="252"/>
      <c r="NDM974" s="252"/>
      <c r="NDN974" s="252"/>
      <c r="NDO974" s="252"/>
      <c r="NDP974" s="252"/>
      <c r="NDQ974" s="252"/>
      <c r="NDR974" s="252"/>
      <c r="NDS974" s="252"/>
      <c r="NDT974" s="252"/>
      <c r="NDU974" s="252"/>
      <c r="NDV974" s="252"/>
      <c r="NDW974" s="252"/>
      <c r="NDX974" s="252"/>
      <c r="NDY974" s="252"/>
      <c r="NDZ974" s="252"/>
      <c r="NEA974" s="252"/>
      <c r="NEB974" s="252"/>
      <c r="NEC974" s="252"/>
      <c r="NED974" s="252"/>
      <c r="NEE974" s="252"/>
      <c r="NEF974" s="252"/>
      <c r="NEG974" s="252"/>
      <c r="NEH974" s="252"/>
      <c r="NEI974" s="252"/>
      <c r="NEJ974" s="252"/>
      <c r="NEK974" s="252"/>
      <c r="NEL974" s="252"/>
      <c r="NEM974" s="252"/>
      <c r="NEN974" s="252"/>
      <c r="NEO974" s="252"/>
      <c r="NEP974" s="252"/>
      <c r="NEQ974" s="252"/>
      <c r="NER974" s="252"/>
      <c r="NES974" s="252"/>
      <c r="NET974" s="252"/>
      <c r="NEU974" s="252"/>
      <c r="NEV974" s="252"/>
      <c r="NEW974" s="252"/>
      <c r="NEX974" s="252"/>
      <c r="NEY974" s="252"/>
      <c r="NEZ974" s="252"/>
      <c r="NFA974" s="252"/>
      <c r="NFB974" s="252"/>
      <c r="NFC974" s="252"/>
      <c r="NFD974" s="252"/>
      <c r="NFE974" s="252"/>
      <c r="NFF974" s="252"/>
      <c r="NFG974" s="252"/>
      <c r="NFH974" s="252"/>
      <c r="NFI974" s="252"/>
      <c r="NFJ974" s="252"/>
      <c r="NFK974" s="252"/>
      <c r="NFL974" s="252"/>
      <c r="NFM974" s="252"/>
      <c r="NFN974" s="252"/>
      <c r="NFO974" s="252"/>
      <c r="NFP974" s="252"/>
      <c r="NFQ974" s="252"/>
      <c r="NFR974" s="252"/>
      <c r="NFS974" s="252"/>
      <c r="NFT974" s="252"/>
      <c r="NFU974" s="252"/>
      <c r="NFV974" s="252"/>
      <c r="NFW974" s="252"/>
      <c r="NFX974" s="252"/>
      <c r="NFY974" s="252"/>
      <c r="NFZ974" s="252"/>
      <c r="NGA974" s="252"/>
      <c r="NGB974" s="252"/>
      <c r="NGC974" s="252"/>
      <c r="NGD974" s="252"/>
      <c r="NGE974" s="252"/>
      <c r="NGF974" s="252"/>
      <c r="NGG974" s="252"/>
      <c r="NGH974" s="252"/>
      <c r="NGI974" s="252"/>
      <c r="NGJ974" s="252"/>
      <c r="NGK974" s="252"/>
      <c r="NGL974" s="252"/>
      <c r="NGM974" s="252"/>
      <c r="NGN974" s="252"/>
      <c r="NGO974" s="252"/>
      <c r="NGP974" s="252"/>
      <c r="NGQ974" s="252"/>
      <c r="NGR974" s="252"/>
      <c r="NGS974" s="252"/>
      <c r="NGT974" s="252"/>
      <c r="NGU974" s="252"/>
      <c r="NGV974" s="252"/>
      <c r="NGW974" s="252"/>
      <c r="NGX974" s="252"/>
      <c r="NGY974" s="252"/>
      <c r="NGZ974" s="252"/>
      <c r="NHA974" s="252"/>
      <c r="NHB974" s="252"/>
      <c r="NHC974" s="252"/>
      <c r="NHD974" s="252"/>
      <c r="NHE974" s="252"/>
      <c r="NHF974" s="252"/>
      <c r="NHG974" s="252"/>
      <c r="NHH974" s="252"/>
      <c r="NHI974" s="252"/>
      <c r="NHJ974" s="252"/>
      <c r="NHK974" s="252"/>
      <c r="NHL974" s="252"/>
      <c r="NHM974" s="252"/>
      <c r="NHN974" s="252"/>
      <c r="NHO974" s="252"/>
      <c r="NHP974" s="252"/>
      <c r="NHQ974" s="252"/>
      <c r="NHR974" s="252"/>
      <c r="NHS974" s="252"/>
      <c r="NHT974" s="252"/>
      <c r="NHU974" s="252"/>
      <c r="NHV974" s="252"/>
      <c r="NHW974" s="252"/>
      <c r="NHX974" s="252"/>
      <c r="NHY974" s="252"/>
      <c r="NHZ974" s="252"/>
      <c r="NIA974" s="252"/>
      <c r="NIB974" s="252"/>
      <c r="NIC974" s="252"/>
      <c r="NID974" s="252"/>
      <c r="NIE974" s="252"/>
      <c r="NIF974" s="252"/>
      <c r="NIG974" s="252"/>
      <c r="NIH974" s="252"/>
      <c r="NII974" s="252"/>
      <c r="NIJ974" s="252"/>
      <c r="NIK974" s="252"/>
      <c r="NIL974" s="252"/>
      <c r="NIM974" s="252"/>
      <c r="NIN974" s="252"/>
      <c r="NIO974" s="252"/>
      <c r="NIP974" s="252"/>
      <c r="NIQ974" s="252"/>
      <c r="NIR974" s="252"/>
      <c r="NIS974" s="252"/>
      <c r="NIT974" s="252"/>
      <c r="NIU974" s="252"/>
      <c r="NIV974" s="252"/>
      <c r="NIW974" s="252"/>
      <c r="NIX974" s="252"/>
      <c r="NIY974" s="252"/>
      <c r="NIZ974" s="252"/>
      <c r="NJA974" s="252"/>
      <c r="NJB974" s="252"/>
      <c r="NJC974" s="252"/>
      <c r="NJD974" s="252"/>
      <c r="NJE974" s="252"/>
      <c r="NJF974" s="252"/>
      <c r="NJG974" s="252"/>
      <c r="NJH974" s="252"/>
      <c r="NJI974" s="252"/>
      <c r="NJJ974" s="252"/>
      <c r="NJK974" s="252"/>
      <c r="NJL974" s="252"/>
      <c r="NJM974" s="252"/>
      <c r="NJN974" s="252"/>
      <c r="NJO974" s="252"/>
      <c r="NJP974" s="252"/>
      <c r="NJQ974" s="252"/>
      <c r="NJR974" s="252"/>
      <c r="NJS974" s="252"/>
      <c r="NJT974" s="252"/>
      <c r="NJU974" s="252"/>
      <c r="NJV974" s="252"/>
      <c r="NJW974" s="252"/>
      <c r="NJX974" s="252"/>
      <c r="NJY974" s="252"/>
      <c r="NJZ974" s="252"/>
      <c r="NKA974" s="252"/>
      <c r="NKB974" s="252"/>
      <c r="NKC974" s="252"/>
      <c r="NKD974" s="252"/>
      <c r="NKE974" s="252"/>
      <c r="NKF974" s="252"/>
      <c r="NKG974" s="252"/>
      <c r="NKH974" s="252"/>
      <c r="NKI974" s="252"/>
      <c r="NKJ974" s="252"/>
      <c r="NKK974" s="252"/>
      <c r="NKL974" s="252"/>
      <c r="NKM974" s="252"/>
      <c r="NKN974" s="252"/>
      <c r="NKO974" s="252"/>
      <c r="NKP974" s="252"/>
      <c r="NKQ974" s="252"/>
      <c r="NKR974" s="252"/>
      <c r="NKS974" s="252"/>
      <c r="NKT974" s="252"/>
      <c r="NKU974" s="252"/>
      <c r="NKV974" s="252"/>
      <c r="NKW974" s="252"/>
      <c r="NKX974" s="252"/>
      <c r="NKY974" s="252"/>
      <c r="NKZ974" s="252"/>
      <c r="NLA974" s="252"/>
      <c r="NLB974" s="252"/>
      <c r="NLC974" s="252"/>
      <c r="NLD974" s="252"/>
      <c r="NLE974" s="252"/>
      <c r="NLF974" s="252"/>
      <c r="NLG974" s="252"/>
      <c r="NLH974" s="252"/>
      <c r="NLI974" s="252"/>
      <c r="NLJ974" s="252"/>
      <c r="NLK974" s="252"/>
      <c r="NLL974" s="252"/>
      <c r="NLM974" s="252"/>
      <c r="NLN974" s="252"/>
      <c r="NLO974" s="252"/>
      <c r="NLP974" s="252"/>
      <c r="NLQ974" s="252"/>
      <c r="NLR974" s="252"/>
      <c r="NLS974" s="252"/>
      <c r="NLT974" s="252"/>
      <c r="NLU974" s="252"/>
      <c r="NLV974" s="252"/>
      <c r="NLW974" s="252"/>
      <c r="NLX974" s="252"/>
      <c r="NLY974" s="252"/>
      <c r="NLZ974" s="252"/>
      <c r="NMA974" s="252"/>
      <c r="NMB974" s="252"/>
      <c r="NMC974" s="252"/>
      <c r="NMD974" s="252"/>
      <c r="NME974" s="252"/>
      <c r="NMF974" s="252"/>
      <c r="NMG974" s="252"/>
      <c r="NMH974" s="252"/>
      <c r="NMI974" s="252"/>
      <c r="NMJ974" s="252"/>
      <c r="NMK974" s="252"/>
      <c r="NML974" s="252"/>
      <c r="NMM974" s="252"/>
      <c r="NMN974" s="252"/>
      <c r="NMO974" s="252"/>
      <c r="NMP974" s="252"/>
      <c r="NMQ974" s="252"/>
      <c r="NMR974" s="252"/>
      <c r="NMS974" s="252"/>
      <c r="NMT974" s="252"/>
      <c r="NMU974" s="252"/>
      <c r="NMV974" s="252"/>
      <c r="NMW974" s="252"/>
      <c r="NMX974" s="252"/>
      <c r="NMY974" s="252"/>
      <c r="NMZ974" s="252"/>
      <c r="NNA974" s="252"/>
      <c r="NNB974" s="252"/>
      <c r="NNC974" s="252"/>
      <c r="NND974" s="252"/>
      <c r="NNE974" s="252"/>
      <c r="NNF974" s="252"/>
      <c r="NNG974" s="252"/>
      <c r="NNH974" s="252"/>
      <c r="NNI974" s="252"/>
      <c r="NNJ974" s="252"/>
      <c r="NNK974" s="252"/>
      <c r="NNL974" s="252"/>
      <c r="NNM974" s="252"/>
      <c r="NNN974" s="252"/>
      <c r="NNO974" s="252"/>
      <c r="NNP974" s="252"/>
      <c r="NNQ974" s="252"/>
      <c r="NNR974" s="252"/>
      <c r="NNS974" s="252"/>
      <c r="NNT974" s="252"/>
      <c r="NNU974" s="252"/>
      <c r="NNV974" s="252"/>
      <c r="NNW974" s="252"/>
      <c r="NNX974" s="252"/>
      <c r="NNY974" s="252"/>
      <c r="NNZ974" s="252"/>
      <c r="NOA974" s="252"/>
      <c r="NOB974" s="252"/>
      <c r="NOC974" s="252"/>
      <c r="NOD974" s="252"/>
      <c r="NOE974" s="252"/>
      <c r="NOF974" s="252"/>
      <c r="NOG974" s="252"/>
      <c r="NOH974" s="252"/>
      <c r="NOI974" s="252"/>
      <c r="NOJ974" s="252"/>
      <c r="NOK974" s="252"/>
      <c r="NOL974" s="252"/>
      <c r="NOM974" s="252"/>
      <c r="NON974" s="252"/>
      <c r="NOO974" s="252"/>
      <c r="NOP974" s="252"/>
      <c r="NOQ974" s="252"/>
      <c r="NOR974" s="252"/>
      <c r="NOS974" s="252"/>
      <c r="NOT974" s="252"/>
      <c r="NOU974" s="252"/>
      <c r="NOV974" s="252"/>
      <c r="NOW974" s="252"/>
      <c r="NOX974" s="252"/>
      <c r="NOY974" s="252"/>
      <c r="NOZ974" s="252"/>
      <c r="NPA974" s="252"/>
      <c r="NPB974" s="252"/>
      <c r="NPC974" s="252"/>
      <c r="NPD974" s="252"/>
      <c r="NPE974" s="252"/>
      <c r="NPF974" s="252"/>
      <c r="NPG974" s="252"/>
      <c r="NPH974" s="252"/>
      <c r="NPI974" s="252"/>
      <c r="NPJ974" s="252"/>
      <c r="NPK974" s="252"/>
      <c r="NPL974" s="252"/>
      <c r="NPM974" s="252"/>
      <c r="NPN974" s="252"/>
      <c r="NPO974" s="252"/>
      <c r="NPP974" s="252"/>
      <c r="NPQ974" s="252"/>
      <c r="NPR974" s="252"/>
      <c r="NPS974" s="252"/>
      <c r="NPT974" s="252"/>
      <c r="NPU974" s="252"/>
      <c r="NPV974" s="252"/>
      <c r="NPW974" s="252"/>
      <c r="NPX974" s="252"/>
      <c r="NPY974" s="252"/>
      <c r="NPZ974" s="252"/>
      <c r="NQA974" s="252"/>
      <c r="NQB974" s="252"/>
      <c r="NQC974" s="252"/>
      <c r="NQD974" s="252"/>
      <c r="NQE974" s="252"/>
      <c r="NQF974" s="252"/>
      <c r="NQG974" s="252"/>
      <c r="NQH974" s="252"/>
      <c r="NQI974" s="252"/>
      <c r="NQJ974" s="252"/>
      <c r="NQK974" s="252"/>
      <c r="NQL974" s="252"/>
      <c r="NQM974" s="252"/>
      <c r="NQN974" s="252"/>
      <c r="NQO974" s="252"/>
      <c r="NQP974" s="252"/>
      <c r="NQQ974" s="252"/>
      <c r="NQR974" s="252"/>
      <c r="NQS974" s="252"/>
      <c r="NQT974" s="252"/>
      <c r="NQU974" s="252"/>
      <c r="NQV974" s="252"/>
      <c r="NQW974" s="252"/>
      <c r="NQX974" s="252"/>
      <c r="NQY974" s="252"/>
      <c r="NQZ974" s="252"/>
      <c r="NRA974" s="252"/>
      <c r="NRB974" s="252"/>
      <c r="NRC974" s="252"/>
      <c r="NRD974" s="252"/>
      <c r="NRE974" s="252"/>
      <c r="NRF974" s="252"/>
      <c r="NRG974" s="252"/>
      <c r="NRH974" s="252"/>
      <c r="NRI974" s="252"/>
      <c r="NRJ974" s="252"/>
      <c r="NRK974" s="252"/>
      <c r="NRL974" s="252"/>
      <c r="NRM974" s="252"/>
      <c r="NRN974" s="252"/>
      <c r="NRO974" s="252"/>
      <c r="NRP974" s="252"/>
      <c r="NRQ974" s="252"/>
      <c r="NRR974" s="252"/>
      <c r="NRS974" s="252"/>
      <c r="NRT974" s="252"/>
      <c r="NRU974" s="252"/>
      <c r="NRV974" s="252"/>
      <c r="NRW974" s="252"/>
      <c r="NRX974" s="252"/>
      <c r="NRY974" s="252"/>
      <c r="NRZ974" s="252"/>
      <c r="NSA974" s="252"/>
      <c r="NSB974" s="252"/>
      <c r="NSC974" s="252"/>
      <c r="NSD974" s="252"/>
      <c r="NSE974" s="252"/>
      <c r="NSF974" s="252"/>
      <c r="NSG974" s="252"/>
      <c r="NSH974" s="252"/>
      <c r="NSI974" s="252"/>
      <c r="NSJ974" s="252"/>
      <c r="NSK974" s="252"/>
      <c r="NSL974" s="252"/>
      <c r="NSM974" s="252"/>
      <c r="NSN974" s="252"/>
      <c r="NSO974" s="252"/>
      <c r="NSP974" s="252"/>
      <c r="NSQ974" s="252"/>
      <c r="NSR974" s="252"/>
      <c r="NSS974" s="252"/>
      <c r="NST974" s="252"/>
      <c r="NSU974" s="252"/>
      <c r="NSV974" s="252"/>
      <c r="NSW974" s="252"/>
      <c r="NSX974" s="252"/>
      <c r="NSY974" s="252"/>
      <c r="NSZ974" s="252"/>
      <c r="NTA974" s="252"/>
      <c r="NTB974" s="252"/>
      <c r="NTC974" s="252"/>
      <c r="NTD974" s="252"/>
      <c r="NTE974" s="252"/>
      <c r="NTF974" s="252"/>
      <c r="NTG974" s="252"/>
      <c r="NTH974" s="252"/>
      <c r="NTI974" s="252"/>
      <c r="NTJ974" s="252"/>
      <c r="NTK974" s="252"/>
      <c r="NTL974" s="252"/>
      <c r="NTM974" s="252"/>
      <c r="NTN974" s="252"/>
      <c r="NTO974" s="252"/>
      <c r="NTP974" s="252"/>
      <c r="NTQ974" s="252"/>
      <c r="NTR974" s="252"/>
      <c r="NTS974" s="252"/>
      <c r="NTT974" s="252"/>
      <c r="NTU974" s="252"/>
      <c r="NTV974" s="252"/>
      <c r="NTW974" s="252"/>
      <c r="NTX974" s="252"/>
      <c r="NTY974" s="252"/>
      <c r="NTZ974" s="252"/>
      <c r="NUA974" s="252"/>
      <c r="NUB974" s="252"/>
      <c r="NUC974" s="252"/>
      <c r="NUD974" s="252"/>
      <c r="NUE974" s="252"/>
      <c r="NUF974" s="252"/>
      <c r="NUG974" s="252"/>
      <c r="NUH974" s="252"/>
      <c r="NUI974" s="252"/>
      <c r="NUJ974" s="252"/>
      <c r="NUK974" s="252"/>
      <c r="NUL974" s="252"/>
      <c r="NUM974" s="252"/>
      <c r="NUN974" s="252"/>
      <c r="NUO974" s="252"/>
      <c r="NUP974" s="252"/>
      <c r="NUQ974" s="252"/>
      <c r="NUR974" s="252"/>
      <c r="NUS974" s="252"/>
      <c r="NUT974" s="252"/>
      <c r="NUU974" s="252"/>
      <c r="NUV974" s="252"/>
      <c r="NUW974" s="252"/>
      <c r="NUX974" s="252"/>
      <c r="NUY974" s="252"/>
      <c r="NUZ974" s="252"/>
      <c r="NVA974" s="252"/>
      <c r="NVB974" s="252"/>
      <c r="NVC974" s="252"/>
      <c r="NVD974" s="252"/>
      <c r="NVE974" s="252"/>
      <c r="NVF974" s="252"/>
      <c r="NVG974" s="252"/>
      <c r="NVH974" s="252"/>
      <c r="NVI974" s="252"/>
      <c r="NVJ974" s="252"/>
      <c r="NVK974" s="252"/>
      <c r="NVL974" s="252"/>
      <c r="NVM974" s="252"/>
      <c r="NVN974" s="252"/>
      <c r="NVO974" s="252"/>
      <c r="NVP974" s="252"/>
      <c r="NVQ974" s="252"/>
      <c r="NVR974" s="252"/>
      <c r="NVS974" s="252"/>
      <c r="NVT974" s="252"/>
      <c r="NVU974" s="252"/>
      <c r="NVV974" s="252"/>
      <c r="NVW974" s="252"/>
      <c r="NVX974" s="252"/>
      <c r="NVY974" s="252"/>
      <c r="NVZ974" s="252"/>
      <c r="NWA974" s="252"/>
      <c r="NWB974" s="252"/>
      <c r="NWC974" s="252"/>
      <c r="NWD974" s="252"/>
      <c r="NWE974" s="252"/>
      <c r="NWF974" s="252"/>
      <c r="NWG974" s="252"/>
      <c r="NWH974" s="252"/>
      <c r="NWI974" s="252"/>
      <c r="NWJ974" s="252"/>
      <c r="NWK974" s="252"/>
      <c r="NWL974" s="252"/>
      <c r="NWM974" s="252"/>
      <c r="NWN974" s="252"/>
      <c r="NWO974" s="252"/>
      <c r="NWP974" s="252"/>
      <c r="NWQ974" s="252"/>
      <c r="NWR974" s="252"/>
      <c r="NWS974" s="252"/>
      <c r="NWT974" s="252"/>
      <c r="NWU974" s="252"/>
      <c r="NWV974" s="252"/>
      <c r="NWW974" s="252"/>
      <c r="NWX974" s="252"/>
      <c r="NWY974" s="252"/>
      <c r="NWZ974" s="252"/>
      <c r="NXA974" s="252"/>
      <c r="NXB974" s="252"/>
      <c r="NXC974" s="252"/>
      <c r="NXD974" s="252"/>
      <c r="NXE974" s="252"/>
      <c r="NXF974" s="252"/>
      <c r="NXG974" s="252"/>
      <c r="NXH974" s="252"/>
      <c r="NXI974" s="252"/>
      <c r="NXJ974" s="252"/>
      <c r="NXK974" s="252"/>
      <c r="NXL974" s="252"/>
      <c r="NXM974" s="252"/>
      <c r="NXN974" s="252"/>
      <c r="NXO974" s="252"/>
      <c r="NXP974" s="252"/>
      <c r="NXQ974" s="252"/>
      <c r="NXR974" s="252"/>
      <c r="NXS974" s="252"/>
      <c r="NXT974" s="252"/>
      <c r="NXU974" s="252"/>
      <c r="NXV974" s="252"/>
      <c r="NXW974" s="252"/>
      <c r="NXX974" s="252"/>
      <c r="NXY974" s="252"/>
      <c r="NXZ974" s="252"/>
      <c r="NYA974" s="252"/>
      <c r="NYB974" s="252"/>
      <c r="NYC974" s="252"/>
      <c r="NYD974" s="252"/>
      <c r="NYE974" s="252"/>
      <c r="NYF974" s="252"/>
      <c r="NYG974" s="252"/>
      <c r="NYH974" s="252"/>
      <c r="NYI974" s="252"/>
      <c r="NYJ974" s="252"/>
      <c r="NYK974" s="252"/>
      <c r="NYL974" s="252"/>
      <c r="NYM974" s="252"/>
      <c r="NYN974" s="252"/>
      <c r="NYO974" s="252"/>
      <c r="NYP974" s="252"/>
      <c r="NYQ974" s="252"/>
      <c r="NYR974" s="252"/>
      <c r="NYS974" s="252"/>
      <c r="NYT974" s="252"/>
      <c r="NYU974" s="252"/>
      <c r="NYV974" s="252"/>
      <c r="NYW974" s="252"/>
      <c r="NYX974" s="252"/>
      <c r="NYY974" s="252"/>
      <c r="NYZ974" s="252"/>
      <c r="NZA974" s="252"/>
      <c r="NZB974" s="252"/>
      <c r="NZC974" s="252"/>
      <c r="NZD974" s="252"/>
      <c r="NZE974" s="252"/>
      <c r="NZF974" s="252"/>
      <c r="NZG974" s="252"/>
      <c r="NZH974" s="252"/>
      <c r="NZI974" s="252"/>
      <c r="NZJ974" s="252"/>
      <c r="NZK974" s="252"/>
      <c r="NZL974" s="252"/>
      <c r="NZM974" s="252"/>
      <c r="NZN974" s="252"/>
      <c r="NZO974" s="252"/>
      <c r="NZP974" s="252"/>
      <c r="NZQ974" s="252"/>
      <c r="NZR974" s="252"/>
      <c r="NZS974" s="252"/>
      <c r="NZT974" s="252"/>
      <c r="NZU974" s="252"/>
      <c r="NZV974" s="252"/>
      <c r="NZW974" s="252"/>
      <c r="NZX974" s="252"/>
      <c r="NZY974" s="252"/>
      <c r="NZZ974" s="252"/>
      <c r="OAA974" s="252"/>
      <c r="OAB974" s="252"/>
      <c r="OAC974" s="252"/>
      <c r="OAD974" s="252"/>
      <c r="OAE974" s="252"/>
      <c r="OAF974" s="252"/>
      <c r="OAG974" s="252"/>
      <c r="OAH974" s="252"/>
      <c r="OAI974" s="252"/>
      <c r="OAJ974" s="252"/>
      <c r="OAK974" s="252"/>
      <c r="OAL974" s="252"/>
      <c r="OAM974" s="252"/>
      <c r="OAN974" s="252"/>
      <c r="OAO974" s="252"/>
      <c r="OAP974" s="252"/>
      <c r="OAQ974" s="252"/>
      <c r="OAR974" s="252"/>
      <c r="OAS974" s="252"/>
      <c r="OAT974" s="252"/>
      <c r="OAU974" s="252"/>
      <c r="OAV974" s="252"/>
      <c r="OAW974" s="252"/>
      <c r="OAX974" s="252"/>
      <c r="OAY974" s="252"/>
      <c r="OAZ974" s="252"/>
      <c r="OBA974" s="252"/>
      <c r="OBB974" s="252"/>
      <c r="OBC974" s="252"/>
      <c r="OBD974" s="252"/>
      <c r="OBE974" s="252"/>
      <c r="OBF974" s="252"/>
      <c r="OBG974" s="252"/>
      <c r="OBH974" s="252"/>
      <c r="OBI974" s="252"/>
      <c r="OBJ974" s="252"/>
      <c r="OBK974" s="252"/>
      <c r="OBL974" s="252"/>
      <c r="OBM974" s="252"/>
      <c r="OBN974" s="252"/>
      <c r="OBO974" s="252"/>
      <c r="OBP974" s="252"/>
      <c r="OBQ974" s="252"/>
      <c r="OBR974" s="252"/>
      <c r="OBS974" s="252"/>
      <c r="OBT974" s="252"/>
      <c r="OBU974" s="252"/>
      <c r="OBV974" s="252"/>
      <c r="OBW974" s="252"/>
      <c r="OBX974" s="252"/>
      <c r="OBY974" s="252"/>
      <c r="OBZ974" s="252"/>
      <c r="OCA974" s="252"/>
      <c r="OCB974" s="252"/>
      <c r="OCC974" s="252"/>
      <c r="OCD974" s="252"/>
      <c r="OCE974" s="252"/>
      <c r="OCF974" s="252"/>
      <c r="OCG974" s="252"/>
      <c r="OCH974" s="252"/>
      <c r="OCI974" s="252"/>
      <c r="OCJ974" s="252"/>
      <c r="OCK974" s="252"/>
      <c r="OCL974" s="252"/>
      <c r="OCM974" s="252"/>
      <c r="OCN974" s="252"/>
      <c r="OCO974" s="252"/>
      <c r="OCP974" s="252"/>
      <c r="OCQ974" s="252"/>
      <c r="OCR974" s="252"/>
      <c r="OCS974" s="252"/>
      <c r="OCT974" s="252"/>
      <c r="OCU974" s="252"/>
      <c r="OCV974" s="252"/>
      <c r="OCW974" s="252"/>
      <c r="OCX974" s="252"/>
      <c r="OCY974" s="252"/>
      <c r="OCZ974" s="252"/>
      <c r="ODA974" s="252"/>
      <c r="ODB974" s="252"/>
      <c r="ODC974" s="252"/>
      <c r="ODD974" s="252"/>
      <c r="ODE974" s="252"/>
      <c r="ODF974" s="252"/>
      <c r="ODG974" s="252"/>
      <c r="ODH974" s="252"/>
      <c r="ODI974" s="252"/>
      <c r="ODJ974" s="252"/>
      <c r="ODK974" s="252"/>
      <c r="ODL974" s="252"/>
      <c r="ODM974" s="252"/>
      <c r="ODN974" s="252"/>
      <c r="ODO974" s="252"/>
      <c r="ODP974" s="252"/>
      <c r="ODQ974" s="252"/>
      <c r="ODR974" s="252"/>
      <c r="ODS974" s="252"/>
      <c r="ODT974" s="252"/>
      <c r="ODU974" s="252"/>
      <c r="ODV974" s="252"/>
      <c r="ODW974" s="252"/>
      <c r="ODX974" s="252"/>
      <c r="ODY974" s="252"/>
      <c r="ODZ974" s="252"/>
      <c r="OEA974" s="252"/>
      <c r="OEB974" s="252"/>
      <c r="OEC974" s="252"/>
      <c r="OED974" s="252"/>
      <c r="OEE974" s="252"/>
      <c r="OEF974" s="252"/>
      <c r="OEG974" s="252"/>
      <c r="OEH974" s="252"/>
      <c r="OEI974" s="252"/>
      <c r="OEJ974" s="252"/>
      <c r="OEK974" s="252"/>
      <c r="OEL974" s="252"/>
      <c r="OEM974" s="252"/>
      <c r="OEN974" s="252"/>
      <c r="OEO974" s="252"/>
      <c r="OEP974" s="252"/>
      <c r="OEQ974" s="252"/>
      <c r="OER974" s="252"/>
      <c r="OES974" s="252"/>
      <c r="OET974" s="252"/>
      <c r="OEU974" s="252"/>
      <c r="OEV974" s="252"/>
      <c r="OEW974" s="252"/>
      <c r="OEX974" s="252"/>
      <c r="OEY974" s="252"/>
      <c r="OEZ974" s="252"/>
      <c r="OFA974" s="252"/>
      <c r="OFB974" s="252"/>
      <c r="OFC974" s="252"/>
      <c r="OFD974" s="252"/>
      <c r="OFE974" s="252"/>
      <c r="OFF974" s="252"/>
      <c r="OFG974" s="252"/>
      <c r="OFH974" s="252"/>
      <c r="OFI974" s="252"/>
      <c r="OFJ974" s="252"/>
      <c r="OFK974" s="252"/>
      <c r="OFL974" s="252"/>
      <c r="OFM974" s="252"/>
      <c r="OFN974" s="252"/>
      <c r="OFO974" s="252"/>
      <c r="OFP974" s="252"/>
      <c r="OFQ974" s="252"/>
      <c r="OFR974" s="252"/>
      <c r="OFS974" s="252"/>
      <c r="OFT974" s="252"/>
      <c r="OFU974" s="252"/>
      <c r="OFV974" s="252"/>
      <c r="OFW974" s="252"/>
      <c r="OFX974" s="252"/>
      <c r="OFY974" s="252"/>
      <c r="OFZ974" s="252"/>
      <c r="OGA974" s="252"/>
      <c r="OGB974" s="252"/>
      <c r="OGC974" s="252"/>
      <c r="OGD974" s="252"/>
      <c r="OGE974" s="252"/>
      <c r="OGF974" s="252"/>
      <c r="OGG974" s="252"/>
      <c r="OGH974" s="252"/>
      <c r="OGI974" s="252"/>
      <c r="OGJ974" s="252"/>
      <c r="OGK974" s="252"/>
      <c r="OGL974" s="252"/>
      <c r="OGM974" s="252"/>
      <c r="OGN974" s="252"/>
      <c r="OGO974" s="252"/>
      <c r="OGP974" s="252"/>
      <c r="OGQ974" s="252"/>
      <c r="OGR974" s="252"/>
      <c r="OGS974" s="252"/>
      <c r="OGT974" s="252"/>
      <c r="OGU974" s="252"/>
      <c r="OGV974" s="252"/>
      <c r="OGW974" s="252"/>
      <c r="OGX974" s="252"/>
      <c r="OGY974" s="252"/>
      <c r="OGZ974" s="252"/>
      <c r="OHA974" s="252"/>
      <c r="OHB974" s="252"/>
      <c r="OHC974" s="252"/>
      <c r="OHD974" s="252"/>
      <c r="OHE974" s="252"/>
      <c r="OHF974" s="252"/>
      <c r="OHG974" s="252"/>
      <c r="OHH974" s="252"/>
      <c r="OHI974" s="252"/>
      <c r="OHJ974" s="252"/>
      <c r="OHK974" s="252"/>
      <c r="OHL974" s="252"/>
      <c r="OHM974" s="252"/>
      <c r="OHN974" s="252"/>
      <c r="OHO974" s="252"/>
      <c r="OHP974" s="252"/>
      <c r="OHQ974" s="252"/>
      <c r="OHR974" s="252"/>
      <c r="OHS974" s="252"/>
      <c r="OHT974" s="252"/>
      <c r="OHU974" s="252"/>
      <c r="OHV974" s="252"/>
      <c r="OHW974" s="252"/>
      <c r="OHX974" s="252"/>
      <c r="OHY974" s="252"/>
      <c r="OHZ974" s="252"/>
      <c r="OIA974" s="252"/>
      <c r="OIB974" s="252"/>
      <c r="OIC974" s="252"/>
      <c r="OID974" s="252"/>
      <c r="OIE974" s="252"/>
      <c r="OIF974" s="252"/>
      <c r="OIG974" s="252"/>
      <c r="OIH974" s="252"/>
      <c r="OII974" s="252"/>
      <c r="OIJ974" s="252"/>
      <c r="OIK974" s="252"/>
      <c r="OIL974" s="252"/>
      <c r="OIM974" s="252"/>
      <c r="OIN974" s="252"/>
      <c r="OIO974" s="252"/>
      <c r="OIP974" s="252"/>
      <c r="OIQ974" s="252"/>
      <c r="OIR974" s="252"/>
      <c r="OIS974" s="252"/>
      <c r="OIT974" s="252"/>
      <c r="OIU974" s="252"/>
      <c r="OIV974" s="252"/>
      <c r="OIW974" s="252"/>
      <c r="OIX974" s="252"/>
      <c r="OIY974" s="252"/>
      <c r="OIZ974" s="252"/>
      <c r="OJA974" s="252"/>
      <c r="OJB974" s="252"/>
      <c r="OJC974" s="252"/>
      <c r="OJD974" s="252"/>
      <c r="OJE974" s="252"/>
      <c r="OJF974" s="252"/>
      <c r="OJG974" s="252"/>
      <c r="OJH974" s="252"/>
      <c r="OJI974" s="252"/>
      <c r="OJJ974" s="252"/>
      <c r="OJK974" s="252"/>
      <c r="OJL974" s="252"/>
      <c r="OJM974" s="252"/>
      <c r="OJN974" s="252"/>
      <c r="OJO974" s="252"/>
      <c r="OJP974" s="252"/>
      <c r="OJQ974" s="252"/>
      <c r="OJR974" s="252"/>
      <c r="OJS974" s="252"/>
      <c r="OJT974" s="252"/>
      <c r="OJU974" s="252"/>
      <c r="OJV974" s="252"/>
      <c r="OJW974" s="252"/>
      <c r="OJX974" s="252"/>
      <c r="OJY974" s="252"/>
      <c r="OJZ974" s="252"/>
      <c r="OKA974" s="252"/>
      <c r="OKB974" s="252"/>
      <c r="OKC974" s="252"/>
      <c r="OKD974" s="252"/>
      <c r="OKE974" s="252"/>
      <c r="OKF974" s="252"/>
      <c r="OKG974" s="252"/>
      <c r="OKH974" s="252"/>
      <c r="OKI974" s="252"/>
      <c r="OKJ974" s="252"/>
      <c r="OKK974" s="252"/>
      <c r="OKL974" s="252"/>
      <c r="OKM974" s="252"/>
      <c r="OKN974" s="252"/>
      <c r="OKO974" s="252"/>
      <c r="OKP974" s="252"/>
      <c r="OKQ974" s="252"/>
      <c r="OKR974" s="252"/>
      <c r="OKS974" s="252"/>
      <c r="OKT974" s="252"/>
      <c r="OKU974" s="252"/>
      <c r="OKV974" s="252"/>
      <c r="OKW974" s="252"/>
      <c r="OKX974" s="252"/>
      <c r="OKY974" s="252"/>
      <c r="OKZ974" s="252"/>
      <c r="OLA974" s="252"/>
      <c r="OLB974" s="252"/>
      <c r="OLC974" s="252"/>
      <c r="OLD974" s="252"/>
      <c r="OLE974" s="252"/>
      <c r="OLF974" s="252"/>
      <c r="OLG974" s="252"/>
      <c r="OLH974" s="252"/>
      <c r="OLI974" s="252"/>
      <c r="OLJ974" s="252"/>
      <c r="OLK974" s="252"/>
      <c r="OLL974" s="252"/>
      <c r="OLM974" s="252"/>
      <c r="OLN974" s="252"/>
      <c r="OLO974" s="252"/>
      <c r="OLP974" s="252"/>
      <c r="OLQ974" s="252"/>
      <c r="OLR974" s="252"/>
      <c r="OLS974" s="252"/>
      <c r="OLT974" s="252"/>
      <c r="OLU974" s="252"/>
      <c r="OLV974" s="252"/>
      <c r="OLW974" s="252"/>
      <c r="OLX974" s="252"/>
      <c r="OLY974" s="252"/>
      <c r="OLZ974" s="252"/>
      <c r="OMA974" s="252"/>
      <c r="OMB974" s="252"/>
      <c r="OMC974" s="252"/>
      <c r="OMD974" s="252"/>
      <c r="OME974" s="252"/>
      <c r="OMF974" s="252"/>
      <c r="OMG974" s="252"/>
      <c r="OMH974" s="252"/>
      <c r="OMI974" s="252"/>
      <c r="OMJ974" s="252"/>
      <c r="OMK974" s="252"/>
      <c r="OML974" s="252"/>
      <c r="OMM974" s="252"/>
      <c r="OMN974" s="252"/>
      <c r="OMO974" s="252"/>
      <c r="OMP974" s="252"/>
      <c r="OMQ974" s="252"/>
      <c r="OMR974" s="252"/>
      <c r="OMS974" s="252"/>
      <c r="OMT974" s="252"/>
      <c r="OMU974" s="252"/>
      <c r="OMV974" s="252"/>
      <c r="OMW974" s="252"/>
      <c r="OMX974" s="252"/>
      <c r="OMY974" s="252"/>
      <c r="OMZ974" s="252"/>
      <c r="ONA974" s="252"/>
      <c r="ONB974" s="252"/>
      <c r="ONC974" s="252"/>
      <c r="OND974" s="252"/>
      <c r="ONE974" s="252"/>
      <c r="ONF974" s="252"/>
      <c r="ONG974" s="252"/>
      <c r="ONH974" s="252"/>
      <c r="ONI974" s="252"/>
      <c r="ONJ974" s="252"/>
      <c r="ONK974" s="252"/>
      <c r="ONL974" s="252"/>
      <c r="ONM974" s="252"/>
      <c r="ONN974" s="252"/>
      <c r="ONO974" s="252"/>
      <c r="ONP974" s="252"/>
      <c r="ONQ974" s="252"/>
      <c r="ONR974" s="252"/>
      <c r="ONS974" s="252"/>
      <c r="ONT974" s="252"/>
      <c r="ONU974" s="252"/>
      <c r="ONV974" s="252"/>
      <c r="ONW974" s="252"/>
      <c r="ONX974" s="252"/>
      <c r="ONY974" s="252"/>
      <c r="ONZ974" s="252"/>
      <c r="OOA974" s="252"/>
      <c r="OOB974" s="252"/>
      <c r="OOC974" s="252"/>
      <c r="OOD974" s="252"/>
      <c r="OOE974" s="252"/>
      <c r="OOF974" s="252"/>
      <c r="OOG974" s="252"/>
      <c r="OOH974" s="252"/>
      <c r="OOI974" s="252"/>
      <c r="OOJ974" s="252"/>
      <c r="OOK974" s="252"/>
      <c r="OOL974" s="252"/>
      <c r="OOM974" s="252"/>
      <c r="OON974" s="252"/>
      <c r="OOO974" s="252"/>
      <c r="OOP974" s="252"/>
      <c r="OOQ974" s="252"/>
      <c r="OOR974" s="252"/>
      <c r="OOS974" s="252"/>
      <c r="OOT974" s="252"/>
      <c r="OOU974" s="252"/>
      <c r="OOV974" s="252"/>
      <c r="OOW974" s="252"/>
      <c r="OOX974" s="252"/>
      <c r="OOY974" s="252"/>
      <c r="OOZ974" s="252"/>
      <c r="OPA974" s="252"/>
      <c r="OPB974" s="252"/>
      <c r="OPC974" s="252"/>
      <c r="OPD974" s="252"/>
      <c r="OPE974" s="252"/>
      <c r="OPF974" s="252"/>
      <c r="OPG974" s="252"/>
      <c r="OPH974" s="252"/>
      <c r="OPI974" s="252"/>
      <c r="OPJ974" s="252"/>
      <c r="OPK974" s="252"/>
      <c r="OPL974" s="252"/>
      <c r="OPM974" s="252"/>
      <c r="OPN974" s="252"/>
      <c r="OPO974" s="252"/>
      <c r="OPP974" s="252"/>
      <c r="OPQ974" s="252"/>
      <c r="OPR974" s="252"/>
      <c r="OPS974" s="252"/>
      <c r="OPT974" s="252"/>
      <c r="OPU974" s="252"/>
      <c r="OPV974" s="252"/>
      <c r="OPW974" s="252"/>
      <c r="OPX974" s="252"/>
      <c r="OPY974" s="252"/>
      <c r="OPZ974" s="252"/>
      <c r="OQA974" s="252"/>
      <c r="OQB974" s="252"/>
      <c r="OQC974" s="252"/>
      <c r="OQD974" s="252"/>
      <c r="OQE974" s="252"/>
      <c r="OQF974" s="252"/>
      <c r="OQG974" s="252"/>
      <c r="OQH974" s="252"/>
      <c r="OQI974" s="252"/>
      <c r="OQJ974" s="252"/>
      <c r="OQK974" s="252"/>
      <c r="OQL974" s="252"/>
      <c r="OQM974" s="252"/>
      <c r="OQN974" s="252"/>
      <c r="OQO974" s="252"/>
      <c r="OQP974" s="252"/>
      <c r="OQQ974" s="252"/>
      <c r="OQR974" s="252"/>
      <c r="OQS974" s="252"/>
      <c r="OQT974" s="252"/>
      <c r="OQU974" s="252"/>
      <c r="OQV974" s="252"/>
      <c r="OQW974" s="252"/>
      <c r="OQX974" s="252"/>
      <c r="OQY974" s="252"/>
      <c r="OQZ974" s="252"/>
      <c r="ORA974" s="252"/>
      <c r="ORB974" s="252"/>
      <c r="ORC974" s="252"/>
      <c r="ORD974" s="252"/>
      <c r="ORE974" s="252"/>
      <c r="ORF974" s="252"/>
      <c r="ORG974" s="252"/>
      <c r="ORH974" s="252"/>
      <c r="ORI974" s="252"/>
      <c r="ORJ974" s="252"/>
      <c r="ORK974" s="252"/>
      <c r="ORL974" s="252"/>
      <c r="ORM974" s="252"/>
      <c r="ORN974" s="252"/>
      <c r="ORO974" s="252"/>
      <c r="ORP974" s="252"/>
      <c r="ORQ974" s="252"/>
      <c r="ORR974" s="252"/>
      <c r="ORS974" s="252"/>
      <c r="ORT974" s="252"/>
      <c r="ORU974" s="252"/>
      <c r="ORV974" s="252"/>
      <c r="ORW974" s="252"/>
      <c r="ORX974" s="252"/>
      <c r="ORY974" s="252"/>
      <c r="ORZ974" s="252"/>
      <c r="OSA974" s="252"/>
      <c r="OSB974" s="252"/>
      <c r="OSC974" s="252"/>
      <c r="OSD974" s="252"/>
      <c r="OSE974" s="252"/>
      <c r="OSF974" s="252"/>
      <c r="OSG974" s="252"/>
      <c r="OSH974" s="252"/>
      <c r="OSI974" s="252"/>
      <c r="OSJ974" s="252"/>
      <c r="OSK974" s="252"/>
      <c r="OSL974" s="252"/>
      <c r="OSM974" s="252"/>
      <c r="OSN974" s="252"/>
      <c r="OSO974" s="252"/>
      <c r="OSP974" s="252"/>
      <c r="OSQ974" s="252"/>
      <c r="OSR974" s="252"/>
      <c r="OSS974" s="252"/>
      <c r="OST974" s="252"/>
      <c r="OSU974" s="252"/>
      <c r="OSV974" s="252"/>
      <c r="OSW974" s="252"/>
      <c r="OSX974" s="252"/>
      <c r="OSY974" s="252"/>
      <c r="OSZ974" s="252"/>
      <c r="OTA974" s="252"/>
      <c r="OTB974" s="252"/>
      <c r="OTC974" s="252"/>
      <c r="OTD974" s="252"/>
      <c r="OTE974" s="252"/>
      <c r="OTF974" s="252"/>
      <c r="OTG974" s="252"/>
      <c r="OTH974" s="252"/>
      <c r="OTI974" s="252"/>
      <c r="OTJ974" s="252"/>
      <c r="OTK974" s="252"/>
      <c r="OTL974" s="252"/>
      <c r="OTM974" s="252"/>
      <c r="OTN974" s="252"/>
      <c r="OTO974" s="252"/>
      <c r="OTP974" s="252"/>
      <c r="OTQ974" s="252"/>
      <c r="OTR974" s="252"/>
      <c r="OTS974" s="252"/>
      <c r="OTT974" s="252"/>
      <c r="OTU974" s="252"/>
      <c r="OTV974" s="252"/>
      <c r="OTW974" s="252"/>
      <c r="OTX974" s="252"/>
      <c r="OTY974" s="252"/>
      <c r="OTZ974" s="252"/>
      <c r="OUA974" s="252"/>
      <c r="OUB974" s="252"/>
      <c r="OUC974" s="252"/>
      <c r="OUD974" s="252"/>
      <c r="OUE974" s="252"/>
      <c r="OUF974" s="252"/>
      <c r="OUG974" s="252"/>
      <c r="OUH974" s="252"/>
      <c r="OUI974" s="252"/>
      <c r="OUJ974" s="252"/>
      <c r="OUK974" s="252"/>
      <c r="OUL974" s="252"/>
      <c r="OUM974" s="252"/>
      <c r="OUN974" s="252"/>
      <c r="OUO974" s="252"/>
      <c r="OUP974" s="252"/>
      <c r="OUQ974" s="252"/>
      <c r="OUR974" s="252"/>
      <c r="OUS974" s="252"/>
      <c r="OUT974" s="252"/>
      <c r="OUU974" s="252"/>
      <c r="OUV974" s="252"/>
      <c r="OUW974" s="252"/>
      <c r="OUX974" s="252"/>
      <c r="OUY974" s="252"/>
      <c r="OUZ974" s="252"/>
      <c r="OVA974" s="252"/>
      <c r="OVB974" s="252"/>
      <c r="OVC974" s="252"/>
      <c r="OVD974" s="252"/>
      <c r="OVE974" s="252"/>
      <c r="OVF974" s="252"/>
      <c r="OVG974" s="252"/>
      <c r="OVH974" s="252"/>
      <c r="OVI974" s="252"/>
      <c r="OVJ974" s="252"/>
      <c r="OVK974" s="252"/>
      <c r="OVL974" s="252"/>
      <c r="OVM974" s="252"/>
      <c r="OVN974" s="252"/>
      <c r="OVO974" s="252"/>
      <c r="OVP974" s="252"/>
      <c r="OVQ974" s="252"/>
      <c r="OVR974" s="252"/>
      <c r="OVS974" s="252"/>
      <c r="OVT974" s="252"/>
      <c r="OVU974" s="252"/>
      <c r="OVV974" s="252"/>
      <c r="OVW974" s="252"/>
      <c r="OVX974" s="252"/>
      <c r="OVY974" s="252"/>
      <c r="OVZ974" s="252"/>
      <c r="OWA974" s="252"/>
      <c r="OWB974" s="252"/>
      <c r="OWC974" s="252"/>
      <c r="OWD974" s="252"/>
      <c r="OWE974" s="252"/>
      <c r="OWF974" s="252"/>
      <c r="OWG974" s="252"/>
      <c r="OWH974" s="252"/>
      <c r="OWI974" s="252"/>
      <c r="OWJ974" s="252"/>
      <c r="OWK974" s="252"/>
      <c r="OWL974" s="252"/>
      <c r="OWM974" s="252"/>
      <c r="OWN974" s="252"/>
      <c r="OWO974" s="252"/>
      <c r="OWP974" s="252"/>
      <c r="OWQ974" s="252"/>
      <c r="OWR974" s="252"/>
      <c r="OWS974" s="252"/>
      <c r="OWT974" s="252"/>
      <c r="OWU974" s="252"/>
      <c r="OWV974" s="252"/>
      <c r="OWW974" s="252"/>
      <c r="OWX974" s="252"/>
      <c r="OWY974" s="252"/>
      <c r="OWZ974" s="252"/>
      <c r="OXA974" s="252"/>
      <c r="OXB974" s="252"/>
      <c r="OXC974" s="252"/>
      <c r="OXD974" s="252"/>
      <c r="OXE974" s="252"/>
      <c r="OXF974" s="252"/>
      <c r="OXG974" s="252"/>
      <c r="OXH974" s="252"/>
      <c r="OXI974" s="252"/>
      <c r="OXJ974" s="252"/>
      <c r="OXK974" s="252"/>
      <c r="OXL974" s="252"/>
      <c r="OXM974" s="252"/>
      <c r="OXN974" s="252"/>
      <c r="OXO974" s="252"/>
      <c r="OXP974" s="252"/>
      <c r="OXQ974" s="252"/>
      <c r="OXR974" s="252"/>
      <c r="OXS974" s="252"/>
      <c r="OXT974" s="252"/>
      <c r="OXU974" s="252"/>
      <c r="OXV974" s="252"/>
      <c r="OXW974" s="252"/>
      <c r="OXX974" s="252"/>
      <c r="OXY974" s="252"/>
      <c r="OXZ974" s="252"/>
      <c r="OYA974" s="252"/>
      <c r="OYB974" s="252"/>
      <c r="OYC974" s="252"/>
      <c r="OYD974" s="252"/>
      <c r="OYE974" s="252"/>
      <c r="OYF974" s="252"/>
      <c r="OYG974" s="252"/>
      <c r="OYH974" s="252"/>
      <c r="OYI974" s="252"/>
      <c r="OYJ974" s="252"/>
      <c r="OYK974" s="252"/>
      <c r="OYL974" s="252"/>
      <c r="OYM974" s="252"/>
      <c r="OYN974" s="252"/>
      <c r="OYO974" s="252"/>
      <c r="OYP974" s="252"/>
      <c r="OYQ974" s="252"/>
      <c r="OYR974" s="252"/>
      <c r="OYS974" s="252"/>
      <c r="OYT974" s="252"/>
      <c r="OYU974" s="252"/>
      <c r="OYV974" s="252"/>
      <c r="OYW974" s="252"/>
      <c r="OYX974" s="252"/>
      <c r="OYY974" s="252"/>
      <c r="OYZ974" s="252"/>
      <c r="OZA974" s="252"/>
      <c r="OZB974" s="252"/>
      <c r="OZC974" s="252"/>
      <c r="OZD974" s="252"/>
      <c r="OZE974" s="252"/>
      <c r="OZF974" s="252"/>
      <c r="OZG974" s="252"/>
      <c r="OZH974" s="252"/>
      <c r="OZI974" s="252"/>
      <c r="OZJ974" s="252"/>
      <c r="OZK974" s="252"/>
      <c r="OZL974" s="252"/>
      <c r="OZM974" s="252"/>
      <c r="OZN974" s="252"/>
      <c r="OZO974" s="252"/>
      <c r="OZP974" s="252"/>
      <c r="OZQ974" s="252"/>
      <c r="OZR974" s="252"/>
      <c r="OZS974" s="252"/>
      <c r="OZT974" s="252"/>
      <c r="OZU974" s="252"/>
      <c r="OZV974" s="252"/>
      <c r="OZW974" s="252"/>
      <c r="OZX974" s="252"/>
      <c r="OZY974" s="252"/>
      <c r="OZZ974" s="252"/>
      <c r="PAA974" s="252"/>
      <c r="PAB974" s="252"/>
      <c r="PAC974" s="252"/>
      <c r="PAD974" s="252"/>
      <c r="PAE974" s="252"/>
      <c r="PAF974" s="252"/>
      <c r="PAG974" s="252"/>
      <c r="PAH974" s="252"/>
      <c r="PAI974" s="252"/>
      <c r="PAJ974" s="252"/>
      <c r="PAK974" s="252"/>
      <c r="PAL974" s="252"/>
      <c r="PAM974" s="252"/>
      <c r="PAN974" s="252"/>
      <c r="PAO974" s="252"/>
      <c r="PAP974" s="252"/>
      <c r="PAQ974" s="252"/>
      <c r="PAR974" s="252"/>
      <c r="PAS974" s="252"/>
      <c r="PAT974" s="252"/>
      <c r="PAU974" s="252"/>
      <c r="PAV974" s="252"/>
      <c r="PAW974" s="252"/>
      <c r="PAX974" s="252"/>
      <c r="PAY974" s="252"/>
      <c r="PAZ974" s="252"/>
      <c r="PBA974" s="252"/>
      <c r="PBB974" s="252"/>
      <c r="PBC974" s="252"/>
      <c r="PBD974" s="252"/>
      <c r="PBE974" s="252"/>
      <c r="PBF974" s="252"/>
      <c r="PBG974" s="252"/>
      <c r="PBH974" s="252"/>
      <c r="PBI974" s="252"/>
      <c r="PBJ974" s="252"/>
      <c r="PBK974" s="252"/>
      <c r="PBL974" s="252"/>
      <c r="PBM974" s="252"/>
      <c r="PBN974" s="252"/>
      <c r="PBO974" s="252"/>
      <c r="PBP974" s="252"/>
      <c r="PBQ974" s="252"/>
      <c r="PBR974" s="252"/>
      <c r="PBS974" s="252"/>
      <c r="PBT974" s="252"/>
      <c r="PBU974" s="252"/>
      <c r="PBV974" s="252"/>
      <c r="PBW974" s="252"/>
      <c r="PBX974" s="252"/>
      <c r="PBY974" s="252"/>
      <c r="PBZ974" s="252"/>
      <c r="PCA974" s="252"/>
      <c r="PCB974" s="252"/>
      <c r="PCC974" s="252"/>
      <c r="PCD974" s="252"/>
      <c r="PCE974" s="252"/>
      <c r="PCF974" s="252"/>
      <c r="PCG974" s="252"/>
      <c r="PCH974" s="252"/>
      <c r="PCI974" s="252"/>
      <c r="PCJ974" s="252"/>
      <c r="PCK974" s="252"/>
      <c r="PCL974" s="252"/>
      <c r="PCM974" s="252"/>
      <c r="PCN974" s="252"/>
      <c r="PCO974" s="252"/>
      <c r="PCP974" s="252"/>
      <c r="PCQ974" s="252"/>
      <c r="PCR974" s="252"/>
      <c r="PCS974" s="252"/>
      <c r="PCT974" s="252"/>
      <c r="PCU974" s="252"/>
      <c r="PCV974" s="252"/>
      <c r="PCW974" s="252"/>
      <c r="PCX974" s="252"/>
      <c r="PCY974" s="252"/>
      <c r="PCZ974" s="252"/>
      <c r="PDA974" s="252"/>
      <c r="PDB974" s="252"/>
      <c r="PDC974" s="252"/>
      <c r="PDD974" s="252"/>
      <c r="PDE974" s="252"/>
      <c r="PDF974" s="252"/>
      <c r="PDG974" s="252"/>
      <c r="PDH974" s="252"/>
      <c r="PDI974" s="252"/>
      <c r="PDJ974" s="252"/>
      <c r="PDK974" s="252"/>
      <c r="PDL974" s="252"/>
      <c r="PDM974" s="252"/>
      <c r="PDN974" s="252"/>
      <c r="PDO974" s="252"/>
      <c r="PDP974" s="252"/>
      <c r="PDQ974" s="252"/>
      <c r="PDR974" s="252"/>
      <c r="PDS974" s="252"/>
      <c r="PDT974" s="252"/>
      <c r="PDU974" s="252"/>
      <c r="PDV974" s="252"/>
      <c r="PDW974" s="252"/>
      <c r="PDX974" s="252"/>
      <c r="PDY974" s="252"/>
      <c r="PDZ974" s="252"/>
      <c r="PEA974" s="252"/>
      <c r="PEB974" s="252"/>
      <c r="PEC974" s="252"/>
      <c r="PED974" s="252"/>
      <c r="PEE974" s="252"/>
      <c r="PEF974" s="252"/>
      <c r="PEG974" s="252"/>
      <c r="PEH974" s="252"/>
      <c r="PEI974" s="252"/>
      <c r="PEJ974" s="252"/>
      <c r="PEK974" s="252"/>
      <c r="PEL974" s="252"/>
      <c r="PEM974" s="252"/>
      <c r="PEN974" s="252"/>
      <c r="PEO974" s="252"/>
      <c r="PEP974" s="252"/>
      <c r="PEQ974" s="252"/>
      <c r="PER974" s="252"/>
      <c r="PES974" s="252"/>
      <c r="PET974" s="252"/>
      <c r="PEU974" s="252"/>
      <c r="PEV974" s="252"/>
      <c r="PEW974" s="252"/>
      <c r="PEX974" s="252"/>
      <c r="PEY974" s="252"/>
      <c r="PEZ974" s="252"/>
      <c r="PFA974" s="252"/>
      <c r="PFB974" s="252"/>
      <c r="PFC974" s="252"/>
      <c r="PFD974" s="252"/>
      <c r="PFE974" s="252"/>
      <c r="PFF974" s="252"/>
      <c r="PFG974" s="252"/>
      <c r="PFH974" s="252"/>
      <c r="PFI974" s="252"/>
      <c r="PFJ974" s="252"/>
      <c r="PFK974" s="252"/>
      <c r="PFL974" s="252"/>
      <c r="PFM974" s="252"/>
      <c r="PFN974" s="252"/>
      <c r="PFO974" s="252"/>
      <c r="PFP974" s="252"/>
      <c r="PFQ974" s="252"/>
      <c r="PFR974" s="252"/>
      <c r="PFS974" s="252"/>
      <c r="PFT974" s="252"/>
      <c r="PFU974" s="252"/>
      <c r="PFV974" s="252"/>
      <c r="PFW974" s="252"/>
      <c r="PFX974" s="252"/>
      <c r="PFY974" s="252"/>
      <c r="PFZ974" s="252"/>
      <c r="PGA974" s="252"/>
      <c r="PGB974" s="252"/>
      <c r="PGC974" s="252"/>
      <c r="PGD974" s="252"/>
      <c r="PGE974" s="252"/>
      <c r="PGF974" s="252"/>
      <c r="PGG974" s="252"/>
      <c r="PGH974" s="252"/>
      <c r="PGI974" s="252"/>
      <c r="PGJ974" s="252"/>
      <c r="PGK974" s="252"/>
      <c r="PGL974" s="252"/>
      <c r="PGM974" s="252"/>
      <c r="PGN974" s="252"/>
      <c r="PGO974" s="252"/>
      <c r="PGP974" s="252"/>
      <c r="PGQ974" s="252"/>
      <c r="PGR974" s="252"/>
      <c r="PGS974" s="252"/>
      <c r="PGT974" s="252"/>
      <c r="PGU974" s="252"/>
      <c r="PGV974" s="252"/>
      <c r="PGW974" s="252"/>
      <c r="PGX974" s="252"/>
      <c r="PGY974" s="252"/>
      <c r="PGZ974" s="252"/>
      <c r="PHA974" s="252"/>
      <c r="PHB974" s="252"/>
      <c r="PHC974" s="252"/>
      <c r="PHD974" s="252"/>
      <c r="PHE974" s="252"/>
      <c r="PHF974" s="252"/>
      <c r="PHG974" s="252"/>
      <c r="PHH974" s="252"/>
      <c r="PHI974" s="252"/>
      <c r="PHJ974" s="252"/>
      <c r="PHK974" s="252"/>
      <c r="PHL974" s="252"/>
      <c r="PHM974" s="252"/>
      <c r="PHN974" s="252"/>
      <c r="PHO974" s="252"/>
      <c r="PHP974" s="252"/>
      <c r="PHQ974" s="252"/>
      <c r="PHR974" s="252"/>
      <c r="PHS974" s="252"/>
      <c r="PHT974" s="252"/>
      <c r="PHU974" s="252"/>
      <c r="PHV974" s="252"/>
      <c r="PHW974" s="252"/>
      <c r="PHX974" s="252"/>
      <c r="PHY974" s="252"/>
      <c r="PHZ974" s="252"/>
      <c r="PIA974" s="252"/>
      <c r="PIB974" s="252"/>
      <c r="PIC974" s="252"/>
      <c r="PID974" s="252"/>
      <c r="PIE974" s="252"/>
      <c r="PIF974" s="252"/>
      <c r="PIG974" s="252"/>
      <c r="PIH974" s="252"/>
      <c r="PII974" s="252"/>
      <c r="PIJ974" s="252"/>
      <c r="PIK974" s="252"/>
      <c r="PIL974" s="252"/>
      <c r="PIM974" s="252"/>
      <c r="PIN974" s="252"/>
      <c r="PIO974" s="252"/>
      <c r="PIP974" s="252"/>
      <c r="PIQ974" s="252"/>
      <c r="PIR974" s="252"/>
      <c r="PIS974" s="252"/>
      <c r="PIT974" s="252"/>
      <c r="PIU974" s="252"/>
      <c r="PIV974" s="252"/>
      <c r="PIW974" s="252"/>
      <c r="PIX974" s="252"/>
      <c r="PIY974" s="252"/>
      <c r="PIZ974" s="252"/>
      <c r="PJA974" s="252"/>
      <c r="PJB974" s="252"/>
      <c r="PJC974" s="252"/>
      <c r="PJD974" s="252"/>
      <c r="PJE974" s="252"/>
      <c r="PJF974" s="252"/>
      <c r="PJG974" s="252"/>
      <c r="PJH974" s="252"/>
      <c r="PJI974" s="252"/>
      <c r="PJJ974" s="252"/>
      <c r="PJK974" s="252"/>
      <c r="PJL974" s="252"/>
      <c r="PJM974" s="252"/>
      <c r="PJN974" s="252"/>
      <c r="PJO974" s="252"/>
      <c r="PJP974" s="252"/>
      <c r="PJQ974" s="252"/>
      <c r="PJR974" s="252"/>
      <c r="PJS974" s="252"/>
      <c r="PJT974" s="252"/>
      <c r="PJU974" s="252"/>
      <c r="PJV974" s="252"/>
      <c r="PJW974" s="252"/>
      <c r="PJX974" s="252"/>
      <c r="PJY974" s="252"/>
      <c r="PJZ974" s="252"/>
      <c r="PKA974" s="252"/>
      <c r="PKB974" s="252"/>
      <c r="PKC974" s="252"/>
      <c r="PKD974" s="252"/>
      <c r="PKE974" s="252"/>
      <c r="PKF974" s="252"/>
      <c r="PKG974" s="252"/>
      <c r="PKH974" s="252"/>
      <c r="PKI974" s="252"/>
      <c r="PKJ974" s="252"/>
      <c r="PKK974" s="252"/>
      <c r="PKL974" s="252"/>
      <c r="PKM974" s="252"/>
      <c r="PKN974" s="252"/>
      <c r="PKO974" s="252"/>
      <c r="PKP974" s="252"/>
      <c r="PKQ974" s="252"/>
      <c r="PKR974" s="252"/>
      <c r="PKS974" s="252"/>
      <c r="PKT974" s="252"/>
      <c r="PKU974" s="252"/>
      <c r="PKV974" s="252"/>
      <c r="PKW974" s="252"/>
      <c r="PKX974" s="252"/>
      <c r="PKY974" s="252"/>
      <c r="PKZ974" s="252"/>
      <c r="PLA974" s="252"/>
      <c r="PLB974" s="252"/>
      <c r="PLC974" s="252"/>
      <c r="PLD974" s="252"/>
      <c r="PLE974" s="252"/>
      <c r="PLF974" s="252"/>
      <c r="PLG974" s="252"/>
      <c r="PLH974" s="252"/>
      <c r="PLI974" s="252"/>
      <c r="PLJ974" s="252"/>
      <c r="PLK974" s="252"/>
      <c r="PLL974" s="252"/>
      <c r="PLM974" s="252"/>
      <c r="PLN974" s="252"/>
      <c r="PLO974" s="252"/>
      <c r="PLP974" s="252"/>
      <c r="PLQ974" s="252"/>
      <c r="PLR974" s="252"/>
      <c r="PLS974" s="252"/>
      <c r="PLT974" s="252"/>
      <c r="PLU974" s="252"/>
      <c r="PLV974" s="252"/>
      <c r="PLW974" s="252"/>
      <c r="PLX974" s="252"/>
      <c r="PLY974" s="252"/>
      <c r="PLZ974" s="252"/>
      <c r="PMA974" s="252"/>
      <c r="PMB974" s="252"/>
      <c r="PMC974" s="252"/>
      <c r="PMD974" s="252"/>
      <c r="PME974" s="252"/>
      <c r="PMF974" s="252"/>
      <c r="PMG974" s="252"/>
      <c r="PMH974" s="252"/>
      <c r="PMI974" s="252"/>
      <c r="PMJ974" s="252"/>
      <c r="PMK974" s="252"/>
      <c r="PML974" s="252"/>
      <c r="PMM974" s="252"/>
      <c r="PMN974" s="252"/>
      <c r="PMO974" s="252"/>
      <c r="PMP974" s="252"/>
      <c r="PMQ974" s="252"/>
      <c r="PMR974" s="252"/>
      <c r="PMS974" s="252"/>
      <c r="PMT974" s="252"/>
      <c r="PMU974" s="252"/>
      <c r="PMV974" s="252"/>
      <c r="PMW974" s="252"/>
      <c r="PMX974" s="252"/>
      <c r="PMY974" s="252"/>
      <c r="PMZ974" s="252"/>
      <c r="PNA974" s="252"/>
      <c r="PNB974" s="252"/>
      <c r="PNC974" s="252"/>
      <c r="PND974" s="252"/>
      <c r="PNE974" s="252"/>
      <c r="PNF974" s="252"/>
      <c r="PNG974" s="252"/>
      <c r="PNH974" s="252"/>
      <c r="PNI974" s="252"/>
      <c r="PNJ974" s="252"/>
      <c r="PNK974" s="252"/>
      <c r="PNL974" s="252"/>
      <c r="PNM974" s="252"/>
      <c r="PNN974" s="252"/>
      <c r="PNO974" s="252"/>
      <c r="PNP974" s="252"/>
      <c r="PNQ974" s="252"/>
      <c r="PNR974" s="252"/>
      <c r="PNS974" s="252"/>
      <c r="PNT974" s="252"/>
      <c r="PNU974" s="252"/>
      <c r="PNV974" s="252"/>
      <c r="PNW974" s="252"/>
      <c r="PNX974" s="252"/>
      <c r="PNY974" s="252"/>
      <c r="PNZ974" s="252"/>
      <c r="POA974" s="252"/>
      <c r="POB974" s="252"/>
      <c r="POC974" s="252"/>
      <c r="POD974" s="252"/>
      <c r="POE974" s="252"/>
      <c r="POF974" s="252"/>
      <c r="POG974" s="252"/>
      <c r="POH974" s="252"/>
      <c r="POI974" s="252"/>
      <c r="POJ974" s="252"/>
      <c r="POK974" s="252"/>
      <c r="POL974" s="252"/>
      <c r="POM974" s="252"/>
      <c r="PON974" s="252"/>
      <c r="POO974" s="252"/>
      <c r="POP974" s="252"/>
      <c r="POQ974" s="252"/>
      <c r="POR974" s="252"/>
      <c r="POS974" s="252"/>
      <c r="POT974" s="252"/>
      <c r="POU974" s="252"/>
      <c r="POV974" s="252"/>
      <c r="POW974" s="252"/>
      <c r="POX974" s="252"/>
      <c r="POY974" s="252"/>
      <c r="POZ974" s="252"/>
      <c r="PPA974" s="252"/>
      <c r="PPB974" s="252"/>
      <c r="PPC974" s="252"/>
      <c r="PPD974" s="252"/>
      <c r="PPE974" s="252"/>
      <c r="PPF974" s="252"/>
      <c r="PPG974" s="252"/>
      <c r="PPH974" s="252"/>
      <c r="PPI974" s="252"/>
      <c r="PPJ974" s="252"/>
      <c r="PPK974" s="252"/>
      <c r="PPL974" s="252"/>
      <c r="PPM974" s="252"/>
      <c r="PPN974" s="252"/>
      <c r="PPO974" s="252"/>
      <c r="PPP974" s="252"/>
      <c r="PPQ974" s="252"/>
      <c r="PPR974" s="252"/>
      <c r="PPS974" s="252"/>
      <c r="PPT974" s="252"/>
      <c r="PPU974" s="252"/>
      <c r="PPV974" s="252"/>
      <c r="PPW974" s="252"/>
      <c r="PPX974" s="252"/>
      <c r="PPY974" s="252"/>
      <c r="PPZ974" s="252"/>
      <c r="PQA974" s="252"/>
      <c r="PQB974" s="252"/>
      <c r="PQC974" s="252"/>
      <c r="PQD974" s="252"/>
      <c r="PQE974" s="252"/>
      <c r="PQF974" s="252"/>
      <c r="PQG974" s="252"/>
      <c r="PQH974" s="252"/>
      <c r="PQI974" s="252"/>
      <c r="PQJ974" s="252"/>
      <c r="PQK974" s="252"/>
      <c r="PQL974" s="252"/>
      <c r="PQM974" s="252"/>
      <c r="PQN974" s="252"/>
      <c r="PQO974" s="252"/>
      <c r="PQP974" s="252"/>
      <c r="PQQ974" s="252"/>
      <c r="PQR974" s="252"/>
      <c r="PQS974" s="252"/>
      <c r="PQT974" s="252"/>
      <c r="PQU974" s="252"/>
      <c r="PQV974" s="252"/>
      <c r="PQW974" s="252"/>
      <c r="PQX974" s="252"/>
      <c r="PQY974" s="252"/>
      <c r="PQZ974" s="252"/>
      <c r="PRA974" s="252"/>
      <c r="PRB974" s="252"/>
      <c r="PRC974" s="252"/>
      <c r="PRD974" s="252"/>
      <c r="PRE974" s="252"/>
      <c r="PRF974" s="252"/>
      <c r="PRG974" s="252"/>
      <c r="PRH974" s="252"/>
      <c r="PRI974" s="252"/>
      <c r="PRJ974" s="252"/>
      <c r="PRK974" s="252"/>
      <c r="PRL974" s="252"/>
      <c r="PRM974" s="252"/>
      <c r="PRN974" s="252"/>
      <c r="PRO974" s="252"/>
      <c r="PRP974" s="252"/>
      <c r="PRQ974" s="252"/>
      <c r="PRR974" s="252"/>
      <c r="PRS974" s="252"/>
      <c r="PRT974" s="252"/>
      <c r="PRU974" s="252"/>
      <c r="PRV974" s="252"/>
      <c r="PRW974" s="252"/>
      <c r="PRX974" s="252"/>
      <c r="PRY974" s="252"/>
      <c r="PRZ974" s="252"/>
      <c r="PSA974" s="252"/>
      <c r="PSB974" s="252"/>
      <c r="PSC974" s="252"/>
      <c r="PSD974" s="252"/>
      <c r="PSE974" s="252"/>
      <c r="PSF974" s="252"/>
      <c r="PSG974" s="252"/>
      <c r="PSH974" s="252"/>
      <c r="PSI974" s="252"/>
      <c r="PSJ974" s="252"/>
      <c r="PSK974" s="252"/>
      <c r="PSL974" s="252"/>
      <c r="PSM974" s="252"/>
      <c r="PSN974" s="252"/>
      <c r="PSO974" s="252"/>
      <c r="PSP974" s="252"/>
      <c r="PSQ974" s="252"/>
      <c r="PSR974" s="252"/>
      <c r="PSS974" s="252"/>
      <c r="PST974" s="252"/>
      <c r="PSU974" s="252"/>
      <c r="PSV974" s="252"/>
      <c r="PSW974" s="252"/>
      <c r="PSX974" s="252"/>
      <c r="PSY974" s="252"/>
      <c r="PSZ974" s="252"/>
      <c r="PTA974" s="252"/>
      <c r="PTB974" s="252"/>
      <c r="PTC974" s="252"/>
      <c r="PTD974" s="252"/>
      <c r="PTE974" s="252"/>
      <c r="PTF974" s="252"/>
      <c r="PTG974" s="252"/>
      <c r="PTH974" s="252"/>
      <c r="PTI974" s="252"/>
      <c r="PTJ974" s="252"/>
      <c r="PTK974" s="252"/>
      <c r="PTL974" s="252"/>
      <c r="PTM974" s="252"/>
      <c r="PTN974" s="252"/>
      <c r="PTO974" s="252"/>
      <c r="PTP974" s="252"/>
      <c r="PTQ974" s="252"/>
      <c r="PTR974" s="252"/>
      <c r="PTS974" s="252"/>
      <c r="PTT974" s="252"/>
      <c r="PTU974" s="252"/>
      <c r="PTV974" s="252"/>
      <c r="PTW974" s="252"/>
      <c r="PTX974" s="252"/>
      <c r="PTY974" s="252"/>
      <c r="PTZ974" s="252"/>
      <c r="PUA974" s="252"/>
      <c r="PUB974" s="252"/>
      <c r="PUC974" s="252"/>
      <c r="PUD974" s="252"/>
      <c r="PUE974" s="252"/>
      <c r="PUF974" s="252"/>
      <c r="PUG974" s="252"/>
      <c r="PUH974" s="252"/>
      <c r="PUI974" s="252"/>
      <c r="PUJ974" s="252"/>
      <c r="PUK974" s="252"/>
      <c r="PUL974" s="252"/>
      <c r="PUM974" s="252"/>
      <c r="PUN974" s="252"/>
      <c r="PUO974" s="252"/>
      <c r="PUP974" s="252"/>
      <c r="PUQ974" s="252"/>
      <c r="PUR974" s="252"/>
      <c r="PUS974" s="252"/>
      <c r="PUT974" s="252"/>
      <c r="PUU974" s="252"/>
      <c r="PUV974" s="252"/>
      <c r="PUW974" s="252"/>
      <c r="PUX974" s="252"/>
      <c r="PUY974" s="252"/>
      <c r="PUZ974" s="252"/>
      <c r="PVA974" s="252"/>
      <c r="PVB974" s="252"/>
      <c r="PVC974" s="252"/>
      <c r="PVD974" s="252"/>
      <c r="PVE974" s="252"/>
      <c r="PVF974" s="252"/>
      <c r="PVG974" s="252"/>
      <c r="PVH974" s="252"/>
      <c r="PVI974" s="252"/>
      <c r="PVJ974" s="252"/>
      <c r="PVK974" s="252"/>
      <c r="PVL974" s="252"/>
      <c r="PVM974" s="252"/>
      <c r="PVN974" s="252"/>
      <c r="PVO974" s="252"/>
      <c r="PVP974" s="252"/>
      <c r="PVQ974" s="252"/>
      <c r="PVR974" s="252"/>
      <c r="PVS974" s="252"/>
      <c r="PVT974" s="252"/>
      <c r="PVU974" s="252"/>
      <c r="PVV974" s="252"/>
      <c r="PVW974" s="252"/>
      <c r="PVX974" s="252"/>
      <c r="PVY974" s="252"/>
      <c r="PVZ974" s="252"/>
      <c r="PWA974" s="252"/>
      <c r="PWB974" s="252"/>
      <c r="PWC974" s="252"/>
      <c r="PWD974" s="252"/>
      <c r="PWE974" s="252"/>
      <c r="PWF974" s="252"/>
      <c r="PWG974" s="252"/>
      <c r="PWH974" s="252"/>
      <c r="PWI974" s="252"/>
      <c r="PWJ974" s="252"/>
      <c r="PWK974" s="252"/>
      <c r="PWL974" s="252"/>
      <c r="PWM974" s="252"/>
      <c r="PWN974" s="252"/>
      <c r="PWO974" s="252"/>
      <c r="PWP974" s="252"/>
      <c r="PWQ974" s="252"/>
      <c r="PWR974" s="252"/>
      <c r="PWS974" s="252"/>
      <c r="PWT974" s="252"/>
      <c r="PWU974" s="252"/>
      <c r="PWV974" s="252"/>
      <c r="PWW974" s="252"/>
      <c r="PWX974" s="252"/>
      <c r="PWY974" s="252"/>
      <c r="PWZ974" s="252"/>
      <c r="PXA974" s="252"/>
      <c r="PXB974" s="252"/>
      <c r="PXC974" s="252"/>
      <c r="PXD974" s="252"/>
      <c r="PXE974" s="252"/>
      <c r="PXF974" s="252"/>
      <c r="PXG974" s="252"/>
      <c r="PXH974" s="252"/>
      <c r="PXI974" s="252"/>
      <c r="PXJ974" s="252"/>
      <c r="PXK974" s="252"/>
      <c r="PXL974" s="252"/>
      <c r="PXM974" s="252"/>
      <c r="PXN974" s="252"/>
      <c r="PXO974" s="252"/>
      <c r="PXP974" s="252"/>
      <c r="PXQ974" s="252"/>
      <c r="PXR974" s="252"/>
      <c r="PXS974" s="252"/>
      <c r="PXT974" s="252"/>
      <c r="PXU974" s="252"/>
      <c r="PXV974" s="252"/>
      <c r="PXW974" s="252"/>
      <c r="PXX974" s="252"/>
      <c r="PXY974" s="252"/>
      <c r="PXZ974" s="252"/>
      <c r="PYA974" s="252"/>
      <c r="PYB974" s="252"/>
      <c r="PYC974" s="252"/>
      <c r="PYD974" s="252"/>
      <c r="PYE974" s="252"/>
      <c r="PYF974" s="252"/>
      <c r="PYG974" s="252"/>
      <c r="PYH974" s="252"/>
      <c r="PYI974" s="252"/>
      <c r="PYJ974" s="252"/>
      <c r="PYK974" s="252"/>
      <c r="PYL974" s="252"/>
      <c r="PYM974" s="252"/>
      <c r="PYN974" s="252"/>
      <c r="PYO974" s="252"/>
      <c r="PYP974" s="252"/>
      <c r="PYQ974" s="252"/>
      <c r="PYR974" s="252"/>
      <c r="PYS974" s="252"/>
      <c r="PYT974" s="252"/>
      <c r="PYU974" s="252"/>
      <c r="PYV974" s="252"/>
      <c r="PYW974" s="252"/>
      <c r="PYX974" s="252"/>
      <c r="PYY974" s="252"/>
      <c r="PYZ974" s="252"/>
      <c r="PZA974" s="252"/>
      <c r="PZB974" s="252"/>
      <c r="PZC974" s="252"/>
      <c r="PZD974" s="252"/>
      <c r="PZE974" s="252"/>
      <c r="PZF974" s="252"/>
      <c r="PZG974" s="252"/>
      <c r="PZH974" s="252"/>
      <c r="PZI974" s="252"/>
      <c r="PZJ974" s="252"/>
      <c r="PZK974" s="252"/>
      <c r="PZL974" s="252"/>
      <c r="PZM974" s="252"/>
      <c r="PZN974" s="252"/>
      <c r="PZO974" s="252"/>
      <c r="PZP974" s="252"/>
      <c r="PZQ974" s="252"/>
      <c r="PZR974" s="252"/>
      <c r="PZS974" s="252"/>
      <c r="PZT974" s="252"/>
      <c r="PZU974" s="252"/>
      <c r="PZV974" s="252"/>
      <c r="PZW974" s="252"/>
      <c r="PZX974" s="252"/>
      <c r="PZY974" s="252"/>
      <c r="PZZ974" s="252"/>
      <c r="QAA974" s="252"/>
      <c r="QAB974" s="252"/>
      <c r="QAC974" s="252"/>
      <c r="QAD974" s="252"/>
      <c r="QAE974" s="252"/>
      <c r="QAF974" s="252"/>
      <c r="QAG974" s="252"/>
      <c r="QAH974" s="252"/>
      <c r="QAI974" s="252"/>
      <c r="QAJ974" s="252"/>
      <c r="QAK974" s="252"/>
      <c r="QAL974" s="252"/>
      <c r="QAM974" s="252"/>
      <c r="QAN974" s="252"/>
      <c r="QAO974" s="252"/>
      <c r="QAP974" s="252"/>
      <c r="QAQ974" s="252"/>
      <c r="QAR974" s="252"/>
      <c r="QAS974" s="252"/>
      <c r="QAT974" s="252"/>
      <c r="QAU974" s="252"/>
      <c r="QAV974" s="252"/>
      <c r="QAW974" s="252"/>
      <c r="QAX974" s="252"/>
      <c r="QAY974" s="252"/>
      <c r="QAZ974" s="252"/>
      <c r="QBA974" s="252"/>
      <c r="QBB974" s="252"/>
      <c r="QBC974" s="252"/>
      <c r="QBD974" s="252"/>
      <c r="QBE974" s="252"/>
      <c r="QBF974" s="252"/>
      <c r="QBG974" s="252"/>
      <c r="QBH974" s="252"/>
      <c r="QBI974" s="252"/>
      <c r="QBJ974" s="252"/>
      <c r="QBK974" s="252"/>
      <c r="QBL974" s="252"/>
      <c r="QBM974" s="252"/>
      <c r="QBN974" s="252"/>
      <c r="QBO974" s="252"/>
      <c r="QBP974" s="252"/>
      <c r="QBQ974" s="252"/>
      <c r="QBR974" s="252"/>
      <c r="QBS974" s="252"/>
      <c r="QBT974" s="252"/>
      <c r="QBU974" s="252"/>
      <c r="QBV974" s="252"/>
      <c r="QBW974" s="252"/>
      <c r="QBX974" s="252"/>
      <c r="QBY974" s="252"/>
      <c r="QBZ974" s="252"/>
      <c r="QCA974" s="252"/>
      <c r="QCB974" s="252"/>
      <c r="QCC974" s="252"/>
      <c r="QCD974" s="252"/>
      <c r="QCE974" s="252"/>
      <c r="QCF974" s="252"/>
      <c r="QCG974" s="252"/>
      <c r="QCH974" s="252"/>
      <c r="QCI974" s="252"/>
      <c r="QCJ974" s="252"/>
      <c r="QCK974" s="252"/>
      <c r="QCL974" s="252"/>
      <c r="QCM974" s="252"/>
      <c r="QCN974" s="252"/>
      <c r="QCO974" s="252"/>
      <c r="QCP974" s="252"/>
      <c r="QCQ974" s="252"/>
      <c r="QCR974" s="252"/>
      <c r="QCS974" s="252"/>
      <c r="QCT974" s="252"/>
      <c r="QCU974" s="252"/>
      <c r="QCV974" s="252"/>
      <c r="QCW974" s="252"/>
      <c r="QCX974" s="252"/>
      <c r="QCY974" s="252"/>
      <c r="QCZ974" s="252"/>
      <c r="QDA974" s="252"/>
      <c r="QDB974" s="252"/>
      <c r="QDC974" s="252"/>
      <c r="QDD974" s="252"/>
      <c r="QDE974" s="252"/>
      <c r="QDF974" s="252"/>
      <c r="QDG974" s="252"/>
      <c r="QDH974" s="252"/>
      <c r="QDI974" s="252"/>
      <c r="QDJ974" s="252"/>
      <c r="QDK974" s="252"/>
      <c r="QDL974" s="252"/>
      <c r="QDM974" s="252"/>
      <c r="QDN974" s="252"/>
      <c r="QDO974" s="252"/>
      <c r="QDP974" s="252"/>
      <c r="QDQ974" s="252"/>
      <c r="QDR974" s="252"/>
      <c r="QDS974" s="252"/>
      <c r="QDT974" s="252"/>
      <c r="QDU974" s="252"/>
      <c r="QDV974" s="252"/>
      <c r="QDW974" s="252"/>
      <c r="QDX974" s="252"/>
      <c r="QDY974" s="252"/>
      <c r="QDZ974" s="252"/>
      <c r="QEA974" s="252"/>
      <c r="QEB974" s="252"/>
      <c r="QEC974" s="252"/>
      <c r="QED974" s="252"/>
      <c r="QEE974" s="252"/>
      <c r="QEF974" s="252"/>
      <c r="QEG974" s="252"/>
      <c r="QEH974" s="252"/>
      <c r="QEI974" s="252"/>
      <c r="QEJ974" s="252"/>
      <c r="QEK974" s="252"/>
      <c r="QEL974" s="252"/>
      <c r="QEM974" s="252"/>
      <c r="QEN974" s="252"/>
      <c r="QEO974" s="252"/>
      <c r="QEP974" s="252"/>
      <c r="QEQ974" s="252"/>
      <c r="QER974" s="252"/>
      <c r="QES974" s="252"/>
      <c r="QET974" s="252"/>
      <c r="QEU974" s="252"/>
      <c r="QEV974" s="252"/>
      <c r="QEW974" s="252"/>
      <c r="QEX974" s="252"/>
      <c r="QEY974" s="252"/>
      <c r="QEZ974" s="252"/>
      <c r="QFA974" s="252"/>
      <c r="QFB974" s="252"/>
      <c r="QFC974" s="252"/>
      <c r="QFD974" s="252"/>
      <c r="QFE974" s="252"/>
      <c r="QFF974" s="252"/>
      <c r="QFG974" s="252"/>
      <c r="QFH974" s="252"/>
      <c r="QFI974" s="252"/>
      <c r="QFJ974" s="252"/>
      <c r="QFK974" s="252"/>
      <c r="QFL974" s="252"/>
      <c r="QFM974" s="252"/>
      <c r="QFN974" s="252"/>
      <c r="QFO974" s="252"/>
      <c r="QFP974" s="252"/>
      <c r="QFQ974" s="252"/>
      <c r="QFR974" s="252"/>
      <c r="QFS974" s="252"/>
      <c r="QFT974" s="252"/>
      <c r="QFU974" s="252"/>
      <c r="QFV974" s="252"/>
      <c r="QFW974" s="252"/>
      <c r="QFX974" s="252"/>
      <c r="QFY974" s="252"/>
      <c r="QFZ974" s="252"/>
      <c r="QGA974" s="252"/>
      <c r="QGB974" s="252"/>
      <c r="QGC974" s="252"/>
      <c r="QGD974" s="252"/>
      <c r="QGE974" s="252"/>
      <c r="QGF974" s="252"/>
      <c r="QGG974" s="252"/>
      <c r="QGH974" s="252"/>
      <c r="QGI974" s="252"/>
      <c r="QGJ974" s="252"/>
      <c r="QGK974" s="252"/>
      <c r="QGL974" s="252"/>
      <c r="QGM974" s="252"/>
      <c r="QGN974" s="252"/>
      <c r="QGO974" s="252"/>
      <c r="QGP974" s="252"/>
      <c r="QGQ974" s="252"/>
      <c r="QGR974" s="252"/>
      <c r="QGS974" s="252"/>
      <c r="QGT974" s="252"/>
      <c r="QGU974" s="252"/>
      <c r="QGV974" s="252"/>
      <c r="QGW974" s="252"/>
      <c r="QGX974" s="252"/>
      <c r="QGY974" s="252"/>
      <c r="QGZ974" s="252"/>
      <c r="QHA974" s="252"/>
      <c r="QHB974" s="252"/>
      <c r="QHC974" s="252"/>
      <c r="QHD974" s="252"/>
      <c r="QHE974" s="252"/>
      <c r="QHF974" s="252"/>
      <c r="QHG974" s="252"/>
      <c r="QHH974" s="252"/>
      <c r="QHI974" s="252"/>
      <c r="QHJ974" s="252"/>
      <c r="QHK974" s="252"/>
      <c r="QHL974" s="252"/>
      <c r="QHM974" s="252"/>
      <c r="QHN974" s="252"/>
      <c r="QHO974" s="252"/>
      <c r="QHP974" s="252"/>
      <c r="QHQ974" s="252"/>
      <c r="QHR974" s="252"/>
      <c r="QHS974" s="252"/>
      <c r="QHT974" s="252"/>
      <c r="QHU974" s="252"/>
      <c r="QHV974" s="252"/>
      <c r="QHW974" s="252"/>
      <c r="QHX974" s="252"/>
      <c r="QHY974" s="252"/>
      <c r="QHZ974" s="252"/>
      <c r="QIA974" s="252"/>
      <c r="QIB974" s="252"/>
      <c r="QIC974" s="252"/>
      <c r="QID974" s="252"/>
      <c r="QIE974" s="252"/>
      <c r="QIF974" s="252"/>
      <c r="QIG974" s="252"/>
      <c r="QIH974" s="252"/>
      <c r="QII974" s="252"/>
      <c r="QIJ974" s="252"/>
      <c r="QIK974" s="252"/>
      <c r="QIL974" s="252"/>
      <c r="QIM974" s="252"/>
      <c r="QIN974" s="252"/>
      <c r="QIO974" s="252"/>
      <c r="QIP974" s="252"/>
      <c r="QIQ974" s="252"/>
      <c r="QIR974" s="252"/>
      <c r="QIS974" s="252"/>
      <c r="QIT974" s="252"/>
      <c r="QIU974" s="252"/>
      <c r="QIV974" s="252"/>
      <c r="QIW974" s="252"/>
      <c r="QIX974" s="252"/>
      <c r="QIY974" s="252"/>
      <c r="QIZ974" s="252"/>
      <c r="QJA974" s="252"/>
      <c r="QJB974" s="252"/>
      <c r="QJC974" s="252"/>
      <c r="QJD974" s="252"/>
      <c r="QJE974" s="252"/>
      <c r="QJF974" s="252"/>
      <c r="QJG974" s="252"/>
      <c r="QJH974" s="252"/>
      <c r="QJI974" s="252"/>
      <c r="QJJ974" s="252"/>
      <c r="QJK974" s="252"/>
      <c r="QJL974" s="252"/>
      <c r="QJM974" s="252"/>
      <c r="QJN974" s="252"/>
      <c r="QJO974" s="252"/>
      <c r="QJP974" s="252"/>
      <c r="QJQ974" s="252"/>
      <c r="QJR974" s="252"/>
      <c r="QJS974" s="252"/>
      <c r="QJT974" s="252"/>
      <c r="QJU974" s="252"/>
      <c r="QJV974" s="252"/>
      <c r="QJW974" s="252"/>
      <c r="QJX974" s="252"/>
      <c r="QJY974" s="252"/>
      <c r="QJZ974" s="252"/>
      <c r="QKA974" s="252"/>
      <c r="QKB974" s="252"/>
      <c r="QKC974" s="252"/>
      <c r="QKD974" s="252"/>
      <c r="QKE974" s="252"/>
      <c r="QKF974" s="252"/>
      <c r="QKG974" s="252"/>
      <c r="QKH974" s="252"/>
      <c r="QKI974" s="252"/>
      <c r="QKJ974" s="252"/>
      <c r="QKK974" s="252"/>
      <c r="QKL974" s="252"/>
      <c r="QKM974" s="252"/>
      <c r="QKN974" s="252"/>
      <c r="QKO974" s="252"/>
      <c r="QKP974" s="252"/>
      <c r="QKQ974" s="252"/>
      <c r="QKR974" s="252"/>
      <c r="QKS974" s="252"/>
      <c r="QKT974" s="252"/>
      <c r="QKU974" s="252"/>
      <c r="QKV974" s="252"/>
      <c r="QKW974" s="252"/>
      <c r="QKX974" s="252"/>
      <c r="QKY974" s="252"/>
      <c r="QKZ974" s="252"/>
      <c r="QLA974" s="252"/>
      <c r="QLB974" s="252"/>
      <c r="QLC974" s="252"/>
      <c r="QLD974" s="252"/>
      <c r="QLE974" s="252"/>
      <c r="QLF974" s="252"/>
      <c r="QLG974" s="252"/>
      <c r="QLH974" s="252"/>
      <c r="QLI974" s="252"/>
      <c r="QLJ974" s="252"/>
      <c r="QLK974" s="252"/>
      <c r="QLL974" s="252"/>
      <c r="QLM974" s="252"/>
      <c r="QLN974" s="252"/>
      <c r="QLO974" s="252"/>
      <c r="QLP974" s="252"/>
      <c r="QLQ974" s="252"/>
      <c r="QLR974" s="252"/>
      <c r="QLS974" s="252"/>
      <c r="QLT974" s="252"/>
      <c r="QLU974" s="252"/>
      <c r="QLV974" s="252"/>
      <c r="QLW974" s="252"/>
      <c r="QLX974" s="252"/>
      <c r="QLY974" s="252"/>
      <c r="QLZ974" s="252"/>
      <c r="QMA974" s="252"/>
      <c r="QMB974" s="252"/>
      <c r="QMC974" s="252"/>
      <c r="QMD974" s="252"/>
      <c r="QME974" s="252"/>
      <c r="QMF974" s="252"/>
      <c r="QMG974" s="252"/>
      <c r="QMH974" s="252"/>
      <c r="QMI974" s="252"/>
      <c r="QMJ974" s="252"/>
      <c r="QMK974" s="252"/>
      <c r="QML974" s="252"/>
      <c r="QMM974" s="252"/>
      <c r="QMN974" s="252"/>
      <c r="QMO974" s="252"/>
      <c r="QMP974" s="252"/>
      <c r="QMQ974" s="252"/>
      <c r="QMR974" s="252"/>
      <c r="QMS974" s="252"/>
      <c r="QMT974" s="252"/>
      <c r="QMU974" s="252"/>
      <c r="QMV974" s="252"/>
      <c r="QMW974" s="252"/>
      <c r="QMX974" s="252"/>
      <c r="QMY974" s="252"/>
      <c r="QMZ974" s="252"/>
      <c r="QNA974" s="252"/>
      <c r="QNB974" s="252"/>
      <c r="QNC974" s="252"/>
      <c r="QND974" s="252"/>
      <c r="QNE974" s="252"/>
      <c r="QNF974" s="252"/>
      <c r="QNG974" s="252"/>
      <c r="QNH974" s="252"/>
      <c r="QNI974" s="252"/>
      <c r="QNJ974" s="252"/>
      <c r="QNK974" s="252"/>
      <c r="QNL974" s="252"/>
      <c r="QNM974" s="252"/>
      <c r="QNN974" s="252"/>
      <c r="QNO974" s="252"/>
      <c r="QNP974" s="252"/>
      <c r="QNQ974" s="252"/>
      <c r="QNR974" s="252"/>
      <c r="QNS974" s="252"/>
      <c r="QNT974" s="252"/>
      <c r="QNU974" s="252"/>
      <c r="QNV974" s="252"/>
      <c r="QNW974" s="252"/>
      <c r="QNX974" s="252"/>
      <c r="QNY974" s="252"/>
      <c r="QNZ974" s="252"/>
      <c r="QOA974" s="252"/>
      <c r="QOB974" s="252"/>
      <c r="QOC974" s="252"/>
      <c r="QOD974" s="252"/>
      <c r="QOE974" s="252"/>
      <c r="QOF974" s="252"/>
      <c r="QOG974" s="252"/>
      <c r="QOH974" s="252"/>
      <c r="QOI974" s="252"/>
      <c r="QOJ974" s="252"/>
      <c r="QOK974" s="252"/>
      <c r="QOL974" s="252"/>
      <c r="QOM974" s="252"/>
      <c r="QON974" s="252"/>
      <c r="QOO974" s="252"/>
      <c r="QOP974" s="252"/>
      <c r="QOQ974" s="252"/>
      <c r="QOR974" s="252"/>
      <c r="QOS974" s="252"/>
      <c r="QOT974" s="252"/>
      <c r="QOU974" s="252"/>
      <c r="QOV974" s="252"/>
      <c r="QOW974" s="252"/>
      <c r="QOX974" s="252"/>
      <c r="QOY974" s="252"/>
      <c r="QOZ974" s="252"/>
      <c r="QPA974" s="252"/>
      <c r="QPB974" s="252"/>
      <c r="QPC974" s="252"/>
      <c r="QPD974" s="252"/>
      <c r="QPE974" s="252"/>
      <c r="QPF974" s="252"/>
      <c r="QPG974" s="252"/>
      <c r="QPH974" s="252"/>
      <c r="QPI974" s="252"/>
      <c r="QPJ974" s="252"/>
      <c r="QPK974" s="252"/>
      <c r="QPL974" s="252"/>
      <c r="QPM974" s="252"/>
      <c r="QPN974" s="252"/>
      <c r="QPO974" s="252"/>
      <c r="QPP974" s="252"/>
      <c r="QPQ974" s="252"/>
      <c r="QPR974" s="252"/>
      <c r="QPS974" s="252"/>
      <c r="QPT974" s="252"/>
      <c r="QPU974" s="252"/>
      <c r="QPV974" s="252"/>
      <c r="QPW974" s="252"/>
      <c r="QPX974" s="252"/>
      <c r="QPY974" s="252"/>
      <c r="QPZ974" s="252"/>
      <c r="QQA974" s="252"/>
      <c r="QQB974" s="252"/>
      <c r="QQC974" s="252"/>
      <c r="QQD974" s="252"/>
      <c r="QQE974" s="252"/>
      <c r="QQF974" s="252"/>
      <c r="QQG974" s="252"/>
      <c r="QQH974" s="252"/>
      <c r="QQI974" s="252"/>
      <c r="QQJ974" s="252"/>
      <c r="QQK974" s="252"/>
      <c r="QQL974" s="252"/>
      <c r="QQM974" s="252"/>
      <c r="QQN974" s="252"/>
      <c r="QQO974" s="252"/>
      <c r="QQP974" s="252"/>
      <c r="QQQ974" s="252"/>
      <c r="QQR974" s="252"/>
      <c r="QQS974" s="252"/>
      <c r="QQT974" s="252"/>
      <c r="QQU974" s="252"/>
      <c r="QQV974" s="252"/>
      <c r="QQW974" s="252"/>
      <c r="QQX974" s="252"/>
      <c r="QQY974" s="252"/>
      <c r="QQZ974" s="252"/>
      <c r="QRA974" s="252"/>
      <c r="QRB974" s="252"/>
      <c r="QRC974" s="252"/>
      <c r="QRD974" s="252"/>
      <c r="QRE974" s="252"/>
      <c r="QRF974" s="252"/>
      <c r="QRG974" s="252"/>
      <c r="QRH974" s="252"/>
      <c r="QRI974" s="252"/>
      <c r="QRJ974" s="252"/>
      <c r="QRK974" s="252"/>
      <c r="QRL974" s="252"/>
      <c r="QRM974" s="252"/>
      <c r="QRN974" s="252"/>
      <c r="QRO974" s="252"/>
      <c r="QRP974" s="252"/>
      <c r="QRQ974" s="252"/>
      <c r="QRR974" s="252"/>
      <c r="QRS974" s="252"/>
      <c r="QRT974" s="252"/>
      <c r="QRU974" s="252"/>
      <c r="QRV974" s="252"/>
      <c r="QRW974" s="252"/>
      <c r="QRX974" s="252"/>
      <c r="QRY974" s="252"/>
      <c r="QRZ974" s="252"/>
      <c r="QSA974" s="252"/>
      <c r="QSB974" s="252"/>
      <c r="QSC974" s="252"/>
      <c r="QSD974" s="252"/>
      <c r="QSE974" s="252"/>
      <c r="QSF974" s="252"/>
      <c r="QSG974" s="252"/>
      <c r="QSH974" s="252"/>
      <c r="QSI974" s="252"/>
      <c r="QSJ974" s="252"/>
      <c r="QSK974" s="252"/>
      <c r="QSL974" s="252"/>
      <c r="QSM974" s="252"/>
      <c r="QSN974" s="252"/>
      <c r="QSO974" s="252"/>
      <c r="QSP974" s="252"/>
      <c r="QSQ974" s="252"/>
      <c r="QSR974" s="252"/>
      <c r="QSS974" s="252"/>
      <c r="QST974" s="252"/>
      <c r="QSU974" s="252"/>
      <c r="QSV974" s="252"/>
      <c r="QSW974" s="252"/>
      <c r="QSX974" s="252"/>
      <c r="QSY974" s="252"/>
      <c r="QSZ974" s="252"/>
      <c r="QTA974" s="252"/>
      <c r="QTB974" s="252"/>
      <c r="QTC974" s="252"/>
      <c r="QTD974" s="252"/>
      <c r="QTE974" s="252"/>
      <c r="QTF974" s="252"/>
      <c r="QTG974" s="252"/>
      <c r="QTH974" s="252"/>
      <c r="QTI974" s="252"/>
      <c r="QTJ974" s="252"/>
      <c r="QTK974" s="252"/>
      <c r="QTL974" s="252"/>
      <c r="QTM974" s="252"/>
      <c r="QTN974" s="252"/>
      <c r="QTO974" s="252"/>
      <c r="QTP974" s="252"/>
      <c r="QTQ974" s="252"/>
      <c r="QTR974" s="252"/>
      <c r="QTS974" s="252"/>
      <c r="QTT974" s="252"/>
      <c r="QTU974" s="252"/>
      <c r="QTV974" s="252"/>
      <c r="QTW974" s="252"/>
      <c r="QTX974" s="252"/>
      <c r="QTY974" s="252"/>
      <c r="QTZ974" s="252"/>
      <c r="QUA974" s="252"/>
      <c r="QUB974" s="252"/>
      <c r="QUC974" s="252"/>
      <c r="QUD974" s="252"/>
      <c r="QUE974" s="252"/>
      <c r="QUF974" s="252"/>
      <c r="QUG974" s="252"/>
      <c r="QUH974" s="252"/>
      <c r="QUI974" s="252"/>
      <c r="QUJ974" s="252"/>
      <c r="QUK974" s="252"/>
      <c r="QUL974" s="252"/>
      <c r="QUM974" s="252"/>
      <c r="QUN974" s="252"/>
      <c r="QUO974" s="252"/>
      <c r="QUP974" s="252"/>
      <c r="QUQ974" s="252"/>
      <c r="QUR974" s="252"/>
      <c r="QUS974" s="252"/>
      <c r="QUT974" s="252"/>
      <c r="QUU974" s="252"/>
      <c r="QUV974" s="252"/>
      <c r="QUW974" s="252"/>
      <c r="QUX974" s="252"/>
      <c r="QUY974" s="252"/>
      <c r="QUZ974" s="252"/>
      <c r="QVA974" s="252"/>
      <c r="QVB974" s="252"/>
      <c r="QVC974" s="252"/>
      <c r="QVD974" s="252"/>
      <c r="QVE974" s="252"/>
      <c r="QVF974" s="252"/>
      <c r="QVG974" s="252"/>
      <c r="QVH974" s="252"/>
      <c r="QVI974" s="252"/>
      <c r="QVJ974" s="252"/>
      <c r="QVK974" s="252"/>
      <c r="QVL974" s="252"/>
      <c r="QVM974" s="252"/>
      <c r="QVN974" s="252"/>
      <c r="QVO974" s="252"/>
      <c r="QVP974" s="252"/>
      <c r="QVQ974" s="252"/>
      <c r="QVR974" s="252"/>
      <c r="QVS974" s="252"/>
      <c r="QVT974" s="252"/>
      <c r="QVU974" s="252"/>
      <c r="QVV974" s="252"/>
      <c r="QVW974" s="252"/>
      <c r="QVX974" s="252"/>
      <c r="QVY974" s="252"/>
      <c r="QVZ974" s="252"/>
      <c r="QWA974" s="252"/>
      <c r="QWB974" s="252"/>
      <c r="QWC974" s="252"/>
      <c r="QWD974" s="252"/>
      <c r="QWE974" s="252"/>
      <c r="QWF974" s="252"/>
      <c r="QWG974" s="252"/>
      <c r="QWH974" s="252"/>
      <c r="QWI974" s="252"/>
      <c r="QWJ974" s="252"/>
      <c r="QWK974" s="252"/>
      <c r="QWL974" s="252"/>
      <c r="QWM974" s="252"/>
      <c r="QWN974" s="252"/>
      <c r="QWO974" s="252"/>
      <c r="QWP974" s="252"/>
      <c r="QWQ974" s="252"/>
      <c r="QWR974" s="252"/>
      <c r="QWS974" s="252"/>
      <c r="QWT974" s="252"/>
      <c r="QWU974" s="252"/>
      <c r="QWV974" s="252"/>
      <c r="QWW974" s="252"/>
      <c r="QWX974" s="252"/>
      <c r="QWY974" s="252"/>
      <c r="QWZ974" s="252"/>
      <c r="QXA974" s="252"/>
      <c r="QXB974" s="252"/>
      <c r="QXC974" s="252"/>
      <c r="QXD974" s="252"/>
      <c r="QXE974" s="252"/>
      <c r="QXF974" s="252"/>
      <c r="QXG974" s="252"/>
      <c r="QXH974" s="252"/>
      <c r="QXI974" s="252"/>
      <c r="QXJ974" s="252"/>
      <c r="QXK974" s="252"/>
      <c r="QXL974" s="252"/>
      <c r="QXM974" s="252"/>
      <c r="QXN974" s="252"/>
      <c r="QXO974" s="252"/>
      <c r="QXP974" s="252"/>
      <c r="QXQ974" s="252"/>
      <c r="QXR974" s="252"/>
      <c r="QXS974" s="252"/>
      <c r="QXT974" s="252"/>
      <c r="QXU974" s="252"/>
      <c r="QXV974" s="252"/>
      <c r="QXW974" s="252"/>
      <c r="QXX974" s="252"/>
      <c r="QXY974" s="252"/>
      <c r="QXZ974" s="252"/>
      <c r="QYA974" s="252"/>
      <c r="QYB974" s="252"/>
      <c r="QYC974" s="252"/>
      <c r="QYD974" s="252"/>
      <c r="QYE974" s="252"/>
      <c r="QYF974" s="252"/>
      <c r="QYG974" s="252"/>
      <c r="QYH974" s="252"/>
      <c r="QYI974" s="252"/>
      <c r="QYJ974" s="252"/>
      <c r="QYK974" s="252"/>
      <c r="QYL974" s="252"/>
      <c r="QYM974" s="252"/>
      <c r="QYN974" s="252"/>
      <c r="QYO974" s="252"/>
      <c r="QYP974" s="252"/>
      <c r="QYQ974" s="252"/>
      <c r="QYR974" s="252"/>
      <c r="QYS974" s="252"/>
      <c r="QYT974" s="252"/>
      <c r="QYU974" s="252"/>
      <c r="QYV974" s="252"/>
      <c r="QYW974" s="252"/>
      <c r="QYX974" s="252"/>
      <c r="QYY974" s="252"/>
      <c r="QYZ974" s="252"/>
      <c r="QZA974" s="252"/>
      <c r="QZB974" s="252"/>
      <c r="QZC974" s="252"/>
      <c r="QZD974" s="252"/>
      <c r="QZE974" s="252"/>
      <c r="QZF974" s="252"/>
      <c r="QZG974" s="252"/>
      <c r="QZH974" s="252"/>
      <c r="QZI974" s="252"/>
      <c r="QZJ974" s="252"/>
      <c r="QZK974" s="252"/>
      <c r="QZL974" s="252"/>
      <c r="QZM974" s="252"/>
      <c r="QZN974" s="252"/>
      <c r="QZO974" s="252"/>
      <c r="QZP974" s="252"/>
      <c r="QZQ974" s="252"/>
      <c r="QZR974" s="252"/>
      <c r="QZS974" s="252"/>
      <c r="QZT974" s="252"/>
      <c r="QZU974" s="252"/>
      <c r="QZV974" s="252"/>
      <c r="QZW974" s="252"/>
      <c r="QZX974" s="252"/>
      <c r="QZY974" s="252"/>
      <c r="QZZ974" s="252"/>
      <c r="RAA974" s="252"/>
      <c r="RAB974" s="252"/>
      <c r="RAC974" s="252"/>
      <c r="RAD974" s="252"/>
      <c r="RAE974" s="252"/>
      <c r="RAF974" s="252"/>
      <c r="RAG974" s="252"/>
      <c r="RAH974" s="252"/>
      <c r="RAI974" s="252"/>
      <c r="RAJ974" s="252"/>
      <c r="RAK974" s="252"/>
      <c r="RAL974" s="252"/>
      <c r="RAM974" s="252"/>
      <c r="RAN974" s="252"/>
      <c r="RAO974" s="252"/>
      <c r="RAP974" s="252"/>
      <c r="RAQ974" s="252"/>
      <c r="RAR974" s="252"/>
      <c r="RAS974" s="252"/>
      <c r="RAT974" s="252"/>
      <c r="RAU974" s="252"/>
      <c r="RAV974" s="252"/>
      <c r="RAW974" s="252"/>
      <c r="RAX974" s="252"/>
      <c r="RAY974" s="252"/>
      <c r="RAZ974" s="252"/>
      <c r="RBA974" s="252"/>
      <c r="RBB974" s="252"/>
      <c r="RBC974" s="252"/>
      <c r="RBD974" s="252"/>
      <c r="RBE974" s="252"/>
      <c r="RBF974" s="252"/>
      <c r="RBG974" s="252"/>
      <c r="RBH974" s="252"/>
      <c r="RBI974" s="252"/>
      <c r="RBJ974" s="252"/>
      <c r="RBK974" s="252"/>
      <c r="RBL974" s="252"/>
      <c r="RBM974" s="252"/>
      <c r="RBN974" s="252"/>
      <c r="RBO974" s="252"/>
      <c r="RBP974" s="252"/>
      <c r="RBQ974" s="252"/>
      <c r="RBR974" s="252"/>
      <c r="RBS974" s="252"/>
      <c r="RBT974" s="252"/>
      <c r="RBU974" s="252"/>
      <c r="RBV974" s="252"/>
      <c r="RBW974" s="252"/>
      <c r="RBX974" s="252"/>
      <c r="RBY974" s="252"/>
      <c r="RBZ974" s="252"/>
      <c r="RCA974" s="252"/>
      <c r="RCB974" s="252"/>
      <c r="RCC974" s="252"/>
      <c r="RCD974" s="252"/>
      <c r="RCE974" s="252"/>
      <c r="RCF974" s="252"/>
      <c r="RCG974" s="252"/>
      <c r="RCH974" s="252"/>
      <c r="RCI974" s="252"/>
      <c r="RCJ974" s="252"/>
      <c r="RCK974" s="252"/>
      <c r="RCL974" s="252"/>
      <c r="RCM974" s="252"/>
      <c r="RCN974" s="252"/>
      <c r="RCO974" s="252"/>
      <c r="RCP974" s="252"/>
      <c r="RCQ974" s="252"/>
      <c r="RCR974" s="252"/>
      <c r="RCS974" s="252"/>
      <c r="RCT974" s="252"/>
      <c r="RCU974" s="252"/>
      <c r="RCV974" s="252"/>
      <c r="RCW974" s="252"/>
      <c r="RCX974" s="252"/>
      <c r="RCY974" s="252"/>
      <c r="RCZ974" s="252"/>
      <c r="RDA974" s="252"/>
      <c r="RDB974" s="252"/>
      <c r="RDC974" s="252"/>
      <c r="RDD974" s="252"/>
      <c r="RDE974" s="252"/>
      <c r="RDF974" s="252"/>
      <c r="RDG974" s="252"/>
      <c r="RDH974" s="252"/>
      <c r="RDI974" s="252"/>
      <c r="RDJ974" s="252"/>
      <c r="RDK974" s="252"/>
      <c r="RDL974" s="252"/>
      <c r="RDM974" s="252"/>
      <c r="RDN974" s="252"/>
      <c r="RDO974" s="252"/>
      <c r="RDP974" s="252"/>
      <c r="RDQ974" s="252"/>
      <c r="RDR974" s="252"/>
      <c r="RDS974" s="252"/>
      <c r="RDT974" s="252"/>
      <c r="RDU974" s="252"/>
      <c r="RDV974" s="252"/>
      <c r="RDW974" s="252"/>
      <c r="RDX974" s="252"/>
      <c r="RDY974" s="252"/>
      <c r="RDZ974" s="252"/>
      <c r="REA974" s="252"/>
      <c r="REB974" s="252"/>
      <c r="REC974" s="252"/>
      <c r="RED974" s="252"/>
      <c r="REE974" s="252"/>
      <c r="REF974" s="252"/>
      <c r="REG974" s="252"/>
      <c r="REH974" s="252"/>
      <c r="REI974" s="252"/>
      <c r="REJ974" s="252"/>
      <c r="REK974" s="252"/>
      <c r="REL974" s="252"/>
      <c r="REM974" s="252"/>
      <c r="REN974" s="252"/>
      <c r="REO974" s="252"/>
      <c r="REP974" s="252"/>
      <c r="REQ974" s="252"/>
      <c r="RER974" s="252"/>
      <c r="RES974" s="252"/>
      <c r="RET974" s="252"/>
      <c r="REU974" s="252"/>
      <c r="REV974" s="252"/>
      <c r="REW974" s="252"/>
      <c r="REX974" s="252"/>
      <c r="REY974" s="252"/>
      <c r="REZ974" s="252"/>
      <c r="RFA974" s="252"/>
      <c r="RFB974" s="252"/>
      <c r="RFC974" s="252"/>
      <c r="RFD974" s="252"/>
      <c r="RFE974" s="252"/>
      <c r="RFF974" s="252"/>
      <c r="RFG974" s="252"/>
      <c r="RFH974" s="252"/>
      <c r="RFI974" s="252"/>
      <c r="RFJ974" s="252"/>
      <c r="RFK974" s="252"/>
      <c r="RFL974" s="252"/>
      <c r="RFM974" s="252"/>
      <c r="RFN974" s="252"/>
      <c r="RFO974" s="252"/>
      <c r="RFP974" s="252"/>
      <c r="RFQ974" s="252"/>
      <c r="RFR974" s="252"/>
      <c r="RFS974" s="252"/>
      <c r="RFT974" s="252"/>
      <c r="RFU974" s="252"/>
      <c r="RFV974" s="252"/>
      <c r="RFW974" s="252"/>
      <c r="RFX974" s="252"/>
      <c r="RFY974" s="252"/>
      <c r="RFZ974" s="252"/>
      <c r="RGA974" s="252"/>
      <c r="RGB974" s="252"/>
      <c r="RGC974" s="252"/>
      <c r="RGD974" s="252"/>
      <c r="RGE974" s="252"/>
      <c r="RGF974" s="252"/>
      <c r="RGG974" s="252"/>
      <c r="RGH974" s="252"/>
      <c r="RGI974" s="252"/>
      <c r="RGJ974" s="252"/>
      <c r="RGK974" s="252"/>
      <c r="RGL974" s="252"/>
      <c r="RGM974" s="252"/>
      <c r="RGN974" s="252"/>
      <c r="RGO974" s="252"/>
      <c r="RGP974" s="252"/>
      <c r="RGQ974" s="252"/>
      <c r="RGR974" s="252"/>
      <c r="RGS974" s="252"/>
      <c r="RGT974" s="252"/>
      <c r="RGU974" s="252"/>
      <c r="RGV974" s="252"/>
      <c r="RGW974" s="252"/>
      <c r="RGX974" s="252"/>
      <c r="RGY974" s="252"/>
      <c r="RGZ974" s="252"/>
      <c r="RHA974" s="252"/>
      <c r="RHB974" s="252"/>
      <c r="RHC974" s="252"/>
      <c r="RHD974" s="252"/>
      <c r="RHE974" s="252"/>
      <c r="RHF974" s="252"/>
      <c r="RHG974" s="252"/>
      <c r="RHH974" s="252"/>
      <c r="RHI974" s="252"/>
      <c r="RHJ974" s="252"/>
      <c r="RHK974" s="252"/>
      <c r="RHL974" s="252"/>
      <c r="RHM974" s="252"/>
      <c r="RHN974" s="252"/>
      <c r="RHO974" s="252"/>
      <c r="RHP974" s="252"/>
      <c r="RHQ974" s="252"/>
      <c r="RHR974" s="252"/>
      <c r="RHS974" s="252"/>
      <c r="RHT974" s="252"/>
      <c r="RHU974" s="252"/>
      <c r="RHV974" s="252"/>
      <c r="RHW974" s="252"/>
      <c r="RHX974" s="252"/>
      <c r="RHY974" s="252"/>
      <c r="RHZ974" s="252"/>
      <c r="RIA974" s="252"/>
      <c r="RIB974" s="252"/>
      <c r="RIC974" s="252"/>
      <c r="RID974" s="252"/>
      <c r="RIE974" s="252"/>
      <c r="RIF974" s="252"/>
      <c r="RIG974" s="252"/>
      <c r="RIH974" s="252"/>
      <c r="RII974" s="252"/>
      <c r="RIJ974" s="252"/>
      <c r="RIK974" s="252"/>
      <c r="RIL974" s="252"/>
      <c r="RIM974" s="252"/>
      <c r="RIN974" s="252"/>
      <c r="RIO974" s="252"/>
      <c r="RIP974" s="252"/>
      <c r="RIQ974" s="252"/>
      <c r="RIR974" s="252"/>
      <c r="RIS974" s="252"/>
      <c r="RIT974" s="252"/>
      <c r="RIU974" s="252"/>
      <c r="RIV974" s="252"/>
      <c r="RIW974" s="252"/>
      <c r="RIX974" s="252"/>
      <c r="RIY974" s="252"/>
      <c r="RIZ974" s="252"/>
      <c r="RJA974" s="252"/>
      <c r="RJB974" s="252"/>
      <c r="RJC974" s="252"/>
      <c r="RJD974" s="252"/>
      <c r="RJE974" s="252"/>
      <c r="RJF974" s="252"/>
      <c r="RJG974" s="252"/>
      <c r="RJH974" s="252"/>
      <c r="RJI974" s="252"/>
      <c r="RJJ974" s="252"/>
      <c r="RJK974" s="252"/>
      <c r="RJL974" s="252"/>
      <c r="RJM974" s="252"/>
      <c r="RJN974" s="252"/>
      <c r="RJO974" s="252"/>
      <c r="RJP974" s="252"/>
      <c r="RJQ974" s="252"/>
      <c r="RJR974" s="252"/>
      <c r="RJS974" s="252"/>
      <c r="RJT974" s="252"/>
      <c r="RJU974" s="252"/>
      <c r="RJV974" s="252"/>
      <c r="RJW974" s="252"/>
      <c r="RJX974" s="252"/>
      <c r="RJY974" s="252"/>
      <c r="RJZ974" s="252"/>
      <c r="RKA974" s="252"/>
      <c r="RKB974" s="252"/>
      <c r="RKC974" s="252"/>
      <c r="RKD974" s="252"/>
      <c r="RKE974" s="252"/>
      <c r="RKF974" s="252"/>
      <c r="RKG974" s="252"/>
      <c r="RKH974" s="252"/>
      <c r="RKI974" s="252"/>
      <c r="RKJ974" s="252"/>
      <c r="RKK974" s="252"/>
      <c r="RKL974" s="252"/>
      <c r="RKM974" s="252"/>
      <c r="RKN974" s="252"/>
      <c r="RKO974" s="252"/>
      <c r="RKP974" s="252"/>
      <c r="RKQ974" s="252"/>
      <c r="RKR974" s="252"/>
      <c r="RKS974" s="252"/>
      <c r="RKT974" s="252"/>
      <c r="RKU974" s="252"/>
      <c r="RKV974" s="252"/>
      <c r="RKW974" s="252"/>
      <c r="RKX974" s="252"/>
      <c r="RKY974" s="252"/>
      <c r="RKZ974" s="252"/>
      <c r="RLA974" s="252"/>
      <c r="RLB974" s="252"/>
      <c r="RLC974" s="252"/>
      <c r="RLD974" s="252"/>
      <c r="RLE974" s="252"/>
      <c r="RLF974" s="252"/>
      <c r="RLG974" s="252"/>
      <c r="RLH974" s="252"/>
      <c r="RLI974" s="252"/>
      <c r="RLJ974" s="252"/>
      <c r="RLK974" s="252"/>
      <c r="RLL974" s="252"/>
      <c r="RLM974" s="252"/>
      <c r="RLN974" s="252"/>
      <c r="RLO974" s="252"/>
      <c r="RLP974" s="252"/>
      <c r="RLQ974" s="252"/>
      <c r="RLR974" s="252"/>
      <c r="RLS974" s="252"/>
      <c r="RLT974" s="252"/>
      <c r="RLU974" s="252"/>
      <c r="RLV974" s="252"/>
      <c r="RLW974" s="252"/>
      <c r="RLX974" s="252"/>
      <c r="RLY974" s="252"/>
      <c r="RLZ974" s="252"/>
      <c r="RMA974" s="252"/>
      <c r="RMB974" s="252"/>
      <c r="RMC974" s="252"/>
      <c r="RMD974" s="252"/>
      <c r="RME974" s="252"/>
      <c r="RMF974" s="252"/>
      <c r="RMG974" s="252"/>
      <c r="RMH974" s="252"/>
      <c r="RMI974" s="252"/>
      <c r="RMJ974" s="252"/>
      <c r="RMK974" s="252"/>
      <c r="RML974" s="252"/>
      <c r="RMM974" s="252"/>
      <c r="RMN974" s="252"/>
      <c r="RMO974" s="252"/>
      <c r="RMP974" s="252"/>
      <c r="RMQ974" s="252"/>
      <c r="RMR974" s="252"/>
      <c r="RMS974" s="252"/>
      <c r="RMT974" s="252"/>
      <c r="RMU974" s="252"/>
      <c r="RMV974" s="252"/>
      <c r="RMW974" s="252"/>
      <c r="RMX974" s="252"/>
      <c r="RMY974" s="252"/>
      <c r="RMZ974" s="252"/>
      <c r="RNA974" s="252"/>
      <c r="RNB974" s="252"/>
      <c r="RNC974" s="252"/>
      <c r="RND974" s="252"/>
      <c r="RNE974" s="252"/>
      <c r="RNF974" s="252"/>
      <c r="RNG974" s="252"/>
      <c r="RNH974" s="252"/>
      <c r="RNI974" s="252"/>
      <c r="RNJ974" s="252"/>
      <c r="RNK974" s="252"/>
      <c r="RNL974" s="252"/>
      <c r="RNM974" s="252"/>
      <c r="RNN974" s="252"/>
      <c r="RNO974" s="252"/>
      <c r="RNP974" s="252"/>
      <c r="RNQ974" s="252"/>
      <c r="RNR974" s="252"/>
      <c r="RNS974" s="252"/>
      <c r="RNT974" s="252"/>
      <c r="RNU974" s="252"/>
      <c r="RNV974" s="252"/>
      <c r="RNW974" s="252"/>
      <c r="RNX974" s="252"/>
      <c r="RNY974" s="252"/>
      <c r="RNZ974" s="252"/>
      <c r="ROA974" s="252"/>
      <c r="ROB974" s="252"/>
      <c r="ROC974" s="252"/>
      <c r="ROD974" s="252"/>
      <c r="ROE974" s="252"/>
      <c r="ROF974" s="252"/>
      <c r="ROG974" s="252"/>
      <c r="ROH974" s="252"/>
      <c r="ROI974" s="252"/>
      <c r="ROJ974" s="252"/>
      <c r="ROK974" s="252"/>
      <c r="ROL974" s="252"/>
      <c r="ROM974" s="252"/>
      <c r="RON974" s="252"/>
      <c r="ROO974" s="252"/>
      <c r="ROP974" s="252"/>
      <c r="ROQ974" s="252"/>
      <c r="ROR974" s="252"/>
      <c r="ROS974" s="252"/>
      <c r="ROT974" s="252"/>
      <c r="ROU974" s="252"/>
      <c r="ROV974" s="252"/>
      <c r="ROW974" s="252"/>
      <c r="ROX974" s="252"/>
      <c r="ROY974" s="252"/>
      <c r="ROZ974" s="252"/>
      <c r="RPA974" s="252"/>
      <c r="RPB974" s="252"/>
      <c r="RPC974" s="252"/>
      <c r="RPD974" s="252"/>
      <c r="RPE974" s="252"/>
      <c r="RPF974" s="252"/>
      <c r="RPG974" s="252"/>
      <c r="RPH974" s="252"/>
      <c r="RPI974" s="252"/>
      <c r="RPJ974" s="252"/>
      <c r="RPK974" s="252"/>
      <c r="RPL974" s="252"/>
      <c r="RPM974" s="252"/>
      <c r="RPN974" s="252"/>
      <c r="RPO974" s="252"/>
      <c r="RPP974" s="252"/>
      <c r="RPQ974" s="252"/>
      <c r="RPR974" s="252"/>
      <c r="RPS974" s="252"/>
      <c r="RPT974" s="252"/>
      <c r="RPU974" s="252"/>
      <c r="RPV974" s="252"/>
      <c r="RPW974" s="252"/>
      <c r="RPX974" s="252"/>
      <c r="RPY974" s="252"/>
      <c r="RPZ974" s="252"/>
      <c r="RQA974" s="252"/>
      <c r="RQB974" s="252"/>
      <c r="RQC974" s="252"/>
      <c r="RQD974" s="252"/>
      <c r="RQE974" s="252"/>
      <c r="RQF974" s="252"/>
      <c r="RQG974" s="252"/>
      <c r="RQH974" s="252"/>
      <c r="RQI974" s="252"/>
      <c r="RQJ974" s="252"/>
      <c r="RQK974" s="252"/>
      <c r="RQL974" s="252"/>
      <c r="RQM974" s="252"/>
      <c r="RQN974" s="252"/>
      <c r="RQO974" s="252"/>
      <c r="RQP974" s="252"/>
      <c r="RQQ974" s="252"/>
      <c r="RQR974" s="252"/>
      <c r="RQS974" s="252"/>
      <c r="RQT974" s="252"/>
      <c r="RQU974" s="252"/>
      <c r="RQV974" s="252"/>
      <c r="RQW974" s="252"/>
      <c r="RQX974" s="252"/>
      <c r="RQY974" s="252"/>
      <c r="RQZ974" s="252"/>
      <c r="RRA974" s="252"/>
      <c r="RRB974" s="252"/>
      <c r="RRC974" s="252"/>
      <c r="RRD974" s="252"/>
      <c r="RRE974" s="252"/>
      <c r="RRF974" s="252"/>
      <c r="RRG974" s="252"/>
      <c r="RRH974" s="252"/>
      <c r="RRI974" s="252"/>
      <c r="RRJ974" s="252"/>
      <c r="RRK974" s="252"/>
      <c r="RRL974" s="252"/>
      <c r="RRM974" s="252"/>
      <c r="RRN974" s="252"/>
      <c r="RRO974" s="252"/>
      <c r="RRP974" s="252"/>
      <c r="RRQ974" s="252"/>
      <c r="RRR974" s="252"/>
      <c r="RRS974" s="252"/>
      <c r="RRT974" s="252"/>
      <c r="RRU974" s="252"/>
      <c r="RRV974" s="252"/>
      <c r="RRW974" s="252"/>
      <c r="RRX974" s="252"/>
      <c r="RRY974" s="252"/>
      <c r="RRZ974" s="252"/>
      <c r="RSA974" s="252"/>
      <c r="RSB974" s="252"/>
      <c r="RSC974" s="252"/>
      <c r="RSD974" s="252"/>
      <c r="RSE974" s="252"/>
      <c r="RSF974" s="252"/>
      <c r="RSG974" s="252"/>
      <c r="RSH974" s="252"/>
      <c r="RSI974" s="252"/>
      <c r="RSJ974" s="252"/>
      <c r="RSK974" s="252"/>
      <c r="RSL974" s="252"/>
      <c r="RSM974" s="252"/>
      <c r="RSN974" s="252"/>
      <c r="RSO974" s="252"/>
      <c r="RSP974" s="252"/>
      <c r="RSQ974" s="252"/>
      <c r="RSR974" s="252"/>
      <c r="RSS974" s="252"/>
      <c r="RST974" s="252"/>
      <c r="RSU974" s="252"/>
      <c r="RSV974" s="252"/>
      <c r="RSW974" s="252"/>
      <c r="RSX974" s="252"/>
      <c r="RSY974" s="252"/>
      <c r="RSZ974" s="252"/>
      <c r="RTA974" s="252"/>
      <c r="RTB974" s="252"/>
      <c r="RTC974" s="252"/>
      <c r="RTD974" s="252"/>
      <c r="RTE974" s="252"/>
      <c r="RTF974" s="252"/>
      <c r="RTG974" s="252"/>
      <c r="RTH974" s="252"/>
      <c r="RTI974" s="252"/>
      <c r="RTJ974" s="252"/>
      <c r="RTK974" s="252"/>
      <c r="RTL974" s="252"/>
      <c r="RTM974" s="252"/>
      <c r="RTN974" s="252"/>
      <c r="RTO974" s="252"/>
      <c r="RTP974" s="252"/>
      <c r="RTQ974" s="252"/>
      <c r="RTR974" s="252"/>
      <c r="RTS974" s="252"/>
      <c r="RTT974" s="252"/>
      <c r="RTU974" s="252"/>
      <c r="RTV974" s="252"/>
      <c r="RTW974" s="252"/>
      <c r="RTX974" s="252"/>
      <c r="RTY974" s="252"/>
      <c r="RTZ974" s="252"/>
      <c r="RUA974" s="252"/>
      <c r="RUB974" s="252"/>
      <c r="RUC974" s="252"/>
      <c r="RUD974" s="252"/>
      <c r="RUE974" s="252"/>
      <c r="RUF974" s="252"/>
      <c r="RUG974" s="252"/>
      <c r="RUH974" s="252"/>
      <c r="RUI974" s="252"/>
      <c r="RUJ974" s="252"/>
      <c r="RUK974" s="252"/>
      <c r="RUL974" s="252"/>
      <c r="RUM974" s="252"/>
      <c r="RUN974" s="252"/>
      <c r="RUO974" s="252"/>
      <c r="RUP974" s="252"/>
      <c r="RUQ974" s="252"/>
      <c r="RUR974" s="252"/>
      <c r="RUS974" s="252"/>
      <c r="RUT974" s="252"/>
      <c r="RUU974" s="252"/>
      <c r="RUV974" s="252"/>
      <c r="RUW974" s="252"/>
      <c r="RUX974" s="252"/>
      <c r="RUY974" s="252"/>
      <c r="RUZ974" s="252"/>
      <c r="RVA974" s="252"/>
      <c r="RVB974" s="252"/>
      <c r="RVC974" s="252"/>
      <c r="RVD974" s="252"/>
      <c r="RVE974" s="252"/>
      <c r="RVF974" s="252"/>
      <c r="RVG974" s="252"/>
      <c r="RVH974" s="252"/>
      <c r="RVI974" s="252"/>
      <c r="RVJ974" s="252"/>
      <c r="RVK974" s="252"/>
      <c r="RVL974" s="252"/>
      <c r="RVM974" s="252"/>
      <c r="RVN974" s="252"/>
      <c r="RVO974" s="252"/>
      <c r="RVP974" s="252"/>
      <c r="RVQ974" s="252"/>
      <c r="RVR974" s="252"/>
      <c r="RVS974" s="252"/>
      <c r="RVT974" s="252"/>
      <c r="RVU974" s="252"/>
      <c r="RVV974" s="252"/>
      <c r="RVW974" s="252"/>
      <c r="RVX974" s="252"/>
      <c r="RVY974" s="252"/>
      <c r="RVZ974" s="252"/>
      <c r="RWA974" s="252"/>
      <c r="RWB974" s="252"/>
      <c r="RWC974" s="252"/>
      <c r="RWD974" s="252"/>
      <c r="RWE974" s="252"/>
      <c r="RWF974" s="252"/>
      <c r="RWG974" s="252"/>
      <c r="RWH974" s="252"/>
      <c r="RWI974" s="252"/>
      <c r="RWJ974" s="252"/>
      <c r="RWK974" s="252"/>
      <c r="RWL974" s="252"/>
      <c r="RWM974" s="252"/>
      <c r="RWN974" s="252"/>
      <c r="RWO974" s="252"/>
      <c r="RWP974" s="252"/>
      <c r="RWQ974" s="252"/>
      <c r="RWR974" s="252"/>
      <c r="RWS974" s="252"/>
      <c r="RWT974" s="252"/>
      <c r="RWU974" s="252"/>
      <c r="RWV974" s="252"/>
      <c r="RWW974" s="252"/>
      <c r="RWX974" s="252"/>
      <c r="RWY974" s="252"/>
      <c r="RWZ974" s="252"/>
      <c r="RXA974" s="252"/>
      <c r="RXB974" s="252"/>
      <c r="RXC974" s="252"/>
      <c r="RXD974" s="252"/>
      <c r="RXE974" s="252"/>
      <c r="RXF974" s="252"/>
      <c r="RXG974" s="252"/>
      <c r="RXH974" s="252"/>
      <c r="RXI974" s="252"/>
      <c r="RXJ974" s="252"/>
      <c r="RXK974" s="252"/>
      <c r="RXL974" s="252"/>
      <c r="RXM974" s="252"/>
      <c r="RXN974" s="252"/>
      <c r="RXO974" s="252"/>
      <c r="RXP974" s="252"/>
      <c r="RXQ974" s="252"/>
      <c r="RXR974" s="252"/>
      <c r="RXS974" s="252"/>
      <c r="RXT974" s="252"/>
      <c r="RXU974" s="252"/>
      <c r="RXV974" s="252"/>
      <c r="RXW974" s="252"/>
      <c r="RXX974" s="252"/>
      <c r="RXY974" s="252"/>
      <c r="RXZ974" s="252"/>
      <c r="RYA974" s="252"/>
      <c r="RYB974" s="252"/>
      <c r="RYC974" s="252"/>
      <c r="RYD974" s="252"/>
      <c r="RYE974" s="252"/>
      <c r="RYF974" s="252"/>
      <c r="RYG974" s="252"/>
      <c r="RYH974" s="252"/>
      <c r="RYI974" s="252"/>
      <c r="RYJ974" s="252"/>
      <c r="RYK974" s="252"/>
      <c r="RYL974" s="252"/>
      <c r="RYM974" s="252"/>
      <c r="RYN974" s="252"/>
      <c r="RYO974" s="252"/>
      <c r="RYP974" s="252"/>
      <c r="RYQ974" s="252"/>
      <c r="RYR974" s="252"/>
      <c r="RYS974" s="252"/>
      <c r="RYT974" s="252"/>
      <c r="RYU974" s="252"/>
      <c r="RYV974" s="252"/>
      <c r="RYW974" s="252"/>
      <c r="RYX974" s="252"/>
      <c r="RYY974" s="252"/>
      <c r="RYZ974" s="252"/>
      <c r="RZA974" s="252"/>
      <c r="RZB974" s="252"/>
      <c r="RZC974" s="252"/>
      <c r="RZD974" s="252"/>
      <c r="RZE974" s="252"/>
      <c r="RZF974" s="252"/>
      <c r="RZG974" s="252"/>
      <c r="RZH974" s="252"/>
      <c r="RZI974" s="252"/>
      <c r="RZJ974" s="252"/>
      <c r="RZK974" s="252"/>
      <c r="RZL974" s="252"/>
      <c r="RZM974" s="252"/>
      <c r="RZN974" s="252"/>
      <c r="RZO974" s="252"/>
      <c r="RZP974" s="252"/>
      <c r="RZQ974" s="252"/>
      <c r="RZR974" s="252"/>
      <c r="RZS974" s="252"/>
      <c r="RZT974" s="252"/>
      <c r="RZU974" s="252"/>
      <c r="RZV974" s="252"/>
      <c r="RZW974" s="252"/>
      <c r="RZX974" s="252"/>
      <c r="RZY974" s="252"/>
      <c r="RZZ974" s="252"/>
      <c r="SAA974" s="252"/>
      <c r="SAB974" s="252"/>
      <c r="SAC974" s="252"/>
      <c r="SAD974" s="252"/>
      <c r="SAE974" s="252"/>
      <c r="SAF974" s="252"/>
      <c r="SAG974" s="252"/>
      <c r="SAH974" s="252"/>
      <c r="SAI974" s="252"/>
      <c r="SAJ974" s="252"/>
      <c r="SAK974" s="252"/>
      <c r="SAL974" s="252"/>
      <c r="SAM974" s="252"/>
      <c r="SAN974" s="252"/>
      <c r="SAO974" s="252"/>
      <c r="SAP974" s="252"/>
      <c r="SAQ974" s="252"/>
      <c r="SAR974" s="252"/>
      <c r="SAS974" s="252"/>
      <c r="SAT974" s="252"/>
      <c r="SAU974" s="252"/>
      <c r="SAV974" s="252"/>
      <c r="SAW974" s="252"/>
      <c r="SAX974" s="252"/>
      <c r="SAY974" s="252"/>
      <c r="SAZ974" s="252"/>
      <c r="SBA974" s="252"/>
      <c r="SBB974" s="252"/>
      <c r="SBC974" s="252"/>
      <c r="SBD974" s="252"/>
      <c r="SBE974" s="252"/>
      <c r="SBF974" s="252"/>
      <c r="SBG974" s="252"/>
      <c r="SBH974" s="252"/>
      <c r="SBI974" s="252"/>
      <c r="SBJ974" s="252"/>
      <c r="SBK974" s="252"/>
      <c r="SBL974" s="252"/>
      <c r="SBM974" s="252"/>
      <c r="SBN974" s="252"/>
      <c r="SBO974" s="252"/>
      <c r="SBP974" s="252"/>
      <c r="SBQ974" s="252"/>
      <c r="SBR974" s="252"/>
      <c r="SBS974" s="252"/>
      <c r="SBT974" s="252"/>
      <c r="SBU974" s="252"/>
      <c r="SBV974" s="252"/>
      <c r="SBW974" s="252"/>
      <c r="SBX974" s="252"/>
      <c r="SBY974" s="252"/>
      <c r="SBZ974" s="252"/>
      <c r="SCA974" s="252"/>
      <c r="SCB974" s="252"/>
      <c r="SCC974" s="252"/>
      <c r="SCD974" s="252"/>
      <c r="SCE974" s="252"/>
      <c r="SCF974" s="252"/>
      <c r="SCG974" s="252"/>
      <c r="SCH974" s="252"/>
      <c r="SCI974" s="252"/>
      <c r="SCJ974" s="252"/>
      <c r="SCK974" s="252"/>
      <c r="SCL974" s="252"/>
      <c r="SCM974" s="252"/>
      <c r="SCN974" s="252"/>
      <c r="SCO974" s="252"/>
      <c r="SCP974" s="252"/>
      <c r="SCQ974" s="252"/>
      <c r="SCR974" s="252"/>
      <c r="SCS974" s="252"/>
      <c r="SCT974" s="252"/>
      <c r="SCU974" s="252"/>
      <c r="SCV974" s="252"/>
      <c r="SCW974" s="252"/>
      <c r="SCX974" s="252"/>
      <c r="SCY974" s="252"/>
      <c r="SCZ974" s="252"/>
      <c r="SDA974" s="252"/>
      <c r="SDB974" s="252"/>
      <c r="SDC974" s="252"/>
      <c r="SDD974" s="252"/>
      <c r="SDE974" s="252"/>
      <c r="SDF974" s="252"/>
      <c r="SDG974" s="252"/>
      <c r="SDH974" s="252"/>
      <c r="SDI974" s="252"/>
      <c r="SDJ974" s="252"/>
      <c r="SDK974" s="252"/>
      <c r="SDL974" s="252"/>
      <c r="SDM974" s="252"/>
      <c r="SDN974" s="252"/>
      <c r="SDO974" s="252"/>
      <c r="SDP974" s="252"/>
      <c r="SDQ974" s="252"/>
      <c r="SDR974" s="252"/>
      <c r="SDS974" s="252"/>
      <c r="SDT974" s="252"/>
      <c r="SDU974" s="252"/>
      <c r="SDV974" s="252"/>
      <c r="SDW974" s="252"/>
      <c r="SDX974" s="252"/>
      <c r="SDY974" s="252"/>
      <c r="SDZ974" s="252"/>
      <c r="SEA974" s="252"/>
      <c r="SEB974" s="252"/>
      <c r="SEC974" s="252"/>
      <c r="SED974" s="252"/>
      <c r="SEE974" s="252"/>
      <c r="SEF974" s="252"/>
      <c r="SEG974" s="252"/>
      <c r="SEH974" s="252"/>
      <c r="SEI974" s="252"/>
      <c r="SEJ974" s="252"/>
      <c r="SEK974" s="252"/>
      <c r="SEL974" s="252"/>
      <c r="SEM974" s="252"/>
      <c r="SEN974" s="252"/>
      <c r="SEO974" s="252"/>
      <c r="SEP974" s="252"/>
      <c r="SEQ974" s="252"/>
      <c r="SER974" s="252"/>
      <c r="SES974" s="252"/>
      <c r="SET974" s="252"/>
      <c r="SEU974" s="252"/>
      <c r="SEV974" s="252"/>
      <c r="SEW974" s="252"/>
      <c r="SEX974" s="252"/>
      <c r="SEY974" s="252"/>
      <c r="SEZ974" s="252"/>
      <c r="SFA974" s="252"/>
      <c r="SFB974" s="252"/>
      <c r="SFC974" s="252"/>
      <c r="SFD974" s="252"/>
      <c r="SFE974" s="252"/>
      <c r="SFF974" s="252"/>
      <c r="SFG974" s="252"/>
      <c r="SFH974" s="252"/>
      <c r="SFI974" s="252"/>
      <c r="SFJ974" s="252"/>
      <c r="SFK974" s="252"/>
      <c r="SFL974" s="252"/>
      <c r="SFM974" s="252"/>
      <c r="SFN974" s="252"/>
      <c r="SFO974" s="252"/>
      <c r="SFP974" s="252"/>
      <c r="SFQ974" s="252"/>
      <c r="SFR974" s="252"/>
      <c r="SFS974" s="252"/>
      <c r="SFT974" s="252"/>
      <c r="SFU974" s="252"/>
      <c r="SFV974" s="252"/>
      <c r="SFW974" s="252"/>
      <c r="SFX974" s="252"/>
      <c r="SFY974" s="252"/>
      <c r="SFZ974" s="252"/>
      <c r="SGA974" s="252"/>
      <c r="SGB974" s="252"/>
      <c r="SGC974" s="252"/>
      <c r="SGD974" s="252"/>
      <c r="SGE974" s="252"/>
      <c r="SGF974" s="252"/>
      <c r="SGG974" s="252"/>
      <c r="SGH974" s="252"/>
      <c r="SGI974" s="252"/>
      <c r="SGJ974" s="252"/>
      <c r="SGK974" s="252"/>
      <c r="SGL974" s="252"/>
      <c r="SGM974" s="252"/>
      <c r="SGN974" s="252"/>
      <c r="SGO974" s="252"/>
      <c r="SGP974" s="252"/>
      <c r="SGQ974" s="252"/>
      <c r="SGR974" s="252"/>
      <c r="SGS974" s="252"/>
      <c r="SGT974" s="252"/>
      <c r="SGU974" s="252"/>
      <c r="SGV974" s="252"/>
      <c r="SGW974" s="252"/>
      <c r="SGX974" s="252"/>
      <c r="SGY974" s="252"/>
      <c r="SGZ974" s="252"/>
      <c r="SHA974" s="252"/>
      <c r="SHB974" s="252"/>
      <c r="SHC974" s="252"/>
      <c r="SHD974" s="252"/>
      <c r="SHE974" s="252"/>
      <c r="SHF974" s="252"/>
      <c r="SHG974" s="252"/>
      <c r="SHH974" s="252"/>
      <c r="SHI974" s="252"/>
      <c r="SHJ974" s="252"/>
      <c r="SHK974" s="252"/>
      <c r="SHL974" s="252"/>
      <c r="SHM974" s="252"/>
      <c r="SHN974" s="252"/>
      <c r="SHO974" s="252"/>
      <c r="SHP974" s="252"/>
      <c r="SHQ974" s="252"/>
      <c r="SHR974" s="252"/>
      <c r="SHS974" s="252"/>
      <c r="SHT974" s="252"/>
      <c r="SHU974" s="252"/>
      <c r="SHV974" s="252"/>
      <c r="SHW974" s="252"/>
      <c r="SHX974" s="252"/>
      <c r="SHY974" s="252"/>
      <c r="SHZ974" s="252"/>
      <c r="SIA974" s="252"/>
      <c r="SIB974" s="252"/>
      <c r="SIC974" s="252"/>
      <c r="SID974" s="252"/>
      <c r="SIE974" s="252"/>
      <c r="SIF974" s="252"/>
      <c r="SIG974" s="252"/>
      <c r="SIH974" s="252"/>
      <c r="SII974" s="252"/>
      <c r="SIJ974" s="252"/>
      <c r="SIK974" s="252"/>
      <c r="SIL974" s="252"/>
      <c r="SIM974" s="252"/>
      <c r="SIN974" s="252"/>
      <c r="SIO974" s="252"/>
      <c r="SIP974" s="252"/>
      <c r="SIQ974" s="252"/>
      <c r="SIR974" s="252"/>
      <c r="SIS974" s="252"/>
      <c r="SIT974" s="252"/>
      <c r="SIU974" s="252"/>
      <c r="SIV974" s="252"/>
      <c r="SIW974" s="252"/>
      <c r="SIX974" s="252"/>
      <c r="SIY974" s="252"/>
      <c r="SIZ974" s="252"/>
      <c r="SJA974" s="252"/>
      <c r="SJB974" s="252"/>
      <c r="SJC974" s="252"/>
      <c r="SJD974" s="252"/>
      <c r="SJE974" s="252"/>
      <c r="SJF974" s="252"/>
      <c r="SJG974" s="252"/>
      <c r="SJH974" s="252"/>
      <c r="SJI974" s="252"/>
      <c r="SJJ974" s="252"/>
      <c r="SJK974" s="252"/>
      <c r="SJL974" s="252"/>
      <c r="SJM974" s="252"/>
      <c r="SJN974" s="252"/>
      <c r="SJO974" s="252"/>
      <c r="SJP974" s="252"/>
      <c r="SJQ974" s="252"/>
      <c r="SJR974" s="252"/>
      <c r="SJS974" s="252"/>
      <c r="SJT974" s="252"/>
      <c r="SJU974" s="252"/>
      <c r="SJV974" s="252"/>
      <c r="SJW974" s="252"/>
      <c r="SJX974" s="252"/>
      <c r="SJY974" s="252"/>
      <c r="SJZ974" s="252"/>
      <c r="SKA974" s="252"/>
      <c r="SKB974" s="252"/>
      <c r="SKC974" s="252"/>
      <c r="SKD974" s="252"/>
      <c r="SKE974" s="252"/>
      <c r="SKF974" s="252"/>
      <c r="SKG974" s="252"/>
      <c r="SKH974" s="252"/>
      <c r="SKI974" s="252"/>
      <c r="SKJ974" s="252"/>
      <c r="SKK974" s="252"/>
      <c r="SKL974" s="252"/>
      <c r="SKM974" s="252"/>
      <c r="SKN974" s="252"/>
      <c r="SKO974" s="252"/>
      <c r="SKP974" s="252"/>
      <c r="SKQ974" s="252"/>
      <c r="SKR974" s="252"/>
      <c r="SKS974" s="252"/>
      <c r="SKT974" s="252"/>
      <c r="SKU974" s="252"/>
      <c r="SKV974" s="252"/>
      <c r="SKW974" s="252"/>
      <c r="SKX974" s="252"/>
      <c r="SKY974" s="252"/>
      <c r="SKZ974" s="252"/>
      <c r="SLA974" s="252"/>
      <c r="SLB974" s="252"/>
      <c r="SLC974" s="252"/>
      <c r="SLD974" s="252"/>
      <c r="SLE974" s="252"/>
      <c r="SLF974" s="252"/>
      <c r="SLG974" s="252"/>
      <c r="SLH974" s="252"/>
      <c r="SLI974" s="252"/>
      <c r="SLJ974" s="252"/>
      <c r="SLK974" s="252"/>
      <c r="SLL974" s="252"/>
      <c r="SLM974" s="252"/>
      <c r="SLN974" s="252"/>
      <c r="SLO974" s="252"/>
      <c r="SLP974" s="252"/>
      <c r="SLQ974" s="252"/>
      <c r="SLR974" s="252"/>
      <c r="SLS974" s="252"/>
      <c r="SLT974" s="252"/>
      <c r="SLU974" s="252"/>
      <c r="SLV974" s="252"/>
      <c r="SLW974" s="252"/>
      <c r="SLX974" s="252"/>
      <c r="SLY974" s="252"/>
      <c r="SLZ974" s="252"/>
      <c r="SMA974" s="252"/>
      <c r="SMB974" s="252"/>
      <c r="SMC974" s="252"/>
      <c r="SMD974" s="252"/>
      <c r="SME974" s="252"/>
      <c r="SMF974" s="252"/>
      <c r="SMG974" s="252"/>
      <c r="SMH974" s="252"/>
      <c r="SMI974" s="252"/>
      <c r="SMJ974" s="252"/>
      <c r="SMK974" s="252"/>
      <c r="SML974" s="252"/>
      <c r="SMM974" s="252"/>
      <c r="SMN974" s="252"/>
      <c r="SMO974" s="252"/>
      <c r="SMP974" s="252"/>
      <c r="SMQ974" s="252"/>
      <c r="SMR974" s="252"/>
      <c r="SMS974" s="252"/>
      <c r="SMT974" s="252"/>
      <c r="SMU974" s="252"/>
      <c r="SMV974" s="252"/>
      <c r="SMW974" s="252"/>
      <c r="SMX974" s="252"/>
      <c r="SMY974" s="252"/>
      <c r="SMZ974" s="252"/>
      <c r="SNA974" s="252"/>
      <c r="SNB974" s="252"/>
      <c r="SNC974" s="252"/>
      <c r="SND974" s="252"/>
      <c r="SNE974" s="252"/>
      <c r="SNF974" s="252"/>
      <c r="SNG974" s="252"/>
      <c r="SNH974" s="252"/>
      <c r="SNI974" s="252"/>
      <c r="SNJ974" s="252"/>
      <c r="SNK974" s="252"/>
      <c r="SNL974" s="252"/>
      <c r="SNM974" s="252"/>
      <c r="SNN974" s="252"/>
      <c r="SNO974" s="252"/>
      <c r="SNP974" s="252"/>
      <c r="SNQ974" s="252"/>
      <c r="SNR974" s="252"/>
      <c r="SNS974" s="252"/>
      <c r="SNT974" s="252"/>
      <c r="SNU974" s="252"/>
      <c r="SNV974" s="252"/>
      <c r="SNW974" s="252"/>
      <c r="SNX974" s="252"/>
      <c r="SNY974" s="252"/>
      <c r="SNZ974" s="252"/>
      <c r="SOA974" s="252"/>
      <c r="SOB974" s="252"/>
      <c r="SOC974" s="252"/>
      <c r="SOD974" s="252"/>
      <c r="SOE974" s="252"/>
      <c r="SOF974" s="252"/>
      <c r="SOG974" s="252"/>
      <c r="SOH974" s="252"/>
      <c r="SOI974" s="252"/>
      <c r="SOJ974" s="252"/>
      <c r="SOK974" s="252"/>
      <c r="SOL974" s="252"/>
      <c r="SOM974" s="252"/>
      <c r="SON974" s="252"/>
      <c r="SOO974" s="252"/>
      <c r="SOP974" s="252"/>
      <c r="SOQ974" s="252"/>
      <c r="SOR974" s="252"/>
      <c r="SOS974" s="252"/>
      <c r="SOT974" s="252"/>
      <c r="SOU974" s="252"/>
      <c r="SOV974" s="252"/>
      <c r="SOW974" s="252"/>
      <c r="SOX974" s="252"/>
      <c r="SOY974" s="252"/>
      <c r="SOZ974" s="252"/>
      <c r="SPA974" s="252"/>
      <c r="SPB974" s="252"/>
      <c r="SPC974" s="252"/>
      <c r="SPD974" s="252"/>
      <c r="SPE974" s="252"/>
      <c r="SPF974" s="252"/>
      <c r="SPG974" s="252"/>
      <c r="SPH974" s="252"/>
      <c r="SPI974" s="252"/>
      <c r="SPJ974" s="252"/>
      <c r="SPK974" s="252"/>
      <c r="SPL974" s="252"/>
      <c r="SPM974" s="252"/>
      <c r="SPN974" s="252"/>
      <c r="SPO974" s="252"/>
      <c r="SPP974" s="252"/>
      <c r="SPQ974" s="252"/>
      <c r="SPR974" s="252"/>
      <c r="SPS974" s="252"/>
      <c r="SPT974" s="252"/>
      <c r="SPU974" s="252"/>
      <c r="SPV974" s="252"/>
      <c r="SPW974" s="252"/>
      <c r="SPX974" s="252"/>
      <c r="SPY974" s="252"/>
      <c r="SPZ974" s="252"/>
      <c r="SQA974" s="252"/>
      <c r="SQB974" s="252"/>
      <c r="SQC974" s="252"/>
      <c r="SQD974" s="252"/>
      <c r="SQE974" s="252"/>
      <c r="SQF974" s="252"/>
      <c r="SQG974" s="252"/>
      <c r="SQH974" s="252"/>
      <c r="SQI974" s="252"/>
      <c r="SQJ974" s="252"/>
      <c r="SQK974" s="252"/>
      <c r="SQL974" s="252"/>
      <c r="SQM974" s="252"/>
      <c r="SQN974" s="252"/>
      <c r="SQO974" s="252"/>
      <c r="SQP974" s="252"/>
      <c r="SQQ974" s="252"/>
      <c r="SQR974" s="252"/>
      <c r="SQS974" s="252"/>
      <c r="SQT974" s="252"/>
      <c r="SQU974" s="252"/>
      <c r="SQV974" s="252"/>
      <c r="SQW974" s="252"/>
      <c r="SQX974" s="252"/>
      <c r="SQY974" s="252"/>
      <c r="SQZ974" s="252"/>
      <c r="SRA974" s="252"/>
      <c r="SRB974" s="252"/>
      <c r="SRC974" s="252"/>
      <c r="SRD974" s="252"/>
      <c r="SRE974" s="252"/>
      <c r="SRF974" s="252"/>
      <c r="SRG974" s="252"/>
      <c r="SRH974" s="252"/>
      <c r="SRI974" s="252"/>
      <c r="SRJ974" s="252"/>
      <c r="SRK974" s="252"/>
      <c r="SRL974" s="252"/>
      <c r="SRM974" s="252"/>
      <c r="SRN974" s="252"/>
      <c r="SRO974" s="252"/>
      <c r="SRP974" s="252"/>
      <c r="SRQ974" s="252"/>
      <c r="SRR974" s="252"/>
      <c r="SRS974" s="252"/>
      <c r="SRT974" s="252"/>
      <c r="SRU974" s="252"/>
      <c r="SRV974" s="252"/>
      <c r="SRW974" s="252"/>
      <c r="SRX974" s="252"/>
      <c r="SRY974" s="252"/>
      <c r="SRZ974" s="252"/>
      <c r="SSA974" s="252"/>
      <c r="SSB974" s="252"/>
      <c r="SSC974" s="252"/>
      <c r="SSD974" s="252"/>
      <c r="SSE974" s="252"/>
      <c r="SSF974" s="252"/>
      <c r="SSG974" s="252"/>
      <c r="SSH974" s="252"/>
      <c r="SSI974" s="252"/>
      <c r="SSJ974" s="252"/>
      <c r="SSK974" s="252"/>
      <c r="SSL974" s="252"/>
      <c r="SSM974" s="252"/>
      <c r="SSN974" s="252"/>
      <c r="SSO974" s="252"/>
      <c r="SSP974" s="252"/>
      <c r="SSQ974" s="252"/>
      <c r="SSR974" s="252"/>
      <c r="SSS974" s="252"/>
      <c r="SST974" s="252"/>
      <c r="SSU974" s="252"/>
      <c r="SSV974" s="252"/>
      <c r="SSW974" s="252"/>
      <c r="SSX974" s="252"/>
      <c r="SSY974" s="252"/>
      <c r="SSZ974" s="252"/>
      <c r="STA974" s="252"/>
      <c r="STB974" s="252"/>
      <c r="STC974" s="252"/>
      <c r="STD974" s="252"/>
      <c r="STE974" s="252"/>
      <c r="STF974" s="252"/>
      <c r="STG974" s="252"/>
      <c r="STH974" s="252"/>
      <c r="STI974" s="252"/>
      <c r="STJ974" s="252"/>
      <c r="STK974" s="252"/>
      <c r="STL974" s="252"/>
      <c r="STM974" s="252"/>
      <c r="STN974" s="252"/>
      <c r="STO974" s="252"/>
      <c r="STP974" s="252"/>
      <c r="STQ974" s="252"/>
      <c r="STR974" s="252"/>
      <c r="STS974" s="252"/>
      <c r="STT974" s="252"/>
      <c r="STU974" s="252"/>
      <c r="STV974" s="252"/>
      <c r="STW974" s="252"/>
      <c r="STX974" s="252"/>
      <c r="STY974" s="252"/>
      <c r="STZ974" s="252"/>
      <c r="SUA974" s="252"/>
      <c r="SUB974" s="252"/>
      <c r="SUC974" s="252"/>
      <c r="SUD974" s="252"/>
      <c r="SUE974" s="252"/>
      <c r="SUF974" s="252"/>
      <c r="SUG974" s="252"/>
      <c r="SUH974" s="252"/>
      <c r="SUI974" s="252"/>
      <c r="SUJ974" s="252"/>
      <c r="SUK974" s="252"/>
      <c r="SUL974" s="252"/>
      <c r="SUM974" s="252"/>
      <c r="SUN974" s="252"/>
      <c r="SUO974" s="252"/>
      <c r="SUP974" s="252"/>
      <c r="SUQ974" s="252"/>
      <c r="SUR974" s="252"/>
      <c r="SUS974" s="252"/>
      <c r="SUT974" s="252"/>
      <c r="SUU974" s="252"/>
      <c r="SUV974" s="252"/>
      <c r="SUW974" s="252"/>
      <c r="SUX974" s="252"/>
      <c r="SUY974" s="252"/>
      <c r="SUZ974" s="252"/>
      <c r="SVA974" s="252"/>
      <c r="SVB974" s="252"/>
      <c r="SVC974" s="252"/>
      <c r="SVD974" s="252"/>
      <c r="SVE974" s="252"/>
      <c r="SVF974" s="252"/>
      <c r="SVG974" s="252"/>
      <c r="SVH974" s="252"/>
      <c r="SVI974" s="252"/>
      <c r="SVJ974" s="252"/>
      <c r="SVK974" s="252"/>
      <c r="SVL974" s="252"/>
      <c r="SVM974" s="252"/>
      <c r="SVN974" s="252"/>
      <c r="SVO974" s="252"/>
      <c r="SVP974" s="252"/>
      <c r="SVQ974" s="252"/>
      <c r="SVR974" s="252"/>
      <c r="SVS974" s="252"/>
      <c r="SVT974" s="252"/>
      <c r="SVU974" s="252"/>
      <c r="SVV974" s="252"/>
      <c r="SVW974" s="252"/>
      <c r="SVX974" s="252"/>
      <c r="SVY974" s="252"/>
      <c r="SVZ974" s="252"/>
      <c r="SWA974" s="252"/>
      <c r="SWB974" s="252"/>
      <c r="SWC974" s="252"/>
      <c r="SWD974" s="252"/>
      <c r="SWE974" s="252"/>
      <c r="SWF974" s="252"/>
      <c r="SWG974" s="252"/>
      <c r="SWH974" s="252"/>
      <c r="SWI974" s="252"/>
      <c r="SWJ974" s="252"/>
      <c r="SWK974" s="252"/>
      <c r="SWL974" s="252"/>
      <c r="SWM974" s="252"/>
      <c r="SWN974" s="252"/>
      <c r="SWO974" s="252"/>
      <c r="SWP974" s="252"/>
      <c r="SWQ974" s="252"/>
      <c r="SWR974" s="252"/>
      <c r="SWS974" s="252"/>
      <c r="SWT974" s="252"/>
      <c r="SWU974" s="252"/>
      <c r="SWV974" s="252"/>
      <c r="SWW974" s="252"/>
      <c r="SWX974" s="252"/>
      <c r="SWY974" s="252"/>
      <c r="SWZ974" s="252"/>
      <c r="SXA974" s="252"/>
      <c r="SXB974" s="252"/>
      <c r="SXC974" s="252"/>
      <c r="SXD974" s="252"/>
      <c r="SXE974" s="252"/>
      <c r="SXF974" s="252"/>
      <c r="SXG974" s="252"/>
      <c r="SXH974" s="252"/>
      <c r="SXI974" s="252"/>
      <c r="SXJ974" s="252"/>
      <c r="SXK974" s="252"/>
      <c r="SXL974" s="252"/>
      <c r="SXM974" s="252"/>
      <c r="SXN974" s="252"/>
      <c r="SXO974" s="252"/>
      <c r="SXP974" s="252"/>
      <c r="SXQ974" s="252"/>
      <c r="SXR974" s="252"/>
      <c r="SXS974" s="252"/>
      <c r="SXT974" s="252"/>
      <c r="SXU974" s="252"/>
      <c r="SXV974" s="252"/>
      <c r="SXW974" s="252"/>
      <c r="SXX974" s="252"/>
      <c r="SXY974" s="252"/>
      <c r="SXZ974" s="252"/>
      <c r="SYA974" s="252"/>
      <c r="SYB974" s="252"/>
      <c r="SYC974" s="252"/>
      <c r="SYD974" s="252"/>
      <c r="SYE974" s="252"/>
      <c r="SYF974" s="252"/>
      <c r="SYG974" s="252"/>
      <c r="SYH974" s="252"/>
      <c r="SYI974" s="252"/>
      <c r="SYJ974" s="252"/>
      <c r="SYK974" s="252"/>
      <c r="SYL974" s="252"/>
      <c r="SYM974" s="252"/>
      <c r="SYN974" s="252"/>
      <c r="SYO974" s="252"/>
      <c r="SYP974" s="252"/>
      <c r="SYQ974" s="252"/>
      <c r="SYR974" s="252"/>
      <c r="SYS974" s="252"/>
      <c r="SYT974" s="252"/>
      <c r="SYU974" s="252"/>
      <c r="SYV974" s="252"/>
      <c r="SYW974" s="252"/>
      <c r="SYX974" s="252"/>
      <c r="SYY974" s="252"/>
      <c r="SYZ974" s="252"/>
      <c r="SZA974" s="252"/>
      <c r="SZB974" s="252"/>
      <c r="SZC974" s="252"/>
      <c r="SZD974" s="252"/>
      <c r="SZE974" s="252"/>
      <c r="SZF974" s="252"/>
      <c r="SZG974" s="252"/>
      <c r="SZH974" s="252"/>
      <c r="SZI974" s="252"/>
      <c r="SZJ974" s="252"/>
      <c r="SZK974" s="252"/>
      <c r="SZL974" s="252"/>
      <c r="SZM974" s="252"/>
      <c r="SZN974" s="252"/>
      <c r="SZO974" s="252"/>
      <c r="SZP974" s="252"/>
      <c r="SZQ974" s="252"/>
      <c r="SZR974" s="252"/>
      <c r="SZS974" s="252"/>
      <c r="SZT974" s="252"/>
      <c r="SZU974" s="252"/>
      <c r="SZV974" s="252"/>
      <c r="SZW974" s="252"/>
      <c r="SZX974" s="252"/>
      <c r="SZY974" s="252"/>
      <c r="SZZ974" s="252"/>
      <c r="TAA974" s="252"/>
      <c r="TAB974" s="252"/>
      <c r="TAC974" s="252"/>
      <c r="TAD974" s="252"/>
      <c r="TAE974" s="252"/>
      <c r="TAF974" s="252"/>
      <c r="TAG974" s="252"/>
      <c r="TAH974" s="252"/>
      <c r="TAI974" s="252"/>
      <c r="TAJ974" s="252"/>
      <c r="TAK974" s="252"/>
      <c r="TAL974" s="252"/>
      <c r="TAM974" s="252"/>
      <c r="TAN974" s="252"/>
      <c r="TAO974" s="252"/>
      <c r="TAP974" s="252"/>
      <c r="TAQ974" s="252"/>
      <c r="TAR974" s="252"/>
      <c r="TAS974" s="252"/>
      <c r="TAT974" s="252"/>
      <c r="TAU974" s="252"/>
      <c r="TAV974" s="252"/>
      <c r="TAW974" s="252"/>
      <c r="TAX974" s="252"/>
      <c r="TAY974" s="252"/>
      <c r="TAZ974" s="252"/>
      <c r="TBA974" s="252"/>
      <c r="TBB974" s="252"/>
      <c r="TBC974" s="252"/>
      <c r="TBD974" s="252"/>
      <c r="TBE974" s="252"/>
      <c r="TBF974" s="252"/>
      <c r="TBG974" s="252"/>
      <c r="TBH974" s="252"/>
      <c r="TBI974" s="252"/>
      <c r="TBJ974" s="252"/>
      <c r="TBK974" s="252"/>
      <c r="TBL974" s="252"/>
      <c r="TBM974" s="252"/>
      <c r="TBN974" s="252"/>
      <c r="TBO974" s="252"/>
      <c r="TBP974" s="252"/>
      <c r="TBQ974" s="252"/>
      <c r="TBR974" s="252"/>
      <c r="TBS974" s="252"/>
      <c r="TBT974" s="252"/>
      <c r="TBU974" s="252"/>
      <c r="TBV974" s="252"/>
      <c r="TBW974" s="252"/>
      <c r="TBX974" s="252"/>
      <c r="TBY974" s="252"/>
      <c r="TBZ974" s="252"/>
      <c r="TCA974" s="252"/>
      <c r="TCB974" s="252"/>
      <c r="TCC974" s="252"/>
      <c r="TCD974" s="252"/>
      <c r="TCE974" s="252"/>
      <c r="TCF974" s="252"/>
      <c r="TCG974" s="252"/>
      <c r="TCH974" s="252"/>
      <c r="TCI974" s="252"/>
      <c r="TCJ974" s="252"/>
      <c r="TCK974" s="252"/>
      <c r="TCL974" s="252"/>
      <c r="TCM974" s="252"/>
      <c r="TCN974" s="252"/>
      <c r="TCO974" s="252"/>
      <c r="TCP974" s="252"/>
      <c r="TCQ974" s="252"/>
      <c r="TCR974" s="252"/>
      <c r="TCS974" s="252"/>
      <c r="TCT974" s="252"/>
      <c r="TCU974" s="252"/>
      <c r="TCV974" s="252"/>
      <c r="TCW974" s="252"/>
      <c r="TCX974" s="252"/>
      <c r="TCY974" s="252"/>
      <c r="TCZ974" s="252"/>
      <c r="TDA974" s="252"/>
      <c r="TDB974" s="252"/>
      <c r="TDC974" s="252"/>
      <c r="TDD974" s="252"/>
      <c r="TDE974" s="252"/>
      <c r="TDF974" s="252"/>
      <c r="TDG974" s="252"/>
      <c r="TDH974" s="252"/>
      <c r="TDI974" s="252"/>
      <c r="TDJ974" s="252"/>
      <c r="TDK974" s="252"/>
      <c r="TDL974" s="252"/>
      <c r="TDM974" s="252"/>
      <c r="TDN974" s="252"/>
      <c r="TDO974" s="252"/>
      <c r="TDP974" s="252"/>
      <c r="TDQ974" s="252"/>
      <c r="TDR974" s="252"/>
      <c r="TDS974" s="252"/>
      <c r="TDT974" s="252"/>
      <c r="TDU974" s="252"/>
      <c r="TDV974" s="252"/>
      <c r="TDW974" s="252"/>
      <c r="TDX974" s="252"/>
      <c r="TDY974" s="252"/>
      <c r="TDZ974" s="252"/>
      <c r="TEA974" s="252"/>
      <c r="TEB974" s="252"/>
      <c r="TEC974" s="252"/>
      <c r="TED974" s="252"/>
      <c r="TEE974" s="252"/>
      <c r="TEF974" s="252"/>
      <c r="TEG974" s="252"/>
      <c r="TEH974" s="252"/>
      <c r="TEI974" s="252"/>
      <c r="TEJ974" s="252"/>
      <c r="TEK974" s="252"/>
      <c r="TEL974" s="252"/>
      <c r="TEM974" s="252"/>
      <c r="TEN974" s="252"/>
      <c r="TEO974" s="252"/>
      <c r="TEP974" s="252"/>
      <c r="TEQ974" s="252"/>
      <c r="TER974" s="252"/>
      <c r="TES974" s="252"/>
      <c r="TET974" s="252"/>
      <c r="TEU974" s="252"/>
      <c r="TEV974" s="252"/>
      <c r="TEW974" s="252"/>
      <c r="TEX974" s="252"/>
      <c r="TEY974" s="252"/>
      <c r="TEZ974" s="252"/>
      <c r="TFA974" s="252"/>
      <c r="TFB974" s="252"/>
      <c r="TFC974" s="252"/>
      <c r="TFD974" s="252"/>
      <c r="TFE974" s="252"/>
      <c r="TFF974" s="252"/>
      <c r="TFG974" s="252"/>
      <c r="TFH974" s="252"/>
      <c r="TFI974" s="252"/>
      <c r="TFJ974" s="252"/>
      <c r="TFK974" s="252"/>
      <c r="TFL974" s="252"/>
      <c r="TFM974" s="252"/>
      <c r="TFN974" s="252"/>
      <c r="TFO974" s="252"/>
      <c r="TFP974" s="252"/>
      <c r="TFQ974" s="252"/>
      <c r="TFR974" s="252"/>
      <c r="TFS974" s="252"/>
      <c r="TFT974" s="252"/>
      <c r="TFU974" s="252"/>
      <c r="TFV974" s="252"/>
      <c r="TFW974" s="252"/>
      <c r="TFX974" s="252"/>
      <c r="TFY974" s="252"/>
      <c r="TFZ974" s="252"/>
      <c r="TGA974" s="252"/>
      <c r="TGB974" s="252"/>
      <c r="TGC974" s="252"/>
      <c r="TGD974" s="252"/>
      <c r="TGE974" s="252"/>
      <c r="TGF974" s="252"/>
      <c r="TGG974" s="252"/>
      <c r="TGH974" s="252"/>
      <c r="TGI974" s="252"/>
      <c r="TGJ974" s="252"/>
      <c r="TGK974" s="252"/>
      <c r="TGL974" s="252"/>
      <c r="TGM974" s="252"/>
      <c r="TGN974" s="252"/>
      <c r="TGO974" s="252"/>
      <c r="TGP974" s="252"/>
      <c r="TGQ974" s="252"/>
      <c r="TGR974" s="252"/>
      <c r="TGS974" s="252"/>
      <c r="TGT974" s="252"/>
      <c r="TGU974" s="252"/>
      <c r="TGV974" s="252"/>
      <c r="TGW974" s="252"/>
      <c r="TGX974" s="252"/>
      <c r="TGY974" s="252"/>
      <c r="TGZ974" s="252"/>
      <c r="THA974" s="252"/>
      <c r="THB974" s="252"/>
      <c r="THC974" s="252"/>
      <c r="THD974" s="252"/>
      <c r="THE974" s="252"/>
      <c r="THF974" s="252"/>
      <c r="THG974" s="252"/>
      <c r="THH974" s="252"/>
      <c r="THI974" s="252"/>
      <c r="THJ974" s="252"/>
      <c r="THK974" s="252"/>
      <c r="THL974" s="252"/>
      <c r="THM974" s="252"/>
      <c r="THN974" s="252"/>
      <c r="THO974" s="252"/>
      <c r="THP974" s="252"/>
      <c r="THQ974" s="252"/>
      <c r="THR974" s="252"/>
      <c r="THS974" s="252"/>
      <c r="THT974" s="252"/>
      <c r="THU974" s="252"/>
      <c r="THV974" s="252"/>
      <c r="THW974" s="252"/>
      <c r="THX974" s="252"/>
      <c r="THY974" s="252"/>
      <c r="THZ974" s="252"/>
      <c r="TIA974" s="252"/>
      <c r="TIB974" s="252"/>
      <c r="TIC974" s="252"/>
      <c r="TID974" s="252"/>
      <c r="TIE974" s="252"/>
      <c r="TIF974" s="252"/>
      <c r="TIG974" s="252"/>
      <c r="TIH974" s="252"/>
      <c r="TII974" s="252"/>
      <c r="TIJ974" s="252"/>
      <c r="TIK974" s="252"/>
      <c r="TIL974" s="252"/>
      <c r="TIM974" s="252"/>
      <c r="TIN974" s="252"/>
      <c r="TIO974" s="252"/>
      <c r="TIP974" s="252"/>
      <c r="TIQ974" s="252"/>
      <c r="TIR974" s="252"/>
      <c r="TIS974" s="252"/>
      <c r="TIT974" s="252"/>
      <c r="TIU974" s="252"/>
      <c r="TIV974" s="252"/>
      <c r="TIW974" s="252"/>
      <c r="TIX974" s="252"/>
      <c r="TIY974" s="252"/>
      <c r="TIZ974" s="252"/>
      <c r="TJA974" s="252"/>
      <c r="TJB974" s="252"/>
      <c r="TJC974" s="252"/>
      <c r="TJD974" s="252"/>
      <c r="TJE974" s="252"/>
      <c r="TJF974" s="252"/>
      <c r="TJG974" s="252"/>
      <c r="TJH974" s="252"/>
      <c r="TJI974" s="252"/>
      <c r="TJJ974" s="252"/>
      <c r="TJK974" s="252"/>
      <c r="TJL974" s="252"/>
      <c r="TJM974" s="252"/>
      <c r="TJN974" s="252"/>
      <c r="TJO974" s="252"/>
      <c r="TJP974" s="252"/>
      <c r="TJQ974" s="252"/>
      <c r="TJR974" s="252"/>
      <c r="TJS974" s="252"/>
      <c r="TJT974" s="252"/>
      <c r="TJU974" s="252"/>
      <c r="TJV974" s="252"/>
      <c r="TJW974" s="252"/>
      <c r="TJX974" s="252"/>
      <c r="TJY974" s="252"/>
      <c r="TJZ974" s="252"/>
      <c r="TKA974" s="252"/>
      <c r="TKB974" s="252"/>
      <c r="TKC974" s="252"/>
      <c r="TKD974" s="252"/>
      <c r="TKE974" s="252"/>
      <c r="TKF974" s="252"/>
      <c r="TKG974" s="252"/>
      <c r="TKH974" s="252"/>
      <c r="TKI974" s="252"/>
      <c r="TKJ974" s="252"/>
      <c r="TKK974" s="252"/>
      <c r="TKL974" s="252"/>
      <c r="TKM974" s="252"/>
      <c r="TKN974" s="252"/>
      <c r="TKO974" s="252"/>
      <c r="TKP974" s="252"/>
      <c r="TKQ974" s="252"/>
      <c r="TKR974" s="252"/>
      <c r="TKS974" s="252"/>
      <c r="TKT974" s="252"/>
      <c r="TKU974" s="252"/>
      <c r="TKV974" s="252"/>
      <c r="TKW974" s="252"/>
      <c r="TKX974" s="252"/>
      <c r="TKY974" s="252"/>
      <c r="TKZ974" s="252"/>
      <c r="TLA974" s="252"/>
      <c r="TLB974" s="252"/>
      <c r="TLC974" s="252"/>
      <c r="TLD974" s="252"/>
      <c r="TLE974" s="252"/>
      <c r="TLF974" s="252"/>
      <c r="TLG974" s="252"/>
      <c r="TLH974" s="252"/>
      <c r="TLI974" s="252"/>
      <c r="TLJ974" s="252"/>
      <c r="TLK974" s="252"/>
      <c r="TLL974" s="252"/>
      <c r="TLM974" s="252"/>
      <c r="TLN974" s="252"/>
      <c r="TLO974" s="252"/>
      <c r="TLP974" s="252"/>
      <c r="TLQ974" s="252"/>
      <c r="TLR974" s="252"/>
      <c r="TLS974" s="252"/>
      <c r="TLT974" s="252"/>
      <c r="TLU974" s="252"/>
      <c r="TLV974" s="252"/>
      <c r="TLW974" s="252"/>
      <c r="TLX974" s="252"/>
      <c r="TLY974" s="252"/>
      <c r="TLZ974" s="252"/>
      <c r="TMA974" s="252"/>
      <c r="TMB974" s="252"/>
      <c r="TMC974" s="252"/>
      <c r="TMD974" s="252"/>
      <c r="TME974" s="252"/>
      <c r="TMF974" s="252"/>
      <c r="TMG974" s="252"/>
      <c r="TMH974" s="252"/>
      <c r="TMI974" s="252"/>
      <c r="TMJ974" s="252"/>
      <c r="TMK974" s="252"/>
      <c r="TML974" s="252"/>
      <c r="TMM974" s="252"/>
      <c r="TMN974" s="252"/>
      <c r="TMO974" s="252"/>
      <c r="TMP974" s="252"/>
      <c r="TMQ974" s="252"/>
      <c r="TMR974" s="252"/>
      <c r="TMS974" s="252"/>
      <c r="TMT974" s="252"/>
      <c r="TMU974" s="252"/>
      <c r="TMV974" s="252"/>
      <c r="TMW974" s="252"/>
      <c r="TMX974" s="252"/>
      <c r="TMY974" s="252"/>
      <c r="TMZ974" s="252"/>
      <c r="TNA974" s="252"/>
      <c r="TNB974" s="252"/>
      <c r="TNC974" s="252"/>
      <c r="TND974" s="252"/>
      <c r="TNE974" s="252"/>
      <c r="TNF974" s="252"/>
      <c r="TNG974" s="252"/>
      <c r="TNH974" s="252"/>
      <c r="TNI974" s="252"/>
      <c r="TNJ974" s="252"/>
      <c r="TNK974" s="252"/>
      <c r="TNL974" s="252"/>
      <c r="TNM974" s="252"/>
      <c r="TNN974" s="252"/>
      <c r="TNO974" s="252"/>
      <c r="TNP974" s="252"/>
      <c r="TNQ974" s="252"/>
      <c r="TNR974" s="252"/>
      <c r="TNS974" s="252"/>
      <c r="TNT974" s="252"/>
      <c r="TNU974" s="252"/>
      <c r="TNV974" s="252"/>
      <c r="TNW974" s="252"/>
      <c r="TNX974" s="252"/>
      <c r="TNY974" s="252"/>
      <c r="TNZ974" s="252"/>
      <c r="TOA974" s="252"/>
      <c r="TOB974" s="252"/>
      <c r="TOC974" s="252"/>
      <c r="TOD974" s="252"/>
      <c r="TOE974" s="252"/>
      <c r="TOF974" s="252"/>
      <c r="TOG974" s="252"/>
      <c r="TOH974" s="252"/>
      <c r="TOI974" s="252"/>
      <c r="TOJ974" s="252"/>
      <c r="TOK974" s="252"/>
      <c r="TOL974" s="252"/>
      <c r="TOM974" s="252"/>
      <c r="TON974" s="252"/>
      <c r="TOO974" s="252"/>
      <c r="TOP974" s="252"/>
      <c r="TOQ974" s="252"/>
      <c r="TOR974" s="252"/>
      <c r="TOS974" s="252"/>
      <c r="TOT974" s="252"/>
      <c r="TOU974" s="252"/>
      <c r="TOV974" s="252"/>
      <c r="TOW974" s="252"/>
      <c r="TOX974" s="252"/>
      <c r="TOY974" s="252"/>
      <c r="TOZ974" s="252"/>
      <c r="TPA974" s="252"/>
      <c r="TPB974" s="252"/>
      <c r="TPC974" s="252"/>
      <c r="TPD974" s="252"/>
      <c r="TPE974" s="252"/>
      <c r="TPF974" s="252"/>
      <c r="TPG974" s="252"/>
      <c r="TPH974" s="252"/>
      <c r="TPI974" s="252"/>
      <c r="TPJ974" s="252"/>
      <c r="TPK974" s="252"/>
      <c r="TPL974" s="252"/>
      <c r="TPM974" s="252"/>
      <c r="TPN974" s="252"/>
      <c r="TPO974" s="252"/>
      <c r="TPP974" s="252"/>
      <c r="TPQ974" s="252"/>
      <c r="TPR974" s="252"/>
      <c r="TPS974" s="252"/>
      <c r="TPT974" s="252"/>
      <c r="TPU974" s="252"/>
      <c r="TPV974" s="252"/>
      <c r="TPW974" s="252"/>
      <c r="TPX974" s="252"/>
      <c r="TPY974" s="252"/>
      <c r="TPZ974" s="252"/>
      <c r="TQA974" s="252"/>
      <c r="TQB974" s="252"/>
      <c r="TQC974" s="252"/>
      <c r="TQD974" s="252"/>
      <c r="TQE974" s="252"/>
      <c r="TQF974" s="252"/>
      <c r="TQG974" s="252"/>
      <c r="TQH974" s="252"/>
      <c r="TQI974" s="252"/>
      <c r="TQJ974" s="252"/>
      <c r="TQK974" s="252"/>
      <c r="TQL974" s="252"/>
      <c r="TQM974" s="252"/>
      <c r="TQN974" s="252"/>
      <c r="TQO974" s="252"/>
      <c r="TQP974" s="252"/>
      <c r="TQQ974" s="252"/>
      <c r="TQR974" s="252"/>
      <c r="TQS974" s="252"/>
      <c r="TQT974" s="252"/>
      <c r="TQU974" s="252"/>
      <c r="TQV974" s="252"/>
      <c r="TQW974" s="252"/>
      <c r="TQX974" s="252"/>
      <c r="TQY974" s="252"/>
      <c r="TQZ974" s="252"/>
      <c r="TRA974" s="252"/>
      <c r="TRB974" s="252"/>
      <c r="TRC974" s="252"/>
      <c r="TRD974" s="252"/>
      <c r="TRE974" s="252"/>
      <c r="TRF974" s="252"/>
      <c r="TRG974" s="252"/>
      <c r="TRH974" s="252"/>
      <c r="TRI974" s="252"/>
      <c r="TRJ974" s="252"/>
      <c r="TRK974" s="252"/>
      <c r="TRL974" s="252"/>
      <c r="TRM974" s="252"/>
      <c r="TRN974" s="252"/>
      <c r="TRO974" s="252"/>
      <c r="TRP974" s="252"/>
      <c r="TRQ974" s="252"/>
      <c r="TRR974" s="252"/>
      <c r="TRS974" s="252"/>
      <c r="TRT974" s="252"/>
      <c r="TRU974" s="252"/>
      <c r="TRV974" s="252"/>
      <c r="TRW974" s="252"/>
      <c r="TRX974" s="252"/>
      <c r="TRY974" s="252"/>
      <c r="TRZ974" s="252"/>
      <c r="TSA974" s="252"/>
      <c r="TSB974" s="252"/>
      <c r="TSC974" s="252"/>
      <c r="TSD974" s="252"/>
      <c r="TSE974" s="252"/>
      <c r="TSF974" s="252"/>
      <c r="TSG974" s="252"/>
      <c r="TSH974" s="252"/>
      <c r="TSI974" s="252"/>
      <c r="TSJ974" s="252"/>
      <c r="TSK974" s="252"/>
      <c r="TSL974" s="252"/>
      <c r="TSM974" s="252"/>
      <c r="TSN974" s="252"/>
      <c r="TSO974" s="252"/>
      <c r="TSP974" s="252"/>
      <c r="TSQ974" s="252"/>
      <c r="TSR974" s="252"/>
      <c r="TSS974" s="252"/>
      <c r="TST974" s="252"/>
      <c r="TSU974" s="252"/>
      <c r="TSV974" s="252"/>
      <c r="TSW974" s="252"/>
      <c r="TSX974" s="252"/>
      <c r="TSY974" s="252"/>
      <c r="TSZ974" s="252"/>
      <c r="TTA974" s="252"/>
      <c r="TTB974" s="252"/>
      <c r="TTC974" s="252"/>
      <c r="TTD974" s="252"/>
      <c r="TTE974" s="252"/>
      <c r="TTF974" s="252"/>
      <c r="TTG974" s="252"/>
      <c r="TTH974" s="252"/>
      <c r="TTI974" s="252"/>
      <c r="TTJ974" s="252"/>
      <c r="TTK974" s="252"/>
      <c r="TTL974" s="252"/>
      <c r="TTM974" s="252"/>
      <c r="TTN974" s="252"/>
      <c r="TTO974" s="252"/>
      <c r="TTP974" s="252"/>
      <c r="TTQ974" s="252"/>
      <c r="TTR974" s="252"/>
      <c r="TTS974" s="252"/>
      <c r="TTT974" s="252"/>
      <c r="TTU974" s="252"/>
      <c r="TTV974" s="252"/>
      <c r="TTW974" s="252"/>
      <c r="TTX974" s="252"/>
      <c r="TTY974" s="252"/>
      <c r="TTZ974" s="252"/>
      <c r="TUA974" s="252"/>
      <c r="TUB974" s="252"/>
      <c r="TUC974" s="252"/>
      <c r="TUD974" s="252"/>
      <c r="TUE974" s="252"/>
      <c r="TUF974" s="252"/>
      <c r="TUG974" s="252"/>
      <c r="TUH974" s="252"/>
      <c r="TUI974" s="252"/>
      <c r="TUJ974" s="252"/>
      <c r="TUK974" s="252"/>
      <c r="TUL974" s="252"/>
      <c r="TUM974" s="252"/>
      <c r="TUN974" s="252"/>
      <c r="TUO974" s="252"/>
      <c r="TUP974" s="252"/>
      <c r="TUQ974" s="252"/>
      <c r="TUR974" s="252"/>
      <c r="TUS974" s="252"/>
      <c r="TUT974" s="252"/>
      <c r="TUU974" s="252"/>
      <c r="TUV974" s="252"/>
      <c r="TUW974" s="252"/>
      <c r="TUX974" s="252"/>
      <c r="TUY974" s="252"/>
      <c r="TUZ974" s="252"/>
      <c r="TVA974" s="252"/>
      <c r="TVB974" s="252"/>
      <c r="TVC974" s="252"/>
      <c r="TVD974" s="252"/>
      <c r="TVE974" s="252"/>
      <c r="TVF974" s="252"/>
      <c r="TVG974" s="252"/>
      <c r="TVH974" s="252"/>
      <c r="TVI974" s="252"/>
      <c r="TVJ974" s="252"/>
      <c r="TVK974" s="252"/>
      <c r="TVL974" s="252"/>
      <c r="TVM974" s="252"/>
      <c r="TVN974" s="252"/>
      <c r="TVO974" s="252"/>
      <c r="TVP974" s="252"/>
      <c r="TVQ974" s="252"/>
      <c r="TVR974" s="252"/>
      <c r="TVS974" s="252"/>
      <c r="TVT974" s="252"/>
      <c r="TVU974" s="252"/>
      <c r="TVV974" s="252"/>
      <c r="TVW974" s="252"/>
      <c r="TVX974" s="252"/>
      <c r="TVY974" s="252"/>
      <c r="TVZ974" s="252"/>
      <c r="TWA974" s="252"/>
      <c r="TWB974" s="252"/>
      <c r="TWC974" s="252"/>
      <c r="TWD974" s="252"/>
      <c r="TWE974" s="252"/>
      <c r="TWF974" s="252"/>
      <c r="TWG974" s="252"/>
      <c r="TWH974" s="252"/>
      <c r="TWI974" s="252"/>
      <c r="TWJ974" s="252"/>
      <c r="TWK974" s="252"/>
      <c r="TWL974" s="252"/>
      <c r="TWM974" s="252"/>
      <c r="TWN974" s="252"/>
      <c r="TWO974" s="252"/>
      <c r="TWP974" s="252"/>
      <c r="TWQ974" s="252"/>
      <c r="TWR974" s="252"/>
      <c r="TWS974" s="252"/>
      <c r="TWT974" s="252"/>
      <c r="TWU974" s="252"/>
      <c r="TWV974" s="252"/>
      <c r="TWW974" s="252"/>
      <c r="TWX974" s="252"/>
      <c r="TWY974" s="252"/>
      <c r="TWZ974" s="252"/>
      <c r="TXA974" s="252"/>
      <c r="TXB974" s="252"/>
      <c r="TXC974" s="252"/>
      <c r="TXD974" s="252"/>
      <c r="TXE974" s="252"/>
      <c r="TXF974" s="252"/>
      <c r="TXG974" s="252"/>
      <c r="TXH974" s="252"/>
      <c r="TXI974" s="252"/>
      <c r="TXJ974" s="252"/>
      <c r="TXK974" s="252"/>
      <c r="TXL974" s="252"/>
      <c r="TXM974" s="252"/>
      <c r="TXN974" s="252"/>
      <c r="TXO974" s="252"/>
      <c r="TXP974" s="252"/>
      <c r="TXQ974" s="252"/>
      <c r="TXR974" s="252"/>
      <c r="TXS974" s="252"/>
      <c r="TXT974" s="252"/>
      <c r="TXU974" s="252"/>
      <c r="TXV974" s="252"/>
      <c r="TXW974" s="252"/>
      <c r="TXX974" s="252"/>
      <c r="TXY974" s="252"/>
      <c r="TXZ974" s="252"/>
      <c r="TYA974" s="252"/>
      <c r="TYB974" s="252"/>
      <c r="TYC974" s="252"/>
      <c r="TYD974" s="252"/>
      <c r="TYE974" s="252"/>
      <c r="TYF974" s="252"/>
      <c r="TYG974" s="252"/>
      <c r="TYH974" s="252"/>
      <c r="TYI974" s="252"/>
      <c r="TYJ974" s="252"/>
      <c r="TYK974" s="252"/>
      <c r="TYL974" s="252"/>
      <c r="TYM974" s="252"/>
      <c r="TYN974" s="252"/>
      <c r="TYO974" s="252"/>
      <c r="TYP974" s="252"/>
      <c r="TYQ974" s="252"/>
      <c r="TYR974" s="252"/>
      <c r="TYS974" s="252"/>
      <c r="TYT974" s="252"/>
      <c r="TYU974" s="252"/>
      <c r="TYV974" s="252"/>
      <c r="TYW974" s="252"/>
      <c r="TYX974" s="252"/>
      <c r="TYY974" s="252"/>
      <c r="TYZ974" s="252"/>
      <c r="TZA974" s="252"/>
      <c r="TZB974" s="252"/>
      <c r="TZC974" s="252"/>
      <c r="TZD974" s="252"/>
      <c r="TZE974" s="252"/>
      <c r="TZF974" s="252"/>
      <c r="TZG974" s="252"/>
      <c r="TZH974" s="252"/>
      <c r="TZI974" s="252"/>
      <c r="TZJ974" s="252"/>
      <c r="TZK974" s="252"/>
      <c r="TZL974" s="252"/>
      <c r="TZM974" s="252"/>
      <c r="TZN974" s="252"/>
      <c r="TZO974" s="252"/>
      <c r="TZP974" s="252"/>
      <c r="TZQ974" s="252"/>
      <c r="TZR974" s="252"/>
      <c r="TZS974" s="252"/>
      <c r="TZT974" s="252"/>
      <c r="TZU974" s="252"/>
      <c r="TZV974" s="252"/>
      <c r="TZW974" s="252"/>
      <c r="TZX974" s="252"/>
      <c r="TZY974" s="252"/>
      <c r="TZZ974" s="252"/>
      <c r="UAA974" s="252"/>
      <c r="UAB974" s="252"/>
      <c r="UAC974" s="252"/>
      <c r="UAD974" s="252"/>
      <c r="UAE974" s="252"/>
      <c r="UAF974" s="252"/>
      <c r="UAG974" s="252"/>
      <c r="UAH974" s="252"/>
      <c r="UAI974" s="252"/>
      <c r="UAJ974" s="252"/>
      <c r="UAK974" s="252"/>
      <c r="UAL974" s="252"/>
      <c r="UAM974" s="252"/>
      <c r="UAN974" s="252"/>
      <c r="UAO974" s="252"/>
      <c r="UAP974" s="252"/>
      <c r="UAQ974" s="252"/>
      <c r="UAR974" s="252"/>
      <c r="UAS974" s="252"/>
      <c r="UAT974" s="252"/>
      <c r="UAU974" s="252"/>
      <c r="UAV974" s="252"/>
      <c r="UAW974" s="252"/>
      <c r="UAX974" s="252"/>
      <c r="UAY974" s="252"/>
      <c r="UAZ974" s="252"/>
      <c r="UBA974" s="252"/>
      <c r="UBB974" s="252"/>
      <c r="UBC974" s="252"/>
      <c r="UBD974" s="252"/>
      <c r="UBE974" s="252"/>
      <c r="UBF974" s="252"/>
      <c r="UBG974" s="252"/>
      <c r="UBH974" s="252"/>
      <c r="UBI974" s="252"/>
      <c r="UBJ974" s="252"/>
      <c r="UBK974" s="252"/>
      <c r="UBL974" s="252"/>
      <c r="UBM974" s="252"/>
      <c r="UBN974" s="252"/>
      <c r="UBO974" s="252"/>
      <c r="UBP974" s="252"/>
      <c r="UBQ974" s="252"/>
      <c r="UBR974" s="252"/>
      <c r="UBS974" s="252"/>
      <c r="UBT974" s="252"/>
      <c r="UBU974" s="252"/>
      <c r="UBV974" s="252"/>
      <c r="UBW974" s="252"/>
      <c r="UBX974" s="252"/>
      <c r="UBY974" s="252"/>
      <c r="UBZ974" s="252"/>
      <c r="UCA974" s="252"/>
      <c r="UCB974" s="252"/>
      <c r="UCC974" s="252"/>
      <c r="UCD974" s="252"/>
      <c r="UCE974" s="252"/>
      <c r="UCF974" s="252"/>
      <c r="UCG974" s="252"/>
      <c r="UCH974" s="252"/>
      <c r="UCI974" s="252"/>
      <c r="UCJ974" s="252"/>
      <c r="UCK974" s="252"/>
      <c r="UCL974" s="252"/>
      <c r="UCM974" s="252"/>
      <c r="UCN974" s="252"/>
      <c r="UCO974" s="252"/>
      <c r="UCP974" s="252"/>
      <c r="UCQ974" s="252"/>
      <c r="UCR974" s="252"/>
      <c r="UCS974" s="252"/>
      <c r="UCT974" s="252"/>
      <c r="UCU974" s="252"/>
      <c r="UCV974" s="252"/>
      <c r="UCW974" s="252"/>
      <c r="UCX974" s="252"/>
      <c r="UCY974" s="252"/>
      <c r="UCZ974" s="252"/>
      <c r="UDA974" s="252"/>
      <c r="UDB974" s="252"/>
      <c r="UDC974" s="252"/>
      <c r="UDD974" s="252"/>
      <c r="UDE974" s="252"/>
      <c r="UDF974" s="252"/>
      <c r="UDG974" s="252"/>
      <c r="UDH974" s="252"/>
      <c r="UDI974" s="252"/>
      <c r="UDJ974" s="252"/>
      <c r="UDK974" s="252"/>
      <c r="UDL974" s="252"/>
      <c r="UDM974" s="252"/>
      <c r="UDN974" s="252"/>
      <c r="UDO974" s="252"/>
      <c r="UDP974" s="252"/>
      <c r="UDQ974" s="252"/>
      <c r="UDR974" s="252"/>
      <c r="UDS974" s="252"/>
      <c r="UDT974" s="252"/>
      <c r="UDU974" s="252"/>
      <c r="UDV974" s="252"/>
      <c r="UDW974" s="252"/>
      <c r="UDX974" s="252"/>
      <c r="UDY974" s="252"/>
      <c r="UDZ974" s="252"/>
      <c r="UEA974" s="252"/>
      <c r="UEB974" s="252"/>
      <c r="UEC974" s="252"/>
      <c r="UED974" s="252"/>
      <c r="UEE974" s="252"/>
      <c r="UEF974" s="252"/>
      <c r="UEG974" s="252"/>
      <c r="UEH974" s="252"/>
      <c r="UEI974" s="252"/>
      <c r="UEJ974" s="252"/>
      <c r="UEK974" s="252"/>
      <c r="UEL974" s="252"/>
      <c r="UEM974" s="252"/>
      <c r="UEN974" s="252"/>
      <c r="UEO974" s="252"/>
      <c r="UEP974" s="252"/>
      <c r="UEQ974" s="252"/>
      <c r="UER974" s="252"/>
      <c r="UES974" s="252"/>
      <c r="UET974" s="252"/>
      <c r="UEU974" s="252"/>
      <c r="UEV974" s="252"/>
      <c r="UEW974" s="252"/>
      <c r="UEX974" s="252"/>
      <c r="UEY974" s="252"/>
      <c r="UEZ974" s="252"/>
      <c r="UFA974" s="252"/>
      <c r="UFB974" s="252"/>
      <c r="UFC974" s="252"/>
      <c r="UFD974" s="252"/>
      <c r="UFE974" s="252"/>
      <c r="UFF974" s="252"/>
      <c r="UFG974" s="252"/>
      <c r="UFH974" s="252"/>
      <c r="UFI974" s="252"/>
      <c r="UFJ974" s="252"/>
      <c r="UFK974" s="252"/>
      <c r="UFL974" s="252"/>
      <c r="UFM974" s="252"/>
      <c r="UFN974" s="252"/>
      <c r="UFO974" s="252"/>
      <c r="UFP974" s="252"/>
      <c r="UFQ974" s="252"/>
      <c r="UFR974" s="252"/>
      <c r="UFS974" s="252"/>
      <c r="UFT974" s="252"/>
      <c r="UFU974" s="252"/>
      <c r="UFV974" s="252"/>
      <c r="UFW974" s="252"/>
      <c r="UFX974" s="252"/>
      <c r="UFY974" s="252"/>
      <c r="UFZ974" s="252"/>
      <c r="UGA974" s="252"/>
      <c r="UGB974" s="252"/>
      <c r="UGC974" s="252"/>
      <c r="UGD974" s="252"/>
      <c r="UGE974" s="252"/>
      <c r="UGF974" s="252"/>
      <c r="UGG974" s="252"/>
      <c r="UGH974" s="252"/>
      <c r="UGI974" s="252"/>
      <c r="UGJ974" s="252"/>
      <c r="UGK974" s="252"/>
      <c r="UGL974" s="252"/>
      <c r="UGM974" s="252"/>
      <c r="UGN974" s="252"/>
      <c r="UGO974" s="252"/>
      <c r="UGP974" s="252"/>
      <c r="UGQ974" s="252"/>
      <c r="UGR974" s="252"/>
      <c r="UGS974" s="252"/>
      <c r="UGT974" s="252"/>
      <c r="UGU974" s="252"/>
      <c r="UGV974" s="252"/>
      <c r="UGW974" s="252"/>
      <c r="UGX974" s="252"/>
      <c r="UGY974" s="252"/>
      <c r="UGZ974" s="252"/>
      <c r="UHA974" s="252"/>
      <c r="UHB974" s="252"/>
      <c r="UHC974" s="252"/>
      <c r="UHD974" s="252"/>
      <c r="UHE974" s="252"/>
      <c r="UHF974" s="252"/>
      <c r="UHG974" s="252"/>
      <c r="UHH974" s="252"/>
      <c r="UHI974" s="252"/>
      <c r="UHJ974" s="252"/>
      <c r="UHK974" s="252"/>
      <c r="UHL974" s="252"/>
      <c r="UHM974" s="252"/>
      <c r="UHN974" s="252"/>
      <c r="UHO974" s="252"/>
      <c r="UHP974" s="252"/>
      <c r="UHQ974" s="252"/>
      <c r="UHR974" s="252"/>
      <c r="UHS974" s="252"/>
      <c r="UHT974" s="252"/>
      <c r="UHU974" s="252"/>
      <c r="UHV974" s="252"/>
      <c r="UHW974" s="252"/>
      <c r="UHX974" s="252"/>
      <c r="UHY974" s="252"/>
      <c r="UHZ974" s="252"/>
      <c r="UIA974" s="252"/>
      <c r="UIB974" s="252"/>
      <c r="UIC974" s="252"/>
      <c r="UID974" s="252"/>
      <c r="UIE974" s="252"/>
      <c r="UIF974" s="252"/>
      <c r="UIG974" s="252"/>
      <c r="UIH974" s="252"/>
      <c r="UII974" s="252"/>
      <c r="UIJ974" s="252"/>
      <c r="UIK974" s="252"/>
      <c r="UIL974" s="252"/>
      <c r="UIM974" s="252"/>
      <c r="UIN974" s="252"/>
      <c r="UIO974" s="252"/>
      <c r="UIP974" s="252"/>
      <c r="UIQ974" s="252"/>
      <c r="UIR974" s="252"/>
      <c r="UIS974" s="252"/>
      <c r="UIT974" s="252"/>
      <c r="UIU974" s="252"/>
      <c r="UIV974" s="252"/>
      <c r="UIW974" s="252"/>
      <c r="UIX974" s="252"/>
      <c r="UIY974" s="252"/>
      <c r="UIZ974" s="252"/>
      <c r="UJA974" s="252"/>
      <c r="UJB974" s="252"/>
      <c r="UJC974" s="252"/>
      <c r="UJD974" s="252"/>
      <c r="UJE974" s="252"/>
      <c r="UJF974" s="252"/>
      <c r="UJG974" s="252"/>
      <c r="UJH974" s="252"/>
      <c r="UJI974" s="252"/>
      <c r="UJJ974" s="252"/>
      <c r="UJK974" s="252"/>
      <c r="UJL974" s="252"/>
      <c r="UJM974" s="252"/>
      <c r="UJN974" s="252"/>
      <c r="UJO974" s="252"/>
      <c r="UJP974" s="252"/>
      <c r="UJQ974" s="252"/>
      <c r="UJR974" s="252"/>
      <c r="UJS974" s="252"/>
      <c r="UJT974" s="252"/>
      <c r="UJU974" s="252"/>
      <c r="UJV974" s="252"/>
      <c r="UJW974" s="252"/>
      <c r="UJX974" s="252"/>
      <c r="UJY974" s="252"/>
      <c r="UJZ974" s="252"/>
      <c r="UKA974" s="252"/>
      <c r="UKB974" s="252"/>
      <c r="UKC974" s="252"/>
      <c r="UKD974" s="252"/>
      <c r="UKE974" s="252"/>
      <c r="UKF974" s="252"/>
      <c r="UKG974" s="252"/>
      <c r="UKH974" s="252"/>
      <c r="UKI974" s="252"/>
      <c r="UKJ974" s="252"/>
      <c r="UKK974" s="252"/>
      <c r="UKL974" s="252"/>
      <c r="UKM974" s="252"/>
      <c r="UKN974" s="252"/>
      <c r="UKO974" s="252"/>
      <c r="UKP974" s="252"/>
      <c r="UKQ974" s="252"/>
      <c r="UKR974" s="252"/>
      <c r="UKS974" s="252"/>
      <c r="UKT974" s="252"/>
      <c r="UKU974" s="252"/>
      <c r="UKV974" s="252"/>
      <c r="UKW974" s="252"/>
      <c r="UKX974" s="252"/>
      <c r="UKY974" s="252"/>
      <c r="UKZ974" s="252"/>
      <c r="ULA974" s="252"/>
      <c r="ULB974" s="252"/>
      <c r="ULC974" s="252"/>
      <c r="ULD974" s="252"/>
      <c r="ULE974" s="252"/>
      <c r="ULF974" s="252"/>
      <c r="ULG974" s="252"/>
      <c r="ULH974" s="252"/>
      <c r="ULI974" s="252"/>
      <c r="ULJ974" s="252"/>
      <c r="ULK974" s="252"/>
      <c r="ULL974" s="252"/>
      <c r="ULM974" s="252"/>
      <c r="ULN974" s="252"/>
      <c r="ULO974" s="252"/>
      <c r="ULP974" s="252"/>
      <c r="ULQ974" s="252"/>
      <c r="ULR974" s="252"/>
      <c r="ULS974" s="252"/>
      <c r="ULT974" s="252"/>
      <c r="ULU974" s="252"/>
      <c r="ULV974" s="252"/>
      <c r="ULW974" s="252"/>
      <c r="ULX974" s="252"/>
      <c r="ULY974" s="252"/>
      <c r="ULZ974" s="252"/>
      <c r="UMA974" s="252"/>
      <c r="UMB974" s="252"/>
      <c r="UMC974" s="252"/>
      <c r="UMD974" s="252"/>
      <c r="UME974" s="252"/>
      <c r="UMF974" s="252"/>
      <c r="UMG974" s="252"/>
      <c r="UMH974" s="252"/>
      <c r="UMI974" s="252"/>
      <c r="UMJ974" s="252"/>
      <c r="UMK974" s="252"/>
      <c r="UML974" s="252"/>
      <c r="UMM974" s="252"/>
      <c r="UMN974" s="252"/>
      <c r="UMO974" s="252"/>
      <c r="UMP974" s="252"/>
      <c r="UMQ974" s="252"/>
      <c r="UMR974" s="252"/>
      <c r="UMS974" s="252"/>
      <c r="UMT974" s="252"/>
      <c r="UMU974" s="252"/>
      <c r="UMV974" s="252"/>
      <c r="UMW974" s="252"/>
      <c r="UMX974" s="252"/>
      <c r="UMY974" s="252"/>
      <c r="UMZ974" s="252"/>
      <c r="UNA974" s="252"/>
      <c r="UNB974" s="252"/>
      <c r="UNC974" s="252"/>
      <c r="UND974" s="252"/>
      <c r="UNE974" s="252"/>
      <c r="UNF974" s="252"/>
      <c r="UNG974" s="252"/>
      <c r="UNH974" s="252"/>
      <c r="UNI974" s="252"/>
      <c r="UNJ974" s="252"/>
      <c r="UNK974" s="252"/>
      <c r="UNL974" s="252"/>
      <c r="UNM974" s="252"/>
      <c r="UNN974" s="252"/>
      <c r="UNO974" s="252"/>
      <c r="UNP974" s="252"/>
      <c r="UNQ974" s="252"/>
      <c r="UNR974" s="252"/>
      <c r="UNS974" s="252"/>
      <c r="UNT974" s="252"/>
      <c r="UNU974" s="252"/>
      <c r="UNV974" s="252"/>
      <c r="UNW974" s="252"/>
      <c r="UNX974" s="252"/>
      <c r="UNY974" s="252"/>
      <c r="UNZ974" s="252"/>
      <c r="UOA974" s="252"/>
      <c r="UOB974" s="252"/>
      <c r="UOC974" s="252"/>
      <c r="UOD974" s="252"/>
      <c r="UOE974" s="252"/>
      <c r="UOF974" s="252"/>
      <c r="UOG974" s="252"/>
      <c r="UOH974" s="252"/>
      <c r="UOI974" s="252"/>
      <c r="UOJ974" s="252"/>
      <c r="UOK974" s="252"/>
      <c r="UOL974" s="252"/>
      <c r="UOM974" s="252"/>
      <c r="UON974" s="252"/>
      <c r="UOO974" s="252"/>
      <c r="UOP974" s="252"/>
      <c r="UOQ974" s="252"/>
      <c r="UOR974" s="252"/>
      <c r="UOS974" s="252"/>
      <c r="UOT974" s="252"/>
      <c r="UOU974" s="252"/>
      <c r="UOV974" s="252"/>
      <c r="UOW974" s="252"/>
      <c r="UOX974" s="252"/>
      <c r="UOY974" s="252"/>
      <c r="UOZ974" s="252"/>
      <c r="UPA974" s="252"/>
      <c r="UPB974" s="252"/>
      <c r="UPC974" s="252"/>
      <c r="UPD974" s="252"/>
      <c r="UPE974" s="252"/>
      <c r="UPF974" s="252"/>
      <c r="UPG974" s="252"/>
      <c r="UPH974" s="252"/>
      <c r="UPI974" s="252"/>
      <c r="UPJ974" s="252"/>
      <c r="UPK974" s="252"/>
      <c r="UPL974" s="252"/>
      <c r="UPM974" s="252"/>
      <c r="UPN974" s="252"/>
      <c r="UPO974" s="252"/>
      <c r="UPP974" s="252"/>
      <c r="UPQ974" s="252"/>
      <c r="UPR974" s="252"/>
      <c r="UPS974" s="252"/>
      <c r="UPT974" s="252"/>
      <c r="UPU974" s="252"/>
      <c r="UPV974" s="252"/>
      <c r="UPW974" s="252"/>
      <c r="UPX974" s="252"/>
      <c r="UPY974" s="252"/>
      <c r="UPZ974" s="252"/>
      <c r="UQA974" s="252"/>
      <c r="UQB974" s="252"/>
      <c r="UQC974" s="252"/>
      <c r="UQD974" s="252"/>
      <c r="UQE974" s="252"/>
      <c r="UQF974" s="252"/>
      <c r="UQG974" s="252"/>
      <c r="UQH974" s="252"/>
      <c r="UQI974" s="252"/>
      <c r="UQJ974" s="252"/>
      <c r="UQK974" s="252"/>
      <c r="UQL974" s="252"/>
      <c r="UQM974" s="252"/>
      <c r="UQN974" s="252"/>
      <c r="UQO974" s="252"/>
      <c r="UQP974" s="252"/>
      <c r="UQQ974" s="252"/>
      <c r="UQR974" s="252"/>
      <c r="UQS974" s="252"/>
      <c r="UQT974" s="252"/>
      <c r="UQU974" s="252"/>
      <c r="UQV974" s="252"/>
      <c r="UQW974" s="252"/>
      <c r="UQX974" s="252"/>
      <c r="UQY974" s="252"/>
      <c r="UQZ974" s="252"/>
      <c r="URA974" s="252"/>
      <c r="URB974" s="252"/>
      <c r="URC974" s="252"/>
      <c r="URD974" s="252"/>
      <c r="URE974" s="252"/>
      <c r="URF974" s="252"/>
      <c r="URG974" s="252"/>
      <c r="URH974" s="252"/>
      <c r="URI974" s="252"/>
      <c r="URJ974" s="252"/>
      <c r="URK974" s="252"/>
      <c r="URL974" s="252"/>
      <c r="URM974" s="252"/>
      <c r="URN974" s="252"/>
      <c r="URO974" s="252"/>
      <c r="URP974" s="252"/>
      <c r="URQ974" s="252"/>
      <c r="URR974" s="252"/>
      <c r="URS974" s="252"/>
      <c r="URT974" s="252"/>
      <c r="URU974" s="252"/>
      <c r="URV974" s="252"/>
      <c r="URW974" s="252"/>
      <c r="URX974" s="252"/>
      <c r="URY974" s="252"/>
      <c r="URZ974" s="252"/>
      <c r="USA974" s="252"/>
      <c r="USB974" s="252"/>
      <c r="USC974" s="252"/>
      <c r="USD974" s="252"/>
      <c r="USE974" s="252"/>
      <c r="USF974" s="252"/>
      <c r="USG974" s="252"/>
      <c r="USH974" s="252"/>
      <c r="USI974" s="252"/>
      <c r="USJ974" s="252"/>
      <c r="USK974" s="252"/>
      <c r="USL974" s="252"/>
      <c r="USM974" s="252"/>
      <c r="USN974" s="252"/>
      <c r="USO974" s="252"/>
      <c r="USP974" s="252"/>
      <c r="USQ974" s="252"/>
      <c r="USR974" s="252"/>
      <c r="USS974" s="252"/>
      <c r="UST974" s="252"/>
      <c r="USU974" s="252"/>
      <c r="USV974" s="252"/>
      <c r="USW974" s="252"/>
      <c r="USX974" s="252"/>
      <c r="USY974" s="252"/>
      <c r="USZ974" s="252"/>
      <c r="UTA974" s="252"/>
      <c r="UTB974" s="252"/>
      <c r="UTC974" s="252"/>
      <c r="UTD974" s="252"/>
      <c r="UTE974" s="252"/>
      <c r="UTF974" s="252"/>
      <c r="UTG974" s="252"/>
      <c r="UTH974" s="252"/>
      <c r="UTI974" s="252"/>
      <c r="UTJ974" s="252"/>
      <c r="UTK974" s="252"/>
      <c r="UTL974" s="252"/>
      <c r="UTM974" s="252"/>
      <c r="UTN974" s="252"/>
      <c r="UTO974" s="252"/>
      <c r="UTP974" s="252"/>
      <c r="UTQ974" s="252"/>
      <c r="UTR974" s="252"/>
      <c r="UTS974" s="252"/>
      <c r="UTT974" s="252"/>
      <c r="UTU974" s="252"/>
      <c r="UTV974" s="252"/>
      <c r="UTW974" s="252"/>
      <c r="UTX974" s="252"/>
      <c r="UTY974" s="252"/>
      <c r="UTZ974" s="252"/>
      <c r="UUA974" s="252"/>
      <c r="UUB974" s="252"/>
      <c r="UUC974" s="252"/>
      <c r="UUD974" s="252"/>
      <c r="UUE974" s="252"/>
      <c r="UUF974" s="252"/>
      <c r="UUG974" s="252"/>
      <c r="UUH974" s="252"/>
      <c r="UUI974" s="252"/>
      <c r="UUJ974" s="252"/>
      <c r="UUK974" s="252"/>
      <c r="UUL974" s="252"/>
      <c r="UUM974" s="252"/>
      <c r="UUN974" s="252"/>
      <c r="UUO974" s="252"/>
      <c r="UUP974" s="252"/>
      <c r="UUQ974" s="252"/>
      <c r="UUR974" s="252"/>
      <c r="UUS974" s="252"/>
      <c r="UUT974" s="252"/>
      <c r="UUU974" s="252"/>
      <c r="UUV974" s="252"/>
      <c r="UUW974" s="252"/>
      <c r="UUX974" s="252"/>
      <c r="UUY974" s="252"/>
      <c r="UUZ974" s="252"/>
      <c r="UVA974" s="252"/>
      <c r="UVB974" s="252"/>
      <c r="UVC974" s="252"/>
      <c r="UVD974" s="252"/>
      <c r="UVE974" s="252"/>
      <c r="UVF974" s="252"/>
      <c r="UVG974" s="252"/>
      <c r="UVH974" s="252"/>
      <c r="UVI974" s="252"/>
      <c r="UVJ974" s="252"/>
      <c r="UVK974" s="252"/>
      <c r="UVL974" s="252"/>
      <c r="UVM974" s="252"/>
      <c r="UVN974" s="252"/>
      <c r="UVO974" s="252"/>
      <c r="UVP974" s="252"/>
      <c r="UVQ974" s="252"/>
      <c r="UVR974" s="252"/>
      <c r="UVS974" s="252"/>
      <c r="UVT974" s="252"/>
      <c r="UVU974" s="252"/>
      <c r="UVV974" s="252"/>
      <c r="UVW974" s="252"/>
      <c r="UVX974" s="252"/>
      <c r="UVY974" s="252"/>
      <c r="UVZ974" s="252"/>
      <c r="UWA974" s="252"/>
      <c r="UWB974" s="252"/>
      <c r="UWC974" s="252"/>
      <c r="UWD974" s="252"/>
      <c r="UWE974" s="252"/>
      <c r="UWF974" s="252"/>
      <c r="UWG974" s="252"/>
      <c r="UWH974" s="252"/>
      <c r="UWI974" s="252"/>
      <c r="UWJ974" s="252"/>
      <c r="UWK974" s="252"/>
      <c r="UWL974" s="252"/>
      <c r="UWM974" s="252"/>
      <c r="UWN974" s="252"/>
      <c r="UWO974" s="252"/>
      <c r="UWP974" s="252"/>
      <c r="UWQ974" s="252"/>
      <c r="UWR974" s="252"/>
      <c r="UWS974" s="252"/>
      <c r="UWT974" s="252"/>
      <c r="UWU974" s="252"/>
      <c r="UWV974" s="252"/>
      <c r="UWW974" s="252"/>
      <c r="UWX974" s="252"/>
      <c r="UWY974" s="252"/>
      <c r="UWZ974" s="252"/>
      <c r="UXA974" s="252"/>
      <c r="UXB974" s="252"/>
      <c r="UXC974" s="252"/>
      <c r="UXD974" s="252"/>
      <c r="UXE974" s="252"/>
      <c r="UXF974" s="252"/>
      <c r="UXG974" s="252"/>
      <c r="UXH974" s="252"/>
      <c r="UXI974" s="252"/>
      <c r="UXJ974" s="252"/>
      <c r="UXK974" s="252"/>
      <c r="UXL974" s="252"/>
      <c r="UXM974" s="252"/>
      <c r="UXN974" s="252"/>
      <c r="UXO974" s="252"/>
      <c r="UXP974" s="252"/>
      <c r="UXQ974" s="252"/>
      <c r="UXR974" s="252"/>
      <c r="UXS974" s="252"/>
      <c r="UXT974" s="252"/>
      <c r="UXU974" s="252"/>
      <c r="UXV974" s="252"/>
      <c r="UXW974" s="252"/>
      <c r="UXX974" s="252"/>
      <c r="UXY974" s="252"/>
      <c r="UXZ974" s="252"/>
      <c r="UYA974" s="252"/>
      <c r="UYB974" s="252"/>
      <c r="UYC974" s="252"/>
      <c r="UYD974" s="252"/>
      <c r="UYE974" s="252"/>
      <c r="UYF974" s="252"/>
      <c r="UYG974" s="252"/>
      <c r="UYH974" s="252"/>
      <c r="UYI974" s="252"/>
      <c r="UYJ974" s="252"/>
      <c r="UYK974" s="252"/>
      <c r="UYL974" s="252"/>
      <c r="UYM974" s="252"/>
      <c r="UYN974" s="252"/>
      <c r="UYO974" s="252"/>
      <c r="UYP974" s="252"/>
      <c r="UYQ974" s="252"/>
      <c r="UYR974" s="252"/>
      <c r="UYS974" s="252"/>
      <c r="UYT974" s="252"/>
      <c r="UYU974" s="252"/>
      <c r="UYV974" s="252"/>
      <c r="UYW974" s="252"/>
      <c r="UYX974" s="252"/>
      <c r="UYY974" s="252"/>
      <c r="UYZ974" s="252"/>
      <c r="UZA974" s="252"/>
      <c r="UZB974" s="252"/>
      <c r="UZC974" s="252"/>
      <c r="UZD974" s="252"/>
      <c r="UZE974" s="252"/>
      <c r="UZF974" s="252"/>
      <c r="UZG974" s="252"/>
      <c r="UZH974" s="252"/>
      <c r="UZI974" s="252"/>
      <c r="UZJ974" s="252"/>
      <c r="UZK974" s="252"/>
      <c r="UZL974" s="252"/>
      <c r="UZM974" s="252"/>
      <c r="UZN974" s="252"/>
      <c r="UZO974" s="252"/>
      <c r="UZP974" s="252"/>
      <c r="UZQ974" s="252"/>
      <c r="UZR974" s="252"/>
      <c r="UZS974" s="252"/>
      <c r="UZT974" s="252"/>
      <c r="UZU974" s="252"/>
      <c r="UZV974" s="252"/>
      <c r="UZW974" s="252"/>
      <c r="UZX974" s="252"/>
      <c r="UZY974" s="252"/>
      <c r="UZZ974" s="252"/>
      <c r="VAA974" s="252"/>
      <c r="VAB974" s="252"/>
      <c r="VAC974" s="252"/>
      <c r="VAD974" s="252"/>
      <c r="VAE974" s="252"/>
      <c r="VAF974" s="252"/>
      <c r="VAG974" s="252"/>
      <c r="VAH974" s="252"/>
      <c r="VAI974" s="252"/>
      <c r="VAJ974" s="252"/>
      <c r="VAK974" s="252"/>
      <c r="VAL974" s="252"/>
      <c r="VAM974" s="252"/>
      <c r="VAN974" s="252"/>
      <c r="VAO974" s="252"/>
      <c r="VAP974" s="252"/>
      <c r="VAQ974" s="252"/>
      <c r="VAR974" s="252"/>
      <c r="VAS974" s="252"/>
      <c r="VAT974" s="252"/>
      <c r="VAU974" s="252"/>
      <c r="VAV974" s="252"/>
      <c r="VAW974" s="252"/>
      <c r="VAX974" s="252"/>
      <c r="VAY974" s="252"/>
      <c r="VAZ974" s="252"/>
      <c r="VBA974" s="252"/>
      <c r="VBB974" s="252"/>
      <c r="VBC974" s="252"/>
      <c r="VBD974" s="252"/>
      <c r="VBE974" s="252"/>
      <c r="VBF974" s="252"/>
      <c r="VBG974" s="252"/>
      <c r="VBH974" s="252"/>
      <c r="VBI974" s="252"/>
      <c r="VBJ974" s="252"/>
      <c r="VBK974" s="252"/>
      <c r="VBL974" s="252"/>
      <c r="VBM974" s="252"/>
      <c r="VBN974" s="252"/>
      <c r="VBO974" s="252"/>
      <c r="VBP974" s="252"/>
      <c r="VBQ974" s="252"/>
      <c r="VBR974" s="252"/>
      <c r="VBS974" s="252"/>
      <c r="VBT974" s="252"/>
      <c r="VBU974" s="252"/>
      <c r="VBV974" s="252"/>
      <c r="VBW974" s="252"/>
      <c r="VBX974" s="252"/>
      <c r="VBY974" s="252"/>
      <c r="VBZ974" s="252"/>
      <c r="VCA974" s="252"/>
      <c r="VCB974" s="252"/>
      <c r="VCC974" s="252"/>
      <c r="VCD974" s="252"/>
      <c r="VCE974" s="252"/>
      <c r="VCF974" s="252"/>
      <c r="VCG974" s="252"/>
      <c r="VCH974" s="252"/>
      <c r="VCI974" s="252"/>
      <c r="VCJ974" s="252"/>
      <c r="VCK974" s="252"/>
      <c r="VCL974" s="252"/>
      <c r="VCM974" s="252"/>
      <c r="VCN974" s="252"/>
      <c r="VCO974" s="252"/>
      <c r="VCP974" s="252"/>
      <c r="VCQ974" s="252"/>
      <c r="VCR974" s="252"/>
      <c r="VCS974" s="252"/>
      <c r="VCT974" s="252"/>
      <c r="VCU974" s="252"/>
      <c r="VCV974" s="252"/>
      <c r="VCW974" s="252"/>
      <c r="VCX974" s="252"/>
      <c r="VCY974" s="252"/>
      <c r="VCZ974" s="252"/>
      <c r="VDA974" s="252"/>
      <c r="VDB974" s="252"/>
      <c r="VDC974" s="252"/>
      <c r="VDD974" s="252"/>
      <c r="VDE974" s="252"/>
      <c r="VDF974" s="252"/>
      <c r="VDG974" s="252"/>
      <c r="VDH974" s="252"/>
      <c r="VDI974" s="252"/>
      <c r="VDJ974" s="252"/>
      <c r="VDK974" s="252"/>
      <c r="VDL974" s="252"/>
      <c r="VDM974" s="252"/>
      <c r="VDN974" s="252"/>
      <c r="VDO974" s="252"/>
      <c r="VDP974" s="252"/>
      <c r="VDQ974" s="252"/>
      <c r="VDR974" s="252"/>
      <c r="VDS974" s="252"/>
      <c r="VDT974" s="252"/>
      <c r="VDU974" s="252"/>
      <c r="VDV974" s="252"/>
      <c r="VDW974" s="252"/>
      <c r="VDX974" s="252"/>
      <c r="VDY974" s="252"/>
      <c r="VDZ974" s="252"/>
      <c r="VEA974" s="252"/>
      <c r="VEB974" s="252"/>
      <c r="VEC974" s="252"/>
      <c r="VED974" s="252"/>
      <c r="VEE974" s="252"/>
      <c r="VEF974" s="252"/>
      <c r="VEG974" s="252"/>
      <c r="VEH974" s="252"/>
      <c r="VEI974" s="252"/>
      <c r="VEJ974" s="252"/>
      <c r="VEK974" s="252"/>
      <c r="VEL974" s="252"/>
      <c r="VEM974" s="252"/>
      <c r="VEN974" s="252"/>
      <c r="VEO974" s="252"/>
      <c r="VEP974" s="252"/>
      <c r="VEQ974" s="252"/>
      <c r="VER974" s="252"/>
      <c r="VES974" s="252"/>
      <c r="VET974" s="252"/>
      <c r="VEU974" s="252"/>
      <c r="VEV974" s="252"/>
      <c r="VEW974" s="252"/>
      <c r="VEX974" s="252"/>
      <c r="VEY974" s="252"/>
      <c r="VEZ974" s="252"/>
      <c r="VFA974" s="252"/>
      <c r="VFB974" s="252"/>
      <c r="VFC974" s="252"/>
      <c r="VFD974" s="252"/>
      <c r="VFE974" s="252"/>
      <c r="VFF974" s="252"/>
      <c r="VFG974" s="252"/>
      <c r="VFH974" s="252"/>
      <c r="VFI974" s="252"/>
      <c r="VFJ974" s="252"/>
      <c r="VFK974" s="252"/>
      <c r="VFL974" s="252"/>
      <c r="VFM974" s="252"/>
      <c r="VFN974" s="252"/>
      <c r="VFO974" s="252"/>
      <c r="VFP974" s="252"/>
      <c r="VFQ974" s="252"/>
      <c r="VFR974" s="252"/>
      <c r="VFS974" s="252"/>
      <c r="VFT974" s="252"/>
      <c r="VFU974" s="252"/>
      <c r="VFV974" s="252"/>
      <c r="VFW974" s="252"/>
      <c r="VFX974" s="252"/>
      <c r="VFY974" s="252"/>
      <c r="VFZ974" s="252"/>
      <c r="VGA974" s="252"/>
      <c r="VGB974" s="252"/>
      <c r="VGC974" s="252"/>
      <c r="VGD974" s="252"/>
      <c r="VGE974" s="252"/>
      <c r="VGF974" s="252"/>
      <c r="VGG974" s="252"/>
      <c r="VGH974" s="252"/>
      <c r="VGI974" s="252"/>
      <c r="VGJ974" s="252"/>
      <c r="VGK974" s="252"/>
      <c r="VGL974" s="252"/>
      <c r="VGM974" s="252"/>
      <c r="VGN974" s="252"/>
      <c r="VGO974" s="252"/>
      <c r="VGP974" s="252"/>
      <c r="VGQ974" s="252"/>
      <c r="VGR974" s="252"/>
      <c r="VGS974" s="252"/>
      <c r="VGT974" s="252"/>
      <c r="VGU974" s="252"/>
      <c r="VGV974" s="252"/>
      <c r="VGW974" s="252"/>
      <c r="VGX974" s="252"/>
      <c r="VGY974" s="252"/>
      <c r="VGZ974" s="252"/>
      <c r="VHA974" s="252"/>
      <c r="VHB974" s="252"/>
      <c r="VHC974" s="252"/>
      <c r="VHD974" s="252"/>
      <c r="VHE974" s="252"/>
      <c r="VHF974" s="252"/>
      <c r="VHG974" s="252"/>
      <c r="VHH974" s="252"/>
      <c r="VHI974" s="252"/>
      <c r="VHJ974" s="252"/>
      <c r="VHK974" s="252"/>
      <c r="VHL974" s="252"/>
      <c r="VHM974" s="252"/>
      <c r="VHN974" s="252"/>
      <c r="VHO974" s="252"/>
      <c r="VHP974" s="252"/>
      <c r="VHQ974" s="252"/>
      <c r="VHR974" s="252"/>
      <c r="VHS974" s="252"/>
      <c r="VHT974" s="252"/>
      <c r="VHU974" s="252"/>
      <c r="VHV974" s="252"/>
      <c r="VHW974" s="252"/>
      <c r="VHX974" s="252"/>
      <c r="VHY974" s="252"/>
      <c r="VHZ974" s="252"/>
      <c r="VIA974" s="252"/>
      <c r="VIB974" s="252"/>
      <c r="VIC974" s="252"/>
      <c r="VID974" s="252"/>
      <c r="VIE974" s="252"/>
      <c r="VIF974" s="252"/>
      <c r="VIG974" s="252"/>
      <c r="VIH974" s="252"/>
      <c r="VII974" s="252"/>
      <c r="VIJ974" s="252"/>
      <c r="VIK974" s="252"/>
      <c r="VIL974" s="252"/>
      <c r="VIM974" s="252"/>
      <c r="VIN974" s="252"/>
      <c r="VIO974" s="252"/>
      <c r="VIP974" s="252"/>
      <c r="VIQ974" s="252"/>
      <c r="VIR974" s="252"/>
      <c r="VIS974" s="252"/>
      <c r="VIT974" s="252"/>
      <c r="VIU974" s="252"/>
      <c r="VIV974" s="252"/>
      <c r="VIW974" s="252"/>
      <c r="VIX974" s="252"/>
      <c r="VIY974" s="252"/>
      <c r="VIZ974" s="252"/>
      <c r="VJA974" s="252"/>
      <c r="VJB974" s="252"/>
      <c r="VJC974" s="252"/>
      <c r="VJD974" s="252"/>
      <c r="VJE974" s="252"/>
      <c r="VJF974" s="252"/>
      <c r="VJG974" s="252"/>
      <c r="VJH974" s="252"/>
      <c r="VJI974" s="252"/>
      <c r="VJJ974" s="252"/>
      <c r="VJK974" s="252"/>
      <c r="VJL974" s="252"/>
      <c r="VJM974" s="252"/>
      <c r="VJN974" s="252"/>
      <c r="VJO974" s="252"/>
      <c r="VJP974" s="252"/>
      <c r="VJQ974" s="252"/>
      <c r="VJR974" s="252"/>
      <c r="VJS974" s="252"/>
      <c r="VJT974" s="252"/>
      <c r="VJU974" s="252"/>
      <c r="VJV974" s="252"/>
      <c r="VJW974" s="252"/>
      <c r="VJX974" s="252"/>
      <c r="VJY974" s="252"/>
      <c r="VJZ974" s="252"/>
      <c r="VKA974" s="252"/>
      <c r="VKB974" s="252"/>
      <c r="VKC974" s="252"/>
      <c r="VKD974" s="252"/>
      <c r="VKE974" s="252"/>
      <c r="VKF974" s="252"/>
      <c r="VKG974" s="252"/>
      <c r="VKH974" s="252"/>
      <c r="VKI974" s="252"/>
      <c r="VKJ974" s="252"/>
      <c r="VKK974" s="252"/>
      <c r="VKL974" s="252"/>
      <c r="VKM974" s="252"/>
      <c r="VKN974" s="252"/>
      <c r="VKO974" s="252"/>
      <c r="VKP974" s="252"/>
      <c r="VKQ974" s="252"/>
      <c r="VKR974" s="252"/>
      <c r="VKS974" s="252"/>
      <c r="VKT974" s="252"/>
      <c r="VKU974" s="252"/>
      <c r="VKV974" s="252"/>
      <c r="VKW974" s="252"/>
      <c r="VKX974" s="252"/>
      <c r="VKY974" s="252"/>
      <c r="VKZ974" s="252"/>
      <c r="VLA974" s="252"/>
      <c r="VLB974" s="252"/>
      <c r="VLC974" s="252"/>
      <c r="VLD974" s="252"/>
      <c r="VLE974" s="252"/>
      <c r="VLF974" s="252"/>
      <c r="VLG974" s="252"/>
      <c r="VLH974" s="252"/>
      <c r="VLI974" s="252"/>
      <c r="VLJ974" s="252"/>
      <c r="VLK974" s="252"/>
      <c r="VLL974" s="252"/>
      <c r="VLM974" s="252"/>
      <c r="VLN974" s="252"/>
      <c r="VLO974" s="252"/>
      <c r="VLP974" s="252"/>
      <c r="VLQ974" s="252"/>
      <c r="VLR974" s="252"/>
      <c r="VLS974" s="252"/>
      <c r="VLT974" s="252"/>
      <c r="VLU974" s="252"/>
      <c r="VLV974" s="252"/>
      <c r="VLW974" s="252"/>
      <c r="VLX974" s="252"/>
      <c r="VLY974" s="252"/>
      <c r="VLZ974" s="252"/>
      <c r="VMA974" s="252"/>
      <c r="VMB974" s="252"/>
      <c r="VMC974" s="252"/>
      <c r="VMD974" s="252"/>
      <c r="VME974" s="252"/>
      <c r="VMF974" s="252"/>
      <c r="VMG974" s="252"/>
      <c r="VMH974" s="252"/>
      <c r="VMI974" s="252"/>
      <c r="VMJ974" s="252"/>
      <c r="VMK974" s="252"/>
      <c r="VML974" s="252"/>
      <c r="VMM974" s="252"/>
      <c r="VMN974" s="252"/>
      <c r="VMO974" s="252"/>
      <c r="VMP974" s="252"/>
      <c r="VMQ974" s="252"/>
      <c r="VMR974" s="252"/>
      <c r="VMS974" s="252"/>
      <c r="VMT974" s="252"/>
      <c r="VMU974" s="252"/>
      <c r="VMV974" s="252"/>
      <c r="VMW974" s="252"/>
      <c r="VMX974" s="252"/>
      <c r="VMY974" s="252"/>
      <c r="VMZ974" s="252"/>
      <c r="VNA974" s="252"/>
      <c r="VNB974" s="252"/>
      <c r="VNC974" s="252"/>
      <c r="VND974" s="252"/>
      <c r="VNE974" s="252"/>
      <c r="VNF974" s="252"/>
      <c r="VNG974" s="252"/>
      <c r="VNH974" s="252"/>
      <c r="VNI974" s="252"/>
      <c r="VNJ974" s="252"/>
      <c r="VNK974" s="252"/>
      <c r="VNL974" s="252"/>
      <c r="VNM974" s="252"/>
      <c r="VNN974" s="252"/>
      <c r="VNO974" s="252"/>
      <c r="VNP974" s="252"/>
      <c r="VNQ974" s="252"/>
      <c r="VNR974" s="252"/>
      <c r="VNS974" s="252"/>
      <c r="VNT974" s="252"/>
      <c r="VNU974" s="252"/>
      <c r="VNV974" s="252"/>
      <c r="VNW974" s="252"/>
      <c r="VNX974" s="252"/>
      <c r="VNY974" s="252"/>
      <c r="VNZ974" s="252"/>
      <c r="VOA974" s="252"/>
      <c r="VOB974" s="252"/>
      <c r="VOC974" s="252"/>
      <c r="VOD974" s="252"/>
      <c r="VOE974" s="252"/>
      <c r="VOF974" s="252"/>
      <c r="VOG974" s="252"/>
      <c r="VOH974" s="252"/>
      <c r="VOI974" s="252"/>
      <c r="VOJ974" s="252"/>
      <c r="VOK974" s="252"/>
      <c r="VOL974" s="252"/>
      <c r="VOM974" s="252"/>
      <c r="VON974" s="252"/>
      <c r="VOO974" s="252"/>
      <c r="VOP974" s="252"/>
      <c r="VOQ974" s="252"/>
      <c r="VOR974" s="252"/>
      <c r="VOS974" s="252"/>
      <c r="VOT974" s="252"/>
      <c r="VOU974" s="252"/>
      <c r="VOV974" s="252"/>
      <c r="VOW974" s="252"/>
      <c r="VOX974" s="252"/>
      <c r="VOY974" s="252"/>
      <c r="VOZ974" s="252"/>
      <c r="VPA974" s="252"/>
      <c r="VPB974" s="252"/>
      <c r="VPC974" s="252"/>
      <c r="VPD974" s="252"/>
      <c r="VPE974" s="252"/>
      <c r="VPF974" s="252"/>
      <c r="VPG974" s="252"/>
      <c r="VPH974" s="252"/>
      <c r="VPI974" s="252"/>
      <c r="VPJ974" s="252"/>
      <c r="VPK974" s="252"/>
      <c r="VPL974" s="252"/>
      <c r="VPM974" s="252"/>
      <c r="VPN974" s="252"/>
      <c r="VPO974" s="252"/>
      <c r="VPP974" s="252"/>
      <c r="VPQ974" s="252"/>
      <c r="VPR974" s="252"/>
      <c r="VPS974" s="252"/>
      <c r="VPT974" s="252"/>
      <c r="VPU974" s="252"/>
      <c r="VPV974" s="252"/>
      <c r="VPW974" s="252"/>
      <c r="VPX974" s="252"/>
      <c r="VPY974" s="252"/>
      <c r="VPZ974" s="252"/>
      <c r="VQA974" s="252"/>
      <c r="VQB974" s="252"/>
      <c r="VQC974" s="252"/>
      <c r="VQD974" s="252"/>
      <c r="VQE974" s="252"/>
      <c r="VQF974" s="252"/>
      <c r="VQG974" s="252"/>
      <c r="VQH974" s="252"/>
      <c r="VQI974" s="252"/>
      <c r="VQJ974" s="252"/>
      <c r="VQK974" s="252"/>
      <c r="VQL974" s="252"/>
      <c r="VQM974" s="252"/>
      <c r="VQN974" s="252"/>
      <c r="VQO974" s="252"/>
      <c r="VQP974" s="252"/>
      <c r="VQQ974" s="252"/>
      <c r="VQR974" s="252"/>
      <c r="VQS974" s="252"/>
      <c r="VQT974" s="252"/>
      <c r="VQU974" s="252"/>
      <c r="VQV974" s="252"/>
      <c r="VQW974" s="252"/>
      <c r="VQX974" s="252"/>
      <c r="VQY974" s="252"/>
      <c r="VQZ974" s="252"/>
      <c r="VRA974" s="252"/>
      <c r="VRB974" s="252"/>
      <c r="VRC974" s="252"/>
      <c r="VRD974" s="252"/>
      <c r="VRE974" s="252"/>
      <c r="VRF974" s="252"/>
      <c r="VRG974" s="252"/>
      <c r="VRH974" s="252"/>
      <c r="VRI974" s="252"/>
      <c r="VRJ974" s="252"/>
      <c r="VRK974" s="252"/>
      <c r="VRL974" s="252"/>
      <c r="VRM974" s="252"/>
      <c r="VRN974" s="252"/>
      <c r="VRO974" s="252"/>
      <c r="VRP974" s="252"/>
      <c r="VRQ974" s="252"/>
      <c r="VRR974" s="252"/>
      <c r="VRS974" s="252"/>
      <c r="VRT974" s="252"/>
      <c r="VRU974" s="252"/>
      <c r="VRV974" s="252"/>
      <c r="VRW974" s="252"/>
      <c r="VRX974" s="252"/>
      <c r="VRY974" s="252"/>
      <c r="VRZ974" s="252"/>
      <c r="VSA974" s="252"/>
      <c r="VSB974" s="252"/>
      <c r="VSC974" s="252"/>
      <c r="VSD974" s="252"/>
      <c r="VSE974" s="252"/>
      <c r="VSF974" s="252"/>
      <c r="VSG974" s="252"/>
      <c r="VSH974" s="252"/>
      <c r="VSI974" s="252"/>
      <c r="VSJ974" s="252"/>
      <c r="VSK974" s="252"/>
      <c r="VSL974" s="252"/>
      <c r="VSM974" s="252"/>
      <c r="VSN974" s="252"/>
      <c r="VSO974" s="252"/>
      <c r="VSP974" s="252"/>
      <c r="VSQ974" s="252"/>
      <c r="VSR974" s="252"/>
      <c r="VSS974" s="252"/>
      <c r="VST974" s="252"/>
      <c r="VSU974" s="252"/>
      <c r="VSV974" s="252"/>
      <c r="VSW974" s="252"/>
      <c r="VSX974" s="252"/>
      <c r="VSY974" s="252"/>
      <c r="VSZ974" s="252"/>
      <c r="VTA974" s="252"/>
      <c r="VTB974" s="252"/>
      <c r="VTC974" s="252"/>
      <c r="VTD974" s="252"/>
      <c r="VTE974" s="252"/>
      <c r="VTF974" s="252"/>
      <c r="VTG974" s="252"/>
      <c r="VTH974" s="252"/>
      <c r="VTI974" s="252"/>
      <c r="VTJ974" s="252"/>
      <c r="VTK974" s="252"/>
      <c r="VTL974" s="252"/>
      <c r="VTM974" s="252"/>
      <c r="VTN974" s="252"/>
      <c r="VTO974" s="252"/>
      <c r="VTP974" s="252"/>
      <c r="VTQ974" s="252"/>
      <c r="VTR974" s="252"/>
      <c r="VTS974" s="252"/>
      <c r="VTT974" s="252"/>
      <c r="VTU974" s="252"/>
      <c r="VTV974" s="252"/>
      <c r="VTW974" s="252"/>
      <c r="VTX974" s="252"/>
      <c r="VTY974" s="252"/>
      <c r="VTZ974" s="252"/>
      <c r="VUA974" s="252"/>
      <c r="VUB974" s="252"/>
      <c r="VUC974" s="252"/>
      <c r="VUD974" s="252"/>
      <c r="VUE974" s="252"/>
      <c r="VUF974" s="252"/>
      <c r="VUG974" s="252"/>
      <c r="VUH974" s="252"/>
      <c r="VUI974" s="252"/>
      <c r="VUJ974" s="252"/>
      <c r="VUK974" s="252"/>
      <c r="VUL974" s="252"/>
      <c r="VUM974" s="252"/>
      <c r="VUN974" s="252"/>
      <c r="VUO974" s="252"/>
      <c r="VUP974" s="252"/>
      <c r="VUQ974" s="252"/>
      <c r="VUR974" s="252"/>
      <c r="VUS974" s="252"/>
      <c r="VUT974" s="252"/>
      <c r="VUU974" s="252"/>
      <c r="VUV974" s="252"/>
      <c r="VUW974" s="252"/>
      <c r="VUX974" s="252"/>
      <c r="VUY974" s="252"/>
      <c r="VUZ974" s="252"/>
      <c r="VVA974" s="252"/>
      <c r="VVB974" s="252"/>
      <c r="VVC974" s="252"/>
      <c r="VVD974" s="252"/>
      <c r="VVE974" s="252"/>
      <c r="VVF974" s="252"/>
      <c r="VVG974" s="252"/>
      <c r="VVH974" s="252"/>
      <c r="VVI974" s="252"/>
      <c r="VVJ974" s="252"/>
      <c r="VVK974" s="252"/>
      <c r="VVL974" s="252"/>
      <c r="VVM974" s="252"/>
      <c r="VVN974" s="252"/>
      <c r="VVO974" s="252"/>
      <c r="VVP974" s="252"/>
      <c r="VVQ974" s="252"/>
      <c r="VVR974" s="252"/>
      <c r="VVS974" s="252"/>
      <c r="VVT974" s="252"/>
      <c r="VVU974" s="252"/>
      <c r="VVV974" s="252"/>
      <c r="VVW974" s="252"/>
      <c r="VVX974" s="252"/>
      <c r="VVY974" s="252"/>
      <c r="VVZ974" s="252"/>
      <c r="VWA974" s="252"/>
      <c r="VWB974" s="252"/>
      <c r="VWC974" s="252"/>
      <c r="VWD974" s="252"/>
      <c r="VWE974" s="252"/>
      <c r="VWF974" s="252"/>
      <c r="VWG974" s="252"/>
      <c r="VWH974" s="252"/>
      <c r="VWI974" s="252"/>
      <c r="VWJ974" s="252"/>
      <c r="VWK974" s="252"/>
      <c r="VWL974" s="252"/>
      <c r="VWM974" s="252"/>
      <c r="VWN974" s="252"/>
      <c r="VWO974" s="252"/>
      <c r="VWP974" s="252"/>
      <c r="VWQ974" s="252"/>
      <c r="VWR974" s="252"/>
      <c r="VWS974" s="252"/>
      <c r="VWT974" s="252"/>
      <c r="VWU974" s="252"/>
      <c r="VWV974" s="252"/>
      <c r="VWW974" s="252"/>
      <c r="VWX974" s="252"/>
      <c r="VWY974" s="252"/>
      <c r="VWZ974" s="252"/>
      <c r="VXA974" s="252"/>
      <c r="VXB974" s="252"/>
      <c r="VXC974" s="252"/>
      <c r="VXD974" s="252"/>
      <c r="VXE974" s="252"/>
      <c r="VXF974" s="252"/>
      <c r="VXG974" s="252"/>
      <c r="VXH974" s="252"/>
      <c r="VXI974" s="252"/>
      <c r="VXJ974" s="252"/>
      <c r="VXK974" s="252"/>
      <c r="VXL974" s="252"/>
      <c r="VXM974" s="252"/>
      <c r="VXN974" s="252"/>
      <c r="VXO974" s="252"/>
      <c r="VXP974" s="252"/>
      <c r="VXQ974" s="252"/>
      <c r="VXR974" s="252"/>
      <c r="VXS974" s="252"/>
      <c r="VXT974" s="252"/>
      <c r="VXU974" s="252"/>
      <c r="VXV974" s="252"/>
      <c r="VXW974" s="252"/>
      <c r="VXX974" s="252"/>
      <c r="VXY974" s="252"/>
      <c r="VXZ974" s="252"/>
      <c r="VYA974" s="252"/>
      <c r="VYB974" s="252"/>
      <c r="VYC974" s="252"/>
      <c r="VYD974" s="252"/>
      <c r="VYE974" s="252"/>
      <c r="VYF974" s="252"/>
      <c r="VYG974" s="252"/>
      <c r="VYH974" s="252"/>
      <c r="VYI974" s="252"/>
      <c r="VYJ974" s="252"/>
      <c r="VYK974" s="252"/>
      <c r="VYL974" s="252"/>
      <c r="VYM974" s="252"/>
      <c r="VYN974" s="252"/>
      <c r="VYO974" s="252"/>
      <c r="VYP974" s="252"/>
      <c r="VYQ974" s="252"/>
      <c r="VYR974" s="252"/>
      <c r="VYS974" s="252"/>
      <c r="VYT974" s="252"/>
      <c r="VYU974" s="252"/>
      <c r="VYV974" s="252"/>
      <c r="VYW974" s="252"/>
      <c r="VYX974" s="252"/>
      <c r="VYY974" s="252"/>
      <c r="VYZ974" s="252"/>
      <c r="VZA974" s="252"/>
      <c r="VZB974" s="252"/>
      <c r="VZC974" s="252"/>
      <c r="VZD974" s="252"/>
      <c r="VZE974" s="252"/>
      <c r="VZF974" s="252"/>
      <c r="VZG974" s="252"/>
      <c r="VZH974" s="252"/>
      <c r="VZI974" s="252"/>
      <c r="VZJ974" s="252"/>
      <c r="VZK974" s="252"/>
      <c r="VZL974" s="252"/>
      <c r="VZM974" s="252"/>
      <c r="VZN974" s="252"/>
      <c r="VZO974" s="252"/>
      <c r="VZP974" s="252"/>
      <c r="VZQ974" s="252"/>
      <c r="VZR974" s="252"/>
      <c r="VZS974" s="252"/>
      <c r="VZT974" s="252"/>
      <c r="VZU974" s="252"/>
      <c r="VZV974" s="252"/>
      <c r="VZW974" s="252"/>
      <c r="VZX974" s="252"/>
      <c r="VZY974" s="252"/>
      <c r="VZZ974" s="252"/>
      <c r="WAA974" s="252"/>
      <c r="WAB974" s="252"/>
      <c r="WAC974" s="252"/>
      <c r="WAD974" s="252"/>
      <c r="WAE974" s="252"/>
      <c r="WAF974" s="252"/>
      <c r="WAG974" s="252"/>
      <c r="WAH974" s="252"/>
      <c r="WAI974" s="252"/>
      <c r="WAJ974" s="252"/>
      <c r="WAK974" s="252"/>
      <c r="WAL974" s="252"/>
      <c r="WAM974" s="252"/>
      <c r="WAN974" s="252"/>
      <c r="WAO974" s="252"/>
      <c r="WAP974" s="252"/>
      <c r="WAQ974" s="252"/>
      <c r="WAR974" s="252"/>
      <c r="WAS974" s="252"/>
      <c r="WAT974" s="252"/>
      <c r="WAU974" s="252"/>
      <c r="WAV974" s="252"/>
      <c r="WAW974" s="252"/>
      <c r="WAX974" s="252"/>
      <c r="WAY974" s="252"/>
      <c r="WAZ974" s="252"/>
      <c r="WBA974" s="252"/>
      <c r="WBB974" s="252"/>
      <c r="WBC974" s="252"/>
      <c r="WBD974" s="252"/>
      <c r="WBE974" s="252"/>
      <c r="WBF974" s="252"/>
      <c r="WBG974" s="252"/>
      <c r="WBH974" s="252"/>
      <c r="WBI974" s="252"/>
      <c r="WBJ974" s="252"/>
      <c r="WBK974" s="252"/>
      <c r="WBL974" s="252"/>
      <c r="WBM974" s="252"/>
      <c r="WBN974" s="252"/>
      <c r="WBO974" s="252"/>
      <c r="WBP974" s="252"/>
      <c r="WBQ974" s="252"/>
      <c r="WBR974" s="252"/>
      <c r="WBS974" s="252"/>
      <c r="WBT974" s="252"/>
      <c r="WBU974" s="252"/>
      <c r="WBV974" s="252"/>
      <c r="WBW974" s="252"/>
      <c r="WBX974" s="252"/>
      <c r="WBY974" s="252"/>
      <c r="WBZ974" s="252"/>
      <c r="WCA974" s="252"/>
      <c r="WCB974" s="252"/>
      <c r="WCC974" s="252"/>
      <c r="WCD974" s="252"/>
      <c r="WCE974" s="252"/>
      <c r="WCF974" s="252"/>
      <c r="WCG974" s="252"/>
      <c r="WCH974" s="252"/>
      <c r="WCI974" s="252"/>
      <c r="WCJ974" s="252"/>
      <c r="WCK974" s="252"/>
      <c r="WCL974" s="252"/>
      <c r="WCM974" s="252"/>
      <c r="WCN974" s="252"/>
      <c r="WCO974" s="252"/>
      <c r="WCP974" s="252"/>
      <c r="WCQ974" s="252"/>
      <c r="WCR974" s="252"/>
      <c r="WCS974" s="252"/>
      <c r="WCT974" s="252"/>
      <c r="WCU974" s="252"/>
      <c r="WCV974" s="252"/>
      <c r="WCW974" s="252"/>
      <c r="WCX974" s="252"/>
      <c r="WCY974" s="252"/>
      <c r="WCZ974" s="252"/>
      <c r="WDA974" s="252"/>
      <c r="WDB974" s="252"/>
      <c r="WDC974" s="252"/>
      <c r="WDD974" s="252"/>
      <c r="WDE974" s="252"/>
      <c r="WDF974" s="252"/>
      <c r="WDG974" s="252"/>
      <c r="WDH974" s="252"/>
      <c r="WDI974" s="252"/>
      <c r="WDJ974" s="252"/>
      <c r="WDK974" s="252"/>
      <c r="WDL974" s="252"/>
      <c r="WDM974" s="252"/>
      <c r="WDN974" s="252"/>
      <c r="WDO974" s="252"/>
      <c r="WDP974" s="252"/>
      <c r="WDQ974" s="252"/>
      <c r="WDR974" s="252"/>
      <c r="WDS974" s="252"/>
      <c r="WDT974" s="252"/>
      <c r="WDU974" s="252"/>
      <c r="WDV974" s="252"/>
      <c r="WDW974" s="252"/>
      <c r="WDX974" s="252"/>
      <c r="WDY974" s="252"/>
      <c r="WDZ974" s="252"/>
      <c r="WEA974" s="252"/>
      <c r="WEB974" s="252"/>
      <c r="WEC974" s="252"/>
      <c r="WED974" s="252"/>
      <c r="WEE974" s="252"/>
      <c r="WEF974" s="252"/>
      <c r="WEG974" s="252"/>
      <c r="WEH974" s="252"/>
      <c r="WEI974" s="252"/>
      <c r="WEJ974" s="252"/>
      <c r="WEK974" s="252"/>
      <c r="WEL974" s="252"/>
      <c r="WEM974" s="252"/>
      <c r="WEN974" s="252"/>
      <c r="WEO974" s="252"/>
      <c r="WEP974" s="252"/>
      <c r="WEQ974" s="252"/>
      <c r="WER974" s="252"/>
      <c r="WES974" s="252"/>
      <c r="WET974" s="252"/>
      <c r="WEU974" s="252"/>
      <c r="WEV974" s="252"/>
      <c r="WEW974" s="252"/>
      <c r="WEX974" s="252"/>
      <c r="WEY974" s="252"/>
      <c r="WEZ974" s="252"/>
      <c r="WFA974" s="252"/>
      <c r="WFB974" s="252"/>
      <c r="WFC974" s="252"/>
      <c r="WFD974" s="252"/>
      <c r="WFE974" s="252"/>
      <c r="WFF974" s="252"/>
      <c r="WFG974" s="252"/>
      <c r="WFH974" s="252"/>
      <c r="WFI974" s="252"/>
      <c r="WFJ974" s="252"/>
      <c r="WFK974" s="252"/>
      <c r="WFL974" s="252"/>
      <c r="WFM974" s="252"/>
      <c r="WFN974" s="252"/>
      <c r="WFO974" s="252"/>
      <c r="WFP974" s="252"/>
      <c r="WFQ974" s="252"/>
      <c r="WFR974" s="252"/>
      <c r="WFS974" s="252"/>
      <c r="WFT974" s="252"/>
      <c r="WFU974" s="252"/>
      <c r="WFV974" s="252"/>
      <c r="WFW974" s="252"/>
      <c r="WFX974" s="252"/>
      <c r="WFY974" s="252"/>
      <c r="WFZ974" s="252"/>
      <c r="WGA974" s="252"/>
      <c r="WGB974" s="252"/>
      <c r="WGC974" s="252"/>
      <c r="WGD974" s="252"/>
      <c r="WGE974" s="252"/>
      <c r="WGF974" s="252"/>
      <c r="WGG974" s="252"/>
      <c r="WGH974" s="252"/>
      <c r="WGI974" s="252"/>
      <c r="WGJ974" s="252"/>
      <c r="WGK974" s="252"/>
      <c r="WGL974" s="252"/>
      <c r="WGM974" s="252"/>
      <c r="WGN974" s="252"/>
      <c r="WGO974" s="252"/>
      <c r="WGP974" s="252"/>
      <c r="WGQ974" s="252"/>
      <c r="WGR974" s="252"/>
      <c r="WGS974" s="252"/>
      <c r="WGT974" s="252"/>
      <c r="WGU974" s="252"/>
      <c r="WGV974" s="252"/>
      <c r="WGW974" s="252"/>
      <c r="WGX974" s="252"/>
      <c r="WGY974" s="252"/>
      <c r="WGZ974" s="252"/>
      <c r="WHA974" s="252"/>
      <c r="WHB974" s="252"/>
      <c r="WHC974" s="252"/>
      <c r="WHD974" s="252"/>
      <c r="WHE974" s="252"/>
      <c r="WHF974" s="252"/>
      <c r="WHG974" s="252"/>
      <c r="WHH974" s="252"/>
      <c r="WHI974" s="252"/>
      <c r="WHJ974" s="252"/>
      <c r="WHK974" s="252"/>
      <c r="WHL974" s="252"/>
      <c r="WHM974" s="252"/>
      <c r="WHN974" s="252"/>
      <c r="WHO974" s="252"/>
      <c r="WHP974" s="252"/>
      <c r="WHQ974" s="252"/>
      <c r="WHR974" s="252"/>
      <c r="WHS974" s="252"/>
      <c r="WHT974" s="252"/>
      <c r="WHU974" s="252"/>
      <c r="WHV974" s="252"/>
      <c r="WHW974" s="252"/>
      <c r="WHX974" s="252"/>
      <c r="WHY974" s="252"/>
      <c r="WHZ974" s="252"/>
      <c r="WIA974" s="252"/>
      <c r="WIB974" s="252"/>
      <c r="WIC974" s="252"/>
      <c r="WID974" s="252"/>
      <c r="WIE974" s="252"/>
      <c r="WIF974" s="252"/>
      <c r="WIG974" s="252"/>
      <c r="WIH974" s="252"/>
      <c r="WII974" s="252"/>
      <c r="WIJ974" s="252"/>
      <c r="WIK974" s="252"/>
      <c r="WIL974" s="252"/>
      <c r="WIM974" s="252"/>
      <c r="WIN974" s="252"/>
      <c r="WIO974" s="252"/>
      <c r="WIP974" s="252"/>
      <c r="WIQ974" s="252"/>
      <c r="WIR974" s="252"/>
      <c r="WIS974" s="252"/>
      <c r="WIT974" s="252"/>
      <c r="WIU974" s="252"/>
      <c r="WIV974" s="252"/>
      <c r="WIW974" s="252"/>
      <c r="WIX974" s="252"/>
      <c r="WIY974" s="252"/>
      <c r="WIZ974" s="252"/>
      <c r="WJA974" s="252"/>
      <c r="WJB974" s="252"/>
      <c r="WJC974" s="252"/>
      <c r="WJD974" s="252"/>
      <c r="WJE974" s="252"/>
      <c r="WJF974" s="252"/>
      <c r="WJG974" s="252"/>
      <c r="WJH974" s="252"/>
      <c r="WJI974" s="252"/>
      <c r="WJJ974" s="252"/>
      <c r="WJK974" s="252"/>
      <c r="WJL974" s="252"/>
      <c r="WJM974" s="252"/>
      <c r="WJN974" s="252"/>
      <c r="WJO974" s="252"/>
      <c r="WJP974" s="252"/>
      <c r="WJQ974" s="252"/>
      <c r="WJR974" s="252"/>
      <c r="WJS974" s="252"/>
      <c r="WJT974" s="252"/>
      <c r="WJU974" s="252"/>
      <c r="WJV974" s="252"/>
      <c r="WJW974" s="252"/>
      <c r="WJX974" s="252"/>
      <c r="WJY974" s="252"/>
      <c r="WJZ974" s="252"/>
      <c r="WKA974" s="252"/>
      <c r="WKB974" s="252"/>
      <c r="WKC974" s="252"/>
      <c r="WKD974" s="252"/>
      <c r="WKE974" s="252"/>
      <c r="WKF974" s="252"/>
      <c r="WKG974" s="252"/>
      <c r="WKH974" s="252"/>
      <c r="WKI974" s="252"/>
      <c r="WKJ974" s="252"/>
      <c r="WKK974" s="252"/>
      <c r="WKL974" s="252"/>
      <c r="WKM974" s="252"/>
      <c r="WKN974" s="252"/>
      <c r="WKO974" s="252"/>
      <c r="WKP974" s="252"/>
      <c r="WKQ974" s="252"/>
      <c r="WKR974" s="252"/>
      <c r="WKS974" s="252"/>
      <c r="WKT974" s="252"/>
      <c r="WKU974" s="252"/>
      <c r="WKV974" s="252"/>
      <c r="WKW974" s="252"/>
      <c r="WKX974" s="252"/>
      <c r="WKY974" s="252"/>
      <c r="WKZ974" s="252"/>
      <c r="WLA974" s="252"/>
      <c r="WLB974" s="252"/>
      <c r="WLC974" s="252"/>
      <c r="WLD974" s="252"/>
      <c r="WLE974" s="252"/>
      <c r="WLF974" s="252"/>
      <c r="WLG974" s="252"/>
      <c r="WLH974" s="252"/>
      <c r="WLI974" s="252"/>
      <c r="WLJ974" s="252"/>
      <c r="WLK974" s="252"/>
      <c r="WLL974" s="252"/>
      <c r="WLM974" s="252"/>
      <c r="WLN974" s="252"/>
      <c r="WLO974" s="252"/>
      <c r="WLP974" s="252"/>
      <c r="WLQ974" s="252"/>
      <c r="WLR974" s="252"/>
      <c r="WLS974" s="252"/>
      <c r="WLT974" s="252"/>
      <c r="WLU974" s="252"/>
      <c r="WLV974" s="252"/>
      <c r="WLW974" s="252"/>
      <c r="WLX974" s="252"/>
      <c r="WLY974" s="252"/>
      <c r="WLZ974" s="252"/>
      <c r="WMA974" s="252"/>
      <c r="WMB974" s="252"/>
      <c r="WMC974" s="252"/>
      <c r="WMD974" s="252"/>
      <c r="WME974" s="252"/>
      <c r="WMF974" s="252"/>
      <c r="WMG974" s="252"/>
      <c r="WMH974" s="252"/>
      <c r="WMI974" s="252"/>
      <c r="WMJ974" s="252"/>
      <c r="WMK974" s="252"/>
      <c r="WML974" s="252"/>
      <c r="WMM974" s="252"/>
      <c r="WMN974" s="252"/>
      <c r="WMO974" s="252"/>
      <c r="WMP974" s="252"/>
      <c r="WMQ974" s="252"/>
      <c r="WMR974" s="252"/>
      <c r="WMS974" s="252"/>
      <c r="WMT974" s="252"/>
      <c r="WMU974" s="252"/>
      <c r="WMV974" s="252"/>
      <c r="WMW974" s="252"/>
      <c r="WMX974" s="252"/>
      <c r="WMY974" s="252"/>
      <c r="WMZ974" s="252"/>
      <c r="WNA974" s="252"/>
      <c r="WNB974" s="252"/>
      <c r="WNC974" s="252"/>
      <c r="WND974" s="252"/>
      <c r="WNE974" s="252"/>
      <c r="WNF974" s="252"/>
      <c r="WNG974" s="252"/>
      <c r="WNH974" s="252"/>
      <c r="WNI974" s="252"/>
      <c r="WNJ974" s="252"/>
      <c r="WNK974" s="252"/>
      <c r="WNL974" s="252"/>
      <c r="WNM974" s="252"/>
      <c r="WNN974" s="252"/>
      <c r="WNO974" s="252"/>
      <c r="WNP974" s="252"/>
      <c r="WNQ974" s="252"/>
      <c r="WNR974" s="252"/>
      <c r="WNS974" s="252"/>
      <c r="WNT974" s="252"/>
      <c r="WNU974" s="252"/>
      <c r="WNV974" s="252"/>
      <c r="WNW974" s="252"/>
      <c r="WNX974" s="252"/>
      <c r="WNY974" s="252"/>
      <c r="WNZ974" s="252"/>
      <c r="WOA974" s="252"/>
      <c r="WOB974" s="252"/>
      <c r="WOC974" s="252"/>
      <c r="WOD974" s="252"/>
      <c r="WOE974" s="252"/>
      <c r="WOF974" s="252"/>
      <c r="WOG974" s="252"/>
      <c r="WOH974" s="252"/>
      <c r="WOI974" s="252"/>
      <c r="WOJ974" s="252"/>
      <c r="WOK974" s="252"/>
      <c r="WOL974" s="252"/>
      <c r="WOM974" s="252"/>
      <c r="WON974" s="252"/>
      <c r="WOO974" s="252"/>
      <c r="WOP974" s="252"/>
      <c r="WOQ974" s="252"/>
      <c r="WOR974" s="252"/>
      <c r="WOS974" s="252"/>
      <c r="WOT974" s="252"/>
      <c r="WOU974" s="252"/>
      <c r="WOV974" s="252"/>
      <c r="WOW974" s="252"/>
      <c r="WOX974" s="252"/>
      <c r="WOY974" s="252"/>
      <c r="WOZ974" s="252"/>
      <c r="WPA974" s="252"/>
      <c r="WPB974" s="252"/>
      <c r="WPC974" s="252"/>
      <c r="WPD974" s="252"/>
      <c r="WPE974" s="252"/>
      <c r="WPF974" s="252"/>
      <c r="WPG974" s="252"/>
      <c r="WPH974" s="252"/>
      <c r="WPI974" s="252"/>
      <c r="WPJ974" s="252"/>
      <c r="WPK974" s="252"/>
      <c r="WPL974" s="252"/>
      <c r="WPM974" s="252"/>
      <c r="WPN974" s="252"/>
      <c r="WPO974" s="252"/>
      <c r="WPP974" s="252"/>
      <c r="WPQ974" s="252"/>
      <c r="WPR974" s="252"/>
      <c r="WPS974" s="252"/>
      <c r="WPT974" s="252"/>
      <c r="WPU974" s="252"/>
      <c r="WPV974" s="252"/>
      <c r="WPW974" s="252"/>
      <c r="WPX974" s="252"/>
      <c r="WPY974" s="252"/>
      <c r="WPZ974" s="252"/>
      <c r="WQA974" s="252"/>
      <c r="WQB974" s="252"/>
      <c r="WQC974" s="252"/>
      <c r="WQD974" s="252"/>
      <c r="WQE974" s="252"/>
      <c r="WQF974" s="252"/>
      <c r="WQG974" s="252"/>
      <c r="WQH974" s="252"/>
      <c r="WQI974" s="252"/>
      <c r="WQJ974" s="252"/>
      <c r="WQK974" s="252"/>
      <c r="WQL974" s="252"/>
      <c r="WQM974" s="252"/>
      <c r="WQN974" s="252"/>
      <c r="WQO974" s="252"/>
      <c r="WQP974" s="252"/>
      <c r="WQQ974" s="252"/>
      <c r="WQR974" s="252"/>
      <c r="WQS974" s="252"/>
      <c r="WQT974" s="252"/>
      <c r="WQU974" s="252"/>
      <c r="WQV974" s="252"/>
      <c r="WQW974" s="252"/>
      <c r="WQX974" s="252"/>
      <c r="WQY974" s="252"/>
      <c r="WQZ974" s="252"/>
      <c r="WRA974" s="252"/>
      <c r="WRB974" s="252"/>
      <c r="WRC974" s="252"/>
      <c r="WRD974" s="252"/>
      <c r="WRE974" s="252"/>
      <c r="WRF974" s="252"/>
      <c r="WRG974" s="252"/>
      <c r="WRH974" s="252"/>
      <c r="WRI974" s="252"/>
      <c r="WRJ974" s="252"/>
      <c r="WRK974" s="252"/>
      <c r="WRL974" s="252"/>
      <c r="WRM974" s="252"/>
      <c r="WRN974" s="252"/>
      <c r="WRO974" s="252"/>
      <c r="WRP974" s="252"/>
      <c r="WRQ974" s="252"/>
      <c r="WRR974" s="252"/>
      <c r="WRS974" s="252"/>
      <c r="WRT974" s="252"/>
      <c r="WRU974" s="252"/>
      <c r="WRV974" s="252"/>
      <c r="WRW974" s="252"/>
      <c r="WRX974" s="252"/>
      <c r="WRY974" s="252"/>
      <c r="WRZ974" s="252"/>
      <c r="WSA974" s="252"/>
      <c r="WSB974" s="252"/>
      <c r="WSC974" s="252"/>
      <c r="WSD974" s="252"/>
      <c r="WSE974" s="252"/>
      <c r="WSF974" s="252"/>
      <c r="WSG974" s="252"/>
      <c r="WSH974" s="252"/>
      <c r="WSI974" s="252"/>
      <c r="WSJ974" s="252"/>
      <c r="WSK974" s="252"/>
      <c r="WSL974" s="252"/>
      <c r="WSM974" s="252"/>
      <c r="WSN974" s="252"/>
      <c r="WSO974" s="252"/>
      <c r="WSP974" s="252"/>
      <c r="WSQ974" s="252"/>
      <c r="WSR974" s="252"/>
      <c r="WSS974" s="252"/>
      <c r="WST974" s="252"/>
      <c r="WSU974" s="252"/>
      <c r="WSV974" s="252"/>
      <c r="WSW974" s="252"/>
      <c r="WSX974" s="252"/>
      <c r="WSY974" s="252"/>
      <c r="WSZ974" s="252"/>
      <c r="WTA974" s="252"/>
      <c r="WTB974" s="252"/>
      <c r="WTC974" s="252"/>
      <c r="WTD974" s="252"/>
      <c r="WTE974" s="252"/>
      <c r="WTF974" s="252"/>
      <c r="WTG974" s="252"/>
      <c r="WTH974" s="252"/>
      <c r="WTI974" s="252"/>
      <c r="WTJ974" s="252"/>
      <c r="WTK974" s="252"/>
      <c r="WTL974" s="252"/>
      <c r="WTM974" s="252"/>
      <c r="WTN974" s="252"/>
      <c r="WTO974" s="252"/>
      <c r="WTP974" s="252"/>
      <c r="WTQ974" s="252"/>
      <c r="WTR974" s="252"/>
      <c r="WTS974" s="252"/>
      <c r="WTT974" s="252"/>
      <c r="WTU974" s="252"/>
      <c r="WTV974" s="252"/>
      <c r="WTW974" s="252"/>
      <c r="WTX974" s="252"/>
      <c r="WTY974" s="252"/>
      <c r="WTZ974" s="252"/>
      <c r="WUA974" s="252"/>
      <c r="WUB974" s="252"/>
      <c r="WUC974" s="252"/>
      <c r="WUD974" s="252"/>
      <c r="WUE974" s="252"/>
      <c r="WUF974" s="252"/>
      <c r="WUG974" s="252"/>
      <c r="WUH974" s="252"/>
      <c r="WUI974" s="252"/>
      <c r="WUJ974" s="252"/>
      <c r="WUK974" s="252"/>
      <c r="WUL974" s="252"/>
      <c r="WUM974" s="252"/>
      <c r="WUN974" s="252"/>
      <c r="WUO974" s="252"/>
      <c r="WUP974" s="252"/>
      <c r="WUQ974" s="252"/>
      <c r="WUR974" s="252"/>
      <c r="WUS974" s="252"/>
      <c r="WUT974" s="252"/>
      <c r="WUU974" s="252"/>
      <c r="WUV974" s="252"/>
      <c r="WUW974" s="252"/>
      <c r="WUX974" s="252"/>
      <c r="WUY974" s="252"/>
      <c r="WUZ974" s="252"/>
      <c r="WVA974" s="252"/>
      <c r="WVB974" s="252"/>
      <c r="WVC974" s="252"/>
      <c r="WVD974" s="252"/>
      <c r="WVE974" s="252"/>
      <c r="WVF974" s="252"/>
      <c r="WVG974" s="252"/>
      <c r="WVH974" s="252"/>
      <c r="WVI974" s="252"/>
      <c r="WVJ974" s="252"/>
      <c r="WVK974" s="252"/>
      <c r="WVL974" s="252"/>
      <c r="WVM974" s="252"/>
      <c r="WVN974" s="252"/>
      <c r="WVO974" s="252"/>
      <c r="WVP974" s="252"/>
      <c r="WVQ974" s="252"/>
      <c r="WVR974" s="252"/>
      <c r="WVS974" s="252"/>
      <c r="WVT974" s="252"/>
      <c r="WVU974" s="252"/>
      <c r="WVV974" s="252"/>
      <c r="WVW974" s="252"/>
      <c r="WVX974" s="252"/>
      <c r="WVY974" s="252"/>
      <c r="WVZ974" s="252"/>
      <c r="WWA974" s="252"/>
      <c r="WWB974" s="252"/>
      <c r="WWC974" s="252"/>
      <c r="WWD974" s="252"/>
      <c r="WWE974" s="252"/>
      <c r="WWF974" s="252"/>
      <c r="WWG974" s="252"/>
      <c r="WWH974" s="252"/>
      <c r="WWI974" s="252"/>
      <c r="WWJ974" s="252"/>
      <c r="WWK974" s="252"/>
      <c r="WWL974" s="252"/>
      <c r="WWM974" s="252"/>
      <c r="WWN974" s="252"/>
      <c r="WWO974" s="252"/>
      <c r="WWP974" s="252"/>
      <c r="WWQ974" s="252"/>
      <c r="WWR974" s="252"/>
      <c r="WWS974" s="252"/>
      <c r="WWT974" s="252"/>
      <c r="WWU974" s="252"/>
      <c r="WWV974" s="252"/>
      <c r="WWW974" s="252"/>
      <c r="WWX974" s="252"/>
      <c r="WWY974" s="252"/>
      <c r="WWZ974" s="252"/>
      <c r="WXA974" s="252"/>
      <c r="WXB974" s="252"/>
      <c r="WXC974" s="252"/>
      <c r="WXD974" s="252"/>
      <c r="WXE974" s="252"/>
      <c r="WXF974" s="252"/>
      <c r="WXG974" s="252"/>
      <c r="WXH974" s="252"/>
      <c r="WXI974" s="252"/>
      <c r="WXJ974" s="252"/>
      <c r="WXK974" s="252"/>
      <c r="WXL974" s="252"/>
      <c r="WXM974" s="252"/>
      <c r="WXN974" s="252"/>
      <c r="WXO974" s="252"/>
      <c r="WXP974" s="252"/>
      <c r="WXQ974" s="252"/>
      <c r="WXR974" s="252"/>
      <c r="WXS974" s="252"/>
      <c r="WXT974" s="252"/>
      <c r="WXU974" s="252"/>
      <c r="WXV974" s="252"/>
      <c r="WXW974" s="252"/>
      <c r="WXX974" s="252"/>
      <c r="WXY974" s="252"/>
      <c r="WXZ974" s="252"/>
      <c r="WYA974" s="252"/>
      <c r="WYB974" s="252"/>
      <c r="WYC974" s="252"/>
      <c r="WYD974" s="252"/>
      <c r="WYE974" s="252"/>
    </row>
    <row r="975" spans="1:16203" s="2" customFormat="1" ht="12.75" hidden="1" customHeight="1" outlineLevel="1" x14ac:dyDescent="0.2">
      <c r="A975" s="252"/>
      <c r="B975" s="253" t="s">
        <v>191</v>
      </c>
      <c r="C975" s="580">
        <f>C330-C337/0.65</f>
        <v>68.907100591716002</v>
      </c>
      <c r="D975" s="580"/>
      <c r="E975" s="580">
        <f>E330-E337/0.65</f>
        <v>92.268047337278119</v>
      </c>
      <c r="F975" s="580"/>
      <c r="G975" s="580">
        <f>G330-G337/0.65</f>
        <v>89.768639053254432</v>
      </c>
      <c r="H975" s="580"/>
      <c r="I975" s="580">
        <f>I330-I337/0.65</f>
        <v>91.266863905325451</v>
      </c>
      <c r="J975" s="580"/>
      <c r="K975" s="580">
        <f>K330-K337/0.65</f>
        <v>76.28284023668634</v>
      </c>
      <c r="L975" s="580"/>
      <c r="M975" s="580">
        <f>M330-M337/0.65</f>
        <v>77.582248520710053</v>
      </c>
      <c r="N975" s="580"/>
      <c r="O975" s="580">
        <f>O330-O337/0.65</f>
        <v>73.050887573964502</v>
      </c>
      <c r="P975" s="580"/>
      <c r="Q975" s="580">
        <f>Q330-Q337/0.65</f>
        <v>77.499999999999929</v>
      </c>
      <c r="R975" s="580"/>
      <c r="S975" s="580">
        <f>S330-S337/0.65</f>
        <v>80.799999999999955</v>
      </c>
      <c r="T975" s="580"/>
      <c r="U975" s="580">
        <f>U330-U337/0.65</f>
        <v>72.199999999999946</v>
      </c>
      <c r="V975" s="580"/>
      <c r="W975" s="580">
        <f>W330-W337/0.65</f>
        <v>70.881656804733694</v>
      </c>
      <c r="X975" s="580"/>
      <c r="Y975" s="580">
        <f>Y330-Y337/0.65</f>
        <v>67.299999999999983</v>
      </c>
      <c r="Z975" s="580"/>
      <c r="AA975" s="580">
        <f>AA330-AA337/0.65</f>
        <v>68.000000000000014</v>
      </c>
      <c r="AB975" s="580"/>
      <c r="AC975" s="580">
        <f>AC330-AC337/0.65</f>
        <v>69.899999999999977</v>
      </c>
      <c r="AD975" s="580"/>
      <c r="AE975" s="580">
        <f>AE330-AE337/0.65</f>
        <v>85.584615384615404</v>
      </c>
      <c r="AF975" s="580"/>
      <c r="AG975" s="580">
        <f>AG330-AG337/0.65</f>
        <v>82.923076923076962</v>
      </c>
      <c r="AH975" s="254"/>
      <c r="AI975" s="580">
        <f>AI330-AI337/0.65</f>
        <v>82.438461538461496</v>
      </c>
      <c r="AJ975" s="254"/>
      <c r="AK975" s="580">
        <f>AK330-AK337/0.65</f>
        <v>86.092307692307642</v>
      </c>
      <c r="AL975" s="254"/>
      <c r="AM975" s="580">
        <f>AM330-AM337/0.65</f>
        <v>90.861538461538458</v>
      </c>
      <c r="AN975" s="254"/>
      <c r="AO975" s="580">
        <f>AO330-AO337/0.65</f>
        <v>78.30000000000004</v>
      </c>
      <c r="AP975" s="254"/>
      <c r="AQ975" s="580">
        <f t="shared" ref="AQ975" si="4040">AQ330-AQ337/0.65</f>
        <v>89.418216769456805</v>
      </c>
      <c r="AR975" s="254"/>
      <c r="AS975" s="580">
        <f t="shared" ref="AS975" si="4041">AS330-AS337/0.65</f>
        <v>89.958952951178887</v>
      </c>
      <c r="AT975" s="254"/>
      <c r="AU975" s="580">
        <f t="shared" ref="AU975" si="4042">AU330-AU337/0.65</f>
        <v>90.789771476380139</v>
      </c>
      <c r="AV975" s="254"/>
      <c r="AW975" s="580">
        <f t="shared" ref="AW975" si="4043">AW330-AW337/0.65</f>
        <v>89.458368949220741</v>
      </c>
      <c r="AX975" s="254"/>
      <c r="AY975" s="273"/>
      <c r="AZ975" s="252"/>
      <c r="BA975" s="254"/>
      <c r="BB975" s="580">
        <f>BB330-BB337/0.65</f>
        <v>342.21065088757399</v>
      </c>
      <c r="BC975" s="565" t="str">
        <f>IF(ISERROR(BB975/#REF!),"NA",IF(OR(BB975/#REF!&gt;2,BB975/#REF!&lt;0.5),"NM",BB975/#REF!*100-100))</f>
        <v>NA</v>
      </c>
      <c r="BD975" s="984">
        <f>BD330-BD337/0.65</f>
        <v>304.41597633136081</v>
      </c>
      <c r="BE975" s="565">
        <f t="shared" si="4018"/>
        <v>-11.044271841974265</v>
      </c>
      <c r="BF975" s="848">
        <f>BF330-BF337/0.65</f>
        <v>291.18165680473362</v>
      </c>
      <c r="BG975" s="565">
        <f t="shared" si="4018"/>
        <v>-4.3474457832730451</v>
      </c>
      <c r="BH975" s="580">
        <f>BH330-BH337/0.65</f>
        <v>306.4076923076924</v>
      </c>
      <c r="BI975" s="565">
        <f t="shared" si="4018"/>
        <v>5.2290503701506736</v>
      </c>
      <c r="BJ975" s="580">
        <f>BJ330-BJ337/0.65</f>
        <v>337.69230769230762</v>
      </c>
      <c r="BK975" s="565">
        <f t="shared" si="4018"/>
        <v>10.210127281399778</v>
      </c>
      <c r="BL975" s="580">
        <f>BL330-BL337/0.65</f>
        <v>359.62531014623659</v>
      </c>
      <c r="BM975" s="565">
        <f t="shared" si="4018"/>
        <v>6.4949665581110878</v>
      </c>
      <c r="BN975" s="580">
        <f>BN330-BN337/0.65</f>
        <v>381.34775926632324</v>
      </c>
      <c r="BO975" s="565">
        <f t="shared" si="4018"/>
        <v>6.0403004202494799</v>
      </c>
      <c r="BP975" s="580">
        <f>BP330-BP337/0.65</f>
        <v>431.87008766088064</v>
      </c>
      <c r="BQ975" s="565">
        <f t="shared" si="4018"/>
        <v>13.248361152497012</v>
      </c>
      <c r="BR975" s="580">
        <f>BR330-BR337/0.65</f>
        <v>450.13486372073396</v>
      </c>
      <c r="BS975" s="565">
        <f t="shared" si="4018"/>
        <v>4.2292292477999638</v>
      </c>
      <c r="BT975" s="580">
        <f>BT330-BT337/0.65</f>
        <v>484.47991981506397</v>
      </c>
      <c r="BU975" s="565">
        <f t="shared" si="4019"/>
        <v>7.6299480138996501</v>
      </c>
      <c r="BV975" s="255"/>
      <c r="BW975" s="255"/>
      <c r="BX975" s="255"/>
      <c r="BY975"/>
      <c r="BZ975"/>
      <c r="CA975"/>
      <c r="CB975"/>
      <c r="CC975"/>
      <c r="CD975"/>
      <c r="CE975" s="252"/>
      <c r="CF975" s="252"/>
      <c r="CG975" s="252"/>
      <c r="CH975" s="252"/>
      <c r="CI975" s="252"/>
      <c r="CJ975" s="252"/>
      <c r="CK975" s="252"/>
      <c r="CL975" s="252"/>
      <c r="CM975" s="252"/>
      <c r="CN975" s="252"/>
      <c r="CO975" s="252"/>
      <c r="CP975" s="252"/>
      <c r="CQ975" s="252"/>
      <c r="CR975" s="252"/>
      <c r="CS975" s="252"/>
      <c r="CT975" s="252"/>
      <c r="CU975" s="252"/>
      <c r="CV975" s="252"/>
      <c r="CW975" s="252"/>
      <c r="CX975" s="252"/>
      <c r="CY975" s="252"/>
      <c r="CZ975" s="252"/>
      <c r="DA975" s="252"/>
      <c r="DB975" s="252"/>
      <c r="DC975" s="252"/>
      <c r="DD975" s="252"/>
      <c r="DE975" s="252"/>
      <c r="DF975" s="252"/>
      <c r="DG975" s="252"/>
      <c r="DH975" s="252"/>
      <c r="DI975" s="252"/>
      <c r="DJ975" s="252"/>
      <c r="DK975" s="252"/>
      <c r="DL975" s="252"/>
      <c r="DM975" s="252"/>
      <c r="DN975" s="252"/>
      <c r="DO975" s="252"/>
      <c r="DP975" s="252"/>
      <c r="DQ975" s="252"/>
      <c r="DR975" s="252"/>
      <c r="DS975" s="252"/>
      <c r="DT975" s="252"/>
      <c r="DU975" s="252"/>
      <c r="DV975" s="252"/>
      <c r="DW975" s="252"/>
      <c r="DX975" s="252"/>
      <c r="DY975" s="252"/>
      <c r="DZ975" s="252"/>
      <c r="EA975" s="252"/>
      <c r="EB975" s="252"/>
      <c r="EC975" s="252"/>
      <c r="ED975" s="252"/>
      <c r="EE975" s="252"/>
      <c r="EF975" s="252"/>
      <c r="EG975" s="252"/>
      <c r="EH975" s="252"/>
      <c r="EI975" s="252"/>
      <c r="EJ975" s="252"/>
      <c r="EK975" s="252"/>
      <c r="EL975" s="252"/>
      <c r="EM975" s="252"/>
      <c r="EN975" s="252"/>
      <c r="EO975" s="252"/>
      <c r="EP975" s="252"/>
      <c r="EQ975" s="252"/>
      <c r="ER975" s="252"/>
      <c r="ES975" s="252"/>
      <c r="ET975" s="252"/>
      <c r="EU975" s="252"/>
      <c r="EV975" s="252"/>
      <c r="EW975" s="252"/>
      <c r="EX975" s="252"/>
      <c r="EY975" s="252"/>
      <c r="EZ975" s="252"/>
      <c r="FA975" s="252"/>
      <c r="FB975" s="252"/>
      <c r="FC975" s="252"/>
      <c r="FD975" s="252"/>
      <c r="FE975" s="252"/>
      <c r="FF975" s="252"/>
      <c r="FG975" s="252"/>
      <c r="FH975" s="252"/>
      <c r="FI975" s="252"/>
      <c r="FJ975" s="252"/>
      <c r="FK975" s="252"/>
      <c r="FL975" s="252"/>
      <c r="FM975" s="252"/>
      <c r="FN975" s="252"/>
      <c r="FO975" s="252"/>
      <c r="FP975" s="252"/>
      <c r="FQ975" s="252"/>
      <c r="FR975" s="252"/>
      <c r="FS975" s="252"/>
      <c r="FT975" s="252"/>
      <c r="FU975" s="252"/>
      <c r="FV975" s="252"/>
      <c r="FW975" s="252"/>
      <c r="FX975" s="252"/>
      <c r="FY975" s="252"/>
      <c r="FZ975" s="252"/>
      <c r="GA975" s="252"/>
      <c r="GB975" s="252"/>
      <c r="GC975" s="252"/>
      <c r="GD975" s="252"/>
      <c r="GE975" s="252"/>
      <c r="GF975" s="252"/>
      <c r="GG975" s="252"/>
      <c r="GH975" s="252"/>
      <c r="GI975" s="252"/>
      <c r="GJ975" s="252"/>
      <c r="GK975" s="252"/>
      <c r="GL975" s="252"/>
      <c r="GM975" s="252"/>
      <c r="GN975" s="252"/>
      <c r="GO975" s="252"/>
      <c r="GP975" s="252"/>
      <c r="GQ975" s="252"/>
      <c r="GR975" s="252"/>
      <c r="GS975" s="252"/>
      <c r="GT975" s="252"/>
      <c r="GU975" s="252"/>
      <c r="GV975" s="252"/>
      <c r="GW975" s="252"/>
      <c r="GX975" s="252"/>
      <c r="GY975" s="252"/>
      <c r="GZ975" s="252"/>
      <c r="HA975" s="252"/>
      <c r="HB975" s="252"/>
      <c r="HC975" s="252"/>
      <c r="HD975" s="252"/>
      <c r="HE975" s="252"/>
      <c r="HF975" s="252"/>
      <c r="HG975" s="252"/>
      <c r="HH975" s="252"/>
      <c r="HI975" s="252"/>
      <c r="HJ975" s="252"/>
      <c r="HK975" s="252"/>
      <c r="HL975" s="252"/>
      <c r="HM975" s="252"/>
      <c r="HN975" s="252"/>
      <c r="HO975" s="252"/>
      <c r="HP975" s="252"/>
      <c r="HQ975" s="252"/>
      <c r="HR975" s="252"/>
      <c r="HS975" s="252"/>
      <c r="HT975" s="252"/>
      <c r="HU975" s="252"/>
      <c r="HV975" s="252"/>
      <c r="HW975" s="252"/>
      <c r="HX975" s="252"/>
      <c r="HY975" s="252"/>
      <c r="HZ975" s="252"/>
      <c r="IA975" s="252"/>
      <c r="IB975" s="252"/>
      <c r="IC975" s="252"/>
      <c r="ID975" s="252"/>
      <c r="IE975" s="252"/>
      <c r="IF975" s="252"/>
      <c r="IG975" s="252"/>
      <c r="IH975" s="252"/>
      <c r="II975" s="252"/>
      <c r="IJ975" s="252"/>
      <c r="IK975" s="252"/>
      <c r="IL975" s="252"/>
      <c r="IM975" s="252"/>
      <c r="IN975" s="252"/>
      <c r="IO975" s="252"/>
      <c r="IP975" s="252"/>
      <c r="IQ975" s="252"/>
      <c r="IR975" s="252"/>
      <c r="IS975" s="252"/>
      <c r="IT975" s="252"/>
      <c r="IU975" s="252"/>
      <c r="IV975" s="252"/>
      <c r="IW975" s="252"/>
      <c r="IX975" s="252"/>
      <c r="IY975" s="252"/>
      <c r="IZ975" s="252"/>
      <c r="JA975" s="252"/>
      <c r="JB975" s="252"/>
      <c r="JC975" s="252"/>
      <c r="JD975" s="252"/>
      <c r="JE975" s="252"/>
      <c r="JF975" s="252"/>
      <c r="JG975" s="252"/>
      <c r="JH975" s="252"/>
      <c r="JI975" s="252"/>
      <c r="JJ975" s="252"/>
      <c r="JK975" s="252"/>
      <c r="JL975" s="252"/>
      <c r="JM975" s="252"/>
      <c r="JN975" s="252"/>
      <c r="JO975" s="252"/>
      <c r="JP975" s="252"/>
      <c r="JQ975" s="252"/>
      <c r="JR975" s="252"/>
      <c r="JS975" s="252"/>
      <c r="JT975" s="252"/>
      <c r="JU975" s="252"/>
      <c r="JV975" s="252"/>
      <c r="JW975" s="252"/>
      <c r="JX975" s="252"/>
      <c r="JY975" s="252"/>
      <c r="JZ975" s="252"/>
      <c r="KA975" s="252"/>
      <c r="KB975" s="252"/>
      <c r="KC975" s="252"/>
      <c r="KD975" s="252"/>
      <c r="KE975" s="252"/>
      <c r="KF975" s="252"/>
      <c r="KG975" s="252"/>
      <c r="KH975" s="252"/>
      <c r="KI975" s="252"/>
      <c r="KJ975" s="252"/>
      <c r="KK975" s="252"/>
      <c r="KL975" s="252"/>
      <c r="KM975" s="252"/>
      <c r="KN975" s="252"/>
      <c r="KO975" s="252"/>
      <c r="KP975" s="252"/>
      <c r="KQ975" s="252"/>
      <c r="KR975" s="252"/>
      <c r="KS975" s="252"/>
      <c r="KT975" s="252"/>
      <c r="KU975" s="252"/>
      <c r="KV975" s="252"/>
      <c r="KW975" s="252"/>
      <c r="KX975" s="252"/>
      <c r="KY975" s="252"/>
      <c r="KZ975" s="252"/>
      <c r="LA975" s="252"/>
      <c r="LB975" s="252"/>
      <c r="LC975" s="252"/>
      <c r="LD975" s="252"/>
      <c r="LE975" s="252"/>
      <c r="LF975" s="252"/>
      <c r="LG975" s="252"/>
      <c r="LH975" s="252"/>
      <c r="LI975" s="252"/>
      <c r="LJ975" s="252"/>
      <c r="LK975" s="252"/>
      <c r="LL975" s="252"/>
      <c r="LM975" s="252"/>
      <c r="LN975" s="252"/>
      <c r="LO975" s="252"/>
      <c r="LP975" s="252"/>
      <c r="LQ975" s="252"/>
      <c r="LR975" s="252"/>
      <c r="LS975" s="252"/>
      <c r="LT975" s="252"/>
      <c r="LU975" s="252"/>
      <c r="LV975" s="252"/>
      <c r="LW975" s="252"/>
      <c r="LX975" s="252"/>
      <c r="LY975" s="252"/>
      <c r="LZ975" s="252"/>
      <c r="MA975" s="252"/>
      <c r="MB975" s="252"/>
      <c r="MC975" s="252"/>
      <c r="MD975" s="252"/>
      <c r="ME975" s="252"/>
      <c r="MF975" s="252"/>
      <c r="MG975" s="252"/>
      <c r="MH975" s="252"/>
      <c r="MI975" s="252"/>
      <c r="MJ975" s="252"/>
      <c r="MK975" s="252"/>
      <c r="ML975" s="252"/>
      <c r="MM975" s="252"/>
      <c r="MN975" s="252"/>
      <c r="MO975" s="252"/>
      <c r="MP975" s="252"/>
      <c r="MQ975" s="252"/>
      <c r="MR975" s="252"/>
      <c r="MS975" s="252"/>
      <c r="MT975" s="252"/>
      <c r="MU975" s="252"/>
      <c r="MV975" s="252"/>
      <c r="MW975" s="252"/>
      <c r="MX975" s="252"/>
      <c r="MY975" s="252"/>
      <c r="MZ975" s="252"/>
      <c r="NA975" s="252"/>
      <c r="NB975" s="252"/>
      <c r="NC975" s="252"/>
      <c r="ND975" s="252"/>
      <c r="NE975" s="252"/>
      <c r="NF975" s="252"/>
      <c r="NG975" s="252"/>
      <c r="NH975" s="252"/>
      <c r="NI975" s="252"/>
      <c r="NJ975" s="252"/>
      <c r="NK975" s="252"/>
      <c r="NL975" s="252"/>
      <c r="NM975" s="252"/>
      <c r="NN975" s="252"/>
      <c r="NO975" s="252"/>
      <c r="NP975" s="252"/>
      <c r="NQ975" s="252"/>
      <c r="NR975" s="252"/>
      <c r="NS975" s="252"/>
      <c r="NT975" s="252"/>
      <c r="NU975" s="252"/>
      <c r="NV975" s="252"/>
      <c r="NW975" s="252"/>
      <c r="NX975" s="252"/>
      <c r="NY975" s="252"/>
      <c r="NZ975" s="252"/>
      <c r="OA975" s="252"/>
      <c r="OB975" s="252"/>
      <c r="OC975" s="252"/>
      <c r="OD975" s="252"/>
      <c r="OE975" s="252"/>
      <c r="OF975" s="252"/>
      <c r="OG975" s="252"/>
      <c r="OH975" s="252"/>
      <c r="OI975" s="252"/>
      <c r="OJ975" s="252"/>
      <c r="OK975" s="252"/>
      <c r="OL975" s="252"/>
      <c r="OM975" s="252"/>
      <c r="ON975" s="252"/>
      <c r="OO975" s="252"/>
      <c r="OP975" s="252"/>
      <c r="OQ975" s="252"/>
      <c r="OR975" s="252"/>
      <c r="OS975" s="252"/>
      <c r="OT975" s="252"/>
      <c r="OU975" s="252"/>
      <c r="OV975" s="252"/>
      <c r="OW975" s="252"/>
      <c r="OX975" s="252"/>
      <c r="OY975" s="252"/>
      <c r="OZ975" s="252"/>
      <c r="PA975" s="252"/>
      <c r="PB975" s="252"/>
      <c r="PC975" s="252"/>
      <c r="PD975" s="252"/>
      <c r="PE975" s="252"/>
      <c r="PF975" s="252"/>
      <c r="PG975" s="252"/>
      <c r="PH975" s="252"/>
      <c r="PI975" s="252"/>
      <c r="PJ975" s="252"/>
      <c r="PK975" s="252"/>
      <c r="PL975" s="252"/>
      <c r="PM975" s="252"/>
      <c r="PN975" s="252"/>
      <c r="PO975" s="252"/>
      <c r="PP975" s="252"/>
      <c r="PQ975" s="252"/>
      <c r="PR975" s="252"/>
      <c r="PS975" s="252"/>
      <c r="PT975" s="252"/>
      <c r="PU975" s="252"/>
      <c r="PV975" s="252"/>
      <c r="PW975" s="252"/>
      <c r="PX975" s="252"/>
      <c r="PY975" s="252"/>
      <c r="PZ975" s="252"/>
      <c r="QA975" s="252"/>
      <c r="QB975" s="252"/>
      <c r="QC975" s="252"/>
      <c r="QD975" s="252"/>
      <c r="QE975" s="252"/>
      <c r="QF975" s="252"/>
      <c r="QG975" s="252"/>
      <c r="QH975" s="252"/>
      <c r="QI975" s="252"/>
      <c r="QJ975" s="252"/>
      <c r="QK975" s="252"/>
      <c r="QL975" s="252"/>
      <c r="QM975" s="252"/>
      <c r="QN975" s="252"/>
      <c r="QO975" s="252"/>
      <c r="QP975" s="252"/>
      <c r="QQ975" s="252"/>
      <c r="QR975" s="252"/>
      <c r="QS975" s="252"/>
      <c r="QT975" s="252"/>
      <c r="QU975" s="252"/>
      <c r="QV975" s="252"/>
      <c r="QW975" s="252"/>
      <c r="QX975" s="252"/>
      <c r="QY975" s="252"/>
      <c r="QZ975" s="252"/>
      <c r="RA975" s="252"/>
      <c r="RB975" s="252"/>
      <c r="RC975" s="252"/>
      <c r="RD975" s="252"/>
      <c r="RE975" s="252"/>
      <c r="RF975" s="252"/>
      <c r="RG975" s="252"/>
      <c r="RH975" s="252"/>
      <c r="RI975" s="252"/>
      <c r="RJ975" s="252"/>
      <c r="RK975" s="252"/>
      <c r="RL975" s="252"/>
      <c r="RM975" s="252"/>
      <c r="RN975" s="252"/>
      <c r="RO975" s="252"/>
      <c r="RP975" s="252"/>
      <c r="RQ975" s="252"/>
      <c r="RR975" s="252"/>
      <c r="RS975" s="252"/>
      <c r="RT975" s="252"/>
      <c r="RU975" s="252"/>
      <c r="RV975" s="252"/>
      <c r="RW975" s="252"/>
      <c r="RX975" s="252"/>
      <c r="RY975" s="252"/>
      <c r="RZ975" s="252"/>
      <c r="SA975" s="252"/>
      <c r="SB975" s="252"/>
      <c r="SC975" s="252"/>
      <c r="SD975" s="252"/>
      <c r="SE975" s="252"/>
      <c r="SF975" s="252"/>
      <c r="SG975" s="252"/>
      <c r="SH975" s="252"/>
      <c r="SI975" s="252"/>
      <c r="SJ975" s="252"/>
      <c r="SK975" s="252"/>
      <c r="SL975" s="252"/>
      <c r="SM975" s="252"/>
      <c r="SN975" s="252"/>
      <c r="SO975" s="252"/>
      <c r="SP975" s="252"/>
      <c r="SQ975" s="252"/>
      <c r="SR975" s="252"/>
      <c r="SS975" s="252"/>
      <c r="ST975" s="252"/>
      <c r="SU975" s="252"/>
      <c r="SV975" s="252"/>
      <c r="SW975" s="252"/>
      <c r="SX975" s="252"/>
      <c r="SY975" s="252"/>
      <c r="SZ975" s="252"/>
      <c r="TA975" s="252"/>
      <c r="TB975" s="252"/>
      <c r="TC975" s="252"/>
      <c r="TD975" s="252"/>
      <c r="TE975" s="252"/>
      <c r="TF975" s="252"/>
      <c r="TG975" s="252"/>
      <c r="TH975" s="252"/>
      <c r="TI975" s="252"/>
      <c r="TJ975" s="252"/>
      <c r="TK975" s="252"/>
      <c r="TL975" s="252"/>
      <c r="TM975" s="252"/>
      <c r="TN975" s="252"/>
      <c r="TO975" s="252"/>
      <c r="TP975" s="252"/>
      <c r="TQ975" s="252"/>
      <c r="TR975" s="252"/>
      <c r="TS975" s="252"/>
      <c r="TT975" s="252"/>
      <c r="TU975" s="252"/>
      <c r="TV975" s="252"/>
      <c r="TW975" s="252"/>
      <c r="TX975" s="252"/>
      <c r="TY975" s="252"/>
      <c r="TZ975" s="252"/>
      <c r="UA975" s="252"/>
      <c r="UB975" s="252"/>
      <c r="UC975" s="252"/>
      <c r="UD975" s="252"/>
      <c r="UE975" s="252"/>
      <c r="UF975" s="252"/>
      <c r="UG975" s="252"/>
      <c r="UH975" s="252"/>
      <c r="UI975" s="252"/>
      <c r="UJ975" s="252"/>
      <c r="UK975" s="252"/>
      <c r="UL975" s="252"/>
      <c r="UM975" s="252"/>
      <c r="UN975" s="252"/>
      <c r="UO975" s="252"/>
      <c r="UP975" s="252"/>
      <c r="UQ975" s="252"/>
      <c r="UR975" s="252"/>
      <c r="US975" s="252"/>
      <c r="UT975" s="252"/>
      <c r="UU975" s="252"/>
      <c r="UV975" s="252"/>
      <c r="UW975" s="252"/>
      <c r="UX975" s="252"/>
      <c r="UY975" s="252"/>
      <c r="UZ975" s="252"/>
      <c r="VA975" s="252"/>
      <c r="VB975" s="252"/>
      <c r="VC975" s="252"/>
      <c r="VD975" s="252"/>
      <c r="VE975" s="252"/>
      <c r="VF975" s="252"/>
      <c r="VG975" s="252"/>
      <c r="VH975" s="252"/>
      <c r="VI975" s="252"/>
      <c r="VJ975" s="252"/>
      <c r="VK975" s="252"/>
      <c r="VL975" s="252"/>
      <c r="VM975" s="252"/>
      <c r="VN975" s="252"/>
      <c r="VO975" s="252"/>
      <c r="VP975" s="252"/>
      <c r="VQ975" s="252"/>
      <c r="VR975" s="252"/>
      <c r="VS975" s="252"/>
      <c r="VT975" s="252"/>
      <c r="VU975" s="252"/>
      <c r="VV975" s="252"/>
      <c r="VW975" s="252"/>
      <c r="VX975" s="252"/>
      <c r="VY975" s="252"/>
      <c r="VZ975" s="252"/>
      <c r="WA975" s="252"/>
      <c r="WB975" s="252"/>
      <c r="WC975" s="252"/>
      <c r="WD975" s="252"/>
      <c r="WE975" s="252"/>
      <c r="WF975" s="252"/>
      <c r="WG975" s="252"/>
      <c r="WH975" s="252"/>
      <c r="WI975" s="252"/>
      <c r="WJ975" s="252"/>
      <c r="WK975" s="252"/>
      <c r="WL975" s="252"/>
      <c r="WM975" s="252"/>
      <c r="WN975" s="252"/>
      <c r="WO975" s="252"/>
      <c r="WP975" s="252"/>
      <c r="WQ975" s="252"/>
      <c r="WR975" s="252"/>
      <c r="WS975" s="252"/>
      <c r="WT975" s="252"/>
      <c r="WU975" s="252"/>
      <c r="WV975" s="252"/>
      <c r="WW975" s="252"/>
      <c r="WX975" s="252"/>
      <c r="WY975" s="252"/>
      <c r="WZ975" s="252"/>
      <c r="XA975" s="252"/>
      <c r="XB975" s="252"/>
      <c r="XC975" s="252"/>
      <c r="XD975" s="252"/>
      <c r="XE975" s="252"/>
      <c r="XF975" s="252"/>
      <c r="XG975" s="252"/>
      <c r="XH975" s="252"/>
      <c r="XI975" s="252"/>
      <c r="XJ975" s="252"/>
      <c r="XK975" s="252"/>
      <c r="XL975" s="252"/>
      <c r="XM975" s="252"/>
      <c r="XN975" s="252"/>
      <c r="XO975" s="252"/>
      <c r="XP975" s="252"/>
      <c r="XQ975" s="252"/>
      <c r="XR975" s="252"/>
      <c r="XS975" s="252"/>
      <c r="XT975" s="252"/>
      <c r="XU975" s="252"/>
      <c r="XV975" s="252"/>
      <c r="XW975" s="252"/>
      <c r="XX975" s="252"/>
      <c r="XY975" s="252"/>
      <c r="XZ975" s="252"/>
      <c r="YA975" s="252"/>
      <c r="YB975" s="252"/>
      <c r="YC975" s="252"/>
      <c r="YD975" s="252"/>
      <c r="YE975" s="252"/>
      <c r="YF975" s="252"/>
      <c r="YG975" s="252"/>
      <c r="YH975" s="252"/>
      <c r="YI975" s="252"/>
      <c r="YJ975" s="252"/>
      <c r="YK975" s="252"/>
      <c r="YL975" s="252"/>
      <c r="YM975" s="252"/>
      <c r="YN975" s="252"/>
      <c r="YO975" s="252"/>
      <c r="YP975" s="252"/>
      <c r="YQ975" s="252"/>
      <c r="YR975" s="252"/>
      <c r="YS975" s="252"/>
      <c r="YT975" s="252"/>
      <c r="YU975" s="252"/>
      <c r="YV975" s="252"/>
      <c r="YW975" s="252"/>
      <c r="YX975" s="252"/>
      <c r="YY975" s="252"/>
      <c r="YZ975" s="252"/>
      <c r="ZA975" s="252"/>
      <c r="ZB975" s="252"/>
      <c r="ZC975" s="252"/>
      <c r="ZD975" s="252"/>
      <c r="ZE975" s="252"/>
      <c r="ZF975" s="252"/>
      <c r="ZG975" s="252"/>
      <c r="ZH975" s="252"/>
      <c r="ZI975" s="252"/>
      <c r="ZJ975" s="252"/>
      <c r="ZK975" s="252"/>
      <c r="ZL975" s="252"/>
      <c r="ZM975" s="252"/>
      <c r="ZN975" s="252"/>
      <c r="ZO975" s="252"/>
      <c r="ZP975" s="252"/>
      <c r="ZQ975" s="252"/>
      <c r="ZR975" s="252"/>
      <c r="ZS975" s="252"/>
      <c r="ZT975" s="252"/>
      <c r="ZU975" s="252"/>
      <c r="ZV975" s="252"/>
      <c r="ZW975" s="252"/>
      <c r="ZX975" s="252"/>
      <c r="ZY975" s="252"/>
      <c r="ZZ975" s="252"/>
      <c r="AAA975" s="252"/>
      <c r="AAB975" s="252"/>
      <c r="AAC975" s="252"/>
      <c r="AAD975" s="252"/>
      <c r="AAE975" s="252"/>
      <c r="AAF975" s="252"/>
      <c r="AAG975" s="252"/>
      <c r="AAH975" s="252"/>
      <c r="AAI975" s="252"/>
      <c r="AAJ975" s="252"/>
      <c r="AAK975" s="252"/>
      <c r="AAL975" s="252"/>
      <c r="AAM975" s="252"/>
      <c r="AAN975" s="252"/>
      <c r="AAO975" s="252"/>
      <c r="AAP975" s="252"/>
      <c r="AAQ975" s="252"/>
      <c r="AAR975" s="252"/>
      <c r="AAS975" s="252"/>
      <c r="AAT975" s="252"/>
      <c r="AAU975" s="252"/>
      <c r="AAV975" s="252"/>
      <c r="AAW975" s="252"/>
      <c r="AAX975" s="252"/>
      <c r="AAY975" s="252"/>
      <c r="AAZ975" s="252"/>
      <c r="ABA975" s="252"/>
      <c r="ABB975" s="252"/>
      <c r="ABC975" s="252"/>
      <c r="ABD975" s="252"/>
      <c r="ABE975" s="252"/>
      <c r="ABF975" s="252"/>
      <c r="ABG975" s="252"/>
      <c r="ABH975" s="252"/>
      <c r="ABI975" s="252"/>
      <c r="ABJ975" s="252"/>
      <c r="ABK975" s="252"/>
      <c r="ABL975" s="252"/>
      <c r="ABM975" s="252"/>
      <c r="ABN975" s="252"/>
      <c r="ABO975" s="252"/>
      <c r="ABP975" s="252"/>
      <c r="ABQ975" s="252"/>
      <c r="ABR975" s="252"/>
      <c r="ABS975" s="252"/>
      <c r="ABT975" s="252"/>
      <c r="ABU975" s="252"/>
      <c r="ABV975" s="252"/>
      <c r="ABW975" s="252"/>
      <c r="ABX975" s="252"/>
      <c r="ABY975" s="252"/>
      <c r="ABZ975" s="252"/>
      <c r="ACA975" s="252"/>
      <c r="ACB975" s="252"/>
      <c r="ACC975" s="252"/>
      <c r="ACD975" s="252"/>
      <c r="ACE975" s="252"/>
      <c r="ACF975" s="252"/>
      <c r="ACG975" s="252"/>
      <c r="ACH975" s="252"/>
      <c r="ACI975" s="252"/>
      <c r="ACJ975" s="252"/>
      <c r="ACK975" s="252"/>
      <c r="ACL975" s="252"/>
      <c r="ACM975" s="252"/>
      <c r="ACN975" s="252"/>
      <c r="ACO975" s="252"/>
      <c r="ACP975" s="252"/>
      <c r="ACQ975" s="252"/>
      <c r="ACR975" s="252"/>
      <c r="ACS975" s="252"/>
      <c r="ACT975" s="252"/>
      <c r="ACU975" s="252"/>
      <c r="ACV975" s="252"/>
      <c r="ACW975" s="252"/>
      <c r="ACX975" s="252"/>
      <c r="ACY975" s="252"/>
      <c r="ACZ975" s="252"/>
      <c r="ADA975" s="252"/>
      <c r="ADB975" s="252"/>
      <c r="ADC975" s="252"/>
      <c r="ADD975" s="252"/>
      <c r="ADE975" s="252"/>
      <c r="ADF975" s="252"/>
      <c r="ADG975" s="252"/>
      <c r="ADH975" s="252"/>
      <c r="ADI975" s="252"/>
      <c r="ADJ975" s="252"/>
      <c r="ADK975" s="252"/>
      <c r="ADL975" s="252"/>
      <c r="ADM975" s="252"/>
      <c r="ADN975" s="252"/>
      <c r="ADO975" s="252"/>
      <c r="ADP975" s="252"/>
      <c r="ADQ975" s="252"/>
      <c r="ADR975" s="252"/>
      <c r="ADS975" s="252"/>
      <c r="ADT975" s="252"/>
      <c r="ADU975" s="252"/>
      <c r="ADV975" s="252"/>
      <c r="ADW975" s="252"/>
      <c r="ADX975" s="252"/>
      <c r="ADY975" s="252"/>
      <c r="ADZ975" s="252"/>
      <c r="AEA975" s="252"/>
      <c r="AEB975" s="252"/>
      <c r="AEC975" s="252"/>
      <c r="AED975" s="252"/>
      <c r="AEE975" s="252"/>
      <c r="AEF975" s="252"/>
      <c r="AEG975" s="252"/>
      <c r="AEH975" s="252"/>
      <c r="AEI975" s="252"/>
      <c r="AEJ975" s="252"/>
      <c r="AEK975" s="252"/>
      <c r="AEL975" s="252"/>
      <c r="AEM975" s="252"/>
      <c r="AEN975" s="252"/>
      <c r="AEO975" s="252"/>
      <c r="AEP975" s="252"/>
      <c r="AEQ975" s="252"/>
      <c r="AER975" s="252"/>
      <c r="AES975" s="252"/>
      <c r="AET975" s="252"/>
      <c r="AEU975" s="252"/>
      <c r="AEV975" s="252"/>
      <c r="AEW975" s="252"/>
      <c r="AEX975" s="252"/>
      <c r="AEY975" s="252"/>
      <c r="AEZ975" s="252"/>
      <c r="AFA975" s="252"/>
      <c r="AFB975" s="252"/>
      <c r="AFC975" s="252"/>
      <c r="AFD975" s="252"/>
      <c r="AFE975" s="252"/>
      <c r="AFF975" s="252"/>
      <c r="AFG975" s="252"/>
      <c r="AFH975" s="252"/>
      <c r="AFI975" s="252"/>
      <c r="AFJ975" s="252"/>
      <c r="AFK975" s="252"/>
      <c r="AFL975" s="252"/>
      <c r="AFM975" s="252"/>
      <c r="AFN975" s="252"/>
      <c r="AFO975" s="252"/>
      <c r="AFP975" s="252"/>
      <c r="AFQ975" s="252"/>
      <c r="AFR975" s="252"/>
      <c r="AFS975" s="252"/>
      <c r="AFT975" s="252"/>
      <c r="AFU975" s="252"/>
      <c r="AFV975" s="252"/>
      <c r="AFW975" s="252"/>
      <c r="AFX975" s="252"/>
      <c r="AFY975" s="252"/>
      <c r="AFZ975" s="252"/>
      <c r="AGA975" s="252"/>
      <c r="AGB975" s="252"/>
      <c r="AGC975" s="252"/>
      <c r="AGD975" s="252"/>
      <c r="AGE975" s="252"/>
      <c r="AGF975" s="252"/>
      <c r="AGG975" s="252"/>
      <c r="AGH975" s="252"/>
      <c r="AGI975" s="252"/>
      <c r="AGJ975" s="252"/>
      <c r="AGK975" s="252"/>
      <c r="AGL975" s="252"/>
      <c r="AGM975" s="252"/>
      <c r="AGN975" s="252"/>
      <c r="AGO975" s="252"/>
      <c r="AGP975" s="252"/>
      <c r="AGQ975" s="252"/>
      <c r="AGR975" s="252"/>
      <c r="AGS975" s="252"/>
      <c r="AGT975" s="252"/>
      <c r="AGU975" s="252"/>
      <c r="AGV975" s="252"/>
      <c r="AGW975" s="252"/>
      <c r="AGX975" s="252"/>
      <c r="AGY975" s="252"/>
      <c r="AGZ975" s="252"/>
      <c r="AHA975" s="252"/>
      <c r="AHB975" s="252"/>
      <c r="AHC975" s="252"/>
      <c r="AHD975" s="252"/>
      <c r="AHE975" s="252"/>
      <c r="AHF975" s="252"/>
      <c r="AHG975" s="252"/>
      <c r="AHH975" s="252"/>
      <c r="AHI975" s="252"/>
      <c r="AHJ975" s="252"/>
      <c r="AHK975" s="252"/>
      <c r="AHL975" s="252"/>
      <c r="AHM975" s="252"/>
      <c r="AHN975" s="252"/>
      <c r="AHO975" s="252"/>
      <c r="AHP975" s="252"/>
      <c r="AHQ975" s="252"/>
      <c r="AHR975" s="252"/>
      <c r="AHS975" s="252"/>
      <c r="AHT975" s="252"/>
      <c r="AHU975" s="252"/>
      <c r="AHV975" s="252"/>
      <c r="AHW975" s="252"/>
      <c r="AHX975" s="252"/>
      <c r="AHY975" s="252"/>
      <c r="AHZ975" s="252"/>
      <c r="AIA975" s="252"/>
      <c r="AIB975" s="252"/>
      <c r="AIC975" s="252"/>
      <c r="AID975" s="252"/>
      <c r="AIE975" s="252"/>
      <c r="AIF975" s="252"/>
      <c r="AIG975" s="252"/>
      <c r="AIH975" s="252"/>
      <c r="AII975" s="252"/>
      <c r="AIJ975" s="252"/>
      <c r="AIK975" s="252"/>
      <c r="AIL975" s="252"/>
      <c r="AIM975" s="252"/>
      <c r="AIN975" s="252"/>
      <c r="AIO975" s="252"/>
      <c r="AIP975" s="252"/>
      <c r="AIQ975" s="252"/>
      <c r="AIR975" s="252"/>
      <c r="AIS975" s="252"/>
      <c r="AIT975" s="252"/>
      <c r="AIU975" s="252"/>
      <c r="AIV975" s="252"/>
      <c r="AIW975" s="252"/>
      <c r="AIX975" s="252"/>
      <c r="AIY975" s="252"/>
      <c r="AIZ975" s="252"/>
      <c r="AJA975" s="252"/>
      <c r="AJB975" s="252"/>
      <c r="AJC975" s="252"/>
      <c r="AJD975" s="252"/>
      <c r="AJE975" s="252"/>
      <c r="AJF975" s="252"/>
      <c r="AJG975" s="252"/>
      <c r="AJH975" s="252"/>
      <c r="AJI975" s="252"/>
      <c r="AJJ975" s="252"/>
      <c r="AJK975" s="252"/>
      <c r="AJL975" s="252"/>
      <c r="AJM975" s="252"/>
      <c r="AJN975" s="252"/>
      <c r="AJO975" s="252"/>
      <c r="AJP975" s="252"/>
      <c r="AJQ975" s="252"/>
      <c r="AJR975" s="252"/>
      <c r="AJS975" s="252"/>
      <c r="AJT975" s="252"/>
      <c r="AJU975" s="252"/>
      <c r="AJV975" s="252"/>
      <c r="AJW975" s="252"/>
      <c r="AJX975" s="252"/>
      <c r="AJY975" s="252"/>
      <c r="AJZ975" s="252"/>
      <c r="AKA975" s="252"/>
      <c r="AKB975" s="252"/>
      <c r="AKC975" s="252"/>
      <c r="AKD975" s="252"/>
      <c r="AKE975" s="252"/>
      <c r="AKF975" s="252"/>
      <c r="AKG975" s="252"/>
      <c r="AKH975" s="252"/>
      <c r="AKI975" s="252"/>
      <c r="AKJ975" s="252"/>
      <c r="AKK975" s="252"/>
      <c r="AKL975" s="252"/>
      <c r="AKM975" s="252"/>
      <c r="AKN975" s="252"/>
      <c r="AKO975" s="252"/>
      <c r="AKP975" s="252"/>
      <c r="AKQ975" s="252"/>
      <c r="AKR975" s="252"/>
      <c r="AKS975" s="252"/>
      <c r="AKT975" s="252"/>
      <c r="AKU975" s="252"/>
      <c r="AKV975" s="252"/>
      <c r="AKW975" s="252"/>
      <c r="AKX975" s="252"/>
      <c r="AKY975" s="252"/>
      <c r="AKZ975" s="252"/>
      <c r="ALA975" s="252"/>
      <c r="ALB975" s="252"/>
      <c r="ALC975" s="252"/>
      <c r="ALD975" s="252"/>
      <c r="ALE975" s="252"/>
      <c r="ALF975" s="252"/>
      <c r="ALG975" s="252"/>
      <c r="ALH975" s="252"/>
      <c r="ALI975" s="252"/>
      <c r="ALJ975" s="252"/>
      <c r="ALK975" s="252"/>
      <c r="ALL975" s="252"/>
      <c r="ALM975" s="252"/>
      <c r="ALN975" s="252"/>
      <c r="ALO975" s="252"/>
      <c r="ALP975" s="252"/>
      <c r="ALQ975" s="252"/>
      <c r="ALR975" s="252"/>
      <c r="ALS975" s="252"/>
      <c r="ALT975" s="252"/>
      <c r="ALU975" s="252"/>
      <c r="ALV975" s="252"/>
      <c r="ALW975" s="252"/>
      <c r="ALX975" s="252"/>
      <c r="ALY975" s="252"/>
      <c r="ALZ975" s="252"/>
      <c r="AMA975" s="252"/>
      <c r="AMB975" s="252"/>
      <c r="AMC975" s="252"/>
      <c r="AMD975" s="252"/>
      <c r="AME975" s="252"/>
      <c r="AMF975" s="252"/>
      <c r="AMG975" s="252"/>
      <c r="AMH975" s="252"/>
      <c r="AMI975" s="252"/>
      <c r="AMJ975" s="252"/>
      <c r="AMK975" s="252"/>
      <c r="AML975" s="252"/>
      <c r="AMM975" s="252"/>
      <c r="AMN975" s="252"/>
      <c r="AMO975" s="252"/>
      <c r="AMP975" s="252"/>
      <c r="AMQ975" s="252"/>
      <c r="AMR975" s="252"/>
      <c r="AMS975" s="252"/>
      <c r="AMT975" s="252"/>
      <c r="AMU975" s="252"/>
      <c r="AMV975" s="252"/>
      <c r="AMW975" s="252"/>
      <c r="AMX975" s="252"/>
      <c r="AMY975" s="252"/>
      <c r="AMZ975" s="252"/>
      <c r="ANA975" s="252"/>
      <c r="ANB975" s="252"/>
      <c r="ANC975" s="252"/>
      <c r="AND975" s="252"/>
      <c r="ANE975" s="252"/>
      <c r="ANF975" s="252"/>
      <c r="ANG975" s="252"/>
      <c r="ANH975" s="252"/>
      <c r="ANI975" s="252"/>
      <c r="ANJ975" s="252"/>
      <c r="ANK975" s="252"/>
      <c r="ANL975" s="252"/>
      <c r="ANM975" s="252"/>
      <c r="ANN975" s="252"/>
      <c r="ANO975" s="252"/>
      <c r="ANP975" s="252"/>
      <c r="ANQ975" s="252"/>
      <c r="ANR975" s="252"/>
      <c r="ANS975" s="252"/>
      <c r="ANT975" s="252"/>
      <c r="ANU975" s="252"/>
      <c r="ANV975" s="252"/>
      <c r="ANW975" s="252"/>
      <c r="ANX975" s="252"/>
      <c r="ANY975" s="252"/>
      <c r="ANZ975" s="252"/>
      <c r="AOA975" s="252"/>
      <c r="AOB975" s="252"/>
      <c r="AOC975" s="252"/>
      <c r="AOD975" s="252"/>
      <c r="AOE975" s="252"/>
      <c r="AOF975" s="252"/>
      <c r="AOG975" s="252"/>
      <c r="AOH975" s="252"/>
      <c r="AOI975" s="252"/>
      <c r="AOJ975" s="252"/>
      <c r="AOK975" s="252"/>
      <c r="AOL975" s="252"/>
      <c r="AOM975" s="252"/>
      <c r="AON975" s="252"/>
      <c r="AOO975" s="252"/>
      <c r="AOP975" s="252"/>
      <c r="AOQ975" s="252"/>
      <c r="AOR975" s="252"/>
      <c r="AOS975" s="252"/>
      <c r="AOT975" s="252"/>
      <c r="AOU975" s="252"/>
      <c r="AOV975" s="252"/>
      <c r="AOW975" s="252"/>
      <c r="AOX975" s="252"/>
      <c r="AOY975" s="252"/>
      <c r="AOZ975" s="252"/>
      <c r="APA975" s="252"/>
      <c r="APB975" s="252"/>
      <c r="APC975" s="252"/>
      <c r="APD975" s="252"/>
      <c r="APE975" s="252"/>
      <c r="APF975" s="252"/>
      <c r="APG975" s="252"/>
      <c r="APH975" s="252"/>
      <c r="API975" s="252"/>
      <c r="APJ975" s="252"/>
      <c r="APK975" s="252"/>
      <c r="APL975" s="252"/>
      <c r="APM975" s="252"/>
      <c r="APN975" s="252"/>
      <c r="APO975" s="252"/>
      <c r="APP975" s="252"/>
      <c r="APQ975" s="252"/>
      <c r="APR975" s="252"/>
      <c r="APS975" s="252"/>
      <c r="APT975" s="252"/>
      <c r="APU975" s="252"/>
      <c r="APV975" s="252"/>
      <c r="APW975" s="252"/>
      <c r="APX975" s="252"/>
      <c r="APY975" s="252"/>
      <c r="APZ975" s="252"/>
      <c r="AQA975" s="252"/>
      <c r="AQB975" s="252"/>
      <c r="AQC975" s="252"/>
      <c r="AQD975" s="252"/>
      <c r="AQE975" s="252"/>
      <c r="AQF975" s="252"/>
      <c r="AQG975" s="252"/>
      <c r="AQH975" s="252"/>
      <c r="AQI975" s="252"/>
      <c r="AQJ975" s="252"/>
      <c r="AQK975" s="252"/>
      <c r="AQL975" s="252"/>
      <c r="AQM975" s="252"/>
      <c r="AQN975" s="252"/>
      <c r="AQO975" s="252"/>
      <c r="AQP975" s="252"/>
      <c r="AQQ975" s="252"/>
      <c r="AQR975" s="252"/>
      <c r="AQS975" s="252"/>
      <c r="AQT975" s="252"/>
      <c r="AQU975" s="252"/>
      <c r="AQV975" s="252"/>
      <c r="AQW975" s="252"/>
      <c r="AQX975" s="252"/>
      <c r="AQY975" s="252"/>
      <c r="AQZ975" s="252"/>
      <c r="ARA975" s="252"/>
      <c r="ARB975" s="252"/>
      <c r="ARC975" s="252"/>
      <c r="ARD975" s="252"/>
      <c r="ARE975" s="252"/>
      <c r="ARF975" s="252"/>
      <c r="ARG975" s="252"/>
      <c r="ARH975" s="252"/>
      <c r="ARI975" s="252"/>
      <c r="ARJ975" s="252"/>
      <c r="ARK975" s="252"/>
      <c r="ARL975" s="252"/>
      <c r="ARM975" s="252"/>
      <c r="ARN975" s="252"/>
      <c r="ARO975" s="252"/>
      <c r="ARP975" s="252"/>
      <c r="ARQ975" s="252"/>
      <c r="ARR975" s="252"/>
      <c r="ARS975" s="252"/>
      <c r="ART975" s="252"/>
      <c r="ARU975" s="252"/>
      <c r="ARV975" s="252"/>
      <c r="ARW975" s="252"/>
      <c r="ARX975" s="252"/>
      <c r="ARY975" s="252"/>
      <c r="ARZ975" s="252"/>
      <c r="ASA975" s="252"/>
      <c r="ASB975" s="252"/>
      <c r="ASC975" s="252"/>
      <c r="ASD975" s="252"/>
      <c r="ASE975" s="252"/>
      <c r="ASF975" s="252"/>
      <c r="ASG975" s="252"/>
      <c r="ASH975" s="252"/>
      <c r="ASI975" s="252"/>
      <c r="ASJ975" s="252"/>
      <c r="ASK975" s="252"/>
      <c r="ASL975" s="252"/>
      <c r="ASM975" s="252"/>
      <c r="ASN975" s="252"/>
      <c r="ASO975" s="252"/>
      <c r="ASP975" s="252"/>
      <c r="ASQ975" s="252"/>
      <c r="ASR975" s="252"/>
      <c r="ASS975" s="252"/>
      <c r="AST975" s="252"/>
      <c r="ASU975" s="252"/>
      <c r="ASV975" s="252"/>
      <c r="ASW975" s="252"/>
      <c r="ASX975" s="252"/>
      <c r="ASY975" s="252"/>
      <c r="ASZ975" s="252"/>
      <c r="ATA975" s="252"/>
      <c r="ATB975" s="252"/>
      <c r="ATC975" s="252"/>
      <c r="ATD975" s="252"/>
      <c r="ATE975" s="252"/>
      <c r="ATF975" s="252"/>
      <c r="ATG975" s="252"/>
      <c r="ATH975" s="252"/>
      <c r="ATI975" s="252"/>
      <c r="ATJ975" s="252"/>
      <c r="ATK975" s="252"/>
      <c r="ATL975" s="252"/>
      <c r="ATM975" s="252"/>
      <c r="ATN975" s="252"/>
      <c r="ATO975" s="252"/>
      <c r="ATP975" s="252"/>
      <c r="ATQ975" s="252"/>
      <c r="ATR975" s="252"/>
      <c r="ATS975" s="252"/>
      <c r="ATT975" s="252"/>
      <c r="ATU975" s="252"/>
      <c r="ATV975" s="252"/>
      <c r="ATW975" s="252"/>
      <c r="ATX975" s="252"/>
      <c r="ATY975" s="252"/>
      <c r="ATZ975" s="252"/>
      <c r="AUA975" s="252"/>
      <c r="AUB975" s="252"/>
      <c r="AUC975" s="252"/>
      <c r="AUD975" s="252"/>
      <c r="AUE975" s="252"/>
      <c r="AUF975" s="252"/>
      <c r="AUG975" s="252"/>
      <c r="AUH975" s="252"/>
      <c r="AUI975" s="252"/>
      <c r="AUJ975" s="252"/>
      <c r="AUK975" s="252"/>
      <c r="AUL975" s="252"/>
      <c r="AUM975" s="252"/>
      <c r="AUN975" s="252"/>
      <c r="AUO975" s="252"/>
      <c r="AUP975" s="252"/>
      <c r="AUQ975" s="252"/>
      <c r="AUR975" s="252"/>
      <c r="AUS975" s="252"/>
      <c r="AUT975" s="252"/>
      <c r="AUU975" s="252"/>
      <c r="AUV975" s="252"/>
      <c r="AUW975" s="252"/>
      <c r="AUX975" s="252"/>
      <c r="AUY975" s="252"/>
      <c r="AUZ975" s="252"/>
      <c r="AVA975" s="252"/>
      <c r="AVB975" s="252"/>
      <c r="AVC975" s="252"/>
      <c r="AVD975" s="252"/>
      <c r="AVE975" s="252"/>
      <c r="AVF975" s="252"/>
      <c r="AVG975" s="252"/>
      <c r="AVH975" s="252"/>
      <c r="AVI975" s="252"/>
      <c r="AVJ975" s="252"/>
      <c r="AVK975" s="252"/>
      <c r="AVL975" s="252"/>
      <c r="AVM975" s="252"/>
      <c r="AVN975" s="252"/>
      <c r="AVO975" s="252"/>
      <c r="AVP975" s="252"/>
      <c r="AVQ975" s="252"/>
      <c r="AVR975" s="252"/>
      <c r="AVS975" s="252"/>
      <c r="AVT975" s="252"/>
      <c r="AVU975" s="252"/>
      <c r="AVV975" s="252"/>
      <c r="AVW975" s="252"/>
      <c r="AVX975" s="252"/>
      <c r="AVY975" s="252"/>
      <c r="AVZ975" s="252"/>
      <c r="AWA975" s="252"/>
      <c r="AWB975" s="252"/>
      <c r="AWC975" s="252"/>
      <c r="AWD975" s="252"/>
      <c r="AWE975" s="252"/>
      <c r="AWF975" s="252"/>
      <c r="AWG975" s="252"/>
      <c r="AWH975" s="252"/>
      <c r="AWI975" s="252"/>
      <c r="AWJ975" s="252"/>
      <c r="AWK975" s="252"/>
      <c r="AWL975" s="252"/>
      <c r="AWM975" s="252"/>
      <c r="AWN975" s="252"/>
      <c r="AWO975" s="252"/>
      <c r="AWP975" s="252"/>
      <c r="AWQ975" s="252"/>
      <c r="AWR975" s="252"/>
      <c r="AWS975" s="252"/>
      <c r="AWT975" s="252"/>
      <c r="AWU975" s="252"/>
      <c r="AWV975" s="252"/>
      <c r="AWW975" s="252"/>
      <c r="AWX975" s="252"/>
      <c r="AWY975" s="252"/>
      <c r="AWZ975" s="252"/>
      <c r="AXA975" s="252"/>
      <c r="AXB975" s="252"/>
      <c r="AXC975" s="252"/>
      <c r="AXD975" s="252"/>
      <c r="AXE975" s="252"/>
      <c r="AXF975" s="252"/>
      <c r="AXG975" s="252"/>
      <c r="AXH975" s="252"/>
      <c r="AXI975" s="252"/>
      <c r="AXJ975" s="252"/>
      <c r="AXK975" s="252"/>
      <c r="AXL975" s="252"/>
      <c r="AXM975" s="252"/>
      <c r="AXN975" s="252"/>
      <c r="AXO975" s="252"/>
      <c r="AXP975" s="252"/>
      <c r="AXQ975" s="252"/>
      <c r="AXR975" s="252"/>
      <c r="AXS975" s="252"/>
      <c r="AXT975" s="252"/>
      <c r="AXU975" s="252"/>
      <c r="AXV975" s="252"/>
      <c r="AXW975" s="252"/>
      <c r="AXX975" s="252"/>
      <c r="AXY975" s="252"/>
      <c r="AXZ975" s="252"/>
      <c r="AYA975" s="252"/>
      <c r="AYB975" s="252"/>
      <c r="AYC975" s="252"/>
      <c r="AYD975" s="252"/>
      <c r="AYE975" s="252"/>
      <c r="AYF975" s="252"/>
      <c r="AYG975" s="252"/>
      <c r="AYH975" s="252"/>
      <c r="AYI975" s="252"/>
      <c r="AYJ975" s="252"/>
      <c r="AYK975" s="252"/>
      <c r="AYL975" s="252"/>
      <c r="AYM975" s="252"/>
      <c r="AYN975" s="252"/>
      <c r="AYO975" s="252"/>
      <c r="AYP975" s="252"/>
      <c r="AYQ975" s="252"/>
      <c r="AYR975" s="252"/>
      <c r="AYS975" s="252"/>
      <c r="AYT975" s="252"/>
      <c r="AYU975" s="252"/>
      <c r="AYV975" s="252"/>
      <c r="AYW975" s="252"/>
      <c r="AYX975" s="252"/>
      <c r="AYY975" s="252"/>
      <c r="AYZ975" s="252"/>
      <c r="AZA975" s="252"/>
      <c r="AZB975" s="252"/>
      <c r="AZC975" s="252"/>
      <c r="AZD975" s="252"/>
      <c r="AZE975" s="252"/>
      <c r="AZF975" s="252"/>
      <c r="AZG975" s="252"/>
      <c r="AZH975" s="252"/>
      <c r="AZI975" s="252"/>
      <c r="AZJ975" s="252"/>
      <c r="AZK975" s="252"/>
      <c r="AZL975" s="252"/>
      <c r="AZM975" s="252"/>
      <c r="AZN975" s="252"/>
      <c r="AZO975" s="252"/>
      <c r="AZP975" s="252"/>
      <c r="AZQ975" s="252"/>
      <c r="AZR975" s="252"/>
      <c r="AZS975" s="252"/>
      <c r="AZT975" s="252"/>
      <c r="AZU975" s="252"/>
      <c r="AZV975" s="252"/>
      <c r="AZW975" s="252"/>
      <c r="AZX975" s="252"/>
      <c r="AZY975" s="252"/>
      <c r="AZZ975" s="252"/>
      <c r="BAA975" s="252"/>
      <c r="BAB975" s="252"/>
      <c r="BAC975" s="252"/>
      <c r="BAD975" s="252"/>
      <c r="BAE975" s="252"/>
      <c r="BAF975" s="252"/>
      <c r="BAG975" s="252"/>
      <c r="BAH975" s="252"/>
      <c r="BAI975" s="252"/>
      <c r="BAJ975" s="252"/>
      <c r="BAK975" s="252"/>
      <c r="BAL975" s="252"/>
      <c r="BAM975" s="252"/>
      <c r="BAN975" s="252"/>
      <c r="BAO975" s="252"/>
      <c r="BAP975" s="252"/>
      <c r="BAQ975" s="252"/>
      <c r="BAR975" s="252"/>
      <c r="BAS975" s="252"/>
      <c r="BAT975" s="252"/>
      <c r="BAU975" s="252"/>
      <c r="BAV975" s="252"/>
      <c r="BAW975" s="252"/>
      <c r="BAX975" s="252"/>
      <c r="BAY975" s="252"/>
      <c r="BAZ975" s="252"/>
      <c r="BBA975" s="252"/>
      <c r="BBB975" s="252"/>
      <c r="BBC975" s="252"/>
      <c r="BBD975" s="252"/>
      <c r="BBE975" s="252"/>
      <c r="BBF975" s="252"/>
      <c r="BBG975" s="252"/>
      <c r="BBH975" s="252"/>
      <c r="BBI975" s="252"/>
      <c r="BBJ975" s="252"/>
      <c r="BBK975" s="252"/>
      <c r="BBL975" s="252"/>
      <c r="BBM975" s="252"/>
      <c r="BBN975" s="252"/>
      <c r="BBO975" s="252"/>
      <c r="BBP975" s="252"/>
      <c r="BBQ975" s="252"/>
      <c r="BBR975" s="252"/>
      <c r="BBS975" s="252"/>
      <c r="BBT975" s="252"/>
      <c r="BBU975" s="252"/>
      <c r="BBV975" s="252"/>
      <c r="BBW975" s="252"/>
      <c r="BBX975" s="252"/>
      <c r="BBY975" s="252"/>
      <c r="BBZ975" s="252"/>
      <c r="BCA975" s="252"/>
      <c r="BCB975" s="252"/>
      <c r="BCC975" s="252"/>
      <c r="BCD975" s="252"/>
      <c r="BCE975" s="252"/>
      <c r="BCF975" s="252"/>
      <c r="BCG975" s="252"/>
      <c r="BCH975" s="252"/>
      <c r="BCI975" s="252"/>
      <c r="BCJ975" s="252"/>
      <c r="BCK975" s="252"/>
      <c r="BCL975" s="252"/>
      <c r="BCM975" s="252"/>
      <c r="BCN975" s="252"/>
      <c r="BCO975" s="252"/>
      <c r="BCP975" s="252"/>
      <c r="BCQ975" s="252"/>
      <c r="BCR975" s="252"/>
      <c r="BCS975" s="252"/>
      <c r="BCT975" s="252"/>
      <c r="BCU975" s="252"/>
      <c r="BCV975" s="252"/>
      <c r="BCW975" s="252"/>
      <c r="BCX975" s="252"/>
      <c r="BCY975" s="252"/>
      <c r="BCZ975" s="252"/>
      <c r="BDA975" s="252"/>
      <c r="BDB975" s="252"/>
      <c r="BDC975" s="252"/>
      <c r="BDD975" s="252"/>
      <c r="BDE975" s="252"/>
      <c r="BDF975" s="252"/>
      <c r="BDG975" s="252"/>
      <c r="BDH975" s="252"/>
      <c r="BDI975" s="252"/>
      <c r="BDJ975" s="252"/>
      <c r="BDK975" s="252"/>
      <c r="BDL975" s="252"/>
      <c r="BDM975" s="252"/>
      <c r="BDN975" s="252"/>
      <c r="BDO975" s="252"/>
      <c r="BDP975" s="252"/>
      <c r="BDQ975" s="252"/>
      <c r="BDR975" s="252"/>
      <c r="BDS975" s="252"/>
      <c r="BDT975" s="252"/>
      <c r="BDU975" s="252"/>
      <c r="BDV975" s="252"/>
      <c r="BDW975" s="252"/>
      <c r="BDX975" s="252"/>
      <c r="BDY975" s="252"/>
      <c r="BDZ975" s="252"/>
      <c r="BEA975" s="252"/>
      <c r="BEB975" s="252"/>
      <c r="BEC975" s="252"/>
      <c r="BED975" s="252"/>
      <c r="BEE975" s="252"/>
      <c r="BEF975" s="252"/>
      <c r="BEG975" s="252"/>
      <c r="BEH975" s="252"/>
      <c r="BEI975" s="252"/>
      <c r="BEJ975" s="252"/>
      <c r="BEK975" s="252"/>
      <c r="BEL975" s="252"/>
      <c r="BEM975" s="252"/>
      <c r="BEN975" s="252"/>
      <c r="BEO975" s="252"/>
      <c r="BEP975" s="252"/>
      <c r="BEQ975" s="252"/>
      <c r="BER975" s="252"/>
      <c r="BES975" s="252"/>
      <c r="BET975" s="252"/>
      <c r="BEU975" s="252"/>
      <c r="BEV975" s="252"/>
      <c r="BEW975" s="252"/>
      <c r="BEX975" s="252"/>
      <c r="BEY975" s="252"/>
      <c r="BEZ975" s="252"/>
      <c r="BFA975" s="252"/>
      <c r="BFB975" s="252"/>
      <c r="BFC975" s="252"/>
      <c r="BFD975" s="252"/>
      <c r="BFE975" s="252"/>
      <c r="BFF975" s="252"/>
      <c r="BFG975" s="252"/>
      <c r="BFH975" s="252"/>
      <c r="BFI975" s="252"/>
      <c r="BFJ975" s="252"/>
      <c r="BFK975" s="252"/>
      <c r="BFL975" s="252"/>
      <c r="BFM975" s="252"/>
      <c r="BFN975" s="252"/>
      <c r="BFO975" s="252"/>
      <c r="BFP975" s="252"/>
      <c r="BFQ975" s="252"/>
      <c r="BFR975" s="252"/>
      <c r="BFS975" s="252"/>
      <c r="BFT975" s="252"/>
      <c r="BFU975" s="252"/>
      <c r="BFV975" s="252"/>
      <c r="BFW975" s="252"/>
      <c r="BFX975" s="252"/>
      <c r="BFY975" s="252"/>
      <c r="BFZ975" s="252"/>
      <c r="BGA975" s="252"/>
      <c r="BGB975" s="252"/>
      <c r="BGC975" s="252"/>
      <c r="BGD975" s="252"/>
      <c r="BGE975" s="252"/>
      <c r="BGF975" s="252"/>
      <c r="BGG975" s="252"/>
      <c r="BGH975" s="252"/>
      <c r="BGI975" s="252"/>
      <c r="BGJ975" s="252"/>
      <c r="BGK975" s="252"/>
      <c r="BGL975" s="252"/>
      <c r="BGM975" s="252"/>
      <c r="BGN975" s="252"/>
      <c r="BGO975" s="252"/>
      <c r="BGP975" s="252"/>
      <c r="BGQ975" s="252"/>
      <c r="BGR975" s="252"/>
      <c r="BGS975" s="252"/>
      <c r="BGT975" s="252"/>
      <c r="BGU975" s="252"/>
      <c r="BGV975" s="252"/>
      <c r="BGW975" s="252"/>
      <c r="BGX975" s="252"/>
      <c r="BGY975" s="252"/>
      <c r="BGZ975" s="252"/>
      <c r="BHA975" s="252"/>
      <c r="BHB975" s="252"/>
      <c r="BHC975" s="252"/>
      <c r="BHD975" s="252"/>
      <c r="BHE975" s="252"/>
      <c r="BHF975" s="252"/>
      <c r="BHG975" s="252"/>
      <c r="BHH975" s="252"/>
      <c r="BHI975" s="252"/>
      <c r="BHJ975" s="252"/>
      <c r="BHK975" s="252"/>
      <c r="BHL975" s="252"/>
      <c r="BHM975" s="252"/>
      <c r="BHN975" s="252"/>
      <c r="BHO975" s="252"/>
      <c r="BHP975" s="252"/>
      <c r="BHQ975" s="252"/>
      <c r="BHR975" s="252"/>
      <c r="BHS975" s="252"/>
      <c r="BHT975" s="252"/>
      <c r="BHU975" s="252"/>
      <c r="BHV975" s="252"/>
      <c r="BHW975" s="252"/>
      <c r="BHX975" s="252"/>
      <c r="BHY975" s="252"/>
      <c r="BHZ975" s="252"/>
      <c r="BIA975" s="252"/>
      <c r="BIB975" s="252"/>
      <c r="BIC975" s="252"/>
      <c r="BID975" s="252"/>
      <c r="BIE975" s="252"/>
      <c r="BIF975" s="252"/>
      <c r="BIG975" s="252"/>
      <c r="BIH975" s="252"/>
      <c r="BII975" s="252"/>
      <c r="BIJ975" s="252"/>
      <c r="BIK975" s="252"/>
      <c r="BIL975" s="252"/>
      <c r="BIM975" s="252"/>
      <c r="BIN975" s="252"/>
      <c r="BIO975" s="252"/>
      <c r="BIP975" s="252"/>
      <c r="BIQ975" s="252"/>
      <c r="BIR975" s="252"/>
      <c r="BIS975" s="252"/>
      <c r="BIT975" s="252"/>
      <c r="BIU975" s="252"/>
      <c r="BIV975" s="252"/>
      <c r="BIW975" s="252"/>
      <c r="BIX975" s="252"/>
      <c r="BIY975" s="252"/>
      <c r="BIZ975" s="252"/>
      <c r="BJA975" s="252"/>
      <c r="BJB975" s="252"/>
      <c r="BJC975" s="252"/>
      <c r="BJD975" s="252"/>
      <c r="BJE975" s="252"/>
      <c r="BJF975" s="252"/>
      <c r="BJG975" s="252"/>
      <c r="BJH975" s="252"/>
      <c r="BJI975" s="252"/>
      <c r="BJJ975" s="252"/>
      <c r="BJK975" s="252"/>
      <c r="BJL975" s="252"/>
      <c r="BJM975" s="252"/>
      <c r="BJN975" s="252"/>
      <c r="BJO975" s="252"/>
      <c r="BJP975" s="252"/>
      <c r="BJQ975" s="252"/>
      <c r="BJR975" s="252"/>
      <c r="BJS975" s="252"/>
      <c r="BJT975" s="252"/>
      <c r="BJU975" s="252"/>
      <c r="BJV975" s="252"/>
      <c r="BJW975" s="252"/>
      <c r="BJX975" s="252"/>
      <c r="BJY975" s="252"/>
      <c r="BJZ975" s="252"/>
      <c r="BKA975" s="252"/>
      <c r="BKB975" s="252"/>
      <c r="BKC975" s="252"/>
      <c r="BKD975" s="252"/>
      <c r="BKE975" s="252"/>
      <c r="BKF975" s="252"/>
      <c r="BKG975" s="252"/>
      <c r="BKH975" s="252"/>
      <c r="BKI975" s="252"/>
      <c r="BKJ975" s="252"/>
      <c r="BKK975" s="252"/>
      <c r="BKL975" s="252"/>
      <c r="BKM975" s="252"/>
      <c r="BKN975" s="252"/>
      <c r="BKO975" s="252"/>
      <c r="BKP975" s="252"/>
      <c r="BKQ975" s="252"/>
      <c r="BKR975" s="252"/>
      <c r="BKS975" s="252"/>
      <c r="BKT975" s="252"/>
      <c r="BKU975" s="252"/>
      <c r="BKV975" s="252"/>
      <c r="BKW975" s="252"/>
      <c r="BKX975" s="252"/>
      <c r="BKY975" s="252"/>
      <c r="BKZ975" s="252"/>
      <c r="BLA975" s="252"/>
      <c r="BLB975" s="252"/>
      <c r="BLC975" s="252"/>
      <c r="BLD975" s="252"/>
      <c r="BLE975" s="252"/>
      <c r="BLF975" s="252"/>
      <c r="BLG975" s="252"/>
      <c r="BLH975" s="252"/>
      <c r="BLI975" s="252"/>
      <c r="BLJ975" s="252"/>
      <c r="BLK975" s="252"/>
      <c r="BLL975" s="252"/>
      <c r="BLM975" s="252"/>
      <c r="BLN975" s="252"/>
      <c r="BLO975" s="252"/>
      <c r="BLP975" s="252"/>
      <c r="BLQ975" s="252"/>
      <c r="BLR975" s="252"/>
      <c r="BLS975" s="252"/>
      <c r="BLT975" s="252"/>
      <c r="BLU975" s="252"/>
      <c r="BLV975" s="252"/>
      <c r="BLW975" s="252"/>
      <c r="BLX975" s="252"/>
      <c r="BLY975" s="252"/>
      <c r="BLZ975" s="252"/>
      <c r="BMA975" s="252"/>
      <c r="BMB975" s="252"/>
      <c r="BMC975" s="252"/>
      <c r="BMD975" s="252"/>
      <c r="BME975" s="252"/>
      <c r="BMF975" s="252"/>
      <c r="BMG975" s="252"/>
      <c r="BMH975" s="252"/>
      <c r="BMI975" s="252"/>
      <c r="BMJ975" s="252"/>
      <c r="BMK975" s="252"/>
      <c r="BML975" s="252"/>
      <c r="BMM975" s="252"/>
      <c r="BMN975" s="252"/>
      <c r="BMO975" s="252"/>
      <c r="BMP975" s="252"/>
      <c r="BMQ975" s="252"/>
      <c r="BMR975" s="252"/>
      <c r="BMS975" s="252"/>
      <c r="BMT975" s="252"/>
      <c r="BMU975" s="252"/>
      <c r="BMV975" s="252"/>
      <c r="BMW975" s="252"/>
      <c r="BMX975" s="252"/>
      <c r="BMY975" s="252"/>
      <c r="BMZ975" s="252"/>
      <c r="BNA975" s="252"/>
      <c r="BNB975" s="252"/>
      <c r="BNC975" s="252"/>
      <c r="BND975" s="252"/>
      <c r="BNE975" s="252"/>
      <c r="BNF975" s="252"/>
      <c r="BNG975" s="252"/>
      <c r="BNH975" s="252"/>
      <c r="BNI975" s="252"/>
      <c r="BNJ975" s="252"/>
      <c r="BNK975" s="252"/>
      <c r="BNL975" s="252"/>
      <c r="BNM975" s="252"/>
      <c r="BNN975" s="252"/>
      <c r="BNO975" s="252"/>
      <c r="BNP975" s="252"/>
      <c r="BNQ975" s="252"/>
      <c r="BNR975" s="252"/>
      <c r="BNS975" s="252"/>
      <c r="BNT975" s="252"/>
      <c r="BNU975" s="252"/>
      <c r="BNV975" s="252"/>
      <c r="BNW975" s="252"/>
      <c r="BNX975" s="252"/>
      <c r="BNY975" s="252"/>
      <c r="BNZ975" s="252"/>
      <c r="BOA975" s="252"/>
      <c r="BOB975" s="252"/>
      <c r="BOC975" s="252"/>
      <c r="BOD975" s="252"/>
      <c r="BOE975" s="252"/>
      <c r="BOF975" s="252"/>
      <c r="BOG975" s="252"/>
      <c r="BOH975" s="252"/>
      <c r="BOI975" s="252"/>
      <c r="BOJ975" s="252"/>
      <c r="BOK975" s="252"/>
      <c r="BOL975" s="252"/>
      <c r="BOM975" s="252"/>
      <c r="BON975" s="252"/>
      <c r="BOO975" s="252"/>
      <c r="BOP975" s="252"/>
      <c r="BOQ975" s="252"/>
      <c r="BOR975" s="252"/>
      <c r="BOS975" s="252"/>
      <c r="BOT975" s="252"/>
      <c r="BOU975" s="252"/>
      <c r="BOV975" s="252"/>
      <c r="BOW975" s="252"/>
      <c r="BOX975" s="252"/>
      <c r="BOY975" s="252"/>
      <c r="BOZ975" s="252"/>
      <c r="BPA975" s="252"/>
      <c r="BPB975" s="252"/>
      <c r="BPC975" s="252"/>
      <c r="BPD975" s="252"/>
      <c r="BPE975" s="252"/>
      <c r="BPF975" s="252"/>
      <c r="BPG975" s="252"/>
      <c r="BPH975" s="252"/>
      <c r="BPI975" s="252"/>
      <c r="BPJ975" s="252"/>
      <c r="BPK975" s="252"/>
      <c r="BPL975" s="252"/>
      <c r="BPM975" s="252"/>
      <c r="BPN975" s="252"/>
      <c r="BPO975" s="252"/>
      <c r="BPP975" s="252"/>
      <c r="BPQ975" s="252"/>
      <c r="BPR975" s="252"/>
      <c r="BPS975" s="252"/>
      <c r="BPT975" s="252"/>
      <c r="BPU975" s="252"/>
      <c r="BPV975" s="252"/>
      <c r="BPW975" s="252"/>
      <c r="BPX975" s="252"/>
      <c r="BPY975" s="252"/>
      <c r="BPZ975" s="252"/>
      <c r="BQA975" s="252"/>
      <c r="BQB975" s="252"/>
      <c r="BQC975" s="252"/>
      <c r="BQD975" s="252"/>
      <c r="BQE975" s="252"/>
      <c r="BQF975" s="252"/>
      <c r="BQG975" s="252"/>
      <c r="BQH975" s="252"/>
      <c r="BQI975" s="252"/>
      <c r="BQJ975" s="252"/>
      <c r="BQK975" s="252"/>
      <c r="BQL975" s="252"/>
      <c r="BQM975" s="252"/>
      <c r="BQN975" s="252"/>
      <c r="BQO975" s="252"/>
      <c r="BQP975" s="252"/>
      <c r="BQQ975" s="252"/>
      <c r="BQR975" s="252"/>
      <c r="BQS975" s="252"/>
      <c r="BQT975" s="252"/>
      <c r="BQU975" s="252"/>
      <c r="BQV975" s="252"/>
      <c r="BQW975" s="252"/>
      <c r="BQX975" s="252"/>
      <c r="BQY975" s="252"/>
      <c r="BQZ975" s="252"/>
      <c r="BRA975" s="252"/>
      <c r="BRB975" s="252"/>
      <c r="BRC975" s="252"/>
      <c r="BRD975" s="252"/>
      <c r="BRE975" s="252"/>
      <c r="BRF975" s="252"/>
      <c r="BRG975" s="252"/>
      <c r="BRH975" s="252"/>
      <c r="BRI975" s="252"/>
      <c r="BRJ975" s="252"/>
      <c r="BRK975" s="252"/>
      <c r="BRL975" s="252"/>
      <c r="BRM975" s="252"/>
      <c r="BRN975" s="252"/>
      <c r="BRO975" s="252"/>
      <c r="BRP975" s="252"/>
      <c r="BRQ975" s="252"/>
      <c r="BRR975" s="252"/>
      <c r="BRS975" s="252"/>
      <c r="BRT975" s="252"/>
      <c r="BRU975" s="252"/>
      <c r="BRV975" s="252"/>
      <c r="BRW975" s="252"/>
      <c r="BRX975" s="252"/>
      <c r="BRY975" s="252"/>
      <c r="BRZ975" s="252"/>
      <c r="BSA975" s="252"/>
      <c r="BSB975" s="252"/>
      <c r="BSC975" s="252"/>
      <c r="BSD975" s="252"/>
      <c r="BSE975" s="252"/>
      <c r="BSF975" s="252"/>
      <c r="BSG975" s="252"/>
      <c r="BSH975" s="252"/>
      <c r="BSI975" s="252"/>
      <c r="BSJ975" s="252"/>
      <c r="BSK975" s="252"/>
      <c r="BSL975" s="252"/>
      <c r="BSM975" s="252"/>
      <c r="BSN975" s="252"/>
      <c r="BSO975" s="252"/>
      <c r="BSP975" s="252"/>
      <c r="BSQ975" s="252"/>
      <c r="BSR975" s="252"/>
      <c r="BSS975" s="252"/>
      <c r="BST975" s="252"/>
      <c r="BSU975" s="252"/>
      <c r="BSV975" s="252"/>
      <c r="BSW975" s="252"/>
      <c r="BSX975" s="252"/>
      <c r="BSY975" s="252"/>
      <c r="BSZ975" s="252"/>
      <c r="BTA975" s="252"/>
      <c r="BTB975" s="252"/>
      <c r="BTC975" s="252"/>
      <c r="BTD975" s="252"/>
      <c r="BTE975" s="252"/>
      <c r="BTF975" s="252"/>
      <c r="BTG975" s="252"/>
      <c r="BTH975" s="252"/>
      <c r="BTI975" s="252"/>
      <c r="BTJ975" s="252"/>
      <c r="BTK975" s="252"/>
      <c r="BTL975" s="252"/>
      <c r="BTM975" s="252"/>
      <c r="BTN975" s="252"/>
      <c r="BTO975" s="252"/>
      <c r="BTP975" s="252"/>
      <c r="BTQ975" s="252"/>
      <c r="BTR975" s="252"/>
      <c r="BTS975" s="252"/>
      <c r="BTT975" s="252"/>
      <c r="BTU975" s="252"/>
      <c r="BTV975" s="252"/>
      <c r="BTW975" s="252"/>
      <c r="BTX975" s="252"/>
      <c r="BTY975" s="252"/>
      <c r="BTZ975" s="252"/>
      <c r="BUA975" s="252"/>
      <c r="BUB975" s="252"/>
      <c r="BUC975" s="252"/>
      <c r="BUD975" s="252"/>
      <c r="BUE975" s="252"/>
      <c r="BUF975" s="252"/>
      <c r="BUG975" s="252"/>
      <c r="BUH975" s="252"/>
      <c r="BUI975" s="252"/>
      <c r="BUJ975" s="252"/>
      <c r="BUK975" s="252"/>
      <c r="BUL975" s="252"/>
      <c r="BUM975" s="252"/>
      <c r="BUN975" s="252"/>
      <c r="BUO975" s="252"/>
      <c r="BUP975" s="252"/>
      <c r="BUQ975" s="252"/>
      <c r="BUR975" s="252"/>
      <c r="BUS975" s="252"/>
      <c r="BUT975" s="252"/>
      <c r="BUU975" s="252"/>
      <c r="BUV975" s="252"/>
      <c r="BUW975" s="252"/>
      <c r="BUX975" s="252"/>
      <c r="BUY975" s="252"/>
      <c r="BUZ975" s="252"/>
      <c r="BVA975" s="252"/>
      <c r="BVB975" s="252"/>
      <c r="BVC975" s="252"/>
      <c r="BVD975" s="252"/>
      <c r="BVE975" s="252"/>
      <c r="BVF975" s="252"/>
      <c r="BVG975" s="252"/>
      <c r="BVH975" s="252"/>
      <c r="BVI975" s="252"/>
      <c r="BVJ975" s="252"/>
      <c r="BVK975" s="252"/>
      <c r="BVL975" s="252"/>
      <c r="BVM975" s="252"/>
      <c r="BVN975" s="252"/>
      <c r="BVO975" s="252"/>
      <c r="BVP975" s="252"/>
      <c r="BVQ975" s="252"/>
      <c r="BVR975" s="252"/>
      <c r="BVS975" s="252"/>
      <c r="BVT975" s="252"/>
      <c r="BVU975" s="252"/>
      <c r="BVV975" s="252"/>
      <c r="BVW975" s="252"/>
      <c r="BVX975" s="252"/>
      <c r="BVY975" s="252"/>
      <c r="BVZ975" s="252"/>
      <c r="BWA975" s="252"/>
      <c r="BWB975" s="252"/>
      <c r="BWC975" s="252"/>
      <c r="BWD975" s="252"/>
      <c r="BWE975" s="252"/>
      <c r="BWF975" s="252"/>
      <c r="BWG975" s="252"/>
      <c r="BWH975" s="252"/>
      <c r="BWI975" s="252"/>
      <c r="BWJ975" s="252"/>
      <c r="BWK975" s="252"/>
      <c r="BWL975" s="252"/>
      <c r="BWM975" s="252"/>
      <c r="BWN975" s="252"/>
      <c r="BWO975" s="252"/>
      <c r="BWP975" s="252"/>
      <c r="BWQ975" s="252"/>
      <c r="BWR975" s="252"/>
      <c r="BWS975" s="252"/>
      <c r="BWT975" s="252"/>
      <c r="BWU975" s="252"/>
      <c r="BWV975" s="252"/>
      <c r="BWW975" s="252"/>
      <c r="BWX975" s="252"/>
      <c r="BWY975" s="252"/>
      <c r="BWZ975" s="252"/>
      <c r="BXA975" s="252"/>
      <c r="BXB975" s="252"/>
      <c r="BXC975" s="252"/>
      <c r="BXD975" s="252"/>
      <c r="BXE975" s="252"/>
      <c r="BXF975" s="252"/>
      <c r="BXG975" s="252"/>
      <c r="BXH975" s="252"/>
      <c r="BXI975" s="252"/>
      <c r="BXJ975" s="252"/>
      <c r="BXK975" s="252"/>
      <c r="BXL975" s="252"/>
      <c r="BXM975" s="252"/>
      <c r="BXN975" s="252"/>
      <c r="BXO975" s="252"/>
      <c r="BXP975" s="252"/>
      <c r="BXQ975" s="252"/>
      <c r="BXR975" s="252"/>
      <c r="BXS975" s="252"/>
      <c r="BXT975" s="252"/>
      <c r="BXU975" s="252"/>
      <c r="BXV975" s="252"/>
      <c r="BXW975" s="252"/>
      <c r="BXX975" s="252"/>
      <c r="BXY975" s="252"/>
      <c r="BXZ975" s="252"/>
      <c r="BYA975" s="252"/>
      <c r="BYB975" s="252"/>
      <c r="BYC975" s="252"/>
      <c r="BYD975" s="252"/>
      <c r="BYE975" s="252"/>
      <c r="BYF975" s="252"/>
      <c r="BYG975" s="252"/>
      <c r="BYH975" s="252"/>
      <c r="BYI975" s="252"/>
      <c r="BYJ975" s="252"/>
      <c r="BYK975" s="252"/>
      <c r="BYL975" s="252"/>
      <c r="BYM975" s="252"/>
      <c r="BYN975" s="252"/>
      <c r="BYO975" s="252"/>
      <c r="BYP975" s="252"/>
      <c r="BYQ975" s="252"/>
      <c r="BYR975" s="252"/>
      <c r="BYS975" s="252"/>
      <c r="BYT975" s="252"/>
      <c r="BYU975" s="252"/>
      <c r="BYV975" s="252"/>
      <c r="BYW975" s="252"/>
      <c r="BYX975" s="252"/>
      <c r="BYY975" s="252"/>
      <c r="BYZ975" s="252"/>
      <c r="BZA975" s="252"/>
      <c r="BZB975" s="252"/>
      <c r="BZC975" s="252"/>
      <c r="BZD975" s="252"/>
      <c r="BZE975" s="252"/>
      <c r="BZF975" s="252"/>
      <c r="BZG975" s="252"/>
      <c r="BZH975" s="252"/>
      <c r="BZI975" s="252"/>
      <c r="BZJ975" s="252"/>
      <c r="BZK975" s="252"/>
      <c r="BZL975" s="252"/>
      <c r="BZM975" s="252"/>
      <c r="BZN975" s="252"/>
      <c r="BZO975" s="252"/>
      <c r="BZP975" s="252"/>
      <c r="BZQ975" s="252"/>
      <c r="BZR975" s="252"/>
      <c r="BZS975" s="252"/>
      <c r="BZT975" s="252"/>
      <c r="BZU975" s="252"/>
      <c r="BZV975" s="252"/>
      <c r="BZW975" s="252"/>
      <c r="BZX975" s="252"/>
      <c r="BZY975" s="252"/>
      <c r="BZZ975" s="252"/>
      <c r="CAA975" s="252"/>
      <c r="CAB975" s="252"/>
      <c r="CAC975" s="252"/>
      <c r="CAD975" s="252"/>
      <c r="CAE975" s="252"/>
      <c r="CAF975" s="252"/>
      <c r="CAG975" s="252"/>
      <c r="CAH975" s="252"/>
      <c r="CAI975" s="252"/>
      <c r="CAJ975" s="252"/>
      <c r="CAK975" s="252"/>
      <c r="CAL975" s="252"/>
      <c r="CAM975" s="252"/>
      <c r="CAN975" s="252"/>
      <c r="CAO975" s="252"/>
      <c r="CAP975" s="252"/>
      <c r="CAQ975" s="252"/>
      <c r="CAR975" s="252"/>
      <c r="CAS975" s="252"/>
      <c r="CAT975" s="252"/>
      <c r="CAU975" s="252"/>
      <c r="CAV975" s="252"/>
      <c r="CAW975" s="252"/>
      <c r="CAX975" s="252"/>
      <c r="CAY975" s="252"/>
      <c r="CAZ975" s="252"/>
      <c r="CBA975" s="252"/>
      <c r="CBB975" s="252"/>
      <c r="CBC975" s="252"/>
      <c r="CBD975" s="252"/>
      <c r="CBE975" s="252"/>
      <c r="CBF975" s="252"/>
      <c r="CBG975" s="252"/>
      <c r="CBH975" s="252"/>
      <c r="CBI975" s="252"/>
      <c r="CBJ975" s="252"/>
      <c r="CBK975" s="252"/>
      <c r="CBL975" s="252"/>
      <c r="CBM975" s="252"/>
      <c r="CBN975" s="252"/>
      <c r="CBO975" s="252"/>
      <c r="CBP975" s="252"/>
      <c r="CBQ975" s="252"/>
      <c r="CBR975" s="252"/>
      <c r="CBS975" s="252"/>
      <c r="CBT975" s="252"/>
      <c r="CBU975" s="252"/>
      <c r="CBV975" s="252"/>
      <c r="CBW975" s="252"/>
      <c r="CBX975" s="252"/>
      <c r="CBY975" s="252"/>
      <c r="CBZ975" s="252"/>
      <c r="CCA975" s="252"/>
      <c r="CCB975" s="252"/>
      <c r="CCC975" s="252"/>
      <c r="CCD975" s="252"/>
      <c r="CCE975" s="252"/>
      <c r="CCF975" s="252"/>
      <c r="CCG975" s="252"/>
      <c r="CCH975" s="252"/>
      <c r="CCI975" s="252"/>
      <c r="CCJ975" s="252"/>
      <c r="CCK975" s="252"/>
      <c r="CCL975" s="252"/>
      <c r="CCM975" s="252"/>
      <c r="CCN975" s="252"/>
      <c r="CCO975" s="252"/>
      <c r="CCP975" s="252"/>
      <c r="CCQ975" s="252"/>
      <c r="CCR975" s="252"/>
      <c r="CCS975" s="252"/>
      <c r="CCT975" s="252"/>
      <c r="CCU975" s="252"/>
      <c r="CCV975" s="252"/>
      <c r="CCW975" s="252"/>
      <c r="CCX975" s="252"/>
      <c r="CCY975" s="252"/>
      <c r="CCZ975" s="252"/>
      <c r="CDA975" s="252"/>
      <c r="CDB975" s="252"/>
      <c r="CDC975" s="252"/>
      <c r="CDD975" s="252"/>
      <c r="CDE975" s="252"/>
      <c r="CDF975" s="252"/>
      <c r="CDG975" s="252"/>
      <c r="CDH975" s="252"/>
      <c r="CDI975" s="252"/>
      <c r="CDJ975" s="252"/>
      <c r="CDK975" s="252"/>
      <c r="CDL975" s="252"/>
      <c r="CDM975" s="252"/>
      <c r="CDN975" s="252"/>
      <c r="CDO975" s="252"/>
      <c r="CDP975" s="252"/>
      <c r="CDQ975" s="252"/>
      <c r="CDR975" s="252"/>
      <c r="CDS975" s="252"/>
      <c r="CDT975" s="252"/>
      <c r="CDU975" s="252"/>
      <c r="CDV975" s="252"/>
      <c r="CDW975" s="252"/>
      <c r="CDX975" s="252"/>
      <c r="CDY975" s="252"/>
      <c r="CDZ975" s="252"/>
      <c r="CEA975" s="252"/>
      <c r="CEB975" s="252"/>
      <c r="CEC975" s="252"/>
      <c r="CED975" s="252"/>
      <c r="CEE975" s="252"/>
      <c r="CEF975" s="252"/>
      <c r="CEG975" s="252"/>
      <c r="CEH975" s="252"/>
      <c r="CEI975" s="252"/>
      <c r="CEJ975" s="252"/>
      <c r="CEK975" s="252"/>
      <c r="CEL975" s="252"/>
      <c r="CEM975" s="252"/>
      <c r="CEN975" s="252"/>
      <c r="CEO975" s="252"/>
      <c r="CEP975" s="252"/>
      <c r="CEQ975" s="252"/>
      <c r="CER975" s="252"/>
      <c r="CES975" s="252"/>
      <c r="CET975" s="252"/>
      <c r="CEU975" s="252"/>
      <c r="CEV975" s="252"/>
      <c r="CEW975" s="252"/>
      <c r="CEX975" s="252"/>
      <c r="CEY975" s="252"/>
      <c r="CEZ975" s="252"/>
      <c r="CFA975" s="252"/>
      <c r="CFB975" s="252"/>
      <c r="CFC975" s="252"/>
      <c r="CFD975" s="252"/>
      <c r="CFE975" s="252"/>
      <c r="CFF975" s="252"/>
      <c r="CFG975" s="252"/>
      <c r="CFH975" s="252"/>
      <c r="CFI975" s="252"/>
      <c r="CFJ975" s="252"/>
      <c r="CFK975" s="252"/>
      <c r="CFL975" s="252"/>
      <c r="CFM975" s="252"/>
      <c r="CFN975" s="252"/>
      <c r="CFO975" s="252"/>
      <c r="CFP975" s="252"/>
      <c r="CFQ975" s="252"/>
      <c r="CFR975" s="252"/>
      <c r="CFS975" s="252"/>
      <c r="CFT975" s="252"/>
      <c r="CFU975" s="252"/>
      <c r="CFV975" s="252"/>
      <c r="CFW975" s="252"/>
      <c r="CFX975" s="252"/>
      <c r="CFY975" s="252"/>
      <c r="CFZ975" s="252"/>
      <c r="CGA975" s="252"/>
      <c r="CGB975" s="252"/>
      <c r="CGC975" s="252"/>
      <c r="CGD975" s="252"/>
      <c r="CGE975" s="252"/>
      <c r="CGF975" s="252"/>
      <c r="CGG975" s="252"/>
      <c r="CGH975" s="252"/>
      <c r="CGI975" s="252"/>
      <c r="CGJ975" s="252"/>
      <c r="CGK975" s="252"/>
      <c r="CGL975" s="252"/>
      <c r="CGM975" s="252"/>
      <c r="CGN975" s="252"/>
      <c r="CGO975" s="252"/>
      <c r="CGP975" s="252"/>
      <c r="CGQ975" s="252"/>
      <c r="CGR975" s="252"/>
      <c r="CGS975" s="252"/>
      <c r="CGT975" s="252"/>
      <c r="CGU975" s="252"/>
      <c r="CGV975" s="252"/>
      <c r="CGW975" s="252"/>
      <c r="CGX975" s="252"/>
      <c r="CGY975" s="252"/>
      <c r="CGZ975" s="252"/>
      <c r="CHA975" s="252"/>
      <c r="CHB975" s="252"/>
      <c r="CHC975" s="252"/>
      <c r="CHD975" s="252"/>
      <c r="CHE975" s="252"/>
      <c r="CHF975" s="252"/>
      <c r="CHG975" s="252"/>
      <c r="CHH975" s="252"/>
      <c r="CHI975" s="252"/>
      <c r="CHJ975" s="252"/>
      <c r="CHK975" s="252"/>
      <c r="CHL975" s="252"/>
      <c r="CHM975" s="252"/>
      <c r="CHN975" s="252"/>
      <c r="CHO975" s="252"/>
      <c r="CHP975" s="252"/>
      <c r="CHQ975" s="252"/>
      <c r="CHR975" s="252"/>
      <c r="CHS975" s="252"/>
      <c r="CHT975" s="252"/>
      <c r="CHU975" s="252"/>
      <c r="CHV975" s="252"/>
      <c r="CHW975" s="252"/>
      <c r="CHX975" s="252"/>
      <c r="CHY975" s="252"/>
      <c r="CHZ975" s="252"/>
      <c r="CIA975" s="252"/>
      <c r="CIB975" s="252"/>
      <c r="CIC975" s="252"/>
      <c r="CID975" s="252"/>
      <c r="CIE975" s="252"/>
      <c r="CIF975" s="252"/>
      <c r="CIG975" s="252"/>
      <c r="CIH975" s="252"/>
      <c r="CII975" s="252"/>
      <c r="CIJ975" s="252"/>
      <c r="CIK975" s="252"/>
      <c r="CIL975" s="252"/>
      <c r="CIM975" s="252"/>
      <c r="CIN975" s="252"/>
      <c r="CIO975" s="252"/>
      <c r="CIP975" s="252"/>
      <c r="CIQ975" s="252"/>
      <c r="CIR975" s="252"/>
      <c r="CIS975" s="252"/>
      <c r="CIT975" s="252"/>
      <c r="CIU975" s="252"/>
      <c r="CIV975" s="252"/>
      <c r="CIW975" s="252"/>
      <c r="CIX975" s="252"/>
      <c r="CIY975" s="252"/>
      <c r="CIZ975" s="252"/>
      <c r="CJA975" s="252"/>
      <c r="CJB975" s="252"/>
      <c r="CJC975" s="252"/>
      <c r="CJD975" s="252"/>
      <c r="CJE975" s="252"/>
      <c r="CJF975" s="252"/>
      <c r="CJG975" s="252"/>
      <c r="CJH975" s="252"/>
      <c r="CJI975" s="252"/>
      <c r="CJJ975" s="252"/>
      <c r="CJK975" s="252"/>
      <c r="CJL975" s="252"/>
      <c r="CJM975" s="252"/>
      <c r="CJN975" s="252"/>
      <c r="CJO975" s="252"/>
      <c r="CJP975" s="252"/>
      <c r="CJQ975" s="252"/>
      <c r="CJR975" s="252"/>
      <c r="CJS975" s="252"/>
      <c r="CJT975" s="252"/>
      <c r="CJU975" s="252"/>
      <c r="CJV975" s="252"/>
      <c r="CJW975" s="252"/>
      <c r="CJX975" s="252"/>
      <c r="CJY975" s="252"/>
      <c r="CJZ975" s="252"/>
      <c r="CKA975" s="252"/>
      <c r="CKB975" s="252"/>
      <c r="CKC975" s="252"/>
      <c r="CKD975" s="252"/>
      <c r="CKE975" s="252"/>
      <c r="CKF975" s="252"/>
      <c r="CKG975" s="252"/>
      <c r="CKH975" s="252"/>
      <c r="CKI975" s="252"/>
      <c r="CKJ975" s="252"/>
      <c r="CKK975" s="252"/>
      <c r="CKL975" s="252"/>
      <c r="CKM975" s="252"/>
      <c r="CKN975" s="252"/>
      <c r="CKO975" s="252"/>
      <c r="CKP975" s="252"/>
      <c r="CKQ975" s="252"/>
      <c r="CKR975" s="252"/>
      <c r="CKS975" s="252"/>
      <c r="CKT975" s="252"/>
      <c r="CKU975" s="252"/>
      <c r="CKV975" s="252"/>
      <c r="CKW975" s="252"/>
      <c r="CKX975" s="252"/>
      <c r="CKY975" s="252"/>
      <c r="CKZ975" s="252"/>
      <c r="CLA975" s="252"/>
      <c r="CLB975" s="252"/>
      <c r="CLC975" s="252"/>
      <c r="CLD975" s="252"/>
      <c r="CLE975" s="252"/>
      <c r="CLF975" s="252"/>
      <c r="CLG975" s="252"/>
      <c r="CLH975" s="252"/>
      <c r="CLI975" s="252"/>
      <c r="CLJ975" s="252"/>
      <c r="CLK975" s="252"/>
      <c r="CLL975" s="252"/>
      <c r="CLM975" s="252"/>
      <c r="CLN975" s="252"/>
      <c r="CLO975" s="252"/>
      <c r="CLP975" s="252"/>
      <c r="CLQ975" s="252"/>
      <c r="CLR975" s="252"/>
      <c r="CLS975" s="252"/>
      <c r="CLT975" s="252"/>
      <c r="CLU975" s="252"/>
      <c r="CLV975" s="252"/>
      <c r="CLW975" s="252"/>
      <c r="CLX975" s="252"/>
      <c r="CLY975" s="252"/>
      <c r="CLZ975" s="252"/>
      <c r="CMA975" s="252"/>
      <c r="CMB975" s="252"/>
      <c r="CMC975" s="252"/>
      <c r="CMD975" s="252"/>
      <c r="CME975" s="252"/>
      <c r="CMF975" s="252"/>
      <c r="CMG975" s="252"/>
      <c r="CMH975" s="252"/>
      <c r="CMI975" s="252"/>
      <c r="CMJ975" s="252"/>
      <c r="CMK975" s="252"/>
      <c r="CML975" s="252"/>
      <c r="CMM975" s="252"/>
      <c r="CMN975" s="252"/>
      <c r="CMO975" s="252"/>
      <c r="CMP975" s="252"/>
      <c r="CMQ975" s="252"/>
      <c r="CMR975" s="252"/>
      <c r="CMS975" s="252"/>
      <c r="CMT975" s="252"/>
      <c r="CMU975" s="252"/>
      <c r="CMV975" s="252"/>
      <c r="CMW975" s="252"/>
      <c r="CMX975" s="252"/>
      <c r="CMY975" s="252"/>
      <c r="CMZ975" s="252"/>
      <c r="CNA975" s="252"/>
      <c r="CNB975" s="252"/>
      <c r="CNC975" s="252"/>
      <c r="CND975" s="252"/>
      <c r="CNE975" s="252"/>
      <c r="CNF975" s="252"/>
      <c r="CNG975" s="252"/>
      <c r="CNH975" s="252"/>
      <c r="CNI975" s="252"/>
      <c r="CNJ975" s="252"/>
      <c r="CNK975" s="252"/>
      <c r="CNL975" s="252"/>
      <c r="CNM975" s="252"/>
      <c r="CNN975" s="252"/>
      <c r="CNO975" s="252"/>
      <c r="CNP975" s="252"/>
      <c r="CNQ975" s="252"/>
      <c r="CNR975" s="252"/>
      <c r="CNS975" s="252"/>
      <c r="CNT975" s="252"/>
      <c r="CNU975" s="252"/>
      <c r="CNV975" s="252"/>
      <c r="CNW975" s="252"/>
      <c r="CNX975" s="252"/>
      <c r="CNY975" s="252"/>
      <c r="CNZ975" s="252"/>
      <c r="COA975" s="252"/>
      <c r="COB975" s="252"/>
      <c r="COC975" s="252"/>
      <c r="COD975" s="252"/>
      <c r="COE975" s="252"/>
      <c r="COF975" s="252"/>
      <c r="COG975" s="252"/>
      <c r="COH975" s="252"/>
      <c r="COI975" s="252"/>
      <c r="COJ975" s="252"/>
      <c r="COK975" s="252"/>
      <c r="COL975" s="252"/>
      <c r="COM975" s="252"/>
      <c r="CON975" s="252"/>
      <c r="COO975" s="252"/>
      <c r="COP975" s="252"/>
      <c r="COQ975" s="252"/>
      <c r="COR975" s="252"/>
      <c r="COS975" s="252"/>
      <c r="COT975" s="252"/>
      <c r="COU975" s="252"/>
      <c r="COV975" s="252"/>
      <c r="COW975" s="252"/>
      <c r="COX975" s="252"/>
      <c r="COY975" s="252"/>
      <c r="COZ975" s="252"/>
      <c r="CPA975" s="252"/>
      <c r="CPB975" s="252"/>
      <c r="CPC975" s="252"/>
      <c r="CPD975" s="252"/>
      <c r="CPE975" s="252"/>
      <c r="CPF975" s="252"/>
      <c r="CPG975" s="252"/>
      <c r="CPH975" s="252"/>
      <c r="CPI975" s="252"/>
      <c r="CPJ975" s="252"/>
      <c r="CPK975" s="252"/>
      <c r="CPL975" s="252"/>
      <c r="CPM975" s="252"/>
      <c r="CPN975" s="252"/>
      <c r="CPO975" s="252"/>
      <c r="CPP975" s="252"/>
      <c r="CPQ975" s="252"/>
      <c r="CPR975" s="252"/>
      <c r="CPS975" s="252"/>
      <c r="CPT975" s="252"/>
      <c r="CPU975" s="252"/>
      <c r="CPV975" s="252"/>
      <c r="CPW975" s="252"/>
      <c r="CPX975" s="252"/>
      <c r="CPY975" s="252"/>
      <c r="CPZ975" s="252"/>
      <c r="CQA975" s="252"/>
      <c r="CQB975" s="252"/>
      <c r="CQC975" s="252"/>
      <c r="CQD975" s="252"/>
      <c r="CQE975" s="252"/>
      <c r="CQF975" s="252"/>
      <c r="CQG975" s="252"/>
      <c r="CQH975" s="252"/>
      <c r="CQI975" s="252"/>
      <c r="CQJ975" s="252"/>
      <c r="CQK975" s="252"/>
      <c r="CQL975" s="252"/>
      <c r="CQM975" s="252"/>
      <c r="CQN975" s="252"/>
      <c r="CQO975" s="252"/>
      <c r="CQP975" s="252"/>
      <c r="CQQ975" s="252"/>
      <c r="CQR975" s="252"/>
      <c r="CQS975" s="252"/>
      <c r="CQT975" s="252"/>
      <c r="CQU975" s="252"/>
      <c r="CQV975" s="252"/>
      <c r="CQW975" s="252"/>
      <c r="CQX975" s="252"/>
      <c r="CQY975" s="252"/>
      <c r="CQZ975" s="252"/>
      <c r="CRA975" s="252"/>
      <c r="CRB975" s="252"/>
      <c r="CRC975" s="252"/>
      <c r="CRD975" s="252"/>
      <c r="CRE975" s="252"/>
      <c r="CRF975" s="252"/>
      <c r="CRG975" s="252"/>
      <c r="CRH975" s="252"/>
      <c r="CRI975" s="252"/>
      <c r="CRJ975" s="252"/>
      <c r="CRK975" s="252"/>
      <c r="CRL975" s="252"/>
      <c r="CRM975" s="252"/>
      <c r="CRN975" s="252"/>
      <c r="CRO975" s="252"/>
      <c r="CRP975" s="252"/>
      <c r="CRQ975" s="252"/>
      <c r="CRR975" s="252"/>
      <c r="CRS975" s="252"/>
      <c r="CRT975" s="252"/>
      <c r="CRU975" s="252"/>
      <c r="CRV975" s="252"/>
      <c r="CRW975" s="252"/>
      <c r="CRX975" s="252"/>
      <c r="CRY975" s="252"/>
      <c r="CRZ975" s="252"/>
      <c r="CSA975" s="252"/>
      <c r="CSB975" s="252"/>
      <c r="CSC975" s="252"/>
      <c r="CSD975" s="252"/>
      <c r="CSE975" s="252"/>
      <c r="CSF975" s="252"/>
      <c r="CSG975" s="252"/>
      <c r="CSH975" s="252"/>
      <c r="CSI975" s="252"/>
      <c r="CSJ975" s="252"/>
      <c r="CSK975" s="252"/>
      <c r="CSL975" s="252"/>
      <c r="CSM975" s="252"/>
      <c r="CSN975" s="252"/>
      <c r="CSO975" s="252"/>
      <c r="CSP975" s="252"/>
      <c r="CSQ975" s="252"/>
      <c r="CSR975" s="252"/>
      <c r="CSS975" s="252"/>
      <c r="CST975" s="252"/>
      <c r="CSU975" s="252"/>
      <c r="CSV975" s="252"/>
      <c r="CSW975" s="252"/>
      <c r="CSX975" s="252"/>
      <c r="CSY975" s="252"/>
      <c r="CSZ975" s="252"/>
      <c r="CTA975" s="252"/>
      <c r="CTB975" s="252"/>
      <c r="CTC975" s="252"/>
      <c r="CTD975" s="252"/>
      <c r="CTE975" s="252"/>
      <c r="CTF975" s="252"/>
      <c r="CTG975" s="252"/>
      <c r="CTH975" s="252"/>
      <c r="CTI975" s="252"/>
      <c r="CTJ975" s="252"/>
      <c r="CTK975" s="252"/>
      <c r="CTL975" s="252"/>
      <c r="CTM975" s="252"/>
      <c r="CTN975" s="252"/>
      <c r="CTO975" s="252"/>
      <c r="CTP975" s="252"/>
      <c r="CTQ975" s="252"/>
      <c r="CTR975" s="252"/>
      <c r="CTS975" s="252"/>
      <c r="CTT975" s="252"/>
      <c r="CTU975" s="252"/>
      <c r="CTV975" s="252"/>
      <c r="CTW975" s="252"/>
      <c r="CTX975" s="252"/>
      <c r="CTY975" s="252"/>
      <c r="CTZ975" s="252"/>
      <c r="CUA975" s="252"/>
      <c r="CUB975" s="252"/>
      <c r="CUC975" s="252"/>
      <c r="CUD975" s="252"/>
      <c r="CUE975" s="252"/>
      <c r="CUF975" s="252"/>
      <c r="CUG975" s="252"/>
      <c r="CUH975" s="252"/>
      <c r="CUI975" s="252"/>
      <c r="CUJ975" s="252"/>
      <c r="CUK975" s="252"/>
      <c r="CUL975" s="252"/>
      <c r="CUM975" s="252"/>
      <c r="CUN975" s="252"/>
      <c r="CUO975" s="252"/>
      <c r="CUP975" s="252"/>
      <c r="CUQ975" s="252"/>
      <c r="CUR975" s="252"/>
      <c r="CUS975" s="252"/>
      <c r="CUT975" s="252"/>
      <c r="CUU975" s="252"/>
      <c r="CUV975" s="252"/>
      <c r="CUW975" s="252"/>
      <c r="CUX975" s="252"/>
      <c r="CUY975" s="252"/>
      <c r="CUZ975" s="252"/>
      <c r="CVA975" s="252"/>
      <c r="CVB975" s="252"/>
      <c r="CVC975" s="252"/>
      <c r="CVD975" s="252"/>
      <c r="CVE975" s="252"/>
      <c r="CVF975" s="252"/>
      <c r="CVG975" s="252"/>
      <c r="CVH975" s="252"/>
      <c r="CVI975" s="252"/>
      <c r="CVJ975" s="252"/>
      <c r="CVK975" s="252"/>
      <c r="CVL975" s="252"/>
      <c r="CVM975" s="252"/>
      <c r="CVN975" s="252"/>
      <c r="CVO975" s="252"/>
      <c r="CVP975" s="252"/>
      <c r="CVQ975" s="252"/>
      <c r="CVR975" s="252"/>
      <c r="CVS975" s="252"/>
      <c r="CVT975" s="252"/>
      <c r="CVU975" s="252"/>
      <c r="CVV975" s="252"/>
      <c r="CVW975" s="252"/>
      <c r="CVX975" s="252"/>
      <c r="CVY975" s="252"/>
      <c r="CVZ975" s="252"/>
      <c r="CWA975" s="252"/>
      <c r="CWB975" s="252"/>
      <c r="CWC975" s="252"/>
      <c r="CWD975" s="252"/>
      <c r="CWE975" s="252"/>
      <c r="CWF975" s="252"/>
      <c r="CWG975" s="252"/>
      <c r="CWH975" s="252"/>
      <c r="CWI975" s="252"/>
      <c r="CWJ975" s="252"/>
      <c r="CWK975" s="252"/>
      <c r="CWL975" s="252"/>
      <c r="CWM975" s="252"/>
      <c r="CWN975" s="252"/>
      <c r="CWO975" s="252"/>
      <c r="CWP975" s="252"/>
      <c r="CWQ975" s="252"/>
      <c r="CWR975" s="252"/>
      <c r="CWS975" s="252"/>
      <c r="CWT975" s="252"/>
      <c r="CWU975" s="252"/>
      <c r="CWV975" s="252"/>
      <c r="CWW975" s="252"/>
      <c r="CWX975" s="252"/>
      <c r="CWY975" s="252"/>
      <c r="CWZ975" s="252"/>
      <c r="CXA975" s="252"/>
      <c r="CXB975" s="252"/>
      <c r="CXC975" s="252"/>
      <c r="CXD975" s="252"/>
      <c r="CXE975" s="252"/>
      <c r="CXF975" s="252"/>
      <c r="CXG975" s="252"/>
      <c r="CXH975" s="252"/>
      <c r="CXI975" s="252"/>
      <c r="CXJ975" s="252"/>
      <c r="CXK975" s="252"/>
      <c r="CXL975" s="252"/>
      <c r="CXM975" s="252"/>
      <c r="CXN975" s="252"/>
      <c r="CXO975" s="252"/>
      <c r="CXP975" s="252"/>
      <c r="CXQ975" s="252"/>
      <c r="CXR975" s="252"/>
      <c r="CXS975" s="252"/>
      <c r="CXT975" s="252"/>
      <c r="CXU975" s="252"/>
      <c r="CXV975" s="252"/>
      <c r="CXW975" s="252"/>
      <c r="CXX975" s="252"/>
      <c r="CXY975" s="252"/>
      <c r="CXZ975" s="252"/>
      <c r="CYA975" s="252"/>
      <c r="CYB975" s="252"/>
      <c r="CYC975" s="252"/>
      <c r="CYD975" s="252"/>
      <c r="CYE975" s="252"/>
      <c r="CYF975" s="252"/>
      <c r="CYG975" s="252"/>
      <c r="CYH975" s="252"/>
      <c r="CYI975" s="252"/>
      <c r="CYJ975" s="252"/>
      <c r="CYK975" s="252"/>
      <c r="CYL975" s="252"/>
      <c r="CYM975" s="252"/>
      <c r="CYN975" s="252"/>
      <c r="CYO975" s="252"/>
      <c r="CYP975" s="252"/>
      <c r="CYQ975" s="252"/>
      <c r="CYR975" s="252"/>
      <c r="CYS975" s="252"/>
      <c r="CYT975" s="252"/>
      <c r="CYU975" s="252"/>
      <c r="CYV975" s="252"/>
      <c r="CYW975" s="252"/>
      <c r="CYX975" s="252"/>
      <c r="CYY975" s="252"/>
      <c r="CYZ975" s="252"/>
      <c r="CZA975" s="252"/>
      <c r="CZB975" s="252"/>
      <c r="CZC975" s="252"/>
      <c r="CZD975" s="252"/>
      <c r="CZE975" s="252"/>
      <c r="CZF975" s="252"/>
      <c r="CZG975" s="252"/>
      <c r="CZH975" s="252"/>
      <c r="CZI975" s="252"/>
      <c r="CZJ975" s="252"/>
      <c r="CZK975" s="252"/>
      <c r="CZL975" s="252"/>
      <c r="CZM975" s="252"/>
      <c r="CZN975" s="252"/>
      <c r="CZO975" s="252"/>
      <c r="CZP975" s="252"/>
      <c r="CZQ975" s="252"/>
      <c r="CZR975" s="252"/>
      <c r="CZS975" s="252"/>
      <c r="CZT975" s="252"/>
      <c r="CZU975" s="252"/>
      <c r="CZV975" s="252"/>
      <c r="CZW975" s="252"/>
      <c r="CZX975" s="252"/>
      <c r="CZY975" s="252"/>
      <c r="CZZ975" s="252"/>
      <c r="DAA975" s="252"/>
      <c r="DAB975" s="252"/>
      <c r="DAC975" s="252"/>
      <c r="DAD975" s="252"/>
      <c r="DAE975" s="252"/>
      <c r="DAF975" s="252"/>
      <c r="DAG975" s="252"/>
      <c r="DAH975" s="252"/>
      <c r="DAI975" s="252"/>
      <c r="DAJ975" s="252"/>
      <c r="DAK975" s="252"/>
      <c r="DAL975" s="252"/>
      <c r="DAM975" s="252"/>
      <c r="DAN975" s="252"/>
      <c r="DAO975" s="252"/>
      <c r="DAP975" s="252"/>
      <c r="DAQ975" s="252"/>
      <c r="DAR975" s="252"/>
      <c r="DAS975" s="252"/>
      <c r="DAT975" s="252"/>
      <c r="DAU975" s="252"/>
      <c r="DAV975" s="252"/>
      <c r="DAW975" s="252"/>
      <c r="DAX975" s="252"/>
      <c r="DAY975" s="252"/>
      <c r="DAZ975" s="252"/>
      <c r="DBA975" s="252"/>
      <c r="DBB975" s="252"/>
      <c r="DBC975" s="252"/>
      <c r="DBD975" s="252"/>
      <c r="DBE975" s="252"/>
      <c r="DBF975" s="252"/>
      <c r="DBG975" s="252"/>
      <c r="DBH975" s="252"/>
      <c r="DBI975" s="252"/>
      <c r="DBJ975" s="252"/>
      <c r="DBK975" s="252"/>
      <c r="DBL975" s="252"/>
      <c r="DBM975" s="252"/>
      <c r="DBN975" s="252"/>
      <c r="DBO975" s="252"/>
      <c r="DBP975" s="252"/>
      <c r="DBQ975" s="252"/>
      <c r="DBR975" s="252"/>
      <c r="DBS975" s="252"/>
      <c r="DBT975" s="252"/>
      <c r="DBU975" s="252"/>
      <c r="DBV975" s="252"/>
      <c r="DBW975" s="252"/>
      <c r="DBX975" s="252"/>
      <c r="DBY975" s="252"/>
      <c r="DBZ975" s="252"/>
      <c r="DCA975" s="252"/>
      <c r="DCB975" s="252"/>
      <c r="DCC975" s="252"/>
      <c r="DCD975" s="252"/>
      <c r="DCE975" s="252"/>
      <c r="DCF975" s="252"/>
      <c r="DCG975" s="252"/>
      <c r="DCH975" s="252"/>
      <c r="DCI975" s="252"/>
      <c r="DCJ975" s="252"/>
      <c r="DCK975" s="252"/>
      <c r="DCL975" s="252"/>
      <c r="DCM975" s="252"/>
      <c r="DCN975" s="252"/>
      <c r="DCO975" s="252"/>
      <c r="DCP975" s="252"/>
      <c r="DCQ975" s="252"/>
      <c r="DCR975" s="252"/>
      <c r="DCS975" s="252"/>
      <c r="DCT975" s="252"/>
      <c r="DCU975" s="252"/>
      <c r="DCV975" s="252"/>
      <c r="DCW975" s="252"/>
      <c r="DCX975" s="252"/>
      <c r="DCY975" s="252"/>
      <c r="DCZ975" s="252"/>
      <c r="DDA975" s="252"/>
      <c r="DDB975" s="252"/>
      <c r="DDC975" s="252"/>
      <c r="DDD975" s="252"/>
      <c r="DDE975" s="252"/>
      <c r="DDF975" s="252"/>
      <c r="DDG975" s="252"/>
      <c r="DDH975" s="252"/>
      <c r="DDI975" s="252"/>
      <c r="DDJ975" s="252"/>
      <c r="DDK975" s="252"/>
      <c r="DDL975" s="252"/>
      <c r="DDM975" s="252"/>
      <c r="DDN975" s="252"/>
      <c r="DDO975" s="252"/>
      <c r="DDP975" s="252"/>
      <c r="DDQ975" s="252"/>
      <c r="DDR975" s="252"/>
      <c r="DDS975" s="252"/>
      <c r="DDT975" s="252"/>
      <c r="DDU975" s="252"/>
      <c r="DDV975" s="252"/>
      <c r="DDW975" s="252"/>
      <c r="DDX975" s="252"/>
      <c r="DDY975" s="252"/>
      <c r="DDZ975" s="252"/>
      <c r="DEA975" s="252"/>
      <c r="DEB975" s="252"/>
      <c r="DEC975" s="252"/>
      <c r="DED975" s="252"/>
      <c r="DEE975" s="252"/>
      <c r="DEF975" s="252"/>
      <c r="DEG975" s="252"/>
      <c r="DEH975" s="252"/>
      <c r="DEI975" s="252"/>
      <c r="DEJ975" s="252"/>
      <c r="DEK975" s="252"/>
      <c r="DEL975" s="252"/>
      <c r="DEM975" s="252"/>
      <c r="DEN975" s="252"/>
      <c r="DEO975" s="252"/>
      <c r="DEP975" s="252"/>
      <c r="DEQ975" s="252"/>
      <c r="DER975" s="252"/>
      <c r="DES975" s="252"/>
      <c r="DET975" s="252"/>
      <c r="DEU975" s="252"/>
      <c r="DEV975" s="252"/>
      <c r="DEW975" s="252"/>
      <c r="DEX975" s="252"/>
      <c r="DEY975" s="252"/>
      <c r="DEZ975" s="252"/>
      <c r="DFA975" s="252"/>
      <c r="DFB975" s="252"/>
      <c r="DFC975" s="252"/>
      <c r="DFD975" s="252"/>
      <c r="DFE975" s="252"/>
      <c r="DFF975" s="252"/>
      <c r="DFG975" s="252"/>
      <c r="DFH975" s="252"/>
      <c r="DFI975" s="252"/>
      <c r="DFJ975" s="252"/>
      <c r="DFK975" s="252"/>
      <c r="DFL975" s="252"/>
      <c r="DFM975" s="252"/>
      <c r="DFN975" s="252"/>
      <c r="DFO975" s="252"/>
      <c r="DFP975" s="252"/>
      <c r="DFQ975" s="252"/>
      <c r="DFR975" s="252"/>
      <c r="DFS975" s="252"/>
      <c r="DFT975" s="252"/>
      <c r="DFU975" s="252"/>
      <c r="DFV975" s="252"/>
      <c r="DFW975" s="252"/>
      <c r="DFX975" s="252"/>
      <c r="DFY975" s="252"/>
      <c r="DFZ975" s="252"/>
      <c r="DGA975" s="252"/>
      <c r="DGB975" s="252"/>
      <c r="DGC975" s="252"/>
      <c r="DGD975" s="252"/>
      <c r="DGE975" s="252"/>
      <c r="DGF975" s="252"/>
      <c r="DGG975" s="252"/>
      <c r="DGH975" s="252"/>
      <c r="DGI975" s="252"/>
      <c r="DGJ975" s="252"/>
      <c r="DGK975" s="252"/>
      <c r="DGL975" s="252"/>
      <c r="DGM975" s="252"/>
      <c r="DGN975" s="252"/>
      <c r="DGO975" s="252"/>
      <c r="DGP975" s="252"/>
      <c r="DGQ975" s="252"/>
      <c r="DGR975" s="252"/>
      <c r="DGS975" s="252"/>
      <c r="DGT975" s="252"/>
      <c r="DGU975" s="252"/>
      <c r="DGV975" s="252"/>
      <c r="DGW975" s="252"/>
      <c r="DGX975" s="252"/>
      <c r="DGY975" s="252"/>
      <c r="DGZ975" s="252"/>
      <c r="DHA975" s="252"/>
      <c r="DHB975" s="252"/>
      <c r="DHC975" s="252"/>
      <c r="DHD975" s="252"/>
      <c r="DHE975" s="252"/>
      <c r="DHF975" s="252"/>
      <c r="DHG975" s="252"/>
      <c r="DHH975" s="252"/>
      <c r="DHI975" s="252"/>
      <c r="DHJ975" s="252"/>
      <c r="DHK975" s="252"/>
      <c r="DHL975" s="252"/>
      <c r="DHM975" s="252"/>
      <c r="DHN975" s="252"/>
      <c r="DHO975" s="252"/>
      <c r="DHP975" s="252"/>
      <c r="DHQ975" s="252"/>
      <c r="DHR975" s="252"/>
      <c r="DHS975" s="252"/>
      <c r="DHT975" s="252"/>
      <c r="DHU975" s="252"/>
      <c r="DHV975" s="252"/>
      <c r="DHW975" s="252"/>
      <c r="DHX975" s="252"/>
      <c r="DHY975" s="252"/>
      <c r="DHZ975" s="252"/>
      <c r="DIA975" s="252"/>
      <c r="DIB975" s="252"/>
      <c r="DIC975" s="252"/>
      <c r="DID975" s="252"/>
      <c r="DIE975" s="252"/>
      <c r="DIF975" s="252"/>
      <c r="DIG975" s="252"/>
      <c r="DIH975" s="252"/>
      <c r="DII975" s="252"/>
      <c r="DIJ975" s="252"/>
      <c r="DIK975" s="252"/>
      <c r="DIL975" s="252"/>
      <c r="DIM975" s="252"/>
      <c r="DIN975" s="252"/>
      <c r="DIO975" s="252"/>
      <c r="DIP975" s="252"/>
      <c r="DIQ975" s="252"/>
      <c r="DIR975" s="252"/>
      <c r="DIS975" s="252"/>
      <c r="DIT975" s="252"/>
      <c r="DIU975" s="252"/>
      <c r="DIV975" s="252"/>
      <c r="DIW975" s="252"/>
      <c r="DIX975" s="252"/>
      <c r="DIY975" s="252"/>
      <c r="DIZ975" s="252"/>
      <c r="DJA975" s="252"/>
      <c r="DJB975" s="252"/>
      <c r="DJC975" s="252"/>
      <c r="DJD975" s="252"/>
      <c r="DJE975" s="252"/>
      <c r="DJF975" s="252"/>
      <c r="DJG975" s="252"/>
      <c r="DJH975" s="252"/>
      <c r="DJI975" s="252"/>
      <c r="DJJ975" s="252"/>
      <c r="DJK975" s="252"/>
      <c r="DJL975" s="252"/>
      <c r="DJM975" s="252"/>
      <c r="DJN975" s="252"/>
      <c r="DJO975" s="252"/>
      <c r="DJP975" s="252"/>
      <c r="DJQ975" s="252"/>
      <c r="DJR975" s="252"/>
      <c r="DJS975" s="252"/>
      <c r="DJT975" s="252"/>
      <c r="DJU975" s="252"/>
      <c r="DJV975" s="252"/>
      <c r="DJW975" s="252"/>
      <c r="DJX975" s="252"/>
      <c r="DJY975" s="252"/>
      <c r="DJZ975" s="252"/>
      <c r="DKA975" s="252"/>
      <c r="DKB975" s="252"/>
      <c r="DKC975" s="252"/>
      <c r="DKD975" s="252"/>
      <c r="DKE975" s="252"/>
      <c r="DKF975" s="252"/>
      <c r="DKG975" s="252"/>
      <c r="DKH975" s="252"/>
      <c r="DKI975" s="252"/>
      <c r="DKJ975" s="252"/>
      <c r="DKK975" s="252"/>
      <c r="DKL975" s="252"/>
      <c r="DKM975" s="252"/>
      <c r="DKN975" s="252"/>
      <c r="DKO975" s="252"/>
      <c r="DKP975" s="252"/>
      <c r="DKQ975" s="252"/>
      <c r="DKR975" s="252"/>
      <c r="DKS975" s="252"/>
      <c r="DKT975" s="252"/>
      <c r="DKU975" s="252"/>
      <c r="DKV975" s="252"/>
      <c r="DKW975" s="252"/>
      <c r="DKX975" s="252"/>
      <c r="DKY975" s="252"/>
      <c r="DKZ975" s="252"/>
      <c r="DLA975" s="252"/>
      <c r="DLB975" s="252"/>
      <c r="DLC975" s="252"/>
      <c r="DLD975" s="252"/>
      <c r="DLE975" s="252"/>
      <c r="DLF975" s="252"/>
      <c r="DLG975" s="252"/>
      <c r="DLH975" s="252"/>
      <c r="DLI975" s="252"/>
      <c r="DLJ975" s="252"/>
      <c r="DLK975" s="252"/>
      <c r="DLL975" s="252"/>
      <c r="DLM975" s="252"/>
      <c r="DLN975" s="252"/>
      <c r="DLO975" s="252"/>
      <c r="DLP975" s="252"/>
      <c r="DLQ975" s="252"/>
      <c r="DLR975" s="252"/>
      <c r="DLS975" s="252"/>
      <c r="DLT975" s="252"/>
      <c r="DLU975" s="252"/>
      <c r="DLV975" s="252"/>
      <c r="DLW975" s="252"/>
      <c r="DLX975" s="252"/>
      <c r="DLY975" s="252"/>
      <c r="DLZ975" s="252"/>
      <c r="DMA975" s="252"/>
      <c r="DMB975" s="252"/>
      <c r="DMC975" s="252"/>
      <c r="DMD975" s="252"/>
      <c r="DME975" s="252"/>
      <c r="DMF975" s="252"/>
      <c r="DMG975" s="252"/>
      <c r="DMH975" s="252"/>
      <c r="DMI975" s="252"/>
      <c r="DMJ975" s="252"/>
      <c r="DMK975" s="252"/>
      <c r="DML975" s="252"/>
      <c r="DMM975" s="252"/>
      <c r="DMN975" s="252"/>
      <c r="DMO975" s="252"/>
      <c r="DMP975" s="252"/>
      <c r="DMQ975" s="252"/>
      <c r="DMR975" s="252"/>
      <c r="DMS975" s="252"/>
      <c r="DMT975" s="252"/>
      <c r="DMU975" s="252"/>
      <c r="DMV975" s="252"/>
      <c r="DMW975" s="252"/>
      <c r="DMX975" s="252"/>
      <c r="DMY975" s="252"/>
      <c r="DMZ975" s="252"/>
      <c r="DNA975" s="252"/>
      <c r="DNB975" s="252"/>
      <c r="DNC975" s="252"/>
      <c r="DND975" s="252"/>
      <c r="DNE975" s="252"/>
      <c r="DNF975" s="252"/>
      <c r="DNG975" s="252"/>
      <c r="DNH975" s="252"/>
      <c r="DNI975" s="252"/>
      <c r="DNJ975" s="252"/>
      <c r="DNK975" s="252"/>
      <c r="DNL975" s="252"/>
      <c r="DNM975" s="252"/>
      <c r="DNN975" s="252"/>
      <c r="DNO975" s="252"/>
      <c r="DNP975" s="252"/>
      <c r="DNQ975" s="252"/>
      <c r="DNR975" s="252"/>
      <c r="DNS975" s="252"/>
      <c r="DNT975" s="252"/>
      <c r="DNU975" s="252"/>
      <c r="DNV975" s="252"/>
      <c r="DNW975" s="252"/>
      <c r="DNX975" s="252"/>
      <c r="DNY975" s="252"/>
      <c r="DNZ975" s="252"/>
      <c r="DOA975" s="252"/>
      <c r="DOB975" s="252"/>
      <c r="DOC975" s="252"/>
      <c r="DOD975" s="252"/>
      <c r="DOE975" s="252"/>
      <c r="DOF975" s="252"/>
      <c r="DOG975" s="252"/>
      <c r="DOH975" s="252"/>
      <c r="DOI975" s="252"/>
      <c r="DOJ975" s="252"/>
      <c r="DOK975" s="252"/>
      <c r="DOL975" s="252"/>
      <c r="DOM975" s="252"/>
      <c r="DON975" s="252"/>
      <c r="DOO975" s="252"/>
      <c r="DOP975" s="252"/>
      <c r="DOQ975" s="252"/>
      <c r="DOR975" s="252"/>
      <c r="DOS975" s="252"/>
      <c r="DOT975" s="252"/>
      <c r="DOU975" s="252"/>
      <c r="DOV975" s="252"/>
      <c r="DOW975" s="252"/>
      <c r="DOX975" s="252"/>
      <c r="DOY975" s="252"/>
      <c r="DOZ975" s="252"/>
      <c r="DPA975" s="252"/>
      <c r="DPB975" s="252"/>
      <c r="DPC975" s="252"/>
      <c r="DPD975" s="252"/>
      <c r="DPE975" s="252"/>
      <c r="DPF975" s="252"/>
      <c r="DPG975" s="252"/>
      <c r="DPH975" s="252"/>
      <c r="DPI975" s="252"/>
      <c r="DPJ975" s="252"/>
      <c r="DPK975" s="252"/>
      <c r="DPL975" s="252"/>
      <c r="DPM975" s="252"/>
      <c r="DPN975" s="252"/>
      <c r="DPO975" s="252"/>
      <c r="DPP975" s="252"/>
      <c r="DPQ975" s="252"/>
      <c r="DPR975" s="252"/>
      <c r="DPS975" s="252"/>
      <c r="DPT975" s="252"/>
      <c r="DPU975" s="252"/>
      <c r="DPV975" s="252"/>
      <c r="DPW975" s="252"/>
      <c r="DPX975" s="252"/>
      <c r="DPY975" s="252"/>
      <c r="DPZ975" s="252"/>
      <c r="DQA975" s="252"/>
      <c r="DQB975" s="252"/>
      <c r="DQC975" s="252"/>
      <c r="DQD975" s="252"/>
      <c r="DQE975" s="252"/>
      <c r="DQF975" s="252"/>
      <c r="DQG975" s="252"/>
      <c r="DQH975" s="252"/>
      <c r="DQI975" s="252"/>
      <c r="DQJ975" s="252"/>
      <c r="DQK975" s="252"/>
      <c r="DQL975" s="252"/>
      <c r="DQM975" s="252"/>
      <c r="DQN975" s="252"/>
      <c r="DQO975" s="252"/>
      <c r="DQP975" s="252"/>
      <c r="DQQ975" s="252"/>
      <c r="DQR975" s="252"/>
      <c r="DQS975" s="252"/>
      <c r="DQT975" s="252"/>
      <c r="DQU975" s="252"/>
      <c r="DQV975" s="252"/>
      <c r="DQW975" s="252"/>
      <c r="DQX975" s="252"/>
      <c r="DQY975" s="252"/>
      <c r="DQZ975" s="252"/>
      <c r="DRA975" s="252"/>
      <c r="DRB975" s="252"/>
      <c r="DRC975" s="252"/>
      <c r="DRD975" s="252"/>
      <c r="DRE975" s="252"/>
      <c r="DRF975" s="252"/>
      <c r="DRG975" s="252"/>
      <c r="DRH975" s="252"/>
      <c r="DRI975" s="252"/>
      <c r="DRJ975" s="252"/>
      <c r="DRK975" s="252"/>
      <c r="DRL975" s="252"/>
      <c r="DRM975" s="252"/>
      <c r="DRN975" s="252"/>
      <c r="DRO975" s="252"/>
      <c r="DRP975" s="252"/>
      <c r="DRQ975" s="252"/>
      <c r="DRR975" s="252"/>
      <c r="DRS975" s="252"/>
      <c r="DRT975" s="252"/>
      <c r="DRU975" s="252"/>
      <c r="DRV975" s="252"/>
      <c r="DRW975" s="252"/>
      <c r="DRX975" s="252"/>
      <c r="DRY975" s="252"/>
      <c r="DRZ975" s="252"/>
      <c r="DSA975" s="252"/>
      <c r="DSB975" s="252"/>
      <c r="DSC975" s="252"/>
      <c r="DSD975" s="252"/>
      <c r="DSE975" s="252"/>
      <c r="DSF975" s="252"/>
      <c r="DSG975" s="252"/>
      <c r="DSH975" s="252"/>
      <c r="DSI975" s="252"/>
      <c r="DSJ975" s="252"/>
      <c r="DSK975" s="252"/>
      <c r="DSL975" s="252"/>
      <c r="DSM975" s="252"/>
      <c r="DSN975" s="252"/>
      <c r="DSO975" s="252"/>
      <c r="DSP975" s="252"/>
      <c r="DSQ975" s="252"/>
      <c r="DSR975" s="252"/>
      <c r="DSS975" s="252"/>
      <c r="DST975" s="252"/>
      <c r="DSU975" s="252"/>
      <c r="DSV975" s="252"/>
      <c r="DSW975" s="252"/>
      <c r="DSX975" s="252"/>
      <c r="DSY975" s="252"/>
      <c r="DSZ975" s="252"/>
      <c r="DTA975" s="252"/>
      <c r="DTB975" s="252"/>
      <c r="DTC975" s="252"/>
      <c r="DTD975" s="252"/>
      <c r="DTE975" s="252"/>
      <c r="DTF975" s="252"/>
      <c r="DTG975" s="252"/>
      <c r="DTH975" s="252"/>
      <c r="DTI975" s="252"/>
      <c r="DTJ975" s="252"/>
      <c r="DTK975" s="252"/>
      <c r="DTL975" s="252"/>
      <c r="DTM975" s="252"/>
      <c r="DTN975" s="252"/>
      <c r="DTO975" s="252"/>
      <c r="DTP975" s="252"/>
      <c r="DTQ975" s="252"/>
      <c r="DTR975" s="252"/>
      <c r="DTS975" s="252"/>
      <c r="DTT975" s="252"/>
      <c r="DTU975" s="252"/>
      <c r="DTV975" s="252"/>
      <c r="DTW975" s="252"/>
      <c r="DTX975" s="252"/>
      <c r="DTY975" s="252"/>
      <c r="DTZ975" s="252"/>
      <c r="DUA975" s="252"/>
      <c r="DUB975" s="252"/>
      <c r="DUC975" s="252"/>
      <c r="DUD975" s="252"/>
      <c r="DUE975" s="252"/>
      <c r="DUF975" s="252"/>
      <c r="DUG975" s="252"/>
      <c r="DUH975" s="252"/>
      <c r="DUI975" s="252"/>
      <c r="DUJ975" s="252"/>
      <c r="DUK975" s="252"/>
      <c r="DUL975" s="252"/>
      <c r="DUM975" s="252"/>
      <c r="DUN975" s="252"/>
      <c r="DUO975" s="252"/>
      <c r="DUP975" s="252"/>
      <c r="DUQ975" s="252"/>
      <c r="DUR975" s="252"/>
      <c r="DUS975" s="252"/>
      <c r="DUT975" s="252"/>
      <c r="DUU975" s="252"/>
      <c r="DUV975" s="252"/>
      <c r="DUW975" s="252"/>
      <c r="DUX975" s="252"/>
      <c r="DUY975" s="252"/>
      <c r="DUZ975" s="252"/>
      <c r="DVA975" s="252"/>
      <c r="DVB975" s="252"/>
      <c r="DVC975" s="252"/>
      <c r="DVD975" s="252"/>
      <c r="DVE975" s="252"/>
      <c r="DVF975" s="252"/>
      <c r="DVG975" s="252"/>
      <c r="DVH975" s="252"/>
      <c r="DVI975" s="252"/>
      <c r="DVJ975" s="252"/>
      <c r="DVK975" s="252"/>
      <c r="DVL975" s="252"/>
      <c r="DVM975" s="252"/>
      <c r="DVN975" s="252"/>
      <c r="DVO975" s="252"/>
      <c r="DVP975" s="252"/>
      <c r="DVQ975" s="252"/>
      <c r="DVR975" s="252"/>
      <c r="DVS975" s="252"/>
      <c r="DVT975" s="252"/>
      <c r="DVU975" s="252"/>
      <c r="DVV975" s="252"/>
      <c r="DVW975" s="252"/>
      <c r="DVX975" s="252"/>
      <c r="DVY975" s="252"/>
      <c r="DVZ975" s="252"/>
      <c r="DWA975" s="252"/>
      <c r="DWB975" s="252"/>
      <c r="DWC975" s="252"/>
      <c r="DWD975" s="252"/>
      <c r="DWE975" s="252"/>
      <c r="DWF975" s="252"/>
      <c r="DWG975" s="252"/>
      <c r="DWH975" s="252"/>
      <c r="DWI975" s="252"/>
      <c r="DWJ975" s="252"/>
      <c r="DWK975" s="252"/>
      <c r="DWL975" s="252"/>
      <c r="DWM975" s="252"/>
      <c r="DWN975" s="252"/>
      <c r="DWO975" s="252"/>
      <c r="DWP975" s="252"/>
      <c r="DWQ975" s="252"/>
      <c r="DWR975" s="252"/>
      <c r="DWS975" s="252"/>
      <c r="DWT975" s="252"/>
      <c r="DWU975" s="252"/>
      <c r="DWV975" s="252"/>
      <c r="DWW975" s="252"/>
      <c r="DWX975" s="252"/>
      <c r="DWY975" s="252"/>
      <c r="DWZ975" s="252"/>
      <c r="DXA975" s="252"/>
      <c r="DXB975" s="252"/>
      <c r="DXC975" s="252"/>
      <c r="DXD975" s="252"/>
      <c r="DXE975" s="252"/>
      <c r="DXF975" s="252"/>
      <c r="DXG975" s="252"/>
      <c r="DXH975" s="252"/>
      <c r="DXI975" s="252"/>
      <c r="DXJ975" s="252"/>
      <c r="DXK975" s="252"/>
      <c r="DXL975" s="252"/>
      <c r="DXM975" s="252"/>
      <c r="DXN975" s="252"/>
      <c r="DXO975" s="252"/>
      <c r="DXP975" s="252"/>
      <c r="DXQ975" s="252"/>
      <c r="DXR975" s="252"/>
      <c r="DXS975" s="252"/>
      <c r="DXT975" s="252"/>
      <c r="DXU975" s="252"/>
      <c r="DXV975" s="252"/>
      <c r="DXW975" s="252"/>
      <c r="DXX975" s="252"/>
      <c r="DXY975" s="252"/>
      <c r="DXZ975" s="252"/>
      <c r="DYA975" s="252"/>
      <c r="DYB975" s="252"/>
      <c r="DYC975" s="252"/>
      <c r="DYD975" s="252"/>
      <c r="DYE975" s="252"/>
      <c r="DYF975" s="252"/>
      <c r="DYG975" s="252"/>
      <c r="DYH975" s="252"/>
      <c r="DYI975" s="252"/>
      <c r="DYJ975" s="252"/>
      <c r="DYK975" s="252"/>
      <c r="DYL975" s="252"/>
      <c r="DYM975" s="252"/>
      <c r="DYN975" s="252"/>
      <c r="DYO975" s="252"/>
      <c r="DYP975" s="252"/>
      <c r="DYQ975" s="252"/>
      <c r="DYR975" s="252"/>
      <c r="DYS975" s="252"/>
      <c r="DYT975" s="252"/>
      <c r="DYU975" s="252"/>
      <c r="DYV975" s="252"/>
      <c r="DYW975" s="252"/>
      <c r="DYX975" s="252"/>
      <c r="DYY975" s="252"/>
      <c r="DYZ975" s="252"/>
      <c r="DZA975" s="252"/>
      <c r="DZB975" s="252"/>
      <c r="DZC975" s="252"/>
      <c r="DZD975" s="252"/>
      <c r="DZE975" s="252"/>
      <c r="DZF975" s="252"/>
      <c r="DZG975" s="252"/>
      <c r="DZH975" s="252"/>
      <c r="DZI975" s="252"/>
      <c r="DZJ975" s="252"/>
      <c r="DZK975" s="252"/>
      <c r="DZL975" s="252"/>
      <c r="DZM975" s="252"/>
      <c r="DZN975" s="252"/>
      <c r="DZO975" s="252"/>
      <c r="DZP975" s="252"/>
      <c r="DZQ975" s="252"/>
      <c r="DZR975" s="252"/>
      <c r="DZS975" s="252"/>
      <c r="DZT975" s="252"/>
      <c r="DZU975" s="252"/>
      <c r="DZV975" s="252"/>
      <c r="DZW975" s="252"/>
      <c r="DZX975" s="252"/>
      <c r="DZY975" s="252"/>
      <c r="DZZ975" s="252"/>
      <c r="EAA975" s="252"/>
      <c r="EAB975" s="252"/>
      <c r="EAC975" s="252"/>
      <c r="EAD975" s="252"/>
      <c r="EAE975" s="252"/>
      <c r="EAF975" s="252"/>
      <c r="EAG975" s="252"/>
      <c r="EAH975" s="252"/>
      <c r="EAI975" s="252"/>
      <c r="EAJ975" s="252"/>
      <c r="EAK975" s="252"/>
      <c r="EAL975" s="252"/>
      <c r="EAM975" s="252"/>
      <c r="EAN975" s="252"/>
      <c r="EAO975" s="252"/>
      <c r="EAP975" s="252"/>
      <c r="EAQ975" s="252"/>
      <c r="EAR975" s="252"/>
      <c r="EAS975" s="252"/>
      <c r="EAT975" s="252"/>
      <c r="EAU975" s="252"/>
      <c r="EAV975" s="252"/>
      <c r="EAW975" s="252"/>
      <c r="EAX975" s="252"/>
      <c r="EAY975" s="252"/>
      <c r="EAZ975" s="252"/>
      <c r="EBA975" s="252"/>
      <c r="EBB975" s="252"/>
      <c r="EBC975" s="252"/>
      <c r="EBD975" s="252"/>
      <c r="EBE975" s="252"/>
      <c r="EBF975" s="252"/>
      <c r="EBG975" s="252"/>
      <c r="EBH975" s="252"/>
      <c r="EBI975" s="252"/>
      <c r="EBJ975" s="252"/>
      <c r="EBK975" s="252"/>
      <c r="EBL975" s="252"/>
      <c r="EBM975" s="252"/>
      <c r="EBN975" s="252"/>
      <c r="EBO975" s="252"/>
      <c r="EBP975" s="252"/>
      <c r="EBQ975" s="252"/>
      <c r="EBR975" s="252"/>
      <c r="EBS975" s="252"/>
      <c r="EBT975" s="252"/>
      <c r="EBU975" s="252"/>
      <c r="EBV975" s="252"/>
      <c r="EBW975" s="252"/>
      <c r="EBX975" s="252"/>
      <c r="EBY975" s="252"/>
      <c r="EBZ975" s="252"/>
      <c r="ECA975" s="252"/>
      <c r="ECB975" s="252"/>
      <c r="ECC975" s="252"/>
      <c r="ECD975" s="252"/>
      <c r="ECE975" s="252"/>
      <c r="ECF975" s="252"/>
      <c r="ECG975" s="252"/>
      <c r="ECH975" s="252"/>
      <c r="ECI975" s="252"/>
      <c r="ECJ975" s="252"/>
      <c r="ECK975" s="252"/>
      <c r="ECL975" s="252"/>
      <c r="ECM975" s="252"/>
      <c r="ECN975" s="252"/>
      <c r="ECO975" s="252"/>
      <c r="ECP975" s="252"/>
      <c r="ECQ975" s="252"/>
      <c r="ECR975" s="252"/>
      <c r="ECS975" s="252"/>
      <c r="ECT975" s="252"/>
      <c r="ECU975" s="252"/>
      <c r="ECV975" s="252"/>
      <c r="ECW975" s="252"/>
      <c r="ECX975" s="252"/>
      <c r="ECY975" s="252"/>
      <c r="ECZ975" s="252"/>
      <c r="EDA975" s="252"/>
      <c r="EDB975" s="252"/>
      <c r="EDC975" s="252"/>
      <c r="EDD975" s="252"/>
      <c r="EDE975" s="252"/>
      <c r="EDF975" s="252"/>
      <c r="EDG975" s="252"/>
      <c r="EDH975" s="252"/>
      <c r="EDI975" s="252"/>
      <c r="EDJ975" s="252"/>
      <c r="EDK975" s="252"/>
      <c r="EDL975" s="252"/>
      <c r="EDM975" s="252"/>
      <c r="EDN975" s="252"/>
      <c r="EDO975" s="252"/>
      <c r="EDP975" s="252"/>
      <c r="EDQ975" s="252"/>
      <c r="EDR975" s="252"/>
      <c r="EDS975" s="252"/>
      <c r="EDT975" s="252"/>
      <c r="EDU975" s="252"/>
      <c r="EDV975" s="252"/>
      <c r="EDW975" s="252"/>
      <c r="EDX975" s="252"/>
      <c r="EDY975" s="252"/>
      <c r="EDZ975" s="252"/>
      <c r="EEA975" s="252"/>
      <c r="EEB975" s="252"/>
      <c r="EEC975" s="252"/>
      <c r="EED975" s="252"/>
      <c r="EEE975" s="252"/>
      <c r="EEF975" s="252"/>
      <c r="EEG975" s="252"/>
      <c r="EEH975" s="252"/>
      <c r="EEI975" s="252"/>
      <c r="EEJ975" s="252"/>
      <c r="EEK975" s="252"/>
      <c r="EEL975" s="252"/>
      <c r="EEM975" s="252"/>
      <c r="EEN975" s="252"/>
      <c r="EEO975" s="252"/>
      <c r="EEP975" s="252"/>
      <c r="EEQ975" s="252"/>
      <c r="EER975" s="252"/>
      <c r="EES975" s="252"/>
      <c r="EET975" s="252"/>
      <c r="EEU975" s="252"/>
      <c r="EEV975" s="252"/>
      <c r="EEW975" s="252"/>
      <c r="EEX975" s="252"/>
      <c r="EEY975" s="252"/>
      <c r="EEZ975" s="252"/>
      <c r="EFA975" s="252"/>
      <c r="EFB975" s="252"/>
      <c r="EFC975" s="252"/>
      <c r="EFD975" s="252"/>
      <c r="EFE975" s="252"/>
      <c r="EFF975" s="252"/>
      <c r="EFG975" s="252"/>
      <c r="EFH975" s="252"/>
      <c r="EFI975" s="252"/>
      <c r="EFJ975" s="252"/>
      <c r="EFK975" s="252"/>
      <c r="EFL975" s="252"/>
      <c r="EFM975" s="252"/>
      <c r="EFN975" s="252"/>
      <c r="EFO975" s="252"/>
      <c r="EFP975" s="252"/>
      <c r="EFQ975" s="252"/>
      <c r="EFR975" s="252"/>
      <c r="EFS975" s="252"/>
      <c r="EFT975" s="252"/>
      <c r="EFU975" s="252"/>
      <c r="EFV975" s="252"/>
      <c r="EFW975" s="252"/>
      <c r="EFX975" s="252"/>
      <c r="EFY975" s="252"/>
      <c r="EFZ975" s="252"/>
      <c r="EGA975" s="252"/>
      <c r="EGB975" s="252"/>
      <c r="EGC975" s="252"/>
      <c r="EGD975" s="252"/>
      <c r="EGE975" s="252"/>
      <c r="EGF975" s="252"/>
      <c r="EGG975" s="252"/>
      <c r="EGH975" s="252"/>
      <c r="EGI975" s="252"/>
      <c r="EGJ975" s="252"/>
      <c r="EGK975" s="252"/>
      <c r="EGL975" s="252"/>
      <c r="EGM975" s="252"/>
      <c r="EGN975" s="252"/>
      <c r="EGO975" s="252"/>
      <c r="EGP975" s="252"/>
      <c r="EGQ975" s="252"/>
      <c r="EGR975" s="252"/>
      <c r="EGS975" s="252"/>
      <c r="EGT975" s="252"/>
      <c r="EGU975" s="252"/>
      <c r="EGV975" s="252"/>
      <c r="EGW975" s="252"/>
      <c r="EGX975" s="252"/>
      <c r="EGY975" s="252"/>
      <c r="EGZ975" s="252"/>
      <c r="EHA975" s="252"/>
      <c r="EHB975" s="252"/>
      <c r="EHC975" s="252"/>
      <c r="EHD975" s="252"/>
      <c r="EHE975" s="252"/>
      <c r="EHF975" s="252"/>
      <c r="EHG975" s="252"/>
      <c r="EHH975" s="252"/>
      <c r="EHI975" s="252"/>
      <c r="EHJ975" s="252"/>
      <c r="EHK975" s="252"/>
      <c r="EHL975" s="252"/>
      <c r="EHM975" s="252"/>
      <c r="EHN975" s="252"/>
      <c r="EHO975" s="252"/>
      <c r="EHP975" s="252"/>
      <c r="EHQ975" s="252"/>
      <c r="EHR975" s="252"/>
      <c r="EHS975" s="252"/>
      <c r="EHT975" s="252"/>
      <c r="EHU975" s="252"/>
      <c r="EHV975" s="252"/>
      <c r="EHW975" s="252"/>
      <c r="EHX975" s="252"/>
      <c r="EHY975" s="252"/>
      <c r="EHZ975" s="252"/>
      <c r="EIA975" s="252"/>
      <c r="EIB975" s="252"/>
      <c r="EIC975" s="252"/>
      <c r="EID975" s="252"/>
      <c r="EIE975" s="252"/>
      <c r="EIF975" s="252"/>
      <c r="EIG975" s="252"/>
      <c r="EIH975" s="252"/>
      <c r="EII975" s="252"/>
      <c r="EIJ975" s="252"/>
      <c r="EIK975" s="252"/>
      <c r="EIL975" s="252"/>
      <c r="EIM975" s="252"/>
      <c r="EIN975" s="252"/>
      <c r="EIO975" s="252"/>
      <c r="EIP975" s="252"/>
      <c r="EIQ975" s="252"/>
      <c r="EIR975" s="252"/>
      <c r="EIS975" s="252"/>
      <c r="EIT975" s="252"/>
      <c r="EIU975" s="252"/>
      <c r="EIV975" s="252"/>
      <c r="EIW975" s="252"/>
      <c r="EIX975" s="252"/>
      <c r="EIY975" s="252"/>
      <c r="EIZ975" s="252"/>
      <c r="EJA975" s="252"/>
      <c r="EJB975" s="252"/>
      <c r="EJC975" s="252"/>
      <c r="EJD975" s="252"/>
      <c r="EJE975" s="252"/>
      <c r="EJF975" s="252"/>
      <c r="EJG975" s="252"/>
      <c r="EJH975" s="252"/>
      <c r="EJI975" s="252"/>
      <c r="EJJ975" s="252"/>
      <c r="EJK975" s="252"/>
      <c r="EJL975" s="252"/>
      <c r="EJM975" s="252"/>
      <c r="EJN975" s="252"/>
      <c r="EJO975" s="252"/>
      <c r="EJP975" s="252"/>
      <c r="EJQ975" s="252"/>
      <c r="EJR975" s="252"/>
      <c r="EJS975" s="252"/>
      <c r="EJT975" s="252"/>
      <c r="EJU975" s="252"/>
      <c r="EJV975" s="252"/>
      <c r="EJW975" s="252"/>
      <c r="EJX975" s="252"/>
      <c r="EJY975" s="252"/>
      <c r="EJZ975" s="252"/>
      <c r="EKA975" s="252"/>
      <c r="EKB975" s="252"/>
      <c r="EKC975" s="252"/>
      <c r="EKD975" s="252"/>
      <c r="EKE975" s="252"/>
      <c r="EKF975" s="252"/>
      <c r="EKG975" s="252"/>
      <c r="EKH975" s="252"/>
      <c r="EKI975" s="252"/>
      <c r="EKJ975" s="252"/>
      <c r="EKK975" s="252"/>
      <c r="EKL975" s="252"/>
      <c r="EKM975" s="252"/>
      <c r="EKN975" s="252"/>
      <c r="EKO975" s="252"/>
      <c r="EKP975" s="252"/>
      <c r="EKQ975" s="252"/>
      <c r="EKR975" s="252"/>
      <c r="EKS975" s="252"/>
      <c r="EKT975" s="252"/>
      <c r="EKU975" s="252"/>
      <c r="EKV975" s="252"/>
      <c r="EKW975" s="252"/>
      <c r="EKX975" s="252"/>
      <c r="EKY975" s="252"/>
      <c r="EKZ975" s="252"/>
      <c r="ELA975" s="252"/>
      <c r="ELB975" s="252"/>
      <c r="ELC975" s="252"/>
      <c r="ELD975" s="252"/>
      <c r="ELE975" s="252"/>
      <c r="ELF975" s="252"/>
      <c r="ELG975" s="252"/>
      <c r="ELH975" s="252"/>
      <c r="ELI975" s="252"/>
      <c r="ELJ975" s="252"/>
      <c r="ELK975" s="252"/>
      <c r="ELL975" s="252"/>
      <c r="ELM975" s="252"/>
      <c r="ELN975" s="252"/>
      <c r="ELO975" s="252"/>
      <c r="ELP975" s="252"/>
      <c r="ELQ975" s="252"/>
      <c r="ELR975" s="252"/>
      <c r="ELS975" s="252"/>
      <c r="ELT975" s="252"/>
      <c r="ELU975" s="252"/>
      <c r="ELV975" s="252"/>
      <c r="ELW975" s="252"/>
      <c r="ELX975" s="252"/>
      <c r="ELY975" s="252"/>
      <c r="ELZ975" s="252"/>
      <c r="EMA975" s="252"/>
      <c r="EMB975" s="252"/>
      <c r="EMC975" s="252"/>
      <c r="EMD975" s="252"/>
      <c r="EME975" s="252"/>
      <c r="EMF975" s="252"/>
      <c r="EMG975" s="252"/>
      <c r="EMH975" s="252"/>
      <c r="EMI975" s="252"/>
      <c r="EMJ975" s="252"/>
      <c r="EMK975" s="252"/>
      <c r="EML975" s="252"/>
      <c r="EMM975" s="252"/>
      <c r="EMN975" s="252"/>
      <c r="EMO975" s="252"/>
      <c r="EMP975" s="252"/>
      <c r="EMQ975" s="252"/>
      <c r="EMR975" s="252"/>
      <c r="EMS975" s="252"/>
      <c r="EMT975" s="252"/>
      <c r="EMU975" s="252"/>
      <c r="EMV975" s="252"/>
      <c r="EMW975" s="252"/>
      <c r="EMX975" s="252"/>
      <c r="EMY975" s="252"/>
      <c r="EMZ975" s="252"/>
      <c r="ENA975" s="252"/>
      <c r="ENB975" s="252"/>
      <c r="ENC975" s="252"/>
      <c r="END975" s="252"/>
      <c r="ENE975" s="252"/>
      <c r="ENF975" s="252"/>
      <c r="ENG975" s="252"/>
      <c r="ENH975" s="252"/>
      <c r="ENI975" s="252"/>
      <c r="ENJ975" s="252"/>
      <c r="ENK975" s="252"/>
      <c r="ENL975" s="252"/>
      <c r="ENM975" s="252"/>
      <c r="ENN975" s="252"/>
      <c r="ENO975" s="252"/>
      <c r="ENP975" s="252"/>
      <c r="ENQ975" s="252"/>
      <c r="ENR975" s="252"/>
      <c r="ENS975" s="252"/>
      <c r="ENT975" s="252"/>
      <c r="ENU975" s="252"/>
      <c r="ENV975" s="252"/>
      <c r="ENW975" s="252"/>
      <c r="ENX975" s="252"/>
      <c r="ENY975" s="252"/>
      <c r="ENZ975" s="252"/>
      <c r="EOA975" s="252"/>
      <c r="EOB975" s="252"/>
      <c r="EOC975" s="252"/>
      <c r="EOD975" s="252"/>
      <c r="EOE975" s="252"/>
      <c r="EOF975" s="252"/>
      <c r="EOG975" s="252"/>
      <c r="EOH975" s="252"/>
      <c r="EOI975" s="252"/>
      <c r="EOJ975" s="252"/>
      <c r="EOK975" s="252"/>
      <c r="EOL975" s="252"/>
      <c r="EOM975" s="252"/>
      <c r="EON975" s="252"/>
      <c r="EOO975" s="252"/>
      <c r="EOP975" s="252"/>
      <c r="EOQ975" s="252"/>
      <c r="EOR975" s="252"/>
      <c r="EOS975" s="252"/>
      <c r="EOT975" s="252"/>
      <c r="EOU975" s="252"/>
      <c r="EOV975" s="252"/>
      <c r="EOW975" s="252"/>
      <c r="EOX975" s="252"/>
      <c r="EOY975" s="252"/>
      <c r="EOZ975" s="252"/>
      <c r="EPA975" s="252"/>
      <c r="EPB975" s="252"/>
      <c r="EPC975" s="252"/>
      <c r="EPD975" s="252"/>
      <c r="EPE975" s="252"/>
      <c r="EPF975" s="252"/>
      <c r="EPG975" s="252"/>
      <c r="EPH975" s="252"/>
      <c r="EPI975" s="252"/>
      <c r="EPJ975" s="252"/>
      <c r="EPK975" s="252"/>
      <c r="EPL975" s="252"/>
      <c r="EPM975" s="252"/>
      <c r="EPN975" s="252"/>
      <c r="EPO975" s="252"/>
      <c r="EPP975" s="252"/>
      <c r="EPQ975" s="252"/>
      <c r="EPR975" s="252"/>
      <c r="EPS975" s="252"/>
      <c r="EPT975" s="252"/>
      <c r="EPU975" s="252"/>
      <c r="EPV975" s="252"/>
      <c r="EPW975" s="252"/>
      <c r="EPX975" s="252"/>
      <c r="EPY975" s="252"/>
      <c r="EPZ975" s="252"/>
      <c r="EQA975" s="252"/>
      <c r="EQB975" s="252"/>
      <c r="EQC975" s="252"/>
      <c r="EQD975" s="252"/>
      <c r="EQE975" s="252"/>
      <c r="EQF975" s="252"/>
      <c r="EQG975" s="252"/>
      <c r="EQH975" s="252"/>
      <c r="EQI975" s="252"/>
      <c r="EQJ975" s="252"/>
      <c r="EQK975" s="252"/>
      <c r="EQL975" s="252"/>
      <c r="EQM975" s="252"/>
      <c r="EQN975" s="252"/>
      <c r="EQO975" s="252"/>
      <c r="EQP975" s="252"/>
      <c r="EQQ975" s="252"/>
      <c r="EQR975" s="252"/>
      <c r="EQS975" s="252"/>
      <c r="EQT975" s="252"/>
      <c r="EQU975" s="252"/>
      <c r="EQV975" s="252"/>
      <c r="EQW975" s="252"/>
      <c r="EQX975" s="252"/>
      <c r="EQY975" s="252"/>
      <c r="EQZ975" s="252"/>
      <c r="ERA975" s="252"/>
      <c r="ERB975" s="252"/>
      <c r="ERC975" s="252"/>
      <c r="ERD975" s="252"/>
      <c r="ERE975" s="252"/>
      <c r="ERF975" s="252"/>
      <c r="ERG975" s="252"/>
      <c r="ERH975" s="252"/>
      <c r="ERI975" s="252"/>
      <c r="ERJ975" s="252"/>
      <c r="ERK975" s="252"/>
      <c r="ERL975" s="252"/>
      <c r="ERM975" s="252"/>
      <c r="ERN975" s="252"/>
      <c r="ERO975" s="252"/>
      <c r="ERP975" s="252"/>
      <c r="ERQ975" s="252"/>
      <c r="ERR975" s="252"/>
      <c r="ERS975" s="252"/>
      <c r="ERT975" s="252"/>
      <c r="ERU975" s="252"/>
      <c r="ERV975" s="252"/>
      <c r="ERW975" s="252"/>
      <c r="ERX975" s="252"/>
      <c r="ERY975" s="252"/>
      <c r="ERZ975" s="252"/>
      <c r="ESA975" s="252"/>
      <c r="ESB975" s="252"/>
      <c r="ESC975" s="252"/>
      <c r="ESD975" s="252"/>
      <c r="ESE975" s="252"/>
      <c r="ESF975" s="252"/>
      <c r="ESG975" s="252"/>
      <c r="ESH975" s="252"/>
      <c r="ESI975" s="252"/>
      <c r="ESJ975" s="252"/>
      <c r="ESK975" s="252"/>
      <c r="ESL975" s="252"/>
      <c r="ESM975" s="252"/>
      <c r="ESN975" s="252"/>
      <c r="ESO975" s="252"/>
      <c r="ESP975" s="252"/>
      <c r="ESQ975" s="252"/>
      <c r="ESR975" s="252"/>
      <c r="ESS975" s="252"/>
      <c r="EST975" s="252"/>
      <c r="ESU975" s="252"/>
      <c r="ESV975" s="252"/>
      <c r="ESW975" s="252"/>
      <c r="ESX975" s="252"/>
      <c r="ESY975" s="252"/>
      <c r="ESZ975" s="252"/>
      <c r="ETA975" s="252"/>
      <c r="ETB975" s="252"/>
      <c r="ETC975" s="252"/>
      <c r="ETD975" s="252"/>
      <c r="ETE975" s="252"/>
      <c r="ETF975" s="252"/>
      <c r="ETG975" s="252"/>
      <c r="ETH975" s="252"/>
      <c r="ETI975" s="252"/>
      <c r="ETJ975" s="252"/>
      <c r="ETK975" s="252"/>
      <c r="ETL975" s="252"/>
      <c r="ETM975" s="252"/>
      <c r="ETN975" s="252"/>
      <c r="ETO975" s="252"/>
      <c r="ETP975" s="252"/>
      <c r="ETQ975" s="252"/>
      <c r="ETR975" s="252"/>
      <c r="ETS975" s="252"/>
      <c r="ETT975" s="252"/>
      <c r="ETU975" s="252"/>
      <c r="ETV975" s="252"/>
      <c r="ETW975" s="252"/>
      <c r="ETX975" s="252"/>
      <c r="ETY975" s="252"/>
      <c r="ETZ975" s="252"/>
      <c r="EUA975" s="252"/>
      <c r="EUB975" s="252"/>
      <c r="EUC975" s="252"/>
      <c r="EUD975" s="252"/>
      <c r="EUE975" s="252"/>
      <c r="EUF975" s="252"/>
      <c r="EUG975" s="252"/>
      <c r="EUH975" s="252"/>
      <c r="EUI975" s="252"/>
      <c r="EUJ975" s="252"/>
      <c r="EUK975" s="252"/>
      <c r="EUL975" s="252"/>
      <c r="EUM975" s="252"/>
      <c r="EUN975" s="252"/>
      <c r="EUO975" s="252"/>
      <c r="EUP975" s="252"/>
      <c r="EUQ975" s="252"/>
      <c r="EUR975" s="252"/>
      <c r="EUS975" s="252"/>
      <c r="EUT975" s="252"/>
      <c r="EUU975" s="252"/>
      <c r="EUV975" s="252"/>
      <c r="EUW975" s="252"/>
      <c r="EUX975" s="252"/>
      <c r="EUY975" s="252"/>
      <c r="EUZ975" s="252"/>
      <c r="EVA975" s="252"/>
      <c r="EVB975" s="252"/>
      <c r="EVC975" s="252"/>
      <c r="EVD975" s="252"/>
      <c r="EVE975" s="252"/>
      <c r="EVF975" s="252"/>
      <c r="EVG975" s="252"/>
      <c r="EVH975" s="252"/>
      <c r="EVI975" s="252"/>
      <c r="EVJ975" s="252"/>
      <c r="EVK975" s="252"/>
      <c r="EVL975" s="252"/>
      <c r="EVM975" s="252"/>
      <c r="EVN975" s="252"/>
      <c r="EVO975" s="252"/>
      <c r="EVP975" s="252"/>
      <c r="EVQ975" s="252"/>
      <c r="EVR975" s="252"/>
      <c r="EVS975" s="252"/>
      <c r="EVT975" s="252"/>
      <c r="EVU975" s="252"/>
      <c r="EVV975" s="252"/>
      <c r="EVW975" s="252"/>
      <c r="EVX975" s="252"/>
      <c r="EVY975" s="252"/>
      <c r="EVZ975" s="252"/>
      <c r="EWA975" s="252"/>
      <c r="EWB975" s="252"/>
      <c r="EWC975" s="252"/>
      <c r="EWD975" s="252"/>
      <c r="EWE975" s="252"/>
      <c r="EWF975" s="252"/>
      <c r="EWG975" s="252"/>
      <c r="EWH975" s="252"/>
      <c r="EWI975" s="252"/>
      <c r="EWJ975" s="252"/>
      <c r="EWK975" s="252"/>
      <c r="EWL975" s="252"/>
      <c r="EWM975" s="252"/>
      <c r="EWN975" s="252"/>
      <c r="EWO975" s="252"/>
      <c r="EWP975" s="252"/>
      <c r="EWQ975" s="252"/>
      <c r="EWR975" s="252"/>
      <c r="EWS975" s="252"/>
      <c r="EWT975" s="252"/>
      <c r="EWU975" s="252"/>
      <c r="EWV975" s="252"/>
      <c r="EWW975" s="252"/>
      <c r="EWX975" s="252"/>
      <c r="EWY975" s="252"/>
      <c r="EWZ975" s="252"/>
      <c r="EXA975" s="252"/>
      <c r="EXB975" s="252"/>
      <c r="EXC975" s="252"/>
      <c r="EXD975" s="252"/>
      <c r="EXE975" s="252"/>
      <c r="EXF975" s="252"/>
      <c r="EXG975" s="252"/>
      <c r="EXH975" s="252"/>
      <c r="EXI975" s="252"/>
      <c r="EXJ975" s="252"/>
      <c r="EXK975" s="252"/>
      <c r="EXL975" s="252"/>
      <c r="EXM975" s="252"/>
      <c r="EXN975" s="252"/>
      <c r="EXO975" s="252"/>
      <c r="EXP975" s="252"/>
      <c r="EXQ975" s="252"/>
      <c r="EXR975" s="252"/>
      <c r="EXS975" s="252"/>
      <c r="EXT975" s="252"/>
      <c r="EXU975" s="252"/>
      <c r="EXV975" s="252"/>
      <c r="EXW975" s="252"/>
      <c r="EXX975" s="252"/>
      <c r="EXY975" s="252"/>
      <c r="EXZ975" s="252"/>
      <c r="EYA975" s="252"/>
      <c r="EYB975" s="252"/>
      <c r="EYC975" s="252"/>
      <c r="EYD975" s="252"/>
      <c r="EYE975" s="252"/>
      <c r="EYF975" s="252"/>
      <c r="EYG975" s="252"/>
      <c r="EYH975" s="252"/>
      <c r="EYI975" s="252"/>
      <c r="EYJ975" s="252"/>
      <c r="EYK975" s="252"/>
      <c r="EYL975" s="252"/>
      <c r="EYM975" s="252"/>
      <c r="EYN975" s="252"/>
      <c r="EYO975" s="252"/>
      <c r="EYP975" s="252"/>
      <c r="EYQ975" s="252"/>
      <c r="EYR975" s="252"/>
      <c r="EYS975" s="252"/>
      <c r="EYT975" s="252"/>
      <c r="EYU975" s="252"/>
      <c r="EYV975" s="252"/>
      <c r="EYW975" s="252"/>
      <c r="EYX975" s="252"/>
      <c r="EYY975" s="252"/>
      <c r="EYZ975" s="252"/>
      <c r="EZA975" s="252"/>
      <c r="EZB975" s="252"/>
      <c r="EZC975" s="252"/>
      <c r="EZD975" s="252"/>
      <c r="EZE975" s="252"/>
      <c r="EZF975" s="252"/>
      <c r="EZG975" s="252"/>
      <c r="EZH975" s="252"/>
      <c r="EZI975" s="252"/>
      <c r="EZJ975" s="252"/>
      <c r="EZK975" s="252"/>
      <c r="EZL975" s="252"/>
      <c r="EZM975" s="252"/>
      <c r="EZN975" s="252"/>
      <c r="EZO975" s="252"/>
      <c r="EZP975" s="252"/>
      <c r="EZQ975" s="252"/>
      <c r="EZR975" s="252"/>
      <c r="EZS975" s="252"/>
      <c r="EZT975" s="252"/>
      <c r="EZU975" s="252"/>
      <c r="EZV975" s="252"/>
      <c r="EZW975" s="252"/>
      <c r="EZX975" s="252"/>
      <c r="EZY975" s="252"/>
      <c r="EZZ975" s="252"/>
      <c r="FAA975" s="252"/>
      <c r="FAB975" s="252"/>
      <c r="FAC975" s="252"/>
      <c r="FAD975" s="252"/>
      <c r="FAE975" s="252"/>
      <c r="FAF975" s="252"/>
      <c r="FAG975" s="252"/>
      <c r="FAH975" s="252"/>
      <c r="FAI975" s="252"/>
      <c r="FAJ975" s="252"/>
      <c r="FAK975" s="252"/>
      <c r="FAL975" s="252"/>
      <c r="FAM975" s="252"/>
      <c r="FAN975" s="252"/>
      <c r="FAO975" s="252"/>
      <c r="FAP975" s="252"/>
      <c r="FAQ975" s="252"/>
      <c r="FAR975" s="252"/>
      <c r="FAS975" s="252"/>
      <c r="FAT975" s="252"/>
      <c r="FAU975" s="252"/>
      <c r="FAV975" s="252"/>
      <c r="FAW975" s="252"/>
      <c r="FAX975" s="252"/>
      <c r="FAY975" s="252"/>
      <c r="FAZ975" s="252"/>
      <c r="FBA975" s="252"/>
      <c r="FBB975" s="252"/>
      <c r="FBC975" s="252"/>
      <c r="FBD975" s="252"/>
      <c r="FBE975" s="252"/>
      <c r="FBF975" s="252"/>
      <c r="FBG975" s="252"/>
      <c r="FBH975" s="252"/>
      <c r="FBI975" s="252"/>
      <c r="FBJ975" s="252"/>
      <c r="FBK975" s="252"/>
      <c r="FBL975" s="252"/>
      <c r="FBM975" s="252"/>
      <c r="FBN975" s="252"/>
      <c r="FBO975" s="252"/>
      <c r="FBP975" s="252"/>
      <c r="FBQ975" s="252"/>
      <c r="FBR975" s="252"/>
      <c r="FBS975" s="252"/>
      <c r="FBT975" s="252"/>
      <c r="FBU975" s="252"/>
      <c r="FBV975" s="252"/>
      <c r="FBW975" s="252"/>
      <c r="FBX975" s="252"/>
      <c r="FBY975" s="252"/>
      <c r="FBZ975" s="252"/>
      <c r="FCA975" s="252"/>
      <c r="FCB975" s="252"/>
      <c r="FCC975" s="252"/>
      <c r="FCD975" s="252"/>
      <c r="FCE975" s="252"/>
      <c r="FCF975" s="252"/>
      <c r="FCG975" s="252"/>
      <c r="FCH975" s="252"/>
      <c r="FCI975" s="252"/>
      <c r="FCJ975" s="252"/>
      <c r="FCK975" s="252"/>
      <c r="FCL975" s="252"/>
      <c r="FCM975" s="252"/>
      <c r="FCN975" s="252"/>
      <c r="FCO975" s="252"/>
      <c r="FCP975" s="252"/>
      <c r="FCQ975" s="252"/>
      <c r="FCR975" s="252"/>
      <c r="FCS975" s="252"/>
      <c r="FCT975" s="252"/>
      <c r="FCU975" s="252"/>
      <c r="FCV975" s="252"/>
      <c r="FCW975" s="252"/>
      <c r="FCX975" s="252"/>
      <c r="FCY975" s="252"/>
      <c r="FCZ975" s="252"/>
      <c r="FDA975" s="252"/>
      <c r="FDB975" s="252"/>
      <c r="FDC975" s="252"/>
      <c r="FDD975" s="252"/>
      <c r="FDE975" s="252"/>
      <c r="FDF975" s="252"/>
      <c r="FDG975" s="252"/>
      <c r="FDH975" s="252"/>
      <c r="FDI975" s="252"/>
      <c r="FDJ975" s="252"/>
      <c r="FDK975" s="252"/>
      <c r="FDL975" s="252"/>
      <c r="FDM975" s="252"/>
      <c r="FDN975" s="252"/>
      <c r="FDO975" s="252"/>
      <c r="FDP975" s="252"/>
      <c r="FDQ975" s="252"/>
      <c r="FDR975" s="252"/>
      <c r="FDS975" s="252"/>
      <c r="FDT975" s="252"/>
      <c r="FDU975" s="252"/>
      <c r="FDV975" s="252"/>
      <c r="FDW975" s="252"/>
      <c r="FDX975" s="252"/>
      <c r="FDY975" s="252"/>
      <c r="FDZ975" s="252"/>
      <c r="FEA975" s="252"/>
      <c r="FEB975" s="252"/>
      <c r="FEC975" s="252"/>
      <c r="FED975" s="252"/>
      <c r="FEE975" s="252"/>
      <c r="FEF975" s="252"/>
      <c r="FEG975" s="252"/>
      <c r="FEH975" s="252"/>
      <c r="FEI975" s="252"/>
      <c r="FEJ975" s="252"/>
      <c r="FEK975" s="252"/>
      <c r="FEL975" s="252"/>
      <c r="FEM975" s="252"/>
      <c r="FEN975" s="252"/>
      <c r="FEO975" s="252"/>
      <c r="FEP975" s="252"/>
      <c r="FEQ975" s="252"/>
      <c r="FER975" s="252"/>
      <c r="FES975" s="252"/>
      <c r="FET975" s="252"/>
      <c r="FEU975" s="252"/>
      <c r="FEV975" s="252"/>
      <c r="FEW975" s="252"/>
      <c r="FEX975" s="252"/>
      <c r="FEY975" s="252"/>
      <c r="FEZ975" s="252"/>
      <c r="FFA975" s="252"/>
      <c r="FFB975" s="252"/>
      <c r="FFC975" s="252"/>
      <c r="FFD975" s="252"/>
      <c r="FFE975" s="252"/>
      <c r="FFF975" s="252"/>
      <c r="FFG975" s="252"/>
      <c r="FFH975" s="252"/>
      <c r="FFI975" s="252"/>
      <c r="FFJ975" s="252"/>
      <c r="FFK975" s="252"/>
      <c r="FFL975" s="252"/>
      <c r="FFM975" s="252"/>
      <c r="FFN975" s="252"/>
      <c r="FFO975" s="252"/>
      <c r="FFP975" s="252"/>
      <c r="FFQ975" s="252"/>
      <c r="FFR975" s="252"/>
      <c r="FFS975" s="252"/>
      <c r="FFT975" s="252"/>
      <c r="FFU975" s="252"/>
      <c r="FFV975" s="252"/>
      <c r="FFW975" s="252"/>
      <c r="FFX975" s="252"/>
      <c r="FFY975" s="252"/>
      <c r="FFZ975" s="252"/>
      <c r="FGA975" s="252"/>
      <c r="FGB975" s="252"/>
      <c r="FGC975" s="252"/>
      <c r="FGD975" s="252"/>
      <c r="FGE975" s="252"/>
      <c r="FGF975" s="252"/>
      <c r="FGG975" s="252"/>
      <c r="FGH975" s="252"/>
      <c r="FGI975" s="252"/>
      <c r="FGJ975" s="252"/>
      <c r="FGK975" s="252"/>
      <c r="FGL975" s="252"/>
      <c r="FGM975" s="252"/>
      <c r="FGN975" s="252"/>
      <c r="FGO975" s="252"/>
      <c r="FGP975" s="252"/>
      <c r="FGQ975" s="252"/>
      <c r="FGR975" s="252"/>
      <c r="FGS975" s="252"/>
      <c r="FGT975" s="252"/>
      <c r="FGU975" s="252"/>
      <c r="FGV975" s="252"/>
      <c r="FGW975" s="252"/>
      <c r="FGX975" s="252"/>
      <c r="FGY975" s="252"/>
      <c r="FGZ975" s="252"/>
      <c r="FHA975" s="252"/>
      <c r="FHB975" s="252"/>
      <c r="FHC975" s="252"/>
      <c r="FHD975" s="252"/>
      <c r="FHE975" s="252"/>
      <c r="FHF975" s="252"/>
      <c r="FHG975" s="252"/>
      <c r="FHH975" s="252"/>
      <c r="FHI975" s="252"/>
      <c r="FHJ975" s="252"/>
      <c r="FHK975" s="252"/>
      <c r="FHL975" s="252"/>
      <c r="FHM975" s="252"/>
      <c r="FHN975" s="252"/>
      <c r="FHO975" s="252"/>
      <c r="FHP975" s="252"/>
      <c r="FHQ975" s="252"/>
      <c r="FHR975" s="252"/>
      <c r="FHS975" s="252"/>
      <c r="FHT975" s="252"/>
      <c r="FHU975" s="252"/>
      <c r="FHV975" s="252"/>
      <c r="FHW975" s="252"/>
      <c r="FHX975" s="252"/>
      <c r="FHY975" s="252"/>
      <c r="FHZ975" s="252"/>
      <c r="FIA975" s="252"/>
      <c r="FIB975" s="252"/>
      <c r="FIC975" s="252"/>
      <c r="FID975" s="252"/>
      <c r="FIE975" s="252"/>
      <c r="FIF975" s="252"/>
      <c r="FIG975" s="252"/>
      <c r="FIH975" s="252"/>
      <c r="FII975" s="252"/>
      <c r="FIJ975" s="252"/>
      <c r="FIK975" s="252"/>
      <c r="FIL975" s="252"/>
      <c r="FIM975" s="252"/>
      <c r="FIN975" s="252"/>
      <c r="FIO975" s="252"/>
      <c r="FIP975" s="252"/>
      <c r="FIQ975" s="252"/>
      <c r="FIR975" s="252"/>
      <c r="FIS975" s="252"/>
      <c r="FIT975" s="252"/>
      <c r="FIU975" s="252"/>
      <c r="FIV975" s="252"/>
      <c r="FIW975" s="252"/>
      <c r="FIX975" s="252"/>
      <c r="FIY975" s="252"/>
      <c r="FIZ975" s="252"/>
      <c r="FJA975" s="252"/>
      <c r="FJB975" s="252"/>
      <c r="FJC975" s="252"/>
      <c r="FJD975" s="252"/>
      <c r="FJE975" s="252"/>
      <c r="FJF975" s="252"/>
      <c r="FJG975" s="252"/>
      <c r="FJH975" s="252"/>
      <c r="FJI975" s="252"/>
      <c r="FJJ975" s="252"/>
      <c r="FJK975" s="252"/>
      <c r="FJL975" s="252"/>
      <c r="FJM975" s="252"/>
      <c r="FJN975" s="252"/>
      <c r="FJO975" s="252"/>
      <c r="FJP975" s="252"/>
      <c r="FJQ975" s="252"/>
      <c r="FJR975" s="252"/>
      <c r="FJS975" s="252"/>
      <c r="FJT975" s="252"/>
      <c r="FJU975" s="252"/>
      <c r="FJV975" s="252"/>
      <c r="FJW975" s="252"/>
      <c r="FJX975" s="252"/>
      <c r="FJY975" s="252"/>
      <c r="FJZ975" s="252"/>
      <c r="FKA975" s="252"/>
      <c r="FKB975" s="252"/>
      <c r="FKC975" s="252"/>
      <c r="FKD975" s="252"/>
      <c r="FKE975" s="252"/>
      <c r="FKF975" s="252"/>
      <c r="FKG975" s="252"/>
      <c r="FKH975" s="252"/>
      <c r="FKI975" s="252"/>
      <c r="FKJ975" s="252"/>
      <c r="FKK975" s="252"/>
      <c r="FKL975" s="252"/>
      <c r="FKM975" s="252"/>
      <c r="FKN975" s="252"/>
      <c r="FKO975" s="252"/>
      <c r="FKP975" s="252"/>
      <c r="FKQ975" s="252"/>
      <c r="FKR975" s="252"/>
      <c r="FKS975" s="252"/>
      <c r="FKT975" s="252"/>
      <c r="FKU975" s="252"/>
      <c r="FKV975" s="252"/>
      <c r="FKW975" s="252"/>
      <c r="FKX975" s="252"/>
      <c r="FKY975" s="252"/>
      <c r="FKZ975" s="252"/>
      <c r="FLA975" s="252"/>
      <c r="FLB975" s="252"/>
      <c r="FLC975" s="252"/>
      <c r="FLD975" s="252"/>
      <c r="FLE975" s="252"/>
      <c r="FLF975" s="252"/>
      <c r="FLG975" s="252"/>
      <c r="FLH975" s="252"/>
      <c r="FLI975" s="252"/>
      <c r="FLJ975" s="252"/>
      <c r="FLK975" s="252"/>
      <c r="FLL975" s="252"/>
      <c r="FLM975" s="252"/>
      <c r="FLN975" s="252"/>
      <c r="FLO975" s="252"/>
      <c r="FLP975" s="252"/>
      <c r="FLQ975" s="252"/>
      <c r="FLR975" s="252"/>
      <c r="FLS975" s="252"/>
      <c r="FLT975" s="252"/>
      <c r="FLU975" s="252"/>
      <c r="FLV975" s="252"/>
      <c r="FLW975" s="252"/>
      <c r="FLX975" s="252"/>
      <c r="FLY975" s="252"/>
      <c r="FLZ975" s="252"/>
      <c r="FMA975" s="252"/>
      <c r="FMB975" s="252"/>
      <c r="FMC975" s="252"/>
      <c r="FMD975" s="252"/>
      <c r="FME975" s="252"/>
      <c r="FMF975" s="252"/>
      <c r="FMG975" s="252"/>
      <c r="FMH975" s="252"/>
      <c r="FMI975" s="252"/>
      <c r="FMJ975" s="252"/>
      <c r="FMK975" s="252"/>
      <c r="FML975" s="252"/>
      <c r="FMM975" s="252"/>
      <c r="FMN975" s="252"/>
      <c r="FMO975" s="252"/>
      <c r="FMP975" s="252"/>
      <c r="FMQ975" s="252"/>
      <c r="FMR975" s="252"/>
      <c r="FMS975" s="252"/>
      <c r="FMT975" s="252"/>
      <c r="FMU975" s="252"/>
      <c r="FMV975" s="252"/>
      <c r="FMW975" s="252"/>
      <c r="FMX975" s="252"/>
      <c r="FMY975" s="252"/>
      <c r="FMZ975" s="252"/>
      <c r="FNA975" s="252"/>
      <c r="FNB975" s="252"/>
      <c r="FNC975" s="252"/>
      <c r="FND975" s="252"/>
      <c r="FNE975" s="252"/>
      <c r="FNF975" s="252"/>
      <c r="FNG975" s="252"/>
      <c r="FNH975" s="252"/>
      <c r="FNI975" s="252"/>
      <c r="FNJ975" s="252"/>
      <c r="FNK975" s="252"/>
      <c r="FNL975" s="252"/>
      <c r="FNM975" s="252"/>
      <c r="FNN975" s="252"/>
      <c r="FNO975" s="252"/>
      <c r="FNP975" s="252"/>
      <c r="FNQ975" s="252"/>
      <c r="FNR975" s="252"/>
      <c r="FNS975" s="252"/>
      <c r="FNT975" s="252"/>
      <c r="FNU975" s="252"/>
      <c r="FNV975" s="252"/>
      <c r="FNW975" s="252"/>
      <c r="FNX975" s="252"/>
      <c r="FNY975" s="252"/>
      <c r="FNZ975" s="252"/>
      <c r="FOA975" s="252"/>
      <c r="FOB975" s="252"/>
      <c r="FOC975" s="252"/>
      <c r="FOD975" s="252"/>
      <c r="FOE975" s="252"/>
      <c r="FOF975" s="252"/>
      <c r="FOG975" s="252"/>
      <c r="FOH975" s="252"/>
      <c r="FOI975" s="252"/>
      <c r="FOJ975" s="252"/>
      <c r="FOK975" s="252"/>
      <c r="FOL975" s="252"/>
      <c r="FOM975" s="252"/>
      <c r="FON975" s="252"/>
      <c r="FOO975" s="252"/>
      <c r="FOP975" s="252"/>
      <c r="FOQ975" s="252"/>
      <c r="FOR975" s="252"/>
      <c r="FOS975" s="252"/>
      <c r="FOT975" s="252"/>
      <c r="FOU975" s="252"/>
      <c r="FOV975" s="252"/>
      <c r="FOW975" s="252"/>
      <c r="FOX975" s="252"/>
      <c r="FOY975" s="252"/>
      <c r="FOZ975" s="252"/>
      <c r="FPA975" s="252"/>
      <c r="FPB975" s="252"/>
      <c r="FPC975" s="252"/>
      <c r="FPD975" s="252"/>
      <c r="FPE975" s="252"/>
      <c r="FPF975" s="252"/>
      <c r="FPG975" s="252"/>
      <c r="FPH975" s="252"/>
      <c r="FPI975" s="252"/>
      <c r="FPJ975" s="252"/>
      <c r="FPK975" s="252"/>
      <c r="FPL975" s="252"/>
      <c r="FPM975" s="252"/>
      <c r="FPN975" s="252"/>
      <c r="FPO975" s="252"/>
      <c r="FPP975" s="252"/>
      <c r="FPQ975" s="252"/>
      <c r="FPR975" s="252"/>
      <c r="FPS975" s="252"/>
      <c r="FPT975" s="252"/>
      <c r="FPU975" s="252"/>
      <c r="FPV975" s="252"/>
      <c r="FPW975" s="252"/>
      <c r="FPX975" s="252"/>
      <c r="FPY975" s="252"/>
      <c r="FPZ975" s="252"/>
      <c r="FQA975" s="252"/>
      <c r="FQB975" s="252"/>
      <c r="FQC975" s="252"/>
      <c r="FQD975" s="252"/>
      <c r="FQE975" s="252"/>
      <c r="FQF975" s="252"/>
      <c r="FQG975" s="252"/>
      <c r="FQH975" s="252"/>
      <c r="FQI975" s="252"/>
      <c r="FQJ975" s="252"/>
      <c r="FQK975" s="252"/>
      <c r="FQL975" s="252"/>
      <c r="FQM975" s="252"/>
      <c r="FQN975" s="252"/>
      <c r="FQO975" s="252"/>
      <c r="FQP975" s="252"/>
      <c r="FQQ975" s="252"/>
      <c r="FQR975" s="252"/>
      <c r="FQS975" s="252"/>
      <c r="FQT975" s="252"/>
      <c r="FQU975" s="252"/>
      <c r="FQV975" s="252"/>
      <c r="FQW975" s="252"/>
      <c r="FQX975" s="252"/>
      <c r="FQY975" s="252"/>
      <c r="FQZ975" s="252"/>
      <c r="FRA975" s="252"/>
      <c r="FRB975" s="252"/>
      <c r="FRC975" s="252"/>
      <c r="FRD975" s="252"/>
      <c r="FRE975" s="252"/>
      <c r="FRF975" s="252"/>
      <c r="FRG975" s="252"/>
      <c r="FRH975" s="252"/>
      <c r="FRI975" s="252"/>
      <c r="FRJ975" s="252"/>
      <c r="FRK975" s="252"/>
      <c r="FRL975" s="252"/>
      <c r="FRM975" s="252"/>
      <c r="FRN975" s="252"/>
      <c r="FRO975" s="252"/>
      <c r="FRP975" s="252"/>
      <c r="FRQ975" s="252"/>
      <c r="FRR975" s="252"/>
      <c r="FRS975" s="252"/>
      <c r="FRT975" s="252"/>
      <c r="FRU975" s="252"/>
      <c r="FRV975" s="252"/>
      <c r="FRW975" s="252"/>
      <c r="FRX975" s="252"/>
      <c r="FRY975" s="252"/>
      <c r="FRZ975" s="252"/>
      <c r="FSA975" s="252"/>
      <c r="FSB975" s="252"/>
      <c r="FSC975" s="252"/>
      <c r="FSD975" s="252"/>
      <c r="FSE975" s="252"/>
      <c r="FSF975" s="252"/>
      <c r="FSG975" s="252"/>
      <c r="FSH975" s="252"/>
      <c r="FSI975" s="252"/>
      <c r="FSJ975" s="252"/>
      <c r="FSK975" s="252"/>
      <c r="FSL975" s="252"/>
      <c r="FSM975" s="252"/>
      <c r="FSN975" s="252"/>
      <c r="FSO975" s="252"/>
      <c r="FSP975" s="252"/>
      <c r="FSQ975" s="252"/>
      <c r="FSR975" s="252"/>
      <c r="FSS975" s="252"/>
      <c r="FST975" s="252"/>
      <c r="FSU975" s="252"/>
      <c r="FSV975" s="252"/>
      <c r="FSW975" s="252"/>
      <c r="FSX975" s="252"/>
      <c r="FSY975" s="252"/>
      <c r="FSZ975" s="252"/>
      <c r="FTA975" s="252"/>
      <c r="FTB975" s="252"/>
      <c r="FTC975" s="252"/>
      <c r="FTD975" s="252"/>
      <c r="FTE975" s="252"/>
      <c r="FTF975" s="252"/>
      <c r="FTG975" s="252"/>
      <c r="FTH975" s="252"/>
      <c r="FTI975" s="252"/>
      <c r="FTJ975" s="252"/>
      <c r="FTK975" s="252"/>
      <c r="FTL975" s="252"/>
      <c r="FTM975" s="252"/>
      <c r="FTN975" s="252"/>
      <c r="FTO975" s="252"/>
      <c r="FTP975" s="252"/>
      <c r="FTQ975" s="252"/>
      <c r="FTR975" s="252"/>
      <c r="FTS975" s="252"/>
      <c r="FTT975" s="252"/>
      <c r="FTU975" s="252"/>
      <c r="FTV975" s="252"/>
      <c r="FTW975" s="252"/>
      <c r="FTX975" s="252"/>
      <c r="FTY975" s="252"/>
      <c r="FTZ975" s="252"/>
      <c r="FUA975" s="252"/>
      <c r="FUB975" s="252"/>
      <c r="FUC975" s="252"/>
      <c r="FUD975" s="252"/>
      <c r="FUE975" s="252"/>
      <c r="FUF975" s="252"/>
      <c r="FUG975" s="252"/>
      <c r="FUH975" s="252"/>
      <c r="FUI975" s="252"/>
      <c r="FUJ975" s="252"/>
      <c r="FUK975" s="252"/>
      <c r="FUL975" s="252"/>
      <c r="FUM975" s="252"/>
      <c r="FUN975" s="252"/>
      <c r="FUO975" s="252"/>
      <c r="FUP975" s="252"/>
      <c r="FUQ975" s="252"/>
      <c r="FUR975" s="252"/>
      <c r="FUS975" s="252"/>
      <c r="FUT975" s="252"/>
      <c r="FUU975" s="252"/>
      <c r="FUV975" s="252"/>
      <c r="FUW975" s="252"/>
      <c r="FUX975" s="252"/>
      <c r="FUY975" s="252"/>
      <c r="FUZ975" s="252"/>
      <c r="FVA975" s="252"/>
      <c r="FVB975" s="252"/>
      <c r="FVC975" s="252"/>
      <c r="FVD975" s="252"/>
      <c r="FVE975" s="252"/>
      <c r="FVF975" s="252"/>
      <c r="FVG975" s="252"/>
      <c r="FVH975" s="252"/>
      <c r="FVI975" s="252"/>
      <c r="FVJ975" s="252"/>
      <c r="FVK975" s="252"/>
      <c r="FVL975" s="252"/>
      <c r="FVM975" s="252"/>
      <c r="FVN975" s="252"/>
      <c r="FVO975" s="252"/>
      <c r="FVP975" s="252"/>
      <c r="FVQ975" s="252"/>
      <c r="FVR975" s="252"/>
      <c r="FVS975" s="252"/>
      <c r="FVT975" s="252"/>
      <c r="FVU975" s="252"/>
      <c r="FVV975" s="252"/>
      <c r="FVW975" s="252"/>
      <c r="FVX975" s="252"/>
      <c r="FVY975" s="252"/>
      <c r="FVZ975" s="252"/>
      <c r="FWA975" s="252"/>
      <c r="FWB975" s="252"/>
      <c r="FWC975" s="252"/>
      <c r="FWD975" s="252"/>
      <c r="FWE975" s="252"/>
      <c r="FWF975" s="252"/>
      <c r="FWG975" s="252"/>
      <c r="FWH975" s="252"/>
      <c r="FWI975" s="252"/>
      <c r="FWJ975" s="252"/>
      <c r="FWK975" s="252"/>
      <c r="FWL975" s="252"/>
      <c r="FWM975" s="252"/>
      <c r="FWN975" s="252"/>
      <c r="FWO975" s="252"/>
      <c r="FWP975" s="252"/>
      <c r="FWQ975" s="252"/>
      <c r="FWR975" s="252"/>
      <c r="FWS975" s="252"/>
      <c r="FWT975" s="252"/>
      <c r="FWU975" s="252"/>
      <c r="FWV975" s="252"/>
      <c r="FWW975" s="252"/>
      <c r="FWX975" s="252"/>
      <c r="FWY975" s="252"/>
      <c r="FWZ975" s="252"/>
      <c r="FXA975" s="252"/>
      <c r="FXB975" s="252"/>
      <c r="FXC975" s="252"/>
      <c r="FXD975" s="252"/>
      <c r="FXE975" s="252"/>
      <c r="FXF975" s="252"/>
      <c r="FXG975" s="252"/>
      <c r="FXH975" s="252"/>
      <c r="FXI975" s="252"/>
      <c r="FXJ975" s="252"/>
      <c r="FXK975" s="252"/>
      <c r="FXL975" s="252"/>
      <c r="FXM975" s="252"/>
      <c r="FXN975" s="252"/>
      <c r="FXO975" s="252"/>
      <c r="FXP975" s="252"/>
      <c r="FXQ975" s="252"/>
      <c r="FXR975" s="252"/>
      <c r="FXS975" s="252"/>
      <c r="FXT975" s="252"/>
      <c r="FXU975" s="252"/>
      <c r="FXV975" s="252"/>
      <c r="FXW975" s="252"/>
      <c r="FXX975" s="252"/>
      <c r="FXY975" s="252"/>
      <c r="FXZ975" s="252"/>
      <c r="FYA975" s="252"/>
      <c r="FYB975" s="252"/>
      <c r="FYC975" s="252"/>
      <c r="FYD975" s="252"/>
      <c r="FYE975" s="252"/>
      <c r="FYF975" s="252"/>
      <c r="FYG975" s="252"/>
      <c r="FYH975" s="252"/>
      <c r="FYI975" s="252"/>
      <c r="FYJ975" s="252"/>
      <c r="FYK975" s="252"/>
      <c r="FYL975" s="252"/>
      <c r="FYM975" s="252"/>
      <c r="FYN975" s="252"/>
      <c r="FYO975" s="252"/>
      <c r="FYP975" s="252"/>
      <c r="FYQ975" s="252"/>
      <c r="FYR975" s="252"/>
      <c r="FYS975" s="252"/>
      <c r="FYT975" s="252"/>
      <c r="FYU975" s="252"/>
      <c r="FYV975" s="252"/>
      <c r="FYW975" s="252"/>
      <c r="FYX975" s="252"/>
      <c r="FYY975" s="252"/>
      <c r="FYZ975" s="252"/>
      <c r="FZA975" s="252"/>
      <c r="FZB975" s="252"/>
      <c r="FZC975" s="252"/>
      <c r="FZD975" s="252"/>
      <c r="FZE975" s="252"/>
      <c r="FZF975" s="252"/>
      <c r="FZG975" s="252"/>
      <c r="FZH975" s="252"/>
      <c r="FZI975" s="252"/>
      <c r="FZJ975" s="252"/>
      <c r="FZK975" s="252"/>
      <c r="FZL975" s="252"/>
      <c r="FZM975" s="252"/>
      <c r="FZN975" s="252"/>
      <c r="FZO975" s="252"/>
      <c r="FZP975" s="252"/>
      <c r="FZQ975" s="252"/>
      <c r="FZR975" s="252"/>
      <c r="FZS975" s="252"/>
      <c r="FZT975" s="252"/>
      <c r="FZU975" s="252"/>
      <c r="FZV975" s="252"/>
      <c r="FZW975" s="252"/>
      <c r="FZX975" s="252"/>
      <c r="FZY975" s="252"/>
      <c r="FZZ975" s="252"/>
      <c r="GAA975" s="252"/>
      <c r="GAB975" s="252"/>
      <c r="GAC975" s="252"/>
      <c r="GAD975" s="252"/>
      <c r="GAE975" s="252"/>
      <c r="GAF975" s="252"/>
      <c r="GAG975" s="252"/>
      <c r="GAH975" s="252"/>
      <c r="GAI975" s="252"/>
      <c r="GAJ975" s="252"/>
      <c r="GAK975" s="252"/>
      <c r="GAL975" s="252"/>
      <c r="GAM975" s="252"/>
      <c r="GAN975" s="252"/>
      <c r="GAO975" s="252"/>
      <c r="GAP975" s="252"/>
      <c r="GAQ975" s="252"/>
      <c r="GAR975" s="252"/>
      <c r="GAS975" s="252"/>
      <c r="GAT975" s="252"/>
      <c r="GAU975" s="252"/>
      <c r="GAV975" s="252"/>
      <c r="GAW975" s="252"/>
      <c r="GAX975" s="252"/>
      <c r="GAY975" s="252"/>
      <c r="GAZ975" s="252"/>
      <c r="GBA975" s="252"/>
      <c r="GBB975" s="252"/>
      <c r="GBC975" s="252"/>
      <c r="GBD975" s="252"/>
      <c r="GBE975" s="252"/>
      <c r="GBF975" s="252"/>
      <c r="GBG975" s="252"/>
      <c r="GBH975" s="252"/>
      <c r="GBI975" s="252"/>
      <c r="GBJ975" s="252"/>
      <c r="GBK975" s="252"/>
      <c r="GBL975" s="252"/>
      <c r="GBM975" s="252"/>
      <c r="GBN975" s="252"/>
      <c r="GBO975" s="252"/>
      <c r="GBP975" s="252"/>
      <c r="GBQ975" s="252"/>
      <c r="GBR975" s="252"/>
      <c r="GBS975" s="252"/>
      <c r="GBT975" s="252"/>
      <c r="GBU975" s="252"/>
      <c r="GBV975" s="252"/>
      <c r="GBW975" s="252"/>
      <c r="GBX975" s="252"/>
      <c r="GBY975" s="252"/>
      <c r="GBZ975" s="252"/>
      <c r="GCA975" s="252"/>
      <c r="GCB975" s="252"/>
      <c r="GCC975" s="252"/>
      <c r="GCD975" s="252"/>
      <c r="GCE975" s="252"/>
      <c r="GCF975" s="252"/>
      <c r="GCG975" s="252"/>
      <c r="GCH975" s="252"/>
      <c r="GCI975" s="252"/>
      <c r="GCJ975" s="252"/>
      <c r="GCK975" s="252"/>
      <c r="GCL975" s="252"/>
      <c r="GCM975" s="252"/>
      <c r="GCN975" s="252"/>
      <c r="GCO975" s="252"/>
      <c r="GCP975" s="252"/>
      <c r="GCQ975" s="252"/>
      <c r="GCR975" s="252"/>
      <c r="GCS975" s="252"/>
      <c r="GCT975" s="252"/>
      <c r="GCU975" s="252"/>
      <c r="GCV975" s="252"/>
      <c r="GCW975" s="252"/>
      <c r="GCX975" s="252"/>
      <c r="GCY975" s="252"/>
      <c r="GCZ975" s="252"/>
      <c r="GDA975" s="252"/>
      <c r="GDB975" s="252"/>
      <c r="GDC975" s="252"/>
      <c r="GDD975" s="252"/>
      <c r="GDE975" s="252"/>
      <c r="GDF975" s="252"/>
      <c r="GDG975" s="252"/>
      <c r="GDH975" s="252"/>
      <c r="GDI975" s="252"/>
      <c r="GDJ975" s="252"/>
      <c r="GDK975" s="252"/>
      <c r="GDL975" s="252"/>
      <c r="GDM975" s="252"/>
      <c r="GDN975" s="252"/>
      <c r="GDO975" s="252"/>
      <c r="GDP975" s="252"/>
      <c r="GDQ975" s="252"/>
      <c r="GDR975" s="252"/>
      <c r="GDS975" s="252"/>
      <c r="GDT975" s="252"/>
      <c r="GDU975" s="252"/>
      <c r="GDV975" s="252"/>
      <c r="GDW975" s="252"/>
      <c r="GDX975" s="252"/>
      <c r="GDY975" s="252"/>
      <c r="GDZ975" s="252"/>
      <c r="GEA975" s="252"/>
      <c r="GEB975" s="252"/>
      <c r="GEC975" s="252"/>
      <c r="GED975" s="252"/>
      <c r="GEE975" s="252"/>
      <c r="GEF975" s="252"/>
      <c r="GEG975" s="252"/>
      <c r="GEH975" s="252"/>
      <c r="GEI975" s="252"/>
      <c r="GEJ975" s="252"/>
      <c r="GEK975" s="252"/>
      <c r="GEL975" s="252"/>
      <c r="GEM975" s="252"/>
      <c r="GEN975" s="252"/>
      <c r="GEO975" s="252"/>
      <c r="GEP975" s="252"/>
      <c r="GEQ975" s="252"/>
      <c r="GER975" s="252"/>
      <c r="GES975" s="252"/>
      <c r="GET975" s="252"/>
      <c r="GEU975" s="252"/>
      <c r="GEV975" s="252"/>
      <c r="GEW975" s="252"/>
      <c r="GEX975" s="252"/>
      <c r="GEY975" s="252"/>
      <c r="GEZ975" s="252"/>
      <c r="GFA975" s="252"/>
      <c r="GFB975" s="252"/>
      <c r="GFC975" s="252"/>
      <c r="GFD975" s="252"/>
      <c r="GFE975" s="252"/>
      <c r="GFF975" s="252"/>
      <c r="GFG975" s="252"/>
      <c r="GFH975" s="252"/>
      <c r="GFI975" s="252"/>
      <c r="GFJ975" s="252"/>
      <c r="GFK975" s="252"/>
      <c r="GFL975" s="252"/>
      <c r="GFM975" s="252"/>
      <c r="GFN975" s="252"/>
      <c r="GFO975" s="252"/>
      <c r="GFP975" s="252"/>
      <c r="GFQ975" s="252"/>
      <c r="GFR975" s="252"/>
      <c r="GFS975" s="252"/>
      <c r="GFT975" s="252"/>
      <c r="GFU975" s="252"/>
      <c r="GFV975" s="252"/>
      <c r="GFW975" s="252"/>
      <c r="GFX975" s="252"/>
      <c r="GFY975" s="252"/>
      <c r="GFZ975" s="252"/>
      <c r="GGA975" s="252"/>
      <c r="GGB975" s="252"/>
      <c r="GGC975" s="252"/>
      <c r="GGD975" s="252"/>
      <c r="GGE975" s="252"/>
      <c r="GGF975" s="252"/>
      <c r="GGG975" s="252"/>
      <c r="GGH975" s="252"/>
      <c r="GGI975" s="252"/>
      <c r="GGJ975" s="252"/>
      <c r="GGK975" s="252"/>
      <c r="GGL975" s="252"/>
      <c r="GGM975" s="252"/>
      <c r="GGN975" s="252"/>
      <c r="GGO975" s="252"/>
      <c r="GGP975" s="252"/>
      <c r="GGQ975" s="252"/>
      <c r="GGR975" s="252"/>
      <c r="GGS975" s="252"/>
      <c r="GGT975" s="252"/>
      <c r="GGU975" s="252"/>
      <c r="GGV975" s="252"/>
      <c r="GGW975" s="252"/>
      <c r="GGX975" s="252"/>
      <c r="GGY975" s="252"/>
      <c r="GGZ975" s="252"/>
      <c r="GHA975" s="252"/>
      <c r="GHB975" s="252"/>
      <c r="GHC975" s="252"/>
      <c r="GHD975" s="252"/>
      <c r="GHE975" s="252"/>
      <c r="GHF975" s="252"/>
      <c r="GHG975" s="252"/>
      <c r="GHH975" s="252"/>
      <c r="GHI975" s="252"/>
      <c r="GHJ975" s="252"/>
      <c r="GHK975" s="252"/>
      <c r="GHL975" s="252"/>
      <c r="GHM975" s="252"/>
      <c r="GHN975" s="252"/>
      <c r="GHO975" s="252"/>
      <c r="GHP975" s="252"/>
      <c r="GHQ975" s="252"/>
      <c r="GHR975" s="252"/>
      <c r="GHS975" s="252"/>
      <c r="GHT975" s="252"/>
      <c r="GHU975" s="252"/>
      <c r="GHV975" s="252"/>
      <c r="GHW975" s="252"/>
      <c r="GHX975" s="252"/>
      <c r="GHY975" s="252"/>
      <c r="GHZ975" s="252"/>
      <c r="GIA975" s="252"/>
      <c r="GIB975" s="252"/>
      <c r="GIC975" s="252"/>
      <c r="GID975" s="252"/>
      <c r="GIE975" s="252"/>
      <c r="GIF975" s="252"/>
      <c r="GIG975" s="252"/>
      <c r="GIH975" s="252"/>
      <c r="GII975" s="252"/>
      <c r="GIJ975" s="252"/>
      <c r="GIK975" s="252"/>
      <c r="GIL975" s="252"/>
      <c r="GIM975" s="252"/>
      <c r="GIN975" s="252"/>
      <c r="GIO975" s="252"/>
      <c r="GIP975" s="252"/>
      <c r="GIQ975" s="252"/>
      <c r="GIR975" s="252"/>
      <c r="GIS975" s="252"/>
      <c r="GIT975" s="252"/>
      <c r="GIU975" s="252"/>
      <c r="GIV975" s="252"/>
      <c r="GIW975" s="252"/>
      <c r="GIX975" s="252"/>
      <c r="GIY975" s="252"/>
      <c r="GIZ975" s="252"/>
      <c r="GJA975" s="252"/>
      <c r="GJB975" s="252"/>
      <c r="GJC975" s="252"/>
      <c r="GJD975" s="252"/>
      <c r="GJE975" s="252"/>
      <c r="GJF975" s="252"/>
      <c r="GJG975" s="252"/>
      <c r="GJH975" s="252"/>
      <c r="GJI975" s="252"/>
      <c r="GJJ975" s="252"/>
      <c r="GJK975" s="252"/>
      <c r="GJL975" s="252"/>
      <c r="GJM975" s="252"/>
      <c r="GJN975" s="252"/>
      <c r="GJO975" s="252"/>
      <c r="GJP975" s="252"/>
      <c r="GJQ975" s="252"/>
      <c r="GJR975" s="252"/>
      <c r="GJS975" s="252"/>
      <c r="GJT975" s="252"/>
      <c r="GJU975" s="252"/>
      <c r="GJV975" s="252"/>
      <c r="GJW975" s="252"/>
      <c r="GJX975" s="252"/>
      <c r="GJY975" s="252"/>
      <c r="GJZ975" s="252"/>
      <c r="GKA975" s="252"/>
      <c r="GKB975" s="252"/>
      <c r="GKC975" s="252"/>
      <c r="GKD975" s="252"/>
      <c r="GKE975" s="252"/>
      <c r="GKF975" s="252"/>
      <c r="GKG975" s="252"/>
      <c r="GKH975" s="252"/>
      <c r="GKI975" s="252"/>
      <c r="GKJ975" s="252"/>
      <c r="GKK975" s="252"/>
      <c r="GKL975" s="252"/>
      <c r="GKM975" s="252"/>
      <c r="GKN975" s="252"/>
      <c r="GKO975" s="252"/>
      <c r="GKP975" s="252"/>
      <c r="GKQ975" s="252"/>
      <c r="GKR975" s="252"/>
      <c r="GKS975" s="252"/>
      <c r="GKT975" s="252"/>
      <c r="GKU975" s="252"/>
      <c r="GKV975" s="252"/>
      <c r="GKW975" s="252"/>
      <c r="GKX975" s="252"/>
      <c r="GKY975" s="252"/>
      <c r="GKZ975" s="252"/>
      <c r="GLA975" s="252"/>
      <c r="GLB975" s="252"/>
      <c r="GLC975" s="252"/>
      <c r="GLD975" s="252"/>
      <c r="GLE975" s="252"/>
      <c r="GLF975" s="252"/>
      <c r="GLG975" s="252"/>
      <c r="GLH975" s="252"/>
      <c r="GLI975" s="252"/>
      <c r="GLJ975" s="252"/>
      <c r="GLK975" s="252"/>
      <c r="GLL975" s="252"/>
      <c r="GLM975" s="252"/>
      <c r="GLN975" s="252"/>
      <c r="GLO975" s="252"/>
      <c r="GLP975" s="252"/>
      <c r="GLQ975" s="252"/>
      <c r="GLR975" s="252"/>
      <c r="GLS975" s="252"/>
      <c r="GLT975" s="252"/>
      <c r="GLU975" s="252"/>
      <c r="GLV975" s="252"/>
      <c r="GLW975" s="252"/>
      <c r="GLX975" s="252"/>
      <c r="GLY975" s="252"/>
      <c r="GLZ975" s="252"/>
      <c r="GMA975" s="252"/>
      <c r="GMB975" s="252"/>
      <c r="GMC975" s="252"/>
      <c r="GMD975" s="252"/>
      <c r="GME975" s="252"/>
      <c r="GMF975" s="252"/>
      <c r="GMG975" s="252"/>
      <c r="GMH975" s="252"/>
      <c r="GMI975" s="252"/>
      <c r="GMJ975" s="252"/>
      <c r="GMK975" s="252"/>
      <c r="GML975" s="252"/>
      <c r="GMM975" s="252"/>
      <c r="GMN975" s="252"/>
      <c r="GMO975" s="252"/>
      <c r="GMP975" s="252"/>
      <c r="GMQ975" s="252"/>
      <c r="GMR975" s="252"/>
      <c r="GMS975" s="252"/>
      <c r="GMT975" s="252"/>
      <c r="GMU975" s="252"/>
      <c r="GMV975" s="252"/>
      <c r="GMW975" s="252"/>
      <c r="GMX975" s="252"/>
      <c r="GMY975" s="252"/>
      <c r="GMZ975" s="252"/>
      <c r="GNA975" s="252"/>
      <c r="GNB975" s="252"/>
      <c r="GNC975" s="252"/>
      <c r="GND975" s="252"/>
      <c r="GNE975" s="252"/>
      <c r="GNF975" s="252"/>
      <c r="GNG975" s="252"/>
      <c r="GNH975" s="252"/>
      <c r="GNI975" s="252"/>
      <c r="GNJ975" s="252"/>
      <c r="GNK975" s="252"/>
      <c r="GNL975" s="252"/>
      <c r="GNM975" s="252"/>
      <c r="GNN975" s="252"/>
      <c r="GNO975" s="252"/>
      <c r="GNP975" s="252"/>
      <c r="GNQ975" s="252"/>
      <c r="GNR975" s="252"/>
      <c r="GNS975" s="252"/>
      <c r="GNT975" s="252"/>
      <c r="GNU975" s="252"/>
      <c r="GNV975" s="252"/>
      <c r="GNW975" s="252"/>
      <c r="GNX975" s="252"/>
      <c r="GNY975" s="252"/>
      <c r="GNZ975" s="252"/>
      <c r="GOA975" s="252"/>
      <c r="GOB975" s="252"/>
      <c r="GOC975" s="252"/>
      <c r="GOD975" s="252"/>
      <c r="GOE975" s="252"/>
      <c r="GOF975" s="252"/>
      <c r="GOG975" s="252"/>
      <c r="GOH975" s="252"/>
      <c r="GOI975" s="252"/>
      <c r="GOJ975" s="252"/>
      <c r="GOK975" s="252"/>
      <c r="GOL975" s="252"/>
      <c r="GOM975" s="252"/>
      <c r="GON975" s="252"/>
      <c r="GOO975" s="252"/>
      <c r="GOP975" s="252"/>
      <c r="GOQ975" s="252"/>
      <c r="GOR975" s="252"/>
      <c r="GOS975" s="252"/>
      <c r="GOT975" s="252"/>
      <c r="GOU975" s="252"/>
      <c r="GOV975" s="252"/>
      <c r="GOW975" s="252"/>
      <c r="GOX975" s="252"/>
      <c r="GOY975" s="252"/>
      <c r="GOZ975" s="252"/>
      <c r="GPA975" s="252"/>
      <c r="GPB975" s="252"/>
      <c r="GPC975" s="252"/>
      <c r="GPD975" s="252"/>
      <c r="GPE975" s="252"/>
      <c r="GPF975" s="252"/>
      <c r="GPG975" s="252"/>
      <c r="GPH975" s="252"/>
      <c r="GPI975" s="252"/>
      <c r="GPJ975" s="252"/>
      <c r="GPK975" s="252"/>
      <c r="GPL975" s="252"/>
      <c r="GPM975" s="252"/>
      <c r="GPN975" s="252"/>
      <c r="GPO975" s="252"/>
      <c r="GPP975" s="252"/>
      <c r="GPQ975" s="252"/>
      <c r="GPR975" s="252"/>
      <c r="GPS975" s="252"/>
      <c r="GPT975" s="252"/>
      <c r="GPU975" s="252"/>
      <c r="GPV975" s="252"/>
      <c r="GPW975" s="252"/>
      <c r="GPX975" s="252"/>
      <c r="GPY975" s="252"/>
      <c r="GPZ975" s="252"/>
      <c r="GQA975" s="252"/>
      <c r="GQB975" s="252"/>
      <c r="GQC975" s="252"/>
      <c r="GQD975" s="252"/>
      <c r="GQE975" s="252"/>
      <c r="GQF975" s="252"/>
      <c r="GQG975" s="252"/>
      <c r="GQH975" s="252"/>
      <c r="GQI975" s="252"/>
      <c r="GQJ975" s="252"/>
      <c r="GQK975" s="252"/>
      <c r="GQL975" s="252"/>
      <c r="GQM975" s="252"/>
      <c r="GQN975" s="252"/>
      <c r="GQO975" s="252"/>
      <c r="GQP975" s="252"/>
      <c r="GQQ975" s="252"/>
      <c r="GQR975" s="252"/>
      <c r="GQS975" s="252"/>
      <c r="GQT975" s="252"/>
      <c r="GQU975" s="252"/>
      <c r="GQV975" s="252"/>
      <c r="GQW975" s="252"/>
      <c r="GQX975" s="252"/>
      <c r="GQY975" s="252"/>
      <c r="GQZ975" s="252"/>
      <c r="GRA975" s="252"/>
      <c r="GRB975" s="252"/>
      <c r="GRC975" s="252"/>
      <c r="GRD975" s="252"/>
      <c r="GRE975" s="252"/>
      <c r="GRF975" s="252"/>
      <c r="GRG975" s="252"/>
      <c r="GRH975" s="252"/>
      <c r="GRI975" s="252"/>
      <c r="GRJ975" s="252"/>
      <c r="GRK975" s="252"/>
      <c r="GRL975" s="252"/>
      <c r="GRM975" s="252"/>
      <c r="GRN975" s="252"/>
      <c r="GRO975" s="252"/>
      <c r="GRP975" s="252"/>
      <c r="GRQ975" s="252"/>
      <c r="GRR975" s="252"/>
      <c r="GRS975" s="252"/>
      <c r="GRT975" s="252"/>
      <c r="GRU975" s="252"/>
      <c r="GRV975" s="252"/>
      <c r="GRW975" s="252"/>
      <c r="GRX975" s="252"/>
      <c r="GRY975" s="252"/>
      <c r="GRZ975" s="252"/>
      <c r="GSA975" s="252"/>
      <c r="GSB975" s="252"/>
      <c r="GSC975" s="252"/>
      <c r="GSD975" s="252"/>
      <c r="GSE975" s="252"/>
      <c r="GSF975" s="252"/>
      <c r="GSG975" s="252"/>
      <c r="GSH975" s="252"/>
      <c r="GSI975" s="252"/>
      <c r="GSJ975" s="252"/>
      <c r="GSK975" s="252"/>
      <c r="GSL975" s="252"/>
      <c r="GSM975" s="252"/>
      <c r="GSN975" s="252"/>
      <c r="GSO975" s="252"/>
      <c r="GSP975" s="252"/>
      <c r="GSQ975" s="252"/>
      <c r="GSR975" s="252"/>
      <c r="GSS975" s="252"/>
      <c r="GST975" s="252"/>
      <c r="GSU975" s="252"/>
      <c r="GSV975" s="252"/>
      <c r="GSW975" s="252"/>
      <c r="GSX975" s="252"/>
      <c r="GSY975" s="252"/>
      <c r="GSZ975" s="252"/>
      <c r="GTA975" s="252"/>
      <c r="GTB975" s="252"/>
      <c r="GTC975" s="252"/>
      <c r="GTD975" s="252"/>
      <c r="GTE975" s="252"/>
      <c r="GTF975" s="252"/>
      <c r="GTG975" s="252"/>
      <c r="GTH975" s="252"/>
      <c r="GTI975" s="252"/>
      <c r="GTJ975" s="252"/>
      <c r="GTK975" s="252"/>
      <c r="GTL975" s="252"/>
      <c r="GTM975" s="252"/>
      <c r="GTN975" s="252"/>
      <c r="GTO975" s="252"/>
      <c r="GTP975" s="252"/>
      <c r="GTQ975" s="252"/>
      <c r="GTR975" s="252"/>
      <c r="GTS975" s="252"/>
      <c r="GTT975" s="252"/>
      <c r="GTU975" s="252"/>
      <c r="GTV975" s="252"/>
      <c r="GTW975" s="252"/>
      <c r="GTX975" s="252"/>
      <c r="GTY975" s="252"/>
      <c r="GTZ975" s="252"/>
      <c r="GUA975" s="252"/>
      <c r="GUB975" s="252"/>
      <c r="GUC975" s="252"/>
      <c r="GUD975" s="252"/>
      <c r="GUE975" s="252"/>
      <c r="GUF975" s="252"/>
      <c r="GUG975" s="252"/>
      <c r="GUH975" s="252"/>
      <c r="GUI975" s="252"/>
      <c r="GUJ975" s="252"/>
      <c r="GUK975" s="252"/>
      <c r="GUL975" s="252"/>
      <c r="GUM975" s="252"/>
      <c r="GUN975" s="252"/>
      <c r="GUO975" s="252"/>
      <c r="GUP975" s="252"/>
      <c r="GUQ975" s="252"/>
      <c r="GUR975" s="252"/>
      <c r="GUS975" s="252"/>
      <c r="GUT975" s="252"/>
      <c r="GUU975" s="252"/>
      <c r="GUV975" s="252"/>
      <c r="GUW975" s="252"/>
      <c r="GUX975" s="252"/>
      <c r="GUY975" s="252"/>
      <c r="GUZ975" s="252"/>
      <c r="GVA975" s="252"/>
      <c r="GVB975" s="252"/>
      <c r="GVC975" s="252"/>
      <c r="GVD975" s="252"/>
      <c r="GVE975" s="252"/>
      <c r="GVF975" s="252"/>
      <c r="GVG975" s="252"/>
      <c r="GVH975" s="252"/>
      <c r="GVI975" s="252"/>
      <c r="GVJ975" s="252"/>
      <c r="GVK975" s="252"/>
      <c r="GVL975" s="252"/>
      <c r="GVM975" s="252"/>
      <c r="GVN975" s="252"/>
      <c r="GVO975" s="252"/>
      <c r="GVP975" s="252"/>
      <c r="GVQ975" s="252"/>
      <c r="GVR975" s="252"/>
      <c r="GVS975" s="252"/>
      <c r="GVT975" s="252"/>
      <c r="GVU975" s="252"/>
      <c r="GVV975" s="252"/>
      <c r="GVW975" s="252"/>
      <c r="GVX975" s="252"/>
      <c r="GVY975" s="252"/>
      <c r="GVZ975" s="252"/>
      <c r="GWA975" s="252"/>
      <c r="GWB975" s="252"/>
      <c r="GWC975" s="252"/>
      <c r="GWD975" s="252"/>
      <c r="GWE975" s="252"/>
      <c r="GWF975" s="252"/>
      <c r="GWG975" s="252"/>
      <c r="GWH975" s="252"/>
      <c r="GWI975" s="252"/>
      <c r="GWJ975" s="252"/>
      <c r="GWK975" s="252"/>
      <c r="GWL975" s="252"/>
      <c r="GWM975" s="252"/>
      <c r="GWN975" s="252"/>
      <c r="GWO975" s="252"/>
      <c r="GWP975" s="252"/>
      <c r="GWQ975" s="252"/>
      <c r="GWR975" s="252"/>
      <c r="GWS975" s="252"/>
      <c r="GWT975" s="252"/>
      <c r="GWU975" s="252"/>
      <c r="GWV975" s="252"/>
      <c r="GWW975" s="252"/>
      <c r="GWX975" s="252"/>
      <c r="GWY975" s="252"/>
      <c r="GWZ975" s="252"/>
      <c r="GXA975" s="252"/>
      <c r="GXB975" s="252"/>
      <c r="GXC975" s="252"/>
      <c r="GXD975" s="252"/>
      <c r="GXE975" s="252"/>
      <c r="GXF975" s="252"/>
      <c r="GXG975" s="252"/>
      <c r="GXH975" s="252"/>
      <c r="GXI975" s="252"/>
      <c r="GXJ975" s="252"/>
      <c r="GXK975" s="252"/>
      <c r="GXL975" s="252"/>
      <c r="GXM975" s="252"/>
      <c r="GXN975" s="252"/>
      <c r="GXO975" s="252"/>
      <c r="GXP975" s="252"/>
      <c r="GXQ975" s="252"/>
      <c r="GXR975" s="252"/>
      <c r="GXS975" s="252"/>
      <c r="GXT975" s="252"/>
      <c r="GXU975" s="252"/>
      <c r="GXV975" s="252"/>
      <c r="GXW975" s="252"/>
      <c r="GXX975" s="252"/>
      <c r="GXY975" s="252"/>
      <c r="GXZ975" s="252"/>
      <c r="GYA975" s="252"/>
      <c r="GYB975" s="252"/>
      <c r="GYC975" s="252"/>
      <c r="GYD975" s="252"/>
      <c r="GYE975" s="252"/>
      <c r="GYF975" s="252"/>
      <c r="GYG975" s="252"/>
      <c r="GYH975" s="252"/>
      <c r="GYI975" s="252"/>
      <c r="GYJ975" s="252"/>
      <c r="GYK975" s="252"/>
      <c r="GYL975" s="252"/>
      <c r="GYM975" s="252"/>
      <c r="GYN975" s="252"/>
      <c r="GYO975" s="252"/>
      <c r="GYP975" s="252"/>
      <c r="GYQ975" s="252"/>
      <c r="GYR975" s="252"/>
      <c r="GYS975" s="252"/>
      <c r="GYT975" s="252"/>
      <c r="GYU975" s="252"/>
      <c r="GYV975" s="252"/>
      <c r="GYW975" s="252"/>
      <c r="GYX975" s="252"/>
      <c r="GYY975" s="252"/>
      <c r="GYZ975" s="252"/>
      <c r="GZA975" s="252"/>
      <c r="GZB975" s="252"/>
      <c r="GZC975" s="252"/>
      <c r="GZD975" s="252"/>
      <c r="GZE975" s="252"/>
      <c r="GZF975" s="252"/>
      <c r="GZG975" s="252"/>
      <c r="GZH975" s="252"/>
      <c r="GZI975" s="252"/>
      <c r="GZJ975" s="252"/>
      <c r="GZK975" s="252"/>
      <c r="GZL975" s="252"/>
      <c r="GZM975" s="252"/>
      <c r="GZN975" s="252"/>
      <c r="GZO975" s="252"/>
      <c r="GZP975" s="252"/>
      <c r="GZQ975" s="252"/>
      <c r="GZR975" s="252"/>
      <c r="GZS975" s="252"/>
      <c r="GZT975" s="252"/>
      <c r="GZU975" s="252"/>
      <c r="GZV975" s="252"/>
      <c r="GZW975" s="252"/>
      <c r="GZX975" s="252"/>
      <c r="GZY975" s="252"/>
      <c r="GZZ975" s="252"/>
      <c r="HAA975" s="252"/>
      <c r="HAB975" s="252"/>
      <c r="HAC975" s="252"/>
      <c r="HAD975" s="252"/>
      <c r="HAE975" s="252"/>
      <c r="HAF975" s="252"/>
      <c r="HAG975" s="252"/>
      <c r="HAH975" s="252"/>
      <c r="HAI975" s="252"/>
      <c r="HAJ975" s="252"/>
      <c r="HAK975" s="252"/>
      <c r="HAL975" s="252"/>
      <c r="HAM975" s="252"/>
      <c r="HAN975" s="252"/>
      <c r="HAO975" s="252"/>
      <c r="HAP975" s="252"/>
      <c r="HAQ975" s="252"/>
      <c r="HAR975" s="252"/>
      <c r="HAS975" s="252"/>
      <c r="HAT975" s="252"/>
      <c r="HAU975" s="252"/>
      <c r="HAV975" s="252"/>
      <c r="HAW975" s="252"/>
      <c r="HAX975" s="252"/>
      <c r="HAY975" s="252"/>
      <c r="HAZ975" s="252"/>
      <c r="HBA975" s="252"/>
      <c r="HBB975" s="252"/>
      <c r="HBC975" s="252"/>
      <c r="HBD975" s="252"/>
      <c r="HBE975" s="252"/>
      <c r="HBF975" s="252"/>
      <c r="HBG975" s="252"/>
      <c r="HBH975" s="252"/>
      <c r="HBI975" s="252"/>
      <c r="HBJ975" s="252"/>
      <c r="HBK975" s="252"/>
      <c r="HBL975" s="252"/>
      <c r="HBM975" s="252"/>
      <c r="HBN975" s="252"/>
      <c r="HBO975" s="252"/>
      <c r="HBP975" s="252"/>
      <c r="HBQ975" s="252"/>
      <c r="HBR975" s="252"/>
      <c r="HBS975" s="252"/>
      <c r="HBT975" s="252"/>
      <c r="HBU975" s="252"/>
      <c r="HBV975" s="252"/>
      <c r="HBW975" s="252"/>
      <c r="HBX975" s="252"/>
      <c r="HBY975" s="252"/>
      <c r="HBZ975" s="252"/>
      <c r="HCA975" s="252"/>
      <c r="HCB975" s="252"/>
      <c r="HCC975" s="252"/>
      <c r="HCD975" s="252"/>
      <c r="HCE975" s="252"/>
      <c r="HCF975" s="252"/>
      <c r="HCG975" s="252"/>
      <c r="HCH975" s="252"/>
      <c r="HCI975" s="252"/>
      <c r="HCJ975" s="252"/>
      <c r="HCK975" s="252"/>
      <c r="HCL975" s="252"/>
      <c r="HCM975" s="252"/>
      <c r="HCN975" s="252"/>
      <c r="HCO975" s="252"/>
      <c r="HCP975" s="252"/>
      <c r="HCQ975" s="252"/>
      <c r="HCR975" s="252"/>
      <c r="HCS975" s="252"/>
      <c r="HCT975" s="252"/>
      <c r="HCU975" s="252"/>
      <c r="HCV975" s="252"/>
      <c r="HCW975" s="252"/>
      <c r="HCX975" s="252"/>
      <c r="HCY975" s="252"/>
      <c r="HCZ975" s="252"/>
      <c r="HDA975" s="252"/>
      <c r="HDB975" s="252"/>
      <c r="HDC975" s="252"/>
      <c r="HDD975" s="252"/>
      <c r="HDE975" s="252"/>
      <c r="HDF975" s="252"/>
      <c r="HDG975" s="252"/>
      <c r="HDH975" s="252"/>
      <c r="HDI975" s="252"/>
      <c r="HDJ975" s="252"/>
      <c r="HDK975" s="252"/>
      <c r="HDL975" s="252"/>
      <c r="HDM975" s="252"/>
      <c r="HDN975" s="252"/>
      <c r="HDO975" s="252"/>
      <c r="HDP975" s="252"/>
      <c r="HDQ975" s="252"/>
      <c r="HDR975" s="252"/>
      <c r="HDS975" s="252"/>
      <c r="HDT975" s="252"/>
      <c r="HDU975" s="252"/>
      <c r="HDV975" s="252"/>
      <c r="HDW975" s="252"/>
      <c r="HDX975" s="252"/>
      <c r="HDY975" s="252"/>
      <c r="HDZ975" s="252"/>
      <c r="HEA975" s="252"/>
      <c r="HEB975" s="252"/>
      <c r="HEC975" s="252"/>
      <c r="HED975" s="252"/>
      <c r="HEE975" s="252"/>
      <c r="HEF975" s="252"/>
      <c r="HEG975" s="252"/>
      <c r="HEH975" s="252"/>
      <c r="HEI975" s="252"/>
      <c r="HEJ975" s="252"/>
      <c r="HEK975" s="252"/>
      <c r="HEL975" s="252"/>
      <c r="HEM975" s="252"/>
      <c r="HEN975" s="252"/>
      <c r="HEO975" s="252"/>
      <c r="HEP975" s="252"/>
      <c r="HEQ975" s="252"/>
      <c r="HER975" s="252"/>
      <c r="HES975" s="252"/>
      <c r="HET975" s="252"/>
      <c r="HEU975" s="252"/>
      <c r="HEV975" s="252"/>
      <c r="HEW975" s="252"/>
      <c r="HEX975" s="252"/>
      <c r="HEY975" s="252"/>
      <c r="HEZ975" s="252"/>
      <c r="HFA975" s="252"/>
      <c r="HFB975" s="252"/>
      <c r="HFC975" s="252"/>
      <c r="HFD975" s="252"/>
      <c r="HFE975" s="252"/>
      <c r="HFF975" s="252"/>
      <c r="HFG975" s="252"/>
      <c r="HFH975" s="252"/>
      <c r="HFI975" s="252"/>
      <c r="HFJ975" s="252"/>
      <c r="HFK975" s="252"/>
      <c r="HFL975" s="252"/>
      <c r="HFM975" s="252"/>
      <c r="HFN975" s="252"/>
      <c r="HFO975" s="252"/>
      <c r="HFP975" s="252"/>
      <c r="HFQ975" s="252"/>
      <c r="HFR975" s="252"/>
      <c r="HFS975" s="252"/>
      <c r="HFT975" s="252"/>
      <c r="HFU975" s="252"/>
      <c r="HFV975" s="252"/>
      <c r="HFW975" s="252"/>
      <c r="HFX975" s="252"/>
      <c r="HFY975" s="252"/>
      <c r="HFZ975" s="252"/>
      <c r="HGA975" s="252"/>
      <c r="HGB975" s="252"/>
      <c r="HGC975" s="252"/>
      <c r="HGD975" s="252"/>
      <c r="HGE975" s="252"/>
      <c r="HGF975" s="252"/>
      <c r="HGG975" s="252"/>
      <c r="HGH975" s="252"/>
      <c r="HGI975" s="252"/>
      <c r="HGJ975" s="252"/>
      <c r="HGK975" s="252"/>
      <c r="HGL975" s="252"/>
      <c r="HGM975" s="252"/>
      <c r="HGN975" s="252"/>
      <c r="HGO975" s="252"/>
      <c r="HGP975" s="252"/>
      <c r="HGQ975" s="252"/>
      <c r="HGR975" s="252"/>
      <c r="HGS975" s="252"/>
      <c r="HGT975" s="252"/>
      <c r="HGU975" s="252"/>
      <c r="HGV975" s="252"/>
      <c r="HGW975" s="252"/>
      <c r="HGX975" s="252"/>
      <c r="HGY975" s="252"/>
      <c r="HGZ975" s="252"/>
      <c r="HHA975" s="252"/>
      <c r="HHB975" s="252"/>
      <c r="HHC975" s="252"/>
      <c r="HHD975" s="252"/>
      <c r="HHE975" s="252"/>
      <c r="HHF975" s="252"/>
      <c r="HHG975" s="252"/>
      <c r="HHH975" s="252"/>
      <c r="HHI975" s="252"/>
      <c r="HHJ975" s="252"/>
      <c r="HHK975" s="252"/>
      <c r="HHL975" s="252"/>
      <c r="HHM975" s="252"/>
      <c r="HHN975" s="252"/>
      <c r="HHO975" s="252"/>
      <c r="HHP975" s="252"/>
      <c r="HHQ975" s="252"/>
      <c r="HHR975" s="252"/>
      <c r="HHS975" s="252"/>
      <c r="HHT975" s="252"/>
      <c r="HHU975" s="252"/>
      <c r="HHV975" s="252"/>
      <c r="HHW975" s="252"/>
      <c r="HHX975" s="252"/>
      <c r="HHY975" s="252"/>
      <c r="HHZ975" s="252"/>
      <c r="HIA975" s="252"/>
      <c r="HIB975" s="252"/>
      <c r="HIC975" s="252"/>
      <c r="HID975" s="252"/>
      <c r="HIE975" s="252"/>
      <c r="HIF975" s="252"/>
      <c r="HIG975" s="252"/>
      <c r="HIH975" s="252"/>
      <c r="HII975" s="252"/>
      <c r="HIJ975" s="252"/>
      <c r="HIK975" s="252"/>
      <c r="HIL975" s="252"/>
      <c r="HIM975" s="252"/>
      <c r="HIN975" s="252"/>
      <c r="HIO975" s="252"/>
      <c r="HIP975" s="252"/>
      <c r="HIQ975" s="252"/>
      <c r="HIR975" s="252"/>
      <c r="HIS975" s="252"/>
      <c r="HIT975" s="252"/>
      <c r="HIU975" s="252"/>
      <c r="HIV975" s="252"/>
      <c r="HIW975" s="252"/>
      <c r="HIX975" s="252"/>
      <c r="HIY975" s="252"/>
      <c r="HIZ975" s="252"/>
      <c r="HJA975" s="252"/>
      <c r="HJB975" s="252"/>
      <c r="HJC975" s="252"/>
      <c r="HJD975" s="252"/>
      <c r="HJE975" s="252"/>
      <c r="HJF975" s="252"/>
      <c r="HJG975" s="252"/>
      <c r="HJH975" s="252"/>
      <c r="HJI975" s="252"/>
      <c r="HJJ975" s="252"/>
      <c r="HJK975" s="252"/>
      <c r="HJL975" s="252"/>
      <c r="HJM975" s="252"/>
      <c r="HJN975" s="252"/>
      <c r="HJO975" s="252"/>
      <c r="HJP975" s="252"/>
      <c r="HJQ975" s="252"/>
      <c r="HJR975" s="252"/>
      <c r="HJS975" s="252"/>
      <c r="HJT975" s="252"/>
      <c r="HJU975" s="252"/>
      <c r="HJV975" s="252"/>
      <c r="HJW975" s="252"/>
      <c r="HJX975" s="252"/>
      <c r="HJY975" s="252"/>
      <c r="HJZ975" s="252"/>
      <c r="HKA975" s="252"/>
      <c r="HKB975" s="252"/>
      <c r="HKC975" s="252"/>
      <c r="HKD975" s="252"/>
      <c r="HKE975" s="252"/>
      <c r="HKF975" s="252"/>
      <c r="HKG975" s="252"/>
      <c r="HKH975" s="252"/>
      <c r="HKI975" s="252"/>
      <c r="HKJ975" s="252"/>
      <c r="HKK975" s="252"/>
      <c r="HKL975" s="252"/>
      <c r="HKM975" s="252"/>
      <c r="HKN975" s="252"/>
      <c r="HKO975" s="252"/>
      <c r="HKP975" s="252"/>
      <c r="HKQ975" s="252"/>
      <c r="HKR975" s="252"/>
      <c r="HKS975" s="252"/>
      <c r="HKT975" s="252"/>
      <c r="HKU975" s="252"/>
      <c r="HKV975" s="252"/>
      <c r="HKW975" s="252"/>
      <c r="HKX975" s="252"/>
      <c r="HKY975" s="252"/>
      <c r="HKZ975" s="252"/>
      <c r="HLA975" s="252"/>
      <c r="HLB975" s="252"/>
      <c r="HLC975" s="252"/>
      <c r="HLD975" s="252"/>
      <c r="HLE975" s="252"/>
      <c r="HLF975" s="252"/>
      <c r="HLG975" s="252"/>
      <c r="HLH975" s="252"/>
      <c r="HLI975" s="252"/>
      <c r="HLJ975" s="252"/>
      <c r="HLK975" s="252"/>
      <c r="HLL975" s="252"/>
      <c r="HLM975" s="252"/>
      <c r="HLN975" s="252"/>
      <c r="HLO975" s="252"/>
      <c r="HLP975" s="252"/>
      <c r="HLQ975" s="252"/>
      <c r="HLR975" s="252"/>
      <c r="HLS975" s="252"/>
      <c r="HLT975" s="252"/>
      <c r="HLU975" s="252"/>
      <c r="HLV975" s="252"/>
      <c r="HLW975" s="252"/>
      <c r="HLX975" s="252"/>
      <c r="HLY975" s="252"/>
      <c r="HLZ975" s="252"/>
      <c r="HMA975" s="252"/>
      <c r="HMB975" s="252"/>
      <c r="HMC975" s="252"/>
      <c r="HMD975" s="252"/>
      <c r="HME975" s="252"/>
      <c r="HMF975" s="252"/>
      <c r="HMG975" s="252"/>
      <c r="HMH975" s="252"/>
      <c r="HMI975" s="252"/>
      <c r="HMJ975" s="252"/>
      <c r="HMK975" s="252"/>
      <c r="HML975" s="252"/>
      <c r="HMM975" s="252"/>
      <c r="HMN975" s="252"/>
      <c r="HMO975" s="252"/>
      <c r="HMP975" s="252"/>
      <c r="HMQ975" s="252"/>
      <c r="HMR975" s="252"/>
      <c r="HMS975" s="252"/>
      <c r="HMT975" s="252"/>
      <c r="HMU975" s="252"/>
      <c r="HMV975" s="252"/>
      <c r="HMW975" s="252"/>
      <c r="HMX975" s="252"/>
      <c r="HMY975" s="252"/>
      <c r="HMZ975" s="252"/>
      <c r="HNA975" s="252"/>
      <c r="HNB975" s="252"/>
      <c r="HNC975" s="252"/>
      <c r="HND975" s="252"/>
      <c r="HNE975" s="252"/>
      <c r="HNF975" s="252"/>
      <c r="HNG975" s="252"/>
      <c r="HNH975" s="252"/>
      <c r="HNI975" s="252"/>
      <c r="HNJ975" s="252"/>
      <c r="HNK975" s="252"/>
      <c r="HNL975" s="252"/>
      <c r="HNM975" s="252"/>
      <c r="HNN975" s="252"/>
      <c r="HNO975" s="252"/>
      <c r="HNP975" s="252"/>
      <c r="HNQ975" s="252"/>
      <c r="HNR975" s="252"/>
      <c r="HNS975" s="252"/>
      <c r="HNT975" s="252"/>
      <c r="HNU975" s="252"/>
      <c r="HNV975" s="252"/>
      <c r="HNW975" s="252"/>
      <c r="HNX975" s="252"/>
      <c r="HNY975" s="252"/>
      <c r="HNZ975" s="252"/>
      <c r="HOA975" s="252"/>
      <c r="HOB975" s="252"/>
      <c r="HOC975" s="252"/>
      <c r="HOD975" s="252"/>
      <c r="HOE975" s="252"/>
      <c r="HOF975" s="252"/>
      <c r="HOG975" s="252"/>
      <c r="HOH975" s="252"/>
      <c r="HOI975" s="252"/>
      <c r="HOJ975" s="252"/>
      <c r="HOK975" s="252"/>
      <c r="HOL975" s="252"/>
      <c r="HOM975" s="252"/>
      <c r="HON975" s="252"/>
      <c r="HOO975" s="252"/>
      <c r="HOP975" s="252"/>
      <c r="HOQ975" s="252"/>
      <c r="HOR975" s="252"/>
      <c r="HOS975" s="252"/>
      <c r="HOT975" s="252"/>
      <c r="HOU975" s="252"/>
      <c r="HOV975" s="252"/>
      <c r="HOW975" s="252"/>
      <c r="HOX975" s="252"/>
      <c r="HOY975" s="252"/>
      <c r="HOZ975" s="252"/>
      <c r="HPA975" s="252"/>
      <c r="HPB975" s="252"/>
      <c r="HPC975" s="252"/>
      <c r="HPD975" s="252"/>
      <c r="HPE975" s="252"/>
      <c r="HPF975" s="252"/>
      <c r="HPG975" s="252"/>
      <c r="HPH975" s="252"/>
      <c r="HPI975" s="252"/>
      <c r="HPJ975" s="252"/>
      <c r="HPK975" s="252"/>
      <c r="HPL975" s="252"/>
      <c r="HPM975" s="252"/>
      <c r="HPN975" s="252"/>
      <c r="HPO975" s="252"/>
      <c r="HPP975" s="252"/>
      <c r="HPQ975" s="252"/>
      <c r="HPR975" s="252"/>
      <c r="HPS975" s="252"/>
      <c r="HPT975" s="252"/>
      <c r="HPU975" s="252"/>
      <c r="HPV975" s="252"/>
      <c r="HPW975" s="252"/>
      <c r="HPX975" s="252"/>
      <c r="HPY975" s="252"/>
      <c r="HPZ975" s="252"/>
      <c r="HQA975" s="252"/>
      <c r="HQB975" s="252"/>
      <c r="HQC975" s="252"/>
      <c r="HQD975" s="252"/>
      <c r="HQE975" s="252"/>
      <c r="HQF975" s="252"/>
      <c r="HQG975" s="252"/>
      <c r="HQH975" s="252"/>
      <c r="HQI975" s="252"/>
      <c r="HQJ975" s="252"/>
      <c r="HQK975" s="252"/>
      <c r="HQL975" s="252"/>
      <c r="HQM975" s="252"/>
      <c r="HQN975" s="252"/>
      <c r="HQO975" s="252"/>
      <c r="HQP975" s="252"/>
      <c r="HQQ975" s="252"/>
      <c r="HQR975" s="252"/>
      <c r="HQS975" s="252"/>
      <c r="HQT975" s="252"/>
      <c r="HQU975" s="252"/>
      <c r="HQV975" s="252"/>
      <c r="HQW975" s="252"/>
      <c r="HQX975" s="252"/>
      <c r="HQY975" s="252"/>
      <c r="HQZ975" s="252"/>
      <c r="HRA975" s="252"/>
      <c r="HRB975" s="252"/>
      <c r="HRC975" s="252"/>
      <c r="HRD975" s="252"/>
      <c r="HRE975" s="252"/>
      <c r="HRF975" s="252"/>
      <c r="HRG975" s="252"/>
      <c r="HRH975" s="252"/>
      <c r="HRI975" s="252"/>
      <c r="HRJ975" s="252"/>
      <c r="HRK975" s="252"/>
      <c r="HRL975" s="252"/>
      <c r="HRM975" s="252"/>
      <c r="HRN975" s="252"/>
      <c r="HRO975" s="252"/>
      <c r="HRP975" s="252"/>
      <c r="HRQ975" s="252"/>
      <c r="HRR975" s="252"/>
      <c r="HRS975" s="252"/>
      <c r="HRT975" s="252"/>
      <c r="HRU975" s="252"/>
      <c r="HRV975" s="252"/>
      <c r="HRW975" s="252"/>
      <c r="HRX975" s="252"/>
      <c r="HRY975" s="252"/>
      <c r="HRZ975" s="252"/>
      <c r="HSA975" s="252"/>
      <c r="HSB975" s="252"/>
      <c r="HSC975" s="252"/>
      <c r="HSD975" s="252"/>
      <c r="HSE975" s="252"/>
      <c r="HSF975" s="252"/>
      <c r="HSG975" s="252"/>
      <c r="HSH975" s="252"/>
      <c r="HSI975" s="252"/>
      <c r="HSJ975" s="252"/>
      <c r="HSK975" s="252"/>
      <c r="HSL975" s="252"/>
      <c r="HSM975" s="252"/>
      <c r="HSN975" s="252"/>
      <c r="HSO975" s="252"/>
      <c r="HSP975" s="252"/>
      <c r="HSQ975" s="252"/>
      <c r="HSR975" s="252"/>
      <c r="HSS975" s="252"/>
      <c r="HST975" s="252"/>
      <c r="HSU975" s="252"/>
      <c r="HSV975" s="252"/>
      <c r="HSW975" s="252"/>
      <c r="HSX975" s="252"/>
      <c r="HSY975" s="252"/>
      <c r="HSZ975" s="252"/>
      <c r="HTA975" s="252"/>
      <c r="HTB975" s="252"/>
      <c r="HTC975" s="252"/>
      <c r="HTD975" s="252"/>
      <c r="HTE975" s="252"/>
      <c r="HTF975" s="252"/>
      <c r="HTG975" s="252"/>
      <c r="HTH975" s="252"/>
      <c r="HTI975" s="252"/>
      <c r="HTJ975" s="252"/>
      <c r="HTK975" s="252"/>
      <c r="HTL975" s="252"/>
      <c r="HTM975" s="252"/>
      <c r="HTN975" s="252"/>
      <c r="HTO975" s="252"/>
      <c r="HTP975" s="252"/>
      <c r="HTQ975" s="252"/>
      <c r="HTR975" s="252"/>
      <c r="HTS975" s="252"/>
      <c r="HTT975" s="252"/>
      <c r="HTU975" s="252"/>
      <c r="HTV975" s="252"/>
      <c r="HTW975" s="252"/>
      <c r="HTX975" s="252"/>
      <c r="HTY975" s="252"/>
      <c r="HTZ975" s="252"/>
      <c r="HUA975" s="252"/>
      <c r="HUB975" s="252"/>
      <c r="HUC975" s="252"/>
      <c r="HUD975" s="252"/>
      <c r="HUE975" s="252"/>
      <c r="HUF975" s="252"/>
      <c r="HUG975" s="252"/>
      <c r="HUH975" s="252"/>
      <c r="HUI975" s="252"/>
      <c r="HUJ975" s="252"/>
      <c r="HUK975" s="252"/>
      <c r="HUL975" s="252"/>
      <c r="HUM975" s="252"/>
      <c r="HUN975" s="252"/>
      <c r="HUO975" s="252"/>
      <c r="HUP975" s="252"/>
      <c r="HUQ975" s="252"/>
      <c r="HUR975" s="252"/>
      <c r="HUS975" s="252"/>
      <c r="HUT975" s="252"/>
      <c r="HUU975" s="252"/>
      <c r="HUV975" s="252"/>
      <c r="HUW975" s="252"/>
      <c r="HUX975" s="252"/>
      <c r="HUY975" s="252"/>
      <c r="HUZ975" s="252"/>
      <c r="HVA975" s="252"/>
      <c r="HVB975" s="252"/>
      <c r="HVC975" s="252"/>
      <c r="HVD975" s="252"/>
      <c r="HVE975" s="252"/>
      <c r="HVF975" s="252"/>
      <c r="HVG975" s="252"/>
      <c r="HVH975" s="252"/>
      <c r="HVI975" s="252"/>
      <c r="HVJ975" s="252"/>
      <c r="HVK975" s="252"/>
      <c r="HVL975" s="252"/>
      <c r="HVM975" s="252"/>
      <c r="HVN975" s="252"/>
      <c r="HVO975" s="252"/>
      <c r="HVP975" s="252"/>
      <c r="HVQ975" s="252"/>
      <c r="HVR975" s="252"/>
      <c r="HVS975" s="252"/>
      <c r="HVT975" s="252"/>
      <c r="HVU975" s="252"/>
      <c r="HVV975" s="252"/>
      <c r="HVW975" s="252"/>
      <c r="HVX975" s="252"/>
      <c r="HVY975" s="252"/>
      <c r="HVZ975" s="252"/>
      <c r="HWA975" s="252"/>
      <c r="HWB975" s="252"/>
      <c r="HWC975" s="252"/>
      <c r="HWD975" s="252"/>
      <c r="HWE975" s="252"/>
      <c r="HWF975" s="252"/>
      <c r="HWG975" s="252"/>
      <c r="HWH975" s="252"/>
      <c r="HWI975" s="252"/>
      <c r="HWJ975" s="252"/>
      <c r="HWK975" s="252"/>
      <c r="HWL975" s="252"/>
      <c r="HWM975" s="252"/>
      <c r="HWN975" s="252"/>
      <c r="HWO975" s="252"/>
      <c r="HWP975" s="252"/>
      <c r="HWQ975" s="252"/>
      <c r="HWR975" s="252"/>
      <c r="HWS975" s="252"/>
      <c r="HWT975" s="252"/>
      <c r="HWU975" s="252"/>
      <c r="HWV975" s="252"/>
      <c r="HWW975" s="252"/>
      <c r="HWX975" s="252"/>
      <c r="HWY975" s="252"/>
      <c r="HWZ975" s="252"/>
      <c r="HXA975" s="252"/>
      <c r="HXB975" s="252"/>
      <c r="HXC975" s="252"/>
      <c r="HXD975" s="252"/>
      <c r="HXE975" s="252"/>
      <c r="HXF975" s="252"/>
      <c r="HXG975" s="252"/>
      <c r="HXH975" s="252"/>
      <c r="HXI975" s="252"/>
      <c r="HXJ975" s="252"/>
      <c r="HXK975" s="252"/>
      <c r="HXL975" s="252"/>
      <c r="HXM975" s="252"/>
      <c r="HXN975" s="252"/>
      <c r="HXO975" s="252"/>
      <c r="HXP975" s="252"/>
      <c r="HXQ975" s="252"/>
      <c r="HXR975" s="252"/>
      <c r="HXS975" s="252"/>
      <c r="HXT975" s="252"/>
      <c r="HXU975" s="252"/>
      <c r="HXV975" s="252"/>
      <c r="HXW975" s="252"/>
      <c r="HXX975" s="252"/>
      <c r="HXY975" s="252"/>
      <c r="HXZ975" s="252"/>
      <c r="HYA975" s="252"/>
      <c r="HYB975" s="252"/>
      <c r="HYC975" s="252"/>
      <c r="HYD975" s="252"/>
      <c r="HYE975" s="252"/>
      <c r="HYF975" s="252"/>
      <c r="HYG975" s="252"/>
      <c r="HYH975" s="252"/>
      <c r="HYI975" s="252"/>
      <c r="HYJ975" s="252"/>
      <c r="HYK975" s="252"/>
      <c r="HYL975" s="252"/>
      <c r="HYM975" s="252"/>
      <c r="HYN975" s="252"/>
      <c r="HYO975" s="252"/>
      <c r="HYP975" s="252"/>
      <c r="HYQ975" s="252"/>
      <c r="HYR975" s="252"/>
      <c r="HYS975" s="252"/>
      <c r="HYT975" s="252"/>
      <c r="HYU975" s="252"/>
      <c r="HYV975" s="252"/>
      <c r="HYW975" s="252"/>
      <c r="HYX975" s="252"/>
      <c r="HYY975" s="252"/>
      <c r="HYZ975" s="252"/>
      <c r="HZA975" s="252"/>
      <c r="HZB975" s="252"/>
      <c r="HZC975" s="252"/>
      <c r="HZD975" s="252"/>
      <c r="HZE975" s="252"/>
      <c r="HZF975" s="252"/>
      <c r="HZG975" s="252"/>
      <c r="HZH975" s="252"/>
      <c r="HZI975" s="252"/>
      <c r="HZJ975" s="252"/>
      <c r="HZK975" s="252"/>
      <c r="HZL975" s="252"/>
      <c r="HZM975" s="252"/>
      <c r="HZN975" s="252"/>
      <c r="HZO975" s="252"/>
      <c r="HZP975" s="252"/>
      <c r="HZQ975" s="252"/>
      <c r="HZR975" s="252"/>
      <c r="HZS975" s="252"/>
      <c r="HZT975" s="252"/>
      <c r="HZU975" s="252"/>
      <c r="HZV975" s="252"/>
      <c r="HZW975" s="252"/>
      <c r="HZX975" s="252"/>
      <c r="HZY975" s="252"/>
      <c r="HZZ975" s="252"/>
      <c r="IAA975" s="252"/>
      <c r="IAB975" s="252"/>
      <c r="IAC975" s="252"/>
      <c r="IAD975" s="252"/>
      <c r="IAE975" s="252"/>
      <c r="IAF975" s="252"/>
      <c r="IAG975" s="252"/>
      <c r="IAH975" s="252"/>
      <c r="IAI975" s="252"/>
      <c r="IAJ975" s="252"/>
      <c r="IAK975" s="252"/>
      <c r="IAL975" s="252"/>
      <c r="IAM975" s="252"/>
      <c r="IAN975" s="252"/>
      <c r="IAO975" s="252"/>
      <c r="IAP975" s="252"/>
      <c r="IAQ975" s="252"/>
      <c r="IAR975" s="252"/>
      <c r="IAS975" s="252"/>
      <c r="IAT975" s="252"/>
      <c r="IAU975" s="252"/>
      <c r="IAV975" s="252"/>
      <c r="IAW975" s="252"/>
      <c r="IAX975" s="252"/>
      <c r="IAY975" s="252"/>
      <c r="IAZ975" s="252"/>
      <c r="IBA975" s="252"/>
      <c r="IBB975" s="252"/>
      <c r="IBC975" s="252"/>
      <c r="IBD975" s="252"/>
      <c r="IBE975" s="252"/>
      <c r="IBF975" s="252"/>
      <c r="IBG975" s="252"/>
      <c r="IBH975" s="252"/>
      <c r="IBI975" s="252"/>
      <c r="IBJ975" s="252"/>
      <c r="IBK975" s="252"/>
      <c r="IBL975" s="252"/>
      <c r="IBM975" s="252"/>
      <c r="IBN975" s="252"/>
      <c r="IBO975" s="252"/>
      <c r="IBP975" s="252"/>
      <c r="IBQ975" s="252"/>
      <c r="IBR975" s="252"/>
      <c r="IBS975" s="252"/>
      <c r="IBT975" s="252"/>
      <c r="IBU975" s="252"/>
      <c r="IBV975" s="252"/>
      <c r="IBW975" s="252"/>
      <c r="IBX975" s="252"/>
      <c r="IBY975" s="252"/>
      <c r="IBZ975" s="252"/>
      <c r="ICA975" s="252"/>
      <c r="ICB975" s="252"/>
      <c r="ICC975" s="252"/>
      <c r="ICD975" s="252"/>
      <c r="ICE975" s="252"/>
      <c r="ICF975" s="252"/>
      <c r="ICG975" s="252"/>
      <c r="ICH975" s="252"/>
      <c r="ICI975" s="252"/>
      <c r="ICJ975" s="252"/>
      <c r="ICK975" s="252"/>
      <c r="ICL975" s="252"/>
      <c r="ICM975" s="252"/>
      <c r="ICN975" s="252"/>
      <c r="ICO975" s="252"/>
      <c r="ICP975" s="252"/>
      <c r="ICQ975" s="252"/>
      <c r="ICR975" s="252"/>
      <c r="ICS975" s="252"/>
      <c r="ICT975" s="252"/>
      <c r="ICU975" s="252"/>
      <c r="ICV975" s="252"/>
      <c r="ICW975" s="252"/>
      <c r="ICX975" s="252"/>
      <c r="ICY975" s="252"/>
      <c r="ICZ975" s="252"/>
      <c r="IDA975" s="252"/>
      <c r="IDB975" s="252"/>
      <c r="IDC975" s="252"/>
      <c r="IDD975" s="252"/>
      <c r="IDE975" s="252"/>
      <c r="IDF975" s="252"/>
      <c r="IDG975" s="252"/>
      <c r="IDH975" s="252"/>
      <c r="IDI975" s="252"/>
      <c r="IDJ975" s="252"/>
      <c r="IDK975" s="252"/>
      <c r="IDL975" s="252"/>
      <c r="IDM975" s="252"/>
      <c r="IDN975" s="252"/>
      <c r="IDO975" s="252"/>
      <c r="IDP975" s="252"/>
      <c r="IDQ975" s="252"/>
      <c r="IDR975" s="252"/>
      <c r="IDS975" s="252"/>
      <c r="IDT975" s="252"/>
      <c r="IDU975" s="252"/>
      <c r="IDV975" s="252"/>
      <c r="IDW975" s="252"/>
      <c r="IDX975" s="252"/>
      <c r="IDY975" s="252"/>
      <c r="IDZ975" s="252"/>
      <c r="IEA975" s="252"/>
      <c r="IEB975" s="252"/>
      <c r="IEC975" s="252"/>
      <c r="IED975" s="252"/>
      <c r="IEE975" s="252"/>
      <c r="IEF975" s="252"/>
      <c r="IEG975" s="252"/>
      <c r="IEH975" s="252"/>
      <c r="IEI975" s="252"/>
      <c r="IEJ975" s="252"/>
      <c r="IEK975" s="252"/>
      <c r="IEL975" s="252"/>
      <c r="IEM975" s="252"/>
      <c r="IEN975" s="252"/>
      <c r="IEO975" s="252"/>
      <c r="IEP975" s="252"/>
      <c r="IEQ975" s="252"/>
      <c r="IER975" s="252"/>
      <c r="IES975" s="252"/>
      <c r="IET975" s="252"/>
      <c r="IEU975" s="252"/>
      <c r="IEV975" s="252"/>
      <c r="IEW975" s="252"/>
      <c r="IEX975" s="252"/>
      <c r="IEY975" s="252"/>
      <c r="IEZ975" s="252"/>
      <c r="IFA975" s="252"/>
      <c r="IFB975" s="252"/>
      <c r="IFC975" s="252"/>
      <c r="IFD975" s="252"/>
      <c r="IFE975" s="252"/>
      <c r="IFF975" s="252"/>
      <c r="IFG975" s="252"/>
      <c r="IFH975" s="252"/>
      <c r="IFI975" s="252"/>
      <c r="IFJ975" s="252"/>
      <c r="IFK975" s="252"/>
      <c r="IFL975" s="252"/>
      <c r="IFM975" s="252"/>
      <c r="IFN975" s="252"/>
      <c r="IFO975" s="252"/>
      <c r="IFP975" s="252"/>
      <c r="IFQ975" s="252"/>
      <c r="IFR975" s="252"/>
      <c r="IFS975" s="252"/>
      <c r="IFT975" s="252"/>
      <c r="IFU975" s="252"/>
      <c r="IFV975" s="252"/>
      <c r="IFW975" s="252"/>
      <c r="IFX975" s="252"/>
      <c r="IFY975" s="252"/>
      <c r="IFZ975" s="252"/>
      <c r="IGA975" s="252"/>
      <c r="IGB975" s="252"/>
      <c r="IGC975" s="252"/>
      <c r="IGD975" s="252"/>
      <c r="IGE975" s="252"/>
      <c r="IGF975" s="252"/>
      <c r="IGG975" s="252"/>
      <c r="IGH975" s="252"/>
      <c r="IGI975" s="252"/>
      <c r="IGJ975" s="252"/>
      <c r="IGK975" s="252"/>
      <c r="IGL975" s="252"/>
      <c r="IGM975" s="252"/>
      <c r="IGN975" s="252"/>
      <c r="IGO975" s="252"/>
      <c r="IGP975" s="252"/>
      <c r="IGQ975" s="252"/>
      <c r="IGR975" s="252"/>
      <c r="IGS975" s="252"/>
      <c r="IGT975" s="252"/>
      <c r="IGU975" s="252"/>
      <c r="IGV975" s="252"/>
      <c r="IGW975" s="252"/>
      <c r="IGX975" s="252"/>
      <c r="IGY975" s="252"/>
      <c r="IGZ975" s="252"/>
      <c r="IHA975" s="252"/>
      <c r="IHB975" s="252"/>
      <c r="IHC975" s="252"/>
      <c r="IHD975" s="252"/>
      <c r="IHE975" s="252"/>
      <c r="IHF975" s="252"/>
      <c r="IHG975" s="252"/>
      <c r="IHH975" s="252"/>
      <c r="IHI975" s="252"/>
      <c r="IHJ975" s="252"/>
      <c r="IHK975" s="252"/>
      <c r="IHL975" s="252"/>
      <c r="IHM975" s="252"/>
      <c r="IHN975" s="252"/>
      <c r="IHO975" s="252"/>
      <c r="IHP975" s="252"/>
      <c r="IHQ975" s="252"/>
      <c r="IHR975" s="252"/>
      <c r="IHS975" s="252"/>
      <c r="IHT975" s="252"/>
      <c r="IHU975" s="252"/>
      <c r="IHV975" s="252"/>
      <c r="IHW975" s="252"/>
      <c r="IHX975" s="252"/>
      <c r="IHY975" s="252"/>
      <c r="IHZ975" s="252"/>
      <c r="IIA975" s="252"/>
      <c r="IIB975" s="252"/>
      <c r="IIC975" s="252"/>
      <c r="IID975" s="252"/>
      <c r="IIE975" s="252"/>
      <c r="IIF975" s="252"/>
      <c r="IIG975" s="252"/>
      <c r="IIH975" s="252"/>
      <c r="III975" s="252"/>
      <c r="IIJ975" s="252"/>
      <c r="IIK975" s="252"/>
      <c r="IIL975" s="252"/>
      <c r="IIM975" s="252"/>
      <c r="IIN975" s="252"/>
      <c r="IIO975" s="252"/>
      <c r="IIP975" s="252"/>
      <c r="IIQ975" s="252"/>
      <c r="IIR975" s="252"/>
      <c r="IIS975" s="252"/>
      <c r="IIT975" s="252"/>
      <c r="IIU975" s="252"/>
      <c r="IIV975" s="252"/>
      <c r="IIW975" s="252"/>
      <c r="IIX975" s="252"/>
      <c r="IIY975" s="252"/>
      <c r="IIZ975" s="252"/>
      <c r="IJA975" s="252"/>
      <c r="IJB975" s="252"/>
      <c r="IJC975" s="252"/>
      <c r="IJD975" s="252"/>
      <c r="IJE975" s="252"/>
      <c r="IJF975" s="252"/>
      <c r="IJG975" s="252"/>
      <c r="IJH975" s="252"/>
      <c r="IJI975" s="252"/>
      <c r="IJJ975" s="252"/>
      <c r="IJK975" s="252"/>
      <c r="IJL975" s="252"/>
      <c r="IJM975" s="252"/>
      <c r="IJN975" s="252"/>
      <c r="IJO975" s="252"/>
      <c r="IJP975" s="252"/>
      <c r="IJQ975" s="252"/>
      <c r="IJR975" s="252"/>
      <c r="IJS975" s="252"/>
      <c r="IJT975" s="252"/>
      <c r="IJU975" s="252"/>
      <c r="IJV975" s="252"/>
      <c r="IJW975" s="252"/>
      <c r="IJX975" s="252"/>
      <c r="IJY975" s="252"/>
      <c r="IJZ975" s="252"/>
      <c r="IKA975" s="252"/>
      <c r="IKB975" s="252"/>
      <c r="IKC975" s="252"/>
      <c r="IKD975" s="252"/>
      <c r="IKE975" s="252"/>
      <c r="IKF975" s="252"/>
      <c r="IKG975" s="252"/>
      <c r="IKH975" s="252"/>
      <c r="IKI975" s="252"/>
      <c r="IKJ975" s="252"/>
      <c r="IKK975" s="252"/>
      <c r="IKL975" s="252"/>
      <c r="IKM975" s="252"/>
      <c r="IKN975" s="252"/>
      <c r="IKO975" s="252"/>
      <c r="IKP975" s="252"/>
      <c r="IKQ975" s="252"/>
      <c r="IKR975" s="252"/>
      <c r="IKS975" s="252"/>
      <c r="IKT975" s="252"/>
      <c r="IKU975" s="252"/>
      <c r="IKV975" s="252"/>
      <c r="IKW975" s="252"/>
      <c r="IKX975" s="252"/>
      <c r="IKY975" s="252"/>
      <c r="IKZ975" s="252"/>
      <c r="ILA975" s="252"/>
      <c r="ILB975" s="252"/>
      <c r="ILC975" s="252"/>
      <c r="ILD975" s="252"/>
      <c r="ILE975" s="252"/>
      <c r="ILF975" s="252"/>
      <c r="ILG975" s="252"/>
      <c r="ILH975" s="252"/>
      <c r="ILI975" s="252"/>
      <c r="ILJ975" s="252"/>
      <c r="ILK975" s="252"/>
      <c r="ILL975" s="252"/>
      <c r="ILM975" s="252"/>
      <c r="ILN975" s="252"/>
      <c r="ILO975" s="252"/>
      <c r="ILP975" s="252"/>
      <c r="ILQ975" s="252"/>
      <c r="ILR975" s="252"/>
      <c r="ILS975" s="252"/>
      <c r="ILT975" s="252"/>
      <c r="ILU975" s="252"/>
      <c r="ILV975" s="252"/>
      <c r="ILW975" s="252"/>
      <c r="ILX975" s="252"/>
      <c r="ILY975" s="252"/>
      <c r="ILZ975" s="252"/>
      <c r="IMA975" s="252"/>
      <c r="IMB975" s="252"/>
      <c r="IMC975" s="252"/>
      <c r="IMD975" s="252"/>
      <c r="IME975" s="252"/>
      <c r="IMF975" s="252"/>
      <c r="IMG975" s="252"/>
      <c r="IMH975" s="252"/>
      <c r="IMI975" s="252"/>
      <c r="IMJ975" s="252"/>
      <c r="IMK975" s="252"/>
      <c r="IML975" s="252"/>
      <c r="IMM975" s="252"/>
      <c r="IMN975" s="252"/>
      <c r="IMO975" s="252"/>
      <c r="IMP975" s="252"/>
      <c r="IMQ975" s="252"/>
      <c r="IMR975" s="252"/>
      <c r="IMS975" s="252"/>
      <c r="IMT975" s="252"/>
      <c r="IMU975" s="252"/>
      <c r="IMV975" s="252"/>
      <c r="IMW975" s="252"/>
      <c r="IMX975" s="252"/>
      <c r="IMY975" s="252"/>
      <c r="IMZ975" s="252"/>
      <c r="INA975" s="252"/>
      <c r="INB975" s="252"/>
      <c r="INC975" s="252"/>
      <c r="IND975" s="252"/>
      <c r="INE975" s="252"/>
      <c r="INF975" s="252"/>
      <c r="ING975" s="252"/>
      <c r="INH975" s="252"/>
      <c r="INI975" s="252"/>
      <c r="INJ975" s="252"/>
      <c r="INK975" s="252"/>
      <c r="INL975" s="252"/>
      <c r="INM975" s="252"/>
      <c r="INN975" s="252"/>
      <c r="INO975" s="252"/>
      <c r="INP975" s="252"/>
      <c r="INQ975" s="252"/>
      <c r="INR975" s="252"/>
      <c r="INS975" s="252"/>
      <c r="INT975" s="252"/>
      <c r="INU975" s="252"/>
      <c r="INV975" s="252"/>
      <c r="INW975" s="252"/>
      <c r="INX975" s="252"/>
      <c r="INY975" s="252"/>
      <c r="INZ975" s="252"/>
      <c r="IOA975" s="252"/>
      <c r="IOB975" s="252"/>
      <c r="IOC975" s="252"/>
      <c r="IOD975" s="252"/>
      <c r="IOE975" s="252"/>
      <c r="IOF975" s="252"/>
      <c r="IOG975" s="252"/>
      <c r="IOH975" s="252"/>
      <c r="IOI975" s="252"/>
      <c r="IOJ975" s="252"/>
      <c r="IOK975" s="252"/>
      <c r="IOL975" s="252"/>
      <c r="IOM975" s="252"/>
      <c r="ION975" s="252"/>
      <c r="IOO975" s="252"/>
      <c r="IOP975" s="252"/>
      <c r="IOQ975" s="252"/>
      <c r="IOR975" s="252"/>
      <c r="IOS975" s="252"/>
      <c r="IOT975" s="252"/>
      <c r="IOU975" s="252"/>
      <c r="IOV975" s="252"/>
      <c r="IOW975" s="252"/>
      <c r="IOX975" s="252"/>
      <c r="IOY975" s="252"/>
      <c r="IOZ975" s="252"/>
      <c r="IPA975" s="252"/>
      <c r="IPB975" s="252"/>
      <c r="IPC975" s="252"/>
      <c r="IPD975" s="252"/>
      <c r="IPE975" s="252"/>
      <c r="IPF975" s="252"/>
      <c r="IPG975" s="252"/>
      <c r="IPH975" s="252"/>
      <c r="IPI975" s="252"/>
      <c r="IPJ975" s="252"/>
      <c r="IPK975" s="252"/>
      <c r="IPL975" s="252"/>
      <c r="IPM975" s="252"/>
      <c r="IPN975" s="252"/>
      <c r="IPO975" s="252"/>
      <c r="IPP975" s="252"/>
      <c r="IPQ975" s="252"/>
      <c r="IPR975" s="252"/>
      <c r="IPS975" s="252"/>
      <c r="IPT975" s="252"/>
      <c r="IPU975" s="252"/>
      <c r="IPV975" s="252"/>
      <c r="IPW975" s="252"/>
      <c r="IPX975" s="252"/>
      <c r="IPY975" s="252"/>
      <c r="IPZ975" s="252"/>
      <c r="IQA975" s="252"/>
      <c r="IQB975" s="252"/>
      <c r="IQC975" s="252"/>
      <c r="IQD975" s="252"/>
      <c r="IQE975" s="252"/>
      <c r="IQF975" s="252"/>
      <c r="IQG975" s="252"/>
      <c r="IQH975" s="252"/>
      <c r="IQI975" s="252"/>
      <c r="IQJ975" s="252"/>
      <c r="IQK975" s="252"/>
      <c r="IQL975" s="252"/>
      <c r="IQM975" s="252"/>
      <c r="IQN975" s="252"/>
      <c r="IQO975" s="252"/>
      <c r="IQP975" s="252"/>
      <c r="IQQ975" s="252"/>
      <c r="IQR975" s="252"/>
      <c r="IQS975" s="252"/>
      <c r="IQT975" s="252"/>
      <c r="IQU975" s="252"/>
      <c r="IQV975" s="252"/>
      <c r="IQW975" s="252"/>
      <c r="IQX975" s="252"/>
      <c r="IQY975" s="252"/>
      <c r="IQZ975" s="252"/>
      <c r="IRA975" s="252"/>
      <c r="IRB975" s="252"/>
      <c r="IRC975" s="252"/>
      <c r="IRD975" s="252"/>
      <c r="IRE975" s="252"/>
      <c r="IRF975" s="252"/>
      <c r="IRG975" s="252"/>
      <c r="IRH975" s="252"/>
      <c r="IRI975" s="252"/>
      <c r="IRJ975" s="252"/>
      <c r="IRK975" s="252"/>
      <c r="IRL975" s="252"/>
      <c r="IRM975" s="252"/>
      <c r="IRN975" s="252"/>
      <c r="IRO975" s="252"/>
      <c r="IRP975" s="252"/>
      <c r="IRQ975" s="252"/>
      <c r="IRR975" s="252"/>
      <c r="IRS975" s="252"/>
      <c r="IRT975" s="252"/>
      <c r="IRU975" s="252"/>
      <c r="IRV975" s="252"/>
      <c r="IRW975" s="252"/>
      <c r="IRX975" s="252"/>
      <c r="IRY975" s="252"/>
      <c r="IRZ975" s="252"/>
      <c r="ISA975" s="252"/>
      <c r="ISB975" s="252"/>
      <c r="ISC975" s="252"/>
      <c r="ISD975" s="252"/>
      <c r="ISE975" s="252"/>
      <c r="ISF975" s="252"/>
      <c r="ISG975" s="252"/>
      <c r="ISH975" s="252"/>
      <c r="ISI975" s="252"/>
      <c r="ISJ975" s="252"/>
      <c r="ISK975" s="252"/>
      <c r="ISL975" s="252"/>
      <c r="ISM975" s="252"/>
      <c r="ISN975" s="252"/>
      <c r="ISO975" s="252"/>
      <c r="ISP975" s="252"/>
      <c r="ISQ975" s="252"/>
      <c r="ISR975" s="252"/>
      <c r="ISS975" s="252"/>
      <c r="IST975" s="252"/>
      <c r="ISU975" s="252"/>
      <c r="ISV975" s="252"/>
      <c r="ISW975" s="252"/>
      <c r="ISX975" s="252"/>
      <c r="ISY975" s="252"/>
      <c r="ISZ975" s="252"/>
      <c r="ITA975" s="252"/>
      <c r="ITB975" s="252"/>
      <c r="ITC975" s="252"/>
      <c r="ITD975" s="252"/>
      <c r="ITE975" s="252"/>
      <c r="ITF975" s="252"/>
      <c r="ITG975" s="252"/>
      <c r="ITH975" s="252"/>
      <c r="ITI975" s="252"/>
      <c r="ITJ975" s="252"/>
      <c r="ITK975" s="252"/>
      <c r="ITL975" s="252"/>
      <c r="ITM975" s="252"/>
      <c r="ITN975" s="252"/>
      <c r="ITO975" s="252"/>
      <c r="ITP975" s="252"/>
      <c r="ITQ975" s="252"/>
      <c r="ITR975" s="252"/>
      <c r="ITS975" s="252"/>
      <c r="ITT975" s="252"/>
      <c r="ITU975" s="252"/>
      <c r="ITV975" s="252"/>
      <c r="ITW975" s="252"/>
      <c r="ITX975" s="252"/>
      <c r="ITY975" s="252"/>
      <c r="ITZ975" s="252"/>
      <c r="IUA975" s="252"/>
      <c r="IUB975" s="252"/>
      <c r="IUC975" s="252"/>
      <c r="IUD975" s="252"/>
      <c r="IUE975" s="252"/>
      <c r="IUF975" s="252"/>
      <c r="IUG975" s="252"/>
      <c r="IUH975" s="252"/>
      <c r="IUI975" s="252"/>
      <c r="IUJ975" s="252"/>
      <c r="IUK975" s="252"/>
      <c r="IUL975" s="252"/>
      <c r="IUM975" s="252"/>
      <c r="IUN975" s="252"/>
      <c r="IUO975" s="252"/>
      <c r="IUP975" s="252"/>
      <c r="IUQ975" s="252"/>
      <c r="IUR975" s="252"/>
      <c r="IUS975" s="252"/>
      <c r="IUT975" s="252"/>
      <c r="IUU975" s="252"/>
      <c r="IUV975" s="252"/>
      <c r="IUW975" s="252"/>
      <c r="IUX975" s="252"/>
      <c r="IUY975" s="252"/>
      <c r="IUZ975" s="252"/>
      <c r="IVA975" s="252"/>
      <c r="IVB975" s="252"/>
      <c r="IVC975" s="252"/>
      <c r="IVD975" s="252"/>
      <c r="IVE975" s="252"/>
      <c r="IVF975" s="252"/>
      <c r="IVG975" s="252"/>
      <c r="IVH975" s="252"/>
      <c r="IVI975" s="252"/>
      <c r="IVJ975" s="252"/>
      <c r="IVK975" s="252"/>
      <c r="IVL975" s="252"/>
      <c r="IVM975" s="252"/>
      <c r="IVN975" s="252"/>
      <c r="IVO975" s="252"/>
      <c r="IVP975" s="252"/>
      <c r="IVQ975" s="252"/>
      <c r="IVR975" s="252"/>
      <c r="IVS975" s="252"/>
      <c r="IVT975" s="252"/>
      <c r="IVU975" s="252"/>
      <c r="IVV975" s="252"/>
      <c r="IVW975" s="252"/>
      <c r="IVX975" s="252"/>
      <c r="IVY975" s="252"/>
      <c r="IVZ975" s="252"/>
      <c r="IWA975" s="252"/>
      <c r="IWB975" s="252"/>
      <c r="IWC975" s="252"/>
      <c r="IWD975" s="252"/>
      <c r="IWE975" s="252"/>
      <c r="IWF975" s="252"/>
      <c r="IWG975" s="252"/>
      <c r="IWH975" s="252"/>
      <c r="IWI975" s="252"/>
      <c r="IWJ975" s="252"/>
      <c r="IWK975" s="252"/>
      <c r="IWL975" s="252"/>
      <c r="IWM975" s="252"/>
      <c r="IWN975" s="252"/>
      <c r="IWO975" s="252"/>
      <c r="IWP975" s="252"/>
      <c r="IWQ975" s="252"/>
      <c r="IWR975" s="252"/>
      <c r="IWS975" s="252"/>
      <c r="IWT975" s="252"/>
      <c r="IWU975" s="252"/>
      <c r="IWV975" s="252"/>
      <c r="IWW975" s="252"/>
      <c r="IWX975" s="252"/>
      <c r="IWY975" s="252"/>
      <c r="IWZ975" s="252"/>
      <c r="IXA975" s="252"/>
      <c r="IXB975" s="252"/>
      <c r="IXC975" s="252"/>
      <c r="IXD975" s="252"/>
      <c r="IXE975" s="252"/>
      <c r="IXF975" s="252"/>
      <c r="IXG975" s="252"/>
      <c r="IXH975" s="252"/>
      <c r="IXI975" s="252"/>
      <c r="IXJ975" s="252"/>
      <c r="IXK975" s="252"/>
      <c r="IXL975" s="252"/>
      <c r="IXM975" s="252"/>
      <c r="IXN975" s="252"/>
      <c r="IXO975" s="252"/>
      <c r="IXP975" s="252"/>
      <c r="IXQ975" s="252"/>
      <c r="IXR975" s="252"/>
      <c r="IXS975" s="252"/>
      <c r="IXT975" s="252"/>
      <c r="IXU975" s="252"/>
      <c r="IXV975" s="252"/>
      <c r="IXW975" s="252"/>
      <c r="IXX975" s="252"/>
      <c r="IXY975" s="252"/>
      <c r="IXZ975" s="252"/>
      <c r="IYA975" s="252"/>
      <c r="IYB975" s="252"/>
      <c r="IYC975" s="252"/>
      <c r="IYD975" s="252"/>
      <c r="IYE975" s="252"/>
      <c r="IYF975" s="252"/>
      <c r="IYG975" s="252"/>
      <c r="IYH975" s="252"/>
      <c r="IYI975" s="252"/>
      <c r="IYJ975" s="252"/>
      <c r="IYK975" s="252"/>
      <c r="IYL975" s="252"/>
      <c r="IYM975" s="252"/>
      <c r="IYN975" s="252"/>
      <c r="IYO975" s="252"/>
      <c r="IYP975" s="252"/>
      <c r="IYQ975" s="252"/>
      <c r="IYR975" s="252"/>
      <c r="IYS975" s="252"/>
      <c r="IYT975" s="252"/>
      <c r="IYU975" s="252"/>
      <c r="IYV975" s="252"/>
      <c r="IYW975" s="252"/>
      <c r="IYX975" s="252"/>
      <c r="IYY975" s="252"/>
      <c r="IYZ975" s="252"/>
      <c r="IZA975" s="252"/>
      <c r="IZB975" s="252"/>
      <c r="IZC975" s="252"/>
      <c r="IZD975" s="252"/>
      <c r="IZE975" s="252"/>
      <c r="IZF975" s="252"/>
      <c r="IZG975" s="252"/>
      <c r="IZH975" s="252"/>
      <c r="IZI975" s="252"/>
      <c r="IZJ975" s="252"/>
      <c r="IZK975" s="252"/>
      <c r="IZL975" s="252"/>
      <c r="IZM975" s="252"/>
      <c r="IZN975" s="252"/>
      <c r="IZO975" s="252"/>
      <c r="IZP975" s="252"/>
      <c r="IZQ975" s="252"/>
      <c r="IZR975" s="252"/>
      <c r="IZS975" s="252"/>
      <c r="IZT975" s="252"/>
      <c r="IZU975" s="252"/>
      <c r="IZV975" s="252"/>
      <c r="IZW975" s="252"/>
      <c r="IZX975" s="252"/>
      <c r="IZY975" s="252"/>
      <c r="IZZ975" s="252"/>
      <c r="JAA975" s="252"/>
      <c r="JAB975" s="252"/>
      <c r="JAC975" s="252"/>
      <c r="JAD975" s="252"/>
      <c r="JAE975" s="252"/>
      <c r="JAF975" s="252"/>
      <c r="JAG975" s="252"/>
      <c r="JAH975" s="252"/>
      <c r="JAI975" s="252"/>
      <c r="JAJ975" s="252"/>
      <c r="JAK975" s="252"/>
      <c r="JAL975" s="252"/>
      <c r="JAM975" s="252"/>
      <c r="JAN975" s="252"/>
      <c r="JAO975" s="252"/>
      <c r="JAP975" s="252"/>
      <c r="JAQ975" s="252"/>
      <c r="JAR975" s="252"/>
      <c r="JAS975" s="252"/>
      <c r="JAT975" s="252"/>
      <c r="JAU975" s="252"/>
      <c r="JAV975" s="252"/>
      <c r="JAW975" s="252"/>
      <c r="JAX975" s="252"/>
      <c r="JAY975" s="252"/>
      <c r="JAZ975" s="252"/>
      <c r="JBA975" s="252"/>
      <c r="JBB975" s="252"/>
      <c r="JBC975" s="252"/>
      <c r="JBD975" s="252"/>
      <c r="JBE975" s="252"/>
      <c r="JBF975" s="252"/>
      <c r="JBG975" s="252"/>
      <c r="JBH975" s="252"/>
      <c r="JBI975" s="252"/>
      <c r="JBJ975" s="252"/>
      <c r="JBK975" s="252"/>
      <c r="JBL975" s="252"/>
      <c r="JBM975" s="252"/>
      <c r="JBN975" s="252"/>
      <c r="JBO975" s="252"/>
      <c r="JBP975" s="252"/>
      <c r="JBQ975" s="252"/>
      <c r="JBR975" s="252"/>
      <c r="JBS975" s="252"/>
      <c r="JBT975" s="252"/>
      <c r="JBU975" s="252"/>
      <c r="JBV975" s="252"/>
      <c r="JBW975" s="252"/>
      <c r="JBX975" s="252"/>
      <c r="JBY975" s="252"/>
      <c r="JBZ975" s="252"/>
      <c r="JCA975" s="252"/>
      <c r="JCB975" s="252"/>
      <c r="JCC975" s="252"/>
      <c r="JCD975" s="252"/>
      <c r="JCE975" s="252"/>
      <c r="JCF975" s="252"/>
      <c r="JCG975" s="252"/>
      <c r="JCH975" s="252"/>
      <c r="JCI975" s="252"/>
      <c r="JCJ975" s="252"/>
      <c r="JCK975" s="252"/>
      <c r="JCL975" s="252"/>
      <c r="JCM975" s="252"/>
      <c r="JCN975" s="252"/>
      <c r="JCO975" s="252"/>
      <c r="JCP975" s="252"/>
      <c r="JCQ975" s="252"/>
      <c r="JCR975" s="252"/>
      <c r="JCS975" s="252"/>
      <c r="JCT975" s="252"/>
      <c r="JCU975" s="252"/>
      <c r="JCV975" s="252"/>
      <c r="JCW975" s="252"/>
      <c r="JCX975" s="252"/>
      <c r="JCY975" s="252"/>
      <c r="JCZ975" s="252"/>
      <c r="JDA975" s="252"/>
      <c r="JDB975" s="252"/>
      <c r="JDC975" s="252"/>
      <c r="JDD975" s="252"/>
      <c r="JDE975" s="252"/>
      <c r="JDF975" s="252"/>
      <c r="JDG975" s="252"/>
      <c r="JDH975" s="252"/>
      <c r="JDI975" s="252"/>
      <c r="JDJ975" s="252"/>
      <c r="JDK975" s="252"/>
      <c r="JDL975" s="252"/>
      <c r="JDM975" s="252"/>
      <c r="JDN975" s="252"/>
      <c r="JDO975" s="252"/>
      <c r="JDP975" s="252"/>
      <c r="JDQ975" s="252"/>
      <c r="JDR975" s="252"/>
      <c r="JDS975" s="252"/>
      <c r="JDT975" s="252"/>
      <c r="JDU975" s="252"/>
      <c r="JDV975" s="252"/>
      <c r="JDW975" s="252"/>
      <c r="JDX975" s="252"/>
      <c r="JDY975" s="252"/>
      <c r="JDZ975" s="252"/>
      <c r="JEA975" s="252"/>
      <c r="JEB975" s="252"/>
      <c r="JEC975" s="252"/>
      <c r="JED975" s="252"/>
      <c r="JEE975" s="252"/>
      <c r="JEF975" s="252"/>
      <c r="JEG975" s="252"/>
      <c r="JEH975" s="252"/>
      <c r="JEI975" s="252"/>
      <c r="JEJ975" s="252"/>
      <c r="JEK975" s="252"/>
      <c r="JEL975" s="252"/>
      <c r="JEM975" s="252"/>
      <c r="JEN975" s="252"/>
      <c r="JEO975" s="252"/>
      <c r="JEP975" s="252"/>
      <c r="JEQ975" s="252"/>
      <c r="JER975" s="252"/>
      <c r="JES975" s="252"/>
      <c r="JET975" s="252"/>
      <c r="JEU975" s="252"/>
      <c r="JEV975" s="252"/>
      <c r="JEW975" s="252"/>
      <c r="JEX975" s="252"/>
      <c r="JEY975" s="252"/>
      <c r="JEZ975" s="252"/>
      <c r="JFA975" s="252"/>
      <c r="JFB975" s="252"/>
      <c r="JFC975" s="252"/>
      <c r="JFD975" s="252"/>
      <c r="JFE975" s="252"/>
      <c r="JFF975" s="252"/>
      <c r="JFG975" s="252"/>
      <c r="JFH975" s="252"/>
      <c r="JFI975" s="252"/>
      <c r="JFJ975" s="252"/>
      <c r="JFK975" s="252"/>
      <c r="JFL975" s="252"/>
      <c r="JFM975" s="252"/>
      <c r="JFN975" s="252"/>
      <c r="JFO975" s="252"/>
      <c r="JFP975" s="252"/>
      <c r="JFQ975" s="252"/>
      <c r="JFR975" s="252"/>
      <c r="JFS975" s="252"/>
      <c r="JFT975" s="252"/>
      <c r="JFU975" s="252"/>
      <c r="JFV975" s="252"/>
      <c r="JFW975" s="252"/>
      <c r="JFX975" s="252"/>
      <c r="JFY975" s="252"/>
      <c r="JFZ975" s="252"/>
      <c r="JGA975" s="252"/>
      <c r="JGB975" s="252"/>
      <c r="JGC975" s="252"/>
      <c r="JGD975" s="252"/>
      <c r="JGE975" s="252"/>
      <c r="JGF975" s="252"/>
      <c r="JGG975" s="252"/>
      <c r="JGH975" s="252"/>
      <c r="JGI975" s="252"/>
      <c r="JGJ975" s="252"/>
      <c r="JGK975" s="252"/>
      <c r="JGL975" s="252"/>
      <c r="JGM975" s="252"/>
      <c r="JGN975" s="252"/>
      <c r="JGO975" s="252"/>
      <c r="JGP975" s="252"/>
      <c r="JGQ975" s="252"/>
      <c r="JGR975" s="252"/>
      <c r="JGS975" s="252"/>
      <c r="JGT975" s="252"/>
      <c r="JGU975" s="252"/>
      <c r="JGV975" s="252"/>
      <c r="JGW975" s="252"/>
      <c r="JGX975" s="252"/>
      <c r="JGY975" s="252"/>
      <c r="JGZ975" s="252"/>
      <c r="JHA975" s="252"/>
      <c r="JHB975" s="252"/>
      <c r="JHC975" s="252"/>
      <c r="JHD975" s="252"/>
      <c r="JHE975" s="252"/>
      <c r="JHF975" s="252"/>
      <c r="JHG975" s="252"/>
      <c r="JHH975" s="252"/>
      <c r="JHI975" s="252"/>
      <c r="JHJ975" s="252"/>
      <c r="JHK975" s="252"/>
      <c r="JHL975" s="252"/>
      <c r="JHM975" s="252"/>
      <c r="JHN975" s="252"/>
      <c r="JHO975" s="252"/>
      <c r="JHP975" s="252"/>
      <c r="JHQ975" s="252"/>
      <c r="JHR975" s="252"/>
      <c r="JHS975" s="252"/>
      <c r="JHT975" s="252"/>
      <c r="JHU975" s="252"/>
      <c r="JHV975" s="252"/>
      <c r="JHW975" s="252"/>
      <c r="JHX975" s="252"/>
      <c r="JHY975" s="252"/>
      <c r="JHZ975" s="252"/>
      <c r="JIA975" s="252"/>
      <c r="JIB975" s="252"/>
      <c r="JIC975" s="252"/>
      <c r="JID975" s="252"/>
      <c r="JIE975" s="252"/>
      <c r="JIF975" s="252"/>
      <c r="JIG975" s="252"/>
      <c r="JIH975" s="252"/>
      <c r="JII975" s="252"/>
      <c r="JIJ975" s="252"/>
      <c r="JIK975" s="252"/>
      <c r="JIL975" s="252"/>
      <c r="JIM975" s="252"/>
      <c r="JIN975" s="252"/>
      <c r="JIO975" s="252"/>
      <c r="JIP975" s="252"/>
      <c r="JIQ975" s="252"/>
      <c r="JIR975" s="252"/>
      <c r="JIS975" s="252"/>
      <c r="JIT975" s="252"/>
      <c r="JIU975" s="252"/>
      <c r="JIV975" s="252"/>
      <c r="JIW975" s="252"/>
      <c r="JIX975" s="252"/>
      <c r="JIY975" s="252"/>
      <c r="JIZ975" s="252"/>
      <c r="JJA975" s="252"/>
      <c r="JJB975" s="252"/>
      <c r="JJC975" s="252"/>
      <c r="JJD975" s="252"/>
      <c r="JJE975" s="252"/>
      <c r="JJF975" s="252"/>
      <c r="JJG975" s="252"/>
      <c r="JJH975" s="252"/>
      <c r="JJI975" s="252"/>
      <c r="JJJ975" s="252"/>
      <c r="JJK975" s="252"/>
      <c r="JJL975" s="252"/>
      <c r="JJM975" s="252"/>
      <c r="JJN975" s="252"/>
      <c r="JJO975" s="252"/>
      <c r="JJP975" s="252"/>
      <c r="JJQ975" s="252"/>
      <c r="JJR975" s="252"/>
      <c r="JJS975" s="252"/>
      <c r="JJT975" s="252"/>
      <c r="JJU975" s="252"/>
      <c r="JJV975" s="252"/>
      <c r="JJW975" s="252"/>
      <c r="JJX975" s="252"/>
      <c r="JJY975" s="252"/>
      <c r="JJZ975" s="252"/>
      <c r="JKA975" s="252"/>
      <c r="JKB975" s="252"/>
      <c r="JKC975" s="252"/>
      <c r="JKD975" s="252"/>
      <c r="JKE975" s="252"/>
      <c r="JKF975" s="252"/>
      <c r="JKG975" s="252"/>
      <c r="JKH975" s="252"/>
      <c r="JKI975" s="252"/>
      <c r="JKJ975" s="252"/>
      <c r="JKK975" s="252"/>
      <c r="JKL975" s="252"/>
      <c r="JKM975" s="252"/>
      <c r="JKN975" s="252"/>
      <c r="JKO975" s="252"/>
      <c r="JKP975" s="252"/>
      <c r="JKQ975" s="252"/>
      <c r="JKR975" s="252"/>
      <c r="JKS975" s="252"/>
      <c r="JKT975" s="252"/>
      <c r="JKU975" s="252"/>
      <c r="JKV975" s="252"/>
      <c r="JKW975" s="252"/>
      <c r="JKX975" s="252"/>
      <c r="JKY975" s="252"/>
      <c r="JKZ975" s="252"/>
      <c r="JLA975" s="252"/>
      <c r="JLB975" s="252"/>
      <c r="JLC975" s="252"/>
      <c r="JLD975" s="252"/>
      <c r="JLE975" s="252"/>
      <c r="JLF975" s="252"/>
      <c r="JLG975" s="252"/>
      <c r="JLH975" s="252"/>
      <c r="JLI975" s="252"/>
      <c r="JLJ975" s="252"/>
      <c r="JLK975" s="252"/>
      <c r="JLL975" s="252"/>
      <c r="JLM975" s="252"/>
      <c r="JLN975" s="252"/>
      <c r="JLO975" s="252"/>
      <c r="JLP975" s="252"/>
      <c r="JLQ975" s="252"/>
      <c r="JLR975" s="252"/>
      <c r="JLS975" s="252"/>
      <c r="JLT975" s="252"/>
      <c r="JLU975" s="252"/>
      <c r="JLV975" s="252"/>
      <c r="JLW975" s="252"/>
      <c r="JLX975" s="252"/>
      <c r="JLY975" s="252"/>
      <c r="JLZ975" s="252"/>
      <c r="JMA975" s="252"/>
      <c r="JMB975" s="252"/>
      <c r="JMC975" s="252"/>
      <c r="JMD975" s="252"/>
      <c r="JME975" s="252"/>
      <c r="JMF975" s="252"/>
      <c r="JMG975" s="252"/>
      <c r="JMH975" s="252"/>
      <c r="JMI975" s="252"/>
      <c r="JMJ975" s="252"/>
      <c r="JMK975" s="252"/>
      <c r="JML975" s="252"/>
      <c r="JMM975" s="252"/>
      <c r="JMN975" s="252"/>
      <c r="JMO975" s="252"/>
      <c r="JMP975" s="252"/>
      <c r="JMQ975" s="252"/>
      <c r="JMR975" s="252"/>
      <c r="JMS975" s="252"/>
      <c r="JMT975" s="252"/>
      <c r="JMU975" s="252"/>
      <c r="JMV975" s="252"/>
      <c r="JMW975" s="252"/>
      <c r="JMX975" s="252"/>
      <c r="JMY975" s="252"/>
      <c r="JMZ975" s="252"/>
      <c r="JNA975" s="252"/>
      <c r="JNB975" s="252"/>
      <c r="JNC975" s="252"/>
      <c r="JND975" s="252"/>
      <c r="JNE975" s="252"/>
      <c r="JNF975" s="252"/>
      <c r="JNG975" s="252"/>
      <c r="JNH975" s="252"/>
      <c r="JNI975" s="252"/>
      <c r="JNJ975" s="252"/>
      <c r="JNK975" s="252"/>
      <c r="JNL975" s="252"/>
      <c r="JNM975" s="252"/>
      <c r="JNN975" s="252"/>
      <c r="JNO975" s="252"/>
      <c r="JNP975" s="252"/>
      <c r="JNQ975" s="252"/>
      <c r="JNR975" s="252"/>
      <c r="JNS975" s="252"/>
      <c r="JNT975" s="252"/>
      <c r="JNU975" s="252"/>
      <c r="JNV975" s="252"/>
      <c r="JNW975" s="252"/>
      <c r="JNX975" s="252"/>
      <c r="JNY975" s="252"/>
      <c r="JNZ975" s="252"/>
      <c r="JOA975" s="252"/>
      <c r="JOB975" s="252"/>
      <c r="JOC975" s="252"/>
      <c r="JOD975" s="252"/>
      <c r="JOE975" s="252"/>
      <c r="JOF975" s="252"/>
      <c r="JOG975" s="252"/>
      <c r="JOH975" s="252"/>
      <c r="JOI975" s="252"/>
      <c r="JOJ975" s="252"/>
      <c r="JOK975" s="252"/>
      <c r="JOL975" s="252"/>
      <c r="JOM975" s="252"/>
      <c r="JON975" s="252"/>
      <c r="JOO975" s="252"/>
      <c r="JOP975" s="252"/>
      <c r="JOQ975" s="252"/>
      <c r="JOR975" s="252"/>
      <c r="JOS975" s="252"/>
      <c r="JOT975" s="252"/>
      <c r="JOU975" s="252"/>
      <c r="JOV975" s="252"/>
      <c r="JOW975" s="252"/>
      <c r="JOX975" s="252"/>
      <c r="JOY975" s="252"/>
      <c r="JOZ975" s="252"/>
      <c r="JPA975" s="252"/>
      <c r="JPB975" s="252"/>
      <c r="JPC975" s="252"/>
      <c r="JPD975" s="252"/>
      <c r="JPE975" s="252"/>
      <c r="JPF975" s="252"/>
      <c r="JPG975" s="252"/>
      <c r="JPH975" s="252"/>
      <c r="JPI975" s="252"/>
      <c r="JPJ975" s="252"/>
      <c r="JPK975" s="252"/>
      <c r="JPL975" s="252"/>
      <c r="JPM975" s="252"/>
      <c r="JPN975" s="252"/>
      <c r="JPO975" s="252"/>
      <c r="JPP975" s="252"/>
      <c r="JPQ975" s="252"/>
      <c r="JPR975" s="252"/>
      <c r="JPS975" s="252"/>
      <c r="JPT975" s="252"/>
      <c r="JPU975" s="252"/>
      <c r="JPV975" s="252"/>
      <c r="JPW975" s="252"/>
      <c r="JPX975" s="252"/>
      <c r="JPY975" s="252"/>
      <c r="JPZ975" s="252"/>
      <c r="JQA975" s="252"/>
      <c r="JQB975" s="252"/>
      <c r="JQC975" s="252"/>
      <c r="JQD975" s="252"/>
      <c r="JQE975" s="252"/>
      <c r="JQF975" s="252"/>
      <c r="JQG975" s="252"/>
      <c r="JQH975" s="252"/>
      <c r="JQI975" s="252"/>
      <c r="JQJ975" s="252"/>
      <c r="JQK975" s="252"/>
      <c r="JQL975" s="252"/>
      <c r="JQM975" s="252"/>
      <c r="JQN975" s="252"/>
      <c r="JQO975" s="252"/>
      <c r="JQP975" s="252"/>
      <c r="JQQ975" s="252"/>
      <c r="JQR975" s="252"/>
      <c r="JQS975" s="252"/>
      <c r="JQT975" s="252"/>
      <c r="JQU975" s="252"/>
      <c r="JQV975" s="252"/>
      <c r="JQW975" s="252"/>
      <c r="JQX975" s="252"/>
      <c r="JQY975" s="252"/>
      <c r="JQZ975" s="252"/>
      <c r="JRA975" s="252"/>
      <c r="JRB975" s="252"/>
      <c r="JRC975" s="252"/>
      <c r="JRD975" s="252"/>
      <c r="JRE975" s="252"/>
      <c r="JRF975" s="252"/>
      <c r="JRG975" s="252"/>
      <c r="JRH975" s="252"/>
      <c r="JRI975" s="252"/>
      <c r="JRJ975" s="252"/>
      <c r="JRK975" s="252"/>
      <c r="JRL975" s="252"/>
      <c r="JRM975" s="252"/>
      <c r="JRN975" s="252"/>
      <c r="JRO975" s="252"/>
      <c r="JRP975" s="252"/>
      <c r="JRQ975" s="252"/>
      <c r="JRR975" s="252"/>
      <c r="JRS975" s="252"/>
      <c r="JRT975" s="252"/>
      <c r="JRU975" s="252"/>
      <c r="JRV975" s="252"/>
      <c r="JRW975" s="252"/>
      <c r="JRX975" s="252"/>
      <c r="JRY975" s="252"/>
      <c r="JRZ975" s="252"/>
      <c r="JSA975" s="252"/>
      <c r="JSB975" s="252"/>
      <c r="JSC975" s="252"/>
      <c r="JSD975" s="252"/>
      <c r="JSE975" s="252"/>
      <c r="JSF975" s="252"/>
      <c r="JSG975" s="252"/>
      <c r="JSH975" s="252"/>
      <c r="JSI975" s="252"/>
      <c r="JSJ975" s="252"/>
      <c r="JSK975" s="252"/>
      <c r="JSL975" s="252"/>
      <c r="JSM975" s="252"/>
      <c r="JSN975" s="252"/>
      <c r="JSO975" s="252"/>
      <c r="JSP975" s="252"/>
      <c r="JSQ975" s="252"/>
      <c r="JSR975" s="252"/>
      <c r="JSS975" s="252"/>
      <c r="JST975" s="252"/>
      <c r="JSU975" s="252"/>
      <c r="JSV975" s="252"/>
      <c r="JSW975" s="252"/>
      <c r="JSX975" s="252"/>
      <c r="JSY975" s="252"/>
      <c r="JSZ975" s="252"/>
      <c r="JTA975" s="252"/>
      <c r="JTB975" s="252"/>
      <c r="JTC975" s="252"/>
      <c r="JTD975" s="252"/>
      <c r="JTE975" s="252"/>
      <c r="JTF975" s="252"/>
      <c r="JTG975" s="252"/>
      <c r="JTH975" s="252"/>
      <c r="JTI975" s="252"/>
      <c r="JTJ975" s="252"/>
      <c r="JTK975" s="252"/>
      <c r="JTL975" s="252"/>
      <c r="JTM975" s="252"/>
      <c r="JTN975" s="252"/>
      <c r="JTO975" s="252"/>
      <c r="JTP975" s="252"/>
      <c r="JTQ975" s="252"/>
      <c r="JTR975" s="252"/>
      <c r="JTS975" s="252"/>
      <c r="JTT975" s="252"/>
      <c r="JTU975" s="252"/>
      <c r="JTV975" s="252"/>
      <c r="JTW975" s="252"/>
      <c r="JTX975" s="252"/>
      <c r="JTY975" s="252"/>
      <c r="JTZ975" s="252"/>
      <c r="JUA975" s="252"/>
      <c r="JUB975" s="252"/>
      <c r="JUC975" s="252"/>
      <c r="JUD975" s="252"/>
      <c r="JUE975" s="252"/>
      <c r="JUF975" s="252"/>
      <c r="JUG975" s="252"/>
      <c r="JUH975" s="252"/>
      <c r="JUI975" s="252"/>
      <c r="JUJ975" s="252"/>
      <c r="JUK975" s="252"/>
      <c r="JUL975" s="252"/>
      <c r="JUM975" s="252"/>
      <c r="JUN975" s="252"/>
      <c r="JUO975" s="252"/>
      <c r="JUP975" s="252"/>
      <c r="JUQ975" s="252"/>
      <c r="JUR975" s="252"/>
      <c r="JUS975" s="252"/>
      <c r="JUT975" s="252"/>
      <c r="JUU975" s="252"/>
      <c r="JUV975" s="252"/>
      <c r="JUW975" s="252"/>
      <c r="JUX975" s="252"/>
      <c r="JUY975" s="252"/>
      <c r="JUZ975" s="252"/>
      <c r="JVA975" s="252"/>
      <c r="JVB975" s="252"/>
      <c r="JVC975" s="252"/>
      <c r="JVD975" s="252"/>
      <c r="JVE975" s="252"/>
      <c r="JVF975" s="252"/>
      <c r="JVG975" s="252"/>
      <c r="JVH975" s="252"/>
      <c r="JVI975" s="252"/>
      <c r="JVJ975" s="252"/>
      <c r="JVK975" s="252"/>
      <c r="JVL975" s="252"/>
      <c r="JVM975" s="252"/>
      <c r="JVN975" s="252"/>
      <c r="JVO975" s="252"/>
      <c r="JVP975" s="252"/>
      <c r="JVQ975" s="252"/>
      <c r="JVR975" s="252"/>
      <c r="JVS975" s="252"/>
      <c r="JVT975" s="252"/>
      <c r="JVU975" s="252"/>
      <c r="JVV975" s="252"/>
      <c r="JVW975" s="252"/>
      <c r="JVX975" s="252"/>
      <c r="JVY975" s="252"/>
      <c r="JVZ975" s="252"/>
      <c r="JWA975" s="252"/>
      <c r="JWB975" s="252"/>
      <c r="JWC975" s="252"/>
      <c r="JWD975" s="252"/>
      <c r="JWE975" s="252"/>
      <c r="JWF975" s="252"/>
      <c r="JWG975" s="252"/>
      <c r="JWH975" s="252"/>
      <c r="JWI975" s="252"/>
      <c r="JWJ975" s="252"/>
      <c r="JWK975" s="252"/>
      <c r="JWL975" s="252"/>
      <c r="JWM975" s="252"/>
      <c r="JWN975" s="252"/>
      <c r="JWO975" s="252"/>
      <c r="JWP975" s="252"/>
      <c r="JWQ975" s="252"/>
      <c r="JWR975" s="252"/>
      <c r="JWS975" s="252"/>
      <c r="JWT975" s="252"/>
      <c r="JWU975" s="252"/>
      <c r="JWV975" s="252"/>
      <c r="JWW975" s="252"/>
      <c r="JWX975" s="252"/>
      <c r="JWY975" s="252"/>
      <c r="JWZ975" s="252"/>
      <c r="JXA975" s="252"/>
      <c r="JXB975" s="252"/>
      <c r="JXC975" s="252"/>
      <c r="JXD975" s="252"/>
      <c r="JXE975" s="252"/>
      <c r="JXF975" s="252"/>
      <c r="JXG975" s="252"/>
      <c r="JXH975" s="252"/>
      <c r="JXI975" s="252"/>
      <c r="JXJ975" s="252"/>
      <c r="JXK975" s="252"/>
      <c r="JXL975" s="252"/>
      <c r="JXM975" s="252"/>
      <c r="JXN975" s="252"/>
      <c r="JXO975" s="252"/>
      <c r="JXP975" s="252"/>
      <c r="JXQ975" s="252"/>
      <c r="JXR975" s="252"/>
      <c r="JXS975" s="252"/>
      <c r="JXT975" s="252"/>
      <c r="JXU975" s="252"/>
      <c r="JXV975" s="252"/>
      <c r="JXW975" s="252"/>
      <c r="JXX975" s="252"/>
      <c r="JXY975" s="252"/>
      <c r="JXZ975" s="252"/>
      <c r="JYA975" s="252"/>
      <c r="JYB975" s="252"/>
      <c r="JYC975" s="252"/>
      <c r="JYD975" s="252"/>
      <c r="JYE975" s="252"/>
      <c r="JYF975" s="252"/>
      <c r="JYG975" s="252"/>
      <c r="JYH975" s="252"/>
      <c r="JYI975" s="252"/>
      <c r="JYJ975" s="252"/>
      <c r="JYK975" s="252"/>
      <c r="JYL975" s="252"/>
      <c r="JYM975" s="252"/>
      <c r="JYN975" s="252"/>
      <c r="JYO975" s="252"/>
      <c r="JYP975" s="252"/>
      <c r="JYQ975" s="252"/>
      <c r="JYR975" s="252"/>
      <c r="JYS975" s="252"/>
      <c r="JYT975" s="252"/>
      <c r="JYU975" s="252"/>
      <c r="JYV975" s="252"/>
      <c r="JYW975" s="252"/>
      <c r="JYX975" s="252"/>
      <c r="JYY975" s="252"/>
      <c r="JYZ975" s="252"/>
      <c r="JZA975" s="252"/>
      <c r="JZB975" s="252"/>
      <c r="JZC975" s="252"/>
      <c r="JZD975" s="252"/>
      <c r="JZE975" s="252"/>
      <c r="JZF975" s="252"/>
      <c r="JZG975" s="252"/>
      <c r="JZH975" s="252"/>
      <c r="JZI975" s="252"/>
      <c r="JZJ975" s="252"/>
      <c r="JZK975" s="252"/>
      <c r="JZL975" s="252"/>
      <c r="JZM975" s="252"/>
      <c r="JZN975" s="252"/>
      <c r="JZO975" s="252"/>
      <c r="JZP975" s="252"/>
      <c r="JZQ975" s="252"/>
      <c r="JZR975" s="252"/>
      <c r="JZS975" s="252"/>
      <c r="JZT975" s="252"/>
      <c r="JZU975" s="252"/>
      <c r="JZV975" s="252"/>
      <c r="JZW975" s="252"/>
      <c r="JZX975" s="252"/>
      <c r="JZY975" s="252"/>
      <c r="JZZ975" s="252"/>
      <c r="KAA975" s="252"/>
      <c r="KAB975" s="252"/>
      <c r="KAC975" s="252"/>
      <c r="KAD975" s="252"/>
      <c r="KAE975" s="252"/>
      <c r="KAF975" s="252"/>
      <c r="KAG975" s="252"/>
      <c r="KAH975" s="252"/>
      <c r="KAI975" s="252"/>
      <c r="KAJ975" s="252"/>
      <c r="KAK975" s="252"/>
      <c r="KAL975" s="252"/>
      <c r="KAM975" s="252"/>
      <c r="KAN975" s="252"/>
      <c r="KAO975" s="252"/>
      <c r="KAP975" s="252"/>
      <c r="KAQ975" s="252"/>
      <c r="KAR975" s="252"/>
      <c r="KAS975" s="252"/>
      <c r="KAT975" s="252"/>
      <c r="KAU975" s="252"/>
      <c r="KAV975" s="252"/>
      <c r="KAW975" s="252"/>
      <c r="KAX975" s="252"/>
      <c r="KAY975" s="252"/>
      <c r="KAZ975" s="252"/>
      <c r="KBA975" s="252"/>
      <c r="KBB975" s="252"/>
      <c r="KBC975" s="252"/>
      <c r="KBD975" s="252"/>
      <c r="KBE975" s="252"/>
      <c r="KBF975" s="252"/>
      <c r="KBG975" s="252"/>
      <c r="KBH975" s="252"/>
      <c r="KBI975" s="252"/>
      <c r="KBJ975" s="252"/>
      <c r="KBK975" s="252"/>
      <c r="KBL975" s="252"/>
      <c r="KBM975" s="252"/>
      <c r="KBN975" s="252"/>
      <c r="KBO975" s="252"/>
      <c r="KBP975" s="252"/>
      <c r="KBQ975" s="252"/>
      <c r="KBR975" s="252"/>
      <c r="KBS975" s="252"/>
      <c r="KBT975" s="252"/>
      <c r="KBU975" s="252"/>
      <c r="KBV975" s="252"/>
      <c r="KBW975" s="252"/>
      <c r="KBX975" s="252"/>
      <c r="KBY975" s="252"/>
      <c r="KBZ975" s="252"/>
      <c r="KCA975" s="252"/>
      <c r="KCB975" s="252"/>
      <c r="KCC975" s="252"/>
      <c r="KCD975" s="252"/>
      <c r="KCE975" s="252"/>
      <c r="KCF975" s="252"/>
      <c r="KCG975" s="252"/>
      <c r="KCH975" s="252"/>
      <c r="KCI975" s="252"/>
      <c r="KCJ975" s="252"/>
      <c r="KCK975" s="252"/>
      <c r="KCL975" s="252"/>
      <c r="KCM975" s="252"/>
      <c r="KCN975" s="252"/>
      <c r="KCO975" s="252"/>
      <c r="KCP975" s="252"/>
      <c r="KCQ975" s="252"/>
      <c r="KCR975" s="252"/>
      <c r="KCS975" s="252"/>
      <c r="KCT975" s="252"/>
      <c r="KCU975" s="252"/>
      <c r="KCV975" s="252"/>
      <c r="KCW975" s="252"/>
      <c r="KCX975" s="252"/>
      <c r="KCY975" s="252"/>
      <c r="KCZ975" s="252"/>
      <c r="KDA975" s="252"/>
      <c r="KDB975" s="252"/>
      <c r="KDC975" s="252"/>
      <c r="KDD975" s="252"/>
      <c r="KDE975" s="252"/>
      <c r="KDF975" s="252"/>
      <c r="KDG975" s="252"/>
      <c r="KDH975" s="252"/>
      <c r="KDI975" s="252"/>
      <c r="KDJ975" s="252"/>
      <c r="KDK975" s="252"/>
      <c r="KDL975" s="252"/>
      <c r="KDM975" s="252"/>
      <c r="KDN975" s="252"/>
      <c r="KDO975" s="252"/>
      <c r="KDP975" s="252"/>
      <c r="KDQ975" s="252"/>
      <c r="KDR975" s="252"/>
      <c r="KDS975" s="252"/>
      <c r="KDT975" s="252"/>
      <c r="KDU975" s="252"/>
      <c r="KDV975" s="252"/>
      <c r="KDW975" s="252"/>
      <c r="KDX975" s="252"/>
      <c r="KDY975" s="252"/>
      <c r="KDZ975" s="252"/>
      <c r="KEA975" s="252"/>
      <c r="KEB975" s="252"/>
      <c r="KEC975" s="252"/>
      <c r="KED975" s="252"/>
      <c r="KEE975" s="252"/>
      <c r="KEF975" s="252"/>
      <c r="KEG975" s="252"/>
      <c r="KEH975" s="252"/>
      <c r="KEI975" s="252"/>
      <c r="KEJ975" s="252"/>
      <c r="KEK975" s="252"/>
      <c r="KEL975" s="252"/>
      <c r="KEM975" s="252"/>
      <c r="KEN975" s="252"/>
      <c r="KEO975" s="252"/>
      <c r="KEP975" s="252"/>
      <c r="KEQ975" s="252"/>
      <c r="KER975" s="252"/>
      <c r="KES975" s="252"/>
      <c r="KET975" s="252"/>
      <c r="KEU975" s="252"/>
      <c r="KEV975" s="252"/>
      <c r="KEW975" s="252"/>
      <c r="KEX975" s="252"/>
      <c r="KEY975" s="252"/>
      <c r="KEZ975" s="252"/>
      <c r="KFA975" s="252"/>
      <c r="KFB975" s="252"/>
      <c r="KFC975" s="252"/>
      <c r="KFD975" s="252"/>
      <c r="KFE975" s="252"/>
      <c r="KFF975" s="252"/>
      <c r="KFG975" s="252"/>
      <c r="KFH975" s="252"/>
      <c r="KFI975" s="252"/>
      <c r="KFJ975" s="252"/>
      <c r="KFK975" s="252"/>
      <c r="KFL975" s="252"/>
      <c r="KFM975" s="252"/>
      <c r="KFN975" s="252"/>
      <c r="KFO975" s="252"/>
      <c r="KFP975" s="252"/>
      <c r="KFQ975" s="252"/>
      <c r="KFR975" s="252"/>
      <c r="KFS975" s="252"/>
      <c r="KFT975" s="252"/>
      <c r="KFU975" s="252"/>
      <c r="KFV975" s="252"/>
      <c r="KFW975" s="252"/>
      <c r="KFX975" s="252"/>
      <c r="KFY975" s="252"/>
      <c r="KFZ975" s="252"/>
      <c r="KGA975" s="252"/>
      <c r="KGB975" s="252"/>
      <c r="KGC975" s="252"/>
      <c r="KGD975" s="252"/>
      <c r="KGE975" s="252"/>
      <c r="KGF975" s="252"/>
      <c r="KGG975" s="252"/>
      <c r="KGH975" s="252"/>
      <c r="KGI975" s="252"/>
      <c r="KGJ975" s="252"/>
      <c r="KGK975" s="252"/>
      <c r="KGL975" s="252"/>
      <c r="KGM975" s="252"/>
      <c r="KGN975" s="252"/>
      <c r="KGO975" s="252"/>
      <c r="KGP975" s="252"/>
      <c r="KGQ975" s="252"/>
      <c r="KGR975" s="252"/>
      <c r="KGS975" s="252"/>
      <c r="KGT975" s="252"/>
      <c r="KGU975" s="252"/>
      <c r="KGV975" s="252"/>
      <c r="KGW975" s="252"/>
      <c r="KGX975" s="252"/>
      <c r="KGY975" s="252"/>
      <c r="KGZ975" s="252"/>
      <c r="KHA975" s="252"/>
      <c r="KHB975" s="252"/>
      <c r="KHC975" s="252"/>
      <c r="KHD975" s="252"/>
      <c r="KHE975" s="252"/>
      <c r="KHF975" s="252"/>
      <c r="KHG975" s="252"/>
      <c r="KHH975" s="252"/>
      <c r="KHI975" s="252"/>
      <c r="KHJ975" s="252"/>
      <c r="KHK975" s="252"/>
      <c r="KHL975" s="252"/>
      <c r="KHM975" s="252"/>
      <c r="KHN975" s="252"/>
      <c r="KHO975" s="252"/>
      <c r="KHP975" s="252"/>
      <c r="KHQ975" s="252"/>
      <c r="KHR975" s="252"/>
      <c r="KHS975" s="252"/>
      <c r="KHT975" s="252"/>
      <c r="KHU975" s="252"/>
      <c r="KHV975" s="252"/>
      <c r="KHW975" s="252"/>
      <c r="KHX975" s="252"/>
      <c r="KHY975" s="252"/>
      <c r="KHZ975" s="252"/>
      <c r="KIA975" s="252"/>
      <c r="KIB975" s="252"/>
      <c r="KIC975" s="252"/>
      <c r="KID975" s="252"/>
      <c r="KIE975" s="252"/>
      <c r="KIF975" s="252"/>
      <c r="KIG975" s="252"/>
      <c r="KIH975" s="252"/>
      <c r="KII975" s="252"/>
      <c r="KIJ975" s="252"/>
      <c r="KIK975" s="252"/>
      <c r="KIL975" s="252"/>
      <c r="KIM975" s="252"/>
      <c r="KIN975" s="252"/>
      <c r="KIO975" s="252"/>
      <c r="KIP975" s="252"/>
      <c r="KIQ975" s="252"/>
      <c r="KIR975" s="252"/>
      <c r="KIS975" s="252"/>
      <c r="KIT975" s="252"/>
      <c r="KIU975" s="252"/>
      <c r="KIV975" s="252"/>
      <c r="KIW975" s="252"/>
      <c r="KIX975" s="252"/>
      <c r="KIY975" s="252"/>
      <c r="KIZ975" s="252"/>
      <c r="KJA975" s="252"/>
      <c r="KJB975" s="252"/>
      <c r="KJC975" s="252"/>
      <c r="KJD975" s="252"/>
      <c r="KJE975" s="252"/>
      <c r="KJF975" s="252"/>
      <c r="KJG975" s="252"/>
      <c r="KJH975" s="252"/>
      <c r="KJI975" s="252"/>
      <c r="KJJ975" s="252"/>
      <c r="KJK975" s="252"/>
      <c r="KJL975" s="252"/>
      <c r="KJM975" s="252"/>
      <c r="KJN975" s="252"/>
      <c r="KJO975" s="252"/>
      <c r="KJP975" s="252"/>
      <c r="KJQ975" s="252"/>
      <c r="KJR975" s="252"/>
      <c r="KJS975" s="252"/>
      <c r="KJT975" s="252"/>
      <c r="KJU975" s="252"/>
      <c r="KJV975" s="252"/>
      <c r="KJW975" s="252"/>
      <c r="KJX975" s="252"/>
      <c r="KJY975" s="252"/>
      <c r="KJZ975" s="252"/>
      <c r="KKA975" s="252"/>
      <c r="KKB975" s="252"/>
      <c r="KKC975" s="252"/>
      <c r="KKD975" s="252"/>
      <c r="KKE975" s="252"/>
      <c r="KKF975" s="252"/>
      <c r="KKG975" s="252"/>
      <c r="KKH975" s="252"/>
      <c r="KKI975" s="252"/>
      <c r="KKJ975" s="252"/>
      <c r="KKK975" s="252"/>
      <c r="KKL975" s="252"/>
      <c r="KKM975" s="252"/>
      <c r="KKN975" s="252"/>
      <c r="KKO975" s="252"/>
      <c r="KKP975" s="252"/>
      <c r="KKQ975" s="252"/>
      <c r="KKR975" s="252"/>
      <c r="KKS975" s="252"/>
      <c r="KKT975" s="252"/>
      <c r="KKU975" s="252"/>
      <c r="KKV975" s="252"/>
      <c r="KKW975" s="252"/>
      <c r="KKX975" s="252"/>
      <c r="KKY975" s="252"/>
      <c r="KKZ975" s="252"/>
      <c r="KLA975" s="252"/>
      <c r="KLB975" s="252"/>
      <c r="KLC975" s="252"/>
      <c r="KLD975" s="252"/>
      <c r="KLE975" s="252"/>
      <c r="KLF975" s="252"/>
      <c r="KLG975" s="252"/>
      <c r="KLH975" s="252"/>
      <c r="KLI975" s="252"/>
      <c r="KLJ975" s="252"/>
      <c r="KLK975" s="252"/>
      <c r="KLL975" s="252"/>
      <c r="KLM975" s="252"/>
      <c r="KLN975" s="252"/>
      <c r="KLO975" s="252"/>
      <c r="KLP975" s="252"/>
      <c r="KLQ975" s="252"/>
      <c r="KLR975" s="252"/>
      <c r="KLS975" s="252"/>
      <c r="KLT975" s="252"/>
      <c r="KLU975" s="252"/>
      <c r="KLV975" s="252"/>
      <c r="KLW975" s="252"/>
      <c r="KLX975" s="252"/>
      <c r="KLY975" s="252"/>
      <c r="KLZ975" s="252"/>
      <c r="KMA975" s="252"/>
      <c r="KMB975" s="252"/>
      <c r="KMC975" s="252"/>
      <c r="KMD975" s="252"/>
      <c r="KME975" s="252"/>
      <c r="KMF975" s="252"/>
      <c r="KMG975" s="252"/>
      <c r="KMH975" s="252"/>
      <c r="KMI975" s="252"/>
      <c r="KMJ975" s="252"/>
      <c r="KMK975" s="252"/>
      <c r="KML975" s="252"/>
      <c r="KMM975" s="252"/>
      <c r="KMN975" s="252"/>
      <c r="KMO975" s="252"/>
      <c r="KMP975" s="252"/>
      <c r="KMQ975" s="252"/>
      <c r="KMR975" s="252"/>
      <c r="KMS975" s="252"/>
      <c r="KMT975" s="252"/>
      <c r="KMU975" s="252"/>
      <c r="KMV975" s="252"/>
      <c r="KMW975" s="252"/>
      <c r="KMX975" s="252"/>
      <c r="KMY975" s="252"/>
      <c r="KMZ975" s="252"/>
      <c r="KNA975" s="252"/>
      <c r="KNB975" s="252"/>
      <c r="KNC975" s="252"/>
      <c r="KND975" s="252"/>
      <c r="KNE975" s="252"/>
      <c r="KNF975" s="252"/>
      <c r="KNG975" s="252"/>
      <c r="KNH975" s="252"/>
      <c r="KNI975" s="252"/>
      <c r="KNJ975" s="252"/>
      <c r="KNK975" s="252"/>
      <c r="KNL975" s="252"/>
      <c r="KNM975" s="252"/>
      <c r="KNN975" s="252"/>
      <c r="KNO975" s="252"/>
      <c r="KNP975" s="252"/>
      <c r="KNQ975" s="252"/>
      <c r="KNR975" s="252"/>
      <c r="KNS975" s="252"/>
      <c r="KNT975" s="252"/>
      <c r="KNU975" s="252"/>
      <c r="KNV975" s="252"/>
      <c r="KNW975" s="252"/>
      <c r="KNX975" s="252"/>
      <c r="KNY975" s="252"/>
      <c r="KNZ975" s="252"/>
      <c r="KOA975" s="252"/>
      <c r="KOB975" s="252"/>
      <c r="KOC975" s="252"/>
      <c r="KOD975" s="252"/>
      <c r="KOE975" s="252"/>
      <c r="KOF975" s="252"/>
      <c r="KOG975" s="252"/>
      <c r="KOH975" s="252"/>
      <c r="KOI975" s="252"/>
      <c r="KOJ975" s="252"/>
      <c r="KOK975" s="252"/>
      <c r="KOL975" s="252"/>
      <c r="KOM975" s="252"/>
      <c r="KON975" s="252"/>
      <c r="KOO975" s="252"/>
      <c r="KOP975" s="252"/>
      <c r="KOQ975" s="252"/>
      <c r="KOR975" s="252"/>
      <c r="KOS975" s="252"/>
      <c r="KOT975" s="252"/>
      <c r="KOU975" s="252"/>
      <c r="KOV975" s="252"/>
      <c r="KOW975" s="252"/>
      <c r="KOX975" s="252"/>
      <c r="KOY975" s="252"/>
      <c r="KOZ975" s="252"/>
      <c r="KPA975" s="252"/>
      <c r="KPB975" s="252"/>
      <c r="KPC975" s="252"/>
      <c r="KPD975" s="252"/>
      <c r="KPE975" s="252"/>
      <c r="KPF975" s="252"/>
      <c r="KPG975" s="252"/>
      <c r="KPH975" s="252"/>
      <c r="KPI975" s="252"/>
      <c r="KPJ975" s="252"/>
      <c r="KPK975" s="252"/>
      <c r="KPL975" s="252"/>
      <c r="KPM975" s="252"/>
      <c r="KPN975" s="252"/>
      <c r="KPO975" s="252"/>
      <c r="KPP975" s="252"/>
      <c r="KPQ975" s="252"/>
      <c r="KPR975" s="252"/>
      <c r="KPS975" s="252"/>
      <c r="KPT975" s="252"/>
      <c r="KPU975" s="252"/>
      <c r="KPV975" s="252"/>
      <c r="KPW975" s="252"/>
      <c r="KPX975" s="252"/>
      <c r="KPY975" s="252"/>
      <c r="KPZ975" s="252"/>
      <c r="KQA975" s="252"/>
      <c r="KQB975" s="252"/>
      <c r="KQC975" s="252"/>
      <c r="KQD975" s="252"/>
      <c r="KQE975" s="252"/>
      <c r="KQF975" s="252"/>
      <c r="KQG975" s="252"/>
      <c r="KQH975" s="252"/>
      <c r="KQI975" s="252"/>
      <c r="KQJ975" s="252"/>
      <c r="KQK975" s="252"/>
      <c r="KQL975" s="252"/>
      <c r="KQM975" s="252"/>
      <c r="KQN975" s="252"/>
      <c r="KQO975" s="252"/>
      <c r="KQP975" s="252"/>
      <c r="KQQ975" s="252"/>
      <c r="KQR975" s="252"/>
      <c r="KQS975" s="252"/>
      <c r="KQT975" s="252"/>
      <c r="KQU975" s="252"/>
      <c r="KQV975" s="252"/>
      <c r="KQW975" s="252"/>
      <c r="KQX975" s="252"/>
      <c r="KQY975" s="252"/>
      <c r="KQZ975" s="252"/>
      <c r="KRA975" s="252"/>
      <c r="KRB975" s="252"/>
      <c r="KRC975" s="252"/>
      <c r="KRD975" s="252"/>
      <c r="KRE975" s="252"/>
      <c r="KRF975" s="252"/>
      <c r="KRG975" s="252"/>
      <c r="KRH975" s="252"/>
      <c r="KRI975" s="252"/>
      <c r="KRJ975" s="252"/>
      <c r="KRK975" s="252"/>
      <c r="KRL975" s="252"/>
      <c r="KRM975" s="252"/>
      <c r="KRN975" s="252"/>
      <c r="KRO975" s="252"/>
      <c r="KRP975" s="252"/>
      <c r="KRQ975" s="252"/>
      <c r="KRR975" s="252"/>
      <c r="KRS975" s="252"/>
      <c r="KRT975" s="252"/>
      <c r="KRU975" s="252"/>
      <c r="KRV975" s="252"/>
      <c r="KRW975" s="252"/>
      <c r="KRX975" s="252"/>
      <c r="KRY975" s="252"/>
      <c r="KRZ975" s="252"/>
      <c r="KSA975" s="252"/>
      <c r="KSB975" s="252"/>
      <c r="KSC975" s="252"/>
      <c r="KSD975" s="252"/>
      <c r="KSE975" s="252"/>
      <c r="KSF975" s="252"/>
      <c r="KSG975" s="252"/>
      <c r="KSH975" s="252"/>
      <c r="KSI975" s="252"/>
      <c r="KSJ975" s="252"/>
      <c r="KSK975" s="252"/>
      <c r="KSL975" s="252"/>
      <c r="KSM975" s="252"/>
      <c r="KSN975" s="252"/>
      <c r="KSO975" s="252"/>
      <c r="KSP975" s="252"/>
      <c r="KSQ975" s="252"/>
      <c r="KSR975" s="252"/>
      <c r="KSS975" s="252"/>
      <c r="KST975" s="252"/>
      <c r="KSU975" s="252"/>
      <c r="KSV975" s="252"/>
      <c r="KSW975" s="252"/>
      <c r="KSX975" s="252"/>
      <c r="KSY975" s="252"/>
      <c r="KSZ975" s="252"/>
      <c r="KTA975" s="252"/>
      <c r="KTB975" s="252"/>
      <c r="KTC975" s="252"/>
      <c r="KTD975" s="252"/>
      <c r="KTE975" s="252"/>
      <c r="KTF975" s="252"/>
      <c r="KTG975" s="252"/>
      <c r="KTH975" s="252"/>
      <c r="KTI975" s="252"/>
      <c r="KTJ975" s="252"/>
      <c r="KTK975" s="252"/>
      <c r="KTL975" s="252"/>
      <c r="KTM975" s="252"/>
      <c r="KTN975" s="252"/>
      <c r="KTO975" s="252"/>
      <c r="KTP975" s="252"/>
      <c r="KTQ975" s="252"/>
      <c r="KTR975" s="252"/>
      <c r="KTS975" s="252"/>
      <c r="KTT975" s="252"/>
      <c r="KTU975" s="252"/>
      <c r="KTV975" s="252"/>
      <c r="KTW975" s="252"/>
      <c r="KTX975" s="252"/>
      <c r="KTY975" s="252"/>
      <c r="KTZ975" s="252"/>
      <c r="KUA975" s="252"/>
      <c r="KUB975" s="252"/>
      <c r="KUC975" s="252"/>
      <c r="KUD975" s="252"/>
      <c r="KUE975" s="252"/>
      <c r="KUF975" s="252"/>
      <c r="KUG975" s="252"/>
      <c r="KUH975" s="252"/>
      <c r="KUI975" s="252"/>
      <c r="KUJ975" s="252"/>
      <c r="KUK975" s="252"/>
      <c r="KUL975" s="252"/>
      <c r="KUM975" s="252"/>
      <c r="KUN975" s="252"/>
      <c r="KUO975" s="252"/>
      <c r="KUP975" s="252"/>
      <c r="KUQ975" s="252"/>
      <c r="KUR975" s="252"/>
      <c r="KUS975" s="252"/>
      <c r="KUT975" s="252"/>
      <c r="KUU975" s="252"/>
      <c r="KUV975" s="252"/>
      <c r="KUW975" s="252"/>
      <c r="KUX975" s="252"/>
      <c r="KUY975" s="252"/>
      <c r="KUZ975" s="252"/>
      <c r="KVA975" s="252"/>
      <c r="KVB975" s="252"/>
      <c r="KVC975" s="252"/>
      <c r="KVD975" s="252"/>
      <c r="KVE975" s="252"/>
      <c r="KVF975" s="252"/>
      <c r="KVG975" s="252"/>
      <c r="KVH975" s="252"/>
      <c r="KVI975" s="252"/>
      <c r="KVJ975" s="252"/>
      <c r="KVK975" s="252"/>
      <c r="KVL975" s="252"/>
      <c r="KVM975" s="252"/>
      <c r="KVN975" s="252"/>
      <c r="KVO975" s="252"/>
      <c r="KVP975" s="252"/>
      <c r="KVQ975" s="252"/>
      <c r="KVR975" s="252"/>
      <c r="KVS975" s="252"/>
      <c r="KVT975" s="252"/>
      <c r="KVU975" s="252"/>
      <c r="KVV975" s="252"/>
      <c r="KVW975" s="252"/>
      <c r="KVX975" s="252"/>
      <c r="KVY975" s="252"/>
      <c r="KVZ975" s="252"/>
      <c r="KWA975" s="252"/>
      <c r="KWB975" s="252"/>
      <c r="KWC975" s="252"/>
      <c r="KWD975" s="252"/>
      <c r="KWE975" s="252"/>
      <c r="KWF975" s="252"/>
      <c r="KWG975" s="252"/>
      <c r="KWH975" s="252"/>
      <c r="KWI975" s="252"/>
      <c r="KWJ975" s="252"/>
      <c r="KWK975" s="252"/>
      <c r="KWL975" s="252"/>
      <c r="KWM975" s="252"/>
      <c r="KWN975" s="252"/>
      <c r="KWO975" s="252"/>
      <c r="KWP975" s="252"/>
      <c r="KWQ975" s="252"/>
      <c r="KWR975" s="252"/>
      <c r="KWS975" s="252"/>
      <c r="KWT975" s="252"/>
      <c r="KWU975" s="252"/>
      <c r="KWV975" s="252"/>
      <c r="KWW975" s="252"/>
      <c r="KWX975" s="252"/>
      <c r="KWY975" s="252"/>
      <c r="KWZ975" s="252"/>
      <c r="KXA975" s="252"/>
      <c r="KXB975" s="252"/>
      <c r="KXC975" s="252"/>
      <c r="KXD975" s="252"/>
      <c r="KXE975" s="252"/>
      <c r="KXF975" s="252"/>
      <c r="KXG975" s="252"/>
      <c r="KXH975" s="252"/>
      <c r="KXI975" s="252"/>
      <c r="KXJ975" s="252"/>
      <c r="KXK975" s="252"/>
      <c r="KXL975" s="252"/>
      <c r="KXM975" s="252"/>
      <c r="KXN975" s="252"/>
      <c r="KXO975" s="252"/>
      <c r="KXP975" s="252"/>
      <c r="KXQ975" s="252"/>
      <c r="KXR975" s="252"/>
      <c r="KXS975" s="252"/>
      <c r="KXT975" s="252"/>
      <c r="KXU975" s="252"/>
      <c r="KXV975" s="252"/>
      <c r="KXW975" s="252"/>
      <c r="KXX975" s="252"/>
      <c r="KXY975" s="252"/>
      <c r="KXZ975" s="252"/>
      <c r="KYA975" s="252"/>
      <c r="KYB975" s="252"/>
      <c r="KYC975" s="252"/>
      <c r="KYD975" s="252"/>
      <c r="KYE975" s="252"/>
      <c r="KYF975" s="252"/>
      <c r="KYG975" s="252"/>
      <c r="KYH975" s="252"/>
      <c r="KYI975" s="252"/>
      <c r="KYJ975" s="252"/>
      <c r="KYK975" s="252"/>
      <c r="KYL975" s="252"/>
      <c r="KYM975" s="252"/>
      <c r="KYN975" s="252"/>
      <c r="KYO975" s="252"/>
      <c r="KYP975" s="252"/>
      <c r="KYQ975" s="252"/>
      <c r="KYR975" s="252"/>
      <c r="KYS975" s="252"/>
      <c r="KYT975" s="252"/>
      <c r="KYU975" s="252"/>
      <c r="KYV975" s="252"/>
      <c r="KYW975" s="252"/>
      <c r="KYX975" s="252"/>
      <c r="KYY975" s="252"/>
      <c r="KYZ975" s="252"/>
      <c r="KZA975" s="252"/>
      <c r="KZB975" s="252"/>
      <c r="KZC975" s="252"/>
      <c r="KZD975" s="252"/>
      <c r="KZE975" s="252"/>
      <c r="KZF975" s="252"/>
      <c r="KZG975" s="252"/>
      <c r="KZH975" s="252"/>
      <c r="KZI975" s="252"/>
      <c r="KZJ975" s="252"/>
      <c r="KZK975" s="252"/>
      <c r="KZL975" s="252"/>
      <c r="KZM975" s="252"/>
      <c r="KZN975" s="252"/>
      <c r="KZO975" s="252"/>
      <c r="KZP975" s="252"/>
      <c r="KZQ975" s="252"/>
      <c r="KZR975" s="252"/>
      <c r="KZS975" s="252"/>
      <c r="KZT975" s="252"/>
      <c r="KZU975" s="252"/>
      <c r="KZV975" s="252"/>
      <c r="KZW975" s="252"/>
      <c r="KZX975" s="252"/>
      <c r="KZY975" s="252"/>
      <c r="KZZ975" s="252"/>
      <c r="LAA975" s="252"/>
      <c r="LAB975" s="252"/>
      <c r="LAC975" s="252"/>
      <c r="LAD975" s="252"/>
      <c r="LAE975" s="252"/>
      <c r="LAF975" s="252"/>
      <c r="LAG975" s="252"/>
      <c r="LAH975" s="252"/>
      <c r="LAI975" s="252"/>
      <c r="LAJ975" s="252"/>
      <c r="LAK975" s="252"/>
      <c r="LAL975" s="252"/>
      <c r="LAM975" s="252"/>
      <c r="LAN975" s="252"/>
      <c r="LAO975" s="252"/>
      <c r="LAP975" s="252"/>
      <c r="LAQ975" s="252"/>
      <c r="LAR975" s="252"/>
      <c r="LAS975" s="252"/>
      <c r="LAT975" s="252"/>
      <c r="LAU975" s="252"/>
      <c r="LAV975" s="252"/>
      <c r="LAW975" s="252"/>
      <c r="LAX975" s="252"/>
      <c r="LAY975" s="252"/>
      <c r="LAZ975" s="252"/>
      <c r="LBA975" s="252"/>
      <c r="LBB975" s="252"/>
      <c r="LBC975" s="252"/>
      <c r="LBD975" s="252"/>
      <c r="LBE975" s="252"/>
      <c r="LBF975" s="252"/>
      <c r="LBG975" s="252"/>
      <c r="LBH975" s="252"/>
      <c r="LBI975" s="252"/>
      <c r="LBJ975" s="252"/>
      <c r="LBK975" s="252"/>
      <c r="LBL975" s="252"/>
      <c r="LBM975" s="252"/>
      <c r="LBN975" s="252"/>
      <c r="LBO975" s="252"/>
      <c r="LBP975" s="252"/>
      <c r="LBQ975" s="252"/>
      <c r="LBR975" s="252"/>
      <c r="LBS975" s="252"/>
      <c r="LBT975" s="252"/>
      <c r="LBU975" s="252"/>
      <c r="LBV975" s="252"/>
      <c r="LBW975" s="252"/>
      <c r="LBX975" s="252"/>
      <c r="LBY975" s="252"/>
      <c r="LBZ975" s="252"/>
      <c r="LCA975" s="252"/>
      <c r="LCB975" s="252"/>
      <c r="LCC975" s="252"/>
      <c r="LCD975" s="252"/>
      <c r="LCE975" s="252"/>
      <c r="LCF975" s="252"/>
      <c r="LCG975" s="252"/>
      <c r="LCH975" s="252"/>
      <c r="LCI975" s="252"/>
      <c r="LCJ975" s="252"/>
      <c r="LCK975" s="252"/>
      <c r="LCL975" s="252"/>
      <c r="LCM975" s="252"/>
      <c r="LCN975" s="252"/>
      <c r="LCO975" s="252"/>
      <c r="LCP975" s="252"/>
      <c r="LCQ975" s="252"/>
      <c r="LCR975" s="252"/>
      <c r="LCS975" s="252"/>
      <c r="LCT975" s="252"/>
      <c r="LCU975" s="252"/>
      <c r="LCV975" s="252"/>
      <c r="LCW975" s="252"/>
      <c r="LCX975" s="252"/>
      <c r="LCY975" s="252"/>
      <c r="LCZ975" s="252"/>
      <c r="LDA975" s="252"/>
      <c r="LDB975" s="252"/>
      <c r="LDC975" s="252"/>
      <c r="LDD975" s="252"/>
      <c r="LDE975" s="252"/>
      <c r="LDF975" s="252"/>
      <c r="LDG975" s="252"/>
      <c r="LDH975" s="252"/>
      <c r="LDI975" s="252"/>
      <c r="LDJ975" s="252"/>
      <c r="LDK975" s="252"/>
      <c r="LDL975" s="252"/>
      <c r="LDM975" s="252"/>
      <c r="LDN975" s="252"/>
      <c r="LDO975" s="252"/>
      <c r="LDP975" s="252"/>
      <c r="LDQ975" s="252"/>
      <c r="LDR975" s="252"/>
      <c r="LDS975" s="252"/>
      <c r="LDT975" s="252"/>
      <c r="LDU975" s="252"/>
      <c r="LDV975" s="252"/>
      <c r="LDW975" s="252"/>
      <c r="LDX975" s="252"/>
      <c r="LDY975" s="252"/>
      <c r="LDZ975" s="252"/>
      <c r="LEA975" s="252"/>
      <c r="LEB975" s="252"/>
      <c r="LEC975" s="252"/>
      <c r="LED975" s="252"/>
      <c r="LEE975" s="252"/>
      <c r="LEF975" s="252"/>
      <c r="LEG975" s="252"/>
      <c r="LEH975" s="252"/>
      <c r="LEI975" s="252"/>
      <c r="LEJ975" s="252"/>
      <c r="LEK975" s="252"/>
      <c r="LEL975" s="252"/>
      <c r="LEM975" s="252"/>
      <c r="LEN975" s="252"/>
      <c r="LEO975" s="252"/>
      <c r="LEP975" s="252"/>
      <c r="LEQ975" s="252"/>
      <c r="LER975" s="252"/>
      <c r="LES975" s="252"/>
      <c r="LET975" s="252"/>
      <c r="LEU975" s="252"/>
      <c r="LEV975" s="252"/>
      <c r="LEW975" s="252"/>
      <c r="LEX975" s="252"/>
      <c r="LEY975" s="252"/>
      <c r="LEZ975" s="252"/>
      <c r="LFA975" s="252"/>
      <c r="LFB975" s="252"/>
      <c r="LFC975" s="252"/>
      <c r="LFD975" s="252"/>
      <c r="LFE975" s="252"/>
      <c r="LFF975" s="252"/>
      <c r="LFG975" s="252"/>
      <c r="LFH975" s="252"/>
      <c r="LFI975" s="252"/>
      <c r="LFJ975" s="252"/>
      <c r="LFK975" s="252"/>
      <c r="LFL975" s="252"/>
      <c r="LFM975" s="252"/>
      <c r="LFN975" s="252"/>
      <c r="LFO975" s="252"/>
      <c r="LFP975" s="252"/>
      <c r="LFQ975" s="252"/>
      <c r="LFR975" s="252"/>
      <c r="LFS975" s="252"/>
      <c r="LFT975" s="252"/>
      <c r="LFU975" s="252"/>
      <c r="LFV975" s="252"/>
      <c r="LFW975" s="252"/>
      <c r="LFX975" s="252"/>
      <c r="LFY975" s="252"/>
      <c r="LFZ975" s="252"/>
      <c r="LGA975" s="252"/>
      <c r="LGB975" s="252"/>
      <c r="LGC975" s="252"/>
      <c r="LGD975" s="252"/>
      <c r="LGE975" s="252"/>
      <c r="LGF975" s="252"/>
      <c r="LGG975" s="252"/>
      <c r="LGH975" s="252"/>
      <c r="LGI975" s="252"/>
      <c r="LGJ975" s="252"/>
      <c r="LGK975" s="252"/>
      <c r="LGL975" s="252"/>
      <c r="LGM975" s="252"/>
      <c r="LGN975" s="252"/>
      <c r="LGO975" s="252"/>
      <c r="LGP975" s="252"/>
      <c r="LGQ975" s="252"/>
      <c r="LGR975" s="252"/>
      <c r="LGS975" s="252"/>
      <c r="LGT975" s="252"/>
      <c r="LGU975" s="252"/>
      <c r="LGV975" s="252"/>
      <c r="LGW975" s="252"/>
      <c r="LGX975" s="252"/>
      <c r="LGY975" s="252"/>
      <c r="LGZ975" s="252"/>
      <c r="LHA975" s="252"/>
      <c r="LHB975" s="252"/>
      <c r="LHC975" s="252"/>
      <c r="LHD975" s="252"/>
      <c r="LHE975" s="252"/>
      <c r="LHF975" s="252"/>
      <c r="LHG975" s="252"/>
      <c r="LHH975" s="252"/>
      <c r="LHI975" s="252"/>
      <c r="LHJ975" s="252"/>
      <c r="LHK975" s="252"/>
      <c r="LHL975" s="252"/>
      <c r="LHM975" s="252"/>
      <c r="LHN975" s="252"/>
      <c r="LHO975" s="252"/>
      <c r="LHP975" s="252"/>
      <c r="LHQ975" s="252"/>
      <c r="LHR975" s="252"/>
      <c r="LHS975" s="252"/>
      <c r="LHT975" s="252"/>
      <c r="LHU975" s="252"/>
      <c r="LHV975" s="252"/>
      <c r="LHW975" s="252"/>
      <c r="LHX975" s="252"/>
      <c r="LHY975" s="252"/>
      <c r="LHZ975" s="252"/>
      <c r="LIA975" s="252"/>
      <c r="LIB975" s="252"/>
      <c r="LIC975" s="252"/>
      <c r="LID975" s="252"/>
      <c r="LIE975" s="252"/>
      <c r="LIF975" s="252"/>
      <c r="LIG975" s="252"/>
      <c r="LIH975" s="252"/>
      <c r="LII975" s="252"/>
      <c r="LIJ975" s="252"/>
      <c r="LIK975" s="252"/>
      <c r="LIL975" s="252"/>
      <c r="LIM975" s="252"/>
      <c r="LIN975" s="252"/>
      <c r="LIO975" s="252"/>
      <c r="LIP975" s="252"/>
      <c r="LIQ975" s="252"/>
      <c r="LIR975" s="252"/>
      <c r="LIS975" s="252"/>
      <c r="LIT975" s="252"/>
      <c r="LIU975" s="252"/>
      <c r="LIV975" s="252"/>
      <c r="LIW975" s="252"/>
      <c r="LIX975" s="252"/>
      <c r="LIY975" s="252"/>
      <c r="LIZ975" s="252"/>
      <c r="LJA975" s="252"/>
      <c r="LJB975" s="252"/>
      <c r="LJC975" s="252"/>
      <c r="LJD975" s="252"/>
      <c r="LJE975" s="252"/>
      <c r="LJF975" s="252"/>
      <c r="LJG975" s="252"/>
      <c r="LJH975" s="252"/>
      <c r="LJI975" s="252"/>
      <c r="LJJ975" s="252"/>
      <c r="LJK975" s="252"/>
      <c r="LJL975" s="252"/>
      <c r="LJM975" s="252"/>
      <c r="LJN975" s="252"/>
      <c r="LJO975" s="252"/>
      <c r="LJP975" s="252"/>
      <c r="LJQ975" s="252"/>
      <c r="LJR975" s="252"/>
      <c r="LJS975" s="252"/>
      <c r="LJT975" s="252"/>
      <c r="LJU975" s="252"/>
      <c r="LJV975" s="252"/>
      <c r="LJW975" s="252"/>
      <c r="LJX975" s="252"/>
      <c r="LJY975" s="252"/>
      <c r="LJZ975" s="252"/>
      <c r="LKA975" s="252"/>
      <c r="LKB975" s="252"/>
      <c r="LKC975" s="252"/>
      <c r="LKD975" s="252"/>
      <c r="LKE975" s="252"/>
      <c r="LKF975" s="252"/>
      <c r="LKG975" s="252"/>
      <c r="LKH975" s="252"/>
      <c r="LKI975" s="252"/>
      <c r="LKJ975" s="252"/>
      <c r="LKK975" s="252"/>
      <c r="LKL975" s="252"/>
      <c r="LKM975" s="252"/>
      <c r="LKN975" s="252"/>
      <c r="LKO975" s="252"/>
      <c r="LKP975" s="252"/>
      <c r="LKQ975" s="252"/>
      <c r="LKR975" s="252"/>
      <c r="LKS975" s="252"/>
      <c r="LKT975" s="252"/>
      <c r="LKU975" s="252"/>
      <c r="LKV975" s="252"/>
      <c r="LKW975" s="252"/>
      <c r="LKX975" s="252"/>
      <c r="LKY975" s="252"/>
      <c r="LKZ975" s="252"/>
      <c r="LLA975" s="252"/>
      <c r="LLB975" s="252"/>
      <c r="LLC975" s="252"/>
      <c r="LLD975" s="252"/>
      <c r="LLE975" s="252"/>
      <c r="LLF975" s="252"/>
      <c r="LLG975" s="252"/>
      <c r="LLH975" s="252"/>
      <c r="LLI975" s="252"/>
      <c r="LLJ975" s="252"/>
      <c r="LLK975" s="252"/>
      <c r="LLL975" s="252"/>
      <c r="LLM975" s="252"/>
      <c r="LLN975" s="252"/>
      <c r="LLO975" s="252"/>
      <c r="LLP975" s="252"/>
      <c r="LLQ975" s="252"/>
      <c r="LLR975" s="252"/>
      <c r="LLS975" s="252"/>
      <c r="LLT975" s="252"/>
      <c r="LLU975" s="252"/>
      <c r="LLV975" s="252"/>
      <c r="LLW975" s="252"/>
      <c r="LLX975" s="252"/>
      <c r="LLY975" s="252"/>
      <c r="LLZ975" s="252"/>
      <c r="LMA975" s="252"/>
      <c r="LMB975" s="252"/>
      <c r="LMC975" s="252"/>
      <c r="LMD975" s="252"/>
      <c r="LME975" s="252"/>
      <c r="LMF975" s="252"/>
      <c r="LMG975" s="252"/>
      <c r="LMH975" s="252"/>
      <c r="LMI975" s="252"/>
      <c r="LMJ975" s="252"/>
      <c r="LMK975" s="252"/>
      <c r="LML975" s="252"/>
      <c r="LMM975" s="252"/>
      <c r="LMN975" s="252"/>
      <c r="LMO975" s="252"/>
      <c r="LMP975" s="252"/>
      <c r="LMQ975" s="252"/>
      <c r="LMR975" s="252"/>
      <c r="LMS975" s="252"/>
      <c r="LMT975" s="252"/>
      <c r="LMU975" s="252"/>
      <c r="LMV975" s="252"/>
      <c r="LMW975" s="252"/>
      <c r="LMX975" s="252"/>
      <c r="LMY975" s="252"/>
      <c r="LMZ975" s="252"/>
      <c r="LNA975" s="252"/>
      <c r="LNB975" s="252"/>
      <c r="LNC975" s="252"/>
      <c r="LND975" s="252"/>
      <c r="LNE975" s="252"/>
      <c r="LNF975" s="252"/>
      <c r="LNG975" s="252"/>
      <c r="LNH975" s="252"/>
      <c r="LNI975" s="252"/>
      <c r="LNJ975" s="252"/>
      <c r="LNK975" s="252"/>
      <c r="LNL975" s="252"/>
      <c r="LNM975" s="252"/>
      <c r="LNN975" s="252"/>
      <c r="LNO975" s="252"/>
      <c r="LNP975" s="252"/>
      <c r="LNQ975" s="252"/>
      <c r="LNR975" s="252"/>
      <c r="LNS975" s="252"/>
      <c r="LNT975" s="252"/>
      <c r="LNU975" s="252"/>
      <c r="LNV975" s="252"/>
      <c r="LNW975" s="252"/>
      <c r="LNX975" s="252"/>
      <c r="LNY975" s="252"/>
      <c r="LNZ975" s="252"/>
      <c r="LOA975" s="252"/>
      <c r="LOB975" s="252"/>
      <c r="LOC975" s="252"/>
      <c r="LOD975" s="252"/>
      <c r="LOE975" s="252"/>
      <c r="LOF975" s="252"/>
      <c r="LOG975" s="252"/>
      <c r="LOH975" s="252"/>
      <c r="LOI975" s="252"/>
      <c r="LOJ975" s="252"/>
      <c r="LOK975" s="252"/>
      <c r="LOL975" s="252"/>
      <c r="LOM975" s="252"/>
      <c r="LON975" s="252"/>
      <c r="LOO975" s="252"/>
      <c r="LOP975" s="252"/>
      <c r="LOQ975" s="252"/>
      <c r="LOR975" s="252"/>
      <c r="LOS975" s="252"/>
      <c r="LOT975" s="252"/>
      <c r="LOU975" s="252"/>
      <c r="LOV975" s="252"/>
      <c r="LOW975" s="252"/>
      <c r="LOX975" s="252"/>
      <c r="LOY975" s="252"/>
      <c r="LOZ975" s="252"/>
      <c r="LPA975" s="252"/>
      <c r="LPB975" s="252"/>
      <c r="LPC975" s="252"/>
      <c r="LPD975" s="252"/>
      <c r="LPE975" s="252"/>
      <c r="LPF975" s="252"/>
      <c r="LPG975" s="252"/>
      <c r="LPH975" s="252"/>
      <c r="LPI975" s="252"/>
      <c r="LPJ975" s="252"/>
      <c r="LPK975" s="252"/>
      <c r="LPL975" s="252"/>
      <c r="LPM975" s="252"/>
      <c r="LPN975" s="252"/>
      <c r="LPO975" s="252"/>
      <c r="LPP975" s="252"/>
      <c r="LPQ975" s="252"/>
      <c r="LPR975" s="252"/>
      <c r="LPS975" s="252"/>
      <c r="LPT975" s="252"/>
      <c r="LPU975" s="252"/>
      <c r="LPV975" s="252"/>
      <c r="LPW975" s="252"/>
      <c r="LPX975" s="252"/>
      <c r="LPY975" s="252"/>
      <c r="LPZ975" s="252"/>
      <c r="LQA975" s="252"/>
      <c r="LQB975" s="252"/>
      <c r="LQC975" s="252"/>
      <c r="LQD975" s="252"/>
      <c r="LQE975" s="252"/>
      <c r="LQF975" s="252"/>
      <c r="LQG975" s="252"/>
      <c r="LQH975" s="252"/>
      <c r="LQI975" s="252"/>
      <c r="LQJ975" s="252"/>
      <c r="LQK975" s="252"/>
      <c r="LQL975" s="252"/>
      <c r="LQM975" s="252"/>
      <c r="LQN975" s="252"/>
      <c r="LQO975" s="252"/>
      <c r="LQP975" s="252"/>
      <c r="LQQ975" s="252"/>
      <c r="LQR975" s="252"/>
      <c r="LQS975" s="252"/>
      <c r="LQT975" s="252"/>
      <c r="LQU975" s="252"/>
      <c r="LQV975" s="252"/>
      <c r="LQW975" s="252"/>
      <c r="LQX975" s="252"/>
      <c r="LQY975" s="252"/>
      <c r="LQZ975" s="252"/>
      <c r="LRA975" s="252"/>
      <c r="LRB975" s="252"/>
      <c r="LRC975" s="252"/>
      <c r="LRD975" s="252"/>
      <c r="LRE975" s="252"/>
      <c r="LRF975" s="252"/>
      <c r="LRG975" s="252"/>
      <c r="LRH975" s="252"/>
      <c r="LRI975" s="252"/>
      <c r="LRJ975" s="252"/>
      <c r="LRK975" s="252"/>
      <c r="LRL975" s="252"/>
      <c r="LRM975" s="252"/>
      <c r="LRN975" s="252"/>
      <c r="LRO975" s="252"/>
      <c r="LRP975" s="252"/>
      <c r="LRQ975" s="252"/>
      <c r="LRR975" s="252"/>
      <c r="LRS975" s="252"/>
      <c r="LRT975" s="252"/>
      <c r="LRU975" s="252"/>
      <c r="LRV975" s="252"/>
      <c r="LRW975" s="252"/>
      <c r="LRX975" s="252"/>
      <c r="LRY975" s="252"/>
      <c r="LRZ975" s="252"/>
      <c r="LSA975" s="252"/>
      <c r="LSB975" s="252"/>
      <c r="LSC975" s="252"/>
      <c r="LSD975" s="252"/>
      <c r="LSE975" s="252"/>
      <c r="LSF975" s="252"/>
      <c r="LSG975" s="252"/>
      <c r="LSH975" s="252"/>
      <c r="LSI975" s="252"/>
      <c r="LSJ975" s="252"/>
      <c r="LSK975" s="252"/>
      <c r="LSL975" s="252"/>
      <c r="LSM975" s="252"/>
      <c r="LSN975" s="252"/>
      <c r="LSO975" s="252"/>
      <c r="LSP975" s="252"/>
      <c r="LSQ975" s="252"/>
      <c r="LSR975" s="252"/>
      <c r="LSS975" s="252"/>
      <c r="LST975" s="252"/>
      <c r="LSU975" s="252"/>
      <c r="LSV975" s="252"/>
      <c r="LSW975" s="252"/>
      <c r="LSX975" s="252"/>
      <c r="LSY975" s="252"/>
      <c r="LSZ975" s="252"/>
      <c r="LTA975" s="252"/>
      <c r="LTB975" s="252"/>
      <c r="LTC975" s="252"/>
      <c r="LTD975" s="252"/>
      <c r="LTE975" s="252"/>
      <c r="LTF975" s="252"/>
      <c r="LTG975" s="252"/>
      <c r="LTH975" s="252"/>
      <c r="LTI975" s="252"/>
      <c r="LTJ975" s="252"/>
      <c r="LTK975" s="252"/>
      <c r="LTL975" s="252"/>
      <c r="LTM975" s="252"/>
      <c r="LTN975" s="252"/>
      <c r="LTO975" s="252"/>
      <c r="LTP975" s="252"/>
      <c r="LTQ975" s="252"/>
      <c r="LTR975" s="252"/>
      <c r="LTS975" s="252"/>
      <c r="LTT975" s="252"/>
      <c r="LTU975" s="252"/>
      <c r="LTV975" s="252"/>
      <c r="LTW975" s="252"/>
      <c r="LTX975" s="252"/>
      <c r="LTY975" s="252"/>
      <c r="LTZ975" s="252"/>
      <c r="LUA975" s="252"/>
      <c r="LUB975" s="252"/>
      <c r="LUC975" s="252"/>
      <c r="LUD975" s="252"/>
      <c r="LUE975" s="252"/>
      <c r="LUF975" s="252"/>
      <c r="LUG975" s="252"/>
      <c r="LUH975" s="252"/>
      <c r="LUI975" s="252"/>
      <c r="LUJ975" s="252"/>
      <c r="LUK975" s="252"/>
      <c r="LUL975" s="252"/>
      <c r="LUM975" s="252"/>
      <c r="LUN975" s="252"/>
      <c r="LUO975" s="252"/>
      <c r="LUP975" s="252"/>
      <c r="LUQ975" s="252"/>
      <c r="LUR975" s="252"/>
      <c r="LUS975" s="252"/>
      <c r="LUT975" s="252"/>
      <c r="LUU975" s="252"/>
      <c r="LUV975" s="252"/>
      <c r="LUW975" s="252"/>
      <c r="LUX975" s="252"/>
      <c r="LUY975" s="252"/>
      <c r="LUZ975" s="252"/>
      <c r="LVA975" s="252"/>
      <c r="LVB975" s="252"/>
      <c r="LVC975" s="252"/>
      <c r="LVD975" s="252"/>
      <c r="LVE975" s="252"/>
      <c r="LVF975" s="252"/>
      <c r="LVG975" s="252"/>
      <c r="LVH975" s="252"/>
      <c r="LVI975" s="252"/>
      <c r="LVJ975" s="252"/>
      <c r="LVK975" s="252"/>
      <c r="LVL975" s="252"/>
      <c r="LVM975" s="252"/>
      <c r="LVN975" s="252"/>
      <c r="LVO975" s="252"/>
      <c r="LVP975" s="252"/>
      <c r="LVQ975" s="252"/>
      <c r="LVR975" s="252"/>
      <c r="LVS975" s="252"/>
      <c r="LVT975" s="252"/>
      <c r="LVU975" s="252"/>
      <c r="LVV975" s="252"/>
      <c r="LVW975" s="252"/>
      <c r="LVX975" s="252"/>
      <c r="LVY975" s="252"/>
      <c r="LVZ975" s="252"/>
      <c r="LWA975" s="252"/>
      <c r="LWB975" s="252"/>
      <c r="LWC975" s="252"/>
      <c r="LWD975" s="252"/>
      <c r="LWE975" s="252"/>
      <c r="LWF975" s="252"/>
      <c r="LWG975" s="252"/>
      <c r="LWH975" s="252"/>
      <c r="LWI975" s="252"/>
      <c r="LWJ975" s="252"/>
      <c r="LWK975" s="252"/>
      <c r="LWL975" s="252"/>
      <c r="LWM975" s="252"/>
      <c r="LWN975" s="252"/>
      <c r="LWO975" s="252"/>
      <c r="LWP975" s="252"/>
      <c r="LWQ975" s="252"/>
      <c r="LWR975" s="252"/>
      <c r="LWS975" s="252"/>
      <c r="LWT975" s="252"/>
      <c r="LWU975" s="252"/>
      <c r="LWV975" s="252"/>
      <c r="LWW975" s="252"/>
      <c r="LWX975" s="252"/>
      <c r="LWY975" s="252"/>
      <c r="LWZ975" s="252"/>
      <c r="LXA975" s="252"/>
      <c r="LXB975" s="252"/>
      <c r="LXC975" s="252"/>
      <c r="LXD975" s="252"/>
      <c r="LXE975" s="252"/>
      <c r="LXF975" s="252"/>
      <c r="LXG975" s="252"/>
      <c r="LXH975" s="252"/>
      <c r="LXI975" s="252"/>
      <c r="LXJ975" s="252"/>
      <c r="LXK975" s="252"/>
      <c r="LXL975" s="252"/>
      <c r="LXM975" s="252"/>
      <c r="LXN975" s="252"/>
      <c r="LXO975" s="252"/>
      <c r="LXP975" s="252"/>
      <c r="LXQ975" s="252"/>
      <c r="LXR975" s="252"/>
      <c r="LXS975" s="252"/>
      <c r="LXT975" s="252"/>
      <c r="LXU975" s="252"/>
      <c r="LXV975" s="252"/>
      <c r="LXW975" s="252"/>
      <c r="LXX975" s="252"/>
      <c r="LXY975" s="252"/>
      <c r="LXZ975" s="252"/>
      <c r="LYA975" s="252"/>
      <c r="LYB975" s="252"/>
      <c r="LYC975" s="252"/>
      <c r="LYD975" s="252"/>
      <c r="LYE975" s="252"/>
      <c r="LYF975" s="252"/>
      <c r="LYG975" s="252"/>
      <c r="LYH975" s="252"/>
      <c r="LYI975" s="252"/>
      <c r="LYJ975" s="252"/>
      <c r="LYK975" s="252"/>
      <c r="LYL975" s="252"/>
      <c r="LYM975" s="252"/>
      <c r="LYN975" s="252"/>
      <c r="LYO975" s="252"/>
      <c r="LYP975" s="252"/>
      <c r="LYQ975" s="252"/>
      <c r="LYR975" s="252"/>
      <c r="LYS975" s="252"/>
      <c r="LYT975" s="252"/>
      <c r="LYU975" s="252"/>
      <c r="LYV975" s="252"/>
      <c r="LYW975" s="252"/>
      <c r="LYX975" s="252"/>
      <c r="LYY975" s="252"/>
      <c r="LYZ975" s="252"/>
      <c r="LZA975" s="252"/>
      <c r="LZB975" s="252"/>
      <c r="LZC975" s="252"/>
      <c r="LZD975" s="252"/>
      <c r="LZE975" s="252"/>
      <c r="LZF975" s="252"/>
      <c r="LZG975" s="252"/>
      <c r="LZH975" s="252"/>
      <c r="LZI975" s="252"/>
      <c r="LZJ975" s="252"/>
      <c r="LZK975" s="252"/>
      <c r="LZL975" s="252"/>
      <c r="LZM975" s="252"/>
      <c r="LZN975" s="252"/>
      <c r="LZO975" s="252"/>
      <c r="LZP975" s="252"/>
      <c r="LZQ975" s="252"/>
      <c r="LZR975" s="252"/>
      <c r="LZS975" s="252"/>
      <c r="LZT975" s="252"/>
      <c r="LZU975" s="252"/>
      <c r="LZV975" s="252"/>
      <c r="LZW975" s="252"/>
      <c r="LZX975" s="252"/>
      <c r="LZY975" s="252"/>
      <c r="LZZ975" s="252"/>
      <c r="MAA975" s="252"/>
      <c r="MAB975" s="252"/>
      <c r="MAC975" s="252"/>
      <c r="MAD975" s="252"/>
      <c r="MAE975" s="252"/>
      <c r="MAF975" s="252"/>
      <c r="MAG975" s="252"/>
      <c r="MAH975" s="252"/>
      <c r="MAI975" s="252"/>
      <c r="MAJ975" s="252"/>
      <c r="MAK975" s="252"/>
      <c r="MAL975" s="252"/>
      <c r="MAM975" s="252"/>
      <c r="MAN975" s="252"/>
      <c r="MAO975" s="252"/>
      <c r="MAP975" s="252"/>
      <c r="MAQ975" s="252"/>
      <c r="MAR975" s="252"/>
      <c r="MAS975" s="252"/>
      <c r="MAT975" s="252"/>
      <c r="MAU975" s="252"/>
      <c r="MAV975" s="252"/>
      <c r="MAW975" s="252"/>
      <c r="MAX975" s="252"/>
      <c r="MAY975" s="252"/>
      <c r="MAZ975" s="252"/>
      <c r="MBA975" s="252"/>
      <c r="MBB975" s="252"/>
      <c r="MBC975" s="252"/>
      <c r="MBD975" s="252"/>
      <c r="MBE975" s="252"/>
      <c r="MBF975" s="252"/>
      <c r="MBG975" s="252"/>
      <c r="MBH975" s="252"/>
      <c r="MBI975" s="252"/>
      <c r="MBJ975" s="252"/>
      <c r="MBK975" s="252"/>
      <c r="MBL975" s="252"/>
      <c r="MBM975" s="252"/>
      <c r="MBN975" s="252"/>
      <c r="MBO975" s="252"/>
      <c r="MBP975" s="252"/>
      <c r="MBQ975" s="252"/>
      <c r="MBR975" s="252"/>
      <c r="MBS975" s="252"/>
      <c r="MBT975" s="252"/>
      <c r="MBU975" s="252"/>
      <c r="MBV975" s="252"/>
      <c r="MBW975" s="252"/>
      <c r="MBX975" s="252"/>
      <c r="MBY975" s="252"/>
      <c r="MBZ975" s="252"/>
      <c r="MCA975" s="252"/>
      <c r="MCB975" s="252"/>
      <c r="MCC975" s="252"/>
      <c r="MCD975" s="252"/>
      <c r="MCE975" s="252"/>
      <c r="MCF975" s="252"/>
      <c r="MCG975" s="252"/>
      <c r="MCH975" s="252"/>
      <c r="MCI975" s="252"/>
      <c r="MCJ975" s="252"/>
      <c r="MCK975" s="252"/>
      <c r="MCL975" s="252"/>
      <c r="MCM975" s="252"/>
      <c r="MCN975" s="252"/>
      <c r="MCO975" s="252"/>
      <c r="MCP975" s="252"/>
      <c r="MCQ975" s="252"/>
      <c r="MCR975" s="252"/>
      <c r="MCS975" s="252"/>
      <c r="MCT975" s="252"/>
      <c r="MCU975" s="252"/>
      <c r="MCV975" s="252"/>
      <c r="MCW975" s="252"/>
      <c r="MCX975" s="252"/>
      <c r="MCY975" s="252"/>
      <c r="MCZ975" s="252"/>
      <c r="MDA975" s="252"/>
      <c r="MDB975" s="252"/>
      <c r="MDC975" s="252"/>
      <c r="MDD975" s="252"/>
      <c r="MDE975" s="252"/>
      <c r="MDF975" s="252"/>
      <c r="MDG975" s="252"/>
      <c r="MDH975" s="252"/>
      <c r="MDI975" s="252"/>
      <c r="MDJ975" s="252"/>
      <c r="MDK975" s="252"/>
      <c r="MDL975" s="252"/>
      <c r="MDM975" s="252"/>
      <c r="MDN975" s="252"/>
      <c r="MDO975" s="252"/>
      <c r="MDP975" s="252"/>
      <c r="MDQ975" s="252"/>
      <c r="MDR975" s="252"/>
      <c r="MDS975" s="252"/>
      <c r="MDT975" s="252"/>
      <c r="MDU975" s="252"/>
      <c r="MDV975" s="252"/>
      <c r="MDW975" s="252"/>
      <c r="MDX975" s="252"/>
      <c r="MDY975" s="252"/>
      <c r="MDZ975" s="252"/>
      <c r="MEA975" s="252"/>
      <c r="MEB975" s="252"/>
      <c r="MEC975" s="252"/>
      <c r="MED975" s="252"/>
      <c r="MEE975" s="252"/>
      <c r="MEF975" s="252"/>
      <c r="MEG975" s="252"/>
      <c r="MEH975" s="252"/>
      <c r="MEI975" s="252"/>
      <c r="MEJ975" s="252"/>
      <c r="MEK975" s="252"/>
      <c r="MEL975" s="252"/>
      <c r="MEM975" s="252"/>
      <c r="MEN975" s="252"/>
      <c r="MEO975" s="252"/>
      <c r="MEP975" s="252"/>
      <c r="MEQ975" s="252"/>
      <c r="MER975" s="252"/>
      <c r="MES975" s="252"/>
      <c r="MET975" s="252"/>
      <c r="MEU975" s="252"/>
      <c r="MEV975" s="252"/>
      <c r="MEW975" s="252"/>
      <c r="MEX975" s="252"/>
      <c r="MEY975" s="252"/>
      <c r="MEZ975" s="252"/>
      <c r="MFA975" s="252"/>
      <c r="MFB975" s="252"/>
      <c r="MFC975" s="252"/>
      <c r="MFD975" s="252"/>
      <c r="MFE975" s="252"/>
      <c r="MFF975" s="252"/>
      <c r="MFG975" s="252"/>
      <c r="MFH975" s="252"/>
      <c r="MFI975" s="252"/>
      <c r="MFJ975" s="252"/>
      <c r="MFK975" s="252"/>
      <c r="MFL975" s="252"/>
      <c r="MFM975" s="252"/>
      <c r="MFN975" s="252"/>
      <c r="MFO975" s="252"/>
      <c r="MFP975" s="252"/>
      <c r="MFQ975" s="252"/>
      <c r="MFR975" s="252"/>
      <c r="MFS975" s="252"/>
      <c r="MFT975" s="252"/>
      <c r="MFU975" s="252"/>
      <c r="MFV975" s="252"/>
      <c r="MFW975" s="252"/>
      <c r="MFX975" s="252"/>
      <c r="MFY975" s="252"/>
      <c r="MFZ975" s="252"/>
      <c r="MGA975" s="252"/>
      <c r="MGB975" s="252"/>
      <c r="MGC975" s="252"/>
      <c r="MGD975" s="252"/>
      <c r="MGE975" s="252"/>
      <c r="MGF975" s="252"/>
      <c r="MGG975" s="252"/>
      <c r="MGH975" s="252"/>
      <c r="MGI975" s="252"/>
      <c r="MGJ975" s="252"/>
      <c r="MGK975" s="252"/>
      <c r="MGL975" s="252"/>
      <c r="MGM975" s="252"/>
      <c r="MGN975" s="252"/>
      <c r="MGO975" s="252"/>
      <c r="MGP975" s="252"/>
      <c r="MGQ975" s="252"/>
      <c r="MGR975" s="252"/>
      <c r="MGS975" s="252"/>
      <c r="MGT975" s="252"/>
      <c r="MGU975" s="252"/>
      <c r="MGV975" s="252"/>
      <c r="MGW975" s="252"/>
      <c r="MGX975" s="252"/>
      <c r="MGY975" s="252"/>
      <c r="MGZ975" s="252"/>
      <c r="MHA975" s="252"/>
      <c r="MHB975" s="252"/>
      <c r="MHC975" s="252"/>
      <c r="MHD975" s="252"/>
      <c r="MHE975" s="252"/>
      <c r="MHF975" s="252"/>
      <c r="MHG975" s="252"/>
      <c r="MHH975" s="252"/>
      <c r="MHI975" s="252"/>
      <c r="MHJ975" s="252"/>
      <c r="MHK975" s="252"/>
      <c r="MHL975" s="252"/>
      <c r="MHM975" s="252"/>
      <c r="MHN975" s="252"/>
      <c r="MHO975" s="252"/>
      <c r="MHP975" s="252"/>
      <c r="MHQ975" s="252"/>
      <c r="MHR975" s="252"/>
      <c r="MHS975" s="252"/>
      <c r="MHT975" s="252"/>
      <c r="MHU975" s="252"/>
      <c r="MHV975" s="252"/>
      <c r="MHW975" s="252"/>
      <c r="MHX975" s="252"/>
      <c r="MHY975" s="252"/>
      <c r="MHZ975" s="252"/>
      <c r="MIA975" s="252"/>
      <c r="MIB975" s="252"/>
      <c r="MIC975" s="252"/>
      <c r="MID975" s="252"/>
      <c r="MIE975" s="252"/>
      <c r="MIF975" s="252"/>
      <c r="MIG975" s="252"/>
      <c r="MIH975" s="252"/>
      <c r="MII975" s="252"/>
      <c r="MIJ975" s="252"/>
      <c r="MIK975" s="252"/>
      <c r="MIL975" s="252"/>
      <c r="MIM975" s="252"/>
      <c r="MIN975" s="252"/>
      <c r="MIO975" s="252"/>
      <c r="MIP975" s="252"/>
      <c r="MIQ975" s="252"/>
      <c r="MIR975" s="252"/>
      <c r="MIS975" s="252"/>
      <c r="MIT975" s="252"/>
      <c r="MIU975" s="252"/>
      <c r="MIV975" s="252"/>
      <c r="MIW975" s="252"/>
      <c r="MIX975" s="252"/>
      <c r="MIY975" s="252"/>
      <c r="MIZ975" s="252"/>
      <c r="MJA975" s="252"/>
      <c r="MJB975" s="252"/>
      <c r="MJC975" s="252"/>
      <c r="MJD975" s="252"/>
      <c r="MJE975" s="252"/>
      <c r="MJF975" s="252"/>
      <c r="MJG975" s="252"/>
      <c r="MJH975" s="252"/>
      <c r="MJI975" s="252"/>
      <c r="MJJ975" s="252"/>
      <c r="MJK975" s="252"/>
      <c r="MJL975" s="252"/>
      <c r="MJM975" s="252"/>
      <c r="MJN975" s="252"/>
      <c r="MJO975" s="252"/>
      <c r="MJP975" s="252"/>
      <c r="MJQ975" s="252"/>
      <c r="MJR975" s="252"/>
      <c r="MJS975" s="252"/>
      <c r="MJT975" s="252"/>
      <c r="MJU975" s="252"/>
      <c r="MJV975" s="252"/>
      <c r="MJW975" s="252"/>
      <c r="MJX975" s="252"/>
      <c r="MJY975" s="252"/>
      <c r="MJZ975" s="252"/>
      <c r="MKA975" s="252"/>
      <c r="MKB975" s="252"/>
      <c r="MKC975" s="252"/>
      <c r="MKD975" s="252"/>
      <c r="MKE975" s="252"/>
      <c r="MKF975" s="252"/>
      <c r="MKG975" s="252"/>
      <c r="MKH975" s="252"/>
      <c r="MKI975" s="252"/>
      <c r="MKJ975" s="252"/>
      <c r="MKK975" s="252"/>
      <c r="MKL975" s="252"/>
      <c r="MKM975" s="252"/>
      <c r="MKN975" s="252"/>
      <c r="MKO975" s="252"/>
      <c r="MKP975" s="252"/>
      <c r="MKQ975" s="252"/>
      <c r="MKR975" s="252"/>
      <c r="MKS975" s="252"/>
      <c r="MKT975" s="252"/>
      <c r="MKU975" s="252"/>
      <c r="MKV975" s="252"/>
      <c r="MKW975" s="252"/>
      <c r="MKX975" s="252"/>
      <c r="MKY975" s="252"/>
      <c r="MKZ975" s="252"/>
      <c r="MLA975" s="252"/>
      <c r="MLB975" s="252"/>
      <c r="MLC975" s="252"/>
      <c r="MLD975" s="252"/>
      <c r="MLE975" s="252"/>
      <c r="MLF975" s="252"/>
      <c r="MLG975" s="252"/>
      <c r="MLH975" s="252"/>
      <c r="MLI975" s="252"/>
      <c r="MLJ975" s="252"/>
      <c r="MLK975" s="252"/>
      <c r="MLL975" s="252"/>
      <c r="MLM975" s="252"/>
      <c r="MLN975" s="252"/>
      <c r="MLO975" s="252"/>
      <c r="MLP975" s="252"/>
      <c r="MLQ975" s="252"/>
      <c r="MLR975" s="252"/>
      <c r="MLS975" s="252"/>
      <c r="MLT975" s="252"/>
      <c r="MLU975" s="252"/>
      <c r="MLV975" s="252"/>
      <c r="MLW975" s="252"/>
      <c r="MLX975" s="252"/>
      <c r="MLY975" s="252"/>
      <c r="MLZ975" s="252"/>
      <c r="MMA975" s="252"/>
      <c r="MMB975" s="252"/>
      <c r="MMC975" s="252"/>
      <c r="MMD975" s="252"/>
      <c r="MME975" s="252"/>
      <c r="MMF975" s="252"/>
      <c r="MMG975" s="252"/>
      <c r="MMH975" s="252"/>
      <c r="MMI975" s="252"/>
      <c r="MMJ975" s="252"/>
      <c r="MMK975" s="252"/>
      <c r="MML975" s="252"/>
      <c r="MMM975" s="252"/>
      <c r="MMN975" s="252"/>
      <c r="MMO975" s="252"/>
      <c r="MMP975" s="252"/>
      <c r="MMQ975" s="252"/>
      <c r="MMR975" s="252"/>
      <c r="MMS975" s="252"/>
      <c r="MMT975" s="252"/>
      <c r="MMU975" s="252"/>
      <c r="MMV975" s="252"/>
      <c r="MMW975" s="252"/>
      <c r="MMX975" s="252"/>
      <c r="MMY975" s="252"/>
      <c r="MMZ975" s="252"/>
      <c r="MNA975" s="252"/>
      <c r="MNB975" s="252"/>
      <c r="MNC975" s="252"/>
      <c r="MND975" s="252"/>
      <c r="MNE975" s="252"/>
      <c r="MNF975" s="252"/>
      <c r="MNG975" s="252"/>
      <c r="MNH975" s="252"/>
      <c r="MNI975" s="252"/>
      <c r="MNJ975" s="252"/>
      <c r="MNK975" s="252"/>
      <c r="MNL975" s="252"/>
      <c r="MNM975" s="252"/>
      <c r="MNN975" s="252"/>
      <c r="MNO975" s="252"/>
      <c r="MNP975" s="252"/>
      <c r="MNQ975" s="252"/>
      <c r="MNR975" s="252"/>
      <c r="MNS975" s="252"/>
      <c r="MNT975" s="252"/>
      <c r="MNU975" s="252"/>
      <c r="MNV975" s="252"/>
      <c r="MNW975" s="252"/>
      <c r="MNX975" s="252"/>
      <c r="MNY975" s="252"/>
      <c r="MNZ975" s="252"/>
      <c r="MOA975" s="252"/>
      <c r="MOB975" s="252"/>
      <c r="MOC975" s="252"/>
      <c r="MOD975" s="252"/>
      <c r="MOE975" s="252"/>
      <c r="MOF975" s="252"/>
      <c r="MOG975" s="252"/>
      <c r="MOH975" s="252"/>
      <c r="MOI975" s="252"/>
      <c r="MOJ975" s="252"/>
      <c r="MOK975" s="252"/>
      <c r="MOL975" s="252"/>
      <c r="MOM975" s="252"/>
      <c r="MON975" s="252"/>
      <c r="MOO975" s="252"/>
      <c r="MOP975" s="252"/>
      <c r="MOQ975" s="252"/>
      <c r="MOR975" s="252"/>
      <c r="MOS975" s="252"/>
      <c r="MOT975" s="252"/>
      <c r="MOU975" s="252"/>
      <c r="MOV975" s="252"/>
      <c r="MOW975" s="252"/>
      <c r="MOX975" s="252"/>
      <c r="MOY975" s="252"/>
      <c r="MOZ975" s="252"/>
      <c r="MPA975" s="252"/>
      <c r="MPB975" s="252"/>
      <c r="MPC975" s="252"/>
      <c r="MPD975" s="252"/>
      <c r="MPE975" s="252"/>
      <c r="MPF975" s="252"/>
      <c r="MPG975" s="252"/>
      <c r="MPH975" s="252"/>
      <c r="MPI975" s="252"/>
      <c r="MPJ975" s="252"/>
      <c r="MPK975" s="252"/>
      <c r="MPL975" s="252"/>
      <c r="MPM975" s="252"/>
      <c r="MPN975" s="252"/>
      <c r="MPO975" s="252"/>
      <c r="MPP975" s="252"/>
      <c r="MPQ975" s="252"/>
      <c r="MPR975" s="252"/>
      <c r="MPS975" s="252"/>
      <c r="MPT975" s="252"/>
      <c r="MPU975" s="252"/>
      <c r="MPV975" s="252"/>
      <c r="MPW975" s="252"/>
      <c r="MPX975" s="252"/>
      <c r="MPY975" s="252"/>
      <c r="MPZ975" s="252"/>
      <c r="MQA975" s="252"/>
      <c r="MQB975" s="252"/>
      <c r="MQC975" s="252"/>
      <c r="MQD975" s="252"/>
      <c r="MQE975" s="252"/>
      <c r="MQF975" s="252"/>
      <c r="MQG975" s="252"/>
      <c r="MQH975" s="252"/>
      <c r="MQI975" s="252"/>
      <c r="MQJ975" s="252"/>
      <c r="MQK975" s="252"/>
      <c r="MQL975" s="252"/>
      <c r="MQM975" s="252"/>
      <c r="MQN975" s="252"/>
      <c r="MQO975" s="252"/>
      <c r="MQP975" s="252"/>
      <c r="MQQ975" s="252"/>
      <c r="MQR975" s="252"/>
      <c r="MQS975" s="252"/>
      <c r="MQT975" s="252"/>
      <c r="MQU975" s="252"/>
      <c r="MQV975" s="252"/>
      <c r="MQW975" s="252"/>
      <c r="MQX975" s="252"/>
      <c r="MQY975" s="252"/>
      <c r="MQZ975" s="252"/>
      <c r="MRA975" s="252"/>
      <c r="MRB975" s="252"/>
      <c r="MRC975" s="252"/>
      <c r="MRD975" s="252"/>
      <c r="MRE975" s="252"/>
      <c r="MRF975" s="252"/>
      <c r="MRG975" s="252"/>
      <c r="MRH975" s="252"/>
      <c r="MRI975" s="252"/>
      <c r="MRJ975" s="252"/>
      <c r="MRK975" s="252"/>
      <c r="MRL975" s="252"/>
      <c r="MRM975" s="252"/>
      <c r="MRN975" s="252"/>
      <c r="MRO975" s="252"/>
      <c r="MRP975" s="252"/>
      <c r="MRQ975" s="252"/>
      <c r="MRR975" s="252"/>
      <c r="MRS975" s="252"/>
      <c r="MRT975" s="252"/>
      <c r="MRU975" s="252"/>
      <c r="MRV975" s="252"/>
      <c r="MRW975" s="252"/>
      <c r="MRX975" s="252"/>
      <c r="MRY975" s="252"/>
      <c r="MRZ975" s="252"/>
      <c r="MSA975" s="252"/>
      <c r="MSB975" s="252"/>
      <c r="MSC975" s="252"/>
      <c r="MSD975" s="252"/>
      <c r="MSE975" s="252"/>
      <c r="MSF975" s="252"/>
      <c r="MSG975" s="252"/>
      <c r="MSH975" s="252"/>
      <c r="MSI975" s="252"/>
      <c r="MSJ975" s="252"/>
      <c r="MSK975" s="252"/>
      <c r="MSL975" s="252"/>
      <c r="MSM975" s="252"/>
      <c r="MSN975" s="252"/>
      <c r="MSO975" s="252"/>
      <c r="MSP975" s="252"/>
      <c r="MSQ975" s="252"/>
      <c r="MSR975" s="252"/>
      <c r="MSS975" s="252"/>
      <c r="MST975" s="252"/>
      <c r="MSU975" s="252"/>
      <c r="MSV975" s="252"/>
      <c r="MSW975" s="252"/>
      <c r="MSX975" s="252"/>
      <c r="MSY975" s="252"/>
      <c r="MSZ975" s="252"/>
      <c r="MTA975" s="252"/>
      <c r="MTB975" s="252"/>
      <c r="MTC975" s="252"/>
      <c r="MTD975" s="252"/>
      <c r="MTE975" s="252"/>
      <c r="MTF975" s="252"/>
      <c r="MTG975" s="252"/>
      <c r="MTH975" s="252"/>
      <c r="MTI975" s="252"/>
      <c r="MTJ975" s="252"/>
      <c r="MTK975" s="252"/>
      <c r="MTL975" s="252"/>
      <c r="MTM975" s="252"/>
      <c r="MTN975" s="252"/>
      <c r="MTO975" s="252"/>
      <c r="MTP975" s="252"/>
      <c r="MTQ975" s="252"/>
      <c r="MTR975" s="252"/>
      <c r="MTS975" s="252"/>
      <c r="MTT975" s="252"/>
      <c r="MTU975" s="252"/>
      <c r="MTV975" s="252"/>
      <c r="MTW975" s="252"/>
      <c r="MTX975" s="252"/>
      <c r="MTY975" s="252"/>
      <c r="MTZ975" s="252"/>
      <c r="MUA975" s="252"/>
      <c r="MUB975" s="252"/>
      <c r="MUC975" s="252"/>
      <c r="MUD975" s="252"/>
      <c r="MUE975" s="252"/>
      <c r="MUF975" s="252"/>
      <c r="MUG975" s="252"/>
      <c r="MUH975" s="252"/>
      <c r="MUI975" s="252"/>
      <c r="MUJ975" s="252"/>
      <c r="MUK975" s="252"/>
      <c r="MUL975" s="252"/>
      <c r="MUM975" s="252"/>
      <c r="MUN975" s="252"/>
      <c r="MUO975" s="252"/>
      <c r="MUP975" s="252"/>
      <c r="MUQ975" s="252"/>
      <c r="MUR975" s="252"/>
      <c r="MUS975" s="252"/>
      <c r="MUT975" s="252"/>
      <c r="MUU975" s="252"/>
      <c r="MUV975" s="252"/>
      <c r="MUW975" s="252"/>
      <c r="MUX975" s="252"/>
      <c r="MUY975" s="252"/>
      <c r="MUZ975" s="252"/>
      <c r="MVA975" s="252"/>
      <c r="MVB975" s="252"/>
      <c r="MVC975" s="252"/>
      <c r="MVD975" s="252"/>
      <c r="MVE975" s="252"/>
      <c r="MVF975" s="252"/>
      <c r="MVG975" s="252"/>
      <c r="MVH975" s="252"/>
      <c r="MVI975" s="252"/>
      <c r="MVJ975" s="252"/>
      <c r="MVK975" s="252"/>
      <c r="MVL975" s="252"/>
      <c r="MVM975" s="252"/>
      <c r="MVN975" s="252"/>
      <c r="MVO975" s="252"/>
      <c r="MVP975" s="252"/>
      <c r="MVQ975" s="252"/>
      <c r="MVR975" s="252"/>
      <c r="MVS975" s="252"/>
      <c r="MVT975" s="252"/>
      <c r="MVU975" s="252"/>
      <c r="MVV975" s="252"/>
      <c r="MVW975" s="252"/>
      <c r="MVX975" s="252"/>
      <c r="MVY975" s="252"/>
      <c r="MVZ975" s="252"/>
      <c r="MWA975" s="252"/>
      <c r="MWB975" s="252"/>
      <c r="MWC975" s="252"/>
      <c r="MWD975" s="252"/>
      <c r="MWE975" s="252"/>
      <c r="MWF975" s="252"/>
      <c r="MWG975" s="252"/>
      <c r="MWH975" s="252"/>
      <c r="MWI975" s="252"/>
      <c r="MWJ975" s="252"/>
      <c r="MWK975" s="252"/>
      <c r="MWL975" s="252"/>
      <c r="MWM975" s="252"/>
      <c r="MWN975" s="252"/>
      <c r="MWO975" s="252"/>
      <c r="MWP975" s="252"/>
      <c r="MWQ975" s="252"/>
      <c r="MWR975" s="252"/>
      <c r="MWS975" s="252"/>
      <c r="MWT975" s="252"/>
      <c r="MWU975" s="252"/>
      <c r="MWV975" s="252"/>
      <c r="MWW975" s="252"/>
      <c r="MWX975" s="252"/>
      <c r="MWY975" s="252"/>
      <c r="MWZ975" s="252"/>
      <c r="MXA975" s="252"/>
      <c r="MXB975" s="252"/>
      <c r="MXC975" s="252"/>
      <c r="MXD975" s="252"/>
      <c r="MXE975" s="252"/>
      <c r="MXF975" s="252"/>
      <c r="MXG975" s="252"/>
      <c r="MXH975" s="252"/>
      <c r="MXI975" s="252"/>
      <c r="MXJ975" s="252"/>
      <c r="MXK975" s="252"/>
      <c r="MXL975" s="252"/>
      <c r="MXM975" s="252"/>
      <c r="MXN975" s="252"/>
      <c r="MXO975" s="252"/>
      <c r="MXP975" s="252"/>
      <c r="MXQ975" s="252"/>
      <c r="MXR975" s="252"/>
      <c r="MXS975" s="252"/>
      <c r="MXT975" s="252"/>
      <c r="MXU975" s="252"/>
      <c r="MXV975" s="252"/>
      <c r="MXW975" s="252"/>
      <c r="MXX975" s="252"/>
      <c r="MXY975" s="252"/>
      <c r="MXZ975" s="252"/>
      <c r="MYA975" s="252"/>
      <c r="MYB975" s="252"/>
      <c r="MYC975" s="252"/>
      <c r="MYD975" s="252"/>
      <c r="MYE975" s="252"/>
      <c r="MYF975" s="252"/>
      <c r="MYG975" s="252"/>
      <c r="MYH975" s="252"/>
      <c r="MYI975" s="252"/>
      <c r="MYJ975" s="252"/>
      <c r="MYK975" s="252"/>
      <c r="MYL975" s="252"/>
      <c r="MYM975" s="252"/>
      <c r="MYN975" s="252"/>
      <c r="MYO975" s="252"/>
      <c r="MYP975" s="252"/>
      <c r="MYQ975" s="252"/>
      <c r="MYR975" s="252"/>
      <c r="MYS975" s="252"/>
      <c r="MYT975" s="252"/>
      <c r="MYU975" s="252"/>
      <c r="MYV975" s="252"/>
      <c r="MYW975" s="252"/>
      <c r="MYX975" s="252"/>
      <c r="MYY975" s="252"/>
      <c r="MYZ975" s="252"/>
      <c r="MZA975" s="252"/>
      <c r="MZB975" s="252"/>
      <c r="MZC975" s="252"/>
      <c r="MZD975" s="252"/>
      <c r="MZE975" s="252"/>
      <c r="MZF975" s="252"/>
      <c r="MZG975" s="252"/>
      <c r="MZH975" s="252"/>
      <c r="MZI975" s="252"/>
      <c r="MZJ975" s="252"/>
      <c r="MZK975" s="252"/>
      <c r="MZL975" s="252"/>
      <c r="MZM975" s="252"/>
      <c r="MZN975" s="252"/>
      <c r="MZO975" s="252"/>
      <c r="MZP975" s="252"/>
      <c r="MZQ975" s="252"/>
      <c r="MZR975" s="252"/>
      <c r="MZS975" s="252"/>
      <c r="MZT975" s="252"/>
      <c r="MZU975" s="252"/>
      <c r="MZV975" s="252"/>
      <c r="MZW975" s="252"/>
      <c r="MZX975" s="252"/>
      <c r="MZY975" s="252"/>
      <c r="MZZ975" s="252"/>
      <c r="NAA975" s="252"/>
      <c r="NAB975" s="252"/>
      <c r="NAC975" s="252"/>
      <c r="NAD975" s="252"/>
      <c r="NAE975" s="252"/>
      <c r="NAF975" s="252"/>
      <c r="NAG975" s="252"/>
      <c r="NAH975" s="252"/>
      <c r="NAI975" s="252"/>
      <c r="NAJ975" s="252"/>
      <c r="NAK975" s="252"/>
      <c r="NAL975" s="252"/>
      <c r="NAM975" s="252"/>
      <c r="NAN975" s="252"/>
      <c r="NAO975" s="252"/>
      <c r="NAP975" s="252"/>
      <c r="NAQ975" s="252"/>
      <c r="NAR975" s="252"/>
      <c r="NAS975" s="252"/>
      <c r="NAT975" s="252"/>
      <c r="NAU975" s="252"/>
      <c r="NAV975" s="252"/>
      <c r="NAW975" s="252"/>
      <c r="NAX975" s="252"/>
      <c r="NAY975" s="252"/>
      <c r="NAZ975" s="252"/>
      <c r="NBA975" s="252"/>
      <c r="NBB975" s="252"/>
      <c r="NBC975" s="252"/>
      <c r="NBD975" s="252"/>
      <c r="NBE975" s="252"/>
      <c r="NBF975" s="252"/>
      <c r="NBG975" s="252"/>
      <c r="NBH975" s="252"/>
      <c r="NBI975" s="252"/>
      <c r="NBJ975" s="252"/>
      <c r="NBK975" s="252"/>
      <c r="NBL975" s="252"/>
      <c r="NBM975" s="252"/>
      <c r="NBN975" s="252"/>
      <c r="NBO975" s="252"/>
      <c r="NBP975" s="252"/>
      <c r="NBQ975" s="252"/>
      <c r="NBR975" s="252"/>
      <c r="NBS975" s="252"/>
      <c r="NBT975" s="252"/>
      <c r="NBU975" s="252"/>
      <c r="NBV975" s="252"/>
      <c r="NBW975" s="252"/>
      <c r="NBX975" s="252"/>
      <c r="NBY975" s="252"/>
      <c r="NBZ975" s="252"/>
      <c r="NCA975" s="252"/>
      <c r="NCB975" s="252"/>
      <c r="NCC975" s="252"/>
      <c r="NCD975" s="252"/>
      <c r="NCE975" s="252"/>
      <c r="NCF975" s="252"/>
      <c r="NCG975" s="252"/>
      <c r="NCH975" s="252"/>
      <c r="NCI975" s="252"/>
      <c r="NCJ975" s="252"/>
      <c r="NCK975" s="252"/>
      <c r="NCL975" s="252"/>
      <c r="NCM975" s="252"/>
      <c r="NCN975" s="252"/>
      <c r="NCO975" s="252"/>
      <c r="NCP975" s="252"/>
      <c r="NCQ975" s="252"/>
      <c r="NCR975" s="252"/>
      <c r="NCS975" s="252"/>
      <c r="NCT975" s="252"/>
      <c r="NCU975" s="252"/>
      <c r="NCV975" s="252"/>
      <c r="NCW975" s="252"/>
      <c r="NCX975" s="252"/>
      <c r="NCY975" s="252"/>
      <c r="NCZ975" s="252"/>
      <c r="NDA975" s="252"/>
      <c r="NDB975" s="252"/>
      <c r="NDC975" s="252"/>
      <c r="NDD975" s="252"/>
      <c r="NDE975" s="252"/>
      <c r="NDF975" s="252"/>
      <c r="NDG975" s="252"/>
      <c r="NDH975" s="252"/>
      <c r="NDI975" s="252"/>
      <c r="NDJ975" s="252"/>
      <c r="NDK975" s="252"/>
      <c r="NDL975" s="252"/>
      <c r="NDM975" s="252"/>
      <c r="NDN975" s="252"/>
      <c r="NDO975" s="252"/>
      <c r="NDP975" s="252"/>
      <c r="NDQ975" s="252"/>
      <c r="NDR975" s="252"/>
      <c r="NDS975" s="252"/>
      <c r="NDT975" s="252"/>
      <c r="NDU975" s="252"/>
      <c r="NDV975" s="252"/>
      <c r="NDW975" s="252"/>
      <c r="NDX975" s="252"/>
      <c r="NDY975" s="252"/>
      <c r="NDZ975" s="252"/>
      <c r="NEA975" s="252"/>
      <c r="NEB975" s="252"/>
      <c r="NEC975" s="252"/>
      <c r="NED975" s="252"/>
      <c r="NEE975" s="252"/>
      <c r="NEF975" s="252"/>
      <c r="NEG975" s="252"/>
      <c r="NEH975" s="252"/>
      <c r="NEI975" s="252"/>
      <c r="NEJ975" s="252"/>
      <c r="NEK975" s="252"/>
      <c r="NEL975" s="252"/>
      <c r="NEM975" s="252"/>
      <c r="NEN975" s="252"/>
      <c r="NEO975" s="252"/>
      <c r="NEP975" s="252"/>
      <c r="NEQ975" s="252"/>
      <c r="NER975" s="252"/>
      <c r="NES975" s="252"/>
      <c r="NET975" s="252"/>
      <c r="NEU975" s="252"/>
      <c r="NEV975" s="252"/>
      <c r="NEW975" s="252"/>
      <c r="NEX975" s="252"/>
      <c r="NEY975" s="252"/>
      <c r="NEZ975" s="252"/>
      <c r="NFA975" s="252"/>
      <c r="NFB975" s="252"/>
      <c r="NFC975" s="252"/>
      <c r="NFD975" s="252"/>
      <c r="NFE975" s="252"/>
      <c r="NFF975" s="252"/>
      <c r="NFG975" s="252"/>
      <c r="NFH975" s="252"/>
      <c r="NFI975" s="252"/>
      <c r="NFJ975" s="252"/>
      <c r="NFK975" s="252"/>
      <c r="NFL975" s="252"/>
      <c r="NFM975" s="252"/>
      <c r="NFN975" s="252"/>
      <c r="NFO975" s="252"/>
      <c r="NFP975" s="252"/>
      <c r="NFQ975" s="252"/>
      <c r="NFR975" s="252"/>
      <c r="NFS975" s="252"/>
      <c r="NFT975" s="252"/>
      <c r="NFU975" s="252"/>
      <c r="NFV975" s="252"/>
      <c r="NFW975" s="252"/>
      <c r="NFX975" s="252"/>
      <c r="NFY975" s="252"/>
      <c r="NFZ975" s="252"/>
      <c r="NGA975" s="252"/>
      <c r="NGB975" s="252"/>
      <c r="NGC975" s="252"/>
      <c r="NGD975" s="252"/>
      <c r="NGE975" s="252"/>
      <c r="NGF975" s="252"/>
      <c r="NGG975" s="252"/>
      <c r="NGH975" s="252"/>
      <c r="NGI975" s="252"/>
      <c r="NGJ975" s="252"/>
      <c r="NGK975" s="252"/>
      <c r="NGL975" s="252"/>
      <c r="NGM975" s="252"/>
      <c r="NGN975" s="252"/>
      <c r="NGO975" s="252"/>
      <c r="NGP975" s="252"/>
      <c r="NGQ975" s="252"/>
      <c r="NGR975" s="252"/>
      <c r="NGS975" s="252"/>
      <c r="NGT975" s="252"/>
      <c r="NGU975" s="252"/>
      <c r="NGV975" s="252"/>
      <c r="NGW975" s="252"/>
      <c r="NGX975" s="252"/>
      <c r="NGY975" s="252"/>
      <c r="NGZ975" s="252"/>
      <c r="NHA975" s="252"/>
      <c r="NHB975" s="252"/>
      <c r="NHC975" s="252"/>
      <c r="NHD975" s="252"/>
      <c r="NHE975" s="252"/>
      <c r="NHF975" s="252"/>
      <c r="NHG975" s="252"/>
      <c r="NHH975" s="252"/>
      <c r="NHI975" s="252"/>
      <c r="NHJ975" s="252"/>
      <c r="NHK975" s="252"/>
      <c r="NHL975" s="252"/>
      <c r="NHM975" s="252"/>
      <c r="NHN975" s="252"/>
      <c r="NHO975" s="252"/>
      <c r="NHP975" s="252"/>
      <c r="NHQ975" s="252"/>
      <c r="NHR975" s="252"/>
      <c r="NHS975" s="252"/>
      <c r="NHT975" s="252"/>
      <c r="NHU975" s="252"/>
      <c r="NHV975" s="252"/>
      <c r="NHW975" s="252"/>
      <c r="NHX975" s="252"/>
      <c r="NHY975" s="252"/>
      <c r="NHZ975" s="252"/>
      <c r="NIA975" s="252"/>
      <c r="NIB975" s="252"/>
      <c r="NIC975" s="252"/>
      <c r="NID975" s="252"/>
      <c r="NIE975" s="252"/>
      <c r="NIF975" s="252"/>
      <c r="NIG975" s="252"/>
      <c r="NIH975" s="252"/>
      <c r="NII975" s="252"/>
      <c r="NIJ975" s="252"/>
      <c r="NIK975" s="252"/>
      <c r="NIL975" s="252"/>
      <c r="NIM975" s="252"/>
      <c r="NIN975" s="252"/>
      <c r="NIO975" s="252"/>
      <c r="NIP975" s="252"/>
      <c r="NIQ975" s="252"/>
      <c r="NIR975" s="252"/>
      <c r="NIS975" s="252"/>
      <c r="NIT975" s="252"/>
      <c r="NIU975" s="252"/>
      <c r="NIV975" s="252"/>
      <c r="NIW975" s="252"/>
      <c r="NIX975" s="252"/>
      <c r="NIY975" s="252"/>
      <c r="NIZ975" s="252"/>
      <c r="NJA975" s="252"/>
      <c r="NJB975" s="252"/>
      <c r="NJC975" s="252"/>
      <c r="NJD975" s="252"/>
      <c r="NJE975" s="252"/>
      <c r="NJF975" s="252"/>
      <c r="NJG975" s="252"/>
      <c r="NJH975" s="252"/>
      <c r="NJI975" s="252"/>
      <c r="NJJ975" s="252"/>
      <c r="NJK975" s="252"/>
      <c r="NJL975" s="252"/>
      <c r="NJM975" s="252"/>
      <c r="NJN975" s="252"/>
      <c r="NJO975" s="252"/>
      <c r="NJP975" s="252"/>
      <c r="NJQ975" s="252"/>
      <c r="NJR975" s="252"/>
      <c r="NJS975" s="252"/>
      <c r="NJT975" s="252"/>
      <c r="NJU975" s="252"/>
      <c r="NJV975" s="252"/>
      <c r="NJW975" s="252"/>
      <c r="NJX975" s="252"/>
      <c r="NJY975" s="252"/>
      <c r="NJZ975" s="252"/>
      <c r="NKA975" s="252"/>
      <c r="NKB975" s="252"/>
      <c r="NKC975" s="252"/>
      <c r="NKD975" s="252"/>
      <c r="NKE975" s="252"/>
      <c r="NKF975" s="252"/>
      <c r="NKG975" s="252"/>
      <c r="NKH975" s="252"/>
      <c r="NKI975" s="252"/>
      <c r="NKJ975" s="252"/>
      <c r="NKK975" s="252"/>
      <c r="NKL975" s="252"/>
      <c r="NKM975" s="252"/>
      <c r="NKN975" s="252"/>
      <c r="NKO975" s="252"/>
      <c r="NKP975" s="252"/>
      <c r="NKQ975" s="252"/>
      <c r="NKR975" s="252"/>
      <c r="NKS975" s="252"/>
      <c r="NKT975" s="252"/>
      <c r="NKU975" s="252"/>
      <c r="NKV975" s="252"/>
      <c r="NKW975" s="252"/>
      <c r="NKX975" s="252"/>
      <c r="NKY975" s="252"/>
      <c r="NKZ975" s="252"/>
      <c r="NLA975" s="252"/>
      <c r="NLB975" s="252"/>
      <c r="NLC975" s="252"/>
      <c r="NLD975" s="252"/>
      <c r="NLE975" s="252"/>
      <c r="NLF975" s="252"/>
      <c r="NLG975" s="252"/>
      <c r="NLH975" s="252"/>
      <c r="NLI975" s="252"/>
      <c r="NLJ975" s="252"/>
      <c r="NLK975" s="252"/>
      <c r="NLL975" s="252"/>
      <c r="NLM975" s="252"/>
      <c r="NLN975" s="252"/>
      <c r="NLO975" s="252"/>
      <c r="NLP975" s="252"/>
      <c r="NLQ975" s="252"/>
      <c r="NLR975" s="252"/>
      <c r="NLS975" s="252"/>
      <c r="NLT975" s="252"/>
      <c r="NLU975" s="252"/>
      <c r="NLV975" s="252"/>
      <c r="NLW975" s="252"/>
      <c r="NLX975" s="252"/>
      <c r="NLY975" s="252"/>
      <c r="NLZ975" s="252"/>
      <c r="NMA975" s="252"/>
      <c r="NMB975" s="252"/>
      <c r="NMC975" s="252"/>
      <c r="NMD975" s="252"/>
      <c r="NME975" s="252"/>
      <c r="NMF975" s="252"/>
      <c r="NMG975" s="252"/>
      <c r="NMH975" s="252"/>
      <c r="NMI975" s="252"/>
      <c r="NMJ975" s="252"/>
      <c r="NMK975" s="252"/>
      <c r="NML975" s="252"/>
      <c r="NMM975" s="252"/>
      <c r="NMN975" s="252"/>
      <c r="NMO975" s="252"/>
      <c r="NMP975" s="252"/>
      <c r="NMQ975" s="252"/>
      <c r="NMR975" s="252"/>
      <c r="NMS975" s="252"/>
      <c r="NMT975" s="252"/>
      <c r="NMU975" s="252"/>
      <c r="NMV975" s="252"/>
      <c r="NMW975" s="252"/>
      <c r="NMX975" s="252"/>
      <c r="NMY975" s="252"/>
      <c r="NMZ975" s="252"/>
      <c r="NNA975" s="252"/>
      <c r="NNB975" s="252"/>
      <c r="NNC975" s="252"/>
      <c r="NND975" s="252"/>
      <c r="NNE975" s="252"/>
      <c r="NNF975" s="252"/>
      <c r="NNG975" s="252"/>
      <c r="NNH975" s="252"/>
      <c r="NNI975" s="252"/>
      <c r="NNJ975" s="252"/>
      <c r="NNK975" s="252"/>
      <c r="NNL975" s="252"/>
      <c r="NNM975" s="252"/>
      <c r="NNN975" s="252"/>
      <c r="NNO975" s="252"/>
      <c r="NNP975" s="252"/>
      <c r="NNQ975" s="252"/>
      <c r="NNR975" s="252"/>
      <c r="NNS975" s="252"/>
      <c r="NNT975" s="252"/>
      <c r="NNU975" s="252"/>
      <c r="NNV975" s="252"/>
      <c r="NNW975" s="252"/>
      <c r="NNX975" s="252"/>
      <c r="NNY975" s="252"/>
      <c r="NNZ975" s="252"/>
      <c r="NOA975" s="252"/>
      <c r="NOB975" s="252"/>
      <c r="NOC975" s="252"/>
      <c r="NOD975" s="252"/>
      <c r="NOE975" s="252"/>
      <c r="NOF975" s="252"/>
      <c r="NOG975" s="252"/>
      <c r="NOH975" s="252"/>
      <c r="NOI975" s="252"/>
      <c r="NOJ975" s="252"/>
      <c r="NOK975" s="252"/>
      <c r="NOL975" s="252"/>
      <c r="NOM975" s="252"/>
      <c r="NON975" s="252"/>
      <c r="NOO975" s="252"/>
      <c r="NOP975" s="252"/>
      <c r="NOQ975" s="252"/>
      <c r="NOR975" s="252"/>
      <c r="NOS975" s="252"/>
      <c r="NOT975" s="252"/>
      <c r="NOU975" s="252"/>
      <c r="NOV975" s="252"/>
      <c r="NOW975" s="252"/>
      <c r="NOX975" s="252"/>
      <c r="NOY975" s="252"/>
      <c r="NOZ975" s="252"/>
      <c r="NPA975" s="252"/>
      <c r="NPB975" s="252"/>
      <c r="NPC975" s="252"/>
      <c r="NPD975" s="252"/>
      <c r="NPE975" s="252"/>
      <c r="NPF975" s="252"/>
      <c r="NPG975" s="252"/>
      <c r="NPH975" s="252"/>
      <c r="NPI975" s="252"/>
      <c r="NPJ975" s="252"/>
      <c r="NPK975" s="252"/>
      <c r="NPL975" s="252"/>
      <c r="NPM975" s="252"/>
      <c r="NPN975" s="252"/>
      <c r="NPO975" s="252"/>
      <c r="NPP975" s="252"/>
      <c r="NPQ975" s="252"/>
      <c r="NPR975" s="252"/>
      <c r="NPS975" s="252"/>
      <c r="NPT975" s="252"/>
      <c r="NPU975" s="252"/>
      <c r="NPV975" s="252"/>
      <c r="NPW975" s="252"/>
      <c r="NPX975" s="252"/>
      <c r="NPY975" s="252"/>
      <c r="NPZ975" s="252"/>
      <c r="NQA975" s="252"/>
      <c r="NQB975" s="252"/>
      <c r="NQC975" s="252"/>
      <c r="NQD975" s="252"/>
      <c r="NQE975" s="252"/>
      <c r="NQF975" s="252"/>
      <c r="NQG975" s="252"/>
      <c r="NQH975" s="252"/>
      <c r="NQI975" s="252"/>
      <c r="NQJ975" s="252"/>
      <c r="NQK975" s="252"/>
      <c r="NQL975" s="252"/>
      <c r="NQM975" s="252"/>
      <c r="NQN975" s="252"/>
      <c r="NQO975" s="252"/>
      <c r="NQP975" s="252"/>
      <c r="NQQ975" s="252"/>
      <c r="NQR975" s="252"/>
      <c r="NQS975" s="252"/>
      <c r="NQT975" s="252"/>
      <c r="NQU975" s="252"/>
      <c r="NQV975" s="252"/>
      <c r="NQW975" s="252"/>
      <c r="NQX975" s="252"/>
      <c r="NQY975" s="252"/>
      <c r="NQZ975" s="252"/>
      <c r="NRA975" s="252"/>
      <c r="NRB975" s="252"/>
      <c r="NRC975" s="252"/>
      <c r="NRD975" s="252"/>
      <c r="NRE975" s="252"/>
      <c r="NRF975" s="252"/>
      <c r="NRG975" s="252"/>
      <c r="NRH975" s="252"/>
      <c r="NRI975" s="252"/>
      <c r="NRJ975" s="252"/>
      <c r="NRK975" s="252"/>
      <c r="NRL975" s="252"/>
      <c r="NRM975" s="252"/>
      <c r="NRN975" s="252"/>
      <c r="NRO975" s="252"/>
      <c r="NRP975" s="252"/>
      <c r="NRQ975" s="252"/>
      <c r="NRR975" s="252"/>
      <c r="NRS975" s="252"/>
      <c r="NRT975" s="252"/>
      <c r="NRU975" s="252"/>
      <c r="NRV975" s="252"/>
      <c r="NRW975" s="252"/>
      <c r="NRX975" s="252"/>
      <c r="NRY975" s="252"/>
      <c r="NRZ975" s="252"/>
      <c r="NSA975" s="252"/>
      <c r="NSB975" s="252"/>
      <c r="NSC975" s="252"/>
      <c r="NSD975" s="252"/>
      <c r="NSE975" s="252"/>
      <c r="NSF975" s="252"/>
      <c r="NSG975" s="252"/>
      <c r="NSH975" s="252"/>
      <c r="NSI975" s="252"/>
      <c r="NSJ975" s="252"/>
      <c r="NSK975" s="252"/>
      <c r="NSL975" s="252"/>
      <c r="NSM975" s="252"/>
      <c r="NSN975" s="252"/>
      <c r="NSO975" s="252"/>
      <c r="NSP975" s="252"/>
      <c r="NSQ975" s="252"/>
      <c r="NSR975" s="252"/>
      <c r="NSS975" s="252"/>
      <c r="NST975" s="252"/>
      <c r="NSU975" s="252"/>
      <c r="NSV975" s="252"/>
      <c r="NSW975" s="252"/>
      <c r="NSX975" s="252"/>
      <c r="NSY975" s="252"/>
      <c r="NSZ975" s="252"/>
      <c r="NTA975" s="252"/>
      <c r="NTB975" s="252"/>
      <c r="NTC975" s="252"/>
      <c r="NTD975" s="252"/>
      <c r="NTE975" s="252"/>
      <c r="NTF975" s="252"/>
      <c r="NTG975" s="252"/>
      <c r="NTH975" s="252"/>
      <c r="NTI975" s="252"/>
      <c r="NTJ975" s="252"/>
      <c r="NTK975" s="252"/>
      <c r="NTL975" s="252"/>
      <c r="NTM975" s="252"/>
      <c r="NTN975" s="252"/>
      <c r="NTO975" s="252"/>
      <c r="NTP975" s="252"/>
      <c r="NTQ975" s="252"/>
      <c r="NTR975" s="252"/>
      <c r="NTS975" s="252"/>
      <c r="NTT975" s="252"/>
      <c r="NTU975" s="252"/>
      <c r="NTV975" s="252"/>
      <c r="NTW975" s="252"/>
      <c r="NTX975" s="252"/>
      <c r="NTY975" s="252"/>
      <c r="NTZ975" s="252"/>
      <c r="NUA975" s="252"/>
      <c r="NUB975" s="252"/>
      <c r="NUC975" s="252"/>
      <c r="NUD975" s="252"/>
      <c r="NUE975" s="252"/>
      <c r="NUF975" s="252"/>
      <c r="NUG975" s="252"/>
      <c r="NUH975" s="252"/>
      <c r="NUI975" s="252"/>
      <c r="NUJ975" s="252"/>
      <c r="NUK975" s="252"/>
      <c r="NUL975" s="252"/>
      <c r="NUM975" s="252"/>
      <c r="NUN975" s="252"/>
      <c r="NUO975" s="252"/>
      <c r="NUP975" s="252"/>
      <c r="NUQ975" s="252"/>
      <c r="NUR975" s="252"/>
      <c r="NUS975" s="252"/>
      <c r="NUT975" s="252"/>
      <c r="NUU975" s="252"/>
      <c r="NUV975" s="252"/>
      <c r="NUW975" s="252"/>
      <c r="NUX975" s="252"/>
      <c r="NUY975" s="252"/>
      <c r="NUZ975" s="252"/>
      <c r="NVA975" s="252"/>
      <c r="NVB975" s="252"/>
      <c r="NVC975" s="252"/>
      <c r="NVD975" s="252"/>
      <c r="NVE975" s="252"/>
      <c r="NVF975" s="252"/>
      <c r="NVG975" s="252"/>
      <c r="NVH975" s="252"/>
      <c r="NVI975" s="252"/>
      <c r="NVJ975" s="252"/>
      <c r="NVK975" s="252"/>
      <c r="NVL975" s="252"/>
      <c r="NVM975" s="252"/>
      <c r="NVN975" s="252"/>
      <c r="NVO975" s="252"/>
      <c r="NVP975" s="252"/>
      <c r="NVQ975" s="252"/>
      <c r="NVR975" s="252"/>
      <c r="NVS975" s="252"/>
      <c r="NVT975" s="252"/>
      <c r="NVU975" s="252"/>
      <c r="NVV975" s="252"/>
      <c r="NVW975" s="252"/>
      <c r="NVX975" s="252"/>
      <c r="NVY975" s="252"/>
      <c r="NVZ975" s="252"/>
      <c r="NWA975" s="252"/>
      <c r="NWB975" s="252"/>
      <c r="NWC975" s="252"/>
      <c r="NWD975" s="252"/>
      <c r="NWE975" s="252"/>
      <c r="NWF975" s="252"/>
      <c r="NWG975" s="252"/>
      <c r="NWH975" s="252"/>
      <c r="NWI975" s="252"/>
      <c r="NWJ975" s="252"/>
      <c r="NWK975" s="252"/>
      <c r="NWL975" s="252"/>
      <c r="NWM975" s="252"/>
      <c r="NWN975" s="252"/>
      <c r="NWO975" s="252"/>
      <c r="NWP975" s="252"/>
      <c r="NWQ975" s="252"/>
      <c r="NWR975" s="252"/>
      <c r="NWS975" s="252"/>
      <c r="NWT975" s="252"/>
      <c r="NWU975" s="252"/>
      <c r="NWV975" s="252"/>
      <c r="NWW975" s="252"/>
      <c r="NWX975" s="252"/>
      <c r="NWY975" s="252"/>
      <c r="NWZ975" s="252"/>
      <c r="NXA975" s="252"/>
      <c r="NXB975" s="252"/>
      <c r="NXC975" s="252"/>
      <c r="NXD975" s="252"/>
      <c r="NXE975" s="252"/>
      <c r="NXF975" s="252"/>
      <c r="NXG975" s="252"/>
      <c r="NXH975" s="252"/>
      <c r="NXI975" s="252"/>
      <c r="NXJ975" s="252"/>
      <c r="NXK975" s="252"/>
      <c r="NXL975" s="252"/>
      <c r="NXM975" s="252"/>
      <c r="NXN975" s="252"/>
      <c r="NXO975" s="252"/>
      <c r="NXP975" s="252"/>
      <c r="NXQ975" s="252"/>
      <c r="NXR975" s="252"/>
      <c r="NXS975" s="252"/>
      <c r="NXT975" s="252"/>
      <c r="NXU975" s="252"/>
      <c r="NXV975" s="252"/>
      <c r="NXW975" s="252"/>
      <c r="NXX975" s="252"/>
      <c r="NXY975" s="252"/>
      <c r="NXZ975" s="252"/>
      <c r="NYA975" s="252"/>
      <c r="NYB975" s="252"/>
      <c r="NYC975" s="252"/>
      <c r="NYD975" s="252"/>
      <c r="NYE975" s="252"/>
      <c r="NYF975" s="252"/>
      <c r="NYG975" s="252"/>
      <c r="NYH975" s="252"/>
      <c r="NYI975" s="252"/>
      <c r="NYJ975" s="252"/>
      <c r="NYK975" s="252"/>
      <c r="NYL975" s="252"/>
      <c r="NYM975" s="252"/>
      <c r="NYN975" s="252"/>
      <c r="NYO975" s="252"/>
      <c r="NYP975" s="252"/>
      <c r="NYQ975" s="252"/>
      <c r="NYR975" s="252"/>
      <c r="NYS975" s="252"/>
      <c r="NYT975" s="252"/>
      <c r="NYU975" s="252"/>
      <c r="NYV975" s="252"/>
      <c r="NYW975" s="252"/>
      <c r="NYX975" s="252"/>
      <c r="NYY975" s="252"/>
      <c r="NYZ975" s="252"/>
      <c r="NZA975" s="252"/>
      <c r="NZB975" s="252"/>
      <c r="NZC975" s="252"/>
      <c r="NZD975" s="252"/>
      <c r="NZE975" s="252"/>
      <c r="NZF975" s="252"/>
      <c r="NZG975" s="252"/>
      <c r="NZH975" s="252"/>
      <c r="NZI975" s="252"/>
      <c r="NZJ975" s="252"/>
      <c r="NZK975" s="252"/>
      <c r="NZL975" s="252"/>
      <c r="NZM975" s="252"/>
      <c r="NZN975" s="252"/>
      <c r="NZO975" s="252"/>
      <c r="NZP975" s="252"/>
      <c r="NZQ975" s="252"/>
      <c r="NZR975" s="252"/>
      <c r="NZS975" s="252"/>
      <c r="NZT975" s="252"/>
      <c r="NZU975" s="252"/>
      <c r="NZV975" s="252"/>
      <c r="NZW975" s="252"/>
      <c r="NZX975" s="252"/>
      <c r="NZY975" s="252"/>
      <c r="NZZ975" s="252"/>
      <c r="OAA975" s="252"/>
      <c r="OAB975" s="252"/>
      <c r="OAC975" s="252"/>
      <c r="OAD975" s="252"/>
      <c r="OAE975" s="252"/>
      <c r="OAF975" s="252"/>
      <c r="OAG975" s="252"/>
      <c r="OAH975" s="252"/>
      <c r="OAI975" s="252"/>
      <c r="OAJ975" s="252"/>
      <c r="OAK975" s="252"/>
      <c r="OAL975" s="252"/>
      <c r="OAM975" s="252"/>
      <c r="OAN975" s="252"/>
      <c r="OAO975" s="252"/>
      <c r="OAP975" s="252"/>
      <c r="OAQ975" s="252"/>
      <c r="OAR975" s="252"/>
      <c r="OAS975" s="252"/>
      <c r="OAT975" s="252"/>
      <c r="OAU975" s="252"/>
      <c r="OAV975" s="252"/>
      <c r="OAW975" s="252"/>
      <c r="OAX975" s="252"/>
      <c r="OAY975" s="252"/>
      <c r="OAZ975" s="252"/>
      <c r="OBA975" s="252"/>
      <c r="OBB975" s="252"/>
      <c r="OBC975" s="252"/>
      <c r="OBD975" s="252"/>
      <c r="OBE975" s="252"/>
      <c r="OBF975" s="252"/>
      <c r="OBG975" s="252"/>
      <c r="OBH975" s="252"/>
      <c r="OBI975" s="252"/>
      <c r="OBJ975" s="252"/>
      <c r="OBK975" s="252"/>
      <c r="OBL975" s="252"/>
      <c r="OBM975" s="252"/>
      <c r="OBN975" s="252"/>
      <c r="OBO975" s="252"/>
      <c r="OBP975" s="252"/>
      <c r="OBQ975" s="252"/>
      <c r="OBR975" s="252"/>
      <c r="OBS975" s="252"/>
      <c r="OBT975" s="252"/>
      <c r="OBU975" s="252"/>
      <c r="OBV975" s="252"/>
      <c r="OBW975" s="252"/>
      <c r="OBX975" s="252"/>
      <c r="OBY975" s="252"/>
      <c r="OBZ975" s="252"/>
      <c r="OCA975" s="252"/>
      <c r="OCB975" s="252"/>
      <c r="OCC975" s="252"/>
      <c r="OCD975" s="252"/>
      <c r="OCE975" s="252"/>
      <c r="OCF975" s="252"/>
      <c r="OCG975" s="252"/>
      <c r="OCH975" s="252"/>
      <c r="OCI975" s="252"/>
      <c r="OCJ975" s="252"/>
      <c r="OCK975" s="252"/>
      <c r="OCL975" s="252"/>
      <c r="OCM975" s="252"/>
      <c r="OCN975" s="252"/>
      <c r="OCO975" s="252"/>
      <c r="OCP975" s="252"/>
      <c r="OCQ975" s="252"/>
      <c r="OCR975" s="252"/>
      <c r="OCS975" s="252"/>
      <c r="OCT975" s="252"/>
      <c r="OCU975" s="252"/>
      <c r="OCV975" s="252"/>
      <c r="OCW975" s="252"/>
      <c r="OCX975" s="252"/>
      <c r="OCY975" s="252"/>
      <c r="OCZ975" s="252"/>
      <c r="ODA975" s="252"/>
      <c r="ODB975" s="252"/>
      <c r="ODC975" s="252"/>
      <c r="ODD975" s="252"/>
      <c r="ODE975" s="252"/>
      <c r="ODF975" s="252"/>
      <c r="ODG975" s="252"/>
      <c r="ODH975" s="252"/>
      <c r="ODI975" s="252"/>
      <c r="ODJ975" s="252"/>
      <c r="ODK975" s="252"/>
      <c r="ODL975" s="252"/>
      <c r="ODM975" s="252"/>
      <c r="ODN975" s="252"/>
      <c r="ODO975" s="252"/>
      <c r="ODP975" s="252"/>
      <c r="ODQ975" s="252"/>
      <c r="ODR975" s="252"/>
      <c r="ODS975" s="252"/>
      <c r="ODT975" s="252"/>
      <c r="ODU975" s="252"/>
      <c r="ODV975" s="252"/>
      <c r="ODW975" s="252"/>
      <c r="ODX975" s="252"/>
      <c r="ODY975" s="252"/>
      <c r="ODZ975" s="252"/>
      <c r="OEA975" s="252"/>
      <c r="OEB975" s="252"/>
      <c r="OEC975" s="252"/>
      <c r="OED975" s="252"/>
      <c r="OEE975" s="252"/>
      <c r="OEF975" s="252"/>
      <c r="OEG975" s="252"/>
      <c r="OEH975" s="252"/>
      <c r="OEI975" s="252"/>
      <c r="OEJ975" s="252"/>
      <c r="OEK975" s="252"/>
      <c r="OEL975" s="252"/>
      <c r="OEM975" s="252"/>
      <c r="OEN975" s="252"/>
      <c r="OEO975" s="252"/>
      <c r="OEP975" s="252"/>
      <c r="OEQ975" s="252"/>
      <c r="OER975" s="252"/>
      <c r="OES975" s="252"/>
      <c r="OET975" s="252"/>
      <c r="OEU975" s="252"/>
      <c r="OEV975" s="252"/>
      <c r="OEW975" s="252"/>
      <c r="OEX975" s="252"/>
      <c r="OEY975" s="252"/>
      <c r="OEZ975" s="252"/>
      <c r="OFA975" s="252"/>
      <c r="OFB975" s="252"/>
      <c r="OFC975" s="252"/>
      <c r="OFD975" s="252"/>
      <c r="OFE975" s="252"/>
      <c r="OFF975" s="252"/>
      <c r="OFG975" s="252"/>
      <c r="OFH975" s="252"/>
      <c r="OFI975" s="252"/>
      <c r="OFJ975" s="252"/>
      <c r="OFK975" s="252"/>
      <c r="OFL975" s="252"/>
      <c r="OFM975" s="252"/>
      <c r="OFN975" s="252"/>
      <c r="OFO975" s="252"/>
      <c r="OFP975" s="252"/>
      <c r="OFQ975" s="252"/>
      <c r="OFR975" s="252"/>
      <c r="OFS975" s="252"/>
      <c r="OFT975" s="252"/>
      <c r="OFU975" s="252"/>
      <c r="OFV975" s="252"/>
      <c r="OFW975" s="252"/>
      <c r="OFX975" s="252"/>
      <c r="OFY975" s="252"/>
      <c r="OFZ975" s="252"/>
      <c r="OGA975" s="252"/>
      <c r="OGB975" s="252"/>
      <c r="OGC975" s="252"/>
      <c r="OGD975" s="252"/>
      <c r="OGE975" s="252"/>
      <c r="OGF975" s="252"/>
      <c r="OGG975" s="252"/>
      <c r="OGH975" s="252"/>
      <c r="OGI975" s="252"/>
      <c r="OGJ975" s="252"/>
      <c r="OGK975" s="252"/>
      <c r="OGL975" s="252"/>
      <c r="OGM975" s="252"/>
      <c r="OGN975" s="252"/>
      <c r="OGO975" s="252"/>
      <c r="OGP975" s="252"/>
      <c r="OGQ975" s="252"/>
      <c r="OGR975" s="252"/>
      <c r="OGS975" s="252"/>
      <c r="OGT975" s="252"/>
      <c r="OGU975" s="252"/>
      <c r="OGV975" s="252"/>
      <c r="OGW975" s="252"/>
      <c r="OGX975" s="252"/>
      <c r="OGY975" s="252"/>
      <c r="OGZ975" s="252"/>
      <c r="OHA975" s="252"/>
      <c r="OHB975" s="252"/>
      <c r="OHC975" s="252"/>
      <c r="OHD975" s="252"/>
      <c r="OHE975" s="252"/>
      <c r="OHF975" s="252"/>
      <c r="OHG975" s="252"/>
      <c r="OHH975" s="252"/>
      <c r="OHI975" s="252"/>
      <c r="OHJ975" s="252"/>
      <c r="OHK975" s="252"/>
      <c r="OHL975" s="252"/>
      <c r="OHM975" s="252"/>
      <c r="OHN975" s="252"/>
      <c r="OHO975" s="252"/>
      <c r="OHP975" s="252"/>
      <c r="OHQ975" s="252"/>
      <c r="OHR975" s="252"/>
      <c r="OHS975" s="252"/>
      <c r="OHT975" s="252"/>
      <c r="OHU975" s="252"/>
      <c r="OHV975" s="252"/>
      <c r="OHW975" s="252"/>
      <c r="OHX975" s="252"/>
      <c r="OHY975" s="252"/>
      <c r="OHZ975" s="252"/>
      <c r="OIA975" s="252"/>
      <c r="OIB975" s="252"/>
      <c r="OIC975" s="252"/>
      <c r="OID975" s="252"/>
      <c r="OIE975" s="252"/>
      <c r="OIF975" s="252"/>
      <c r="OIG975" s="252"/>
      <c r="OIH975" s="252"/>
      <c r="OII975" s="252"/>
      <c r="OIJ975" s="252"/>
      <c r="OIK975" s="252"/>
      <c r="OIL975" s="252"/>
      <c r="OIM975" s="252"/>
      <c r="OIN975" s="252"/>
      <c r="OIO975" s="252"/>
      <c r="OIP975" s="252"/>
      <c r="OIQ975" s="252"/>
      <c r="OIR975" s="252"/>
      <c r="OIS975" s="252"/>
      <c r="OIT975" s="252"/>
      <c r="OIU975" s="252"/>
      <c r="OIV975" s="252"/>
      <c r="OIW975" s="252"/>
      <c r="OIX975" s="252"/>
      <c r="OIY975" s="252"/>
      <c r="OIZ975" s="252"/>
      <c r="OJA975" s="252"/>
      <c r="OJB975" s="252"/>
      <c r="OJC975" s="252"/>
      <c r="OJD975" s="252"/>
      <c r="OJE975" s="252"/>
      <c r="OJF975" s="252"/>
      <c r="OJG975" s="252"/>
      <c r="OJH975" s="252"/>
      <c r="OJI975" s="252"/>
      <c r="OJJ975" s="252"/>
      <c r="OJK975" s="252"/>
      <c r="OJL975" s="252"/>
      <c r="OJM975" s="252"/>
      <c r="OJN975" s="252"/>
      <c r="OJO975" s="252"/>
      <c r="OJP975" s="252"/>
      <c r="OJQ975" s="252"/>
      <c r="OJR975" s="252"/>
      <c r="OJS975" s="252"/>
      <c r="OJT975" s="252"/>
      <c r="OJU975" s="252"/>
      <c r="OJV975" s="252"/>
      <c r="OJW975" s="252"/>
      <c r="OJX975" s="252"/>
      <c r="OJY975" s="252"/>
      <c r="OJZ975" s="252"/>
      <c r="OKA975" s="252"/>
      <c r="OKB975" s="252"/>
      <c r="OKC975" s="252"/>
      <c r="OKD975" s="252"/>
      <c r="OKE975" s="252"/>
      <c r="OKF975" s="252"/>
      <c r="OKG975" s="252"/>
      <c r="OKH975" s="252"/>
      <c r="OKI975" s="252"/>
      <c r="OKJ975" s="252"/>
      <c r="OKK975" s="252"/>
      <c r="OKL975" s="252"/>
      <c r="OKM975" s="252"/>
      <c r="OKN975" s="252"/>
      <c r="OKO975" s="252"/>
      <c r="OKP975" s="252"/>
      <c r="OKQ975" s="252"/>
      <c r="OKR975" s="252"/>
      <c r="OKS975" s="252"/>
      <c r="OKT975" s="252"/>
      <c r="OKU975" s="252"/>
      <c r="OKV975" s="252"/>
      <c r="OKW975" s="252"/>
      <c r="OKX975" s="252"/>
      <c r="OKY975" s="252"/>
      <c r="OKZ975" s="252"/>
      <c r="OLA975" s="252"/>
      <c r="OLB975" s="252"/>
      <c r="OLC975" s="252"/>
      <c r="OLD975" s="252"/>
      <c r="OLE975" s="252"/>
      <c r="OLF975" s="252"/>
      <c r="OLG975" s="252"/>
      <c r="OLH975" s="252"/>
      <c r="OLI975" s="252"/>
      <c r="OLJ975" s="252"/>
      <c r="OLK975" s="252"/>
      <c r="OLL975" s="252"/>
      <c r="OLM975" s="252"/>
      <c r="OLN975" s="252"/>
      <c r="OLO975" s="252"/>
      <c r="OLP975" s="252"/>
      <c r="OLQ975" s="252"/>
      <c r="OLR975" s="252"/>
      <c r="OLS975" s="252"/>
      <c r="OLT975" s="252"/>
      <c r="OLU975" s="252"/>
      <c r="OLV975" s="252"/>
      <c r="OLW975" s="252"/>
      <c r="OLX975" s="252"/>
      <c r="OLY975" s="252"/>
      <c r="OLZ975" s="252"/>
      <c r="OMA975" s="252"/>
      <c r="OMB975" s="252"/>
      <c r="OMC975" s="252"/>
      <c r="OMD975" s="252"/>
      <c r="OME975" s="252"/>
      <c r="OMF975" s="252"/>
      <c r="OMG975" s="252"/>
      <c r="OMH975" s="252"/>
      <c r="OMI975" s="252"/>
      <c r="OMJ975" s="252"/>
      <c r="OMK975" s="252"/>
      <c r="OML975" s="252"/>
      <c r="OMM975" s="252"/>
      <c r="OMN975" s="252"/>
      <c r="OMO975" s="252"/>
      <c r="OMP975" s="252"/>
      <c r="OMQ975" s="252"/>
      <c r="OMR975" s="252"/>
      <c r="OMS975" s="252"/>
      <c r="OMT975" s="252"/>
      <c r="OMU975" s="252"/>
      <c r="OMV975" s="252"/>
      <c r="OMW975" s="252"/>
      <c r="OMX975" s="252"/>
      <c r="OMY975" s="252"/>
      <c r="OMZ975" s="252"/>
      <c r="ONA975" s="252"/>
      <c r="ONB975" s="252"/>
      <c r="ONC975" s="252"/>
      <c r="OND975" s="252"/>
      <c r="ONE975" s="252"/>
      <c r="ONF975" s="252"/>
      <c r="ONG975" s="252"/>
      <c r="ONH975" s="252"/>
      <c r="ONI975" s="252"/>
      <c r="ONJ975" s="252"/>
      <c r="ONK975" s="252"/>
      <c r="ONL975" s="252"/>
      <c r="ONM975" s="252"/>
      <c r="ONN975" s="252"/>
      <c r="ONO975" s="252"/>
      <c r="ONP975" s="252"/>
      <c r="ONQ975" s="252"/>
      <c r="ONR975" s="252"/>
      <c r="ONS975" s="252"/>
      <c r="ONT975" s="252"/>
      <c r="ONU975" s="252"/>
      <c r="ONV975" s="252"/>
      <c r="ONW975" s="252"/>
      <c r="ONX975" s="252"/>
      <c r="ONY975" s="252"/>
      <c r="ONZ975" s="252"/>
      <c r="OOA975" s="252"/>
      <c r="OOB975" s="252"/>
      <c r="OOC975" s="252"/>
      <c r="OOD975" s="252"/>
      <c r="OOE975" s="252"/>
      <c r="OOF975" s="252"/>
      <c r="OOG975" s="252"/>
      <c r="OOH975" s="252"/>
      <c r="OOI975" s="252"/>
      <c r="OOJ975" s="252"/>
      <c r="OOK975" s="252"/>
      <c r="OOL975" s="252"/>
      <c r="OOM975" s="252"/>
      <c r="OON975" s="252"/>
      <c r="OOO975" s="252"/>
      <c r="OOP975" s="252"/>
      <c r="OOQ975" s="252"/>
      <c r="OOR975" s="252"/>
      <c r="OOS975" s="252"/>
      <c r="OOT975" s="252"/>
      <c r="OOU975" s="252"/>
      <c r="OOV975" s="252"/>
      <c r="OOW975" s="252"/>
      <c r="OOX975" s="252"/>
      <c r="OOY975" s="252"/>
      <c r="OOZ975" s="252"/>
      <c r="OPA975" s="252"/>
      <c r="OPB975" s="252"/>
      <c r="OPC975" s="252"/>
      <c r="OPD975" s="252"/>
      <c r="OPE975" s="252"/>
      <c r="OPF975" s="252"/>
      <c r="OPG975" s="252"/>
      <c r="OPH975" s="252"/>
      <c r="OPI975" s="252"/>
      <c r="OPJ975" s="252"/>
      <c r="OPK975" s="252"/>
      <c r="OPL975" s="252"/>
      <c r="OPM975" s="252"/>
      <c r="OPN975" s="252"/>
      <c r="OPO975" s="252"/>
      <c r="OPP975" s="252"/>
      <c r="OPQ975" s="252"/>
      <c r="OPR975" s="252"/>
      <c r="OPS975" s="252"/>
      <c r="OPT975" s="252"/>
      <c r="OPU975" s="252"/>
      <c r="OPV975" s="252"/>
      <c r="OPW975" s="252"/>
      <c r="OPX975" s="252"/>
      <c r="OPY975" s="252"/>
      <c r="OPZ975" s="252"/>
      <c r="OQA975" s="252"/>
      <c r="OQB975" s="252"/>
      <c r="OQC975" s="252"/>
      <c r="OQD975" s="252"/>
      <c r="OQE975" s="252"/>
      <c r="OQF975" s="252"/>
      <c r="OQG975" s="252"/>
      <c r="OQH975" s="252"/>
      <c r="OQI975" s="252"/>
      <c r="OQJ975" s="252"/>
      <c r="OQK975" s="252"/>
      <c r="OQL975" s="252"/>
      <c r="OQM975" s="252"/>
      <c r="OQN975" s="252"/>
      <c r="OQO975" s="252"/>
      <c r="OQP975" s="252"/>
      <c r="OQQ975" s="252"/>
      <c r="OQR975" s="252"/>
      <c r="OQS975" s="252"/>
      <c r="OQT975" s="252"/>
      <c r="OQU975" s="252"/>
      <c r="OQV975" s="252"/>
      <c r="OQW975" s="252"/>
      <c r="OQX975" s="252"/>
      <c r="OQY975" s="252"/>
      <c r="OQZ975" s="252"/>
      <c r="ORA975" s="252"/>
      <c r="ORB975" s="252"/>
      <c r="ORC975" s="252"/>
      <c r="ORD975" s="252"/>
      <c r="ORE975" s="252"/>
      <c r="ORF975" s="252"/>
      <c r="ORG975" s="252"/>
      <c r="ORH975" s="252"/>
      <c r="ORI975" s="252"/>
      <c r="ORJ975" s="252"/>
      <c r="ORK975" s="252"/>
      <c r="ORL975" s="252"/>
      <c r="ORM975" s="252"/>
      <c r="ORN975" s="252"/>
      <c r="ORO975" s="252"/>
      <c r="ORP975" s="252"/>
      <c r="ORQ975" s="252"/>
      <c r="ORR975" s="252"/>
      <c r="ORS975" s="252"/>
      <c r="ORT975" s="252"/>
      <c r="ORU975" s="252"/>
      <c r="ORV975" s="252"/>
      <c r="ORW975" s="252"/>
      <c r="ORX975" s="252"/>
      <c r="ORY975" s="252"/>
      <c r="ORZ975" s="252"/>
      <c r="OSA975" s="252"/>
      <c r="OSB975" s="252"/>
      <c r="OSC975" s="252"/>
      <c r="OSD975" s="252"/>
      <c r="OSE975" s="252"/>
      <c r="OSF975" s="252"/>
      <c r="OSG975" s="252"/>
      <c r="OSH975" s="252"/>
      <c r="OSI975" s="252"/>
      <c r="OSJ975" s="252"/>
      <c r="OSK975" s="252"/>
      <c r="OSL975" s="252"/>
      <c r="OSM975" s="252"/>
      <c r="OSN975" s="252"/>
      <c r="OSO975" s="252"/>
      <c r="OSP975" s="252"/>
      <c r="OSQ975" s="252"/>
      <c r="OSR975" s="252"/>
      <c r="OSS975" s="252"/>
      <c r="OST975" s="252"/>
      <c r="OSU975" s="252"/>
      <c r="OSV975" s="252"/>
      <c r="OSW975" s="252"/>
      <c r="OSX975" s="252"/>
      <c r="OSY975" s="252"/>
      <c r="OSZ975" s="252"/>
      <c r="OTA975" s="252"/>
      <c r="OTB975" s="252"/>
      <c r="OTC975" s="252"/>
      <c r="OTD975" s="252"/>
      <c r="OTE975" s="252"/>
      <c r="OTF975" s="252"/>
      <c r="OTG975" s="252"/>
      <c r="OTH975" s="252"/>
      <c r="OTI975" s="252"/>
      <c r="OTJ975" s="252"/>
      <c r="OTK975" s="252"/>
      <c r="OTL975" s="252"/>
      <c r="OTM975" s="252"/>
      <c r="OTN975" s="252"/>
      <c r="OTO975" s="252"/>
      <c r="OTP975" s="252"/>
      <c r="OTQ975" s="252"/>
      <c r="OTR975" s="252"/>
      <c r="OTS975" s="252"/>
      <c r="OTT975" s="252"/>
      <c r="OTU975" s="252"/>
      <c r="OTV975" s="252"/>
      <c r="OTW975" s="252"/>
      <c r="OTX975" s="252"/>
      <c r="OTY975" s="252"/>
      <c r="OTZ975" s="252"/>
      <c r="OUA975" s="252"/>
      <c r="OUB975" s="252"/>
      <c r="OUC975" s="252"/>
      <c r="OUD975" s="252"/>
      <c r="OUE975" s="252"/>
      <c r="OUF975" s="252"/>
      <c r="OUG975" s="252"/>
      <c r="OUH975" s="252"/>
      <c r="OUI975" s="252"/>
      <c r="OUJ975" s="252"/>
      <c r="OUK975" s="252"/>
      <c r="OUL975" s="252"/>
      <c r="OUM975" s="252"/>
      <c r="OUN975" s="252"/>
      <c r="OUO975" s="252"/>
      <c r="OUP975" s="252"/>
      <c r="OUQ975" s="252"/>
      <c r="OUR975" s="252"/>
      <c r="OUS975" s="252"/>
      <c r="OUT975" s="252"/>
      <c r="OUU975" s="252"/>
      <c r="OUV975" s="252"/>
      <c r="OUW975" s="252"/>
      <c r="OUX975" s="252"/>
      <c r="OUY975" s="252"/>
      <c r="OUZ975" s="252"/>
      <c r="OVA975" s="252"/>
      <c r="OVB975" s="252"/>
      <c r="OVC975" s="252"/>
      <c r="OVD975" s="252"/>
      <c r="OVE975" s="252"/>
      <c r="OVF975" s="252"/>
      <c r="OVG975" s="252"/>
      <c r="OVH975" s="252"/>
      <c r="OVI975" s="252"/>
      <c r="OVJ975" s="252"/>
      <c r="OVK975" s="252"/>
      <c r="OVL975" s="252"/>
      <c r="OVM975" s="252"/>
      <c r="OVN975" s="252"/>
      <c r="OVO975" s="252"/>
      <c r="OVP975" s="252"/>
      <c r="OVQ975" s="252"/>
      <c r="OVR975" s="252"/>
      <c r="OVS975" s="252"/>
      <c r="OVT975" s="252"/>
      <c r="OVU975" s="252"/>
      <c r="OVV975" s="252"/>
      <c r="OVW975" s="252"/>
      <c r="OVX975" s="252"/>
      <c r="OVY975" s="252"/>
      <c r="OVZ975" s="252"/>
      <c r="OWA975" s="252"/>
      <c r="OWB975" s="252"/>
      <c r="OWC975" s="252"/>
      <c r="OWD975" s="252"/>
      <c r="OWE975" s="252"/>
      <c r="OWF975" s="252"/>
      <c r="OWG975" s="252"/>
      <c r="OWH975" s="252"/>
      <c r="OWI975" s="252"/>
      <c r="OWJ975" s="252"/>
      <c r="OWK975" s="252"/>
      <c r="OWL975" s="252"/>
      <c r="OWM975" s="252"/>
      <c r="OWN975" s="252"/>
      <c r="OWO975" s="252"/>
      <c r="OWP975" s="252"/>
      <c r="OWQ975" s="252"/>
      <c r="OWR975" s="252"/>
      <c r="OWS975" s="252"/>
      <c r="OWT975" s="252"/>
      <c r="OWU975" s="252"/>
      <c r="OWV975" s="252"/>
      <c r="OWW975" s="252"/>
      <c r="OWX975" s="252"/>
      <c r="OWY975" s="252"/>
      <c r="OWZ975" s="252"/>
      <c r="OXA975" s="252"/>
      <c r="OXB975" s="252"/>
      <c r="OXC975" s="252"/>
      <c r="OXD975" s="252"/>
      <c r="OXE975" s="252"/>
      <c r="OXF975" s="252"/>
      <c r="OXG975" s="252"/>
      <c r="OXH975" s="252"/>
      <c r="OXI975" s="252"/>
      <c r="OXJ975" s="252"/>
      <c r="OXK975" s="252"/>
      <c r="OXL975" s="252"/>
      <c r="OXM975" s="252"/>
      <c r="OXN975" s="252"/>
      <c r="OXO975" s="252"/>
      <c r="OXP975" s="252"/>
      <c r="OXQ975" s="252"/>
      <c r="OXR975" s="252"/>
      <c r="OXS975" s="252"/>
      <c r="OXT975" s="252"/>
      <c r="OXU975" s="252"/>
      <c r="OXV975" s="252"/>
      <c r="OXW975" s="252"/>
      <c r="OXX975" s="252"/>
      <c r="OXY975" s="252"/>
      <c r="OXZ975" s="252"/>
      <c r="OYA975" s="252"/>
      <c r="OYB975" s="252"/>
      <c r="OYC975" s="252"/>
      <c r="OYD975" s="252"/>
      <c r="OYE975" s="252"/>
      <c r="OYF975" s="252"/>
      <c r="OYG975" s="252"/>
      <c r="OYH975" s="252"/>
      <c r="OYI975" s="252"/>
      <c r="OYJ975" s="252"/>
      <c r="OYK975" s="252"/>
      <c r="OYL975" s="252"/>
      <c r="OYM975" s="252"/>
      <c r="OYN975" s="252"/>
      <c r="OYO975" s="252"/>
      <c r="OYP975" s="252"/>
      <c r="OYQ975" s="252"/>
      <c r="OYR975" s="252"/>
      <c r="OYS975" s="252"/>
      <c r="OYT975" s="252"/>
      <c r="OYU975" s="252"/>
      <c r="OYV975" s="252"/>
      <c r="OYW975" s="252"/>
      <c r="OYX975" s="252"/>
      <c r="OYY975" s="252"/>
      <c r="OYZ975" s="252"/>
      <c r="OZA975" s="252"/>
      <c r="OZB975" s="252"/>
      <c r="OZC975" s="252"/>
      <c r="OZD975" s="252"/>
      <c r="OZE975" s="252"/>
      <c r="OZF975" s="252"/>
      <c r="OZG975" s="252"/>
      <c r="OZH975" s="252"/>
      <c r="OZI975" s="252"/>
      <c r="OZJ975" s="252"/>
      <c r="OZK975" s="252"/>
      <c r="OZL975" s="252"/>
      <c r="OZM975" s="252"/>
      <c r="OZN975" s="252"/>
      <c r="OZO975" s="252"/>
      <c r="OZP975" s="252"/>
      <c r="OZQ975" s="252"/>
      <c r="OZR975" s="252"/>
      <c r="OZS975" s="252"/>
      <c r="OZT975" s="252"/>
      <c r="OZU975" s="252"/>
      <c r="OZV975" s="252"/>
      <c r="OZW975" s="252"/>
      <c r="OZX975" s="252"/>
      <c r="OZY975" s="252"/>
      <c r="OZZ975" s="252"/>
      <c r="PAA975" s="252"/>
      <c r="PAB975" s="252"/>
      <c r="PAC975" s="252"/>
      <c r="PAD975" s="252"/>
      <c r="PAE975" s="252"/>
      <c r="PAF975" s="252"/>
      <c r="PAG975" s="252"/>
      <c r="PAH975" s="252"/>
      <c r="PAI975" s="252"/>
      <c r="PAJ975" s="252"/>
      <c r="PAK975" s="252"/>
      <c r="PAL975" s="252"/>
      <c r="PAM975" s="252"/>
      <c r="PAN975" s="252"/>
      <c r="PAO975" s="252"/>
      <c r="PAP975" s="252"/>
      <c r="PAQ975" s="252"/>
      <c r="PAR975" s="252"/>
      <c r="PAS975" s="252"/>
      <c r="PAT975" s="252"/>
      <c r="PAU975" s="252"/>
      <c r="PAV975" s="252"/>
      <c r="PAW975" s="252"/>
      <c r="PAX975" s="252"/>
      <c r="PAY975" s="252"/>
      <c r="PAZ975" s="252"/>
      <c r="PBA975" s="252"/>
      <c r="PBB975" s="252"/>
      <c r="PBC975" s="252"/>
      <c r="PBD975" s="252"/>
      <c r="PBE975" s="252"/>
      <c r="PBF975" s="252"/>
      <c r="PBG975" s="252"/>
      <c r="PBH975" s="252"/>
      <c r="PBI975" s="252"/>
      <c r="PBJ975" s="252"/>
      <c r="PBK975" s="252"/>
      <c r="PBL975" s="252"/>
      <c r="PBM975" s="252"/>
      <c r="PBN975" s="252"/>
      <c r="PBO975" s="252"/>
      <c r="PBP975" s="252"/>
      <c r="PBQ975" s="252"/>
      <c r="PBR975" s="252"/>
      <c r="PBS975" s="252"/>
      <c r="PBT975" s="252"/>
      <c r="PBU975" s="252"/>
      <c r="PBV975" s="252"/>
      <c r="PBW975" s="252"/>
      <c r="PBX975" s="252"/>
      <c r="PBY975" s="252"/>
      <c r="PBZ975" s="252"/>
      <c r="PCA975" s="252"/>
      <c r="PCB975" s="252"/>
      <c r="PCC975" s="252"/>
      <c r="PCD975" s="252"/>
      <c r="PCE975" s="252"/>
      <c r="PCF975" s="252"/>
      <c r="PCG975" s="252"/>
      <c r="PCH975" s="252"/>
      <c r="PCI975" s="252"/>
      <c r="PCJ975" s="252"/>
      <c r="PCK975" s="252"/>
      <c r="PCL975" s="252"/>
      <c r="PCM975" s="252"/>
      <c r="PCN975" s="252"/>
      <c r="PCO975" s="252"/>
      <c r="PCP975" s="252"/>
      <c r="PCQ975" s="252"/>
      <c r="PCR975" s="252"/>
      <c r="PCS975" s="252"/>
      <c r="PCT975" s="252"/>
      <c r="PCU975" s="252"/>
      <c r="PCV975" s="252"/>
      <c r="PCW975" s="252"/>
      <c r="PCX975" s="252"/>
      <c r="PCY975" s="252"/>
      <c r="PCZ975" s="252"/>
      <c r="PDA975" s="252"/>
      <c r="PDB975" s="252"/>
      <c r="PDC975" s="252"/>
      <c r="PDD975" s="252"/>
      <c r="PDE975" s="252"/>
      <c r="PDF975" s="252"/>
      <c r="PDG975" s="252"/>
      <c r="PDH975" s="252"/>
      <c r="PDI975" s="252"/>
      <c r="PDJ975" s="252"/>
      <c r="PDK975" s="252"/>
      <c r="PDL975" s="252"/>
      <c r="PDM975" s="252"/>
      <c r="PDN975" s="252"/>
      <c r="PDO975" s="252"/>
      <c r="PDP975" s="252"/>
      <c r="PDQ975" s="252"/>
      <c r="PDR975" s="252"/>
      <c r="PDS975" s="252"/>
      <c r="PDT975" s="252"/>
      <c r="PDU975" s="252"/>
      <c r="PDV975" s="252"/>
      <c r="PDW975" s="252"/>
      <c r="PDX975" s="252"/>
      <c r="PDY975" s="252"/>
      <c r="PDZ975" s="252"/>
      <c r="PEA975" s="252"/>
      <c r="PEB975" s="252"/>
      <c r="PEC975" s="252"/>
      <c r="PED975" s="252"/>
      <c r="PEE975" s="252"/>
      <c r="PEF975" s="252"/>
      <c r="PEG975" s="252"/>
      <c r="PEH975" s="252"/>
      <c r="PEI975" s="252"/>
      <c r="PEJ975" s="252"/>
      <c r="PEK975" s="252"/>
      <c r="PEL975" s="252"/>
      <c r="PEM975" s="252"/>
      <c r="PEN975" s="252"/>
      <c r="PEO975" s="252"/>
      <c r="PEP975" s="252"/>
      <c r="PEQ975" s="252"/>
      <c r="PER975" s="252"/>
      <c r="PES975" s="252"/>
      <c r="PET975" s="252"/>
      <c r="PEU975" s="252"/>
      <c r="PEV975" s="252"/>
      <c r="PEW975" s="252"/>
      <c r="PEX975" s="252"/>
      <c r="PEY975" s="252"/>
      <c r="PEZ975" s="252"/>
      <c r="PFA975" s="252"/>
      <c r="PFB975" s="252"/>
      <c r="PFC975" s="252"/>
      <c r="PFD975" s="252"/>
      <c r="PFE975" s="252"/>
      <c r="PFF975" s="252"/>
      <c r="PFG975" s="252"/>
      <c r="PFH975" s="252"/>
      <c r="PFI975" s="252"/>
      <c r="PFJ975" s="252"/>
      <c r="PFK975" s="252"/>
      <c r="PFL975" s="252"/>
      <c r="PFM975" s="252"/>
      <c r="PFN975" s="252"/>
      <c r="PFO975" s="252"/>
      <c r="PFP975" s="252"/>
      <c r="PFQ975" s="252"/>
      <c r="PFR975" s="252"/>
      <c r="PFS975" s="252"/>
      <c r="PFT975" s="252"/>
      <c r="PFU975" s="252"/>
      <c r="PFV975" s="252"/>
      <c r="PFW975" s="252"/>
      <c r="PFX975" s="252"/>
      <c r="PFY975" s="252"/>
      <c r="PFZ975" s="252"/>
      <c r="PGA975" s="252"/>
      <c r="PGB975" s="252"/>
      <c r="PGC975" s="252"/>
      <c r="PGD975" s="252"/>
      <c r="PGE975" s="252"/>
      <c r="PGF975" s="252"/>
      <c r="PGG975" s="252"/>
      <c r="PGH975" s="252"/>
      <c r="PGI975" s="252"/>
      <c r="PGJ975" s="252"/>
      <c r="PGK975" s="252"/>
      <c r="PGL975" s="252"/>
      <c r="PGM975" s="252"/>
      <c r="PGN975" s="252"/>
      <c r="PGO975" s="252"/>
      <c r="PGP975" s="252"/>
      <c r="PGQ975" s="252"/>
      <c r="PGR975" s="252"/>
      <c r="PGS975" s="252"/>
      <c r="PGT975" s="252"/>
      <c r="PGU975" s="252"/>
      <c r="PGV975" s="252"/>
      <c r="PGW975" s="252"/>
      <c r="PGX975" s="252"/>
      <c r="PGY975" s="252"/>
      <c r="PGZ975" s="252"/>
      <c r="PHA975" s="252"/>
      <c r="PHB975" s="252"/>
      <c r="PHC975" s="252"/>
      <c r="PHD975" s="252"/>
      <c r="PHE975" s="252"/>
      <c r="PHF975" s="252"/>
      <c r="PHG975" s="252"/>
      <c r="PHH975" s="252"/>
      <c r="PHI975" s="252"/>
      <c r="PHJ975" s="252"/>
      <c r="PHK975" s="252"/>
      <c r="PHL975" s="252"/>
      <c r="PHM975" s="252"/>
      <c r="PHN975" s="252"/>
      <c r="PHO975" s="252"/>
      <c r="PHP975" s="252"/>
      <c r="PHQ975" s="252"/>
      <c r="PHR975" s="252"/>
      <c r="PHS975" s="252"/>
      <c r="PHT975" s="252"/>
      <c r="PHU975" s="252"/>
      <c r="PHV975" s="252"/>
      <c r="PHW975" s="252"/>
      <c r="PHX975" s="252"/>
      <c r="PHY975" s="252"/>
      <c r="PHZ975" s="252"/>
      <c r="PIA975" s="252"/>
      <c r="PIB975" s="252"/>
      <c r="PIC975" s="252"/>
      <c r="PID975" s="252"/>
      <c r="PIE975" s="252"/>
      <c r="PIF975" s="252"/>
      <c r="PIG975" s="252"/>
      <c r="PIH975" s="252"/>
      <c r="PII975" s="252"/>
      <c r="PIJ975" s="252"/>
      <c r="PIK975" s="252"/>
      <c r="PIL975" s="252"/>
      <c r="PIM975" s="252"/>
      <c r="PIN975" s="252"/>
      <c r="PIO975" s="252"/>
      <c r="PIP975" s="252"/>
      <c r="PIQ975" s="252"/>
      <c r="PIR975" s="252"/>
      <c r="PIS975" s="252"/>
      <c r="PIT975" s="252"/>
      <c r="PIU975" s="252"/>
      <c r="PIV975" s="252"/>
      <c r="PIW975" s="252"/>
      <c r="PIX975" s="252"/>
      <c r="PIY975" s="252"/>
      <c r="PIZ975" s="252"/>
      <c r="PJA975" s="252"/>
      <c r="PJB975" s="252"/>
      <c r="PJC975" s="252"/>
      <c r="PJD975" s="252"/>
      <c r="PJE975" s="252"/>
      <c r="PJF975" s="252"/>
      <c r="PJG975" s="252"/>
      <c r="PJH975" s="252"/>
      <c r="PJI975" s="252"/>
      <c r="PJJ975" s="252"/>
      <c r="PJK975" s="252"/>
      <c r="PJL975" s="252"/>
      <c r="PJM975" s="252"/>
      <c r="PJN975" s="252"/>
      <c r="PJO975" s="252"/>
      <c r="PJP975" s="252"/>
      <c r="PJQ975" s="252"/>
      <c r="PJR975" s="252"/>
      <c r="PJS975" s="252"/>
      <c r="PJT975" s="252"/>
      <c r="PJU975" s="252"/>
      <c r="PJV975" s="252"/>
      <c r="PJW975" s="252"/>
      <c r="PJX975" s="252"/>
      <c r="PJY975" s="252"/>
      <c r="PJZ975" s="252"/>
      <c r="PKA975" s="252"/>
      <c r="PKB975" s="252"/>
      <c r="PKC975" s="252"/>
      <c r="PKD975" s="252"/>
      <c r="PKE975" s="252"/>
      <c r="PKF975" s="252"/>
      <c r="PKG975" s="252"/>
      <c r="PKH975" s="252"/>
      <c r="PKI975" s="252"/>
      <c r="PKJ975" s="252"/>
      <c r="PKK975" s="252"/>
      <c r="PKL975" s="252"/>
      <c r="PKM975" s="252"/>
      <c r="PKN975" s="252"/>
      <c r="PKO975" s="252"/>
      <c r="PKP975" s="252"/>
      <c r="PKQ975" s="252"/>
      <c r="PKR975" s="252"/>
      <c r="PKS975" s="252"/>
      <c r="PKT975" s="252"/>
      <c r="PKU975" s="252"/>
      <c r="PKV975" s="252"/>
      <c r="PKW975" s="252"/>
      <c r="PKX975" s="252"/>
      <c r="PKY975" s="252"/>
      <c r="PKZ975" s="252"/>
      <c r="PLA975" s="252"/>
      <c r="PLB975" s="252"/>
      <c r="PLC975" s="252"/>
      <c r="PLD975" s="252"/>
      <c r="PLE975" s="252"/>
      <c r="PLF975" s="252"/>
      <c r="PLG975" s="252"/>
      <c r="PLH975" s="252"/>
      <c r="PLI975" s="252"/>
      <c r="PLJ975" s="252"/>
      <c r="PLK975" s="252"/>
      <c r="PLL975" s="252"/>
      <c r="PLM975" s="252"/>
      <c r="PLN975" s="252"/>
      <c r="PLO975" s="252"/>
      <c r="PLP975" s="252"/>
      <c r="PLQ975" s="252"/>
      <c r="PLR975" s="252"/>
      <c r="PLS975" s="252"/>
      <c r="PLT975" s="252"/>
      <c r="PLU975" s="252"/>
      <c r="PLV975" s="252"/>
      <c r="PLW975" s="252"/>
      <c r="PLX975" s="252"/>
      <c r="PLY975" s="252"/>
      <c r="PLZ975" s="252"/>
      <c r="PMA975" s="252"/>
      <c r="PMB975" s="252"/>
      <c r="PMC975" s="252"/>
      <c r="PMD975" s="252"/>
      <c r="PME975" s="252"/>
      <c r="PMF975" s="252"/>
      <c r="PMG975" s="252"/>
      <c r="PMH975" s="252"/>
      <c r="PMI975" s="252"/>
      <c r="PMJ975" s="252"/>
      <c r="PMK975" s="252"/>
      <c r="PML975" s="252"/>
      <c r="PMM975" s="252"/>
      <c r="PMN975" s="252"/>
      <c r="PMO975" s="252"/>
      <c r="PMP975" s="252"/>
      <c r="PMQ975" s="252"/>
      <c r="PMR975" s="252"/>
      <c r="PMS975" s="252"/>
      <c r="PMT975" s="252"/>
      <c r="PMU975" s="252"/>
      <c r="PMV975" s="252"/>
      <c r="PMW975" s="252"/>
      <c r="PMX975" s="252"/>
      <c r="PMY975" s="252"/>
      <c r="PMZ975" s="252"/>
      <c r="PNA975" s="252"/>
      <c r="PNB975" s="252"/>
      <c r="PNC975" s="252"/>
      <c r="PND975" s="252"/>
      <c r="PNE975" s="252"/>
      <c r="PNF975" s="252"/>
      <c r="PNG975" s="252"/>
      <c r="PNH975" s="252"/>
      <c r="PNI975" s="252"/>
      <c r="PNJ975" s="252"/>
      <c r="PNK975" s="252"/>
      <c r="PNL975" s="252"/>
      <c r="PNM975" s="252"/>
      <c r="PNN975" s="252"/>
      <c r="PNO975" s="252"/>
      <c r="PNP975" s="252"/>
      <c r="PNQ975" s="252"/>
      <c r="PNR975" s="252"/>
      <c r="PNS975" s="252"/>
      <c r="PNT975" s="252"/>
      <c r="PNU975" s="252"/>
      <c r="PNV975" s="252"/>
      <c r="PNW975" s="252"/>
      <c r="PNX975" s="252"/>
      <c r="PNY975" s="252"/>
      <c r="PNZ975" s="252"/>
      <c r="POA975" s="252"/>
      <c r="POB975" s="252"/>
      <c r="POC975" s="252"/>
      <c r="POD975" s="252"/>
      <c r="POE975" s="252"/>
      <c r="POF975" s="252"/>
      <c r="POG975" s="252"/>
      <c r="POH975" s="252"/>
      <c r="POI975" s="252"/>
      <c r="POJ975" s="252"/>
      <c r="POK975" s="252"/>
      <c r="POL975" s="252"/>
      <c r="POM975" s="252"/>
      <c r="PON975" s="252"/>
      <c r="POO975" s="252"/>
      <c r="POP975" s="252"/>
      <c r="POQ975" s="252"/>
      <c r="POR975" s="252"/>
      <c r="POS975" s="252"/>
      <c r="POT975" s="252"/>
      <c r="POU975" s="252"/>
      <c r="POV975" s="252"/>
      <c r="POW975" s="252"/>
      <c r="POX975" s="252"/>
      <c r="POY975" s="252"/>
      <c r="POZ975" s="252"/>
      <c r="PPA975" s="252"/>
      <c r="PPB975" s="252"/>
      <c r="PPC975" s="252"/>
      <c r="PPD975" s="252"/>
      <c r="PPE975" s="252"/>
      <c r="PPF975" s="252"/>
      <c r="PPG975" s="252"/>
      <c r="PPH975" s="252"/>
      <c r="PPI975" s="252"/>
      <c r="PPJ975" s="252"/>
      <c r="PPK975" s="252"/>
      <c r="PPL975" s="252"/>
      <c r="PPM975" s="252"/>
      <c r="PPN975" s="252"/>
      <c r="PPO975" s="252"/>
      <c r="PPP975" s="252"/>
      <c r="PPQ975" s="252"/>
      <c r="PPR975" s="252"/>
      <c r="PPS975" s="252"/>
      <c r="PPT975" s="252"/>
      <c r="PPU975" s="252"/>
      <c r="PPV975" s="252"/>
      <c r="PPW975" s="252"/>
      <c r="PPX975" s="252"/>
      <c r="PPY975" s="252"/>
      <c r="PPZ975" s="252"/>
      <c r="PQA975" s="252"/>
      <c r="PQB975" s="252"/>
      <c r="PQC975" s="252"/>
      <c r="PQD975" s="252"/>
      <c r="PQE975" s="252"/>
      <c r="PQF975" s="252"/>
      <c r="PQG975" s="252"/>
      <c r="PQH975" s="252"/>
      <c r="PQI975" s="252"/>
      <c r="PQJ975" s="252"/>
      <c r="PQK975" s="252"/>
      <c r="PQL975" s="252"/>
      <c r="PQM975" s="252"/>
      <c r="PQN975" s="252"/>
      <c r="PQO975" s="252"/>
      <c r="PQP975" s="252"/>
      <c r="PQQ975" s="252"/>
      <c r="PQR975" s="252"/>
      <c r="PQS975" s="252"/>
      <c r="PQT975" s="252"/>
      <c r="PQU975" s="252"/>
      <c r="PQV975" s="252"/>
      <c r="PQW975" s="252"/>
      <c r="PQX975" s="252"/>
      <c r="PQY975" s="252"/>
      <c r="PQZ975" s="252"/>
      <c r="PRA975" s="252"/>
      <c r="PRB975" s="252"/>
      <c r="PRC975" s="252"/>
      <c r="PRD975" s="252"/>
      <c r="PRE975" s="252"/>
      <c r="PRF975" s="252"/>
      <c r="PRG975" s="252"/>
      <c r="PRH975" s="252"/>
      <c r="PRI975" s="252"/>
      <c r="PRJ975" s="252"/>
      <c r="PRK975" s="252"/>
      <c r="PRL975" s="252"/>
      <c r="PRM975" s="252"/>
      <c r="PRN975" s="252"/>
      <c r="PRO975" s="252"/>
      <c r="PRP975" s="252"/>
      <c r="PRQ975" s="252"/>
      <c r="PRR975" s="252"/>
      <c r="PRS975" s="252"/>
      <c r="PRT975" s="252"/>
      <c r="PRU975" s="252"/>
      <c r="PRV975" s="252"/>
      <c r="PRW975" s="252"/>
      <c r="PRX975" s="252"/>
      <c r="PRY975" s="252"/>
      <c r="PRZ975" s="252"/>
      <c r="PSA975" s="252"/>
      <c r="PSB975" s="252"/>
      <c r="PSC975" s="252"/>
      <c r="PSD975" s="252"/>
      <c r="PSE975" s="252"/>
      <c r="PSF975" s="252"/>
      <c r="PSG975" s="252"/>
      <c r="PSH975" s="252"/>
      <c r="PSI975" s="252"/>
      <c r="PSJ975" s="252"/>
      <c r="PSK975" s="252"/>
      <c r="PSL975" s="252"/>
      <c r="PSM975" s="252"/>
      <c r="PSN975" s="252"/>
      <c r="PSO975" s="252"/>
      <c r="PSP975" s="252"/>
      <c r="PSQ975" s="252"/>
      <c r="PSR975" s="252"/>
      <c r="PSS975" s="252"/>
      <c r="PST975" s="252"/>
      <c r="PSU975" s="252"/>
      <c r="PSV975" s="252"/>
      <c r="PSW975" s="252"/>
      <c r="PSX975" s="252"/>
      <c r="PSY975" s="252"/>
      <c r="PSZ975" s="252"/>
      <c r="PTA975" s="252"/>
      <c r="PTB975" s="252"/>
      <c r="PTC975" s="252"/>
      <c r="PTD975" s="252"/>
      <c r="PTE975" s="252"/>
      <c r="PTF975" s="252"/>
      <c r="PTG975" s="252"/>
      <c r="PTH975" s="252"/>
      <c r="PTI975" s="252"/>
      <c r="PTJ975" s="252"/>
      <c r="PTK975" s="252"/>
      <c r="PTL975" s="252"/>
      <c r="PTM975" s="252"/>
      <c r="PTN975" s="252"/>
      <c r="PTO975" s="252"/>
      <c r="PTP975" s="252"/>
      <c r="PTQ975" s="252"/>
      <c r="PTR975" s="252"/>
      <c r="PTS975" s="252"/>
      <c r="PTT975" s="252"/>
      <c r="PTU975" s="252"/>
      <c r="PTV975" s="252"/>
      <c r="PTW975" s="252"/>
      <c r="PTX975" s="252"/>
      <c r="PTY975" s="252"/>
      <c r="PTZ975" s="252"/>
      <c r="PUA975" s="252"/>
      <c r="PUB975" s="252"/>
      <c r="PUC975" s="252"/>
      <c r="PUD975" s="252"/>
      <c r="PUE975" s="252"/>
      <c r="PUF975" s="252"/>
      <c r="PUG975" s="252"/>
      <c r="PUH975" s="252"/>
      <c r="PUI975" s="252"/>
      <c r="PUJ975" s="252"/>
      <c r="PUK975" s="252"/>
      <c r="PUL975" s="252"/>
      <c r="PUM975" s="252"/>
      <c r="PUN975" s="252"/>
      <c r="PUO975" s="252"/>
      <c r="PUP975" s="252"/>
      <c r="PUQ975" s="252"/>
      <c r="PUR975" s="252"/>
      <c r="PUS975" s="252"/>
      <c r="PUT975" s="252"/>
      <c r="PUU975" s="252"/>
      <c r="PUV975" s="252"/>
      <c r="PUW975" s="252"/>
      <c r="PUX975" s="252"/>
      <c r="PUY975" s="252"/>
      <c r="PUZ975" s="252"/>
      <c r="PVA975" s="252"/>
      <c r="PVB975" s="252"/>
      <c r="PVC975" s="252"/>
      <c r="PVD975" s="252"/>
      <c r="PVE975" s="252"/>
      <c r="PVF975" s="252"/>
      <c r="PVG975" s="252"/>
      <c r="PVH975" s="252"/>
      <c r="PVI975" s="252"/>
      <c r="PVJ975" s="252"/>
      <c r="PVK975" s="252"/>
      <c r="PVL975" s="252"/>
      <c r="PVM975" s="252"/>
      <c r="PVN975" s="252"/>
      <c r="PVO975" s="252"/>
      <c r="PVP975" s="252"/>
      <c r="PVQ975" s="252"/>
      <c r="PVR975" s="252"/>
      <c r="PVS975" s="252"/>
      <c r="PVT975" s="252"/>
      <c r="PVU975" s="252"/>
      <c r="PVV975" s="252"/>
      <c r="PVW975" s="252"/>
      <c r="PVX975" s="252"/>
      <c r="PVY975" s="252"/>
      <c r="PVZ975" s="252"/>
      <c r="PWA975" s="252"/>
      <c r="PWB975" s="252"/>
      <c r="PWC975" s="252"/>
      <c r="PWD975" s="252"/>
      <c r="PWE975" s="252"/>
      <c r="PWF975" s="252"/>
      <c r="PWG975" s="252"/>
      <c r="PWH975" s="252"/>
      <c r="PWI975" s="252"/>
      <c r="PWJ975" s="252"/>
      <c r="PWK975" s="252"/>
      <c r="PWL975" s="252"/>
      <c r="PWM975" s="252"/>
      <c r="PWN975" s="252"/>
      <c r="PWO975" s="252"/>
      <c r="PWP975" s="252"/>
      <c r="PWQ975" s="252"/>
      <c r="PWR975" s="252"/>
      <c r="PWS975" s="252"/>
      <c r="PWT975" s="252"/>
      <c r="PWU975" s="252"/>
      <c r="PWV975" s="252"/>
      <c r="PWW975" s="252"/>
      <c r="PWX975" s="252"/>
      <c r="PWY975" s="252"/>
      <c r="PWZ975" s="252"/>
      <c r="PXA975" s="252"/>
      <c r="PXB975" s="252"/>
      <c r="PXC975" s="252"/>
      <c r="PXD975" s="252"/>
      <c r="PXE975" s="252"/>
      <c r="PXF975" s="252"/>
      <c r="PXG975" s="252"/>
      <c r="PXH975" s="252"/>
      <c r="PXI975" s="252"/>
      <c r="PXJ975" s="252"/>
      <c r="PXK975" s="252"/>
      <c r="PXL975" s="252"/>
      <c r="PXM975" s="252"/>
      <c r="PXN975" s="252"/>
      <c r="PXO975" s="252"/>
      <c r="PXP975" s="252"/>
      <c r="PXQ975" s="252"/>
      <c r="PXR975" s="252"/>
      <c r="PXS975" s="252"/>
      <c r="PXT975" s="252"/>
      <c r="PXU975" s="252"/>
      <c r="PXV975" s="252"/>
      <c r="PXW975" s="252"/>
      <c r="PXX975" s="252"/>
      <c r="PXY975" s="252"/>
      <c r="PXZ975" s="252"/>
      <c r="PYA975" s="252"/>
      <c r="PYB975" s="252"/>
      <c r="PYC975" s="252"/>
      <c r="PYD975" s="252"/>
      <c r="PYE975" s="252"/>
      <c r="PYF975" s="252"/>
      <c r="PYG975" s="252"/>
      <c r="PYH975" s="252"/>
      <c r="PYI975" s="252"/>
      <c r="PYJ975" s="252"/>
      <c r="PYK975" s="252"/>
      <c r="PYL975" s="252"/>
      <c r="PYM975" s="252"/>
      <c r="PYN975" s="252"/>
      <c r="PYO975" s="252"/>
      <c r="PYP975" s="252"/>
      <c r="PYQ975" s="252"/>
      <c r="PYR975" s="252"/>
      <c r="PYS975" s="252"/>
      <c r="PYT975" s="252"/>
      <c r="PYU975" s="252"/>
      <c r="PYV975" s="252"/>
      <c r="PYW975" s="252"/>
      <c r="PYX975" s="252"/>
      <c r="PYY975" s="252"/>
      <c r="PYZ975" s="252"/>
      <c r="PZA975" s="252"/>
      <c r="PZB975" s="252"/>
      <c r="PZC975" s="252"/>
      <c r="PZD975" s="252"/>
      <c r="PZE975" s="252"/>
      <c r="PZF975" s="252"/>
      <c r="PZG975" s="252"/>
      <c r="PZH975" s="252"/>
      <c r="PZI975" s="252"/>
      <c r="PZJ975" s="252"/>
      <c r="PZK975" s="252"/>
      <c r="PZL975" s="252"/>
      <c r="PZM975" s="252"/>
      <c r="PZN975" s="252"/>
      <c r="PZO975" s="252"/>
      <c r="PZP975" s="252"/>
      <c r="PZQ975" s="252"/>
      <c r="PZR975" s="252"/>
      <c r="PZS975" s="252"/>
      <c r="PZT975" s="252"/>
      <c r="PZU975" s="252"/>
      <c r="PZV975" s="252"/>
      <c r="PZW975" s="252"/>
      <c r="PZX975" s="252"/>
      <c r="PZY975" s="252"/>
      <c r="PZZ975" s="252"/>
      <c r="QAA975" s="252"/>
      <c r="QAB975" s="252"/>
      <c r="QAC975" s="252"/>
      <c r="QAD975" s="252"/>
      <c r="QAE975" s="252"/>
      <c r="QAF975" s="252"/>
      <c r="QAG975" s="252"/>
      <c r="QAH975" s="252"/>
      <c r="QAI975" s="252"/>
      <c r="QAJ975" s="252"/>
      <c r="QAK975" s="252"/>
      <c r="QAL975" s="252"/>
      <c r="QAM975" s="252"/>
      <c r="QAN975" s="252"/>
      <c r="QAO975" s="252"/>
      <c r="QAP975" s="252"/>
      <c r="QAQ975" s="252"/>
      <c r="QAR975" s="252"/>
      <c r="QAS975" s="252"/>
      <c r="QAT975" s="252"/>
      <c r="QAU975" s="252"/>
      <c r="QAV975" s="252"/>
      <c r="QAW975" s="252"/>
      <c r="QAX975" s="252"/>
      <c r="QAY975" s="252"/>
      <c r="QAZ975" s="252"/>
      <c r="QBA975" s="252"/>
      <c r="QBB975" s="252"/>
      <c r="QBC975" s="252"/>
      <c r="QBD975" s="252"/>
      <c r="QBE975" s="252"/>
      <c r="QBF975" s="252"/>
      <c r="QBG975" s="252"/>
      <c r="QBH975" s="252"/>
      <c r="QBI975" s="252"/>
      <c r="QBJ975" s="252"/>
      <c r="QBK975" s="252"/>
      <c r="QBL975" s="252"/>
      <c r="QBM975" s="252"/>
      <c r="QBN975" s="252"/>
      <c r="QBO975" s="252"/>
      <c r="QBP975" s="252"/>
      <c r="QBQ975" s="252"/>
      <c r="QBR975" s="252"/>
      <c r="QBS975" s="252"/>
      <c r="QBT975" s="252"/>
      <c r="QBU975" s="252"/>
      <c r="QBV975" s="252"/>
      <c r="QBW975" s="252"/>
      <c r="QBX975" s="252"/>
      <c r="QBY975" s="252"/>
      <c r="QBZ975" s="252"/>
      <c r="QCA975" s="252"/>
      <c r="QCB975" s="252"/>
      <c r="QCC975" s="252"/>
      <c r="QCD975" s="252"/>
      <c r="QCE975" s="252"/>
      <c r="QCF975" s="252"/>
      <c r="QCG975" s="252"/>
      <c r="QCH975" s="252"/>
      <c r="QCI975" s="252"/>
      <c r="QCJ975" s="252"/>
      <c r="QCK975" s="252"/>
      <c r="QCL975" s="252"/>
      <c r="QCM975" s="252"/>
      <c r="QCN975" s="252"/>
      <c r="QCO975" s="252"/>
      <c r="QCP975" s="252"/>
      <c r="QCQ975" s="252"/>
      <c r="QCR975" s="252"/>
      <c r="QCS975" s="252"/>
      <c r="QCT975" s="252"/>
      <c r="QCU975" s="252"/>
      <c r="QCV975" s="252"/>
      <c r="QCW975" s="252"/>
      <c r="QCX975" s="252"/>
      <c r="QCY975" s="252"/>
      <c r="QCZ975" s="252"/>
      <c r="QDA975" s="252"/>
      <c r="QDB975" s="252"/>
      <c r="QDC975" s="252"/>
      <c r="QDD975" s="252"/>
      <c r="QDE975" s="252"/>
      <c r="QDF975" s="252"/>
      <c r="QDG975" s="252"/>
      <c r="QDH975" s="252"/>
      <c r="QDI975" s="252"/>
      <c r="QDJ975" s="252"/>
      <c r="QDK975" s="252"/>
      <c r="QDL975" s="252"/>
      <c r="QDM975" s="252"/>
      <c r="QDN975" s="252"/>
      <c r="QDO975" s="252"/>
      <c r="QDP975" s="252"/>
      <c r="QDQ975" s="252"/>
      <c r="QDR975" s="252"/>
      <c r="QDS975" s="252"/>
      <c r="QDT975" s="252"/>
      <c r="QDU975" s="252"/>
      <c r="QDV975" s="252"/>
      <c r="QDW975" s="252"/>
      <c r="QDX975" s="252"/>
      <c r="QDY975" s="252"/>
      <c r="QDZ975" s="252"/>
      <c r="QEA975" s="252"/>
      <c r="QEB975" s="252"/>
      <c r="QEC975" s="252"/>
      <c r="QED975" s="252"/>
      <c r="QEE975" s="252"/>
      <c r="QEF975" s="252"/>
      <c r="QEG975" s="252"/>
      <c r="QEH975" s="252"/>
      <c r="QEI975" s="252"/>
      <c r="QEJ975" s="252"/>
      <c r="QEK975" s="252"/>
      <c r="QEL975" s="252"/>
      <c r="QEM975" s="252"/>
      <c r="QEN975" s="252"/>
      <c r="QEO975" s="252"/>
      <c r="QEP975" s="252"/>
      <c r="QEQ975" s="252"/>
      <c r="QER975" s="252"/>
      <c r="QES975" s="252"/>
      <c r="QET975" s="252"/>
      <c r="QEU975" s="252"/>
      <c r="QEV975" s="252"/>
      <c r="QEW975" s="252"/>
      <c r="QEX975" s="252"/>
      <c r="QEY975" s="252"/>
      <c r="QEZ975" s="252"/>
      <c r="QFA975" s="252"/>
      <c r="QFB975" s="252"/>
      <c r="QFC975" s="252"/>
      <c r="QFD975" s="252"/>
      <c r="QFE975" s="252"/>
      <c r="QFF975" s="252"/>
      <c r="QFG975" s="252"/>
      <c r="QFH975" s="252"/>
      <c r="QFI975" s="252"/>
      <c r="QFJ975" s="252"/>
      <c r="QFK975" s="252"/>
      <c r="QFL975" s="252"/>
      <c r="QFM975" s="252"/>
      <c r="QFN975" s="252"/>
      <c r="QFO975" s="252"/>
      <c r="QFP975" s="252"/>
      <c r="QFQ975" s="252"/>
      <c r="QFR975" s="252"/>
      <c r="QFS975" s="252"/>
      <c r="QFT975" s="252"/>
      <c r="QFU975" s="252"/>
      <c r="QFV975" s="252"/>
      <c r="QFW975" s="252"/>
      <c r="QFX975" s="252"/>
      <c r="QFY975" s="252"/>
      <c r="QFZ975" s="252"/>
      <c r="QGA975" s="252"/>
      <c r="QGB975" s="252"/>
      <c r="QGC975" s="252"/>
      <c r="QGD975" s="252"/>
      <c r="QGE975" s="252"/>
      <c r="QGF975" s="252"/>
      <c r="QGG975" s="252"/>
      <c r="QGH975" s="252"/>
      <c r="QGI975" s="252"/>
      <c r="QGJ975" s="252"/>
      <c r="QGK975" s="252"/>
      <c r="QGL975" s="252"/>
      <c r="QGM975" s="252"/>
      <c r="QGN975" s="252"/>
      <c r="QGO975" s="252"/>
      <c r="QGP975" s="252"/>
      <c r="QGQ975" s="252"/>
      <c r="QGR975" s="252"/>
      <c r="QGS975" s="252"/>
      <c r="QGT975" s="252"/>
      <c r="QGU975" s="252"/>
      <c r="QGV975" s="252"/>
      <c r="QGW975" s="252"/>
      <c r="QGX975" s="252"/>
      <c r="QGY975" s="252"/>
      <c r="QGZ975" s="252"/>
      <c r="QHA975" s="252"/>
      <c r="QHB975" s="252"/>
      <c r="QHC975" s="252"/>
      <c r="QHD975" s="252"/>
      <c r="QHE975" s="252"/>
      <c r="QHF975" s="252"/>
      <c r="QHG975" s="252"/>
      <c r="QHH975" s="252"/>
      <c r="QHI975" s="252"/>
      <c r="QHJ975" s="252"/>
      <c r="QHK975" s="252"/>
      <c r="QHL975" s="252"/>
      <c r="QHM975" s="252"/>
      <c r="QHN975" s="252"/>
      <c r="QHO975" s="252"/>
      <c r="QHP975" s="252"/>
      <c r="QHQ975" s="252"/>
      <c r="QHR975" s="252"/>
      <c r="QHS975" s="252"/>
      <c r="QHT975" s="252"/>
      <c r="QHU975" s="252"/>
      <c r="QHV975" s="252"/>
      <c r="QHW975" s="252"/>
      <c r="QHX975" s="252"/>
      <c r="QHY975" s="252"/>
      <c r="QHZ975" s="252"/>
      <c r="QIA975" s="252"/>
      <c r="QIB975" s="252"/>
      <c r="QIC975" s="252"/>
      <c r="QID975" s="252"/>
      <c r="QIE975" s="252"/>
      <c r="QIF975" s="252"/>
      <c r="QIG975" s="252"/>
      <c r="QIH975" s="252"/>
      <c r="QII975" s="252"/>
      <c r="QIJ975" s="252"/>
      <c r="QIK975" s="252"/>
      <c r="QIL975" s="252"/>
      <c r="QIM975" s="252"/>
      <c r="QIN975" s="252"/>
      <c r="QIO975" s="252"/>
      <c r="QIP975" s="252"/>
      <c r="QIQ975" s="252"/>
      <c r="QIR975" s="252"/>
      <c r="QIS975" s="252"/>
      <c r="QIT975" s="252"/>
      <c r="QIU975" s="252"/>
      <c r="QIV975" s="252"/>
      <c r="QIW975" s="252"/>
      <c r="QIX975" s="252"/>
      <c r="QIY975" s="252"/>
      <c r="QIZ975" s="252"/>
      <c r="QJA975" s="252"/>
      <c r="QJB975" s="252"/>
      <c r="QJC975" s="252"/>
      <c r="QJD975" s="252"/>
      <c r="QJE975" s="252"/>
      <c r="QJF975" s="252"/>
      <c r="QJG975" s="252"/>
      <c r="QJH975" s="252"/>
      <c r="QJI975" s="252"/>
      <c r="QJJ975" s="252"/>
      <c r="QJK975" s="252"/>
      <c r="QJL975" s="252"/>
      <c r="QJM975" s="252"/>
      <c r="QJN975" s="252"/>
      <c r="QJO975" s="252"/>
      <c r="QJP975" s="252"/>
      <c r="QJQ975" s="252"/>
      <c r="QJR975" s="252"/>
      <c r="QJS975" s="252"/>
      <c r="QJT975" s="252"/>
      <c r="QJU975" s="252"/>
      <c r="QJV975" s="252"/>
      <c r="QJW975" s="252"/>
      <c r="QJX975" s="252"/>
      <c r="QJY975" s="252"/>
      <c r="QJZ975" s="252"/>
      <c r="QKA975" s="252"/>
      <c r="QKB975" s="252"/>
      <c r="QKC975" s="252"/>
      <c r="QKD975" s="252"/>
      <c r="QKE975" s="252"/>
      <c r="QKF975" s="252"/>
      <c r="QKG975" s="252"/>
      <c r="QKH975" s="252"/>
      <c r="QKI975" s="252"/>
      <c r="QKJ975" s="252"/>
      <c r="QKK975" s="252"/>
      <c r="QKL975" s="252"/>
      <c r="QKM975" s="252"/>
      <c r="QKN975" s="252"/>
      <c r="QKO975" s="252"/>
      <c r="QKP975" s="252"/>
      <c r="QKQ975" s="252"/>
      <c r="QKR975" s="252"/>
      <c r="QKS975" s="252"/>
      <c r="QKT975" s="252"/>
      <c r="QKU975" s="252"/>
      <c r="QKV975" s="252"/>
      <c r="QKW975" s="252"/>
      <c r="QKX975" s="252"/>
      <c r="QKY975" s="252"/>
      <c r="QKZ975" s="252"/>
      <c r="QLA975" s="252"/>
      <c r="QLB975" s="252"/>
      <c r="QLC975" s="252"/>
      <c r="QLD975" s="252"/>
      <c r="QLE975" s="252"/>
      <c r="QLF975" s="252"/>
      <c r="QLG975" s="252"/>
      <c r="QLH975" s="252"/>
      <c r="QLI975" s="252"/>
      <c r="QLJ975" s="252"/>
      <c r="QLK975" s="252"/>
      <c r="QLL975" s="252"/>
      <c r="QLM975" s="252"/>
      <c r="QLN975" s="252"/>
      <c r="QLO975" s="252"/>
      <c r="QLP975" s="252"/>
      <c r="QLQ975" s="252"/>
      <c r="QLR975" s="252"/>
      <c r="QLS975" s="252"/>
      <c r="QLT975" s="252"/>
      <c r="QLU975" s="252"/>
      <c r="QLV975" s="252"/>
      <c r="QLW975" s="252"/>
      <c r="QLX975" s="252"/>
      <c r="QLY975" s="252"/>
      <c r="QLZ975" s="252"/>
      <c r="QMA975" s="252"/>
      <c r="QMB975" s="252"/>
      <c r="QMC975" s="252"/>
      <c r="QMD975" s="252"/>
      <c r="QME975" s="252"/>
      <c r="QMF975" s="252"/>
      <c r="QMG975" s="252"/>
      <c r="QMH975" s="252"/>
      <c r="QMI975" s="252"/>
      <c r="QMJ975" s="252"/>
      <c r="QMK975" s="252"/>
      <c r="QML975" s="252"/>
      <c r="QMM975" s="252"/>
      <c r="QMN975" s="252"/>
      <c r="QMO975" s="252"/>
      <c r="QMP975" s="252"/>
      <c r="QMQ975" s="252"/>
      <c r="QMR975" s="252"/>
      <c r="QMS975" s="252"/>
      <c r="QMT975" s="252"/>
      <c r="QMU975" s="252"/>
      <c r="QMV975" s="252"/>
      <c r="QMW975" s="252"/>
      <c r="QMX975" s="252"/>
      <c r="QMY975" s="252"/>
      <c r="QMZ975" s="252"/>
      <c r="QNA975" s="252"/>
      <c r="QNB975" s="252"/>
      <c r="QNC975" s="252"/>
      <c r="QND975" s="252"/>
      <c r="QNE975" s="252"/>
      <c r="QNF975" s="252"/>
      <c r="QNG975" s="252"/>
      <c r="QNH975" s="252"/>
      <c r="QNI975" s="252"/>
      <c r="QNJ975" s="252"/>
      <c r="QNK975" s="252"/>
      <c r="QNL975" s="252"/>
      <c r="QNM975" s="252"/>
      <c r="QNN975" s="252"/>
      <c r="QNO975" s="252"/>
      <c r="QNP975" s="252"/>
      <c r="QNQ975" s="252"/>
      <c r="QNR975" s="252"/>
      <c r="QNS975" s="252"/>
      <c r="QNT975" s="252"/>
      <c r="QNU975" s="252"/>
      <c r="QNV975" s="252"/>
      <c r="QNW975" s="252"/>
      <c r="QNX975" s="252"/>
      <c r="QNY975" s="252"/>
      <c r="QNZ975" s="252"/>
      <c r="QOA975" s="252"/>
      <c r="QOB975" s="252"/>
      <c r="QOC975" s="252"/>
      <c r="QOD975" s="252"/>
      <c r="QOE975" s="252"/>
      <c r="QOF975" s="252"/>
      <c r="QOG975" s="252"/>
      <c r="QOH975" s="252"/>
      <c r="QOI975" s="252"/>
      <c r="QOJ975" s="252"/>
      <c r="QOK975" s="252"/>
      <c r="QOL975" s="252"/>
      <c r="QOM975" s="252"/>
      <c r="QON975" s="252"/>
      <c r="QOO975" s="252"/>
      <c r="QOP975" s="252"/>
      <c r="QOQ975" s="252"/>
      <c r="QOR975" s="252"/>
      <c r="QOS975" s="252"/>
      <c r="QOT975" s="252"/>
      <c r="QOU975" s="252"/>
      <c r="QOV975" s="252"/>
      <c r="QOW975" s="252"/>
      <c r="QOX975" s="252"/>
      <c r="QOY975" s="252"/>
      <c r="QOZ975" s="252"/>
      <c r="QPA975" s="252"/>
      <c r="QPB975" s="252"/>
      <c r="QPC975" s="252"/>
      <c r="QPD975" s="252"/>
      <c r="QPE975" s="252"/>
      <c r="QPF975" s="252"/>
      <c r="QPG975" s="252"/>
      <c r="QPH975" s="252"/>
      <c r="QPI975" s="252"/>
      <c r="QPJ975" s="252"/>
      <c r="QPK975" s="252"/>
      <c r="QPL975" s="252"/>
      <c r="QPM975" s="252"/>
      <c r="QPN975" s="252"/>
      <c r="QPO975" s="252"/>
      <c r="QPP975" s="252"/>
      <c r="QPQ975" s="252"/>
      <c r="QPR975" s="252"/>
      <c r="QPS975" s="252"/>
      <c r="QPT975" s="252"/>
      <c r="QPU975" s="252"/>
      <c r="QPV975" s="252"/>
      <c r="QPW975" s="252"/>
      <c r="QPX975" s="252"/>
      <c r="QPY975" s="252"/>
      <c r="QPZ975" s="252"/>
      <c r="QQA975" s="252"/>
      <c r="QQB975" s="252"/>
      <c r="QQC975" s="252"/>
      <c r="QQD975" s="252"/>
      <c r="QQE975" s="252"/>
      <c r="QQF975" s="252"/>
      <c r="QQG975" s="252"/>
      <c r="QQH975" s="252"/>
      <c r="QQI975" s="252"/>
      <c r="QQJ975" s="252"/>
      <c r="QQK975" s="252"/>
      <c r="QQL975" s="252"/>
      <c r="QQM975" s="252"/>
      <c r="QQN975" s="252"/>
      <c r="QQO975" s="252"/>
      <c r="QQP975" s="252"/>
      <c r="QQQ975" s="252"/>
      <c r="QQR975" s="252"/>
      <c r="QQS975" s="252"/>
      <c r="QQT975" s="252"/>
      <c r="QQU975" s="252"/>
      <c r="QQV975" s="252"/>
      <c r="QQW975" s="252"/>
      <c r="QQX975" s="252"/>
      <c r="QQY975" s="252"/>
      <c r="QQZ975" s="252"/>
      <c r="QRA975" s="252"/>
      <c r="QRB975" s="252"/>
      <c r="QRC975" s="252"/>
      <c r="QRD975" s="252"/>
      <c r="QRE975" s="252"/>
      <c r="QRF975" s="252"/>
      <c r="QRG975" s="252"/>
      <c r="QRH975" s="252"/>
      <c r="QRI975" s="252"/>
      <c r="QRJ975" s="252"/>
      <c r="QRK975" s="252"/>
      <c r="QRL975" s="252"/>
      <c r="QRM975" s="252"/>
      <c r="QRN975" s="252"/>
      <c r="QRO975" s="252"/>
      <c r="QRP975" s="252"/>
      <c r="QRQ975" s="252"/>
      <c r="QRR975" s="252"/>
      <c r="QRS975" s="252"/>
      <c r="QRT975" s="252"/>
      <c r="QRU975" s="252"/>
      <c r="QRV975" s="252"/>
      <c r="QRW975" s="252"/>
      <c r="QRX975" s="252"/>
      <c r="QRY975" s="252"/>
      <c r="QRZ975" s="252"/>
      <c r="QSA975" s="252"/>
      <c r="QSB975" s="252"/>
      <c r="QSC975" s="252"/>
      <c r="QSD975" s="252"/>
      <c r="QSE975" s="252"/>
      <c r="QSF975" s="252"/>
      <c r="QSG975" s="252"/>
      <c r="QSH975" s="252"/>
      <c r="QSI975" s="252"/>
      <c r="QSJ975" s="252"/>
      <c r="QSK975" s="252"/>
      <c r="QSL975" s="252"/>
      <c r="QSM975" s="252"/>
      <c r="QSN975" s="252"/>
      <c r="QSO975" s="252"/>
      <c r="QSP975" s="252"/>
      <c r="QSQ975" s="252"/>
      <c r="QSR975" s="252"/>
      <c r="QSS975" s="252"/>
      <c r="QST975" s="252"/>
      <c r="QSU975" s="252"/>
      <c r="QSV975" s="252"/>
      <c r="QSW975" s="252"/>
      <c r="QSX975" s="252"/>
      <c r="QSY975" s="252"/>
      <c r="QSZ975" s="252"/>
      <c r="QTA975" s="252"/>
      <c r="QTB975" s="252"/>
      <c r="QTC975" s="252"/>
      <c r="QTD975" s="252"/>
      <c r="QTE975" s="252"/>
      <c r="QTF975" s="252"/>
      <c r="QTG975" s="252"/>
      <c r="QTH975" s="252"/>
      <c r="QTI975" s="252"/>
      <c r="QTJ975" s="252"/>
      <c r="QTK975" s="252"/>
      <c r="QTL975" s="252"/>
      <c r="QTM975" s="252"/>
      <c r="QTN975" s="252"/>
      <c r="QTO975" s="252"/>
      <c r="QTP975" s="252"/>
      <c r="QTQ975" s="252"/>
      <c r="QTR975" s="252"/>
      <c r="QTS975" s="252"/>
      <c r="QTT975" s="252"/>
      <c r="QTU975" s="252"/>
      <c r="QTV975" s="252"/>
      <c r="QTW975" s="252"/>
      <c r="QTX975" s="252"/>
      <c r="QTY975" s="252"/>
      <c r="QTZ975" s="252"/>
      <c r="QUA975" s="252"/>
      <c r="QUB975" s="252"/>
      <c r="QUC975" s="252"/>
      <c r="QUD975" s="252"/>
      <c r="QUE975" s="252"/>
      <c r="QUF975" s="252"/>
      <c r="QUG975" s="252"/>
      <c r="QUH975" s="252"/>
      <c r="QUI975" s="252"/>
      <c r="QUJ975" s="252"/>
      <c r="QUK975" s="252"/>
      <c r="QUL975" s="252"/>
      <c r="QUM975" s="252"/>
      <c r="QUN975" s="252"/>
      <c r="QUO975" s="252"/>
      <c r="QUP975" s="252"/>
      <c r="QUQ975" s="252"/>
      <c r="QUR975" s="252"/>
      <c r="QUS975" s="252"/>
      <c r="QUT975" s="252"/>
      <c r="QUU975" s="252"/>
      <c r="QUV975" s="252"/>
      <c r="QUW975" s="252"/>
      <c r="QUX975" s="252"/>
      <c r="QUY975" s="252"/>
      <c r="QUZ975" s="252"/>
      <c r="QVA975" s="252"/>
      <c r="QVB975" s="252"/>
      <c r="QVC975" s="252"/>
      <c r="QVD975" s="252"/>
      <c r="QVE975" s="252"/>
      <c r="QVF975" s="252"/>
      <c r="QVG975" s="252"/>
      <c r="QVH975" s="252"/>
      <c r="QVI975" s="252"/>
      <c r="QVJ975" s="252"/>
      <c r="QVK975" s="252"/>
      <c r="QVL975" s="252"/>
      <c r="QVM975" s="252"/>
      <c r="QVN975" s="252"/>
      <c r="QVO975" s="252"/>
      <c r="QVP975" s="252"/>
      <c r="QVQ975" s="252"/>
      <c r="QVR975" s="252"/>
      <c r="QVS975" s="252"/>
      <c r="QVT975" s="252"/>
      <c r="QVU975" s="252"/>
      <c r="QVV975" s="252"/>
      <c r="QVW975" s="252"/>
      <c r="QVX975" s="252"/>
      <c r="QVY975" s="252"/>
      <c r="QVZ975" s="252"/>
      <c r="QWA975" s="252"/>
      <c r="QWB975" s="252"/>
      <c r="QWC975" s="252"/>
      <c r="QWD975" s="252"/>
      <c r="QWE975" s="252"/>
      <c r="QWF975" s="252"/>
      <c r="QWG975" s="252"/>
      <c r="QWH975" s="252"/>
      <c r="QWI975" s="252"/>
      <c r="QWJ975" s="252"/>
      <c r="QWK975" s="252"/>
      <c r="QWL975" s="252"/>
      <c r="QWM975" s="252"/>
      <c r="QWN975" s="252"/>
      <c r="QWO975" s="252"/>
      <c r="QWP975" s="252"/>
      <c r="QWQ975" s="252"/>
      <c r="QWR975" s="252"/>
      <c r="QWS975" s="252"/>
      <c r="QWT975" s="252"/>
      <c r="QWU975" s="252"/>
      <c r="QWV975" s="252"/>
      <c r="QWW975" s="252"/>
      <c r="QWX975" s="252"/>
      <c r="QWY975" s="252"/>
      <c r="QWZ975" s="252"/>
      <c r="QXA975" s="252"/>
      <c r="QXB975" s="252"/>
      <c r="QXC975" s="252"/>
      <c r="QXD975" s="252"/>
      <c r="QXE975" s="252"/>
      <c r="QXF975" s="252"/>
      <c r="QXG975" s="252"/>
      <c r="QXH975" s="252"/>
      <c r="QXI975" s="252"/>
      <c r="QXJ975" s="252"/>
      <c r="QXK975" s="252"/>
      <c r="QXL975" s="252"/>
      <c r="QXM975" s="252"/>
      <c r="QXN975" s="252"/>
      <c r="QXO975" s="252"/>
      <c r="QXP975" s="252"/>
      <c r="QXQ975" s="252"/>
      <c r="QXR975" s="252"/>
      <c r="QXS975" s="252"/>
      <c r="QXT975" s="252"/>
      <c r="QXU975" s="252"/>
      <c r="QXV975" s="252"/>
      <c r="QXW975" s="252"/>
      <c r="QXX975" s="252"/>
      <c r="QXY975" s="252"/>
      <c r="QXZ975" s="252"/>
      <c r="QYA975" s="252"/>
      <c r="QYB975" s="252"/>
      <c r="QYC975" s="252"/>
      <c r="QYD975" s="252"/>
      <c r="QYE975" s="252"/>
      <c r="QYF975" s="252"/>
      <c r="QYG975" s="252"/>
      <c r="QYH975" s="252"/>
      <c r="QYI975" s="252"/>
      <c r="QYJ975" s="252"/>
      <c r="QYK975" s="252"/>
      <c r="QYL975" s="252"/>
      <c r="QYM975" s="252"/>
      <c r="QYN975" s="252"/>
      <c r="QYO975" s="252"/>
      <c r="QYP975" s="252"/>
      <c r="QYQ975" s="252"/>
      <c r="QYR975" s="252"/>
      <c r="QYS975" s="252"/>
      <c r="QYT975" s="252"/>
      <c r="QYU975" s="252"/>
      <c r="QYV975" s="252"/>
      <c r="QYW975" s="252"/>
      <c r="QYX975" s="252"/>
      <c r="QYY975" s="252"/>
      <c r="QYZ975" s="252"/>
      <c r="QZA975" s="252"/>
      <c r="QZB975" s="252"/>
      <c r="QZC975" s="252"/>
      <c r="QZD975" s="252"/>
      <c r="QZE975" s="252"/>
      <c r="QZF975" s="252"/>
      <c r="QZG975" s="252"/>
      <c r="QZH975" s="252"/>
      <c r="QZI975" s="252"/>
      <c r="QZJ975" s="252"/>
      <c r="QZK975" s="252"/>
      <c r="QZL975" s="252"/>
      <c r="QZM975" s="252"/>
      <c r="QZN975" s="252"/>
      <c r="QZO975" s="252"/>
      <c r="QZP975" s="252"/>
      <c r="QZQ975" s="252"/>
      <c r="QZR975" s="252"/>
      <c r="QZS975" s="252"/>
      <c r="QZT975" s="252"/>
      <c r="QZU975" s="252"/>
      <c r="QZV975" s="252"/>
      <c r="QZW975" s="252"/>
      <c r="QZX975" s="252"/>
      <c r="QZY975" s="252"/>
      <c r="QZZ975" s="252"/>
      <c r="RAA975" s="252"/>
      <c r="RAB975" s="252"/>
      <c r="RAC975" s="252"/>
      <c r="RAD975" s="252"/>
      <c r="RAE975" s="252"/>
      <c r="RAF975" s="252"/>
      <c r="RAG975" s="252"/>
      <c r="RAH975" s="252"/>
      <c r="RAI975" s="252"/>
      <c r="RAJ975" s="252"/>
      <c r="RAK975" s="252"/>
      <c r="RAL975" s="252"/>
      <c r="RAM975" s="252"/>
      <c r="RAN975" s="252"/>
      <c r="RAO975" s="252"/>
      <c r="RAP975" s="252"/>
      <c r="RAQ975" s="252"/>
      <c r="RAR975" s="252"/>
      <c r="RAS975" s="252"/>
      <c r="RAT975" s="252"/>
      <c r="RAU975" s="252"/>
      <c r="RAV975" s="252"/>
      <c r="RAW975" s="252"/>
      <c r="RAX975" s="252"/>
      <c r="RAY975" s="252"/>
      <c r="RAZ975" s="252"/>
      <c r="RBA975" s="252"/>
      <c r="RBB975" s="252"/>
      <c r="RBC975" s="252"/>
      <c r="RBD975" s="252"/>
      <c r="RBE975" s="252"/>
      <c r="RBF975" s="252"/>
      <c r="RBG975" s="252"/>
      <c r="RBH975" s="252"/>
      <c r="RBI975" s="252"/>
      <c r="RBJ975" s="252"/>
      <c r="RBK975" s="252"/>
      <c r="RBL975" s="252"/>
      <c r="RBM975" s="252"/>
      <c r="RBN975" s="252"/>
      <c r="RBO975" s="252"/>
      <c r="RBP975" s="252"/>
      <c r="RBQ975" s="252"/>
      <c r="RBR975" s="252"/>
      <c r="RBS975" s="252"/>
      <c r="RBT975" s="252"/>
      <c r="RBU975" s="252"/>
      <c r="RBV975" s="252"/>
      <c r="RBW975" s="252"/>
      <c r="RBX975" s="252"/>
      <c r="RBY975" s="252"/>
      <c r="RBZ975" s="252"/>
      <c r="RCA975" s="252"/>
      <c r="RCB975" s="252"/>
      <c r="RCC975" s="252"/>
      <c r="RCD975" s="252"/>
      <c r="RCE975" s="252"/>
      <c r="RCF975" s="252"/>
      <c r="RCG975" s="252"/>
      <c r="RCH975" s="252"/>
      <c r="RCI975" s="252"/>
      <c r="RCJ975" s="252"/>
      <c r="RCK975" s="252"/>
      <c r="RCL975" s="252"/>
      <c r="RCM975" s="252"/>
      <c r="RCN975" s="252"/>
      <c r="RCO975" s="252"/>
      <c r="RCP975" s="252"/>
      <c r="RCQ975" s="252"/>
      <c r="RCR975" s="252"/>
      <c r="RCS975" s="252"/>
      <c r="RCT975" s="252"/>
      <c r="RCU975" s="252"/>
      <c r="RCV975" s="252"/>
      <c r="RCW975" s="252"/>
      <c r="RCX975" s="252"/>
      <c r="RCY975" s="252"/>
      <c r="RCZ975" s="252"/>
      <c r="RDA975" s="252"/>
      <c r="RDB975" s="252"/>
      <c r="RDC975" s="252"/>
      <c r="RDD975" s="252"/>
      <c r="RDE975" s="252"/>
      <c r="RDF975" s="252"/>
      <c r="RDG975" s="252"/>
      <c r="RDH975" s="252"/>
      <c r="RDI975" s="252"/>
      <c r="RDJ975" s="252"/>
      <c r="RDK975" s="252"/>
      <c r="RDL975" s="252"/>
      <c r="RDM975" s="252"/>
      <c r="RDN975" s="252"/>
      <c r="RDO975" s="252"/>
      <c r="RDP975" s="252"/>
      <c r="RDQ975" s="252"/>
      <c r="RDR975" s="252"/>
      <c r="RDS975" s="252"/>
      <c r="RDT975" s="252"/>
      <c r="RDU975" s="252"/>
      <c r="RDV975" s="252"/>
      <c r="RDW975" s="252"/>
      <c r="RDX975" s="252"/>
      <c r="RDY975" s="252"/>
      <c r="RDZ975" s="252"/>
      <c r="REA975" s="252"/>
      <c r="REB975" s="252"/>
      <c r="REC975" s="252"/>
      <c r="RED975" s="252"/>
      <c r="REE975" s="252"/>
      <c r="REF975" s="252"/>
      <c r="REG975" s="252"/>
      <c r="REH975" s="252"/>
      <c r="REI975" s="252"/>
      <c r="REJ975" s="252"/>
      <c r="REK975" s="252"/>
      <c r="REL975" s="252"/>
      <c r="REM975" s="252"/>
      <c r="REN975" s="252"/>
      <c r="REO975" s="252"/>
      <c r="REP975" s="252"/>
      <c r="REQ975" s="252"/>
      <c r="RER975" s="252"/>
      <c r="RES975" s="252"/>
      <c r="RET975" s="252"/>
      <c r="REU975" s="252"/>
      <c r="REV975" s="252"/>
      <c r="REW975" s="252"/>
      <c r="REX975" s="252"/>
      <c r="REY975" s="252"/>
      <c r="REZ975" s="252"/>
      <c r="RFA975" s="252"/>
      <c r="RFB975" s="252"/>
      <c r="RFC975" s="252"/>
      <c r="RFD975" s="252"/>
      <c r="RFE975" s="252"/>
      <c r="RFF975" s="252"/>
      <c r="RFG975" s="252"/>
      <c r="RFH975" s="252"/>
      <c r="RFI975" s="252"/>
      <c r="RFJ975" s="252"/>
      <c r="RFK975" s="252"/>
      <c r="RFL975" s="252"/>
      <c r="RFM975" s="252"/>
      <c r="RFN975" s="252"/>
      <c r="RFO975" s="252"/>
      <c r="RFP975" s="252"/>
      <c r="RFQ975" s="252"/>
      <c r="RFR975" s="252"/>
      <c r="RFS975" s="252"/>
      <c r="RFT975" s="252"/>
      <c r="RFU975" s="252"/>
      <c r="RFV975" s="252"/>
      <c r="RFW975" s="252"/>
      <c r="RFX975" s="252"/>
      <c r="RFY975" s="252"/>
      <c r="RFZ975" s="252"/>
      <c r="RGA975" s="252"/>
      <c r="RGB975" s="252"/>
      <c r="RGC975" s="252"/>
      <c r="RGD975" s="252"/>
      <c r="RGE975" s="252"/>
      <c r="RGF975" s="252"/>
      <c r="RGG975" s="252"/>
      <c r="RGH975" s="252"/>
      <c r="RGI975" s="252"/>
      <c r="RGJ975" s="252"/>
      <c r="RGK975" s="252"/>
      <c r="RGL975" s="252"/>
      <c r="RGM975" s="252"/>
      <c r="RGN975" s="252"/>
      <c r="RGO975" s="252"/>
      <c r="RGP975" s="252"/>
      <c r="RGQ975" s="252"/>
      <c r="RGR975" s="252"/>
      <c r="RGS975" s="252"/>
      <c r="RGT975" s="252"/>
      <c r="RGU975" s="252"/>
      <c r="RGV975" s="252"/>
      <c r="RGW975" s="252"/>
      <c r="RGX975" s="252"/>
      <c r="RGY975" s="252"/>
      <c r="RGZ975" s="252"/>
      <c r="RHA975" s="252"/>
      <c r="RHB975" s="252"/>
      <c r="RHC975" s="252"/>
      <c r="RHD975" s="252"/>
      <c r="RHE975" s="252"/>
      <c r="RHF975" s="252"/>
      <c r="RHG975" s="252"/>
      <c r="RHH975" s="252"/>
      <c r="RHI975" s="252"/>
      <c r="RHJ975" s="252"/>
      <c r="RHK975" s="252"/>
      <c r="RHL975" s="252"/>
      <c r="RHM975" s="252"/>
      <c r="RHN975" s="252"/>
      <c r="RHO975" s="252"/>
      <c r="RHP975" s="252"/>
      <c r="RHQ975" s="252"/>
      <c r="RHR975" s="252"/>
      <c r="RHS975" s="252"/>
      <c r="RHT975" s="252"/>
      <c r="RHU975" s="252"/>
      <c r="RHV975" s="252"/>
      <c r="RHW975" s="252"/>
      <c r="RHX975" s="252"/>
      <c r="RHY975" s="252"/>
      <c r="RHZ975" s="252"/>
      <c r="RIA975" s="252"/>
      <c r="RIB975" s="252"/>
      <c r="RIC975" s="252"/>
      <c r="RID975" s="252"/>
      <c r="RIE975" s="252"/>
      <c r="RIF975" s="252"/>
      <c r="RIG975" s="252"/>
      <c r="RIH975" s="252"/>
      <c r="RII975" s="252"/>
      <c r="RIJ975" s="252"/>
      <c r="RIK975" s="252"/>
      <c r="RIL975" s="252"/>
      <c r="RIM975" s="252"/>
      <c r="RIN975" s="252"/>
      <c r="RIO975" s="252"/>
      <c r="RIP975" s="252"/>
      <c r="RIQ975" s="252"/>
      <c r="RIR975" s="252"/>
      <c r="RIS975" s="252"/>
      <c r="RIT975" s="252"/>
      <c r="RIU975" s="252"/>
      <c r="RIV975" s="252"/>
      <c r="RIW975" s="252"/>
      <c r="RIX975" s="252"/>
      <c r="RIY975" s="252"/>
      <c r="RIZ975" s="252"/>
      <c r="RJA975" s="252"/>
      <c r="RJB975" s="252"/>
      <c r="RJC975" s="252"/>
      <c r="RJD975" s="252"/>
      <c r="RJE975" s="252"/>
      <c r="RJF975" s="252"/>
      <c r="RJG975" s="252"/>
      <c r="RJH975" s="252"/>
      <c r="RJI975" s="252"/>
      <c r="RJJ975" s="252"/>
      <c r="RJK975" s="252"/>
      <c r="RJL975" s="252"/>
      <c r="RJM975" s="252"/>
      <c r="RJN975" s="252"/>
      <c r="RJO975" s="252"/>
      <c r="RJP975" s="252"/>
      <c r="RJQ975" s="252"/>
      <c r="RJR975" s="252"/>
      <c r="RJS975" s="252"/>
      <c r="RJT975" s="252"/>
      <c r="RJU975" s="252"/>
      <c r="RJV975" s="252"/>
      <c r="RJW975" s="252"/>
      <c r="RJX975" s="252"/>
      <c r="RJY975" s="252"/>
      <c r="RJZ975" s="252"/>
      <c r="RKA975" s="252"/>
      <c r="RKB975" s="252"/>
      <c r="RKC975" s="252"/>
      <c r="RKD975" s="252"/>
      <c r="RKE975" s="252"/>
      <c r="RKF975" s="252"/>
      <c r="RKG975" s="252"/>
      <c r="RKH975" s="252"/>
      <c r="RKI975" s="252"/>
      <c r="RKJ975" s="252"/>
      <c r="RKK975" s="252"/>
      <c r="RKL975" s="252"/>
      <c r="RKM975" s="252"/>
      <c r="RKN975" s="252"/>
      <c r="RKO975" s="252"/>
      <c r="RKP975" s="252"/>
      <c r="RKQ975" s="252"/>
      <c r="RKR975" s="252"/>
      <c r="RKS975" s="252"/>
      <c r="RKT975" s="252"/>
      <c r="RKU975" s="252"/>
      <c r="RKV975" s="252"/>
      <c r="RKW975" s="252"/>
      <c r="RKX975" s="252"/>
      <c r="RKY975" s="252"/>
      <c r="RKZ975" s="252"/>
      <c r="RLA975" s="252"/>
      <c r="RLB975" s="252"/>
      <c r="RLC975" s="252"/>
      <c r="RLD975" s="252"/>
      <c r="RLE975" s="252"/>
      <c r="RLF975" s="252"/>
      <c r="RLG975" s="252"/>
      <c r="RLH975" s="252"/>
      <c r="RLI975" s="252"/>
      <c r="RLJ975" s="252"/>
      <c r="RLK975" s="252"/>
      <c r="RLL975" s="252"/>
      <c r="RLM975" s="252"/>
      <c r="RLN975" s="252"/>
      <c r="RLO975" s="252"/>
      <c r="RLP975" s="252"/>
      <c r="RLQ975" s="252"/>
      <c r="RLR975" s="252"/>
      <c r="RLS975" s="252"/>
      <c r="RLT975" s="252"/>
      <c r="RLU975" s="252"/>
      <c r="RLV975" s="252"/>
      <c r="RLW975" s="252"/>
      <c r="RLX975" s="252"/>
      <c r="RLY975" s="252"/>
      <c r="RLZ975" s="252"/>
      <c r="RMA975" s="252"/>
      <c r="RMB975" s="252"/>
      <c r="RMC975" s="252"/>
      <c r="RMD975" s="252"/>
      <c r="RME975" s="252"/>
      <c r="RMF975" s="252"/>
      <c r="RMG975" s="252"/>
      <c r="RMH975" s="252"/>
      <c r="RMI975" s="252"/>
      <c r="RMJ975" s="252"/>
      <c r="RMK975" s="252"/>
      <c r="RML975" s="252"/>
      <c r="RMM975" s="252"/>
      <c r="RMN975" s="252"/>
      <c r="RMO975" s="252"/>
      <c r="RMP975" s="252"/>
      <c r="RMQ975" s="252"/>
      <c r="RMR975" s="252"/>
      <c r="RMS975" s="252"/>
      <c r="RMT975" s="252"/>
      <c r="RMU975" s="252"/>
      <c r="RMV975" s="252"/>
      <c r="RMW975" s="252"/>
      <c r="RMX975" s="252"/>
      <c r="RMY975" s="252"/>
      <c r="RMZ975" s="252"/>
      <c r="RNA975" s="252"/>
      <c r="RNB975" s="252"/>
      <c r="RNC975" s="252"/>
      <c r="RND975" s="252"/>
      <c r="RNE975" s="252"/>
      <c r="RNF975" s="252"/>
      <c r="RNG975" s="252"/>
      <c r="RNH975" s="252"/>
      <c r="RNI975" s="252"/>
      <c r="RNJ975" s="252"/>
      <c r="RNK975" s="252"/>
      <c r="RNL975" s="252"/>
      <c r="RNM975" s="252"/>
      <c r="RNN975" s="252"/>
      <c r="RNO975" s="252"/>
      <c r="RNP975" s="252"/>
      <c r="RNQ975" s="252"/>
      <c r="RNR975" s="252"/>
      <c r="RNS975" s="252"/>
      <c r="RNT975" s="252"/>
      <c r="RNU975" s="252"/>
      <c r="RNV975" s="252"/>
      <c r="RNW975" s="252"/>
      <c r="RNX975" s="252"/>
      <c r="RNY975" s="252"/>
      <c r="RNZ975" s="252"/>
      <c r="ROA975" s="252"/>
      <c r="ROB975" s="252"/>
      <c r="ROC975" s="252"/>
      <c r="ROD975" s="252"/>
      <c r="ROE975" s="252"/>
      <c r="ROF975" s="252"/>
      <c r="ROG975" s="252"/>
      <c r="ROH975" s="252"/>
      <c r="ROI975" s="252"/>
      <c r="ROJ975" s="252"/>
      <c r="ROK975" s="252"/>
      <c r="ROL975" s="252"/>
      <c r="ROM975" s="252"/>
      <c r="RON975" s="252"/>
      <c r="ROO975" s="252"/>
      <c r="ROP975" s="252"/>
      <c r="ROQ975" s="252"/>
      <c r="ROR975" s="252"/>
      <c r="ROS975" s="252"/>
      <c r="ROT975" s="252"/>
      <c r="ROU975" s="252"/>
      <c r="ROV975" s="252"/>
      <c r="ROW975" s="252"/>
      <c r="ROX975" s="252"/>
      <c r="ROY975" s="252"/>
      <c r="ROZ975" s="252"/>
      <c r="RPA975" s="252"/>
      <c r="RPB975" s="252"/>
      <c r="RPC975" s="252"/>
      <c r="RPD975" s="252"/>
      <c r="RPE975" s="252"/>
      <c r="RPF975" s="252"/>
      <c r="RPG975" s="252"/>
      <c r="RPH975" s="252"/>
      <c r="RPI975" s="252"/>
      <c r="RPJ975" s="252"/>
      <c r="RPK975" s="252"/>
      <c r="RPL975" s="252"/>
      <c r="RPM975" s="252"/>
      <c r="RPN975" s="252"/>
      <c r="RPO975" s="252"/>
      <c r="RPP975" s="252"/>
      <c r="RPQ975" s="252"/>
      <c r="RPR975" s="252"/>
      <c r="RPS975" s="252"/>
      <c r="RPT975" s="252"/>
      <c r="RPU975" s="252"/>
      <c r="RPV975" s="252"/>
      <c r="RPW975" s="252"/>
      <c r="RPX975" s="252"/>
      <c r="RPY975" s="252"/>
      <c r="RPZ975" s="252"/>
      <c r="RQA975" s="252"/>
      <c r="RQB975" s="252"/>
      <c r="RQC975" s="252"/>
      <c r="RQD975" s="252"/>
      <c r="RQE975" s="252"/>
      <c r="RQF975" s="252"/>
      <c r="RQG975" s="252"/>
      <c r="RQH975" s="252"/>
      <c r="RQI975" s="252"/>
      <c r="RQJ975" s="252"/>
      <c r="RQK975" s="252"/>
      <c r="RQL975" s="252"/>
      <c r="RQM975" s="252"/>
      <c r="RQN975" s="252"/>
      <c r="RQO975" s="252"/>
      <c r="RQP975" s="252"/>
      <c r="RQQ975" s="252"/>
      <c r="RQR975" s="252"/>
      <c r="RQS975" s="252"/>
      <c r="RQT975" s="252"/>
      <c r="RQU975" s="252"/>
      <c r="RQV975" s="252"/>
      <c r="RQW975" s="252"/>
      <c r="RQX975" s="252"/>
      <c r="RQY975" s="252"/>
      <c r="RQZ975" s="252"/>
      <c r="RRA975" s="252"/>
      <c r="RRB975" s="252"/>
      <c r="RRC975" s="252"/>
      <c r="RRD975" s="252"/>
      <c r="RRE975" s="252"/>
      <c r="RRF975" s="252"/>
      <c r="RRG975" s="252"/>
      <c r="RRH975" s="252"/>
      <c r="RRI975" s="252"/>
      <c r="RRJ975" s="252"/>
      <c r="RRK975" s="252"/>
      <c r="RRL975" s="252"/>
      <c r="RRM975" s="252"/>
      <c r="RRN975" s="252"/>
      <c r="RRO975" s="252"/>
      <c r="RRP975" s="252"/>
      <c r="RRQ975" s="252"/>
      <c r="RRR975" s="252"/>
      <c r="RRS975" s="252"/>
      <c r="RRT975" s="252"/>
      <c r="RRU975" s="252"/>
      <c r="RRV975" s="252"/>
      <c r="RRW975" s="252"/>
      <c r="RRX975" s="252"/>
      <c r="RRY975" s="252"/>
      <c r="RRZ975" s="252"/>
      <c r="RSA975" s="252"/>
      <c r="RSB975" s="252"/>
      <c r="RSC975" s="252"/>
      <c r="RSD975" s="252"/>
      <c r="RSE975" s="252"/>
      <c r="RSF975" s="252"/>
      <c r="RSG975" s="252"/>
      <c r="RSH975" s="252"/>
      <c r="RSI975" s="252"/>
      <c r="RSJ975" s="252"/>
      <c r="RSK975" s="252"/>
      <c r="RSL975" s="252"/>
      <c r="RSM975" s="252"/>
      <c r="RSN975" s="252"/>
      <c r="RSO975" s="252"/>
      <c r="RSP975" s="252"/>
      <c r="RSQ975" s="252"/>
      <c r="RSR975" s="252"/>
      <c r="RSS975" s="252"/>
      <c r="RST975" s="252"/>
      <c r="RSU975" s="252"/>
      <c r="RSV975" s="252"/>
      <c r="RSW975" s="252"/>
      <c r="RSX975" s="252"/>
      <c r="RSY975" s="252"/>
      <c r="RSZ975" s="252"/>
      <c r="RTA975" s="252"/>
      <c r="RTB975" s="252"/>
      <c r="RTC975" s="252"/>
      <c r="RTD975" s="252"/>
      <c r="RTE975" s="252"/>
      <c r="RTF975" s="252"/>
      <c r="RTG975" s="252"/>
      <c r="RTH975" s="252"/>
      <c r="RTI975" s="252"/>
      <c r="RTJ975" s="252"/>
      <c r="RTK975" s="252"/>
      <c r="RTL975" s="252"/>
      <c r="RTM975" s="252"/>
      <c r="RTN975" s="252"/>
      <c r="RTO975" s="252"/>
      <c r="RTP975" s="252"/>
      <c r="RTQ975" s="252"/>
      <c r="RTR975" s="252"/>
      <c r="RTS975" s="252"/>
      <c r="RTT975" s="252"/>
      <c r="RTU975" s="252"/>
      <c r="RTV975" s="252"/>
      <c r="RTW975" s="252"/>
      <c r="RTX975" s="252"/>
      <c r="RTY975" s="252"/>
      <c r="RTZ975" s="252"/>
      <c r="RUA975" s="252"/>
      <c r="RUB975" s="252"/>
      <c r="RUC975" s="252"/>
      <c r="RUD975" s="252"/>
      <c r="RUE975" s="252"/>
      <c r="RUF975" s="252"/>
      <c r="RUG975" s="252"/>
      <c r="RUH975" s="252"/>
      <c r="RUI975" s="252"/>
      <c r="RUJ975" s="252"/>
      <c r="RUK975" s="252"/>
      <c r="RUL975" s="252"/>
      <c r="RUM975" s="252"/>
      <c r="RUN975" s="252"/>
      <c r="RUO975" s="252"/>
      <c r="RUP975" s="252"/>
      <c r="RUQ975" s="252"/>
      <c r="RUR975" s="252"/>
      <c r="RUS975" s="252"/>
      <c r="RUT975" s="252"/>
      <c r="RUU975" s="252"/>
      <c r="RUV975" s="252"/>
      <c r="RUW975" s="252"/>
      <c r="RUX975" s="252"/>
      <c r="RUY975" s="252"/>
      <c r="RUZ975" s="252"/>
      <c r="RVA975" s="252"/>
      <c r="RVB975" s="252"/>
      <c r="RVC975" s="252"/>
      <c r="RVD975" s="252"/>
      <c r="RVE975" s="252"/>
      <c r="RVF975" s="252"/>
      <c r="RVG975" s="252"/>
      <c r="RVH975" s="252"/>
      <c r="RVI975" s="252"/>
      <c r="RVJ975" s="252"/>
      <c r="RVK975" s="252"/>
      <c r="RVL975" s="252"/>
      <c r="RVM975" s="252"/>
      <c r="RVN975" s="252"/>
      <c r="RVO975" s="252"/>
      <c r="RVP975" s="252"/>
      <c r="RVQ975" s="252"/>
      <c r="RVR975" s="252"/>
      <c r="RVS975" s="252"/>
      <c r="RVT975" s="252"/>
      <c r="RVU975" s="252"/>
      <c r="RVV975" s="252"/>
      <c r="RVW975" s="252"/>
      <c r="RVX975" s="252"/>
      <c r="RVY975" s="252"/>
      <c r="RVZ975" s="252"/>
      <c r="RWA975" s="252"/>
      <c r="RWB975" s="252"/>
      <c r="RWC975" s="252"/>
      <c r="RWD975" s="252"/>
      <c r="RWE975" s="252"/>
      <c r="RWF975" s="252"/>
      <c r="RWG975" s="252"/>
      <c r="RWH975" s="252"/>
      <c r="RWI975" s="252"/>
      <c r="RWJ975" s="252"/>
      <c r="RWK975" s="252"/>
      <c r="RWL975" s="252"/>
      <c r="RWM975" s="252"/>
      <c r="RWN975" s="252"/>
      <c r="RWO975" s="252"/>
      <c r="RWP975" s="252"/>
      <c r="RWQ975" s="252"/>
      <c r="RWR975" s="252"/>
      <c r="RWS975" s="252"/>
      <c r="RWT975" s="252"/>
      <c r="RWU975" s="252"/>
      <c r="RWV975" s="252"/>
      <c r="RWW975" s="252"/>
      <c r="RWX975" s="252"/>
      <c r="RWY975" s="252"/>
      <c r="RWZ975" s="252"/>
      <c r="RXA975" s="252"/>
      <c r="RXB975" s="252"/>
      <c r="RXC975" s="252"/>
      <c r="RXD975" s="252"/>
      <c r="RXE975" s="252"/>
      <c r="RXF975" s="252"/>
      <c r="RXG975" s="252"/>
      <c r="RXH975" s="252"/>
      <c r="RXI975" s="252"/>
      <c r="RXJ975" s="252"/>
      <c r="RXK975" s="252"/>
      <c r="RXL975" s="252"/>
      <c r="RXM975" s="252"/>
      <c r="RXN975" s="252"/>
      <c r="RXO975" s="252"/>
      <c r="RXP975" s="252"/>
      <c r="RXQ975" s="252"/>
      <c r="RXR975" s="252"/>
      <c r="RXS975" s="252"/>
      <c r="RXT975" s="252"/>
      <c r="RXU975" s="252"/>
      <c r="RXV975" s="252"/>
      <c r="RXW975" s="252"/>
      <c r="RXX975" s="252"/>
      <c r="RXY975" s="252"/>
      <c r="RXZ975" s="252"/>
      <c r="RYA975" s="252"/>
      <c r="RYB975" s="252"/>
      <c r="RYC975" s="252"/>
      <c r="RYD975" s="252"/>
      <c r="RYE975" s="252"/>
      <c r="RYF975" s="252"/>
      <c r="RYG975" s="252"/>
      <c r="RYH975" s="252"/>
      <c r="RYI975" s="252"/>
      <c r="RYJ975" s="252"/>
      <c r="RYK975" s="252"/>
      <c r="RYL975" s="252"/>
      <c r="RYM975" s="252"/>
      <c r="RYN975" s="252"/>
      <c r="RYO975" s="252"/>
      <c r="RYP975" s="252"/>
      <c r="RYQ975" s="252"/>
      <c r="RYR975" s="252"/>
      <c r="RYS975" s="252"/>
      <c r="RYT975" s="252"/>
      <c r="RYU975" s="252"/>
      <c r="RYV975" s="252"/>
      <c r="RYW975" s="252"/>
      <c r="RYX975" s="252"/>
      <c r="RYY975" s="252"/>
      <c r="RYZ975" s="252"/>
      <c r="RZA975" s="252"/>
      <c r="RZB975" s="252"/>
      <c r="RZC975" s="252"/>
      <c r="RZD975" s="252"/>
      <c r="RZE975" s="252"/>
      <c r="RZF975" s="252"/>
      <c r="RZG975" s="252"/>
      <c r="RZH975" s="252"/>
      <c r="RZI975" s="252"/>
      <c r="RZJ975" s="252"/>
      <c r="RZK975" s="252"/>
      <c r="RZL975" s="252"/>
      <c r="RZM975" s="252"/>
      <c r="RZN975" s="252"/>
      <c r="RZO975" s="252"/>
      <c r="RZP975" s="252"/>
      <c r="RZQ975" s="252"/>
      <c r="RZR975" s="252"/>
      <c r="RZS975" s="252"/>
      <c r="RZT975" s="252"/>
      <c r="RZU975" s="252"/>
      <c r="RZV975" s="252"/>
      <c r="RZW975" s="252"/>
      <c r="RZX975" s="252"/>
      <c r="RZY975" s="252"/>
      <c r="RZZ975" s="252"/>
      <c r="SAA975" s="252"/>
      <c r="SAB975" s="252"/>
      <c r="SAC975" s="252"/>
      <c r="SAD975" s="252"/>
      <c r="SAE975" s="252"/>
      <c r="SAF975" s="252"/>
      <c r="SAG975" s="252"/>
      <c r="SAH975" s="252"/>
      <c r="SAI975" s="252"/>
      <c r="SAJ975" s="252"/>
      <c r="SAK975" s="252"/>
      <c r="SAL975" s="252"/>
      <c r="SAM975" s="252"/>
      <c r="SAN975" s="252"/>
      <c r="SAO975" s="252"/>
      <c r="SAP975" s="252"/>
      <c r="SAQ975" s="252"/>
      <c r="SAR975" s="252"/>
      <c r="SAS975" s="252"/>
      <c r="SAT975" s="252"/>
      <c r="SAU975" s="252"/>
      <c r="SAV975" s="252"/>
      <c r="SAW975" s="252"/>
      <c r="SAX975" s="252"/>
      <c r="SAY975" s="252"/>
      <c r="SAZ975" s="252"/>
      <c r="SBA975" s="252"/>
      <c r="SBB975" s="252"/>
      <c r="SBC975" s="252"/>
      <c r="SBD975" s="252"/>
      <c r="SBE975" s="252"/>
      <c r="SBF975" s="252"/>
      <c r="SBG975" s="252"/>
      <c r="SBH975" s="252"/>
      <c r="SBI975" s="252"/>
      <c r="SBJ975" s="252"/>
      <c r="SBK975" s="252"/>
      <c r="SBL975" s="252"/>
      <c r="SBM975" s="252"/>
      <c r="SBN975" s="252"/>
      <c r="SBO975" s="252"/>
      <c r="SBP975" s="252"/>
      <c r="SBQ975" s="252"/>
      <c r="SBR975" s="252"/>
      <c r="SBS975" s="252"/>
      <c r="SBT975" s="252"/>
      <c r="SBU975" s="252"/>
      <c r="SBV975" s="252"/>
      <c r="SBW975" s="252"/>
      <c r="SBX975" s="252"/>
      <c r="SBY975" s="252"/>
      <c r="SBZ975" s="252"/>
      <c r="SCA975" s="252"/>
      <c r="SCB975" s="252"/>
      <c r="SCC975" s="252"/>
      <c r="SCD975" s="252"/>
      <c r="SCE975" s="252"/>
      <c r="SCF975" s="252"/>
      <c r="SCG975" s="252"/>
      <c r="SCH975" s="252"/>
      <c r="SCI975" s="252"/>
      <c r="SCJ975" s="252"/>
      <c r="SCK975" s="252"/>
      <c r="SCL975" s="252"/>
      <c r="SCM975" s="252"/>
      <c r="SCN975" s="252"/>
      <c r="SCO975" s="252"/>
      <c r="SCP975" s="252"/>
      <c r="SCQ975" s="252"/>
      <c r="SCR975" s="252"/>
      <c r="SCS975" s="252"/>
      <c r="SCT975" s="252"/>
      <c r="SCU975" s="252"/>
      <c r="SCV975" s="252"/>
      <c r="SCW975" s="252"/>
      <c r="SCX975" s="252"/>
      <c r="SCY975" s="252"/>
      <c r="SCZ975" s="252"/>
      <c r="SDA975" s="252"/>
      <c r="SDB975" s="252"/>
      <c r="SDC975" s="252"/>
      <c r="SDD975" s="252"/>
      <c r="SDE975" s="252"/>
      <c r="SDF975" s="252"/>
      <c r="SDG975" s="252"/>
      <c r="SDH975" s="252"/>
      <c r="SDI975" s="252"/>
      <c r="SDJ975" s="252"/>
      <c r="SDK975" s="252"/>
      <c r="SDL975" s="252"/>
      <c r="SDM975" s="252"/>
      <c r="SDN975" s="252"/>
      <c r="SDO975" s="252"/>
      <c r="SDP975" s="252"/>
      <c r="SDQ975" s="252"/>
      <c r="SDR975" s="252"/>
      <c r="SDS975" s="252"/>
      <c r="SDT975" s="252"/>
      <c r="SDU975" s="252"/>
      <c r="SDV975" s="252"/>
      <c r="SDW975" s="252"/>
      <c r="SDX975" s="252"/>
      <c r="SDY975" s="252"/>
      <c r="SDZ975" s="252"/>
      <c r="SEA975" s="252"/>
      <c r="SEB975" s="252"/>
      <c r="SEC975" s="252"/>
      <c r="SED975" s="252"/>
      <c r="SEE975" s="252"/>
      <c r="SEF975" s="252"/>
      <c r="SEG975" s="252"/>
      <c r="SEH975" s="252"/>
      <c r="SEI975" s="252"/>
      <c r="SEJ975" s="252"/>
      <c r="SEK975" s="252"/>
      <c r="SEL975" s="252"/>
      <c r="SEM975" s="252"/>
      <c r="SEN975" s="252"/>
      <c r="SEO975" s="252"/>
      <c r="SEP975" s="252"/>
      <c r="SEQ975" s="252"/>
      <c r="SER975" s="252"/>
      <c r="SES975" s="252"/>
      <c r="SET975" s="252"/>
      <c r="SEU975" s="252"/>
      <c r="SEV975" s="252"/>
      <c r="SEW975" s="252"/>
      <c r="SEX975" s="252"/>
      <c r="SEY975" s="252"/>
      <c r="SEZ975" s="252"/>
      <c r="SFA975" s="252"/>
      <c r="SFB975" s="252"/>
      <c r="SFC975" s="252"/>
      <c r="SFD975" s="252"/>
      <c r="SFE975" s="252"/>
      <c r="SFF975" s="252"/>
      <c r="SFG975" s="252"/>
      <c r="SFH975" s="252"/>
      <c r="SFI975" s="252"/>
      <c r="SFJ975" s="252"/>
      <c r="SFK975" s="252"/>
      <c r="SFL975" s="252"/>
      <c r="SFM975" s="252"/>
      <c r="SFN975" s="252"/>
      <c r="SFO975" s="252"/>
      <c r="SFP975" s="252"/>
      <c r="SFQ975" s="252"/>
      <c r="SFR975" s="252"/>
      <c r="SFS975" s="252"/>
      <c r="SFT975" s="252"/>
      <c r="SFU975" s="252"/>
      <c r="SFV975" s="252"/>
      <c r="SFW975" s="252"/>
      <c r="SFX975" s="252"/>
      <c r="SFY975" s="252"/>
      <c r="SFZ975" s="252"/>
      <c r="SGA975" s="252"/>
      <c r="SGB975" s="252"/>
      <c r="SGC975" s="252"/>
      <c r="SGD975" s="252"/>
      <c r="SGE975" s="252"/>
      <c r="SGF975" s="252"/>
      <c r="SGG975" s="252"/>
      <c r="SGH975" s="252"/>
      <c r="SGI975" s="252"/>
      <c r="SGJ975" s="252"/>
      <c r="SGK975" s="252"/>
      <c r="SGL975" s="252"/>
      <c r="SGM975" s="252"/>
      <c r="SGN975" s="252"/>
      <c r="SGO975" s="252"/>
      <c r="SGP975" s="252"/>
      <c r="SGQ975" s="252"/>
      <c r="SGR975" s="252"/>
      <c r="SGS975" s="252"/>
      <c r="SGT975" s="252"/>
      <c r="SGU975" s="252"/>
      <c r="SGV975" s="252"/>
      <c r="SGW975" s="252"/>
      <c r="SGX975" s="252"/>
      <c r="SGY975" s="252"/>
      <c r="SGZ975" s="252"/>
      <c r="SHA975" s="252"/>
      <c r="SHB975" s="252"/>
      <c r="SHC975" s="252"/>
      <c r="SHD975" s="252"/>
      <c r="SHE975" s="252"/>
      <c r="SHF975" s="252"/>
      <c r="SHG975" s="252"/>
      <c r="SHH975" s="252"/>
      <c r="SHI975" s="252"/>
      <c r="SHJ975" s="252"/>
      <c r="SHK975" s="252"/>
      <c r="SHL975" s="252"/>
      <c r="SHM975" s="252"/>
      <c r="SHN975" s="252"/>
      <c r="SHO975" s="252"/>
      <c r="SHP975" s="252"/>
      <c r="SHQ975" s="252"/>
      <c r="SHR975" s="252"/>
      <c r="SHS975" s="252"/>
      <c r="SHT975" s="252"/>
      <c r="SHU975" s="252"/>
      <c r="SHV975" s="252"/>
      <c r="SHW975" s="252"/>
      <c r="SHX975" s="252"/>
      <c r="SHY975" s="252"/>
      <c r="SHZ975" s="252"/>
      <c r="SIA975" s="252"/>
      <c r="SIB975" s="252"/>
      <c r="SIC975" s="252"/>
      <c r="SID975" s="252"/>
      <c r="SIE975" s="252"/>
      <c r="SIF975" s="252"/>
      <c r="SIG975" s="252"/>
      <c r="SIH975" s="252"/>
      <c r="SII975" s="252"/>
      <c r="SIJ975" s="252"/>
      <c r="SIK975" s="252"/>
      <c r="SIL975" s="252"/>
      <c r="SIM975" s="252"/>
      <c r="SIN975" s="252"/>
      <c r="SIO975" s="252"/>
      <c r="SIP975" s="252"/>
      <c r="SIQ975" s="252"/>
      <c r="SIR975" s="252"/>
      <c r="SIS975" s="252"/>
      <c r="SIT975" s="252"/>
      <c r="SIU975" s="252"/>
      <c r="SIV975" s="252"/>
      <c r="SIW975" s="252"/>
      <c r="SIX975" s="252"/>
      <c r="SIY975" s="252"/>
      <c r="SIZ975" s="252"/>
      <c r="SJA975" s="252"/>
      <c r="SJB975" s="252"/>
      <c r="SJC975" s="252"/>
      <c r="SJD975" s="252"/>
      <c r="SJE975" s="252"/>
      <c r="SJF975" s="252"/>
      <c r="SJG975" s="252"/>
      <c r="SJH975" s="252"/>
      <c r="SJI975" s="252"/>
      <c r="SJJ975" s="252"/>
      <c r="SJK975" s="252"/>
      <c r="SJL975" s="252"/>
      <c r="SJM975" s="252"/>
      <c r="SJN975" s="252"/>
      <c r="SJO975" s="252"/>
      <c r="SJP975" s="252"/>
      <c r="SJQ975" s="252"/>
      <c r="SJR975" s="252"/>
      <c r="SJS975" s="252"/>
      <c r="SJT975" s="252"/>
      <c r="SJU975" s="252"/>
      <c r="SJV975" s="252"/>
      <c r="SJW975" s="252"/>
      <c r="SJX975" s="252"/>
      <c r="SJY975" s="252"/>
      <c r="SJZ975" s="252"/>
      <c r="SKA975" s="252"/>
      <c r="SKB975" s="252"/>
      <c r="SKC975" s="252"/>
      <c r="SKD975" s="252"/>
      <c r="SKE975" s="252"/>
      <c r="SKF975" s="252"/>
      <c r="SKG975" s="252"/>
      <c r="SKH975" s="252"/>
      <c r="SKI975" s="252"/>
      <c r="SKJ975" s="252"/>
      <c r="SKK975" s="252"/>
      <c r="SKL975" s="252"/>
      <c r="SKM975" s="252"/>
      <c r="SKN975" s="252"/>
      <c r="SKO975" s="252"/>
      <c r="SKP975" s="252"/>
      <c r="SKQ975" s="252"/>
      <c r="SKR975" s="252"/>
      <c r="SKS975" s="252"/>
      <c r="SKT975" s="252"/>
      <c r="SKU975" s="252"/>
      <c r="SKV975" s="252"/>
      <c r="SKW975" s="252"/>
      <c r="SKX975" s="252"/>
      <c r="SKY975" s="252"/>
      <c r="SKZ975" s="252"/>
      <c r="SLA975" s="252"/>
      <c r="SLB975" s="252"/>
      <c r="SLC975" s="252"/>
      <c r="SLD975" s="252"/>
      <c r="SLE975" s="252"/>
      <c r="SLF975" s="252"/>
      <c r="SLG975" s="252"/>
      <c r="SLH975" s="252"/>
      <c r="SLI975" s="252"/>
      <c r="SLJ975" s="252"/>
      <c r="SLK975" s="252"/>
      <c r="SLL975" s="252"/>
      <c r="SLM975" s="252"/>
      <c r="SLN975" s="252"/>
      <c r="SLO975" s="252"/>
      <c r="SLP975" s="252"/>
      <c r="SLQ975" s="252"/>
      <c r="SLR975" s="252"/>
      <c r="SLS975" s="252"/>
      <c r="SLT975" s="252"/>
      <c r="SLU975" s="252"/>
      <c r="SLV975" s="252"/>
      <c r="SLW975" s="252"/>
      <c r="SLX975" s="252"/>
      <c r="SLY975" s="252"/>
      <c r="SLZ975" s="252"/>
      <c r="SMA975" s="252"/>
      <c r="SMB975" s="252"/>
      <c r="SMC975" s="252"/>
      <c r="SMD975" s="252"/>
      <c r="SME975" s="252"/>
      <c r="SMF975" s="252"/>
      <c r="SMG975" s="252"/>
      <c r="SMH975" s="252"/>
      <c r="SMI975" s="252"/>
      <c r="SMJ975" s="252"/>
      <c r="SMK975" s="252"/>
      <c r="SML975" s="252"/>
      <c r="SMM975" s="252"/>
      <c r="SMN975" s="252"/>
      <c r="SMO975" s="252"/>
      <c r="SMP975" s="252"/>
      <c r="SMQ975" s="252"/>
      <c r="SMR975" s="252"/>
      <c r="SMS975" s="252"/>
      <c r="SMT975" s="252"/>
      <c r="SMU975" s="252"/>
      <c r="SMV975" s="252"/>
      <c r="SMW975" s="252"/>
      <c r="SMX975" s="252"/>
      <c r="SMY975" s="252"/>
      <c r="SMZ975" s="252"/>
      <c r="SNA975" s="252"/>
      <c r="SNB975" s="252"/>
      <c r="SNC975" s="252"/>
      <c r="SND975" s="252"/>
      <c r="SNE975" s="252"/>
      <c r="SNF975" s="252"/>
      <c r="SNG975" s="252"/>
      <c r="SNH975" s="252"/>
      <c r="SNI975" s="252"/>
      <c r="SNJ975" s="252"/>
      <c r="SNK975" s="252"/>
      <c r="SNL975" s="252"/>
      <c r="SNM975" s="252"/>
      <c r="SNN975" s="252"/>
      <c r="SNO975" s="252"/>
      <c r="SNP975" s="252"/>
      <c r="SNQ975" s="252"/>
      <c r="SNR975" s="252"/>
      <c r="SNS975" s="252"/>
      <c r="SNT975" s="252"/>
      <c r="SNU975" s="252"/>
      <c r="SNV975" s="252"/>
      <c r="SNW975" s="252"/>
      <c r="SNX975" s="252"/>
      <c r="SNY975" s="252"/>
      <c r="SNZ975" s="252"/>
      <c r="SOA975" s="252"/>
      <c r="SOB975" s="252"/>
      <c r="SOC975" s="252"/>
      <c r="SOD975" s="252"/>
      <c r="SOE975" s="252"/>
      <c r="SOF975" s="252"/>
      <c r="SOG975" s="252"/>
      <c r="SOH975" s="252"/>
      <c r="SOI975" s="252"/>
      <c r="SOJ975" s="252"/>
      <c r="SOK975" s="252"/>
      <c r="SOL975" s="252"/>
      <c r="SOM975" s="252"/>
      <c r="SON975" s="252"/>
      <c r="SOO975" s="252"/>
      <c r="SOP975" s="252"/>
      <c r="SOQ975" s="252"/>
      <c r="SOR975" s="252"/>
      <c r="SOS975" s="252"/>
      <c r="SOT975" s="252"/>
      <c r="SOU975" s="252"/>
      <c r="SOV975" s="252"/>
      <c r="SOW975" s="252"/>
      <c r="SOX975" s="252"/>
      <c r="SOY975" s="252"/>
      <c r="SOZ975" s="252"/>
      <c r="SPA975" s="252"/>
      <c r="SPB975" s="252"/>
      <c r="SPC975" s="252"/>
      <c r="SPD975" s="252"/>
      <c r="SPE975" s="252"/>
      <c r="SPF975" s="252"/>
      <c r="SPG975" s="252"/>
      <c r="SPH975" s="252"/>
      <c r="SPI975" s="252"/>
      <c r="SPJ975" s="252"/>
      <c r="SPK975" s="252"/>
      <c r="SPL975" s="252"/>
      <c r="SPM975" s="252"/>
      <c r="SPN975" s="252"/>
      <c r="SPO975" s="252"/>
      <c r="SPP975" s="252"/>
      <c r="SPQ975" s="252"/>
      <c r="SPR975" s="252"/>
      <c r="SPS975" s="252"/>
      <c r="SPT975" s="252"/>
      <c r="SPU975" s="252"/>
      <c r="SPV975" s="252"/>
      <c r="SPW975" s="252"/>
      <c r="SPX975" s="252"/>
      <c r="SPY975" s="252"/>
      <c r="SPZ975" s="252"/>
      <c r="SQA975" s="252"/>
      <c r="SQB975" s="252"/>
      <c r="SQC975" s="252"/>
      <c r="SQD975" s="252"/>
      <c r="SQE975" s="252"/>
      <c r="SQF975" s="252"/>
      <c r="SQG975" s="252"/>
      <c r="SQH975" s="252"/>
      <c r="SQI975" s="252"/>
      <c r="SQJ975" s="252"/>
      <c r="SQK975" s="252"/>
      <c r="SQL975" s="252"/>
      <c r="SQM975" s="252"/>
      <c r="SQN975" s="252"/>
      <c r="SQO975" s="252"/>
      <c r="SQP975" s="252"/>
      <c r="SQQ975" s="252"/>
      <c r="SQR975" s="252"/>
      <c r="SQS975" s="252"/>
      <c r="SQT975" s="252"/>
      <c r="SQU975" s="252"/>
      <c r="SQV975" s="252"/>
      <c r="SQW975" s="252"/>
      <c r="SQX975" s="252"/>
      <c r="SQY975" s="252"/>
      <c r="SQZ975" s="252"/>
      <c r="SRA975" s="252"/>
      <c r="SRB975" s="252"/>
      <c r="SRC975" s="252"/>
      <c r="SRD975" s="252"/>
      <c r="SRE975" s="252"/>
      <c r="SRF975" s="252"/>
      <c r="SRG975" s="252"/>
      <c r="SRH975" s="252"/>
      <c r="SRI975" s="252"/>
      <c r="SRJ975" s="252"/>
      <c r="SRK975" s="252"/>
      <c r="SRL975" s="252"/>
      <c r="SRM975" s="252"/>
      <c r="SRN975" s="252"/>
      <c r="SRO975" s="252"/>
      <c r="SRP975" s="252"/>
      <c r="SRQ975" s="252"/>
      <c r="SRR975" s="252"/>
      <c r="SRS975" s="252"/>
      <c r="SRT975" s="252"/>
      <c r="SRU975" s="252"/>
      <c r="SRV975" s="252"/>
      <c r="SRW975" s="252"/>
      <c r="SRX975" s="252"/>
      <c r="SRY975" s="252"/>
      <c r="SRZ975" s="252"/>
      <c r="SSA975" s="252"/>
      <c r="SSB975" s="252"/>
      <c r="SSC975" s="252"/>
      <c r="SSD975" s="252"/>
      <c r="SSE975" s="252"/>
      <c r="SSF975" s="252"/>
      <c r="SSG975" s="252"/>
      <c r="SSH975" s="252"/>
      <c r="SSI975" s="252"/>
      <c r="SSJ975" s="252"/>
      <c r="SSK975" s="252"/>
      <c r="SSL975" s="252"/>
      <c r="SSM975" s="252"/>
      <c r="SSN975" s="252"/>
      <c r="SSO975" s="252"/>
      <c r="SSP975" s="252"/>
      <c r="SSQ975" s="252"/>
      <c r="SSR975" s="252"/>
      <c r="SSS975" s="252"/>
      <c r="SST975" s="252"/>
      <c r="SSU975" s="252"/>
      <c r="SSV975" s="252"/>
      <c r="SSW975" s="252"/>
      <c r="SSX975" s="252"/>
      <c r="SSY975" s="252"/>
      <c r="SSZ975" s="252"/>
      <c r="STA975" s="252"/>
      <c r="STB975" s="252"/>
      <c r="STC975" s="252"/>
      <c r="STD975" s="252"/>
      <c r="STE975" s="252"/>
      <c r="STF975" s="252"/>
      <c r="STG975" s="252"/>
      <c r="STH975" s="252"/>
      <c r="STI975" s="252"/>
      <c r="STJ975" s="252"/>
      <c r="STK975" s="252"/>
      <c r="STL975" s="252"/>
      <c r="STM975" s="252"/>
      <c r="STN975" s="252"/>
      <c r="STO975" s="252"/>
      <c r="STP975" s="252"/>
      <c r="STQ975" s="252"/>
      <c r="STR975" s="252"/>
      <c r="STS975" s="252"/>
      <c r="STT975" s="252"/>
      <c r="STU975" s="252"/>
      <c r="STV975" s="252"/>
      <c r="STW975" s="252"/>
      <c r="STX975" s="252"/>
      <c r="STY975" s="252"/>
      <c r="STZ975" s="252"/>
      <c r="SUA975" s="252"/>
      <c r="SUB975" s="252"/>
      <c r="SUC975" s="252"/>
      <c r="SUD975" s="252"/>
      <c r="SUE975" s="252"/>
      <c r="SUF975" s="252"/>
      <c r="SUG975" s="252"/>
      <c r="SUH975" s="252"/>
      <c r="SUI975" s="252"/>
      <c r="SUJ975" s="252"/>
      <c r="SUK975" s="252"/>
      <c r="SUL975" s="252"/>
      <c r="SUM975" s="252"/>
      <c r="SUN975" s="252"/>
      <c r="SUO975" s="252"/>
      <c r="SUP975" s="252"/>
      <c r="SUQ975" s="252"/>
      <c r="SUR975" s="252"/>
      <c r="SUS975" s="252"/>
      <c r="SUT975" s="252"/>
      <c r="SUU975" s="252"/>
      <c r="SUV975" s="252"/>
      <c r="SUW975" s="252"/>
      <c r="SUX975" s="252"/>
      <c r="SUY975" s="252"/>
      <c r="SUZ975" s="252"/>
      <c r="SVA975" s="252"/>
      <c r="SVB975" s="252"/>
      <c r="SVC975" s="252"/>
      <c r="SVD975" s="252"/>
      <c r="SVE975" s="252"/>
      <c r="SVF975" s="252"/>
      <c r="SVG975" s="252"/>
      <c r="SVH975" s="252"/>
      <c r="SVI975" s="252"/>
      <c r="SVJ975" s="252"/>
      <c r="SVK975" s="252"/>
      <c r="SVL975" s="252"/>
      <c r="SVM975" s="252"/>
      <c r="SVN975" s="252"/>
      <c r="SVO975" s="252"/>
      <c r="SVP975" s="252"/>
      <c r="SVQ975" s="252"/>
      <c r="SVR975" s="252"/>
      <c r="SVS975" s="252"/>
      <c r="SVT975" s="252"/>
      <c r="SVU975" s="252"/>
      <c r="SVV975" s="252"/>
      <c r="SVW975" s="252"/>
      <c r="SVX975" s="252"/>
      <c r="SVY975" s="252"/>
      <c r="SVZ975" s="252"/>
      <c r="SWA975" s="252"/>
      <c r="SWB975" s="252"/>
      <c r="SWC975" s="252"/>
      <c r="SWD975" s="252"/>
      <c r="SWE975" s="252"/>
      <c r="SWF975" s="252"/>
      <c r="SWG975" s="252"/>
      <c r="SWH975" s="252"/>
      <c r="SWI975" s="252"/>
      <c r="SWJ975" s="252"/>
      <c r="SWK975" s="252"/>
      <c r="SWL975" s="252"/>
      <c r="SWM975" s="252"/>
      <c r="SWN975" s="252"/>
      <c r="SWO975" s="252"/>
      <c r="SWP975" s="252"/>
      <c r="SWQ975" s="252"/>
      <c r="SWR975" s="252"/>
      <c r="SWS975" s="252"/>
      <c r="SWT975" s="252"/>
      <c r="SWU975" s="252"/>
      <c r="SWV975" s="252"/>
      <c r="SWW975" s="252"/>
      <c r="SWX975" s="252"/>
      <c r="SWY975" s="252"/>
      <c r="SWZ975" s="252"/>
      <c r="SXA975" s="252"/>
      <c r="SXB975" s="252"/>
      <c r="SXC975" s="252"/>
      <c r="SXD975" s="252"/>
      <c r="SXE975" s="252"/>
      <c r="SXF975" s="252"/>
      <c r="SXG975" s="252"/>
      <c r="SXH975" s="252"/>
      <c r="SXI975" s="252"/>
      <c r="SXJ975" s="252"/>
      <c r="SXK975" s="252"/>
      <c r="SXL975" s="252"/>
      <c r="SXM975" s="252"/>
      <c r="SXN975" s="252"/>
      <c r="SXO975" s="252"/>
      <c r="SXP975" s="252"/>
      <c r="SXQ975" s="252"/>
      <c r="SXR975" s="252"/>
      <c r="SXS975" s="252"/>
      <c r="SXT975" s="252"/>
      <c r="SXU975" s="252"/>
      <c r="SXV975" s="252"/>
      <c r="SXW975" s="252"/>
      <c r="SXX975" s="252"/>
      <c r="SXY975" s="252"/>
      <c r="SXZ975" s="252"/>
      <c r="SYA975" s="252"/>
      <c r="SYB975" s="252"/>
      <c r="SYC975" s="252"/>
      <c r="SYD975" s="252"/>
      <c r="SYE975" s="252"/>
      <c r="SYF975" s="252"/>
      <c r="SYG975" s="252"/>
      <c r="SYH975" s="252"/>
      <c r="SYI975" s="252"/>
      <c r="SYJ975" s="252"/>
      <c r="SYK975" s="252"/>
      <c r="SYL975" s="252"/>
      <c r="SYM975" s="252"/>
      <c r="SYN975" s="252"/>
      <c r="SYO975" s="252"/>
      <c r="SYP975" s="252"/>
      <c r="SYQ975" s="252"/>
      <c r="SYR975" s="252"/>
      <c r="SYS975" s="252"/>
      <c r="SYT975" s="252"/>
      <c r="SYU975" s="252"/>
      <c r="SYV975" s="252"/>
      <c r="SYW975" s="252"/>
      <c r="SYX975" s="252"/>
      <c r="SYY975" s="252"/>
      <c r="SYZ975" s="252"/>
      <c r="SZA975" s="252"/>
      <c r="SZB975" s="252"/>
      <c r="SZC975" s="252"/>
      <c r="SZD975" s="252"/>
      <c r="SZE975" s="252"/>
      <c r="SZF975" s="252"/>
      <c r="SZG975" s="252"/>
      <c r="SZH975" s="252"/>
      <c r="SZI975" s="252"/>
      <c r="SZJ975" s="252"/>
      <c r="SZK975" s="252"/>
      <c r="SZL975" s="252"/>
      <c r="SZM975" s="252"/>
      <c r="SZN975" s="252"/>
      <c r="SZO975" s="252"/>
      <c r="SZP975" s="252"/>
      <c r="SZQ975" s="252"/>
      <c r="SZR975" s="252"/>
      <c r="SZS975" s="252"/>
      <c r="SZT975" s="252"/>
      <c r="SZU975" s="252"/>
      <c r="SZV975" s="252"/>
      <c r="SZW975" s="252"/>
      <c r="SZX975" s="252"/>
      <c r="SZY975" s="252"/>
      <c r="SZZ975" s="252"/>
      <c r="TAA975" s="252"/>
      <c r="TAB975" s="252"/>
      <c r="TAC975" s="252"/>
      <c r="TAD975" s="252"/>
      <c r="TAE975" s="252"/>
      <c r="TAF975" s="252"/>
      <c r="TAG975" s="252"/>
      <c r="TAH975" s="252"/>
      <c r="TAI975" s="252"/>
      <c r="TAJ975" s="252"/>
      <c r="TAK975" s="252"/>
      <c r="TAL975" s="252"/>
      <c r="TAM975" s="252"/>
      <c r="TAN975" s="252"/>
      <c r="TAO975" s="252"/>
      <c r="TAP975" s="252"/>
      <c r="TAQ975" s="252"/>
      <c r="TAR975" s="252"/>
      <c r="TAS975" s="252"/>
      <c r="TAT975" s="252"/>
      <c r="TAU975" s="252"/>
      <c r="TAV975" s="252"/>
      <c r="TAW975" s="252"/>
      <c r="TAX975" s="252"/>
      <c r="TAY975" s="252"/>
      <c r="TAZ975" s="252"/>
      <c r="TBA975" s="252"/>
      <c r="TBB975" s="252"/>
      <c r="TBC975" s="252"/>
      <c r="TBD975" s="252"/>
      <c r="TBE975" s="252"/>
      <c r="TBF975" s="252"/>
      <c r="TBG975" s="252"/>
      <c r="TBH975" s="252"/>
      <c r="TBI975" s="252"/>
      <c r="TBJ975" s="252"/>
      <c r="TBK975" s="252"/>
      <c r="TBL975" s="252"/>
      <c r="TBM975" s="252"/>
      <c r="TBN975" s="252"/>
      <c r="TBO975" s="252"/>
      <c r="TBP975" s="252"/>
      <c r="TBQ975" s="252"/>
      <c r="TBR975" s="252"/>
      <c r="TBS975" s="252"/>
      <c r="TBT975" s="252"/>
      <c r="TBU975" s="252"/>
      <c r="TBV975" s="252"/>
      <c r="TBW975" s="252"/>
      <c r="TBX975" s="252"/>
      <c r="TBY975" s="252"/>
      <c r="TBZ975" s="252"/>
      <c r="TCA975" s="252"/>
      <c r="TCB975" s="252"/>
      <c r="TCC975" s="252"/>
      <c r="TCD975" s="252"/>
      <c r="TCE975" s="252"/>
      <c r="TCF975" s="252"/>
      <c r="TCG975" s="252"/>
      <c r="TCH975" s="252"/>
      <c r="TCI975" s="252"/>
      <c r="TCJ975" s="252"/>
      <c r="TCK975" s="252"/>
      <c r="TCL975" s="252"/>
      <c r="TCM975" s="252"/>
      <c r="TCN975" s="252"/>
      <c r="TCO975" s="252"/>
      <c r="TCP975" s="252"/>
      <c r="TCQ975" s="252"/>
      <c r="TCR975" s="252"/>
      <c r="TCS975" s="252"/>
      <c r="TCT975" s="252"/>
      <c r="TCU975" s="252"/>
      <c r="TCV975" s="252"/>
      <c r="TCW975" s="252"/>
      <c r="TCX975" s="252"/>
      <c r="TCY975" s="252"/>
      <c r="TCZ975" s="252"/>
      <c r="TDA975" s="252"/>
      <c r="TDB975" s="252"/>
      <c r="TDC975" s="252"/>
      <c r="TDD975" s="252"/>
      <c r="TDE975" s="252"/>
      <c r="TDF975" s="252"/>
      <c r="TDG975" s="252"/>
      <c r="TDH975" s="252"/>
      <c r="TDI975" s="252"/>
      <c r="TDJ975" s="252"/>
      <c r="TDK975" s="252"/>
      <c r="TDL975" s="252"/>
      <c r="TDM975" s="252"/>
      <c r="TDN975" s="252"/>
      <c r="TDO975" s="252"/>
      <c r="TDP975" s="252"/>
      <c r="TDQ975" s="252"/>
      <c r="TDR975" s="252"/>
      <c r="TDS975" s="252"/>
      <c r="TDT975" s="252"/>
      <c r="TDU975" s="252"/>
      <c r="TDV975" s="252"/>
      <c r="TDW975" s="252"/>
      <c r="TDX975" s="252"/>
      <c r="TDY975" s="252"/>
      <c r="TDZ975" s="252"/>
      <c r="TEA975" s="252"/>
      <c r="TEB975" s="252"/>
      <c r="TEC975" s="252"/>
      <c r="TED975" s="252"/>
      <c r="TEE975" s="252"/>
      <c r="TEF975" s="252"/>
      <c r="TEG975" s="252"/>
      <c r="TEH975" s="252"/>
      <c r="TEI975" s="252"/>
      <c r="TEJ975" s="252"/>
      <c r="TEK975" s="252"/>
      <c r="TEL975" s="252"/>
      <c r="TEM975" s="252"/>
      <c r="TEN975" s="252"/>
      <c r="TEO975" s="252"/>
      <c r="TEP975" s="252"/>
      <c r="TEQ975" s="252"/>
      <c r="TER975" s="252"/>
      <c r="TES975" s="252"/>
      <c r="TET975" s="252"/>
      <c r="TEU975" s="252"/>
      <c r="TEV975" s="252"/>
      <c r="TEW975" s="252"/>
      <c r="TEX975" s="252"/>
      <c r="TEY975" s="252"/>
      <c r="TEZ975" s="252"/>
      <c r="TFA975" s="252"/>
      <c r="TFB975" s="252"/>
      <c r="TFC975" s="252"/>
      <c r="TFD975" s="252"/>
      <c r="TFE975" s="252"/>
      <c r="TFF975" s="252"/>
      <c r="TFG975" s="252"/>
      <c r="TFH975" s="252"/>
      <c r="TFI975" s="252"/>
      <c r="TFJ975" s="252"/>
      <c r="TFK975" s="252"/>
      <c r="TFL975" s="252"/>
      <c r="TFM975" s="252"/>
      <c r="TFN975" s="252"/>
      <c r="TFO975" s="252"/>
      <c r="TFP975" s="252"/>
      <c r="TFQ975" s="252"/>
      <c r="TFR975" s="252"/>
      <c r="TFS975" s="252"/>
      <c r="TFT975" s="252"/>
      <c r="TFU975" s="252"/>
      <c r="TFV975" s="252"/>
      <c r="TFW975" s="252"/>
      <c r="TFX975" s="252"/>
      <c r="TFY975" s="252"/>
      <c r="TFZ975" s="252"/>
      <c r="TGA975" s="252"/>
      <c r="TGB975" s="252"/>
      <c r="TGC975" s="252"/>
      <c r="TGD975" s="252"/>
      <c r="TGE975" s="252"/>
      <c r="TGF975" s="252"/>
      <c r="TGG975" s="252"/>
      <c r="TGH975" s="252"/>
      <c r="TGI975" s="252"/>
      <c r="TGJ975" s="252"/>
      <c r="TGK975" s="252"/>
      <c r="TGL975" s="252"/>
      <c r="TGM975" s="252"/>
      <c r="TGN975" s="252"/>
      <c r="TGO975" s="252"/>
      <c r="TGP975" s="252"/>
      <c r="TGQ975" s="252"/>
      <c r="TGR975" s="252"/>
      <c r="TGS975" s="252"/>
      <c r="TGT975" s="252"/>
      <c r="TGU975" s="252"/>
      <c r="TGV975" s="252"/>
      <c r="TGW975" s="252"/>
      <c r="TGX975" s="252"/>
      <c r="TGY975" s="252"/>
      <c r="TGZ975" s="252"/>
      <c r="THA975" s="252"/>
      <c r="THB975" s="252"/>
      <c r="THC975" s="252"/>
      <c r="THD975" s="252"/>
      <c r="THE975" s="252"/>
      <c r="THF975" s="252"/>
      <c r="THG975" s="252"/>
      <c r="THH975" s="252"/>
      <c r="THI975" s="252"/>
      <c r="THJ975" s="252"/>
      <c r="THK975" s="252"/>
      <c r="THL975" s="252"/>
      <c r="THM975" s="252"/>
      <c r="THN975" s="252"/>
      <c r="THO975" s="252"/>
      <c r="THP975" s="252"/>
      <c r="THQ975" s="252"/>
      <c r="THR975" s="252"/>
      <c r="THS975" s="252"/>
      <c r="THT975" s="252"/>
      <c r="THU975" s="252"/>
      <c r="THV975" s="252"/>
      <c r="THW975" s="252"/>
      <c r="THX975" s="252"/>
      <c r="THY975" s="252"/>
      <c r="THZ975" s="252"/>
      <c r="TIA975" s="252"/>
      <c r="TIB975" s="252"/>
      <c r="TIC975" s="252"/>
      <c r="TID975" s="252"/>
      <c r="TIE975" s="252"/>
      <c r="TIF975" s="252"/>
      <c r="TIG975" s="252"/>
      <c r="TIH975" s="252"/>
      <c r="TII975" s="252"/>
      <c r="TIJ975" s="252"/>
      <c r="TIK975" s="252"/>
      <c r="TIL975" s="252"/>
      <c r="TIM975" s="252"/>
      <c r="TIN975" s="252"/>
      <c r="TIO975" s="252"/>
      <c r="TIP975" s="252"/>
      <c r="TIQ975" s="252"/>
      <c r="TIR975" s="252"/>
      <c r="TIS975" s="252"/>
      <c r="TIT975" s="252"/>
      <c r="TIU975" s="252"/>
      <c r="TIV975" s="252"/>
      <c r="TIW975" s="252"/>
      <c r="TIX975" s="252"/>
      <c r="TIY975" s="252"/>
      <c r="TIZ975" s="252"/>
      <c r="TJA975" s="252"/>
      <c r="TJB975" s="252"/>
      <c r="TJC975" s="252"/>
      <c r="TJD975" s="252"/>
      <c r="TJE975" s="252"/>
      <c r="TJF975" s="252"/>
      <c r="TJG975" s="252"/>
      <c r="TJH975" s="252"/>
      <c r="TJI975" s="252"/>
      <c r="TJJ975" s="252"/>
      <c r="TJK975" s="252"/>
      <c r="TJL975" s="252"/>
      <c r="TJM975" s="252"/>
      <c r="TJN975" s="252"/>
      <c r="TJO975" s="252"/>
      <c r="TJP975" s="252"/>
      <c r="TJQ975" s="252"/>
      <c r="TJR975" s="252"/>
      <c r="TJS975" s="252"/>
      <c r="TJT975" s="252"/>
      <c r="TJU975" s="252"/>
      <c r="TJV975" s="252"/>
      <c r="TJW975" s="252"/>
      <c r="TJX975" s="252"/>
      <c r="TJY975" s="252"/>
      <c r="TJZ975" s="252"/>
      <c r="TKA975" s="252"/>
      <c r="TKB975" s="252"/>
      <c r="TKC975" s="252"/>
      <c r="TKD975" s="252"/>
      <c r="TKE975" s="252"/>
      <c r="TKF975" s="252"/>
      <c r="TKG975" s="252"/>
      <c r="TKH975" s="252"/>
      <c r="TKI975" s="252"/>
      <c r="TKJ975" s="252"/>
      <c r="TKK975" s="252"/>
      <c r="TKL975" s="252"/>
      <c r="TKM975" s="252"/>
      <c r="TKN975" s="252"/>
      <c r="TKO975" s="252"/>
      <c r="TKP975" s="252"/>
      <c r="TKQ975" s="252"/>
      <c r="TKR975" s="252"/>
      <c r="TKS975" s="252"/>
      <c r="TKT975" s="252"/>
      <c r="TKU975" s="252"/>
      <c r="TKV975" s="252"/>
      <c r="TKW975" s="252"/>
      <c r="TKX975" s="252"/>
      <c r="TKY975" s="252"/>
      <c r="TKZ975" s="252"/>
      <c r="TLA975" s="252"/>
      <c r="TLB975" s="252"/>
      <c r="TLC975" s="252"/>
      <c r="TLD975" s="252"/>
      <c r="TLE975" s="252"/>
      <c r="TLF975" s="252"/>
      <c r="TLG975" s="252"/>
      <c r="TLH975" s="252"/>
      <c r="TLI975" s="252"/>
      <c r="TLJ975" s="252"/>
      <c r="TLK975" s="252"/>
      <c r="TLL975" s="252"/>
      <c r="TLM975" s="252"/>
      <c r="TLN975" s="252"/>
      <c r="TLO975" s="252"/>
      <c r="TLP975" s="252"/>
      <c r="TLQ975" s="252"/>
      <c r="TLR975" s="252"/>
      <c r="TLS975" s="252"/>
      <c r="TLT975" s="252"/>
      <c r="TLU975" s="252"/>
      <c r="TLV975" s="252"/>
      <c r="TLW975" s="252"/>
      <c r="TLX975" s="252"/>
      <c r="TLY975" s="252"/>
      <c r="TLZ975" s="252"/>
      <c r="TMA975" s="252"/>
      <c r="TMB975" s="252"/>
      <c r="TMC975" s="252"/>
      <c r="TMD975" s="252"/>
      <c r="TME975" s="252"/>
      <c r="TMF975" s="252"/>
      <c r="TMG975" s="252"/>
      <c r="TMH975" s="252"/>
      <c r="TMI975" s="252"/>
      <c r="TMJ975" s="252"/>
      <c r="TMK975" s="252"/>
      <c r="TML975" s="252"/>
      <c r="TMM975" s="252"/>
      <c r="TMN975" s="252"/>
      <c r="TMO975" s="252"/>
      <c r="TMP975" s="252"/>
      <c r="TMQ975" s="252"/>
      <c r="TMR975" s="252"/>
      <c r="TMS975" s="252"/>
      <c r="TMT975" s="252"/>
      <c r="TMU975" s="252"/>
      <c r="TMV975" s="252"/>
      <c r="TMW975" s="252"/>
      <c r="TMX975" s="252"/>
      <c r="TMY975" s="252"/>
      <c r="TMZ975" s="252"/>
      <c r="TNA975" s="252"/>
      <c r="TNB975" s="252"/>
      <c r="TNC975" s="252"/>
      <c r="TND975" s="252"/>
      <c r="TNE975" s="252"/>
      <c r="TNF975" s="252"/>
      <c r="TNG975" s="252"/>
      <c r="TNH975" s="252"/>
      <c r="TNI975" s="252"/>
      <c r="TNJ975" s="252"/>
      <c r="TNK975" s="252"/>
      <c r="TNL975" s="252"/>
      <c r="TNM975" s="252"/>
      <c r="TNN975" s="252"/>
      <c r="TNO975" s="252"/>
      <c r="TNP975" s="252"/>
      <c r="TNQ975" s="252"/>
      <c r="TNR975" s="252"/>
      <c r="TNS975" s="252"/>
      <c r="TNT975" s="252"/>
      <c r="TNU975" s="252"/>
      <c r="TNV975" s="252"/>
      <c r="TNW975" s="252"/>
      <c r="TNX975" s="252"/>
      <c r="TNY975" s="252"/>
      <c r="TNZ975" s="252"/>
      <c r="TOA975" s="252"/>
      <c r="TOB975" s="252"/>
      <c r="TOC975" s="252"/>
      <c r="TOD975" s="252"/>
      <c r="TOE975" s="252"/>
      <c r="TOF975" s="252"/>
      <c r="TOG975" s="252"/>
      <c r="TOH975" s="252"/>
      <c r="TOI975" s="252"/>
      <c r="TOJ975" s="252"/>
      <c r="TOK975" s="252"/>
      <c r="TOL975" s="252"/>
      <c r="TOM975" s="252"/>
      <c r="TON975" s="252"/>
      <c r="TOO975" s="252"/>
      <c r="TOP975" s="252"/>
      <c r="TOQ975" s="252"/>
      <c r="TOR975" s="252"/>
      <c r="TOS975" s="252"/>
      <c r="TOT975" s="252"/>
      <c r="TOU975" s="252"/>
      <c r="TOV975" s="252"/>
      <c r="TOW975" s="252"/>
      <c r="TOX975" s="252"/>
      <c r="TOY975" s="252"/>
      <c r="TOZ975" s="252"/>
      <c r="TPA975" s="252"/>
      <c r="TPB975" s="252"/>
      <c r="TPC975" s="252"/>
      <c r="TPD975" s="252"/>
      <c r="TPE975" s="252"/>
      <c r="TPF975" s="252"/>
      <c r="TPG975" s="252"/>
      <c r="TPH975" s="252"/>
      <c r="TPI975" s="252"/>
      <c r="TPJ975" s="252"/>
      <c r="TPK975" s="252"/>
      <c r="TPL975" s="252"/>
      <c r="TPM975" s="252"/>
      <c r="TPN975" s="252"/>
      <c r="TPO975" s="252"/>
      <c r="TPP975" s="252"/>
      <c r="TPQ975" s="252"/>
      <c r="TPR975" s="252"/>
      <c r="TPS975" s="252"/>
      <c r="TPT975" s="252"/>
      <c r="TPU975" s="252"/>
      <c r="TPV975" s="252"/>
      <c r="TPW975" s="252"/>
      <c r="TPX975" s="252"/>
      <c r="TPY975" s="252"/>
      <c r="TPZ975" s="252"/>
      <c r="TQA975" s="252"/>
      <c r="TQB975" s="252"/>
      <c r="TQC975" s="252"/>
      <c r="TQD975" s="252"/>
      <c r="TQE975" s="252"/>
      <c r="TQF975" s="252"/>
      <c r="TQG975" s="252"/>
      <c r="TQH975" s="252"/>
      <c r="TQI975" s="252"/>
      <c r="TQJ975" s="252"/>
      <c r="TQK975" s="252"/>
      <c r="TQL975" s="252"/>
      <c r="TQM975" s="252"/>
      <c r="TQN975" s="252"/>
      <c r="TQO975" s="252"/>
      <c r="TQP975" s="252"/>
      <c r="TQQ975" s="252"/>
      <c r="TQR975" s="252"/>
      <c r="TQS975" s="252"/>
      <c r="TQT975" s="252"/>
      <c r="TQU975" s="252"/>
      <c r="TQV975" s="252"/>
      <c r="TQW975" s="252"/>
      <c r="TQX975" s="252"/>
      <c r="TQY975" s="252"/>
      <c r="TQZ975" s="252"/>
      <c r="TRA975" s="252"/>
      <c r="TRB975" s="252"/>
      <c r="TRC975" s="252"/>
      <c r="TRD975" s="252"/>
      <c r="TRE975" s="252"/>
      <c r="TRF975" s="252"/>
      <c r="TRG975" s="252"/>
      <c r="TRH975" s="252"/>
      <c r="TRI975" s="252"/>
      <c r="TRJ975" s="252"/>
      <c r="TRK975" s="252"/>
      <c r="TRL975" s="252"/>
      <c r="TRM975" s="252"/>
      <c r="TRN975" s="252"/>
      <c r="TRO975" s="252"/>
      <c r="TRP975" s="252"/>
      <c r="TRQ975" s="252"/>
      <c r="TRR975" s="252"/>
      <c r="TRS975" s="252"/>
      <c r="TRT975" s="252"/>
      <c r="TRU975" s="252"/>
      <c r="TRV975" s="252"/>
      <c r="TRW975" s="252"/>
      <c r="TRX975" s="252"/>
      <c r="TRY975" s="252"/>
      <c r="TRZ975" s="252"/>
      <c r="TSA975" s="252"/>
      <c r="TSB975" s="252"/>
      <c r="TSC975" s="252"/>
      <c r="TSD975" s="252"/>
      <c r="TSE975" s="252"/>
      <c r="TSF975" s="252"/>
      <c r="TSG975" s="252"/>
      <c r="TSH975" s="252"/>
      <c r="TSI975" s="252"/>
      <c r="TSJ975" s="252"/>
      <c r="TSK975" s="252"/>
      <c r="TSL975" s="252"/>
      <c r="TSM975" s="252"/>
      <c r="TSN975" s="252"/>
      <c r="TSO975" s="252"/>
      <c r="TSP975" s="252"/>
      <c r="TSQ975" s="252"/>
      <c r="TSR975" s="252"/>
      <c r="TSS975" s="252"/>
      <c r="TST975" s="252"/>
      <c r="TSU975" s="252"/>
      <c r="TSV975" s="252"/>
      <c r="TSW975" s="252"/>
      <c r="TSX975" s="252"/>
      <c r="TSY975" s="252"/>
      <c r="TSZ975" s="252"/>
      <c r="TTA975" s="252"/>
      <c r="TTB975" s="252"/>
      <c r="TTC975" s="252"/>
      <c r="TTD975" s="252"/>
      <c r="TTE975" s="252"/>
      <c r="TTF975" s="252"/>
      <c r="TTG975" s="252"/>
      <c r="TTH975" s="252"/>
      <c r="TTI975" s="252"/>
      <c r="TTJ975" s="252"/>
      <c r="TTK975" s="252"/>
      <c r="TTL975" s="252"/>
      <c r="TTM975" s="252"/>
      <c r="TTN975" s="252"/>
      <c r="TTO975" s="252"/>
      <c r="TTP975" s="252"/>
      <c r="TTQ975" s="252"/>
      <c r="TTR975" s="252"/>
      <c r="TTS975" s="252"/>
      <c r="TTT975" s="252"/>
      <c r="TTU975" s="252"/>
      <c r="TTV975" s="252"/>
      <c r="TTW975" s="252"/>
      <c r="TTX975" s="252"/>
      <c r="TTY975" s="252"/>
      <c r="TTZ975" s="252"/>
      <c r="TUA975" s="252"/>
      <c r="TUB975" s="252"/>
      <c r="TUC975" s="252"/>
      <c r="TUD975" s="252"/>
      <c r="TUE975" s="252"/>
      <c r="TUF975" s="252"/>
      <c r="TUG975" s="252"/>
      <c r="TUH975" s="252"/>
      <c r="TUI975" s="252"/>
      <c r="TUJ975" s="252"/>
      <c r="TUK975" s="252"/>
      <c r="TUL975" s="252"/>
      <c r="TUM975" s="252"/>
      <c r="TUN975" s="252"/>
      <c r="TUO975" s="252"/>
      <c r="TUP975" s="252"/>
      <c r="TUQ975" s="252"/>
      <c r="TUR975" s="252"/>
      <c r="TUS975" s="252"/>
      <c r="TUT975" s="252"/>
      <c r="TUU975" s="252"/>
      <c r="TUV975" s="252"/>
      <c r="TUW975" s="252"/>
      <c r="TUX975" s="252"/>
      <c r="TUY975" s="252"/>
      <c r="TUZ975" s="252"/>
      <c r="TVA975" s="252"/>
      <c r="TVB975" s="252"/>
      <c r="TVC975" s="252"/>
      <c r="TVD975" s="252"/>
      <c r="TVE975" s="252"/>
      <c r="TVF975" s="252"/>
      <c r="TVG975" s="252"/>
      <c r="TVH975" s="252"/>
      <c r="TVI975" s="252"/>
      <c r="TVJ975" s="252"/>
      <c r="TVK975" s="252"/>
      <c r="TVL975" s="252"/>
      <c r="TVM975" s="252"/>
      <c r="TVN975" s="252"/>
      <c r="TVO975" s="252"/>
      <c r="TVP975" s="252"/>
      <c r="TVQ975" s="252"/>
      <c r="TVR975" s="252"/>
      <c r="TVS975" s="252"/>
      <c r="TVT975" s="252"/>
      <c r="TVU975" s="252"/>
      <c r="TVV975" s="252"/>
      <c r="TVW975" s="252"/>
      <c r="TVX975" s="252"/>
      <c r="TVY975" s="252"/>
      <c r="TVZ975" s="252"/>
      <c r="TWA975" s="252"/>
      <c r="TWB975" s="252"/>
      <c r="TWC975" s="252"/>
      <c r="TWD975" s="252"/>
      <c r="TWE975" s="252"/>
      <c r="TWF975" s="252"/>
      <c r="TWG975" s="252"/>
      <c r="TWH975" s="252"/>
      <c r="TWI975" s="252"/>
      <c r="TWJ975" s="252"/>
      <c r="TWK975" s="252"/>
      <c r="TWL975" s="252"/>
      <c r="TWM975" s="252"/>
      <c r="TWN975" s="252"/>
      <c r="TWO975" s="252"/>
      <c r="TWP975" s="252"/>
      <c r="TWQ975" s="252"/>
      <c r="TWR975" s="252"/>
      <c r="TWS975" s="252"/>
      <c r="TWT975" s="252"/>
      <c r="TWU975" s="252"/>
      <c r="TWV975" s="252"/>
      <c r="TWW975" s="252"/>
      <c r="TWX975" s="252"/>
      <c r="TWY975" s="252"/>
      <c r="TWZ975" s="252"/>
      <c r="TXA975" s="252"/>
      <c r="TXB975" s="252"/>
      <c r="TXC975" s="252"/>
      <c r="TXD975" s="252"/>
      <c r="TXE975" s="252"/>
      <c r="TXF975" s="252"/>
      <c r="TXG975" s="252"/>
      <c r="TXH975" s="252"/>
      <c r="TXI975" s="252"/>
      <c r="TXJ975" s="252"/>
      <c r="TXK975" s="252"/>
      <c r="TXL975" s="252"/>
      <c r="TXM975" s="252"/>
      <c r="TXN975" s="252"/>
      <c r="TXO975" s="252"/>
      <c r="TXP975" s="252"/>
      <c r="TXQ975" s="252"/>
      <c r="TXR975" s="252"/>
      <c r="TXS975" s="252"/>
      <c r="TXT975" s="252"/>
      <c r="TXU975" s="252"/>
      <c r="TXV975" s="252"/>
      <c r="TXW975" s="252"/>
      <c r="TXX975" s="252"/>
      <c r="TXY975" s="252"/>
      <c r="TXZ975" s="252"/>
      <c r="TYA975" s="252"/>
      <c r="TYB975" s="252"/>
      <c r="TYC975" s="252"/>
      <c r="TYD975" s="252"/>
      <c r="TYE975" s="252"/>
      <c r="TYF975" s="252"/>
      <c r="TYG975" s="252"/>
      <c r="TYH975" s="252"/>
      <c r="TYI975" s="252"/>
      <c r="TYJ975" s="252"/>
      <c r="TYK975" s="252"/>
      <c r="TYL975" s="252"/>
      <c r="TYM975" s="252"/>
      <c r="TYN975" s="252"/>
      <c r="TYO975" s="252"/>
      <c r="TYP975" s="252"/>
      <c r="TYQ975" s="252"/>
      <c r="TYR975" s="252"/>
      <c r="TYS975" s="252"/>
      <c r="TYT975" s="252"/>
      <c r="TYU975" s="252"/>
      <c r="TYV975" s="252"/>
      <c r="TYW975" s="252"/>
      <c r="TYX975" s="252"/>
      <c r="TYY975" s="252"/>
      <c r="TYZ975" s="252"/>
      <c r="TZA975" s="252"/>
      <c r="TZB975" s="252"/>
      <c r="TZC975" s="252"/>
      <c r="TZD975" s="252"/>
      <c r="TZE975" s="252"/>
      <c r="TZF975" s="252"/>
      <c r="TZG975" s="252"/>
      <c r="TZH975" s="252"/>
      <c r="TZI975" s="252"/>
      <c r="TZJ975" s="252"/>
      <c r="TZK975" s="252"/>
      <c r="TZL975" s="252"/>
      <c r="TZM975" s="252"/>
      <c r="TZN975" s="252"/>
      <c r="TZO975" s="252"/>
      <c r="TZP975" s="252"/>
      <c r="TZQ975" s="252"/>
      <c r="TZR975" s="252"/>
      <c r="TZS975" s="252"/>
      <c r="TZT975" s="252"/>
      <c r="TZU975" s="252"/>
      <c r="TZV975" s="252"/>
      <c r="TZW975" s="252"/>
      <c r="TZX975" s="252"/>
      <c r="TZY975" s="252"/>
      <c r="TZZ975" s="252"/>
      <c r="UAA975" s="252"/>
      <c r="UAB975" s="252"/>
      <c r="UAC975" s="252"/>
      <c r="UAD975" s="252"/>
      <c r="UAE975" s="252"/>
      <c r="UAF975" s="252"/>
      <c r="UAG975" s="252"/>
      <c r="UAH975" s="252"/>
      <c r="UAI975" s="252"/>
      <c r="UAJ975" s="252"/>
      <c r="UAK975" s="252"/>
      <c r="UAL975" s="252"/>
      <c r="UAM975" s="252"/>
      <c r="UAN975" s="252"/>
      <c r="UAO975" s="252"/>
      <c r="UAP975" s="252"/>
      <c r="UAQ975" s="252"/>
      <c r="UAR975" s="252"/>
      <c r="UAS975" s="252"/>
      <c r="UAT975" s="252"/>
      <c r="UAU975" s="252"/>
      <c r="UAV975" s="252"/>
      <c r="UAW975" s="252"/>
      <c r="UAX975" s="252"/>
      <c r="UAY975" s="252"/>
      <c r="UAZ975" s="252"/>
      <c r="UBA975" s="252"/>
      <c r="UBB975" s="252"/>
      <c r="UBC975" s="252"/>
      <c r="UBD975" s="252"/>
      <c r="UBE975" s="252"/>
      <c r="UBF975" s="252"/>
      <c r="UBG975" s="252"/>
      <c r="UBH975" s="252"/>
      <c r="UBI975" s="252"/>
      <c r="UBJ975" s="252"/>
      <c r="UBK975" s="252"/>
      <c r="UBL975" s="252"/>
      <c r="UBM975" s="252"/>
      <c r="UBN975" s="252"/>
      <c r="UBO975" s="252"/>
      <c r="UBP975" s="252"/>
      <c r="UBQ975" s="252"/>
      <c r="UBR975" s="252"/>
      <c r="UBS975" s="252"/>
      <c r="UBT975" s="252"/>
      <c r="UBU975" s="252"/>
      <c r="UBV975" s="252"/>
      <c r="UBW975" s="252"/>
      <c r="UBX975" s="252"/>
      <c r="UBY975" s="252"/>
      <c r="UBZ975" s="252"/>
      <c r="UCA975" s="252"/>
      <c r="UCB975" s="252"/>
      <c r="UCC975" s="252"/>
      <c r="UCD975" s="252"/>
      <c r="UCE975" s="252"/>
      <c r="UCF975" s="252"/>
      <c r="UCG975" s="252"/>
      <c r="UCH975" s="252"/>
      <c r="UCI975" s="252"/>
      <c r="UCJ975" s="252"/>
      <c r="UCK975" s="252"/>
      <c r="UCL975" s="252"/>
      <c r="UCM975" s="252"/>
      <c r="UCN975" s="252"/>
      <c r="UCO975" s="252"/>
      <c r="UCP975" s="252"/>
      <c r="UCQ975" s="252"/>
      <c r="UCR975" s="252"/>
      <c r="UCS975" s="252"/>
      <c r="UCT975" s="252"/>
      <c r="UCU975" s="252"/>
      <c r="UCV975" s="252"/>
      <c r="UCW975" s="252"/>
      <c r="UCX975" s="252"/>
      <c r="UCY975" s="252"/>
      <c r="UCZ975" s="252"/>
      <c r="UDA975" s="252"/>
      <c r="UDB975" s="252"/>
      <c r="UDC975" s="252"/>
      <c r="UDD975" s="252"/>
      <c r="UDE975" s="252"/>
      <c r="UDF975" s="252"/>
      <c r="UDG975" s="252"/>
      <c r="UDH975" s="252"/>
      <c r="UDI975" s="252"/>
      <c r="UDJ975" s="252"/>
      <c r="UDK975" s="252"/>
      <c r="UDL975" s="252"/>
      <c r="UDM975" s="252"/>
      <c r="UDN975" s="252"/>
      <c r="UDO975" s="252"/>
      <c r="UDP975" s="252"/>
      <c r="UDQ975" s="252"/>
      <c r="UDR975" s="252"/>
      <c r="UDS975" s="252"/>
      <c r="UDT975" s="252"/>
      <c r="UDU975" s="252"/>
      <c r="UDV975" s="252"/>
      <c r="UDW975" s="252"/>
      <c r="UDX975" s="252"/>
      <c r="UDY975" s="252"/>
      <c r="UDZ975" s="252"/>
      <c r="UEA975" s="252"/>
      <c r="UEB975" s="252"/>
      <c r="UEC975" s="252"/>
      <c r="UED975" s="252"/>
      <c r="UEE975" s="252"/>
      <c r="UEF975" s="252"/>
      <c r="UEG975" s="252"/>
      <c r="UEH975" s="252"/>
      <c r="UEI975" s="252"/>
      <c r="UEJ975" s="252"/>
      <c r="UEK975" s="252"/>
      <c r="UEL975" s="252"/>
      <c r="UEM975" s="252"/>
      <c r="UEN975" s="252"/>
      <c r="UEO975" s="252"/>
      <c r="UEP975" s="252"/>
      <c r="UEQ975" s="252"/>
      <c r="UER975" s="252"/>
      <c r="UES975" s="252"/>
      <c r="UET975" s="252"/>
      <c r="UEU975" s="252"/>
      <c r="UEV975" s="252"/>
      <c r="UEW975" s="252"/>
      <c r="UEX975" s="252"/>
      <c r="UEY975" s="252"/>
      <c r="UEZ975" s="252"/>
      <c r="UFA975" s="252"/>
      <c r="UFB975" s="252"/>
      <c r="UFC975" s="252"/>
      <c r="UFD975" s="252"/>
      <c r="UFE975" s="252"/>
      <c r="UFF975" s="252"/>
      <c r="UFG975" s="252"/>
      <c r="UFH975" s="252"/>
      <c r="UFI975" s="252"/>
      <c r="UFJ975" s="252"/>
      <c r="UFK975" s="252"/>
      <c r="UFL975" s="252"/>
      <c r="UFM975" s="252"/>
      <c r="UFN975" s="252"/>
      <c r="UFO975" s="252"/>
      <c r="UFP975" s="252"/>
      <c r="UFQ975" s="252"/>
      <c r="UFR975" s="252"/>
      <c r="UFS975" s="252"/>
      <c r="UFT975" s="252"/>
      <c r="UFU975" s="252"/>
      <c r="UFV975" s="252"/>
      <c r="UFW975" s="252"/>
      <c r="UFX975" s="252"/>
      <c r="UFY975" s="252"/>
      <c r="UFZ975" s="252"/>
      <c r="UGA975" s="252"/>
      <c r="UGB975" s="252"/>
      <c r="UGC975" s="252"/>
      <c r="UGD975" s="252"/>
      <c r="UGE975" s="252"/>
      <c r="UGF975" s="252"/>
      <c r="UGG975" s="252"/>
      <c r="UGH975" s="252"/>
      <c r="UGI975" s="252"/>
      <c r="UGJ975" s="252"/>
      <c r="UGK975" s="252"/>
      <c r="UGL975" s="252"/>
      <c r="UGM975" s="252"/>
      <c r="UGN975" s="252"/>
      <c r="UGO975" s="252"/>
      <c r="UGP975" s="252"/>
      <c r="UGQ975" s="252"/>
      <c r="UGR975" s="252"/>
      <c r="UGS975" s="252"/>
      <c r="UGT975" s="252"/>
      <c r="UGU975" s="252"/>
      <c r="UGV975" s="252"/>
      <c r="UGW975" s="252"/>
      <c r="UGX975" s="252"/>
      <c r="UGY975" s="252"/>
      <c r="UGZ975" s="252"/>
      <c r="UHA975" s="252"/>
      <c r="UHB975" s="252"/>
      <c r="UHC975" s="252"/>
      <c r="UHD975" s="252"/>
      <c r="UHE975" s="252"/>
      <c r="UHF975" s="252"/>
      <c r="UHG975" s="252"/>
      <c r="UHH975" s="252"/>
      <c r="UHI975" s="252"/>
      <c r="UHJ975" s="252"/>
      <c r="UHK975" s="252"/>
      <c r="UHL975" s="252"/>
      <c r="UHM975" s="252"/>
      <c r="UHN975" s="252"/>
      <c r="UHO975" s="252"/>
      <c r="UHP975" s="252"/>
      <c r="UHQ975" s="252"/>
      <c r="UHR975" s="252"/>
      <c r="UHS975" s="252"/>
      <c r="UHT975" s="252"/>
      <c r="UHU975" s="252"/>
      <c r="UHV975" s="252"/>
      <c r="UHW975" s="252"/>
      <c r="UHX975" s="252"/>
      <c r="UHY975" s="252"/>
      <c r="UHZ975" s="252"/>
      <c r="UIA975" s="252"/>
      <c r="UIB975" s="252"/>
      <c r="UIC975" s="252"/>
      <c r="UID975" s="252"/>
      <c r="UIE975" s="252"/>
      <c r="UIF975" s="252"/>
      <c r="UIG975" s="252"/>
      <c r="UIH975" s="252"/>
      <c r="UII975" s="252"/>
      <c r="UIJ975" s="252"/>
      <c r="UIK975" s="252"/>
      <c r="UIL975" s="252"/>
      <c r="UIM975" s="252"/>
      <c r="UIN975" s="252"/>
      <c r="UIO975" s="252"/>
      <c r="UIP975" s="252"/>
      <c r="UIQ975" s="252"/>
      <c r="UIR975" s="252"/>
      <c r="UIS975" s="252"/>
      <c r="UIT975" s="252"/>
      <c r="UIU975" s="252"/>
      <c r="UIV975" s="252"/>
      <c r="UIW975" s="252"/>
      <c r="UIX975" s="252"/>
      <c r="UIY975" s="252"/>
      <c r="UIZ975" s="252"/>
      <c r="UJA975" s="252"/>
      <c r="UJB975" s="252"/>
      <c r="UJC975" s="252"/>
      <c r="UJD975" s="252"/>
      <c r="UJE975" s="252"/>
      <c r="UJF975" s="252"/>
      <c r="UJG975" s="252"/>
      <c r="UJH975" s="252"/>
      <c r="UJI975" s="252"/>
      <c r="UJJ975" s="252"/>
      <c r="UJK975" s="252"/>
      <c r="UJL975" s="252"/>
      <c r="UJM975" s="252"/>
      <c r="UJN975" s="252"/>
      <c r="UJO975" s="252"/>
      <c r="UJP975" s="252"/>
      <c r="UJQ975" s="252"/>
      <c r="UJR975" s="252"/>
      <c r="UJS975" s="252"/>
      <c r="UJT975" s="252"/>
      <c r="UJU975" s="252"/>
      <c r="UJV975" s="252"/>
      <c r="UJW975" s="252"/>
      <c r="UJX975" s="252"/>
      <c r="UJY975" s="252"/>
      <c r="UJZ975" s="252"/>
      <c r="UKA975" s="252"/>
      <c r="UKB975" s="252"/>
      <c r="UKC975" s="252"/>
      <c r="UKD975" s="252"/>
      <c r="UKE975" s="252"/>
      <c r="UKF975" s="252"/>
      <c r="UKG975" s="252"/>
      <c r="UKH975" s="252"/>
      <c r="UKI975" s="252"/>
      <c r="UKJ975" s="252"/>
      <c r="UKK975" s="252"/>
      <c r="UKL975" s="252"/>
      <c r="UKM975" s="252"/>
      <c r="UKN975" s="252"/>
      <c r="UKO975" s="252"/>
      <c r="UKP975" s="252"/>
      <c r="UKQ975" s="252"/>
      <c r="UKR975" s="252"/>
      <c r="UKS975" s="252"/>
      <c r="UKT975" s="252"/>
      <c r="UKU975" s="252"/>
      <c r="UKV975" s="252"/>
      <c r="UKW975" s="252"/>
      <c r="UKX975" s="252"/>
      <c r="UKY975" s="252"/>
      <c r="UKZ975" s="252"/>
      <c r="ULA975" s="252"/>
      <c r="ULB975" s="252"/>
      <c r="ULC975" s="252"/>
      <c r="ULD975" s="252"/>
      <c r="ULE975" s="252"/>
      <c r="ULF975" s="252"/>
      <c r="ULG975" s="252"/>
      <c r="ULH975" s="252"/>
      <c r="ULI975" s="252"/>
      <c r="ULJ975" s="252"/>
      <c r="ULK975" s="252"/>
      <c r="ULL975" s="252"/>
      <c r="ULM975" s="252"/>
      <c r="ULN975" s="252"/>
      <c r="ULO975" s="252"/>
      <c r="ULP975" s="252"/>
      <c r="ULQ975" s="252"/>
      <c r="ULR975" s="252"/>
      <c r="ULS975" s="252"/>
      <c r="ULT975" s="252"/>
      <c r="ULU975" s="252"/>
      <c r="ULV975" s="252"/>
      <c r="ULW975" s="252"/>
      <c r="ULX975" s="252"/>
      <c r="ULY975" s="252"/>
      <c r="ULZ975" s="252"/>
      <c r="UMA975" s="252"/>
      <c r="UMB975" s="252"/>
      <c r="UMC975" s="252"/>
      <c r="UMD975" s="252"/>
      <c r="UME975" s="252"/>
      <c r="UMF975" s="252"/>
      <c r="UMG975" s="252"/>
      <c r="UMH975" s="252"/>
      <c r="UMI975" s="252"/>
      <c r="UMJ975" s="252"/>
      <c r="UMK975" s="252"/>
      <c r="UML975" s="252"/>
      <c r="UMM975" s="252"/>
      <c r="UMN975" s="252"/>
      <c r="UMO975" s="252"/>
      <c r="UMP975" s="252"/>
      <c r="UMQ975" s="252"/>
      <c r="UMR975" s="252"/>
      <c r="UMS975" s="252"/>
      <c r="UMT975" s="252"/>
      <c r="UMU975" s="252"/>
      <c r="UMV975" s="252"/>
      <c r="UMW975" s="252"/>
      <c r="UMX975" s="252"/>
      <c r="UMY975" s="252"/>
      <c r="UMZ975" s="252"/>
      <c r="UNA975" s="252"/>
      <c r="UNB975" s="252"/>
      <c r="UNC975" s="252"/>
      <c r="UND975" s="252"/>
      <c r="UNE975" s="252"/>
      <c r="UNF975" s="252"/>
      <c r="UNG975" s="252"/>
      <c r="UNH975" s="252"/>
      <c r="UNI975" s="252"/>
      <c r="UNJ975" s="252"/>
      <c r="UNK975" s="252"/>
      <c r="UNL975" s="252"/>
      <c r="UNM975" s="252"/>
      <c r="UNN975" s="252"/>
      <c r="UNO975" s="252"/>
      <c r="UNP975" s="252"/>
      <c r="UNQ975" s="252"/>
      <c r="UNR975" s="252"/>
      <c r="UNS975" s="252"/>
      <c r="UNT975" s="252"/>
      <c r="UNU975" s="252"/>
      <c r="UNV975" s="252"/>
      <c r="UNW975" s="252"/>
      <c r="UNX975" s="252"/>
      <c r="UNY975" s="252"/>
      <c r="UNZ975" s="252"/>
      <c r="UOA975" s="252"/>
      <c r="UOB975" s="252"/>
      <c r="UOC975" s="252"/>
      <c r="UOD975" s="252"/>
      <c r="UOE975" s="252"/>
      <c r="UOF975" s="252"/>
      <c r="UOG975" s="252"/>
      <c r="UOH975" s="252"/>
      <c r="UOI975" s="252"/>
      <c r="UOJ975" s="252"/>
      <c r="UOK975" s="252"/>
      <c r="UOL975" s="252"/>
      <c r="UOM975" s="252"/>
      <c r="UON975" s="252"/>
      <c r="UOO975" s="252"/>
      <c r="UOP975" s="252"/>
      <c r="UOQ975" s="252"/>
      <c r="UOR975" s="252"/>
      <c r="UOS975" s="252"/>
      <c r="UOT975" s="252"/>
      <c r="UOU975" s="252"/>
      <c r="UOV975" s="252"/>
      <c r="UOW975" s="252"/>
      <c r="UOX975" s="252"/>
      <c r="UOY975" s="252"/>
      <c r="UOZ975" s="252"/>
      <c r="UPA975" s="252"/>
      <c r="UPB975" s="252"/>
      <c r="UPC975" s="252"/>
      <c r="UPD975" s="252"/>
      <c r="UPE975" s="252"/>
      <c r="UPF975" s="252"/>
      <c r="UPG975" s="252"/>
      <c r="UPH975" s="252"/>
      <c r="UPI975" s="252"/>
      <c r="UPJ975" s="252"/>
      <c r="UPK975" s="252"/>
      <c r="UPL975" s="252"/>
      <c r="UPM975" s="252"/>
      <c r="UPN975" s="252"/>
      <c r="UPO975" s="252"/>
      <c r="UPP975" s="252"/>
      <c r="UPQ975" s="252"/>
      <c r="UPR975" s="252"/>
      <c r="UPS975" s="252"/>
      <c r="UPT975" s="252"/>
      <c r="UPU975" s="252"/>
      <c r="UPV975" s="252"/>
      <c r="UPW975" s="252"/>
      <c r="UPX975" s="252"/>
      <c r="UPY975" s="252"/>
      <c r="UPZ975" s="252"/>
      <c r="UQA975" s="252"/>
      <c r="UQB975" s="252"/>
      <c r="UQC975" s="252"/>
      <c r="UQD975" s="252"/>
      <c r="UQE975" s="252"/>
      <c r="UQF975" s="252"/>
      <c r="UQG975" s="252"/>
      <c r="UQH975" s="252"/>
      <c r="UQI975" s="252"/>
      <c r="UQJ975" s="252"/>
      <c r="UQK975" s="252"/>
      <c r="UQL975" s="252"/>
      <c r="UQM975" s="252"/>
      <c r="UQN975" s="252"/>
      <c r="UQO975" s="252"/>
      <c r="UQP975" s="252"/>
      <c r="UQQ975" s="252"/>
      <c r="UQR975" s="252"/>
      <c r="UQS975" s="252"/>
      <c r="UQT975" s="252"/>
      <c r="UQU975" s="252"/>
      <c r="UQV975" s="252"/>
      <c r="UQW975" s="252"/>
      <c r="UQX975" s="252"/>
      <c r="UQY975" s="252"/>
      <c r="UQZ975" s="252"/>
      <c r="URA975" s="252"/>
      <c r="URB975" s="252"/>
      <c r="URC975" s="252"/>
      <c r="URD975" s="252"/>
      <c r="URE975" s="252"/>
      <c r="URF975" s="252"/>
      <c r="URG975" s="252"/>
      <c r="URH975" s="252"/>
      <c r="URI975" s="252"/>
      <c r="URJ975" s="252"/>
      <c r="URK975" s="252"/>
      <c r="URL975" s="252"/>
      <c r="URM975" s="252"/>
      <c r="URN975" s="252"/>
      <c r="URO975" s="252"/>
      <c r="URP975" s="252"/>
      <c r="URQ975" s="252"/>
      <c r="URR975" s="252"/>
      <c r="URS975" s="252"/>
      <c r="URT975" s="252"/>
      <c r="URU975" s="252"/>
      <c r="URV975" s="252"/>
      <c r="URW975" s="252"/>
      <c r="URX975" s="252"/>
      <c r="URY975" s="252"/>
      <c r="URZ975" s="252"/>
      <c r="USA975" s="252"/>
      <c r="USB975" s="252"/>
      <c r="USC975" s="252"/>
      <c r="USD975" s="252"/>
      <c r="USE975" s="252"/>
      <c r="USF975" s="252"/>
      <c r="USG975" s="252"/>
      <c r="USH975" s="252"/>
      <c r="USI975" s="252"/>
      <c r="USJ975" s="252"/>
      <c r="USK975" s="252"/>
      <c r="USL975" s="252"/>
      <c r="USM975" s="252"/>
      <c r="USN975" s="252"/>
      <c r="USO975" s="252"/>
      <c r="USP975" s="252"/>
      <c r="USQ975" s="252"/>
      <c r="USR975" s="252"/>
      <c r="USS975" s="252"/>
      <c r="UST975" s="252"/>
      <c r="USU975" s="252"/>
      <c r="USV975" s="252"/>
      <c r="USW975" s="252"/>
      <c r="USX975" s="252"/>
      <c r="USY975" s="252"/>
      <c r="USZ975" s="252"/>
      <c r="UTA975" s="252"/>
      <c r="UTB975" s="252"/>
      <c r="UTC975" s="252"/>
      <c r="UTD975" s="252"/>
      <c r="UTE975" s="252"/>
      <c r="UTF975" s="252"/>
      <c r="UTG975" s="252"/>
      <c r="UTH975" s="252"/>
      <c r="UTI975" s="252"/>
      <c r="UTJ975" s="252"/>
      <c r="UTK975" s="252"/>
      <c r="UTL975" s="252"/>
      <c r="UTM975" s="252"/>
      <c r="UTN975" s="252"/>
      <c r="UTO975" s="252"/>
      <c r="UTP975" s="252"/>
      <c r="UTQ975" s="252"/>
      <c r="UTR975" s="252"/>
      <c r="UTS975" s="252"/>
      <c r="UTT975" s="252"/>
      <c r="UTU975" s="252"/>
      <c r="UTV975" s="252"/>
      <c r="UTW975" s="252"/>
      <c r="UTX975" s="252"/>
      <c r="UTY975" s="252"/>
      <c r="UTZ975" s="252"/>
      <c r="UUA975" s="252"/>
      <c r="UUB975" s="252"/>
      <c r="UUC975" s="252"/>
      <c r="UUD975" s="252"/>
      <c r="UUE975" s="252"/>
      <c r="UUF975" s="252"/>
      <c r="UUG975" s="252"/>
      <c r="UUH975" s="252"/>
      <c r="UUI975" s="252"/>
      <c r="UUJ975" s="252"/>
      <c r="UUK975" s="252"/>
      <c r="UUL975" s="252"/>
      <c r="UUM975" s="252"/>
      <c r="UUN975" s="252"/>
      <c r="UUO975" s="252"/>
      <c r="UUP975" s="252"/>
      <c r="UUQ975" s="252"/>
      <c r="UUR975" s="252"/>
      <c r="UUS975" s="252"/>
      <c r="UUT975" s="252"/>
      <c r="UUU975" s="252"/>
      <c r="UUV975" s="252"/>
      <c r="UUW975" s="252"/>
      <c r="UUX975" s="252"/>
      <c r="UUY975" s="252"/>
      <c r="UUZ975" s="252"/>
      <c r="UVA975" s="252"/>
      <c r="UVB975" s="252"/>
      <c r="UVC975" s="252"/>
      <c r="UVD975" s="252"/>
      <c r="UVE975" s="252"/>
      <c r="UVF975" s="252"/>
      <c r="UVG975" s="252"/>
      <c r="UVH975" s="252"/>
      <c r="UVI975" s="252"/>
      <c r="UVJ975" s="252"/>
      <c r="UVK975" s="252"/>
      <c r="UVL975" s="252"/>
      <c r="UVM975" s="252"/>
      <c r="UVN975" s="252"/>
      <c r="UVO975" s="252"/>
      <c r="UVP975" s="252"/>
      <c r="UVQ975" s="252"/>
      <c r="UVR975" s="252"/>
      <c r="UVS975" s="252"/>
      <c r="UVT975" s="252"/>
      <c r="UVU975" s="252"/>
      <c r="UVV975" s="252"/>
      <c r="UVW975" s="252"/>
      <c r="UVX975" s="252"/>
      <c r="UVY975" s="252"/>
      <c r="UVZ975" s="252"/>
      <c r="UWA975" s="252"/>
      <c r="UWB975" s="252"/>
      <c r="UWC975" s="252"/>
      <c r="UWD975" s="252"/>
      <c r="UWE975" s="252"/>
      <c r="UWF975" s="252"/>
      <c r="UWG975" s="252"/>
      <c r="UWH975" s="252"/>
      <c r="UWI975" s="252"/>
      <c r="UWJ975" s="252"/>
      <c r="UWK975" s="252"/>
      <c r="UWL975" s="252"/>
      <c r="UWM975" s="252"/>
      <c r="UWN975" s="252"/>
      <c r="UWO975" s="252"/>
      <c r="UWP975" s="252"/>
      <c r="UWQ975" s="252"/>
      <c r="UWR975" s="252"/>
      <c r="UWS975" s="252"/>
      <c r="UWT975" s="252"/>
      <c r="UWU975" s="252"/>
      <c r="UWV975" s="252"/>
      <c r="UWW975" s="252"/>
      <c r="UWX975" s="252"/>
      <c r="UWY975" s="252"/>
      <c r="UWZ975" s="252"/>
      <c r="UXA975" s="252"/>
      <c r="UXB975" s="252"/>
      <c r="UXC975" s="252"/>
      <c r="UXD975" s="252"/>
      <c r="UXE975" s="252"/>
      <c r="UXF975" s="252"/>
      <c r="UXG975" s="252"/>
      <c r="UXH975" s="252"/>
      <c r="UXI975" s="252"/>
      <c r="UXJ975" s="252"/>
      <c r="UXK975" s="252"/>
      <c r="UXL975" s="252"/>
      <c r="UXM975" s="252"/>
      <c r="UXN975" s="252"/>
      <c r="UXO975" s="252"/>
      <c r="UXP975" s="252"/>
      <c r="UXQ975" s="252"/>
      <c r="UXR975" s="252"/>
      <c r="UXS975" s="252"/>
      <c r="UXT975" s="252"/>
      <c r="UXU975" s="252"/>
      <c r="UXV975" s="252"/>
      <c r="UXW975" s="252"/>
      <c r="UXX975" s="252"/>
      <c r="UXY975" s="252"/>
      <c r="UXZ975" s="252"/>
      <c r="UYA975" s="252"/>
      <c r="UYB975" s="252"/>
      <c r="UYC975" s="252"/>
      <c r="UYD975" s="252"/>
      <c r="UYE975" s="252"/>
      <c r="UYF975" s="252"/>
      <c r="UYG975" s="252"/>
      <c r="UYH975" s="252"/>
      <c r="UYI975" s="252"/>
      <c r="UYJ975" s="252"/>
      <c r="UYK975" s="252"/>
      <c r="UYL975" s="252"/>
      <c r="UYM975" s="252"/>
      <c r="UYN975" s="252"/>
      <c r="UYO975" s="252"/>
      <c r="UYP975" s="252"/>
      <c r="UYQ975" s="252"/>
      <c r="UYR975" s="252"/>
      <c r="UYS975" s="252"/>
      <c r="UYT975" s="252"/>
      <c r="UYU975" s="252"/>
      <c r="UYV975" s="252"/>
      <c r="UYW975" s="252"/>
      <c r="UYX975" s="252"/>
      <c r="UYY975" s="252"/>
      <c r="UYZ975" s="252"/>
      <c r="UZA975" s="252"/>
      <c r="UZB975" s="252"/>
      <c r="UZC975" s="252"/>
      <c r="UZD975" s="252"/>
      <c r="UZE975" s="252"/>
      <c r="UZF975" s="252"/>
      <c r="UZG975" s="252"/>
      <c r="UZH975" s="252"/>
      <c r="UZI975" s="252"/>
      <c r="UZJ975" s="252"/>
      <c r="UZK975" s="252"/>
      <c r="UZL975" s="252"/>
      <c r="UZM975" s="252"/>
      <c r="UZN975" s="252"/>
      <c r="UZO975" s="252"/>
      <c r="UZP975" s="252"/>
      <c r="UZQ975" s="252"/>
      <c r="UZR975" s="252"/>
      <c r="UZS975" s="252"/>
      <c r="UZT975" s="252"/>
      <c r="UZU975" s="252"/>
      <c r="UZV975" s="252"/>
      <c r="UZW975" s="252"/>
      <c r="UZX975" s="252"/>
      <c r="UZY975" s="252"/>
      <c r="UZZ975" s="252"/>
      <c r="VAA975" s="252"/>
      <c r="VAB975" s="252"/>
      <c r="VAC975" s="252"/>
      <c r="VAD975" s="252"/>
      <c r="VAE975" s="252"/>
      <c r="VAF975" s="252"/>
      <c r="VAG975" s="252"/>
      <c r="VAH975" s="252"/>
      <c r="VAI975" s="252"/>
      <c r="VAJ975" s="252"/>
      <c r="VAK975" s="252"/>
      <c r="VAL975" s="252"/>
      <c r="VAM975" s="252"/>
      <c r="VAN975" s="252"/>
      <c r="VAO975" s="252"/>
      <c r="VAP975" s="252"/>
      <c r="VAQ975" s="252"/>
      <c r="VAR975" s="252"/>
      <c r="VAS975" s="252"/>
      <c r="VAT975" s="252"/>
      <c r="VAU975" s="252"/>
      <c r="VAV975" s="252"/>
      <c r="VAW975" s="252"/>
      <c r="VAX975" s="252"/>
      <c r="VAY975" s="252"/>
      <c r="VAZ975" s="252"/>
      <c r="VBA975" s="252"/>
      <c r="VBB975" s="252"/>
      <c r="VBC975" s="252"/>
      <c r="VBD975" s="252"/>
      <c r="VBE975" s="252"/>
      <c r="VBF975" s="252"/>
      <c r="VBG975" s="252"/>
      <c r="VBH975" s="252"/>
      <c r="VBI975" s="252"/>
      <c r="VBJ975" s="252"/>
      <c r="VBK975" s="252"/>
      <c r="VBL975" s="252"/>
      <c r="VBM975" s="252"/>
      <c r="VBN975" s="252"/>
      <c r="VBO975" s="252"/>
      <c r="VBP975" s="252"/>
      <c r="VBQ975" s="252"/>
      <c r="VBR975" s="252"/>
      <c r="VBS975" s="252"/>
      <c r="VBT975" s="252"/>
      <c r="VBU975" s="252"/>
      <c r="VBV975" s="252"/>
      <c r="VBW975" s="252"/>
      <c r="VBX975" s="252"/>
      <c r="VBY975" s="252"/>
      <c r="VBZ975" s="252"/>
      <c r="VCA975" s="252"/>
      <c r="VCB975" s="252"/>
      <c r="VCC975" s="252"/>
      <c r="VCD975" s="252"/>
      <c r="VCE975" s="252"/>
      <c r="VCF975" s="252"/>
      <c r="VCG975" s="252"/>
      <c r="VCH975" s="252"/>
      <c r="VCI975" s="252"/>
      <c r="VCJ975" s="252"/>
      <c r="VCK975" s="252"/>
      <c r="VCL975" s="252"/>
      <c r="VCM975" s="252"/>
      <c r="VCN975" s="252"/>
      <c r="VCO975" s="252"/>
      <c r="VCP975" s="252"/>
      <c r="VCQ975" s="252"/>
      <c r="VCR975" s="252"/>
      <c r="VCS975" s="252"/>
      <c r="VCT975" s="252"/>
      <c r="VCU975" s="252"/>
      <c r="VCV975" s="252"/>
      <c r="VCW975" s="252"/>
      <c r="VCX975" s="252"/>
      <c r="VCY975" s="252"/>
      <c r="VCZ975" s="252"/>
      <c r="VDA975" s="252"/>
      <c r="VDB975" s="252"/>
      <c r="VDC975" s="252"/>
      <c r="VDD975" s="252"/>
      <c r="VDE975" s="252"/>
      <c r="VDF975" s="252"/>
      <c r="VDG975" s="252"/>
      <c r="VDH975" s="252"/>
      <c r="VDI975" s="252"/>
      <c r="VDJ975" s="252"/>
      <c r="VDK975" s="252"/>
      <c r="VDL975" s="252"/>
      <c r="VDM975" s="252"/>
      <c r="VDN975" s="252"/>
      <c r="VDO975" s="252"/>
      <c r="VDP975" s="252"/>
      <c r="VDQ975" s="252"/>
      <c r="VDR975" s="252"/>
      <c r="VDS975" s="252"/>
      <c r="VDT975" s="252"/>
      <c r="VDU975" s="252"/>
      <c r="VDV975" s="252"/>
      <c r="VDW975" s="252"/>
      <c r="VDX975" s="252"/>
      <c r="VDY975" s="252"/>
      <c r="VDZ975" s="252"/>
      <c r="VEA975" s="252"/>
      <c r="VEB975" s="252"/>
      <c r="VEC975" s="252"/>
      <c r="VED975" s="252"/>
      <c r="VEE975" s="252"/>
      <c r="VEF975" s="252"/>
      <c r="VEG975" s="252"/>
      <c r="VEH975" s="252"/>
      <c r="VEI975" s="252"/>
      <c r="VEJ975" s="252"/>
      <c r="VEK975" s="252"/>
      <c r="VEL975" s="252"/>
      <c r="VEM975" s="252"/>
      <c r="VEN975" s="252"/>
      <c r="VEO975" s="252"/>
      <c r="VEP975" s="252"/>
      <c r="VEQ975" s="252"/>
      <c r="VER975" s="252"/>
      <c r="VES975" s="252"/>
      <c r="VET975" s="252"/>
      <c r="VEU975" s="252"/>
      <c r="VEV975" s="252"/>
      <c r="VEW975" s="252"/>
      <c r="VEX975" s="252"/>
      <c r="VEY975" s="252"/>
      <c r="VEZ975" s="252"/>
      <c r="VFA975" s="252"/>
      <c r="VFB975" s="252"/>
      <c r="VFC975" s="252"/>
      <c r="VFD975" s="252"/>
      <c r="VFE975" s="252"/>
      <c r="VFF975" s="252"/>
      <c r="VFG975" s="252"/>
      <c r="VFH975" s="252"/>
      <c r="VFI975" s="252"/>
      <c r="VFJ975" s="252"/>
      <c r="VFK975" s="252"/>
      <c r="VFL975" s="252"/>
      <c r="VFM975" s="252"/>
      <c r="VFN975" s="252"/>
      <c r="VFO975" s="252"/>
      <c r="VFP975" s="252"/>
      <c r="VFQ975" s="252"/>
      <c r="VFR975" s="252"/>
      <c r="VFS975" s="252"/>
      <c r="VFT975" s="252"/>
      <c r="VFU975" s="252"/>
      <c r="VFV975" s="252"/>
      <c r="VFW975" s="252"/>
      <c r="VFX975" s="252"/>
      <c r="VFY975" s="252"/>
      <c r="VFZ975" s="252"/>
      <c r="VGA975" s="252"/>
      <c r="VGB975" s="252"/>
      <c r="VGC975" s="252"/>
      <c r="VGD975" s="252"/>
      <c r="VGE975" s="252"/>
      <c r="VGF975" s="252"/>
      <c r="VGG975" s="252"/>
      <c r="VGH975" s="252"/>
      <c r="VGI975" s="252"/>
      <c r="VGJ975" s="252"/>
      <c r="VGK975" s="252"/>
      <c r="VGL975" s="252"/>
      <c r="VGM975" s="252"/>
      <c r="VGN975" s="252"/>
      <c r="VGO975" s="252"/>
      <c r="VGP975" s="252"/>
      <c r="VGQ975" s="252"/>
      <c r="VGR975" s="252"/>
      <c r="VGS975" s="252"/>
      <c r="VGT975" s="252"/>
      <c r="VGU975" s="252"/>
      <c r="VGV975" s="252"/>
      <c r="VGW975" s="252"/>
      <c r="VGX975" s="252"/>
      <c r="VGY975" s="252"/>
      <c r="VGZ975" s="252"/>
      <c r="VHA975" s="252"/>
      <c r="VHB975" s="252"/>
      <c r="VHC975" s="252"/>
      <c r="VHD975" s="252"/>
      <c r="VHE975" s="252"/>
      <c r="VHF975" s="252"/>
      <c r="VHG975" s="252"/>
      <c r="VHH975" s="252"/>
      <c r="VHI975" s="252"/>
      <c r="VHJ975" s="252"/>
      <c r="VHK975" s="252"/>
      <c r="VHL975" s="252"/>
      <c r="VHM975" s="252"/>
      <c r="VHN975" s="252"/>
      <c r="VHO975" s="252"/>
      <c r="VHP975" s="252"/>
      <c r="VHQ975" s="252"/>
      <c r="VHR975" s="252"/>
      <c r="VHS975" s="252"/>
      <c r="VHT975" s="252"/>
      <c r="VHU975" s="252"/>
      <c r="VHV975" s="252"/>
      <c r="VHW975" s="252"/>
      <c r="VHX975" s="252"/>
      <c r="VHY975" s="252"/>
      <c r="VHZ975" s="252"/>
      <c r="VIA975" s="252"/>
      <c r="VIB975" s="252"/>
      <c r="VIC975" s="252"/>
      <c r="VID975" s="252"/>
      <c r="VIE975" s="252"/>
      <c r="VIF975" s="252"/>
      <c r="VIG975" s="252"/>
      <c r="VIH975" s="252"/>
      <c r="VII975" s="252"/>
      <c r="VIJ975" s="252"/>
      <c r="VIK975" s="252"/>
      <c r="VIL975" s="252"/>
      <c r="VIM975" s="252"/>
      <c r="VIN975" s="252"/>
      <c r="VIO975" s="252"/>
      <c r="VIP975" s="252"/>
      <c r="VIQ975" s="252"/>
      <c r="VIR975" s="252"/>
      <c r="VIS975" s="252"/>
      <c r="VIT975" s="252"/>
      <c r="VIU975" s="252"/>
      <c r="VIV975" s="252"/>
      <c r="VIW975" s="252"/>
      <c r="VIX975" s="252"/>
      <c r="VIY975" s="252"/>
      <c r="VIZ975" s="252"/>
      <c r="VJA975" s="252"/>
      <c r="VJB975" s="252"/>
      <c r="VJC975" s="252"/>
      <c r="VJD975" s="252"/>
      <c r="VJE975" s="252"/>
      <c r="VJF975" s="252"/>
      <c r="VJG975" s="252"/>
      <c r="VJH975" s="252"/>
      <c r="VJI975" s="252"/>
      <c r="VJJ975" s="252"/>
      <c r="VJK975" s="252"/>
      <c r="VJL975" s="252"/>
      <c r="VJM975" s="252"/>
      <c r="VJN975" s="252"/>
      <c r="VJO975" s="252"/>
      <c r="VJP975" s="252"/>
      <c r="VJQ975" s="252"/>
      <c r="VJR975" s="252"/>
      <c r="VJS975" s="252"/>
      <c r="VJT975" s="252"/>
      <c r="VJU975" s="252"/>
      <c r="VJV975" s="252"/>
      <c r="VJW975" s="252"/>
      <c r="VJX975" s="252"/>
      <c r="VJY975" s="252"/>
      <c r="VJZ975" s="252"/>
      <c r="VKA975" s="252"/>
      <c r="VKB975" s="252"/>
      <c r="VKC975" s="252"/>
      <c r="VKD975" s="252"/>
      <c r="VKE975" s="252"/>
      <c r="VKF975" s="252"/>
      <c r="VKG975" s="252"/>
      <c r="VKH975" s="252"/>
      <c r="VKI975" s="252"/>
      <c r="VKJ975" s="252"/>
      <c r="VKK975" s="252"/>
      <c r="VKL975" s="252"/>
      <c r="VKM975" s="252"/>
      <c r="VKN975" s="252"/>
      <c r="VKO975" s="252"/>
      <c r="VKP975" s="252"/>
      <c r="VKQ975" s="252"/>
      <c r="VKR975" s="252"/>
      <c r="VKS975" s="252"/>
      <c r="VKT975" s="252"/>
      <c r="VKU975" s="252"/>
      <c r="VKV975" s="252"/>
      <c r="VKW975" s="252"/>
      <c r="VKX975" s="252"/>
      <c r="VKY975" s="252"/>
      <c r="VKZ975" s="252"/>
      <c r="VLA975" s="252"/>
      <c r="VLB975" s="252"/>
      <c r="VLC975" s="252"/>
      <c r="VLD975" s="252"/>
      <c r="VLE975" s="252"/>
      <c r="VLF975" s="252"/>
      <c r="VLG975" s="252"/>
      <c r="VLH975" s="252"/>
      <c r="VLI975" s="252"/>
      <c r="VLJ975" s="252"/>
      <c r="VLK975" s="252"/>
      <c r="VLL975" s="252"/>
      <c r="VLM975" s="252"/>
      <c r="VLN975" s="252"/>
      <c r="VLO975" s="252"/>
      <c r="VLP975" s="252"/>
      <c r="VLQ975" s="252"/>
      <c r="VLR975" s="252"/>
      <c r="VLS975" s="252"/>
      <c r="VLT975" s="252"/>
      <c r="VLU975" s="252"/>
      <c r="VLV975" s="252"/>
      <c r="VLW975" s="252"/>
      <c r="VLX975" s="252"/>
      <c r="VLY975" s="252"/>
      <c r="VLZ975" s="252"/>
      <c r="VMA975" s="252"/>
      <c r="VMB975" s="252"/>
      <c r="VMC975" s="252"/>
      <c r="VMD975" s="252"/>
      <c r="VME975" s="252"/>
      <c r="VMF975" s="252"/>
      <c r="VMG975" s="252"/>
      <c r="VMH975" s="252"/>
      <c r="VMI975" s="252"/>
      <c r="VMJ975" s="252"/>
      <c r="VMK975" s="252"/>
      <c r="VML975" s="252"/>
      <c r="VMM975" s="252"/>
      <c r="VMN975" s="252"/>
      <c r="VMO975" s="252"/>
      <c r="VMP975" s="252"/>
      <c r="VMQ975" s="252"/>
      <c r="VMR975" s="252"/>
      <c r="VMS975" s="252"/>
      <c r="VMT975" s="252"/>
      <c r="VMU975" s="252"/>
      <c r="VMV975" s="252"/>
      <c r="VMW975" s="252"/>
      <c r="VMX975" s="252"/>
      <c r="VMY975" s="252"/>
      <c r="VMZ975" s="252"/>
      <c r="VNA975" s="252"/>
      <c r="VNB975" s="252"/>
      <c r="VNC975" s="252"/>
      <c r="VND975" s="252"/>
      <c r="VNE975" s="252"/>
      <c r="VNF975" s="252"/>
      <c r="VNG975" s="252"/>
      <c r="VNH975" s="252"/>
      <c r="VNI975" s="252"/>
      <c r="VNJ975" s="252"/>
      <c r="VNK975" s="252"/>
      <c r="VNL975" s="252"/>
      <c r="VNM975" s="252"/>
      <c r="VNN975" s="252"/>
      <c r="VNO975" s="252"/>
      <c r="VNP975" s="252"/>
      <c r="VNQ975" s="252"/>
      <c r="VNR975" s="252"/>
      <c r="VNS975" s="252"/>
      <c r="VNT975" s="252"/>
      <c r="VNU975" s="252"/>
      <c r="VNV975" s="252"/>
      <c r="VNW975" s="252"/>
      <c r="VNX975" s="252"/>
      <c r="VNY975" s="252"/>
      <c r="VNZ975" s="252"/>
      <c r="VOA975" s="252"/>
      <c r="VOB975" s="252"/>
      <c r="VOC975" s="252"/>
      <c r="VOD975" s="252"/>
      <c r="VOE975" s="252"/>
      <c r="VOF975" s="252"/>
      <c r="VOG975" s="252"/>
      <c r="VOH975" s="252"/>
      <c r="VOI975" s="252"/>
      <c r="VOJ975" s="252"/>
      <c r="VOK975" s="252"/>
      <c r="VOL975" s="252"/>
      <c r="VOM975" s="252"/>
      <c r="VON975" s="252"/>
      <c r="VOO975" s="252"/>
      <c r="VOP975" s="252"/>
      <c r="VOQ975" s="252"/>
      <c r="VOR975" s="252"/>
      <c r="VOS975" s="252"/>
      <c r="VOT975" s="252"/>
      <c r="VOU975" s="252"/>
      <c r="VOV975" s="252"/>
      <c r="VOW975" s="252"/>
      <c r="VOX975" s="252"/>
      <c r="VOY975" s="252"/>
      <c r="VOZ975" s="252"/>
      <c r="VPA975" s="252"/>
      <c r="VPB975" s="252"/>
      <c r="VPC975" s="252"/>
      <c r="VPD975" s="252"/>
      <c r="VPE975" s="252"/>
      <c r="VPF975" s="252"/>
      <c r="VPG975" s="252"/>
      <c r="VPH975" s="252"/>
      <c r="VPI975" s="252"/>
      <c r="VPJ975" s="252"/>
      <c r="VPK975" s="252"/>
      <c r="VPL975" s="252"/>
      <c r="VPM975" s="252"/>
      <c r="VPN975" s="252"/>
      <c r="VPO975" s="252"/>
      <c r="VPP975" s="252"/>
      <c r="VPQ975" s="252"/>
      <c r="VPR975" s="252"/>
      <c r="VPS975" s="252"/>
      <c r="VPT975" s="252"/>
      <c r="VPU975" s="252"/>
      <c r="VPV975" s="252"/>
      <c r="VPW975" s="252"/>
      <c r="VPX975" s="252"/>
      <c r="VPY975" s="252"/>
      <c r="VPZ975" s="252"/>
      <c r="VQA975" s="252"/>
      <c r="VQB975" s="252"/>
      <c r="VQC975" s="252"/>
      <c r="VQD975" s="252"/>
      <c r="VQE975" s="252"/>
      <c r="VQF975" s="252"/>
      <c r="VQG975" s="252"/>
      <c r="VQH975" s="252"/>
      <c r="VQI975" s="252"/>
      <c r="VQJ975" s="252"/>
      <c r="VQK975" s="252"/>
      <c r="VQL975" s="252"/>
      <c r="VQM975" s="252"/>
      <c r="VQN975" s="252"/>
      <c r="VQO975" s="252"/>
      <c r="VQP975" s="252"/>
      <c r="VQQ975" s="252"/>
      <c r="VQR975" s="252"/>
      <c r="VQS975" s="252"/>
      <c r="VQT975" s="252"/>
      <c r="VQU975" s="252"/>
      <c r="VQV975" s="252"/>
      <c r="VQW975" s="252"/>
      <c r="VQX975" s="252"/>
      <c r="VQY975" s="252"/>
      <c r="VQZ975" s="252"/>
      <c r="VRA975" s="252"/>
      <c r="VRB975" s="252"/>
      <c r="VRC975" s="252"/>
      <c r="VRD975" s="252"/>
      <c r="VRE975" s="252"/>
      <c r="VRF975" s="252"/>
      <c r="VRG975" s="252"/>
      <c r="VRH975" s="252"/>
      <c r="VRI975" s="252"/>
      <c r="VRJ975" s="252"/>
      <c r="VRK975" s="252"/>
      <c r="VRL975" s="252"/>
      <c r="VRM975" s="252"/>
      <c r="VRN975" s="252"/>
      <c r="VRO975" s="252"/>
      <c r="VRP975" s="252"/>
      <c r="VRQ975" s="252"/>
      <c r="VRR975" s="252"/>
      <c r="VRS975" s="252"/>
      <c r="VRT975" s="252"/>
      <c r="VRU975" s="252"/>
      <c r="VRV975" s="252"/>
      <c r="VRW975" s="252"/>
      <c r="VRX975" s="252"/>
      <c r="VRY975" s="252"/>
      <c r="VRZ975" s="252"/>
      <c r="VSA975" s="252"/>
      <c r="VSB975" s="252"/>
      <c r="VSC975" s="252"/>
      <c r="VSD975" s="252"/>
      <c r="VSE975" s="252"/>
      <c r="VSF975" s="252"/>
      <c r="VSG975" s="252"/>
      <c r="VSH975" s="252"/>
      <c r="VSI975" s="252"/>
      <c r="VSJ975" s="252"/>
      <c r="VSK975" s="252"/>
      <c r="VSL975" s="252"/>
      <c r="VSM975" s="252"/>
      <c r="VSN975" s="252"/>
      <c r="VSO975" s="252"/>
      <c r="VSP975" s="252"/>
      <c r="VSQ975" s="252"/>
      <c r="VSR975" s="252"/>
      <c r="VSS975" s="252"/>
      <c r="VST975" s="252"/>
      <c r="VSU975" s="252"/>
      <c r="VSV975" s="252"/>
      <c r="VSW975" s="252"/>
      <c r="VSX975" s="252"/>
      <c r="VSY975" s="252"/>
      <c r="VSZ975" s="252"/>
      <c r="VTA975" s="252"/>
      <c r="VTB975" s="252"/>
      <c r="VTC975" s="252"/>
      <c r="VTD975" s="252"/>
      <c r="VTE975" s="252"/>
      <c r="VTF975" s="252"/>
      <c r="VTG975" s="252"/>
      <c r="VTH975" s="252"/>
      <c r="VTI975" s="252"/>
      <c r="VTJ975" s="252"/>
      <c r="VTK975" s="252"/>
      <c r="VTL975" s="252"/>
      <c r="VTM975" s="252"/>
      <c r="VTN975" s="252"/>
      <c r="VTO975" s="252"/>
      <c r="VTP975" s="252"/>
      <c r="VTQ975" s="252"/>
      <c r="VTR975" s="252"/>
      <c r="VTS975" s="252"/>
      <c r="VTT975" s="252"/>
      <c r="VTU975" s="252"/>
      <c r="VTV975" s="252"/>
      <c r="VTW975" s="252"/>
      <c r="VTX975" s="252"/>
      <c r="VTY975" s="252"/>
      <c r="VTZ975" s="252"/>
      <c r="VUA975" s="252"/>
      <c r="VUB975" s="252"/>
      <c r="VUC975" s="252"/>
      <c r="VUD975" s="252"/>
      <c r="VUE975" s="252"/>
      <c r="VUF975" s="252"/>
      <c r="VUG975" s="252"/>
      <c r="VUH975" s="252"/>
      <c r="VUI975" s="252"/>
      <c r="VUJ975" s="252"/>
      <c r="VUK975" s="252"/>
      <c r="VUL975" s="252"/>
      <c r="VUM975" s="252"/>
      <c r="VUN975" s="252"/>
      <c r="VUO975" s="252"/>
      <c r="VUP975" s="252"/>
      <c r="VUQ975" s="252"/>
      <c r="VUR975" s="252"/>
      <c r="VUS975" s="252"/>
      <c r="VUT975" s="252"/>
      <c r="VUU975" s="252"/>
      <c r="VUV975" s="252"/>
      <c r="VUW975" s="252"/>
      <c r="VUX975" s="252"/>
      <c r="VUY975" s="252"/>
      <c r="VUZ975" s="252"/>
      <c r="VVA975" s="252"/>
      <c r="VVB975" s="252"/>
      <c r="VVC975" s="252"/>
      <c r="VVD975" s="252"/>
      <c r="VVE975" s="252"/>
      <c r="VVF975" s="252"/>
      <c r="VVG975" s="252"/>
      <c r="VVH975" s="252"/>
      <c r="VVI975" s="252"/>
      <c r="VVJ975" s="252"/>
      <c r="VVK975" s="252"/>
      <c r="VVL975" s="252"/>
      <c r="VVM975" s="252"/>
      <c r="VVN975" s="252"/>
      <c r="VVO975" s="252"/>
      <c r="VVP975" s="252"/>
      <c r="VVQ975" s="252"/>
      <c r="VVR975" s="252"/>
      <c r="VVS975" s="252"/>
      <c r="VVT975" s="252"/>
      <c r="VVU975" s="252"/>
      <c r="VVV975" s="252"/>
      <c r="VVW975" s="252"/>
      <c r="VVX975" s="252"/>
      <c r="VVY975" s="252"/>
      <c r="VVZ975" s="252"/>
      <c r="VWA975" s="252"/>
      <c r="VWB975" s="252"/>
      <c r="VWC975" s="252"/>
      <c r="VWD975" s="252"/>
      <c r="VWE975" s="252"/>
      <c r="VWF975" s="252"/>
      <c r="VWG975" s="252"/>
      <c r="VWH975" s="252"/>
      <c r="VWI975" s="252"/>
      <c r="VWJ975" s="252"/>
      <c r="VWK975" s="252"/>
      <c r="VWL975" s="252"/>
      <c r="VWM975" s="252"/>
      <c r="VWN975" s="252"/>
      <c r="VWO975" s="252"/>
      <c r="VWP975" s="252"/>
      <c r="VWQ975" s="252"/>
      <c r="VWR975" s="252"/>
      <c r="VWS975" s="252"/>
      <c r="VWT975" s="252"/>
      <c r="VWU975" s="252"/>
      <c r="VWV975" s="252"/>
      <c r="VWW975" s="252"/>
      <c r="VWX975" s="252"/>
      <c r="VWY975" s="252"/>
      <c r="VWZ975" s="252"/>
      <c r="VXA975" s="252"/>
      <c r="VXB975" s="252"/>
      <c r="VXC975" s="252"/>
      <c r="VXD975" s="252"/>
      <c r="VXE975" s="252"/>
      <c r="VXF975" s="252"/>
      <c r="VXG975" s="252"/>
      <c r="VXH975" s="252"/>
      <c r="VXI975" s="252"/>
      <c r="VXJ975" s="252"/>
      <c r="VXK975" s="252"/>
      <c r="VXL975" s="252"/>
      <c r="VXM975" s="252"/>
      <c r="VXN975" s="252"/>
      <c r="VXO975" s="252"/>
      <c r="VXP975" s="252"/>
      <c r="VXQ975" s="252"/>
      <c r="VXR975" s="252"/>
      <c r="VXS975" s="252"/>
      <c r="VXT975" s="252"/>
      <c r="VXU975" s="252"/>
      <c r="VXV975" s="252"/>
      <c r="VXW975" s="252"/>
      <c r="VXX975" s="252"/>
      <c r="VXY975" s="252"/>
      <c r="VXZ975" s="252"/>
      <c r="VYA975" s="252"/>
      <c r="VYB975" s="252"/>
      <c r="VYC975" s="252"/>
      <c r="VYD975" s="252"/>
      <c r="VYE975" s="252"/>
      <c r="VYF975" s="252"/>
      <c r="VYG975" s="252"/>
      <c r="VYH975" s="252"/>
      <c r="VYI975" s="252"/>
      <c r="VYJ975" s="252"/>
      <c r="VYK975" s="252"/>
      <c r="VYL975" s="252"/>
      <c r="VYM975" s="252"/>
      <c r="VYN975" s="252"/>
      <c r="VYO975" s="252"/>
      <c r="VYP975" s="252"/>
      <c r="VYQ975" s="252"/>
      <c r="VYR975" s="252"/>
      <c r="VYS975" s="252"/>
      <c r="VYT975" s="252"/>
      <c r="VYU975" s="252"/>
      <c r="VYV975" s="252"/>
      <c r="VYW975" s="252"/>
      <c r="VYX975" s="252"/>
      <c r="VYY975" s="252"/>
      <c r="VYZ975" s="252"/>
      <c r="VZA975" s="252"/>
      <c r="VZB975" s="252"/>
      <c r="VZC975" s="252"/>
      <c r="VZD975" s="252"/>
      <c r="VZE975" s="252"/>
      <c r="VZF975" s="252"/>
      <c r="VZG975" s="252"/>
      <c r="VZH975" s="252"/>
      <c r="VZI975" s="252"/>
      <c r="VZJ975" s="252"/>
      <c r="VZK975" s="252"/>
      <c r="VZL975" s="252"/>
      <c r="VZM975" s="252"/>
      <c r="VZN975" s="252"/>
      <c r="VZO975" s="252"/>
      <c r="VZP975" s="252"/>
      <c r="VZQ975" s="252"/>
      <c r="VZR975" s="252"/>
      <c r="VZS975" s="252"/>
      <c r="VZT975" s="252"/>
      <c r="VZU975" s="252"/>
      <c r="VZV975" s="252"/>
      <c r="VZW975" s="252"/>
      <c r="VZX975" s="252"/>
      <c r="VZY975" s="252"/>
      <c r="VZZ975" s="252"/>
      <c r="WAA975" s="252"/>
      <c r="WAB975" s="252"/>
      <c r="WAC975" s="252"/>
      <c r="WAD975" s="252"/>
      <c r="WAE975" s="252"/>
      <c r="WAF975" s="252"/>
      <c r="WAG975" s="252"/>
      <c r="WAH975" s="252"/>
      <c r="WAI975" s="252"/>
      <c r="WAJ975" s="252"/>
      <c r="WAK975" s="252"/>
      <c r="WAL975" s="252"/>
      <c r="WAM975" s="252"/>
      <c r="WAN975" s="252"/>
      <c r="WAO975" s="252"/>
      <c r="WAP975" s="252"/>
      <c r="WAQ975" s="252"/>
      <c r="WAR975" s="252"/>
      <c r="WAS975" s="252"/>
      <c r="WAT975" s="252"/>
      <c r="WAU975" s="252"/>
      <c r="WAV975" s="252"/>
      <c r="WAW975" s="252"/>
      <c r="WAX975" s="252"/>
      <c r="WAY975" s="252"/>
      <c r="WAZ975" s="252"/>
      <c r="WBA975" s="252"/>
      <c r="WBB975" s="252"/>
      <c r="WBC975" s="252"/>
      <c r="WBD975" s="252"/>
      <c r="WBE975" s="252"/>
      <c r="WBF975" s="252"/>
      <c r="WBG975" s="252"/>
      <c r="WBH975" s="252"/>
      <c r="WBI975" s="252"/>
      <c r="WBJ975" s="252"/>
      <c r="WBK975" s="252"/>
      <c r="WBL975" s="252"/>
      <c r="WBM975" s="252"/>
      <c r="WBN975" s="252"/>
      <c r="WBO975" s="252"/>
      <c r="WBP975" s="252"/>
      <c r="WBQ975" s="252"/>
      <c r="WBR975" s="252"/>
      <c r="WBS975" s="252"/>
      <c r="WBT975" s="252"/>
      <c r="WBU975" s="252"/>
      <c r="WBV975" s="252"/>
      <c r="WBW975" s="252"/>
      <c r="WBX975" s="252"/>
      <c r="WBY975" s="252"/>
      <c r="WBZ975" s="252"/>
      <c r="WCA975" s="252"/>
      <c r="WCB975" s="252"/>
      <c r="WCC975" s="252"/>
      <c r="WCD975" s="252"/>
      <c r="WCE975" s="252"/>
      <c r="WCF975" s="252"/>
      <c r="WCG975" s="252"/>
      <c r="WCH975" s="252"/>
      <c r="WCI975" s="252"/>
      <c r="WCJ975" s="252"/>
      <c r="WCK975" s="252"/>
      <c r="WCL975" s="252"/>
      <c r="WCM975" s="252"/>
      <c r="WCN975" s="252"/>
      <c r="WCO975" s="252"/>
      <c r="WCP975" s="252"/>
      <c r="WCQ975" s="252"/>
      <c r="WCR975" s="252"/>
      <c r="WCS975" s="252"/>
      <c r="WCT975" s="252"/>
      <c r="WCU975" s="252"/>
      <c r="WCV975" s="252"/>
      <c r="WCW975" s="252"/>
      <c r="WCX975" s="252"/>
      <c r="WCY975" s="252"/>
      <c r="WCZ975" s="252"/>
      <c r="WDA975" s="252"/>
      <c r="WDB975" s="252"/>
      <c r="WDC975" s="252"/>
      <c r="WDD975" s="252"/>
      <c r="WDE975" s="252"/>
      <c r="WDF975" s="252"/>
      <c r="WDG975" s="252"/>
      <c r="WDH975" s="252"/>
      <c r="WDI975" s="252"/>
      <c r="WDJ975" s="252"/>
      <c r="WDK975" s="252"/>
      <c r="WDL975" s="252"/>
      <c r="WDM975" s="252"/>
      <c r="WDN975" s="252"/>
      <c r="WDO975" s="252"/>
      <c r="WDP975" s="252"/>
      <c r="WDQ975" s="252"/>
      <c r="WDR975" s="252"/>
      <c r="WDS975" s="252"/>
      <c r="WDT975" s="252"/>
      <c r="WDU975" s="252"/>
      <c r="WDV975" s="252"/>
      <c r="WDW975" s="252"/>
      <c r="WDX975" s="252"/>
      <c r="WDY975" s="252"/>
      <c r="WDZ975" s="252"/>
      <c r="WEA975" s="252"/>
      <c r="WEB975" s="252"/>
      <c r="WEC975" s="252"/>
      <c r="WED975" s="252"/>
      <c r="WEE975" s="252"/>
      <c r="WEF975" s="252"/>
      <c r="WEG975" s="252"/>
      <c r="WEH975" s="252"/>
      <c r="WEI975" s="252"/>
      <c r="WEJ975" s="252"/>
      <c r="WEK975" s="252"/>
      <c r="WEL975" s="252"/>
      <c r="WEM975" s="252"/>
      <c r="WEN975" s="252"/>
      <c r="WEO975" s="252"/>
      <c r="WEP975" s="252"/>
      <c r="WEQ975" s="252"/>
      <c r="WER975" s="252"/>
      <c r="WES975" s="252"/>
      <c r="WET975" s="252"/>
      <c r="WEU975" s="252"/>
      <c r="WEV975" s="252"/>
      <c r="WEW975" s="252"/>
      <c r="WEX975" s="252"/>
      <c r="WEY975" s="252"/>
      <c r="WEZ975" s="252"/>
      <c r="WFA975" s="252"/>
      <c r="WFB975" s="252"/>
      <c r="WFC975" s="252"/>
      <c r="WFD975" s="252"/>
      <c r="WFE975" s="252"/>
      <c r="WFF975" s="252"/>
      <c r="WFG975" s="252"/>
      <c r="WFH975" s="252"/>
      <c r="WFI975" s="252"/>
      <c r="WFJ975" s="252"/>
      <c r="WFK975" s="252"/>
      <c r="WFL975" s="252"/>
      <c r="WFM975" s="252"/>
      <c r="WFN975" s="252"/>
      <c r="WFO975" s="252"/>
      <c r="WFP975" s="252"/>
      <c r="WFQ975" s="252"/>
      <c r="WFR975" s="252"/>
      <c r="WFS975" s="252"/>
      <c r="WFT975" s="252"/>
      <c r="WFU975" s="252"/>
      <c r="WFV975" s="252"/>
      <c r="WFW975" s="252"/>
      <c r="WFX975" s="252"/>
      <c r="WFY975" s="252"/>
      <c r="WFZ975" s="252"/>
      <c r="WGA975" s="252"/>
      <c r="WGB975" s="252"/>
      <c r="WGC975" s="252"/>
      <c r="WGD975" s="252"/>
      <c r="WGE975" s="252"/>
      <c r="WGF975" s="252"/>
      <c r="WGG975" s="252"/>
      <c r="WGH975" s="252"/>
      <c r="WGI975" s="252"/>
      <c r="WGJ975" s="252"/>
      <c r="WGK975" s="252"/>
      <c r="WGL975" s="252"/>
      <c r="WGM975" s="252"/>
      <c r="WGN975" s="252"/>
      <c r="WGO975" s="252"/>
      <c r="WGP975" s="252"/>
      <c r="WGQ975" s="252"/>
      <c r="WGR975" s="252"/>
      <c r="WGS975" s="252"/>
      <c r="WGT975" s="252"/>
      <c r="WGU975" s="252"/>
      <c r="WGV975" s="252"/>
      <c r="WGW975" s="252"/>
      <c r="WGX975" s="252"/>
      <c r="WGY975" s="252"/>
      <c r="WGZ975" s="252"/>
      <c r="WHA975" s="252"/>
      <c r="WHB975" s="252"/>
      <c r="WHC975" s="252"/>
      <c r="WHD975" s="252"/>
      <c r="WHE975" s="252"/>
      <c r="WHF975" s="252"/>
      <c r="WHG975" s="252"/>
      <c r="WHH975" s="252"/>
      <c r="WHI975" s="252"/>
      <c r="WHJ975" s="252"/>
      <c r="WHK975" s="252"/>
      <c r="WHL975" s="252"/>
      <c r="WHM975" s="252"/>
      <c r="WHN975" s="252"/>
      <c r="WHO975" s="252"/>
      <c r="WHP975" s="252"/>
      <c r="WHQ975" s="252"/>
      <c r="WHR975" s="252"/>
      <c r="WHS975" s="252"/>
      <c r="WHT975" s="252"/>
      <c r="WHU975" s="252"/>
      <c r="WHV975" s="252"/>
      <c r="WHW975" s="252"/>
      <c r="WHX975" s="252"/>
      <c r="WHY975" s="252"/>
      <c r="WHZ975" s="252"/>
      <c r="WIA975" s="252"/>
      <c r="WIB975" s="252"/>
      <c r="WIC975" s="252"/>
      <c r="WID975" s="252"/>
      <c r="WIE975" s="252"/>
      <c r="WIF975" s="252"/>
      <c r="WIG975" s="252"/>
      <c r="WIH975" s="252"/>
      <c r="WII975" s="252"/>
      <c r="WIJ975" s="252"/>
      <c r="WIK975" s="252"/>
      <c r="WIL975" s="252"/>
      <c r="WIM975" s="252"/>
      <c r="WIN975" s="252"/>
      <c r="WIO975" s="252"/>
      <c r="WIP975" s="252"/>
      <c r="WIQ975" s="252"/>
      <c r="WIR975" s="252"/>
      <c r="WIS975" s="252"/>
      <c r="WIT975" s="252"/>
      <c r="WIU975" s="252"/>
      <c r="WIV975" s="252"/>
      <c r="WIW975" s="252"/>
      <c r="WIX975" s="252"/>
      <c r="WIY975" s="252"/>
      <c r="WIZ975" s="252"/>
      <c r="WJA975" s="252"/>
      <c r="WJB975" s="252"/>
      <c r="WJC975" s="252"/>
      <c r="WJD975" s="252"/>
      <c r="WJE975" s="252"/>
      <c r="WJF975" s="252"/>
      <c r="WJG975" s="252"/>
      <c r="WJH975" s="252"/>
      <c r="WJI975" s="252"/>
      <c r="WJJ975" s="252"/>
      <c r="WJK975" s="252"/>
      <c r="WJL975" s="252"/>
      <c r="WJM975" s="252"/>
      <c r="WJN975" s="252"/>
      <c r="WJO975" s="252"/>
      <c r="WJP975" s="252"/>
      <c r="WJQ975" s="252"/>
      <c r="WJR975" s="252"/>
      <c r="WJS975" s="252"/>
      <c r="WJT975" s="252"/>
      <c r="WJU975" s="252"/>
      <c r="WJV975" s="252"/>
      <c r="WJW975" s="252"/>
      <c r="WJX975" s="252"/>
      <c r="WJY975" s="252"/>
      <c r="WJZ975" s="252"/>
      <c r="WKA975" s="252"/>
      <c r="WKB975" s="252"/>
      <c r="WKC975" s="252"/>
      <c r="WKD975" s="252"/>
      <c r="WKE975" s="252"/>
      <c r="WKF975" s="252"/>
      <c r="WKG975" s="252"/>
      <c r="WKH975" s="252"/>
      <c r="WKI975" s="252"/>
      <c r="WKJ975" s="252"/>
      <c r="WKK975" s="252"/>
      <c r="WKL975" s="252"/>
      <c r="WKM975" s="252"/>
      <c r="WKN975" s="252"/>
      <c r="WKO975" s="252"/>
      <c r="WKP975" s="252"/>
      <c r="WKQ975" s="252"/>
      <c r="WKR975" s="252"/>
      <c r="WKS975" s="252"/>
      <c r="WKT975" s="252"/>
      <c r="WKU975" s="252"/>
      <c r="WKV975" s="252"/>
      <c r="WKW975" s="252"/>
      <c r="WKX975" s="252"/>
      <c r="WKY975" s="252"/>
      <c r="WKZ975" s="252"/>
      <c r="WLA975" s="252"/>
      <c r="WLB975" s="252"/>
      <c r="WLC975" s="252"/>
      <c r="WLD975" s="252"/>
      <c r="WLE975" s="252"/>
      <c r="WLF975" s="252"/>
      <c r="WLG975" s="252"/>
      <c r="WLH975" s="252"/>
      <c r="WLI975" s="252"/>
      <c r="WLJ975" s="252"/>
      <c r="WLK975" s="252"/>
      <c r="WLL975" s="252"/>
      <c r="WLM975" s="252"/>
      <c r="WLN975" s="252"/>
      <c r="WLO975" s="252"/>
      <c r="WLP975" s="252"/>
      <c r="WLQ975" s="252"/>
      <c r="WLR975" s="252"/>
      <c r="WLS975" s="252"/>
      <c r="WLT975" s="252"/>
      <c r="WLU975" s="252"/>
      <c r="WLV975" s="252"/>
      <c r="WLW975" s="252"/>
      <c r="WLX975" s="252"/>
      <c r="WLY975" s="252"/>
      <c r="WLZ975" s="252"/>
      <c r="WMA975" s="252"/>
      <c r="WMB975" s="252"/>
      <c r="WMC975" s="252"/>
      <c r="WMD975" s="252"/>
      <c r="WME975" s="252"/>
      <c r="WMF975" s="252"/>
      <c r="WMG975" s="252"/>
      <c r="WMH975" s="252"/>
      <c r="WMI975" s="252"/>
      <c r="WMJ975" s="252"/>
      <c r="WMK975" s="252"/>
      <c r="WML975" s="252"/>
      <c r="WMM975" s="252"/>
      <c r="WMN975" s="252"/>
      <c r="WMO975" s="252"/>
      <c r="WMP975" s="252"/>
      <c r="WMQ975" s="252"/>
      <c r="WMR975" s="252"/>
      <c r="WMS975" s="252"/>
      <c r="WMT975" s="252"/>
      <c r="WMU975" s="252"/>
      <c r="WMV975" s="252"/>
      <c r="WMW975" s="252"/>
      <c r="WMX975" s="252"/>
      <c r="WMY975" s="252"/>
      <c r="WMZ975" s="252"/>
      <c r="WNA975" s="252"/>
      <c r="WNB975" s="252"/>
      <c r="WNC975" s="252"/>
      <c r="WND975" s="252"/>
      <c r="WNE975" s="252"/>
      <c r="WNF975" s="252"/>
      <c r="WNG975" s="252"/>
      <c r="WNH975" s="252"/>
      <c r="WNI975" s="252"/>
      <c r="WNJ975" s="252"/>
      <c r="WNK975" s="252"/>
      <c r="WNL975" s="252"/>
      <c r="WNM975" s="252"/>
      <c r="WNN975" s="252"/>
      <c r="WNO975" s="252"/>
      <c r="WNP975" s="252"/>
      <c r="WNQ975" s="252"/>
      <c r="WNR975" s="252"/>
      <c r="WNS975" s="252"/>
      <c r="WNT975" s="252"/>
      <c r="WNU975" s="252"/>
      <c r="WNV975" s="252"/>
      <c r="WNW975" s="252"/>
      <c r="WNX975" s="252"/>
      <c r="WNY975" s="252"/>
      <c r="WNZ975" s="252"/>
      <c r="WOA975" s="252"/>
      <c r="WOB975" s="252"/>
      <c r="WOC975" s="252"/>
      <c r="WOD975" s="252"/>
      <c r="WOE975" s="252"/>
      <c r="WOF975" s="252"/>
      <c r="WOG975" s="252"/>
      <c r="WOH975" s="252"/>
      <c r="WOI975" s="252"/>
      <c r="WOJ975" s="252"/>
      <c r="WOK975" s="252"/>
      <c r="WOL975" s="252"/>
      <c r="WOM975" s="252"/>
      <c r="WON975" s="252"/>
      <c r="WOO975" s="252"/>
      <c r="WOP975" s="252"/>
      <c r="WOQ975" s="252"/>
      <c r="WOR975" s="252"/>
      <c r="WOS975" s="252"/>
      <c r="WOT975" s="252"/>
      <c r="WOU975" s="252"/>
      <c r="WOV975" s="252"/>
      <c r="WOW975" s="252"/>
      <c r="WOX975" s="252"/>
      <c r="WOY975" s="252"/>
      <c r="WOZ975" s="252"/>
      <c r="WPA975" s="252"/>
      <c r="WPB975" s="252"/>
      <c r="WPC975" s="252"/>
      <c r="WPD975" s="252"/>
      <c r="WPE975" s="252"/>
      <c r="WPF975" s="252"/>
      <c r="WPG975" s="252"/>
      <c r="WPH975" s="252"/>
      <c r="WPI975" s="252"/>
      <c r="WPJ975" s="252"/>
      <c r="WPK975" s="252"/>
      <c r="WPL975" s="252"/>
      <c r="WPM975" s="252"/>
      <c r="WPN975" s="252"/>
      <c r="WPO975" s="252"/>
      <c r="WPP975" s="252"/>
      <c r="WPQ975" s="252"/>
      <c r="WPR975" s="252"/>
      <c r="WPS975" s="252"/>
      <c r="WPT975" s="252"/>
      <c r="WPU975" s="252"/>
      <c r="WPV975" s="252"/>
      <c r="WPW975" s="252"/>
      <c r="WPX975" s="252"/>
      <c r="WPY975" s="252"/>
      <c r="WPZ975" s="252"/>
      <c r="WQA975" s="252"/>
      <c r="WQB975" s="252"/>
      <c r="WQC975" s="252"/>
      <c r="WQD975" s="252"/>
      <c r="WQE975" s="252"/>
      <c r="WQF975" s="252"/>
      <c r="WQG975" s="252"/>
      <c r="WQH975" s="252"/>
      <c r="WQI975" s="252"/>
      <c r="WQJ975" s="252"/>
      <c r="WQK975" s="252"/>
      <c r="WQL975" s="252"/>
      <c r="WQM975" s="252"/>
      <c r="WQN975" s="252"/>
      <c r="WQO975" s="252"/>
      <c r="WQP975" s="252"/>
      <c r="WQQ975" s="252"/>
      <c r="WQR975" s="252"/>
      <c r="WQS975" s="252"/>
      <c r="WQT975" s="252"/>
      <c r="WQU975" s="252"/>
      <c r="WQV975" s="252"/>
      <c r="WQW975" s="252"/>
      <c r="WQX975" s="252"/>
      <c r="WQY975" s="252"/>
      <c r="WQZ975" s="252"/>
      <c r="WRA975" s="252"/>
      <c r="WRB975" s="252"/>
      <c r="WRC975" s="252"/>
      <c r="WRD975" s="252"/>
      <c r="WRE975" s="252"/>
      <c r="WRF975" s="252"/>
      <c r="WRG975" s="252"/>
      <c r="WRH975" s="252"/>
      <c r="WRI975" s="252"/>
      <c r="WRJ975" s="252"/>
      <c r="WRK975" s="252"/>
      <c r="WRL975" s="252"/>
      <c r="WRM975" s="252"/>
      <c r="WRN975" s="252"/>
      <c r="WRO975" s="252"/>
      <c r="WRP975" s="252"/>
      <c r="WRQ975" s="252"/>
      <c r="WRR975" s="252"/>
      <c r="WRS975" s="252"/>
      <c r="WRT975" s="252"/>
      <c r="WRU975" s="252"/>
      <c r="WRV975" s="252"/>
      <c r="WRW975" s="252"/>
      <c r="WRX975" s="252"/>
      <c r="WRY975" s="252"/>
      <c r="WRZ975" s="252"/>
      <c r="WSA975" s="252"/>
      <c r="WSB975" s="252"/>
      <c r="WSC975" s="252"/>
      <c r="WSD975" s="252"/>
      <c r="WSE975" s="252"/>
      <c r="WSF975" s="252"/>
      <c r="WSG975" s="252"/>
      <c r="WSH975" s="252"/>
      <c r="WSI975" s="252"/>
      <c r="WSJ975" s="252"/>
      <c r="WSK975" s="252"/>
      <c r="WSL975" s="252"/>
      <c r="WSM975" s="252"/>
      <c r="WSN975" s="252"/>
      <c r="WSO975" s="252"/>
      <c r="WSP975" s="252"/>
      <c r="WSQ975" s="252"/>
      <c r="WSR975" s="252"/>
      <c r="WSS975" s="252"/>
      <c r="WST975" s="252"/>
      <c r="WSU975" s="252"/>
      <c r="WSV975" s="252"/>
      <c r="WSW975" s="252"/>
      <c r="WSX975" s="252"/>
      <c r="WSY975" s="252"/>
      <c r="WSZ975" s="252"/>
      <c r="WTA975" s="252"/>
      <c r="WTB975" s="252"/>
      <c r="WTC975" s="252"/>
      <c r="WTD975" s="252"/>
      <c r="WTE975" s="252"/>
      <c r="WTF975" s="252"/>
      <c r="WTG975" s="252"/>
      <c r="WTH975" s="252"/>
      <c r="WTI975" s="252"/>
      <c r="WTJ975" s="252"/>
      <c r="WTK975" s="252"/>
      <c r="WTL975" s="252"/>
      <c r="WTM975" s="252"/>
      <c r="WTN975" s="252"/>
      <c r="WTO975" s="252"/>
      <c r="WTP975" s="252"/>
      <c r="WTQ975" s="252"/>
      <c r="WTR975" s="252"/>
      <c r="WTS975" s="252"/>
      <c r="WTT975" s="252"/>
      <c r="WTU975" s="252"/>
      <c r="WTV975" s="252"/>
      <c r="WTW975" s="252"/>
      <c r="WTX975" s="252"/>
      <c r="WTY975" s="252"/>
      <c r="WTZ975" s="252"/>
      <c r="WUA975" s="252"/>
      <c r="WUB975" s="252"/>
      <c r="WUC975" s="252"/>
      <c r="WUD975" s="252"/>
      <c r="WUE975" s="252"/>
      <c r="WUF975" s="252"/>
      <c r="WUG975" s="252"/>
      <c r="WUH975" s="252"/>
      <c r="WUI975" s="252"/>
      <c r="WUJ975" s="252"/>
      <c r="WUK975" s="252"/>
      <c r="WUL975" s="252"/>
      <c r="WUM975" s="252"/>
      <c r="WUN975" s="252"/>
      <c r="WUO975" s="252"/>
      <c r="WUP975" s="252"/>
      <c r="WUQ975" s="252"/>
      <c r="WUR975" s="252"/>
      <c r="WUS975" s="252"/>
      <c r="WUT975" s="252"/>
      <c r="WUU975" s="252"/>
      <c r="WUV975" s="252"/>
      <c r="WUW975" s="252"/>
      <c r="WUX975" s="252"/>
      <c r="WUY975" s="252"/>
      <c r="WUZ975" s="252"/>
      <c r="WVA975" s="252"/>
      <c r="WVB975" s="252"/>
      <c r="WVC975" s="252"/>
      <c r="WVD975" s="252"/>
      <c r="WVE975" s="252"/>
      <c r="WVF975" s="252"/>
      <c r="WVG975" s="252"/>
      <c r="WVH975" s="252"/>
      <c r="WVI975" s="252"/>
      <c r="WVJ975" s="252"/>
      <c r="WVK975" s="252"/>
      <c r="WVL975" s="252"/>
      <c r="WVM975" s="252"/>
      <c r="WVN975" s="252"/>
      <c r="WVO975" s="252"/>
      <c r="WVP975" s="252"/>
      <c r="WVQ975" s="252"/>
      <c r="WVR975" s="252"/>
      <c r="WVS975" s="252"/>
      <c r="WVT975" s="252"/>
      <c r="WVU975" s="252"/>
      <c r="WVV975" s="252"/>
      <c r="WVW975" s="252"/>
      <c r="WVX975" s="252"/>
      <c r="WVY975" s="252"/>
      <c r="WVZ975" s="252"/>
      <c r="WWA975" s="252"/>
      <c r="WWB975" s="252"/>
      <c r="WWC975" s="252"/>
      <c r="WWD975" s="252"/>
      <c r="WWE975" s="252"/>
      <c r="WWF975" s="252"/>
      <c r="WWG975" s="252"/>
      <c r="WWH975" s="252"/>
      <c r="WWI975" s="252"/>
      <c r="WWJ975" s="252"/>
      <c r="WWK975" s="252"/>
      <c r="WWL975" s="252"/>
      <c r="WWM975" s="252"/>
      <c r="WWN975" s="252"/>
      <c r="WWO975" s="252"/>
      <c r="WWP975" s="252"/>
      <c r="WWQ975" s="252"/>
      <c r="WWR975" s="252"/>
      <c r="WWS975" s="252"/>
      <c r="WWT975" s="252"/>
      <c r="WWU975" s="252"/>
      <c r="WWV975" s="252"/>
      <c r="WWW975" s="252"/>
      <c r="WWX975" s="252"/>
      <c r="WWY975" s="252"/>
      <c r="WWZ975" s="252"/>
      <c r="WXA975" s="252"/>
      <c r="WXB975" s="252"/>
      <c r="WXC975" s="252"/>
      <c r="WXD975" s="252"/>
      <c r="WXE975" s="252"/>
      <c r="WXF975" s="252"/>
      <c r="WXG975" s="252"/>
      <c r="WXH975" s="252"/>
      <c r="WXI975" s="252"/>
      <c r="WXJ975" s="252"/>
      <c r="WXK975" s="252"/>
      <c r="WXL975" s="252"/>
      <c r="WXM975" s="252"/>
      <c r="WXN975" s="252"/>
      <c r="WXO975" s="252"/>
      <c r="WXP975" s="252"/>
      <c r="WXQ975" s="252"/>
      <c r="WXR975" s="252"/>
      <c r="WXS975" s="252"/>
      <c r="WXT975" s="252"/>
      <c r="WXU975" s="252"/>
      <c r="WXV975" s="252"/>
      <c r="WXW975" s="252"/>
      <c r="WXX975" s="252"/>
      <c r="WXY975" s="252"/>
      <c r="WXZ975" s="252"/>
      <c r="WYA975" s="252"/>
      <c r="WYB975" s="252"/>
      <c r="WYC975" s="252"/>
      <c r="WYD975" s="252"/>
      <c r="WYE975" s="252"/>
    </row>
    <row r="976" spans="1:16203" s="7" customFormat="1" ht="12.75" hidden="1" customHeight="1" outlineLevel="1" x14ac:dyDescent="0.2">
      <c r="B976" s="250" t="s">
        <v>643</v>
      </c>
      <c r="C976" s="109">
        <f>C407-C412/0.65</f>
        <v>19.900000000000034</v>
      </c>
      <c r="D976" s="109"/>
      <c r="E976" s="109">
        <f>E407-E412/0.65</f>
        <v>30.199999999999989</v>
      </c>
      <c r="F976" s="109"/>
      <c r="G976" s="109">
        <f>G407-G412/0.65</f>
        <v>31.500000000000057</v>
      </c>
      <c r="H976" s="109"/>
      <c r="I976" s="109">
        <f>I407-I412/0.65</f>
        <v>40.09940828402366</v>
      </c>
      <c r="J976" s="109"/>
      <c r="K976" s="109">
        <f>K407-K412/0.65</f>
        <v>21.800000000000011</v>
      </c>
      <c r="L976" s="109"/>
      <c r="M976" s="109">
        <f>M407-M412/0.65</f>
        <v>27.599999999999966</v>
      </c>
      <c r="N976" s="109"/>
      <c r="O976" s="109">
        <f>O407-O412/0.65</f>
        <v>-15.807692307692363</v>
      </c>
      <c r="P976" s="109"/>
      <c r="Q976" s="109">
        <f>Q407-Q412/0.65</f>
        <v>39.000000000000057</v>
      </c>
      <c r="R976" s="109"/>
      <c r="S976" s="109">
        <f>S407-S412/0.65</f>
        <v>35.100000000000023</v>
      </c>
      <c r="T976" s="109"/>
      <c r="U976" s="109">
        <f>U407-U412/0.65</f>
        <v>36.699999999999989</v>
      </c>
      <c r="V976" s="109"/>
      <c r="W976" s="109">
        <f>W407-W412/0.65</f>
        <v>7.1449704142011967</v>
      </c>
      <c r="X976" s="109"/>
      <c r="Y976" s="109">
        <f>Y407-Y412/0.65</f>
        <v>29.800000000000011</v>
      </c>
      <c r="Z976" s="109"/>
      <c r="AA976" s="109">
        <f>AA407-AA412/0.65</f>
        <v>41.899999999999977</v>
      </c>
      <c r="AB976" s="109"/>
      <c r="AC976" s="109">
        <f>AC407-AC412/0.65</f>
        <v>37.099999999999966</v>
      </c>
      <c r="AD976" s="109"/>
      <c r="AE976" s="109">
        <f>AE407-AE412/0.65</f>
        <v>62.761538461538535</v>
      </c>
      <c r="AF976" s="109"/>
      <c r="AG976" s="109">
        <f>AG407-AG412/0.65</f>
        <v>35</v>
      </c>
      <c r="AH976" s="109"/>
      <c r="AI976" s="109">
        <f>AI407-AI412/0.65</f>
        <v>40.699999999999989</v>
      </c>
      <c r="AJ976" s="109"/>
      <c r="AK976" s="109">
        <f>AK407-AK412/0.65</f>
        <v>36.184615384615398</v>
      </c>
      <c r="AL976" s="109"/>
      <c r="AM976" s="109">
        <f>AM407-AM412/0.65</f>
        <v>71.707692307692284</v>
      </c>
      <c r="AN976" s="109"/>
      <c r="AO976" s="109">
        <f>AO407-AO412/0.65</f>
        <v>48.300000000000011</v>
      </c>
      <c r="AP976" s="109"/>
      <c r="AQ976" s="109">
        <f t="shared" ref="AQ976" si="4044">AQ407-AQ412/0.65</f>
        <v>37.100329999999985</v>
      </c>
      <c r="AR976" s="109"/>
      <c r="AS976" s="109">
        <f t="shared" ref="AS976" si="4045">AS407-AS412/0.65</f>
        <v>39.686480450000033</v>
      </c>
      <c r="AT976" s="109"/>
      <c r="AU976" s="109">
        <f t="shared" ref="AU976" si="4046">AU407-AU412/0.65</f>
        <v>43.439293186750035</v>
      </c>
      <c r="AV976" s="109"/>
      <c r="AW976" s="109">
        <f t="shared" ref="AW976" si="4047">AW407-AW412/0.65</f>
        <v>46.13335772633252</v>
      </c>
      <c r="AX976" s="109"/>
      <c r="AY976" s="273"/>
      <c r="BA976" s="9"/>
      <c r="BB976" s="109">
        <f>BB407-BB412/0.65</f>
        <v>121.69940828402385</v>
      </c>
      <c r="BC976" s="9" t="str">
        <f>IF(ISERROR(BB976/#REF!),"NA",IF(OR(BB976/#REF!&gt;2,BB976/#REF!&lt;0.5),"NM",BB976/#REF!*100-100))</f>
        <v>NA</v>
      </c>
      <c r="BD976" s="930">
        <f>BD407-BD412/0.65</f>
        <v>72.592307692307784</v>
      </c>
      <c r="BE976" s="9">
        <f t="shared" si="4018"/>
        <v>-40.351141623555961</v>
      </c>
      <c r="BF976" s="691">
        <f>BF407-BF412/0.65</f>
        <v>108.74497041420088</v>
      </c>
      <c r="BG976" s="9">
        <f t="shared" si="4018"/>
        <v>49.8023328795814</v>
      </c>
      <c r="BH976" s="109">
        <f>BH407-BH412/0.65</f>
        <v>176.76153846153818</v>
      </c>
      <c r="BI976" s="9">
        <f t="shared" si="4018"/>
        <v>62.546863352178633</v>
      </c>
      <c r="BJ976" s="109">
        <f>BJ407-BJ412/0.65</f>
        <v>196.89230769230772</v>
      </c>
      <c r="BK976" s="9">
        <f t="shared" si="4018"/>
        <v>11.388659210583768</v>
      </c>
      <c r="BL976" s="109">
        <f>BL407-BL412/0.65</f>
        <v>166.35946136308257</v>
      </c>
      <c r="BM976" s="9">
        <f t="shared" si="4018"/>
        <v>-15.507384055318283</v>
      </c>
      <c r="BN976" s="109">
        <f>BN407-BN412/0.65</f>
        <v>174.86614895248226</v>
      </c>
      <c r="BO976" s="9">
        <f t="shared" si="4018"/>
        <v>5.1134378049191298</v>
      </c>
      <c r="BP976" s="109">
        <f>BP407-BP412/0.65</f>
        <v>176.08159040976625</v>
      </c>
      <c r="BQ976" s="9">
        <f t="shared" si="4018"/>
        <v>0.69506960870640455</v>
      </c>
      <c r="BR976" s="109">
        <f>BR407-BR412/0.65</f>
        <v>179.1179389055917</v>
      </c>
      <c r="BS976" s="9">
        <f t="shared" si="4018"/>
        <v>1.7243986090535941</v>
      </c>
      <c r="BT976" s="109">
        <f>BT407-BT412/0.65</f>
        <v>182.11546473642716</v>
      </c>
      <c r="BU976" s="9">
        <f t="shared" si="4019"/>
        <v>1.6734928110217879</v>
      </c>
      <c r="BV976" s="180"/>
      <c r="BW976" s="180"/>
      <c r="BX976" s="180"/>
      <c r="BY976"/>
      <c r="BZ976"/>
      <c r="CA976"/>
      <c r="CB976"/>
      <c r="CC976"/>
      <c r="CD976"/>
    </row>
    <row r="977" spans="1:82" s="7" customFormat="1" ht="12.75" hidden="1" customHeight="1" outlineLevel="1" x14ac:dyDescent="0.2">
      <c r="B977" s="250" t="s">
        <v>442</v>
      </c>
      <c r="C977" s="109">
        <f>C494-C499/0.65</f>
        <v>31.899999999999977</v>
      </c>
      <c r="D977" s="109"/>
      <c r="E977" s="109">
        <f>E494-E499/0.65</f>
        <v>39.5</v>
      </c>
      <c r="F977" s="109"/>
      <c r="G977" s="109">
        <f>G494-G499/0.65</f>
        <v>48.700000000000045</v>
      </c>
      <c r="H977" s="109"/>
      <c r="I977" s="109">
        <f>I494-I499/0.65</f>
        <v>41.699999999999932</v>
      </c>
      <c r="J977" s="109"/>
      <c r="K977" s="109">
        <f>K494-K499/0.65</f>
        <v>40.900000000000091</v>
      </c>
      <c r="L977" s="109"/>
      <c r="M977" s="109">
        <f>M494-M499/0.65</f>
        <v>45.600000000000023</v>
      </c>
      <c r="N977" s="109"/>
      <c r="O977" s="109">
        <f>O494-O499/0.65</f>
        <v>48.600000000000023</v>
      </c>
      <c r="P977" s="109"/>
      <c r="Q977" s="109">
        <f>Q494-Q499/0.65</f>
        <v>44.099999999999966</v>
      </c>
      <c r="R977" s="109"/>
      <c r="S977" s="109">
        <f>S494-S499/0.65</f>
        <v>39.69940828402374</v>
      </c>
      <c r="T977" s="109"/>
      <c r="U977" s="109">
        <f>U494-U499/0.65</f>
        <v>51.400000000000034</v>
      </c>
      <c r="V977" s="109"/>
      <c r="W977" s="109">
        <f>W494-W499/0.65</f>
        <v>46.70177514792897</v>
      </c>
      <c r="X977" s="109"/>
      <c r="Y977" s="109">
        <f>Y494-Y499/0.65</f>
        <v>56.800000000000011</v>
      </c>
      <c r="Z977" s="109"/>
      <c r="AA977" s="109">
        <f>AA494-AA499/0.65</f>
        <v>38.599999999999966</v>
      </c>
      <c r="AB977" s="109"/>
      <c r="AC977" s="109">
        <f>AC494-AC499/0.65</f>
        <v>66.500000000000114</v>
      </c>
      <c r="AD977" s="109"/>
      <c r="AE977" s="109">
        <f>AE494-AE499/0.65</f>
        <v>46.361538461538558</v>
      </c>
      <c r="AF977" s="109"/>
      <c r="AG977" s="109">
        <f>AG494-AG499/0.65</f>
        <v>64.207692307692284</v>
      </c>
      <c r="AH977" s="109"/>
      <c r="AI977" s="109">
        <f>AI494-AI499/0.65</f>
        <v>45.5</v>
      </c>
      <c r="AJ977" s="109"/>
      <c r="AK977" s="109">
        <f>AK494-AK499/0.65</f>
        <v>63.599999999999966</v>
      </c>
      <c r="AL977" s="109"/>
      <c r="AM977" s="109">
        <f>AM494-AM499/0.65</f>
        <v>62.261538461538478</v>
      </c>
      <c r="AN977" s="109"/>
      <c r="AO977" s="109">
        <f>AO494-AO499/0.65</f>
        <v>62.599999999999909</v>
      </c>
      <c r="AP977" s="109"/>
      <c r="AQ977" s="109">
        <f t="shared" ref="AQ977" si="4048">AQ494-AQ499/0.65</f>
        <v>56.458019284956038</v>
      </c>
      <c r="AR977" s="109"/>
      <c r="AS977" s="109">
        <f t="shared" ref="AS977" si="4049">AS494-AS499/0.65</f>
        <v>65.749889880234036</v>
      </c>
      <c r="AT977" s="109"/>
      <c r="AU977" s="109">
        <f t="shared" ref="AU977" si="4050">AU494-AU499/0.65</f>
        <v>75.248319734541496</v>
      </c>
      <c r="AV977" s="109"/>
      <c r="AW977" s="109">
        <f t="shared" ref="AW977" si="4051">AW494-AW499/0.65</f>
        <v>80.076433950049818</v>
      </c>
      <c r="AX977" s="109"/>
      <c r="AY977" s="273"/>
      <c r="BA977" s="9"/>
      <c r="BB977" s="109">
        <f>BB494-BB499/0.65</f>
        <v>161.79999999999973</v>
      </c>
      <c r="BC977" s="9" t="str">
        <f>IF(ISERROR(BB977/#REF!),"NA",IF(OR(BB977/#REF!&gt;2,BB977/#REF!&lt;0.5),"NM",BB977/#REF!*100-100))</f>
        <v>NA</v>
      </c>
      <c r="BD977" s="930">
        <f>BD494-BD499/0.65</f>
        <v>179.19999999999982</v>
      </c>
      <c r="BE977" s="9">
        <f t="shared" si="4018"/>
        <v>10.754017305315287</v>
      </c>
      <c r="BF977" s="691">
        <f>BF494-BF499/0.65</f>
        <v>194.60118343195299</v>
      </c>
      <c r="BG977" s="9">
        <f t="shared" si="4018"/>
        <v>8.5944103972953201</v>
      </c>
      <c r="BH977" s="109">
        <f>BH494-BH499/0.65</f>
        <v>215.66923076923086</v>
      </c>
      <c r="BI977" s="9">
        <f t="shared" si="4018"/>
        <v>10.826268867293322</v>
      </c>
      <c r="BJ977" s="109">
        <f>BJ494-BJ499/0.65</f>
        <v>233.961538461538</v>
      </c>
      <c r="BK977" s="9">
        <f t="shared" si="4018"/>
        <v>8.4816492492061286</v>
      </c>
      <c r="BL977" s="109">
        <f>BL494-BL499/0.65</f>
        <v>277.53266284978167</v>
      </c>
      <c r="BM977" s="9">
        <f t="shared" si="4018"/>
        <v>18.62319963988719</v>
      </c>
      <c r="BN977" s="109">
        <f>BN494-BN499/0.65</f>
        <v>292.15154771861262</v>
      </c>
      <c r="BO977" s="9">
        <f t="shared" si="4018"/>
        <v>5.2674466200555372</v>
      </c>
      <c r="BP977" s="109">
        <f>BP494-BP499/0.65</f>
        <v>302.56401683520153</v>
      </c>
      <c r="BQ977" s="9">
        <f t="shared" si="4018"/>
        <v>3.564064335068224</v>
      </c>
      <c r="BR977" s="109">
        <f>BR494-BR499/0.65</f>
        <v>313.05489576432819</v>
      </c>
      <c r="BS977" s="9">
        <f t="shared" si="4018"/>
        <v>3.467325374266423</v>
      </c>
      <c r="BT977" s="109">
        <f>BT494-BT499/0.65</f>
        <v>323.58675111707817</v>
      </c>
      <c r="BU977" s="9">
        <f t="shared" si="4019"/>
        <v>3.3642199803444441</v>
      </c>
      <c r="BV977" s="180"/>
      <c r="BW977" s="180"/>
      <c r="BX977" s="180"/>
      <c r="BY977"/>
      <c r="BZ977"/>
      <c r="CA977"/>
      <c r="CB977"/>
      <c r="CC977"/>
      <c r="CD977"/>
    </row>
    <row r="978" spans="1:82" s="252" customFormat="1" ht="12.75" hidden="1" customHeight="1" outlineLevel="1" x14ac:dyDescent="0.2">
      <c r="B978" s="253" t="s">
        <v>573</v>
      </c>
      <c r="C978" s="580">
        <f>C976+C977</f>
        <v>51.800000000000011</v>
      </c>
      <c r="D978" s="580"/>
      <c r="E978" s="580">
        <f t="shared" ref="E978:W978" si="4052">E976+E977</f>
        <v>69.699999999999989</v>
      </c>
      <c r="F978" s="580"/>
      <c r="G978" s="580">
        <f t="shared" si="4052"/>
        <v>80.200000000000102</v>
      </c>
      <c r="H978" s="580"/>
      <c r="I978" s="580">
        <f t="shared" si="4052"/>
        <v>81.799408284023599</v>
      </c>
      <c r="J978" s="580"/>
      <c r="K978" s="580">
        <f t="shared" si="4052"/>
        <v>62.700000000000102</v>
      </c>
      <c r="L978" s="580"/>
      <c r="M978" s="580">
        <f t="shared" si="4052"/>
        <v>73.199999999999989</v>
      </c>
      <c r="N978" s="580"/>
      <c r="O978" s="580">
        <f t="shared" si="4052"/>
        <v>32.792307692307659</v>
      </c>
      <c r="P978" s="580"/>
      <c r="Q978" s="580">
        <f t="shared" si="4052"/>
        <v>83.100000000000023</v>
      </c>
      <c r="R978" s="580"/>
      <c r="S978" s="580">
        <f t="shared" si="4052"/>
        <v>74.79940828402377</v>
      </c>
      <c r="T978" s="580"/>
      <c r="U978" s="580">
        <f t="shared" si="4052"/>
        <v>88.100000000000023</v>
      </c>
      <c r="V978" s="580"/>
      <c r="W978" s="580">
        <f t="shared" si="4052"/>
        <v>53.846745562130167</v>
      </c>
      <c r="X978" s="580"/>
      <c r="Y978" s="580">
        <f t="shared" ref="Y978:AA978" si="4053">Y976+Y977</f>
        <v>86.600000000000023</v>
      </c>
      <c r="Z978" s="580"/>
      <c r="AA978" s="580">
        <f t="shared" si="4053"/>
        <v>80.499999999999943</v>
      </c>
      <c r="AB978" s="580"/>
      <c r="AC978" s="580">
        <f t="shared" ref="AC978:AE978" si="4054">AC976+AC977</f>
        <v>103.60000000000008</v>
      </c>
      <c r="AD978" s="580"/>
      <c r="AE978" s="580">
        <f t="shared" si="4054"/>
        <v>109.12307692307709</v>
      </c>
      <c r="AF978" s="580"/>
      <c r="AG978" s="580">
        <f t="shared" ref="AG978:AI978" si="4055">AG976+AG977</f>
        <v>99.207692307692284</v>
      </c>
      <c r="AH978" s="580"/>
      <c r="AI978" s="580">
        <f t="shared" si="4055"/>
        <v>86.199999999999989</v>
      </c>
      <c r="AJ978" s="580"/>
      <c r="AK978" s="580">
        <f t="shared" ref="AK978" si="4056">AK976+AK977</f>
        <v>99.784615384615364</v>
      </c>
      <c r="AL978" s="580"/>
      <c r="AM978" s="580">
        <f t="shared" ref="AM978:AO978" si="4057">AM976+AM977</f>
        <v>133.96923076923076</v>
      </c>
      <c r="AN978" s="580"/>
      <c r="AO978" s="580">
        <f t="shared" si="4057"/>
        <v>110.89999999999992</v>
      </c>
      <c r="AP978" s="580"/>
      <c r="AQ978" s="580">
        <f t="shared" ref="AQ978:AW978" si="4058">AQ976+AQ977</f>
        <v>93.558349284956023</v>
      </c>
      <c r="AR978" s="580"/>
      <c r="AS978" s="580">
        <f t="shared" si="4058"/>
        <v>105.43637033023407</v>
      </c>
      <c r="AT978" s="580"/>
      <c r="AU978" s="580">
        <f t="shared" si="4058"/>
        <v>118.68761292129153</v>
      </c>
      <c r="AV978" s="580"/>
      <c r="AW978" s="580">
        <f t="shared" si="4058"/>
        <v>126.20979167638234</v>
      </c>
      <c r="AX978" s="580"/>
      <c r="AY978" s="273"/>
      <c r="BA978" s="254"/>
      <c r="BB978" s="580">
        <f t="shared" ref="BB978" si="4059">BB976+BB977</f>
        <v>283.49940828402356</v>
      </c>
      <c r="BC978" s="683" t="str">
        <f>IF(ISERROR(BB978/#REF!),"NA",IF(OR(BB978/#REF!&gt;2,BB978/#REF!&lt;0.5),"NM",BB978/#REF!*100-100))</f>
        <v>NA</v>
      </c>
      <c r="BD978" s="984">
        <f t="shared" ref="BD978" si="4060">BD976+BD977</f>
        <v>251.79230769230759</v>
      </c>
      <c r="BE978" s="683">
        <f t="shared" si="4018"/>
        <v>-11.184185809640297</v>
      </c>
      <c r="BF978" s="848">
        <f t="shared" ref="BF978" si="4061">BF976+BF977</f>
        <v>303.34615384615387</v>
      </c>
      <c r="BG978" s="683">
        <f t="shared" si="4018"/>
        <v>20.474750252039286</v>
      </c>
      <c r="BH978" s="580">
        <f t="shared" ref="BH978" si="4062">BH976+BH977</f>
        <v>392.43076923076904</v>
      </c>
      <c r="BI978" s="683">
        <f t="shared" si="4018"/>
        <v>29.367313300367613</v>
      </c>
      <c r="BJ978" s="580">
        <f t="shared" ref="BJ978" si="4063">BJ976+BJ977</f>
        <v>430.85384615384572</v>
      </c>
      <c r="BK978" s="683">
        <f t="shared" si="4018"/>
        <v>9.7910459463697066</v>
      </c>
      <c r="BL978" s="580">
        <f t="shared" ref="BL978" si="4064">BL976+BL977</f>
        <v>443.89212421286425</v>
      </c>
      <c r="BM978" s="683">
        <f t="shared" si="4018"/>
        <v>3.0261486987777459</v>
      </c>
      <c r="BN978" s="580">
        <f t="shared" ref="BN978" si="4065">BN976+BN977</f>
        <v>467.01769667109488</v>
      </c>
      <c r="BO978" s="683">
        <f t="shared" si="4018"/>
        <v>5.2097280390451317</v>
      </c>
      <c r="BP978" s="580">
        <f t="shared" ref="BP978:BR978" si="4066">BP976+BP977</f>
        <v>478.64560724496778</v>
      </c>
      <c r="BQ978" s="683">
        <f t="shared" si="4018"/>
        <v>2.4898222608600804</v>
      </c>
      <c r="BR978" s="580">
        <f t="shared" si="4066"/>
        <v>492.17283466991989</v>
      </c>
      <c r="BS978" s="683">
        <f t="shared" si="4018"/>
        <v>2.8261467817104489</v>
      </c>
      <c r="BT978" s="580">
        <f t="shared" ref="BT978" si="4067">BT976+BT977</f>
        <v>505.70221585350532</v>
      </c>
      <c r="BU978" s="683">
        <f t="shared" si="4019"/>
        <v>2.7489085602741596</v>
      </c>
      <c r="BV978" s="255"/>
      <c r="BW978" s="255"/>
      <c r="BX978" s="255"/>
      <c r="BY978"/>
      <c r="BZ978"/>
      <c r="CA978"/>
      <c r="CB978"/>
      <c r="CC978"/>
      <c r="CD978"/>
    </row>
    <row r="979" spans="1:82" s="252" customFormat="1" ht="12.75" hidden="1" customHeight="1" outlineLevel="1" x14ac:dyDescent="0.2">
      <c r="B979" s="253" t="s">
        <v>324</v>
      </c>
      <c r="C979" s="580">
        <f>C559-C566/0.65</f>
        <v>-44.100000000000009</v>
      </c>
      <c r="D979" s="580"/>
      <c r="E979" s="580">
        <f>E559-E566/0.65</f>
        <v>-49.000000000000007</v>
      </c>
      <c r="F979" s="580"/>
      <c r="G979" s="580">
        <f>G559-G566/0.65</f>
        <v>-41.499999999999993</v>
      </c>
      <c r="H979" s="580"/>
      <c r="I979" s="580">
        <f>I559-I566/0.65</f>
        <v>-44.298816568047343</v>
      </c>
      <c r="J979" s="580"/>
      <c r="K979" s="580">
        <f>K559-K566/0.65</f>
        <v>-42.7</v>
      </c>
      <c r="L979" s="580"/>
      <c r="M979" s="580">
        <f>M559-M566/0.65</f>
        <v>-39.800000000000004</v>
      </c>
      <c r="N979" s="580"/>
      <c r="O979" s="580">
        <f>O559-O566/0.65</f>
        <v>-43.2</v>
      </c>
      <c r="P979" s="580"/>
      <c r="Q979" s="580">
        <f>Q559-Q566/0.65</f>
        <v>-63.301183431952666</v>
      </c>
      <c r="R979" s="580"/>
      <c r="S979" s="580">
        <f>S559-S566/0.65</f>
        <v>-37.300000000000004</v>
      </c>
      <c r="T979" s="580"/>
      <c r="U979" s="580">
        <f>U559-U566/0.65</f>
        <v>-31.998816568047342</v>
      </c>
      <c r="V979" s="580"/>
      <c r="W979" s="580">
        <f>W559-W566/0.65</f>
        <v>-54</v>
      </c>
      <c r="X979" s="580"/>
      <c r="Y979" s="580">
        <f>Y559-Y566/0.65</f>
        <v>-54.8</v>
      </c>
      <c r="Z979" s="580"/>
      <c r="AA979" s="580">
        <f>AA559-AA566/0.65</f>
        <v>-53.29999999999999</v>
      </c>
      <c r="AB979" s="580"/>
      <c r="AC979" s="580">
        <f>AC559-AC566/0.65</f>
        <v>-54.499999999999993</v>
      </c>
      <c r="AD979" s="580"/>
      <c r="AE979" s="580">
        <f>AE559-AE566/0.65</f>
        <v>-57.8</v>
      </c>
      <c r="AF979" s="580"/>
      <c r="AG979" s="580">
        <f>AG559-AG566/0.65</f>
        <v>-53.3</v>
      </c>
      <c r="AH979" s="580"/>
      <c r="AI979" s="580">
        <f>AI559-AI566/0.65</f>
        <v>-58.5</v>
      </c>
      <c r="AJ979" s="580"/>
      <c r="AK979" s="580">
        <f>AK559-AK566/0.65</f>
        <v>-47.5</v>
      </c>
      <c r="AL979" s="580"/>
      <c r="AM979" s="580">
        <f t="shared" ref="AM979:AO979" si="4068">AM559-AM566/0.65</f>
        <v>-42.999999999999993</v>
      </c>
      <c r="AN979" s="580"/>
      <c r="AO979" s="580">
        <f t="shared" si="4068"/>
        <v>-61.499999999999993</v>
      </c>
      <c r="AP979" s="580"/>
      <c r="AQ979" s="580">
        <f t="shared" ref="AQ979:AW979" si="4069">AQ559-AQ566/0.65</f>
        <v>-51.500259740259729</v>
      </c>
      <c r="AR979" s="580"/>
      <c r="AS979" s="580">
        <f t="shared" si="4069"/>
        <v>-51.500259740259729</v>
      </c>
      <c r="AT979" s="580"/>
      <c r="AU979" s="580">
        <f t="shared" si="4069"/>
        <v>-51.500259740259729</v>
      </c>
      <c r="AV979" s="580"/>
      <c r="AW979" s="580">
        <f t="shared" si="4069"/>
        <v>-51.500259740259729</v>
      </c>
      <c r="AX979" s="580"/>
      <c r="AY979" s="273"/>
      <c r="BA979" s="254"/>
      <c r="BB979" s="580">
        <f>BB559-BB566/0.65</f>
        <v>-178.89881656804732</v>
      </c>
      <c r="BC979" s="683" t="str">
        <f>IF(ISERROR(BB979/#REF!),"NA",IF(OR(BB979/#REF!&gt;2,BB979/#REF!&lt;0.5),"NM",BB979/#REF!*100-100))</f>
        <v>NA</v>
      </c>
      <c r="BD979" s="984">
        <f>BD559-BD566/0.65</f>
        <v>-189.00118343195268</v>
      </c>
      <c r="BE979" s="683">
        <f t="shared" si="4018"/>
        <v>5.6469724382233437</v>
      </c>
      <c r="BF979" s="848">
        <f>BF559-BF566/0.65</f>
        <v>-178.09881656804731</v>
      </c>
      <c r="BG979" s="683">
        <f t="shared" si="4018"/>
        <v>-5.7684119569709509</v>
      </c>
      <c r="BH979" s="580">
        <f>BH559-BH566/0.65</f>
        <v>-218.89999999999998</v>
      </c>
      <c r="BI979" s="683">
        <f t="shared" si="4018"/>
        <v>22.909295085834287</v>
      </c>
      <c r="BJ979" s="580">
        <f>BJ559-BJ566/0.65</f>
        <v>-210.5</v>
      </c>
      <c r="BK979" s="683">
        <f t="shared" si="4018"/>
        <v>-3.8373686614892648</v>
      </c>
      <c r="BL979" s="580">
        <f>BL559-BL566/0.65</f>
        <v>-206.00103896103892</v>
      </c>
      <c r="BM979" s="683">
        <f t="shared" si="4018"/>
        <v>-2.1372736527131053</v>
      </c>
      <c r="BN979" s="580">
        <f>BN559-BN566/0.65</f>
        <v>-206.70183896103896</v>
      </c>
      <c r="BO979" s="683">
        <f t="shared" si="4018"/>
        <v>0.3401924589965688</v>
      </c>
      <c r="BP979" s="580">
        <f>BP559-BP566/0.65</f>
        <v>-214.90795896103896</v>
      </c>
      <c r="BQ979" s="683">
        <f t="shared" si="4018"/>
        <v>3.9700275726848986</v>
      </c>
      <c r="BR979" s="580">
        <f>BR559-BR566/0.65</f>
        <v>-223.47907056103895</v>
      </c>
      <c r="BS979" s="683">
        <f t="shared" si="4018"/>
        <v>3.9882709051058782</v>
      </c>
      <c r="BT979" s="580">
        <f>BT559-BT566/0.65</f>
        <v>-232.43251705303899</v>
      </c>
      <c r="BU979" s="683">
        <f t="shared" si="4019"/>
        <v>4.0063915021315495</v>
      </c>
      <c r="BV979" s="255"/>
      <c r="BW979" s="255"/>
      <c r="BX979" s="255"/>
      <c r="BY979"/>
      <c r="BZ979"/>
      <c r="CA979"/>
      <c r="CB979"/>
      <c r="CC979"/>
      <c r="CD979"/>
    </row>
    <row r="980" spans="1:82" s="2" customFormat="1" ht="12.75" hidden="1" customHeight="1" outlineLevel="1" x14ac:dyDescent="0.2">
      <c r="A980" s="2" t="s">
        <v>126</v>
      </c>
      <c r="B980" s="80" t="s">
        <v>52</v>
      </c>
      <c r="C980" s="713">
        <f>C973+C974+C975+C978+C979</f>
        <v>294.17159763313617</v>
      </c>
      <c r="D980" s="710"/>
      <c r="E980" s="713">
        <f t="shared" ref="E980:W980" si="4070">E973+E974+E975+E978+E979</f>
        <v>373.40059171597636</v>
      </c>
      <c r="F980" s="710"/>
      <c r="G980" s="713">
        <f t="shared" si="4070"/>
        <v>383.76863905325462</v>
      </c>
      <c r="H980" s="710"/>
      <c r="I980" s="713">
        <f t="shared" si="4070"/>
        <v>394.9668639053254</v>
      </c>
      <c r="J980" s="710"/>
      <c r="K980" s="713">
        <f t="shared" si="4070"/>
        <v>345.07869822485213</v>
      </c>
      <c r="L980" s="713"/>
      <c r="M980" s="713">
        <f t="shared" si="4070"/>
        <v>400.68047337278102</v>
      </c>
      <c r="N980" s="713"/>
      <c r="O980" s="713">
        <f t="shared" si="4070"/>
        <v>355.94319526627231</v>
      </c>
      <c r="P980" s="713"/>
      <c r="Q980" s="713">
        <f t="shared" si="4070"/>
        <v>395.79881656804747</v>
      </c>
      <c r="R980" s="710"/>
      <c r="S980" s="713">
        <f t="shared" si="4070"/>
        <v>392.49763313609463</v>
      </c>
      <c r="T980" s="713"/>
      <c r="U980" s="713">
        <f t="shared" si="4070"/>
        <v>436.60059171597629</v>
      </c>
      <c r="V980" s="713"/>
      <c r="W980" s="713">
        <f t="shared" si="4070"/>
        <v>386.49230769230769</v>
      </c>
      <c r="X980" s="713"/>
      <c r="Y980" s="713">
        <f t="shared" ref="Y980:AA980" si="4071">Y973+Y974+Y975+Y978+Y979</f>
        <v>387.90000000000003</v>
      </c>
      <c r="Z980" s="713"/>
      <c r="AA980" s="713">
        <f t="shared" si="4071"/>
        <v>356.29999999999995</v>
      </c>
      <c r="AB980" s="713"/>
      <c r="AC980" s="713">
        <f t="shared" ref="AC980:AE980" si="4072">AC973+AC974+AC975+AC978+AC979</f>
        <v>431.19999999999993</v>
      </c>
      <c r="AD980" s="713"/>
      <c r="AE980" s="713">
        <f t="shared" si="4072"/>
        <v>464.09230769230788</v>
      </c>
      <c r="AF980" s="713"/>
      <c r="AG980" s="713">
        <f t="shared" ref="AG980:AI980" si="4073">AG973+AG974+AG975+AG978+AG979</f>
        <v>455.56923076923061</v>
      </c>
      <c r="AH980" s="231"/>
      <c r="AI980" s="713">
        <f t="shared" si="4073"/>
        <v>437.41538461538465</v>
      </c>
      <c r="AJ980" s="231"/>
      <c r="AK980" s="713">
        <f t="shared" ref="AK980" si="4074">AK973+AK974+AK975+AK978+AK979</f>
        <v>486.80769230769249</v>
      </c>
      <c r="AL980" s="231"/>
      <c r="AM980" s="713">
        <f t="shared" ref="AM980:AO980" si="4075">AM973+AM974+AM975+AM978+AM979</f>
        <v>555.97692307692319</v>
      </c>
      <c r="AN980" s="231"/>
      <c r="AO980" s="713">
        <f t="shared" si="4075"/>
        <v>453.49999999999977</v>
      </c>
      <c r="AP980" s="231"/>
      <c r="AQ980" s="713">
        <f t="shared" ref="AQ980:AW980" si="4076">AQ973+AQ974+AQ975+AQ978+AQ979</f>
        <v>491.99524432143357</v>
      </c>
      <c r="AR980" s="231"/>
      <c r="AS980" s="713">
        <f t="shared" si="4076"/>
        <v>501.06390495507867</v>
      </c>
      <c r="AT980" s="231"/>
      <c r="AU980" s="713">
        <f t="shared" si="4076"/>
        <v>519.63403221869135</v>
      </c>
      <c r="AV980" s="231"/>
      <c r="AW980" s="713">
        <f t="shared" si="4076"/>
        <v>537.4501252391517</v>
      </c>
      <c r="AX980" s="231"/>
      <c r="AY980" s="273"/>
      <c r="AZ980" s="6"/>
      <c r="BA980" s="231"/>
      <c r="BB980" s="713">
        <f t="shared" ref="BB980" si="4077">BB973+BB974+BB975+BB978+BB979</f>
        <v>1446.3076923076917</v>
      </c>
      <c r="BC980" s="9" t="str">
        <f>IF(ISERROR(BB980/#REF!),"NA",IF(OR(BB980/#REF!&gt;2,BB980/#REF!&lt;0.5),"NM",BB980/#REF!*100-100))</f>
        <v>NA</v>
      </c>
      <c r="BD980" s="949">
        <f t="shared" ref="BD980" si="4078">BD973+BD974+BD975+BD978+BD979</f>
        <v>1497.5011834319521</v>
      </c>
      <c r="BE980" s="9">
        <f t="shared" si="4018"/>
        <v>3.5395988970076786</v>
      </c>
      <c r="BF980" s="155">
        <f t="shared" ref="BF980" si="4079">BF973+BF974+BF975+BF978+BF979</f>
        <v>1603.4905325443781</v>
      </c>
      <c r="BG980" s="9">
        <f t="shared" si="4018"/>
        <v>7.0777472689217689</v>
      </c>
      <c r="BH980" s="713">
        <f t="shared" ref="BH980" si="4080">BH973+BH974+BH975+BH978+BH979</f>
        <v>1707.1615384615388</v>
      </c>
      <c r="BI980" s="9">
        <f t="shared" si="4018"/>
        <v>6.4653332098355492</v>
      </c>
      <c r="BJ980" s="713">
        <f t="shared" ref="BJ980" si="4081">BJ973+BJ974+BJ975+BJ978+BJ979</f>
        <v>1933.6999999999994</v>
      </c>
      <c r="BK980" s="9">
        <f t="shared" si="4018"/>
        <v>13.269890191095371</v>
      </c>
      <c r="BL980" s="713">
        <f t="shared" ref="BL980" si="4082">BL973+BL974+BL975+BL978+BL979</f>
        <v>2050.1433067343542</v>
      </c>
      <c r="BM980" s="9">
        <f t="shared" si="4018"/>
        <v>6.0217875955088687</v>
      </c>
      <c r="BN980" s="713">
        <f t="shared" ref="BN980" si="4083">BN973+BN974+BN975+BN978+BN979</f>
        <v>2152.5429853267606</v>
      </c>
      <c r="BO980" s="9">
        <f t="shared" si="4018"/>
        <v>4.9947571106879138</v>
      </c>
      <c r="BP980" s="713">
        <f t="shared" ref="BP980:BR980" si="4084">BP973+BP974+BP975+BP978+BP979</f>
        <v>2262.1211541109315</v>
      </c>
      <c r="BQ980" s="9">
        <f t="shared" si="4018"/>
        <v>5.090637888819515</v>
      </c>
      <c r="BR980" s="713">
        <f t="shared" si="4084"/>
        <v>2364.8769688981488</v>
      </c>
      <c r="BS980" s="9">
        <f t="shared" si="4018"/>
        <v>4.5424540856478899</v>
      </c>
      <c r="BT980" s="713">
        <f t="shared" ref="BT980" si="4085">BT973+BT974+BT975+BT978+BT979</f>
        <v>2470.4230345843162</v>
      </c>
      <c r="BU980" s="9">
        <f t="shared" si="4019"/>
        <v>4.4630679343688655</v>
      </c>
      <c r="BV980" s="180"/>
      <c r="BW980" s="180"/>
      <c r="BX980" s="180"/>
      <c r="BY980"/>
      <c r="BZ980"/>
      <c r="CA980"/>
      <c r="CB980"/>
      <c r="CC980"/>
      <c r="CD980"/>
    </row>
    <row r="981" spans="1:82" s="312" customFormat="1" ht="12.75" hidden="1" customHeight="1" outlineLevel="1" x14ac:dyDescent="0.2">
      <c r="B981" s="312" t="s">
        <v>167</v>
      </c>
      <c r="C981" s="313" t="b">
        <f>ROUND((C634-C669/0.65),0)=ROUND(C980,0)</f>
        <v>1</v>
      </c>
      <c r="D981" s="313"/>
      <c r="E981" s="313" t="b">
        <f>ROUND((E634-E669/0.65),0)=ROUND(E980,0)</f>
        <v>1</v>
      </c>
      <c r="F981" s="313"/>
      <c r="G981" s="313" t="b">
        <f>ROUND((G634-G669/0.65),0)=ROUND(G980,0)</f>
        <v>1</v>
      </c>
      <c r="H981" s="313"/>
      <c r="I981" s="313" t="b">
        <f>ROUND((I634-I669/0.65),0)=ROUND(I980,0)</f>
        <v>1</v>
      </c>
      <c r="J981" s="313"/>
      <c r="K981" s="313" t="b">
        <f>ROUND((K634-K669/0.65),0)=ROUND(K980,0)</f>
        <v>1</v>
      </c>
      <c r="L981" s="313"/>
      <c r="M981" s="313" t="b">
        <f>ROUND((M634-M669/0.65),0)=ROUND(M980,0)</f>
        <v>1</v>
      </c>
      <c r="N981" s="313"/>
      <c r="O981" s="313" t="b">
        <f>ROUND((O634-O669/0.65),0)=ROUND(O980,0)</f>
        <v>1</v>
      </c>
      <c r="P981" s="313"/>
      <c r="Q981" s="313" t="b">
        <f>ROUND((Q634-Q669/0.65),0)=ROUND(Q980,0)</f>
        <v>1</v>
      </c>
      <c r="R981" s="313"/>
      <c r="S981" s="313" t="b">
        <f>ROUND((S634-S669/0.65),0)=ROUND(S980,0)</f>
        <v>1</v>
      </c>
      <c r="T981" s="313"/>
      <c r="U981" s="313" t="b">
        <f>ROUND((U634-U669/0.65),0)=ROUND(U980,0)</f>
        <v>1</v>
      </c>
      <c r="V981" s="313"/>
      <c r="W981" s="313" t="b">
        <f>ROUND((W634-W669/0.65),0)=ROUND(W980,0)</f>
        <v>1</v>
      </c>
      <c r="X981" s="313"/>
      <c r="Y981" s="313" t="b">
        <f>ROUND((Y634-Y669/0.65),0)=ROUND(Y980,0)</f>
        <v>1</v>
      </c>
      <c r="Z981" s="313"/>
      <c r="AA981" s="313" t="b">
        <f>ROUND((AA634-AA669/0.65),0)=ROUND(AA980,0)</f>
        <v>1</v>
      </c>
      <c r="AB981" s="313"/>
      <c r="AC981" s="313" t="b">
        <f>ROUND((AC634-AC669/0.65),0)=ROUND(AC980,0)</f>
        <v>1</v>
      </c>
      <c r="AD981" s="313"/>
      <c r="AE981" s="313" t="b">
        <f>ROUND((AE634-AE669/0.65),0)=ROUND(AE980,0)</f>
        <v>1</v>
      </c>
      <c r="AF981" s="313"/>
      <c r="AG981" s="313" t="b">
        <f>ROUND((AG634-AG669/0.65),0)=ROUND(AG980,0)</f>
        <v>1</v>
      </c>
      <c r="AH981" s="313"/>
      <c r="AI981" s="313" t="b">
        <f>ROUND((AI634-AI669/0.65),0)=ROUND(AI980,0)</f>
        <v>1</v>
      </c>
      <c r="AJ981" s="313"/>
      <c r="AK981" s="313" t="b">
        <f>ROUND((AK634-AK669/0.65),0)=ROUND(AK980,0)</f>
        <v>1</v>
      </c>
      <c r="AL981" s="313"/>
      <c r="AM981" s="313" t="b">
        <f t="shared" ref="AM981:AO981" si="4086">ROUND((AM634-AM669/0.65),0)=ROUND(AM980,0)</f>
        <v>1</v>
      </c>
      <c r="AN981" s="313"/>
      <c r="AO981" s="313" t="b">
        <f t="shared" si="4086"/>
        <v>1</v>
      </c>
      <c r="AP981" s="313"/>
      <c r="AQ981" s="313" t="b">
        <f t="shared" ref="AQ981:AW981" si="4087">ROUND((AQ634-AQ669/0.65),0)=ROUND(AQ980,0)</f>
        <v>1</v>
      </c>
      <c r="AR981" s="313"/>
      <c r="AS981" s="313" t="b">
        <f t="shared" si="4087"/>
        <v>1</v>
      </c>
      <c r="AT981" s="313"/>
      <c r="AU981" s="313" t="b">
        <f t="shared" si="4087"/>
        <v>1</v>
      </c>
      <c r="AV981" s="313"/>
      <c r="AW981" s="313" t="b">
        <f t="shared" si="4087"/>
        <v>1</v>
      </c>
      <c r="AX981" s="313"/>
      <c r="AY981" s="314"/>
      <c r="BA981" s="313"/>
      <c r="BB981" s="313" t="b">
        <f>ROUND((BB634-BB669/0.65),0)=ROUND(BB980,0)</f>
        <v>1</v>
      </c>
      <c r="BC981" s="313"/>
      <c r="BD981" s="987" t="b">
        <f>ROUND((BD634-BD669/0.65),0)=ROUND(BD980,0)</f>
        <v>1</v>
      </c>
      <c r="BE981" s="313"/>
      <c r="BF981" s="313" t="b">
        <f>ROUND((BF634-BF669/0.65),0)=ROUND(BF980,0)</f>
        <v>1</v>
      </c>
      <c r="BG981" s="313"/>
      <c r="BH981" s="313" t="b">
        <f>ROUND((BH634-BH669/0.65),0)=ROUND(BH980,0)</f>
        <v>1</v>
      </c>
      <c r="BI981" s="313"/>
      <c r="BJ981" s="313" t="b">
        <f>ROUND((BJ634-BJ669/0.65),0)=ROUND(BJ980,0)</f>
        <v>1</v>
      </c>
      <c r="BK981" s="313"/>
      <c r="BL981" s="313" t="b">
        <f>ROUND((BL634-BL669/0.65),0)=ROUND(BL980,0)</f>
        <v>1</v>
      </c>
      <c r="BM981" s="313"/>
      <c r="BN981" s="313" t="b">
        <f>ROUND((BN634-BN669/0.65),0)=ROUND(BN980,0)</f>
        <v>1</v>
      </c>
      <c r="BO981" s="313"/>
      <c r="BP981" s="313" t="b">
        <f>ROUND((BP634-BP669/0.65),0)=ROUND(BP980,0)</f>
        <v>1</v>
      </c>
      <c r="BQ981" s="313"/>
      <c r="BR981" s="313" t="b">
        <f>ROUND((BR634-BR669/0.65),0)=ROUND(BR980,0)</f>
        <v>1</v>
      </c>
      <c r="BS981" s="313"/>
      <c r="BT981" s="313" t="b">
        <f>ROUND((BT634-BT669/0.65),0)=ROUND(BT980,0)</f>
        <v>1</v>
      </c>
      <c r="BU981" s="313"/>
      <c r="BX981" s="315"/>
      <c r="BY981"/>
      <c r="BZ981"/>
      <c r="CA981"/>
      <c r="CB981"/>
      <c r="CC981"/>
      <c r="CD981"/>
    </row>
    <row r="982" spans="1:82" s="2" customFormat="1" ht="12.75" hidden="1" customHeight="1" outlineLevel="1" x14ac:dyDescent="0.2">
      <c r="C982" s="7"/>
      <c r="D982" s="231"/>
      <c r="E982" s="7"/>
      <c r="F982" s="231"/>
      <c r="G982" s="7"/>
      <c r="H982" s="231"/>
      <c r="J982" s="231"/>
      <c r="L982" s="231"/>
      <c r="M982" s="41"/>
      <c r="N982" s="231"/>
      <c r="P982" s="231"/>
      <c r="R982" s="231"/>
      <c r="T982" s="231"/>
      <c r="V982" s="231"/>
      <c r="X982" s="231"/>
      <c r="Z982" s="231"/>
      <c r="AB982" s="231"/>
      <c r="AD982" s="231"/>
      <c r="AF982" s="231"/>
      <c r="AH982" s="231"/>
      <c r="AJ982" s="231"/>
      <c r="AL982" s="231"/>
      <c r="AN982" s="231"/>
      <c r="AP982" s="231"/>
      <c r="AR982" s="231"/>
      <c r="AT982" s="231"/>
      <c r="AV982" s="231"/>
      <c r="AX982" s="231"/>
      <c r="AY982" s="273"/>
      <c r="BA982" s="231"/>
      <c r="BD982" s="927"/>
      <c r="BF982" s="41"/>
      <c r="BV982" s="227"/>
      <c r="BW982" s="227"/>
      <c r="BX982" s="7"/>
      <c r="BY982"/>
      <c r="BZ982"/>
      <c r="CA982"/>
      <c r="CB982"/>
      <c r="CC982"/>
      <c r="CD982"/>
    </row>
    <row r="983" spans="1:82" s="2" customFormat="1" ht="12.75" hidden="1" customHeight="1" outlineLevel="1" x14ac:dyDescent="0.2">
      <c r="B983" s="2" t="s">
        <v>451</v>
      </c>
      <c r="C983" s="209">
        <f>C573</f>
        <v>1425.3</v>
      </c>
      <c r="D983" s="230"/>
      <c r="E983" s="209">
        <f>E573</f>
        <v>1541.4</v>
      </c>
      <c r="F983" s="230"/>
      <c r="G983" s="209">
        <f>G573</f>
        <v>1506.1000000000001</v>
      </c>
      <c r="H983" s="230"/>
      <c r="I983" s="205">
        <f>I573</f>
        <v>1903.8</v>
      </c>
      <c r="J983" s="230"/>
      <c r="K983" s="205">
        <f>K573</f>
        <v>1633.1</v>
      </c>
      <c r="L983" s="230"/>
      <c r="M983" s="115">
        <f>M573</f>
        <v>1691.3000000000002</v>
      </c>
      <c r="N983" s="230"/>
      <c r="O983" s="205">
        <f>O573</f>
        <v>1760.7</v>
      </c>
      <c r="P983" s="230"/>
      <c r="Q983" s="205">
        <f>Q573</f>
        <v>2120.4</v>
      </c>
      <c r="R983" s="230"/>
      <c r="S983" s="205">
        <f>S573</f>
        <v>1801.2</v>
      </c>
      <c r="T983" s="230"/>
      <c r="U983" s="205">
        <f>U573</f>
        <v>2591</v>
      </c>
      <c r="V983" s="230"/>
      <c r="W983" s="205">
        <f>W573</f>
        <v>2448.8000000000002</v>
      </c>
      <c r="X983" s="230"/>
      <c r="Y983" s="205">
        <f>Y573</f>
        <v>2063.5</v>
      </c>
      <c r="Z983" s="230"/>
      <c r="AA983" s="205">
        <f>AA573</f>
        <v>2138.6999999999998</v>
      </c>
      <c r="AB983" s="230"/>
      <c r="AC983" s="205">
        <f>AC573</f>
        <v>2194.5</v>
      </c>
      <c r="AD983" s="230"/>
      <c r="AE983" s="205">
        <f>AE573</f>
        <v>1917.6</v>
      </c>
      <c r="AF983" s="230"/>
      <c r="AG983" s="205">
        <f>AG573</f>
        <v>2678.2</v>
      </c>
      <c r="AH983" s="230"/>
      <c r="AI983" s="205">
        <f>AI573</f>
        <v>2188.8000000000002</v>
      </c>
      <c r="AJ983" s="230"/>
      <c r="AK983" s="205">
        <f>AK573</f>
        <v>2407.9000000000005</v>
      </c>
      <c r="AL983" s="230"/>
      <c r="AM983" s="205">
        <f t="shared" ref="AM983:AO983" si="4088">AM573</f>
        <v>3113.2</v>
      </c>
      <c r="AN983" s="230"/>
      <c r="AO983" s="205">
        <f t="shared" si="4088"/>
        <v>2400.3000000000002</v>
      </c>
      <c r="AP983" s="230"/>
      <c r="AQ983" s="205">
        <f t="shared" ref="AQ983:AW983" si="4089">AQ573</f>
        <v>2421.3898103762649</v>
      </c>
      <c r="AR983" s="230"/>
      <c r="AS983" s="205">
        <f t="shared" si="4089"/>
        <v>2448.9366146407783</v>
      </c>
      <c r="AT983" s="230"/>
      <c r="AU983" s="205">
        <f t="shared" si="4089"/>
        <v>2487.4048255699163</v>
      </c>
      <c r="AV983" s="230"/>
      <c r="AW983" s="205">
        <f t="shared" si="4089"/>
        <v>2514.6022679666462</v>
      </c>
      <c r="AX983" s="230"/>
      <c r="AY983" s="299"/>
      <c r="AZ983" s="205"/>
      <c r="BA983" s="230"/>
      <c r="BB983" s="205">
        <f t="shared" ref="BB983:BU983" si="4090">BB573</f>
        <v>6376.6</v>
      </c>
      <c r="BC983" s="205" t="str">
        <f t="shared" si="4090"/>
        <v>NA</v>
      </c>
      <c r="BD983" s="985">
        <f t="shared" si="4090"/>
        <v>7205.4999999999991</v>
      </c>
      <c r="BE983" s="205">
        <f t="shared" si="4090"/>
        <v>12.99909042436407</v>
      </c>
      <c r="BF983" s="115">
        <f t="shared" si="4090"/>
        <v>8904.5</v>
      </c>
      <c r="BG983" s="205">
        <f t="shared" si="4090"/>
        <v>23.579210325445857</v>
      </c>
      <c r="BH983" s="205">
        <f t="shared" si="4090"/>
        <v>8929</v>
      </c>
      <c r="BI983" s="205">
        <f t="shared" si="4090"/>
        <v>0.2751417822449298</v>
      </c>
      <c r="BJ983" s="205">
        <f t="shared" si="4090"/>
        <v>10110.200000000001</v>
      </c>
      <c r="BK983" s="205">
        <f t="shared" si="4090"/>
        <v>13.228805017359164</v>
      </c>
      <c r="BL983" s="205">
        <f t="shared" si="4090"/>
        <v>9872.3335185536071</v>
      </c>
      <c r="BM983" s="205">
        <f t="shared" si="4090"/>
        <v>-2.3527376456093236</v>
      </c>
      <c r="BN983" s="205">
        <f t="shared" si="4090"/>
        <v>10394.631843760499</v>
      </c>
      <c r="BO983" s="205">
        <f t="shared" si="4090"/>
        <v>5.2905255300107967</v>
      </c>
      <c r="BP983" s="205">
        <f t="shared" si="4090"/>
        <v>10940.615005900452</v>
      </c>
      <c r="BQ983" s="205">
        <f t="shared" si="4090"/>
        <v>5.2525492999320136</v>
      </c>
      <c r="BR983" s="205">
        <f t="shared" si="4090"/>
        <v>11533.84621907082</v>
      </c>
      <c r="BS983" s="205">
        <f t="shared" si="4090"/>
        <v>5.4222839653020287</v>
      </c>
      <c r="BT983" s="205">
        <f t="shared" si="4090"/>
        <v>12153.850588971409</v>
      </c>
      <c r="BU983" s="205">
        <f t="shared" si="4090"/>
        <v>5.3755213839719289</v>
      </c>
      <c r="BV983" s="227"/>
      <c r="BW983" s="227"/>
      <c r="BX983" s="7"/>
      <c r="BY983"/>
      <c r="BZ983"/>
      <c r="CA983"/>
      <c r="CB983"/>
      <c r="CC983"/>
      <c r="CD983"/>
    </row>
    <row r="984" spans="1:82" s="2" customFormat="1" ht="12.75" hidden="1" customHeight="1" outlineLevel="1" x14ac:dyDescent="0.2">
      <c r="C984" s="7"/>
      <c r="D984" s="231"/>
      <c r="E984" s="7"/>
      <c r="F984" s="231"/>
      <c r="G984" s="7"/>
      <c r="H984" s="231"/>
      <c r="J984" s="231"/>
      <c r="L984" s="231"/>
      <c r="M984" s="41"/>
      <c r="N984" s="231"/>
      <c r="P984" s="231"/>
      <c r="R984" s="231"/>
      <c r="T984" s="231"/>
      <c r="V984" s="231"/>
      <c r="X984" s="231"/>
      <c r="Z984" s="231"/>
      <c r="AB984" s="231"/>
      <c r="AD984" s="231"/>
      <c r="AF984" s="231"/>
      <c r="AH984" s="231"/>
      <c r="AJ984" s="231"/>
      <c r="AL984" s="231"/>
      <c r="AN984" s="231"/>
      <c r="AP984" s="231"/>
      <c r="AR984" s="231"/>
      <c r="AT984" s="231"/>
      <c r="AV984" s="231"/>
      <c r="AX984" s="231"/>
      <c r="AY984" s="273"/>
      <c r="BA984" s="231"/>
      <c r="BD984" s="927"/>
      <c r="BF984" s="41"/>
      <c r="BV984" s="227"/>
      <c r="BW984" s="227"/>
      <c r="BX984" s="7"/>
      <c r="BY984"/>
      <c r="BZ984"/>
      <c r="CA984"/>
      <c r="CB984"/>
      <c r="CC984"/>
      <c r="CD984"/>
    </row>
    <row r="985" spans="1:82" s="2" customFormat="1" ht="12.75" hidden="1" customHeight="1" outlineLevel="1" x14ac:dyDescent="0.2">
      <c r="B985" s="2" t="s">
        <v>23</v>
      </c>
      <c r="C985" s="680" t="e">
        <f>(C967*400)/(C891-C886)</f>
        <v>#REF!</v>
      </c>
      <c r="D985" s="679"/>
      <c r="E985" s="680" t="e">
        <f>(E967*400)/(E891-E886)</f>
        <v>#REF!</v>
      </c>
      <c r="F985" s="679"/>
      <c r="G985" s="680">
        <f>(G967*400)/(G891-G886)</f>
        <v>12.751624210730638</v>
      </c>
      <c r="H985" s="679"/>
      <c r="I985" s="678">
        <f>(I967*400)/(I891-I886)</f>
        <v>12.962157950895101</v>
      </c>
      <c r="J985" s="679"/>
      <c r="K985" s="678">
        <f>(K967*400)/(K891-K886)</f>
        <v>13.013284856815071</v>
      </c>
      <c r="L985" s="679"/>
      <c r="M985" s="677">
        <f>(M967*400)/(M891-M886)</f>
        <v>13.453623701927008</v>
      </c>
      <c r="N985" s="679"/>
      <c r="O985" s="678">
        <f>(O967*400)/(O891-O886)</f>
        <v>14.150939895122328</v>
      </c>
      <c r="P985" s="679"/>
      <c r="Q985" s="678">
        <f>(Q967*400)/(Q891-Q886)</f>
        <v>13.535550876419626</v>
      </c>
      <c r="R985" s="679"/>
      <c r="S985" s="678">
        <f>(S967*400)/(S891-S886)</f>
        <v>13.201326399092315</v>
      </c>
      <c r="T985" s="679"/>
      <c r="U985" s="678">
        <f>(U967*400)/(U891-U886)</f>
        <v>12.747136476232317</v>
      </c>
      <c r="V985" s="679"/>
      <c r="W985" s="678">
        <f>(W967*400)/(W891-W886)</f>
        <v>12.481217176551107</v>
      </c>
      <c r="X985" s="679"/>
      <c r="Y985" s="678">
        <f>(Y967*400)/(Y891-Y886)</f>
        <v>11.925974000432671</v>
      </c>
      <c r="Z985" s="679"/>
      <c r="AA985" s="678">
        <f>(AA967*400)/(AA891-AA886)</f>
        <v>11.12287415378937</v>
      </c>
      <c r="AB985" s="679"/>
      <c r="AC985" s="678">
        <f>(AC967*400)/(AC891-AC886)</f>
        <v>12.893047182394929</v>
      </c>
      <c r="AD985" s="679"/>
      <c r="AE985" s="678">
        <f>(AE967*400)/(AE891-AE886)</f>
        <v>13.414507723190303</v>
      </c>
      <c r="AF985" s="679"/>
      <c r="AG985" s="678">
        <f>(AG967*400)/(AG891-AG886)</f>
        <v>13.629988937899498</v>
      </c>
      <c r="AH985" s="679"/>
      <c r="AI985" s="678">
        <f>(AI967*400)/(AI891-AI886)</f>
        <v>12.944565548815174</v>
      </c>
      <c r="AJ985" s="679"/>
      <c r="AK985" s="678">
        <f>(AK967*400)/(AK891-AK886)</f>
        <v>13.611029102588189</v>
      </c>
      <c r="AL985" s="679"/>
      <c r="AM985" s="678">
        <f t="shared" ref="AM985:AO985" si="4091">(AM967*400)/(AM891-AM886)</f>
        <v>14.367123476344602</v>
      </c>
      <c r="AN985" s="679"/>
      <c r="AO985" s="678">
        <f t="shared" si="4091"/>
        <v>11.392754493935017</v>
      </c>
      <c r="AP985" s="679"/>
      <c r="AQ985" s="678">
        <f t="shared" ref="AQ985:AW985" si="4092">(AQ967*400)/(AQ891-AQ886)</f>
        <v>12.48991852050505</v>
      </c>
      <c r="AR985" s="679"/>
      <c r="AS985" s="678">
        <f t="shared" si="4092"/>
        <v>12.553437419738357</v>
      </c>
      <c r="AT985" s="679"/>
      <c r="AU985" s="678">
        <f t="shared" si="4092"/>
        <v>12.834216959046746</v>
      </c>
      <c r="AV985" s="679"/>
      <c r="AW985" s="678">
        <f t="shared" si="4092"/>
        <v>13.064395207949385</v>
      </c>
      <c r="AX985" s="679"/>
      <c r="AY985" s="676"/>
      <c r="AZ985" s="678"/>
      <c r="BA985" s="679"/>
      <c r="BB985" s="678">
        <f t="shared" ref="BB985:BP985" si="4093">(BB967*400)/(BB891-BB886)</f>
        <v>42.518962075848307</v>
      </c>
      <c r="BC985" s="675" t="str">
        <f>IF(ISERROR(BB985/#REF!),"NA",IF(OR(BB985/#REF!&gt;2,BB985/#REF!&lt;0.5),"NM",BB985/#REF!*100-100))</f>
        <v>NA</v>
      </c>
      <c r="BD985" s="988">
        <f t="shared" si="4093"/>
        <v>49.718872775005522</v>
      </c>
      <c r="BE985" s="675">
        <f t="shared" ref="BE985:BS985" si="4094">IF(ISERROR(BD985/BB985),"NA",IF(OR(BD985/BB985&gt;2,BD985/BB985&lt;0.5),"NM",BD985/BB985*100-100))</f>
        <v>16.933411230296528</v>
      </c>
      <c r="BF985" s="677">
        <f t="shared" si="4093"/>
        <v>49.715662825580829</v>
      </c>
      <c r="BG985" s="675">
        <f t="shared" si="4094"/>
        <v>-6.4561991162292998E-3</v>
      </c>
      <c r="BH985" s="678">
        <f t="shared" si="4093"/>
        <v>51.09259311927044</v>
      </c>
      <c r="BI985" s="675">
        <f t="shared" si="4094"/>
        <v>2.7696106527239692</v>
      </c>
      <c r="BJ985" s="678">
        <f t="shared" ref="BJ985" si="4095">(BJ967*400)/(BJ891-BJ886)</f>
        <v>51.010968231558174</v>
      </c>
      <c r="BK985" s="675">
        <f t="shared" si="4094"/>
        <v>-0.15975874922166611</v>
      </c>
      <c r="BL985" s="678">
        <f t="shared" ref="BL985" si="4096">(BL967*400)/(BL891-BL886)</f>
        <v>50.845569322371404</v>
      </c>
      <c r="BM985" s="675">
        <f t="shared" si="4094"/>
        <v>-0.32424185409686856</v>
      </c>
      <c r="BN985" s="678">
        <f t="shared" si="4093"/>
        <v>50.380504574844302</v>
      </c>
      <c r="BO985" s="675">
        <f t="shared" si="4094"/>
        <v>-0.91466130426918824</v>
      </c>
      <c r="BP985" s="678">
        <f t="shared" si="4093"/>
        <v>50.03540173050888</v>
      </c>
      <c r="BQ985" s="9">
        <f t="shared" si="4094"/>
        <v>-0.68499283055561477</v>
      </c>
      <c r="BR985" s="678">
        <f t="shared" ref="BR985:BT985" si="4097">(BR967*400)/(BR891-BR886)</f>
        <v>49.541200559635442</v>
      </c>
      <c r="BS985" s="9">
        <f t="shared" si="4094"/>
        <v>-0.98770301382850789</v>
      </c>
      <c r="BT985" s="678">
        <f t="shared" si="4097"/>
        <v>49.103973997863392</v>
      </c>
      <c r="BU985" s="9">
        <f t="shared" ref="BU985" si="4098">IF(ISERROR(BT985/BR985),"NA",IF(OR(BT985/BR985&gt;2,BT985/BR985&lt;0.5),"NM",BT985/BR985*100-100))</f>
        <v>-0.88255140536155352</v>
      </c>
      <c r="BV985" s="227"/>
      <c r="BW985" s="227"/>
      <c r="BX985" s="7"/>
      <c r="BY985"/>
      <c r="BZ985"/>
      <c r="CA985"/>
      <c r="CB985"/>
      <c r="CC985"/>
      <c r="CD985"/>
    </row>
    <row r="986" spans="1:82" s="2" customFormat="1" ht="12.75" hidden="1" customHeight="1" outlineLevel="1" x14ac:dyDescent="0.2">
      <c r="C986" s="7"/>
      <c r="D986" s="227"/>
      <c r="E986" s="7"/>
      <c r="F986" s="227"/>
      <c r="G986" s="7"/>
      <c r="H986" s="227"/>
      <c r="J986" s="227"/>
      <c r="L986" s="227"/>
      <c r="M986" s="41"/>
      <c r="N986" s="227"/>
      <c r="P986" s="227"/>
      <c r="R986" s="227"/>
      <c r="T986" s="227"/>
      <c r="V986" s="227"/>
      <c r="X986" s="227"/>
      <c r="Z986" s="227"/>
      <c r="AB986" s="227"/>
      <c r="AD986" s="227"/>
      <c r="AF986" s="227"/>
      <c r="AH986" s="227"/>
      <c r="AJ986" s="227"/>
      <c r="AL986" s="227"/>
      <c r="AN986" s="227"/>
      <c r="AP986" s="227"/>
      <c r="AR986" s="227"/>
      <c r="AT986" s="227"/>
      <c r="AV986" s="227"/>
      <c r="AX986" s="227"/>
      <c r="AY986" s="273"/>
      <c r="BA986" s="227"/>
      <c r="BD986" s="927"/>
      <c r="BF986" s="41"/>
      <c r="BV986" s="227"/>
      <c r="BW986" s="227"/>
      <c r="BX986" s="7"/>
      <c r="BY986"/>
      <c r="BZ986"/>
      <c r="CA986"/>
      <c r="CB986"/>
      <c r="CC986"/>
      <c r="CD986"/>
    </row>
    <row r="987" spans="1:82" s="2" customFormat="1" ht="12.75" hidden="1" customHeight="1" outlineLevel="1" x14ac:dyDescent="0.2">
      <c r="B987" s="2" t="s">
        <v>67</v>
      </c>
      <c r="C987" s="14">
        <f>(C634-(C708/0.65))/C575*100</f>
        <v>13.384014316353159</v>
      </c>
      <c r="D987" s="233"/>
      <c r="E987" s="14">
        <f>(E634-(E708/0.65))/E575*100</f>
        <v>15.95540863833547</v>
      </c>
      <c r="F987" s="233"/>
      <c r="G987" s="14">
        <f>(G634-(G708/0.65))/G575*100</f>
        <v>16.128371435274062</v>
      </c>
      <c r="H987" s="233"/>
      <c r="I987" s="14">
        <f>(I634-(I708/0.65))/I575*100</f>
        <v>14.313569928038259</v>
      </c>
      <c r="J987" s="233"/>
      <c r="K987" s="14">
        <f>(K634-(K708/0.65))/K575*100</f>
        <v>14.515076800563568</v>
      </c>
      <c r="L987" s="233"/>
      <c r="M987" s="14">
        <f>(M634-(M708/0.65))/M575*100</f>
        <v>16.140969481082116</v>
      </c>
      <c r="N987" s="233"/>
      <c r="O987" s="14">
        <f>(O634-(O708/0.65))/O575*100</f>
        <v>15.523647433899857</v>
      </c>
      <c r="P987" s="233"/>
      <c r="Q987" s="14">
        <f>(Q634-(Q708/0.65))/Q575*100</f>
        <v>13.476217450796288</v>
      </c>
      <c r="R987" s="233"/>
      <c r="S987" s="14">
        <f>(S634-(S708/0.65))/S575*100</f>
        <v>15.725166518383146</v>
      </c>
      <c r="T987" s="233"/>
      <c r="U987" s="14">
        <f>(U634-(U708/0.65))/U575*100</f>
        <v>12.692690036120247</v>
      </c>
      <c r="V987" s="233"/>
      <c r="W987" s="14">
        <f>(W634-(W708/0.65))/W575*100</f>
        <v>12.024615384615386</v>
      </c>
      <c r="X987" s="233"/>
      <c r="Y987" s="14">
        <f>(Y634-(Y708/0.65))/Y575*100</f>
        <v>13.413326878522772</v>
      </c>
      <c r="Z987" s="233"/>
      <c r="AA987" s="14">
        <f>(AA634-(AA708/0.65))/AA575*100</f>
        <v>12.127710269239934</v>
      </c>
      <c r="AB987" s="233"/>
      <c r="AC987" s="14">
        <f>(AC634-(AC708/0.65))/AC575*100</f>
        <v>14.206642066420663</v>
      </c>
      <c r="AD987" s="233"/>
      <c r="AE987" s="14">
        <f>(AE634-(AE708/0.65))/AE575*100</f>
        <v>15.896816372939176</v>
      </c>
      <c r="AF987" s="233"/>
      <c r="AG987" s="14">
        <f>(AG634-(AG708/0.65))/AG575*100</f>
        <v>12.767496869347431</v>
      </c>
      <c r="AH987" s="233"/>
      <c r="AI987" s="14">
        <f>(AI634-(AI708/0.65))/AI575*100</f>
        <v>14.4877121783103</v>
      </c>
      <c r="AJ987" s="233"/>
      <c r="AK987" s="14">
        <f>(AK634-(AK708/0.65))/AK575*100</f>
        <v>14.790306985738461</v>
      </c>
      <c r="AL987" s="233"/>
      <c r="AM987" s="14">
        <f t="shared" ref="AM987:AO987" si="4099">(AM634-(AM708/0.65))/AM575*100</f>
        <v>13.068724548790914</v>
      </c>
      <c r="AN987" s="233"/>
      <c r="AO987" s="14">
        <f t="shared" si="4099"/>
        <v>13.69676834793113</v>
      </c>
      <c r="AP987" s="233"/>
      <c r="AQ987" s="14">
        <f t="shared" ref="AQ987:AW987" si="4100">(AQ634-(AQ708/0.65))/AQ575*100</f>
        <v>14.736931851918634</v>
      </c>
      <c r="AR987" s="233"/>
      <c r="AS987" s="14">
        <f t="shared" si="4100"/>
        <v>14.8634474715262</v>
      </c>
      <c r="AT987" s="233"/>
      <c r="AU987" s="14">
        <f t="shared" si="4100"/>
        <v>15.206381669844147</v>
      </c>
      <c r="AV987" s="233"/>
      <c r="AW987" s="14">
        <f t="shared" si="4100"/>
        <v>15.567471327653706</v>
      </c>
      <c r="AX987" s="233"/>
      <c r="AY987" s="300"/>
      <c r="AZ987" s="14"/>
      <c r="BA987" s="233"/>
      <c r="BB987" s="14">
        <f>(BB634-(BB708/0.65))/BB575*100</f>
        <v>14.92939081459394</v>
      </c>
      <c r="BC987" s="9" t="str">
        <f>IF(ISERROR(BB987/#REF!),"NA",IF(OR(BB987/#REF!&gt;2,BB987/#REF!&lt;0.5),"NM",BB987/#REF!*100-100))</f>
        <v>NA</v>
      </c>
      <c r="BD987" s="842">
        <f>(BD634-(BD708/0.65))/BD575*100</f>
        <v>14.859754267260818</v>
      </c>
      <c r="BE987" s="9">
        <f t="shared" ref="BE987:BS989" si="4101">IF(ISERROR(BD987/BB987),"NA",IF(OR(BD987/BB987&gt;2,BD987/BB987&lt;0.5),"NM",BD987/BB987*100-100))</f>
        <v>-0.46643930886349949</v>
      </c>
      <c r="BF987" s="211">
        <f>(BF634-(BF708/0.65))/BF575*100</f>
        <v>13.325747619098996</v>
      </c>
      <c r="BG987" s="9">
        <f t="shared" si="4101"/>
        <v>-10.323230253824349</v>
      </c>
      <c r="BH987" s="14">
        <f>(BH634-(BH708/0.65))/BH575*100</f>
        <v>13.679832000646158</v>
      </c>
      <c r="BI987" s="9">
        <f t="shared" si="4101"/>
        <v>2.6571445870674779</v>
      </c>
      <c r="BJ987" s="14">
        <f>(BJ634-(BJ708/0.65))/BJ575*100</f>
        <v>13.957748020578689</v>
      </c>
      <c r="BK987" s="9">
        <f t="shared" si="4101"/>
        <v>2.0315748023762552</v>
      </c>
      <c r="BL987" s="14">
        <f>(BL634-(BL708/0.65))/BL575*100</f>
        <v>15.097633677938733</v>
      </c>
      <c r="BM987" s="9">
        <f t="shared" si="4101"/>
        <v>8.166687460466008</v>
      </c>
      <c r="BN987" s="14">
        <f>(BN634-(BN708/0.65))/BN575*100</f>
        <v>15.11217811222039</v>
      </c>
      <c r="BO987" s="9">
        <f t="shared" si="4101"/>
        <v>9.6335853630563406E-2</v>
      </c>
      <c r="BP987" s="14">
        <f>(BP634-(BP708/0.65))/BP575*100</f>
        <v>15.112858545351024</v>
      </c>
      <c r="BQ987" s="9">
        <f t="shared" si="4101"/>
        <v>4.5025483790652743E-3</v>
      </c>
      <c r="BR987" s="14">
        <f>(BR634-(BR708/0.65))/BR575*100</f>
        <v>15.035232154053899</v>
      </c>
      <c r="BS987" s="9">
        <f t="shared" si="4101"/>
        <v>-0.51364466268364595</v>
      </c>
      <c r="BT987" s="14">
        <f>(BT634-(BT708/0.65))/BT575*100</f>
        <v>14.941066862113143</v>
      </c>
      <c r="BU987" s="9">
        <f t="shared" ref="BU987" si="4102">IF(ISERROR(BT987/BR987),"NA",IF(OR(BT987/BR987&gt;2,BT987/BR987&lt;0.5),"NM",BT987/BR987*100-100))</f>
        <v>-0.62629755880003302</v>
      </c>
      <c r="BV987" s="227"/>
      <c r="BW987" s="227"/>
      <c r="BX987" s="7"/>
      <c r="BY987"/>
      <c r="BZ987"/>
      <c r="CA987"/>
      <c r="CB987"/>
      <c r="CC987"/>
      <c r="CD987"/>
    </row>
    <row r="988" spans="1:82" s="2" customFormat="1" ht="12.75" hidden="1" customHeight="1" outlineLevel="1" x14ac:dyDescent="0.2">
      <c r="C988" s="7"/>
      <c r="D988" s="227"/>
      <c r="E988" s="7"/>
      <c r="F988" s="227"/>
      <c r="G988" s="7"/>
      <c r="H988" s="227"/>
      <c r="J988" s="227"/>
      <c r="L988" s="227"/>
      <c r="M988" s="41"/>
      <c r="N988" s="227"/>
      <c r="P988" s="227"/>
      <c r="R988" s="227"/>
      <c r="T988" s="227"/>
      <c r="V988" s="227"/>
      <c r="X988" s="227"/>
      <c r="Z988" s="227"/>
      <c r="AB988" s="227"/>
      <c r="AD988" s="227"/>
      <c r="AF988" s="227"/>
      <c r="AH988" s="227"/>
      <c r="AJ988" s="227"/>
      <c r="AL988" s="227"/>
      <c r="AN988" s="227"/>
      <c r="AP988" s="227"/>
      <c r="AR988" s="227"/>
      <c r="AT988" s="227"/>
      <c r="AV988" s="227"/>
      <c r="AX988" s="227"/>
      <c r="AY988" s="273"/>
      <c r="BA988" s="227"/>
      <c r="BD988" s="927"/>
      <c r="BF988" s="41"/>
      <c r="BV988" s="227"/>
      <c r="BW988" s="227"/>
      <c r="BX988" s="7"/>
      <c r="BY988"/>
      <c r="BZ988"/>
      <c r="CA988"/>
      <c r="CB988"/>
      <c r="CC988"/>
      <c r="CD988"/>
    </row>
    <row r="989" spans="1:82" s="2" customFormat="1" ht="12.75" hidden="1" customHeight="1" outlineLevel="1" x14ac:dyDescent="0.2">
      <c r="B989" s="2" t="s">
        <v>620</v>
      </c>
      <c r="C989" s="209">
        <f>C178-C180</f>
        <v>226.70000000000002</v>
      </c>
      <c r="D989" s="230"/>
      <c r="E989" s="209">
        <f>E178-E180</f>
        <v>243.89999999999998</v>
      </c>
      <c r="F989" s="230"/>
      <c r="G989" s="209">
        <f>G178-G180</f>
        <v>239.49999999999997</v>
      </c>
      <c r="H989" s="230"/>
      <c r="I989" s="209">
        <f>I178-I180</f>
        <v>317.90000000000003</v>
      </c>
      <c r="J989" s="230"/>
      <c r="K989" s="209">
        <f>K178-K180</f>
        <v>253.2</v>
      </c>
      <c r="L989" s="230"/>
      <c r="M989" s="209">
        <f>M178-M180</f>
        <v>260.59999999999997</v>
      </c>
      <c r="N989" s="230"/>
      <c r="O989" s="209">
        <f>O178-O180</f>
        <v>267.2</v>
      </c>
      <c r="P989" s="230"/>
      <c r="Q989" s="209">
        <f>Q178-Q180</f>
        <v>303.40000000000003</v>
      </c>
      <c r="R989" s="230"/>
      <c r="S989" s="209">
        <f>S178-S180</f>
        <v>283.59999999999997</v>
      </c>
      <c r="T989" s="230"/>
      <c r="U989" s="209">
        <f>U178-U180</f>
        <v>291.2</v>
      </c>
      <c r="V989" s="230"/>
      <c r="W989" s="209">
        <f>W178-W180</f>
        <v>284.2</v>
      </c>
      <c r="X989" s="230"/>
      <c r="Y989" s="209">
        <f>Y178-Y180</f>
        <v>302.2</v>
      </c>
      <c r="Z989" s="230"/>
      <c r="AA989" s="209">
        <f>AA178-AA180</f>
        <v>269.7</v>
      </c>
      <c r="AB989" s="230"/>
      <c r="AC989" s="209">
        <f>AC178-AC180</f>
        <v>310.69999999999993</v>
      </c>
      <c r="AD989" s="230"/>
      <c r="AE989" s="209">
        <f>AE178-AE180</f>
        <v>304.59999999999997</v>
      </c>
      <c r="AF989" s="230"/>
      <c r="AG989" s="209">
        <f>AG178-AG180</f>
        <v>339.1</v>
      </c>
      <c r="AH989" s="230"/>
      <c r="AI989" s="209">
        <f>AI178-AI180</f>
        <v>306.29999999999995</v>
      </c>
      <c r="AJ989" s="230"/>
      <c r="AK989" s="209">
        <f>AK178-AK180</f>
        <v>315.7</v>
      </c>
      <c r="AL989" s="230"/>
      <c r="AM989" s="209">
        <f>AM178-AM180</f>
        <v>327.5</v>
      </c>
      <c r="AN989" s="230"/>
      <c r="AO989" s="209">
        <f>AO178-AO180</f>
        <v>335.3</v>
      </c>
      <c r="AP989" s="230"/>
      <c r="AQ989" s="209">
        <f t="shared" ref="AQ989" si="4103">AQ178-AQ180</f>
        <v>337.6663006984781</v>
      </c>
      <c r="AR989" s="230"/>
      <c r="AS989" s="209">
        <f t="shared" ref="AS989" si="4104">AS178-AS180</f>
        <v>339.33847457916949</v>
      </c>
      <c r="AT989" s="230"/>
      <c r="AU989" s="209">
        <f t="shared" ref="AU989" si="4105">AU178-AU180</f>
        <v>344.67341819075892</v>
      </c>
      <c r="AV989" s="230"/>
      <c r="AW989" s="209">
        <f t="shared" ref="AW989" si="4106">AW178-AW180</f>
        <v>349.79915509770592</v>
      </c>
      <c r="AX989" s="230"/>
      <c r="AY989" s="299"/>
      <c r="AZ989" s="205"/>
      <c r="BA989" s="230"/>
      <c r="BB989" s="209">
        <f>BB178-BB180</f>
        <v>1028</v>
      </c>
      <c r="BC989" s="9" t="str">
        <f>IF(ISERROR(BB989/#REF!),"NA",IF(OR(BB989/#REF!&gt;2,BB989/#REF!&lt;0.5),"NM",BB989/#REF!*100-100))</f>
        <v>NA</v>
      </c>
      <c r="BD989" s="841">
        <f>BD178-BD180</f>
        <v>1084.4000000000001</v>
      </c>
      <c r="BE989" s="9">
        <f t="shared" si="4101"/>
        <v>5.4863813229572003</v>
      </c>
      <c r="BF989" s="674">
        <f>BF178-BF180</f>
        <v>1161.2</v>
      </c>
      <c r="BG989" s="9">
        <f t="shared" si="4101"/>
        <v>7.082257469568404</v>
      </c>
      <c r="BH989" s="209">
        <f>BH178-BH180</f>
        <v>1224.0999999999999</v>
      </c>
      <c r="BI989" s="9">
        <f t="shared" si="4101"/>
        <v>5.4168101963485924</v>
      </c>
      <c r="BJ989" s="209">
        <f>BJ178-BJ180</f>
        <v>1284.7999999999997</v>
      </c>
      <c r="BK989" s="9">
        <f t="shared" si="4101"/>
        <v>4.9587452005554979</v>
      </c>
      <c r="BL989" s="209">
        <f>BL178-BL180</f>
        <v>1371.4773485661126</v>
      </c>
      <c r="BM989" s="9">
        <f t="shared" si="4101"/>
        <v>6.7463689730785177</v>
      </c>
      <c r="BN989" s="209">
        <f>BN178-BN180</f>
        <v>1450.2508868927014</v>
      </c>
      <c r="BO989" s="9">
        <f t="shared" si="4101"/>
        <v>5.7436995520886285</v>
      </c>
      <c r="BP989" s="209">
        <f>BP178-BP180</f>
        <v>1512.0872691038549</v>
      </c>
      <c r="BQ989" s="205">
        <f t="shared" si="4101"/>
        <v>4.2638403306646921</v>
      </c>
      <c r="BR989" s="209">
        <f>BR178-BR180</f>
        <v>1604.2400558175871</v>
      </c>
      <c r="BS989" s="205">
        <f t="shared" si="4101"/>
        <v>6.0944092709904965</v>
      </c>
      <c r="BT989" s="209">
        <f>BT178-BT180</f>
        <v>1703.9305724886476</v>
      </c>
      <c r="BU989" s="205">
        <f t="shared" ref="BU989" si="4107">IF(ISERROR(BT989/BR989),"NA",IF(OR(BT989/BR989&gt;2,BT989/BR989&lt;0.5),"NM",BT989/BR989*100-100))</f>
        <v>6.2141894730495437</v>
      </c>
      <c r="BV989" s="227"/>
      <c r="BW989" s="227"/>
      <c r="BX989" s="7"/>
      <c r="BY989"/>
      <c r="BZ989"/>
      <c r="CA989"/>
      <c r="CB989"/>
      <c r="CC989"/>
      <c r="CD989"/>
    </row>
    <row r="990" spans="1:82" s="2" customFormat="1" ht="12.75" hidden="1" customHeight="1" outlineLevel="1" x14ac:dyDescent="0.2">
      <c r="D990" s="227"/>
      <c r="F990" s="227"/>
      <c r="H990" s="227"/>
      <c r="J990" s="227"/>
      <c r="L990" s="227"/>
      <c r="M990" s="41"/>
      <c r="N990" s="227"/>
      <c r="P990" s="227"/>
      <c r="R990" s="227"/>
      <c r="T990" s="227"/>
      <c r="V990" s="227"/>
      <c r="X990" s="227"/>
      <c r="Z990" s="227"/>
      <c r="AB990" s="227"/>
      <c r="AD990" s="227"/>
      <c r="AF990" s="227"/>
      <c r="AH990" s="227"/>
      <c r="AJ990" s="227"/>
      <c r="AL990" s="227"/>
      <c r="AN990" s="227"/>
      <c r="AP990" s="227"/>
      <c r="AR990" s="227"/>
      <c r="AT990" s="227"/>
      <c r="AV990" s="227"/>
      <c r="AX990" s="227"/>
      <c r="AY990" s="273"/>
      <c r="BA990" s="227"/>
      <c r="BC990" s="227"/>
      <c r="BD990" s="927"/>
      <c r="BE990" s="227"/>
      <c r="BF990" s="41"/>
      <c r="BG990" s="227"/>
      <c r="BI990" s="227"/>
      <c r="BK990" s="227"/>
      <c r="BM990" s="227"/>
      <c r="BO990" s="227"/>
      <c r="BQ990" s="227"/>
      <c r="BS990" s="227"/>
      <c r="BU990" s="227"/>
      <c r="BV990" s="227"/>
      <c r="BW990" s="227"/>
      <c r="BX990" s="7"/>
      <c r="BY990"/>
      <c r="BZ990"/>
      <c r="CA990"/>
      <c r="CB990"/>
      <c r="CC990"/>
      <c r="CD990"/>
    </row>
    <row r="991" spans="1:82" ht="12.75" customHeight="1" collapsed="1" x14ac:dyDescent="0.2"/>
    <row r="1002" ht="12.75" customHeight="1" collapsed="1" x14ac:dyDescent="0.2"/>
    <row r="1007" ht="12.75" customHeight="1" collapsed="1" x14ac:dyDescent="0.2"/>
    <row r="1013" spans="2:83" s="22" customFormat="1" ht="12.75" hidden="1" customHeight="1" outlineLevel="1" x14ac:dyDescent="0.2">
      <c r="B1013" s="24" t="s">
        <v>352</v>
      </c>
      <c r="C1013" s="197"/>
      <c r="D1013" s="27"/>
      <c r="E1013" s="197"/>
      <c r="F1013" s="27"/>
      <c r="G1013" s="197"/>
      <c r="H1013" s="27"/>
      <c r="I1013" s="794"/>
      <c r="J1013" s="27"/>
      <c r="K1013" s="794"/>
      <c r="L1013" s="27"/>
      <c r="M1013" s="794"/>
      <c r="N1013" s="27"/>
      <c r="O1013" s="794"/>
      <c r="P1013" s="27"/>
      <c r="Q1013" s="794"/>
      <c r="R1013" s="27"/>
      <c r="S1013" s="794"/>
      <c r="T1013" s="27"/>
      <c r="U1013" s="794"/>
      <c r="V1013" s="27"/>
      <c r="W1013" s="794"/>
      <c r="X1013" s="27"/>
      <c r="Y1013" s="794"/>
      <c r="Z1013" s="27"/>
      <c r="AA1013" s="794"/>
      <c r="AB1013" s="27"/>
      <c r="AC1013" s="794"/>
      <c r="AD1013" s="27"/>
      <c r="AE1013" s="794"/>
      <c r="AF1013" s="27"/>
      <c r="AG1013" s="794"/>
      <c r="AH1013" s="27"/>
      <c r="AI1013" s="794"/>
      <c r="AJ1013" s="27"/>
      <c r="AK1013" s="794"/>
      <c r="AL1013" s="27"/>
      <c r="AM1013" s="794"/>
      <c r="AN1013" s="27"/>
      <c r="AO1013" s="794"/>
      <c r="AP1013" s="27"/>
      <c r="AQ1013" s="794"/>
      <c r="AR1013" s="27"/>
      <c r="AS1013" s="794"/>
      <c r="AT1013" s="27"/>
      <c r="AU1013" s="794"/>
      <c r="AV1013" s="27"/>
      <c r="AW1013" s="794"/>
      <c r="AX1013" s="27"/>
      <c r="AY1013" s="276"/>
      <c r="AZ1013" s="26"/>
      <c r="BA1013" s="21"/>
      <c r="BB1013" s="25"/>
      <c r="BC1013" s="21"/>
      <c r="BD1013" s="990"/>
      <c r="BE1013" s="21"/>
      <c r="BF1013" s="25"/>
      <c r="BG1013" s="21"/>
      <c r="BH1013" s="25"/>
      <c r="BI1013" s="21"/>
      <c r="BJ1013" s="25"/>
      <c r="BK1013" s="21"/>
      <c r="BL1013" s="25"/>
      <c r="BM1013" s="21"/>
      <c r="BN1013" s="794" t="e">
        <f>#REF!</f>
        <v>#REF!</v>
      </c>
      <c r="BO1013" s="21"/>
      <c r="BP1013" s="794" t="e">
        <f>#REF!</f>
        <v>#REF!</v>
      </c>
      <c r="BQ1013" s="21"/>
      <c r="BR1013" s="794" t="e">
        <f>#REF!</f>
        <v>#REF!</v>
      </c>
      <c r="BS1013" s="21"/>
      <c r="BT1013" s="794" t="e">
        <f>#REF!</f>
        <v>#REF!</v>
      </c>
      <c r="BU1013" s="21"/>
      <c r="BV1013" s="19"/>
      <c r="BW1013" s="19"/>
      <c r="BX1013" s="215"/>
      <c r="BY1013"/>
      <c r="BZ1013"/>
      <c r="CA1013"/>
      <c r="CB1013"/>
      <c r="CC1013"/>
      <c r="CD1013"/>
      <c r="CE1013" s="2"/>
    </row>
    <row r="1014" spans="2:83" s="22" customFormat="1" ht="12.75" hidden="1" customHeight="1" outlineLevel="1" x14ac:dyDescent="0.2">
      <c r="B1014" s="24" t="s">
        <v>353</v>
      </c>
      <c r="C1014" s="212"/>
      <c r="D1014" s="36"/>
      <c r="E1014" s="212"/>
      <c r="F1014" s="36"/>
      <c r="G1014" s="212"/>
      <c r="H1014" s="36"/>
      <c r="I1014" s="198"/>
      <c r="J1014" s="36"/>
      <c r="K1014" s="198"/>
      <c r="L1014" s="36"/>
      <c r="M1014" s="198"/>
      <c r="N1014" s="36"/>
      <c r="O1014" s="198"/>
      <c r="P1014" s="36"/>
      <c r="Q1014" s="198"/>
      <c r="R1014" s="36"/>
      <c r="S1014" s="198"/>
      <c r="T1014" s="36"/>
      <c r="U1014" s="198"/>
      <c r="V1014" s="36"/>
      <c r="W1014" s="198">
        <v>0.5</v>
      </c>
      <c r="X1014" s="36"/>
      <c r="Y1014" s="198">
        <v>0.5</v>
      </c>
      <c r="Z1014" s="36"/>
      <c r="AA1014" s="198">
        <v>0.5</v>
      </c>
      <c r="AB1014" s="36"/>
      <c r="AC1014" s="198">
        <v>0.5</v>
      </c>
      <c r="AD1014" s="36"/>
      <c r="AE1014" s="198">
        <v>0.5</v>
      </c>
      <c r="AF1014" s="36"/>
      <c r="AG1014" s="198">
        <v>0.5</v>
      </c>
      <c r="AH1014" s="36"/>
      <c r="AI1014" s="198">
        <v>0.5</v>
      </c>
      <c r="AJ1014" s="36"/>
      <c r="AK1014" s="198">
        <v>0.5</v>
      </c>
      <c r="AL1014" s="36"/>
      <c r="AM1014" s="198">
        <v>0.5</v>
      </c>
      <c r="AN1014" s="36"/>
      <c r="AO1014" s="198">
        <v>0.5</v>
      </c>
      <c r="AP1014" s="36"/>
      <c r="AQ1014" s="198">
        <v>0.5</v>
      </c>
      <c r="AR1014" s="36"/>
      <c r="AS1014" s="198">
        <v>0.5</v>
      </c>
      <c r="AT1014" s="36"/>
      <c r="AU1014" s="198">
        <v>0.5</v>
      </c>
      <c r="AV1014" s="36"/>
      <c r="AW1014" s="198">
        <v>0.5</v>
      </c>
      <c r="AX1014" s="36"/>
      <c r="AY1014" s="276"/>
      <c r="AZ1014" s="26"/>
      <c r="BA1014" s="236"/>
      <c r="BB1014" s="28"/>
      <c r="BC1014" s="236"/>
      <c r="BD1014" s="991"/>
      <c r="BE1014" s="236"/>
      <c r="BF1014" s="28"/>
      <c r="BG1014" s="236"/>
      <c r="BH1014" s="28"/>
      <c r="BI1014" s="236"/>
      <c r="BJ1014" s="28"/>
      <c r="BK1014" s="236"/>
      <c r="BL1014" s="28"/>
      <c r="BM1014" s="236"/>
      <c r="BN1014" s="34">
        <v>0.5</v>
      </c>
      <c r="BO1014" s="236"/>
      <c r="BP1014" s="34">
        <v>0.5</v>
      </c>
      <c r="BQ1014" s="236"/>
      <c r="BR1014" s="34">
        <v>0.5</v>
      </c>
      <c r="BS1014" s="236"/>
      <c r="BT1014" s="34">
        <v>0.5</v>
      </c>
      <c r="BU1014" s="236"/>
      <c r="BV1014" s="19"/>
      <c r="BW1014" s="19"/>
      <c r="BX1014" s="215"/>
      <c r="BY1014"/>
      <c r="BZ1014"/>
      <c r="CA1014"/>
      <c r="CB1014"/>
      <c r="CC1014"/>
      <c r="CD1014"/>
      <c r="CE1014" s="2"/>
    </row>
    <row r="1015" spans="2:83" s="22" customFormat="1" ht="12.75" hidden="1" customHeight="1" outlineLevel="1" x14ac:dyDescent="0.2">
      <c r="B1015" s="24" t="s">
        <v>354</v>
      </c>
      <c r="C1015" s="212"/>
      <c r="D1015" s="36"/>
      <c r="E1015" s="212"/>
      <c r="F1015" s="36"/>
      <c r="G1015" s="212"/>
      <c r="H1015" s="36"/>
      <c r="I1015" s="199"/>
      <c r="J1015" s="36"/>
      <c r="K1015" s="199"/>
      <c r="L1015" s="36"/>
      <c r="M1015" s="199"/>
      <c r="N1015" s="36"/>
      <c r="O1015" s="199"/>
      <c r="P1015" s="36"/>
      <c r="Q1015" s="199"/>
      <c r="R1015" s="36"/>
      <c r="S1015" s="199"/>
      <c r="T1015" s="36"/>
      <c r="U1015" s="199"/>
      <c r="V1015" s="36"/>
      <c r="W1015" s="199">
        <v>-0.5</v>
      </c>
      <c r="X1015" s="36"/>
      <c r="Y1015" s="199">
        <v>-0.5</v>
      </c>
      <c r="Z1015" s="36"/>
      <c r="AA1015" s="199">
        <v>-0.5</v>
      </c>
      <c r="AB1015" s="36"/>
      <c r="AC1015" s="199">
        <v>-0.5</v>
      </c>
      <c r="AD1015" s="36"/>
      <c r="AE1015" s="199">
        <v>-0.5</v>
      </c>
      <c r="AF1015" s="36"/>
      <c r="AG1015" s="199">
        <v>-0.5</v>
      </c>
      <c r="AH1015" s="36"/>
      <c r="AI1015" s="199">
        <v>-0.5</v>
      </c>
      <c r="AJ1015" s="36"/>
      <c r="AK1015" s="199">
        <v>-0.5</v>
      </c>
      <c r="AL1015" s="36"/>
      <c r="AM1015" s="199">
        <v>-0.5</v>
      </c>
      <c r="AN1015" s="36"/>
      <c r="AO1015" s="199">
        <v>-0.5</v>
      </c>
      <c r="AP1015" s="36"/>
      <c r="AQ1015" s="199">
        <v>-0.5</v>
      </c>
      <c r="AR1015" s="36"/>
      <c r="AS1015" s="199">
        <v>-0.5</v>
      </c>
      <c r="AT1015" s="36"/>
      <c r="AU1015" s="199">
        <v>-0.5</v>
      </c>
      <c r="AV1015" s="36"/>
      <c r="AW1015" s="199">
        <v>-0.5</v>
      </c>
      <c r="AX1015" s="36"/>
      <c r="AY1015" s="276"/>
      <c r="AZ1015" s="26"/>
      <c r="BA1015" s="236"/>
      <c r="BB1015" s="28"/>
      <c r="BC1015" s="236"/>
      <c r="BD1015" s="991"/>
      <c r="BE1015" s="236"/>
      <c r="BF1015" s="28"/>
      <c r="BG1015" s="236"/>
      <c r="BH1015" s="28"/>
      <c r="BI1015" s="236"/>
      <c r="BJ1015" s="28"/>
      <c r="BK1015" s="236"/>
      <c r="BL1015" s="28"/>
      <c r="BM1015" s="236"/>
      <c r="BN1015" s="37">
        <v>-0.5</v>
      </c>
      <c r="BO1015" s="236"/>
      <c r="BP1015" s="37">
        <v>-0.5</v>
      </c>
      <c r="BQ1015" s="236"/>
      <c r="BR1015" s="37">
        <v>-0.5</v>
      </c>
      <c r="BS1015" s="236"/>
      <c r="BT1015" s="37">
        <v>-0.5</v>
      </c>
      <c r="BU1015" s="236"/>
      <c r="BV1015" s="19"/>
      <c r="BW1015" s="19"/>
      <c r="BX1015" s="215"/>
      <c r="BY1015"/>
      <c r="BZ1015"/>
      <c r="CA1015"/>
      <c r="CB1015"/>
      <c r="CC1015"/>
      <c r="CD1015"/>
      <c r="CE1015" s="2"/>
    </row>
    <row r="1016" spans="2:83" s="22" customFormat="1" ht="12.75" hidden="1" customHeight="1" outlineLevel="1" x14ac:dyDescent="0.2">
      <c r="B1016" s="23"/>
      <c r="C1016" s="20"/>
      <c r="D1016" s="21"/>
      <c r="E1016" s="20"/>
      <c r="F1016" s="21"/>
      <c r="G1016" s="20"/>
      <c r="H1016" s="21"/>
      <c r="I1016" s="20"/>
      <c r="J1016" s="21"/>
      <c r="K1016" s="20"/>
      <c r="L1016" s="21"/>
      <c r="M1016" s="20"/>
      <c r="N1016" s="21"/>
      <c r="O1016" s="20"/>
      <c r="P1016" s="21"/>
      <c r="Q1016" s="20"/>
      <c r="R1016" s="21"/>
      <c r="S1016" s="20"/>
      <c r="T1016" s="21"/>
      <c r="U1016" s="20"/>
      <c r="V1016" s="21"/>
      <c r="W1016" s="20"/>
      <c r="X1016" s="21"/>
      <c r="Y1016" s="20"/>
      <c r="Z1016" s="21"/>
      <c r="AA1016" s="20"/>
      <c r="AB1016" s="21"/>
      <c r="AC1016" s="20"/>
      <c r="AD1016" s="21"/>
      <c r="AE1016" s="20"/>
      <c r="AF1016" s="21"/>
      <c r="AG1016" s="20"/>
      <c r="AH1016" s="21"/>
      <c r="AI1016" s="20"/>
      <c r="AJ1016" s="21"/>
      <c r="AK1016" s="20"/>
      <c r="AL1016" s="21"/>
      <c r="AM1016" s="20"/>
      <c r="AN1016" s="21"/>
      <c r="AO1016" s="20"/>
      <c r="AP1016" s="21"/>
      <c r="AQ1016" s="20"/>
      <c r="AR1016" s="21"/>
      <c r="AS1016" s="20"/>
      <c r="AT1016" s="21"/>
      <c r="AU1016" s="20"/>
      <c r="AV1016" s="21"/>
      <c r="AW1016" s="20"/>
      <c r="AX1016" s="21"/>
      <c r="AY1016" s="275"/>
      <c r="BA1016" s="21"/>
      <c r="BB1016" s="20"/>
      <c r="BC1016" s="21"/>
      <c r="BD1016" s="992"/>
      <c r="BE1016" s="21"/>
      <c r="BF1016" s="20"/>
      <c r="BG1016" s="21"/>
      <c r="BH1016" s="20"/>
      <c r="BI1016" s="21"/>
      <c r="BJ1016" s="20"/>
      <c r="BK1016" s="21"/>
      <c r="BL1016" s="20"/>
      <c r="BM1016" s="21"/>
      <c r="BN1016" s="20"/>
      <c r="BO1016" s="21"/>
      <c r="BP1016" s="20"/>
      <c r="BQ1016" s="21"/>
      <c r="BR1016" s="20"/>
      <c r="BS1016" s="21"/>
      <c r="BT1016" s="20"/>
      <c r="BU1016" s="21"/>
      <c r="BV1016" s="19"/>
      <c r="BW1016" s="19"/>
      <c r="BX1016" s="215"/>
      <c r="BY1016"/>
      <c r="BZ1016"/>
      <c r="CA1016"/>
      <c r="CB1016"/>
      <c r="CC1016"/>
      <c r="CD1016"/>
      <c r="CE1016" s="2"/>
    </row>
    <row r="1017" spans="2:83" s="22" customFormat="1" ht="12.75" hidden="1" customHeight="1" outlineLevel="1" x14ac:dyDescent="0.2">
      <c r="B1017" s="23" t="s">
        <v>14</v>
      </c>
      <c r="C1017" s="20"/>
      <c r="D1017" s="21"/>
      <c r="E1017" s="20"/>
      <c r="F1017" s="21"/>
      <c r="G1017" s="20"/>
      <c r="H1017" s="21"/>
      <c r="I1017" s="20"/>
      <c r="J1017" s="21"/>
      <c r="K1017" s="20"/>
      <c r="L1017" s="21"/>
      <c r="M1017" s="20"/>
      <c r="N1017" s="21"/>
      <c r="O1017" s="20"/>
      <c r="P1017" s="21"/>
      <c r="Q1017" s="20"/>
      <c r="R1017" s="21"/>
      <c r="S1017" s="20"/>
      <c r="T1017" s="21"/>
      <c r="U1017" s="20"/>
      <c r="V1017" s="21"/>
      <c r="W1017" s="20"/>
      <c r="X1017" s="21"/>
      <c r="Y1017" s="20"/>
      <c r="Z1017" s="21"/>
      <c r="AA1017" s="20"/>
      <c r="AB1017" s="21"/>
      <c r="AC1017" s="20"/>
      <c r="AD1017" s="21"/>
      <c r="AE1017" s="20"/>
      <c r="AF1017" s="21"/>
      <c r="AG1017" s="20"/>
      <c r="AH1017" s="21"/>
      <c r="AI1017" s="20"/>
      <c r="AJ1017" s="21"/>
      <c r="AK1017" s="20"/>
      <c r="AL1017" s="21"/>
      <c r="AM1017" s="20"/>
      <c r="AN1017" s="21"/>
      <c r="AO1017" s="20"/>
      <c r="AP1017" s="21"/>
      <c r="AQ1017" s="20"/>
      <c r="AR1017" s="21"/>
      <c r="AS1017" s="20"/>
      <c r="AT1017" s="21"/>
      <c r="AU1017" s="20"/>
      <c r="AV1017" s="21"/>
      <c r="AW1017" s="20"/>
      <c r="AX1017" s="21"/>
      <c r="AY1017" s="275"/>
      <c r="BA1017" s="21"/>
      <c r="BB1017" s="20"/>
      <c r="BC1017" s="21"/>
      <c r="BD1017" s="992"/>
      <c r="BE1017" s="21"/>
      <c r="BF1017" s="20"/>
      <c r="BG1017" s="21"/>
      <c r="BH1017" s="20"/>
      <c r="BI1017" s="21"/>
      <c r="BJ1017" s="20"/>
      <c r="BK1017" s="21"/>
      <c r="BL1017" s="20"/>
      <c r="BM1017" s="21"/>
      <c r="BN1017" s="20"/>
      <c r="BO1017" s="21"/>
      <c r="BP1017" s="20"/>
      <c r="BQ1017" s="21"/>
      <c r="BR1017" s="20"/>
      <c r="BS1017" s="21"/>
      <c r="BT1017" s="20"/>
      <c r="BU1017" s="21"/>
      <c r="BV1017" s="19"/>
      <c r="BW1017" s="19"/>
      <c r="BX1017" s="215"/>
      <c r="BY1017"/>
      <c r="BZ1017"/>
      <c r="CA1017"/>
      <c r="CB1017"/>
      <c r="CC1017"/>
      <c r="CD1017"/>
      <c r="CE1017" s="2"/>
    </row>
    <row r="1018" spans="2:83" s="22" customFormat="1" ht="12.75" hidden="1" customHeight="1" outlineLevel="1" x14ac:dyDescent="0.2">
      <c r="B1018" s="24" t="s">
        <v>352</v>
      </c>
      <c r="C1018" s="25"/>
      <c r="D1018" s="27"/>
      <c r="E1018" s="25"/>
      <c r="F1018" s="27"/>
      <c r="G1018" s="25"/>
      <c r="H1018" s="27"/>
      <c r="I1018" s="795"/>
      <c r="J1018" s="27"/>
      <c r="K1018" s="795"/>
      <c r="L1018" s="27"/>
      <c r="M1018" s="795"/>
      <c r="N1018" s="27"/>
      <c r="O1018" s="795"/>
      <c r="P1018" s="27"/>
      <c r="Q1018" s="795"/>
      <c r="R1018" s="27"/>
      <c r="S1018" s="795"/>
      <c r="T1018" s="27"/>
      <c r="U1018" s="795"/>
      <c r="V1018" s="27"/>
      <c r="W1018" s="795"/>
      <c r="X1018" s="27"/>
      <c r="Y1018" s="795"/>
      <c r="Z1018" s="27"/>
      <c r="AA1018" s="795"/>
      <c r="AB1018" s="27"/>
      <c r="AC1018" s="795"/>
      <c r="AD1018" s="27"/>
      <c r="AE1018" s="795"/>
      <c r="AF1018" s="27"/>
      <c r="AG1018" s="795"/>
      <c r="AH1018" s="27"/>
      <c r="AI1018" s="795"/>
      <c r="AJ1018" s="27"/>
      <c r="AK1018" s="795"/>
      <c r="AL1018" s="27"/>
      <c r="AM1018" s="795"/>
      <c r="AN1018" s="27"/>
      <c r="AO1018" s="795"/>
      <c r="AP1018" s="27"/>
      <c r="AQ1018" s="795"/>
      <c r="AR1018" s="27"/>
      <c r="AS1018" s="795"/>
      <c r="AT1018" s="27"/>
      <c r="AU1018" s="795"/>
      <c r="AV1018" s="27"/>
      <c r="AW1018" s="795"/>
      <c r="AX1018" s="27"/>
      <c r="AY1018" s="275"/>
      <c r="BA1018" s="21"/>
      <c r="BB1018" s="25"/>
      <c r="BC1018" s="21"/>
      <c r="BD1018" s="990"/>
      <c r="BE1018" s="21"/>
      <c r="BF1018" s="25"/>
      <c r="BG1018" s="21"/>
      <c r="BH1018" s="25"/>
      <c r="BI1018" s="21"/>
      <c r="BJ1018" s="25"/>
      <c r="BK1018" s="21"/>
      <c r="BL1018" s="25"/>
      <c r="BM1018" s="21"/>
      <c r="BN1018" s="795" t="e">
        <f>+#REF!</f>
        <v>#REF!</v>
      </c>
      <c r="BO1018" s="21"/>
      <c r="BP1018" s="795" t="e">
        <f>+#REF!</f>
        <v>#REF!</v>
      </c>
      <c r="BQ1018" s="21"/>
      <c r="BR1018" s="795" t="e">
        <f>+#REF!</f>
        <v>#REF!</v>
      </c>
      <c r="BS1018" s="21"/>
      <c r="BT1018" s="795" t="e">
        <f>+#REF!</f>
        <v>#REF!</v>
      </c>
      <c r="BU1018" s="21"/>
      <c r="BV1018" s="19"/>
      <c r="BW1018" s="19"/>
      <c r="BX1018" s="215"/>
      <c r="BY1018"/>
      <c r="BZ1018"/>
      <c r="CA1018"/>
      <c r="CB1018"/>
      <c r="CC1018"/>
      <c r="CD1018"/>
      <c r="CE1018" s="2"/>
    </row>
    <row r="1019" spans="2:83" s="22" customFormat="1" ht="12.75" hidden="1" customHeight="1" outlineLevel="1" x14ac:dyDescent="0.2">
      <c r="B1019" s="24" t="s">
        <v>353</v>
      </c>
      <c r="C1019" s="28"/>
      <c r="D1019" s="36"/>
      <c r="E1019" s="28"/>
      <c r="F1019" s="36"/>
      <c r="G1019" s="28"/>
      <c r="H1019" s="36"/>
      <c r="I1019" s="29"/>
      <c r="J1019" s="36"/>
      <c r="K1019" s="29"/>
      <c r="L1019" s="36"/>
      <c r="M1019" s="29"/>
      <c r="N1019" s="36"/>
      <c r="O1019" s="29"/>
      <c r="P1019" s="36"/>
      <c r="Q1019" s="29"/>
      <c r="R1019" s="36"/>
      <c r="S1019" s="29"/>
      <c r="T1019" s="36"/>
      <c r="U1019" s="29"/>
      <c r="V1019" s="36"/>
      <c r="W1019" s="29">
        <v>-0.01</v>
      </c>
      <c r="X1019" s="36"/>
      <c r="Y1019" s="29">
        <v>-0.01</v>
      </c>
      <c r="Z1019" s="36"/>
      <c r="AA1019" s="29">
        <v>-0.01</v>
      </c>
      <c r="AB1019" s="36"/>
      <c r="AC1019" s="29">
        <v>-0.01</v>
      </c>
      <c r="AD1019" s="36"/>
      <c r="AE1019" s="29">
        <v>-0.01</v>
      </c>
      <c r="AF1019" s="36"/>
      <c r="AG1019" s="29">
        <v>-0.01</v>
      </c>
      <c r="AH1019" s="36"/>
      <c r="AI1019" s="29">
        <v>-0.01</v>
      </c>
      <c r="AJ1019" s="36"/>
      <c r="AK1019" s="29">
        <v>-0.01</v>
      </c>
      <c r="AL1019" s="36"/>
      <c r="AM1019" s="29">
        <v>-0.01</v>
      </c>
      <c r="AN1019" s="36"/>
      <c r="AO1019" s="29">
        <v>-0.01</v>
      </c>
      <c r="AP1019" s="36"/>
      <c r="AQ1019" s="29">
        <v>-0.01</v>
      </c>
      <c r="AR1019" s="36"/>
      <c r="AS1019" s="29">
        <v>-0.01</v>
      </c>
      <c r="AT1019" s="36"/>
      <c r="AU1019" s="29">
        <v>-0.01</v>
      </c>
      <c r="AV1019" s="36"/>
      <c r="AW1019" s="29">
        <v>-0.01</v>
      </c>
      <c r="AX1019" s="36"/>
      <c r="AY1019" s="275"/>
      <c r="BA1019" s="236"/>
      <c r="BB1019" s="28"/>
      <c r="BC1019" s="236"/>
      <c r="BD1019" s="991"/>
      <c r="BE1019" s="236"/>
      <c r="BF1019" s="28"/>
      <c r="BG1019" s="236"/>
      <c r="BH1019" s="28"/>
      <c r="BI1019" s="236"/>
      <c r="BJ1019" s="28"/>
      <c r="BK1019" s="236"/>
      <c r="BL1019" s="28"/>
      <c r="BM1019" s="236"/>
      <c r="BN1019" s="29">
        <v>-0.01</v>
      </c>
      <c r="BO1019" s="236"/>
      <c r="BP1019" s="29">
        <v>-0.01</v>
      </c>
      <c r="BQ1019" s="236"/>
      <c r="BR1019" s="29">
        <v>-0.01</v>
      </c>
      <c r="BS1019" s="236"/>
      <c r="BT1019" s="29">
        <v>-0.01</v>
      </c>
      <c r="BU1019" s="236"/>
      <c r="BV1019" s="19"/>
      <c r="BW1019" s="19"/>
      <c r="BX1019" s="215"/>
      <c r="BY1019"/>
      <c r="BZ1019"/>
      <c r="CA1019"/>
      <c r="CB1019"/>
      <c r="CC1019"/>
      <c r="CD1019"/>
      <c r="CE1019" s="2"/>
    </row>
    <row r="1020" spans="2:83" s="22" customFormat="1" ht="12.75" hidden="1" customHeight="1" outlineLevel="1" x14ac:dyDescent="0.2">
      <c r="B1020" s="24" t="s">
        <v>354</v>
      </c>
      <c r="C1020" s="28"/>
      <c r="D1020" s="36"/>
      <c r="E1020" s="28"/>
      <c r="F1020" s="36"/>
      <c r="G1020" s="28"/>
      <c r="H1020" s="36"/>
      <c r="I1020" s="30"/>
      <c r="J1020" s="36"/>
      <c r="K1020" s="30"/>
      <c r="L1020" s="36"/>
      <c r="M1020" s="30"/>
      <c r="N1020" s="36"/>
      <c r="O1020" s="30"/>
      <c r="P1020" s="36"/>
      <c r="Q1020" s="30"/>
      <c r="R1020" s="36"/>
      <c r="S1020" s="30"/>
      <c r="T1020" s="36"/>
      <c r="U1020" s="30"/>
      <c r="V1020" s="36"/>
      <c r="W1020" s="30">
        <v>0.02</v>
      </c>
      <c r="X1020" s="36"/>
      <c r="Y1020" s="30">
        <v>0.02</v>
      </c>
      <c r="Z1020" s="36"/>
      <c r="AA1020" s="30">
        <v>0.02</v>
      </c>
      <c r="AB1020" s="36"/>
      <c r="AC1020" s="30">
        <v>0.02</v>
      </c>
      <c r="AD1020" s="36"/>
      <c r="AE1020" s="30">
        <v>0.02</v>
      </c>
      <c r="AF1020" s="36"/>
      <c r="AG1020" s="30">
        <v>0.02</v>
      </c>
      <c r="AH1020" s="36"/>
      <c r="AI1020" s="30">
        <v>0.02</v>
      </c>
      <c r="AJ1020" s="36"/>
      <c r="AK1020" s="30">
        <v>0.02</v>
      </c>
      <c r="AL1020" s="36"/>
      <c r="AM1020" s="30">
        <v>0.02</v>
      </c>
      <c r="AN1020" s="36"/>
      <c r="AO1020" s="30">
        <v>0.02</v>
      </c>
      <c r="AP1020" s="36"/>
      <c r="AQ1020" s="30">
        <v>0.02</v>
      </c>
      <c r="AR1020" s="36"/>
      <c r="AS1020" s="30">
        <v>0.02</v>
      </c>
      <c r="AT1020" s="36"/>
      <c r="AU1020" s="30">
        <v>0.02</v>
      </c>
      <c r="AV1020" s="36"/>
      <c r="AW1020" s="30">
        <v>0.02</v>
      </c>
      <c r="AX1020" s="36"/>
      <c r="AY1020" s="275"/>
      <c r="BA1020" s="236"/>
      <c r="BB1020" s="28"/>
      <c r="BC1020" s="236"/>
      <c r="BD1020" s="991"/>
      <c r="BE1020" s="236"/>
      <c r="BF1020" s="28"/>
      <c r="BG1020" s="236"/>
      <c r="BH1020" s="28"/>
      <c r="BI1020" s="236"/>
      <c r="BJ1020" s="28"/>
      <c r="BK1020" s="236"/>
      <c r="BL1020" s="28"/>
      <c r="BM1020" s="236"/>
      <c r="BN1020" s="30">
        <v>0.02</v>
      </c>
      <c r="BO1020" s="236"/>
      <c r="BP1020" s="30">
        <v>0.02</v>
      </c>
      <c r="BQ1020" s="236"/>
      <c r="BR1020" s="30">
        <v>0.02</v>
      </c>
      <c r="BS1020" s="236"/>
      <c r="BT1020" s="30">
        <v>0.02</v>
      </c>
      <c r="BU1020" s="236"/>
      <c r="BV1020" s="19"/>
      <c r="BW1020" s="19"/>
      <c r="BX1020" s="215"/>
      <c r="BY1020"/>
      <c r="BZ1020"/>
      <c r="CA1020"/>
      <c r="CB1020"/>
      <c r="CC1020"/>
      <c r="CD1020"/>
      <c r="CE1020" s="2"/>
    </row>
    <row r="1021" spans="2:83" s="22" customFormat="1" ht="12.75" hidden="1" customHeight="1" outlineLevel="1" x14ac:dyDescent="0.2">
      <c r="B1021" s="23"/>
      <c r="C1021" s="20"/>
      <c r="D1021" s="21"/>
      <c r="E1021" s="20"/>
      <c r="F1021" s="21"/>
      <c r="G1021" s="20"/>
      <c r="H1021" s="21"/>
      <c r="I1021" s="20"/>
      <c r="J1021" s="21"/>
      <c r="K1021" s="20"/>
      <c r="L1021" s="21"/>
      <c r="M1021" s="20"/>
      <c r="N1021" s="21"/>
      <c r="O1021" s="20"/>
      <c r="P1021" s="21"/>
      <c r="Q1021" s="20"/>
      <c r="R1021" s="21"/>
      <c r="S1021" s="20"/>
      <c r="T1021" s="21"/>
      <c r="U1021" s="20"/>
      <c r="V1021" s="21"/>
      <c r="W1021" s="20"/>
      <c r="X1021" s="21"/>
      <c r="Y1021" s="20"/>
      <c r="Z1021" s="21"/>
      <c r="AA1021" s="20"/>
      <c r="AB1021" s="21"/>
      <c r="AC1021" s="20"/>
      <c r="AD1021" s="21"/>
      <c r="AE1021" s="20"/>
      <c r="AF1021" s="21"/>
      <c r="AG1021" s="20"/>
      <c r="AH1021" s="21"/>
      <c r="AI1021" s="20"/>
      <c r="AJ1021" s="21"/>
      <c r="AK1021" s="20"/>
      <c r="AL1021" s="21"/>
      <c r="AM1021" s="20"/>
      <c r="AN1021" s="21"/>
      <c r="AO1021" s="20"/>
      <c r="AP1021" s="21"/>
      <c r="AQ1021" s="20"/>
      <c r="AR1021" s="21"/>
      <c r="AS1021" s="20"/>
      <c r="AT1021" s="21"/>
      <c r="AU1021" s="20"/>
      <c r="AV1021" s="21"/>
      <c r="AW1021" s="20"/>
      <c r="AX1021" s="21"/>
      <c r="AY1021" s="275"/>
      <c r="BA1021" s="21"/>
      <c r="BB1021" s="20"/>
      <c r="BC1021" s="21"/>
      <c r="BD1021" s="992"/>
      <c r="BE1021" s="21"/>
      <c r="BF1021" s="20"/>
      <c r="BG1021" s="21"/>
      <c r="BH1021" s="20"/>
      <c r="BI1021" s="21"/>
      <c r="BJ1021" s="20"/>
      <c r="BK1021" s="21"/>
      <c r="BL1021" s="20"/>
      <c r="BM1021" s="21"/>
      <c r="BN1021" s="20"/>
      <c r="BO1021" s="21"/>
      <c r="BP1021" s="20"/>
      <c r="BQ1021" s="21"/>
      <c r="BR1021" s="20"/>
      <c r="BS1021" s="21"/>
      <c r="BT1021" s="20"/>
      <c r="BU1021" s="21"/>
      <c r="BV1021" s="19"/>
      <c r="BW1021" s="19"/>
      <c r="BX1021" s="215"/>
      <c r="BY1021"/>
      <c r="BZ1021"/>
      <c r="CA1021"/>
      <c r="CB1021"/>
      <c r="CC1021"/>
      <c r="CD1021"/>
      <c r="CE1021" s="2"/>
    </row>
    <row r="1022" spans="2:83" s="22" customFormat="1" ht="12.75" hidden="1" customHeight="1" outlineLevel="1" x14ac:dyDescent="0.2">
      <c r="B1022" s="23" t="s">
        <v>497</v>
      </c>
      <c r="C1022" s="20"/>
      <c r="D1022" s="21"/>
      <c r="E1022" s="20"/>
      <c r="F1022" s="21"/>
      <c r="G1022" s="20"/>
      <c r="H1022" s="21"/>
      <c r="I1022" s="20"/>
      <c r="J1022" s="21"/>
      <c r="K1022" s="20"/>
      <c r="L1022" s="21"/>
      <c r="M1022" s="20"/>
      <c r="N1022" s="21"/>
      <c r="O1022" s="20"/>
      <c r="P1022" s="21"/>
      <c r="Q1022" s="20"/>
      <c r="R1022" s="21"/>
      <c r="S1022" s="20"/>
      <c r="T1022" s="21"/>
      <c r="U1022" s="20"/>
      <c r="V1022" s="21"/>
      <c r="W1022" s="20"/>
      <c r="X1022" s="21"/>
      <c r="Y1022" s="20"/>
      <c r="Z1022" s="21"/>
      <c r="AA1022" s="20"/>
      <c r="AB1022" s="21"/>
      <c r="AC1022" s="20"/>
      <c r="AD1022" s="21"/>
      <c r="AE1022" s="20"/>
      <c r="AF1022" s="21"/>
      <c r="AG1022" s="20"/>
      <c r="AH1022" s="21"/>
      <c r="AI1022" s="20"/>
      <c r="AJ1022" s="21"/>
      <c r="AK1022" s="20"/>
      <c r="AL1022" s="21"/>
      <c r="AM1022" s="20"/>
      <c r="AN1022" s="21"/>
      <c r="AO1022" s="20"/>
      <c r="AP1022" s="21"/>
      <c r="AQ1022" s="20"/>
      <c r="AR1022" s="21"/>
      <c r="AS1022" s="20"/>
      <c r="AT1022" s="21"/>
      <c r="AU1022" s="20"/>
      <c r="AV1022" s="21"/>
      <c r="AW1022" s="20"/>
      <c r="AX1022" s="21"/>
      <c r="AY1022" s="275"/>
      <c r="BA1022" s="21"/>
      <c r="BB1022" s="20"/>
      <c r="BC1022" s="21"/>
      <c r="BD1022" s="992"/>
      <c r="BE1022" s="21"/>
      <c r="BF1022" s="20"/>
      <c r="BG1022" s="21"/>
      <c r="BH1022" s="20"/>
      <c r="BI1022" s="21"/>
      <c r="BJ1022" s="20"/>
      <c r="BK1022" s="21"/>
      <c r="BL1022" s="20"/>
      <c r="BM1022" s="21"/>
      <c r="BN1022" s="20"/>
      <c r="BO1022" s="21"/>
      <c r="BP1022" s="20"/>
      <c r="BQ1022" s="21"/>
      <c r="BR1022" s="20"/>
      <c r="BS1022" s="21"/>
      <c r="BT1022" s="20"/>
      <c r="BU1022" s="21"/>
      <c r="BV1022" s="19"/>
      <c r="BW1022" s="19"/>
      <c r="BX1022" s="215"/>
      <c r="BY1022"/>
      <c r="BZ1022"/>
      <c r="CA1022"/>
      <c r="CB1022"/>
      <c r="CC1022"/>
      <c r="CD1022"/>
      <c r="CE1022" s="2"/>
    </row>
    <row r="1023" spans="2:83" s="22" customFormat="1" ht="12.75" hidden="1" customHeight="1" outlineLevel="1" x14ac:dyDescent="0.2">
      <c r="B1023" s="23" t="s">
        <v>445</v>
      </c>
      <c r="C1023" s="18"/>
      <c r="D1023" s="21"/>
      <c r="E1023" s="18"/>
      <c r="F1023" s="21"/>
      <c r="G1023" s="18"/>
      <c r="H1023" s="21"/>
      <c r="J1023" s="21"/>
      <c r="L1023" s="21"/>
      <c r="M1023" s="18"/>
      <c r="N1023" s="21"/>
      <c r="P1023" s="21"/>
      <c r="R1023" s="21"/>
      <c r="T1023" s="21"/>
      <c r="V1023" s="21"/>
      <c r="X1023" s="21"/>
      <c r="Z1023" s="21"/>
      <c r="AB1023" s="21"/>
      <c r="AD1023" s="21"/>
      <c r="AF1023" s="21"/>
      <c r="AH1023" s="21"/>
      <c r="AJ1023" s="21"/>
      <c r="AL1023" s="21"/>
      <c r="AN1023" s="21"/>
      <c r="AP1023" s="21"/>
      <c r="AR1023" s="21"/>
      <c r="AT1023" s="21"/>
      <c r="AV1023" s="21"/>
      <c r="AX1023" s="21"/>
      <c r="AY1023" s="275"/>
      <c r="BA1023" s="21"/>
      <c r="BB1023" s="18"/>
      <c r="BC1023" s="21"/>
      <c r="BD1023" s="993"/>
      <c r="BE1023" s="21"/>
      <c r="BF1023" s="18"/>
      <c r="BG1023" s="21"/>
      <c r="BH1023" s="18"/>
      <c r="BI1023" s="21"/>
      <c r="BJ1023" s="18"/>
      <c r="BK1023" s="21"/>
      <c r="BL1023" s="18"/>
      <c r="BM1023" s="21"/>
      <c r="BO1023" s="21"/>
      <c r="BQ1023" s="21"/>
      <c r="BS1023" s="21"/>
      <c r="BU1023" s="21"/>
      <c r="BV1023" s="19"/>
      <c r="BW1023" s="19"/>
      <c r="BX1023" s="215"/>
      <c r="BY1023"/>
      <c r="BZ1023"/>
      <c r="CA1023"/>
      <c r="CB1023"/>
      <c r="CC1023"/>
      <c r="CD1023"/>
      <c r="CE1023" s="2"/>
    </row>
    <row r="1024" spans="2:83" s="22" customFormat="1" ht="12.75" hidden="1" customHeight="1" outlineLevel="1" x14ac:dyDescent="0.2">
      <c r="B1024" s="24" t="s">
        <v>352</v>
      </c>
      <c r="C1024" s="25"/>
      <c r="D1024" s="27"/>
      <c r="E1024" s="25"/>
      <c r="F1024" s="27"/>
      <c r="G1024" s="25"/>
      <c r="H1024" s="27"/>
      <c r="I1024" s="795"/>
      <c r="J1024" s="27"/>
      <c r="K1024" s="795"/>
      <c r="L1024" s="27"/>
      <c r="M1024" s="795"/>
      <c r="N1024" s="27"/>
      <c r="O1024" s="795"/>
      <c r="P1024" s="27"/>
      <c r="Q1024" s="795"/>
      <c r="R1024" s="27"/>
      <c r="S1024" s="795"/>
      <c r="T1024" s="27"/>
      <c r="U1024" s="795"/>
      <c r="V1024" s="27"/>
      <c r="W1024" s="795"/>
      <c r="X1024" s="27"/>
      <c r="Y1024" s="795"/>
      <c r="Z1024" s="27"/>
      <c r="AA1024" s="795"/>
      <c r="AB1024" s="27"/>
      <c r="AC1024" s="795"/>
      <c r="AD1024" s="27"/>
      <c r="AE1024" s="795"/>
      <c r="AF1024" s="27"/>
      <c r="AG1024" s="795"/>
      <c r="AH1024" s="27"/>
      <c r="AI1024" s="795"/>
      <c r="AJ1024" s="27"/>
      <c r="AK1024" s="795"/>
      <c r="AL1024" s="27"/>
      <c r="AM1024" s="795"/>
      <c r="AN1024" s="27"/>
      <c r="AO1024" s="795"/>
      <c r="AP1024" s="27"/>
      <c r="AQ1024" s="795"/>
      <c r="AR1024" s="27"/>
      <c r="AS1024" s="795"/>
      <c r="AT1024" s="27"/>
      <c r="AU1024" s="795"/>
      <c r="AV1024" s="27"/>
      <c r="AW1024" s="795"/>
      <c r="AX1024" s="27"/>
      <c r="AY1024" s="277"/>
      <c r="AZ1024" s="32"/>
      <c r="BA1024" s="21"/>
      <c r="BB1024" s="31"/>
      <c r="BC1024" s="21"/>
      <c r="BD1024" s="994"/>
      <c r="BE1024" s="21"/>
      <c r="BF1024" s="31"/>
      <c r="BG1024" s="21"/>
      <c r="BH1024" s="31"/>
      <c r="BI1024" s="21"/>
      <c r="BJ1024" s="31"/>
      <c r="BK1024" s="21"/>
      <c r="BL1024" s="31"/>
      <c r="BM1024" s="21"/>
      <c r="BN1024" s="995" t="e">
        <f>#REF!</f>
        <v>#REF!</v>
      </c>
      <c r="BO1024" s="21"/>
      <c r="BP1024" s="995" t="e">
        <f>#REF!</f>
        <v>#REF!</v>
      </c>
      <c r="BQ1024" s="21"/>
      <c r="BR1024" s="995" t="e">
        <f>#REF!</f>
        <v>#REF!</v>
      </c>
      <c r="BS1024" s="21"/>
      <c r="BT1024" s="995" t="e">
        <f>#REF!</f>
        <v>#REF!</v>
      </c>
      <c r="BU1024" s="21"/>
      <c r="BV1024" s="19"/>
      <c r="BW1024" s="19"/>
      <c r="BX1024" s="215"/>
      <c r="BY1024"/>
      <c r="BZ1024"/>
      <c r="CA1024"/>
      <c r="CB1024"/>
      <c r="CC1024"/>
      <c r="CD1024"/>
      <c r="CE1024" s="2"/>
    </row>
    <row r="1025" spans="2:83" s="22" customFormat="1" ht="12.75" hidden="1" customHeight="1" outlineLevel="1" x14ac:dyDescent="0.2">
      <c r="B1025" s="24" t="s">
        <v>353</v>
      </c>
      <c r="C1025" s="28"/>
      <c r="D1025" s="36"/>
      <c r="E1025" s="28"/>
      <c r="F1025" s="36"/>
      <c r="G1025" s="28"/>
      <c r="H1025" s="36"/>
      <c r="I1025" s="29"/>
      <c r="J1025" s="36"/>
      <c r="K1025" s="29"/>
      <c r="L1025" s="36"/>
      <c r="M1025" s="29"/>
      <c r="N1025" s="36"/>
      <c r="O1025" s="29"/>
      <c r="P1025" s="36"/>
      <c r="Q1025" s="29"/>
      <c r="R1025" s="36"/>
      <c r="S1025" s="29"/>
      <c r="T1025" s="36"/>
      <c r="U1025" s="29"/>
      <c r="V1025" s="36"/>
      <c r="W1025" s="29">
        <v>2E-3</v>
      </c>
      <c r="X1025" s="36"/>
      <c r="Y1025" s="29">
        <v>2E-3</v>
      </c>
      <c r="Z1025" s="36"/>
      <c r="AA1025" s="29">
        <v>2E-3</v>
      </c>
      <c r="AB1025" s="36"/>
      <c r="AC1025" s="29">
        <v>2E-3</v>
      </c>
      <c r="AD1025" s="36"/>
      <c r="AE1025" s="29">
        <v>2E-3</v>
      </c>
      <c r="AF1025" s="36"/>
      <c r="AG1025" s="29">
        <v>2E-3</v>
      </c>
      <c r="AH1025" s="36"/>
      <c r="AI1025" s="29">
        <v>2E-3</v>
      </c>
      <c r="AJ1025" s="36"/>
      <c r="AK1025" s="29">
        <v>2E-3</v>
      </c>
      <c r="AL1025" s="36"/>
      <c r="AM1025" s="29">
        <v>2E-3</v>
      </c>
      <c r="AN1025" s="36"/>
      <c r="AO1025" s="29">
        <v>2E-3</v>
      </c>
      <c r="AP1025" s="36"/>
      <c r="AQ1025" s="29">
        <v>2E-3</v>
      </c>
      <c r="AR1025" s="36"/>
      <c r="AS1025" s="29">
        <v>2E-3</v>
      </c>
      <c r="AT1025" s="36"/>
      <c r="AU1025" s="29">
        <v>2E-3</v>
      </c>
      <c r="AV1025" s="36"/>
      <c r="AW1025" s="29">
        <v>2E-3</v>
      </c>
      <c r="AX1025" s="36"/>
      <c r="AY1025" s="277"/>
      <c r="AZ1025" s="32"/>
      <c r="BA1025" s="21"/>
      <c r="BB1025" s="195"/>
      <c r="BC1025" s="21"/>
      <c r="BD1025" s="996"/>
      <c r="BE1025" s="21"/>
      <c r="BF1025" s="195"/>
      <c r="BG1025" s="21"/>
      <c r="BH1025" s="195"/>
      <c r="BI1025" s="21"/>
      <c r="BJ1025" s="195"/>
      <c r="BK1025" s="21"/>
      <c r="BL1025" s="195"/>
      <c r="BM1025" s="21"/>
      <c r="BN1025" s="202">
        <v>2E-3</v>
      </c>
      <c r="BO1025" s="21"/>
      <c r="BP1025" s="202">
        <v>2E-3</v>
      </c>
      <c r="BQ1025" s="21"/>
      <c r="BR1025" s="202">
        <v>2E-3</v>
      </c>
      <c r="BS1025" s="21"/>
      <c r="BT1025" s="202">
        <v>2E-3</v>
      </c>
      <c r="BU1025" s="21"/>
      <c r="BV1025" s="19"/>
      <c r="BW1025" s="19"/>
      <c r="BX1025" s="215"/>
      <c r="BY1025"/>
      <c r="BZ1025"/>
      <c r="CA1025"/>
      <c r="CB1025"/>
      <c r="CC1025"/>
      <c r="CD1025"/>
      <c r="CE1025" s="2"/>
    </row>
    <row r="1026" spans="2:83" s="22" customFormat="1" ht="12.75" hidden="1" customHeight="1" outlineLevel="1" x14ac:dyDescent="0.2">
      <c r="B1026" s="24" t="s">
        <v>354</v>
      </c>
      <c r="C1026" s="28"/>
      <c r="D1026" s="36"/>
      <c r="E1026" s="28"/>
      <c r="F1026" s="36"/>
      <c r="G1026" s="28"/>
      <c r="H1026" s="36"/>
      <c r="I1026" s="30"/>
      <c r="J1026" s="36"/>
      <c r="K1026" s="30"/>
      <c r="L1026" s="36"/>
      <c r="M1026" s="30"/>
      <c r="N1026" s="36"/>
      <c r="O1026" s="30"/>
      <c r="P1026" s="36"/>
      <c r="Q1026" s="30"/>
      <c r="R1026" s="36"/>
      <c r="S1026" s="30"/>
      <c r="T1026" s="36"/>
      <c r="U1026" s="30"/>
      <c r="V1026" s="36"/>
      <c r="W1026" s="30">
        <v>-2E-3</v>
      </c>
      <c r="X1026" s="36"/>
      <c r="Y1026" s="30">
        <v>-2E-3</v>
      </c>
      <c r="Z1026" s="36"/>
      <c r="AA1026" s="30">
        <v>-2E-3</v>
      </c>
      <c r="AB1026" s="36"/>
      <c r="AC1026" s="30">
        <v>-2E-3</v>
      </c>
      <c r="AD1026" s="36"/>
      <c r="AE1026" s="30">
        <v>-2E-3</v>
      </c>
      <c r="AF1026" s="36"/>
      <c r="AG1026" s="30">
        <v>-2E-3</v>
      </c>
      <c r="AH1026" s="36"/>
      <c r="AI1026" s="30">
        <v>-2E-3</v>
      </c>
      <c r="AJ1026" s="36"/>
      <c r="AK1026" s="30">
        <v>-2E-3</v>
      </c>
      <c r="AL1026" s="36"/>
      <c r="AM1026" s="30">
        <v>-2E-3</v>
      </c>
      <c r="AN1026" s="36"/>
      <c r="AO1026" s="30">
        <v>-2E-3</v>
      </c>
      <c r="AP1026" s="36"/>
      <c r="AQ1026" s="30">
        <v>-2E-3</v>
      </c>
      <c r="AR1026" s="36"/>
      <c r="AS1026" s="30">
        <v>-2E-3</v>
      </c>
      <c r="AT1026" s="36"/>
      <c r="AU1026" s="30">
        <v>-2E-3</v>
      </c>
      <c r="AV1026" s="36"/>
      <c r="AW1026" s="30">
        <v>-2E-3</v>
      </c>
      <c r="AX1026" s="36"/>
      <c r="AY1026" s="277"/>
      <c r="AZ1026" s="32"/>
      <c r="BA1026" s="21"/>
      <c r="BB1026" s="195"/>
      <c r="BC1026" s="21"/>
      <c r="BD1026" s="996"/>
      <c r="BE1026" s="21"/>
      <c r="BF1026" s="195"/>
      <c r="BG1026" s="21"/>
      <c r="BH1026" s="195"/>
      <c r="BI1026" s="21"/>
      <c r="BJ1026" s="195"/>
      <c r="BK1026" s="21"/>
      <c r="BL1026" s="195"/>
      <c r="BM1026" s="21"/>
      <c r="BN1026" s="203">
        <v>-3.0000000000000001E-3</v>
      </c>
      <c r="BO1026" s="21"/>
      <c r="BP1026" s="203">
        <v>-3.0000000000000001E-3</v>
      </c>
      <c r="BQ1026" s="21"/>
      <c r="BR1026" s="203">
        <v>-3.0000000000000001E-3</v>
      </c>
      <c r="BS1026" s="21"/>
      <c r="BT1026" s="203">
        <v>-3.0000000000000001E-3</v>
      </c>
      <c r="BU1026" s="21"/>
      <c r="BV1026" s="19"/>
      <c r="BW1026" s="19"/>
      <c r="BX1026" s="215"/>
      <c r="BY1026"/>
      <c r="BZ1026"/>
      <c r="CA1026"/>
      <c r="CB1026"/>
      <c r="CC1026"/>
      <c r="CD1026"/>
      <c r="CE1026" s="2"/>
    </row>
    <row r="1027" spans="2:83" s="22" customFormat="1" ht="12.75" hidden="1" customHeight="1" outlineLevel="1" x14ac:dyDescent="0.2">
      <c r="B1027" s="23"/>
      <c r="C1027" s="20"/>
      <c r="D1027" s="21"/>
      <c r="E1027" s="20"/>
      <c r="F1027" s="21"/>
      <c r="G1027" s="20"/>
      <c r="H1027" s="21"/>
      <c r="I1027" s="20"/>
      <c r="J1027" s="21"/>
      <c r="K1027" s="20"/>
      <c r="L1027" s="21"/>
      <c r="M1027" s="20"/>
      <c r="N1027" s="21"/>
      <c r="O1027" s="20"/>
      <c r="P1027" s="21"/>
      <c r="Q1027" s="20"/>
      <c r="R1027" s="21"/>
      <c r="S1027" s="20"/>
      <c r="T1027" s="21"/>
      <c r="U1027" s="20"/>
      <c r="V1027" s="21"/>
      <c r="W1027" s="20"/>
      <c r="X1027" s="21"/>
      <c r="Y1027" s="20"/>
      <c r="Z1027" s="21"/>
      <c r="AA1027" s="20"/>
      <c r="AB1027" s="21"/>
      <c r="AC1027" s="20"/>
      <c r="AD1027" s="21"/>
      <c r="AE1027" s="20"/>
      <c r="AF1027" s="21"/>
      <c r="AG1027" s="20"/>
      <c r="AH1027" s="21"/>
      <c r="AI1027" s="20"/>
      <c r="AJ1027" s="21"/>
      <c r="AK1027" s="20"/>
      <c r="AL1027" s="21"/>
      <c r="AM1027" s="20"/>
      <c r="AN1027" s="21"/>
      <c r="AO1027" s="20"/>
      <c r="AP1027" s="21"/>
      <c r="AQ1027" s="20"/>
      <c r="AR1027" s="21"/>
      <c r="AS1027" s="20"/>
      <c r="AT1027" s="21"/>
      <c r="AU1027" s="20"/>
      <c r="AV1027" s="21"/>
      <c r="AW1027" s="20"/>
      <c r="AX1027" s="21"/>
      <c r="AY1027" s="275"/>
      <c r="BA1027" s="21"/>
      <c r="BB1027" s="20"/>
      <c r="BC1027" s="21"/>
      <c r="BD1027" s="992"/>
      <c r="BE1027" s="21"/>
      <c r="BF1027" s="20"/>
      <c r="BG1027" s="21"/>
      <c r="BH1027" s="20"/>
      <c r="BI1027" s="21"/>
      <c r="BJ1027" s="20"/>
      <c r="BK1027" s="21"/>
      <c r="BL1027" s="20"/>
      <c r="BM1027" s="21"/>
      <c r="BN1027" s="20"/>
      <c r="BO1027" s="21"/>
      <c r="BP1027" s="20"/>
      <c r="BQ1027" s="21"/>
      <c r="BR1027" s="20"/>
      <c r="BS1027" s="21"/>
      <c r="BT1027" s="20"/>
      <c r="BU1027" s="21"/>
      <c r="BV1027" s="19"/>
      <c r="BW1027" s="19"/>
      <c r="BX1027" s="215"/>
      <c r="BY1027"/>
      <c r="BZ1027"/>
      <c r="CA1027"/>
      <c r="CB1027"/>
      <c r="CC1027"/>
      <c r="CD1027"/>
      <c r="CE1027" s="2"/>
    </row>
    <row r="1028" spans="2:83" s="22" customFormat="1" ht="12.75" hidden="1" customHeight="1" outlineLevel="1" x14ac:dyDescent="0.2">
      <c r="B1028" s="23" t="s">
        <v>358</v>
      </c>
      <c r="C1028" s="20"/>
      <c r="D1028" s="21"/>
      <c r="E1028" s="20"/>
      <c r="F1028" s="21"/>
      <c r="G1028" s="20"/>
      <c r="H1028" s="21"/>
      <c r="I1028" s="20"/>
      <c r="J1028" s="21"/>
      <c r="K1028" s="20"/>
      <c r="L1028" s="21"/>
      <c r="M1028" s="20"/>
      <c r="N1028" s="21"/>
      <c r="O1028" s="20"/>
      <c r="P1028" s="21"/>
      <c r="Q1028" s="20"/>
      <c r="R1028" s="21"/>
      <c r="S1028" s="20"/>
      <c r="T1028" s="21"/>
      <c r="U1028" s="20"/>
      <c r="V1028" s="21"/>
      <c r="W1028" s="20"/>
      <c r="X1028" s="21"/>
      <c r="Y1028" s="20"/>
      <c r="Z1028" s="21"/>
      <c r="AA1028" s="20"/>
      <c r="AB1028" s="21"/>
      <c r="AC1028" s="20"/>
      <c r="AD1028" s="21"/>
      <c r="AE1028" s="20"/>
      <c r="AF1028" s="21"/>
      <c r="AG1028" s="20"/>
      <c r="AH1028" s="21"/>
      <c r="AI1028" s="20"/>
      <c r="AJ1028" s="21"/>
      <c r="AK1028" s="20"/>
      <c r="AL1028" s="21"/>
      <c r="AM1028" s="20"/>
      <c r="AN1028" s="21"/>
      <c r="AO1028" s="20"/>
      <c r="AP1028" s="21"/>
      <c r="AQ1028" s="20"/>
      <c r="AR1028" s="21"/>
      <c r="AS1028" s="20"/>
      <c r="AT1028" s="21"/>
      <c r="AU1028" s="20"/>
      <c r="AV1028" s="21"/>
      <c r="AW1028" s="20"/>
      <c r="AX1028" s="21"/>
      <c r="AY1028" s="275"/>
      <c r="BA1028" s="21"/>
      <c r="BB1028" s="20"/>
      <c r="BC1028" s="21"/>
      <c r="BD1028" s="992"/>
      <c r="BE1028" s="21"/>
      <c r="BF1028" s="20"/>
      <c r="BG1028" s="21"/>
      <c r="BH1028" s="20"/>
      <c r="BI1028" s="21"/>
      <c r="BJ1028" s="20"/>
      <c r="BK1028" s="21"/>
      <c r="BL1028" s="20"/>
      <c r="BM1028" s="21"/>
      <c r="BN1028" s="20"/>
      <c r="BO1028" s="21"/>
      <c r="BP1028" s="20"/>
      <c r="BQ1028" s="21"/>
      <c r="BR1028" s="20"/>
      <c r="BS1028" s="21"/>
      <c r="BT1028" s="20"/>
      <c r="BU1028" s="21"/>
      <c r="BV1028" s="19"/>
      <c r="BW1028" s="19"/>
      <c r="BX1028" s="215"/>
      <c r="BY1028"/>
      <c r="BZ1028"/>
      <c r="CA1028"/>
      <c r="CB1028"/>
      <c r="CC1028"/>
      <c r="CD1028"/>
      <c r="CE1028" s="2"/>
    </row>
    <row r="1029" spans="2:83" s="22" customFormat="1" ht="12.75" hidden="1" customHeight="1" outlineLevel="1" x14ac:dyDescent="0.2">
      <c r="B1029" s="23" t="s">
        <v>359</v>
      </c>
      <c r="C1029" s="18"/>
      <c r="D1029" s="21"/>
      <c r="E1029" s="18"/>
      <c r="F1029" s="21"/>
      <c r="G1029" s="18"/>
      <c r="H1029" s="21"/>
      <c r="J1029" s="21"/>
      <c r="L1029" s="21"/>
      <c r="M1029" s="18"/>
      <c r="N1029" s="21"/>
      <c r="P1029" s="21"/>
      <c r="R1029" s="21"/>
      <c r="T1029" s="21"/>
      <c r="V1029" s="21"/>
      <c r="X1029" s="21"/>
      <c r="Z1029" s="21"/>
      <c r="AB1029" s="21"/>
      <c r="AD1029" s="21"/>
      <c r="AF1029" s="21"/>
      <c r="AH1029" s="21"/>
      <c r="AJ1029" s="21"/>
      <c r="AL1029" s="21"/>
      <c r="AN1029" s="21"/>
      <c r="AP1029" s="21"/>
      <c r="AR1029" s="21"/>
      <c r="AT1029" s="21"/>
      <c r="AV1029" s="21"/>
      <c r="AX1029" s="21"/>
      <c r="AY1029" s="275"/>
      <c r="BA1029" s="21"/>
      <c r="BB1029" s="18"/>
      <c r="BC1029" s="21"/>
      <c r="BD1029" s="993"/>
      <c r="BE1029" s="21"/>
      <c r="BF1029" s="18"/>
      <c r="BG1029" s="21"/>
      <c r="BH1029" s="18"/>
      <c r="BI1029" s="21"/>
      <c r="BJ1029" s="18"/>
      <c r="BK1029" s="21"/>
      <c r="BL1029" s="18"/>
      <c r="BM1029" s="21"/>
      <c r="BO1029" s="21"/>
      <c r="BQ1029" s="21"/>
      <c r="BS1029" s="21"/>
      <c r="BU1029" s="21"/>
      <c r="BV1029" s="19"/>
      <c r="BW1029" s="19"/>
      <c r="BX1029" s="215"/>
      <c r="BY1029"/>
      <c r="BZ1029"/>
      <c r="CA1029"/>
      <c r="CB1029"/>
      <c r="CC1029"/>
      <c r="CD1029"/>
      <c r="CE1029" s="2"/>
    </row>
    <row r="1030" spans="2:83" s="22" customFormat="1" ht="12.75" hidden="1" customHeight="1" outlineLevel="1" x14ac:dyDescent="0.2">
      <c r="B1030" s="24" t="s">
        <v>352</v>
      </c>
      <c r="C1030" s="197"/>
      <c r="D1030" s="27"/>
      <c r="E1030" s="197"/>
      <c r="F1030" s="27"/>
      <c r="G1030" s="197"/>
      <c r="H1030" s="27"/>
      <c r="I1030" s="794"/>
      <c r="J1030" s="27"/>
      <c r="K1030" s="794"/>
      <c r="L1030" s="27"/>
      <c r="M1030" s="794"/>
      <c r="N1030" s="27"/>
      <c r="O1030" s="794"/>
      <c r="P1030" s="27"/>
      <c r="Q1030" s="794"/>
      <c r="R1030" s="27"/>
      <c r="S1030" s="794"/>
      <c r="T1030" s="27"/>
      <c r="U1030" s="794"/>
      <c r="V1030" s="27"/>
      <c r="W1030" s="794">
        <f>W400</f>
        <v>55.184804928131413</v>
      </c>
      <c r="X1030" s="27"/>
      <c r="Y1030" s="794">
        <f>Y400</f>
        <v>70.44359949302914</v>
      </c>
      <c r="Z1030" s="27"/>
      <c r="AA1030" s="794">
        <f>AA400</f>
        <v>67.843137254901961</v>
      </c>
      <c r="AB1030" s="27"/>
      <c r="AC1030" s="794">
        <f>AC400</f>
        <v>70.480605025616001</v>
      </c>
      <c r="AD1030" s="27"/>
      <c r="AE1030" s="794">
        <f>AE400</f>
        <v>86.908635794743432</v>
      </c>
      <c r="AF1030" s="27"/>
      <c r="AG1030" s="794">
        <f>AG400</f>
        <v>70.100318081722534</v>
      </c>
      <c r="AH1030" s="27"/>
      <c r="AI1030" s="794">
        <f>AI400</f>
        <v>69.899509231128761</v>
      </c>
      <c r="AJ1030" s="27"/>
      <c r="AK1030" s="794">
        <f>AK400</f>
        <v>70.258421781264417</v>
      </c>
      <c r="AL1030" s="27"/>
      <c r="AM1030" s="794">
        <f>AM400</f>
        <v>71.336701883325688</v>
      </c>
      <c r="AN1030" s="27"/>
      <c r="AO1030" s="794">
        <f>AO400</f>
        <v>66.336633663366342</v>
      </c>
      <c r="AP1030" s="27"/>
      <c r="AQ1030" s="794">
        <f t="shared" ref="AQ1030" si="4108">AQ400</f>
        <v>69</v>
      </c>
      <c r="AR1030" s="27"/>
      <c r="AS1030" s="794">
        <f t="shared" ref="AS1030" si="4109">AS400</f>
        <v>68.5</v>
      </c>
      <c r="AT1030" s="27"/>
      <c r="AU1030" s="794">
        <f t="shared" ref="AU1030" si="4110">AU400</f>
        <v>67.75</v>
      </c>
      <c r="AV1030" s="27"/>
      <c r="AW1030" s="794">
        <f t="shared" ref="AW1030" si="4111">AW400</f>
        <v>67.25</v>
      </c>
      <c r="AX1030" s="27"/>
      <c r="AY1030" s="275"/>
      <c r="BA1030" s="21"/>
      <c r="BB1030" s="197"/>
      <c r="BC1030" s="21"/>
      <c r="BD1030" s="997"/>
      <c r="BE1030" s="21"/>
      <c r="BF1030" s="197"/>
      <c r="BG1030" s="21"/>
      <c r="BH1030" s="197"/>
      <c r="BI1030" s="21"/>
      <c r="BJ1030" s="197"/>
      <c r="BK1030" s="21"/>
      <c r="BL1030" s="197"/>
      <c r="BM1030" s="21"/>
      <c r="BN1030" s="794">
        <f>BN400</f>
        <v>68.317537467358534</v>
      </c>
      <c r="BO1030" s="21"/>
      <c r="BP1030" s="794">
        <f>BP400</f>
        <v>68.617537467358531</v>
      </c>
      <c r="BQ1030" s="21"/>
      <c r="BR1030" s="794">
        <f>BR400</f>
        <v>68.817537467358534</v>
      </c>
      <c r="BS1030" s="21"/>
      <c r="BT1030" s="794">
        <f>BT400</f>
        <v>69.017537467358537</v>
      </c>
      <c r="BU1030" s="21"/>
      <c r="BV1030" s="19"/>
      <c r="BW1030" s="19"/>
      <c r="BX1030" s="215"/>
      <c r="BY1030"/>
      <c r="BZ1030"/>
      <c r="CA1030"/>
      <c r="CB1030"/>
      <c r="CC1030"/>
      <c r="CD1030"/>
      <c r="CE1030" s="2"/>
    </row>
    <row r="1031" spans="2:83" s="22" customFormat="1" ht="12.75" hidden="1" customHeight="1" outlineLevel="1" x14ac:dyDescent="0.2">
      <c r="B1031" s="24" t="s">
        <v>353</v>
      </c>
      <c r="C1031" s="213"/>
      <c r="D1031" s="36"/>
      <c r="E1031" s="213"/>
      <c r="F1031" s="36"/>
      <c r="G1031" s="213"/>
      <c r="H1031" s="36"/>
      <c r="I1031" s="200"/>
      <c r="J1031" s="36"/>
      <c r="K1031" s="200"/>
      <c r="L1031" s="36"/>
      <c r="M1031" s="200"/>
      <c r="N1031" s="36"/>
      <c r="O1031" s="200"/>
      <c r="P1031" s="36"/>
      <c r="Q1031" s="200"/>
      <c r="R1031" s="36"/>
      <c r="S1031" s="200"/>
      <c r="T1031" s="36"/>
      <c r="U1031" s="200"/>
      <c r="V1031" s="36"/>
      <c r="W1031" s="200">
        <v>-0.5</v>
      </c>
      <c r="X1031" s="36"/>
      <c r="Y1031" s="200">
        <v>-0.5</v>
      </c>
      <c r="Z1031" s="36"/>
      <c r="AA1031" s="200">
        <v>-0.5</v>
      </c>
      <c r="AB1031" s="36"/>
      <c r="AC1031" s="200">
        <v>-0.5</v>
      </c>
      <c r="AD1031" s="36"/>
      <c r="AE1031" s="200">
        <v>-0.5</v>
      </c>
      <c r="AF1031" s="36"/>
      <c r="AG1031" s="200">
        <v>-0.5</v>
      </c>
      <c r="AH1031" s="36"/>
      <c r="AI1031" s="200">
        <v>-0.5</v>
      </c>
      <c r="AJ1031" s="36"/>
      <c r="AK1031" s="200">
        <v>-0.5</v>
      </c>
      <c r="AL1031" s="36"/>
      <c r="AM1031" s="200">
        <v>-0.5</v>
      </c>
      <c r="AN1031" s="36"/>
      <c r="AO1031" s="200">
        <v>-0.5</v>
      </c>
      <c r="AP1031" s="36"/>
      <c r="AQ1031" s="200">
        <v>-0.5</v>
      </c>
      <c r="AR1031" s="36"/>
      <c r="AS1031" s="200">
        <v>-0.5</v>
      </c>
      <c r="AT1031" s="36"/>
      <c r="AU1031" s="200">
        <v>-0.5</v>
      </c>
      <c r="AV1031" s="36"/>
      <c r="AW1031" s="200">
        <v>-0.5</v>
      </c>
      <c r="AX1031" s="36"/>
      <c r="AY1031" s="278"/>
      <c r="AZ1031" s="35"/>
      <c r="BA1031" s="33"/>
      <c r="BB1031" s="196"/>
      <c r="BC1031" s="33"/>
      <c r="BD1031" s="998"/>
      <c r="BE1031" s="33"/>
      <c r="BF1031" s="196"/>
      <c r="BG1031" s="33"/>
      <c r="BH1031" s="196"/>
      <c r="BI1031" s="33"/>
      <c r="BJ1031" s="196"/>
      <c r="BK1031" s="33"/>
      <c r="BL1031" s="196"/>
      <c r="BM1031" s="33"/>
      <c r="BN1031" s="34">
        <v>-0.5</v>
      </c>
      <c r="BO1031" s="33"/>
      <c r="BP1031" s="34">
        <v>-0.5</v>
      </c>
      <c r="BQ1031" s="33"/>
      <c r="BR1031" s="34">
        <v>-0.5</v>
      </c>
      <c r="BS1031" s="33"/>
      <c r="BT1031" s="34">
        <v>-0.5</v>
      </c>
      <c r="BU1031" s="33"/>
      <c r="BV1031" s="19"/>
      <c r="BW1031" s="19"/>
      <c r="BX1031" s="215"/>
      <c r="BY1031"/>
      <c r="BZ1031"/>
      <c r="CA1031"/>
      <c r="CB1031"/>
      <c r="CC1031"/>
      <c r="CD1031"/>
      <c r="CE1031" s="2"/>
    </row>
    <row r="1032" spans="2:83" s="22" customFormat="1" ht="12.75" hidden="1" customHeight="1" outlineLevel="1" x14ac:dyDescent="0.2">
      <c r="B1032" s="24" t="s">
        <v>354</v>
      </c>
      <c r="C1032" s="212"/>
      <c r="D1032" s="36"/>
      <c r="E1032" s="212"/>
      <c r="F1032" s="36"/>
      <c r="G1032" s="212"/>
      <c r="H1032" s="36"/>
      <c r="I1032" s="199"/>
      <c r="J1032" s="36"/>
      <c r="K1032" s="199"/>
      <c r="L1032" s="36"/>
      <c r="M1032" s="199"/>
      <c r="N1032" s="36"/>
      <c r="O1032" s="199"/>
      <c r="P1032" s="36"/>
      <c r="Q1032" s="199"/>
      <c r="R1032" s="36"/>
      <c r="S1032" s="199"/>
      <c r="T1032" s="36"/>
      <c r="U1032" s="199"/>
      <c r="V1032" s="36"/>
      <c r="W1032" s="199">
        <v>0.5</v>
      </c>
      <c r="X1032" s="36"/>
      <c r="Y1032" s="199">
        <v>0.5</v>
      </c>
      <c r="Z1032" s="36"/>
      <c r="AA1032" s="199">
        <v>0.5</v>
      </c>
      <c r="AB1032" s="36"/>
      <c r="AC1032" s="199">
        <v>0.5</v>
      </c>
      <c r="AD1032" s="36"/>
      <c r="AE1032" s="199">
        <v>0.5</v>
      </c>
      <c r="AF1032" s="36"/>
      <c r="AG1032" s="199">
        <v>0.5</v>
      </c>
      <c r="AH1032" s="36"/>
      <c r="AI1032" s="199">
        <v>0.5</v>
      </c>
      <c r="AJ1032" s="36"/>
      <c r="AK1032" s="199">
        <v>0.5</v>
      </c>
      <c r="AL1032" s="36"/>
      <c r="AM1032" s="199">
        <v>0.5</v>
      </c>
      <c r="AN1032" s="36"/>
      <c r="AO1032" s="199">
        <v>0.5</v>
      </c>
      <c r="AP1032" s="36"/>
      <c r="AQ1032" s="199">
        <v>0.5</v>
      </c>
      <c r="AR1032" s="36"/>
      <c r="AS1032" s="199">
        <v>0.5</v>
      </c>
      <c r="AT1032" s="36"/>
      <c r="AU1032" s="199">
        <v>0.5</v>
      </c>
      <c r="AV1032" s="36"/>
      <c r="AW1032" s="199">
        <v>0.5</v>
      </c>
      <c r="AX1032" s="36"/>
      <c r="AY1032" s="278"/>
      <c r="AZ1032" s="35"/>
      <c r="BA1032" s="33"/>
      <c r="BB1032" s="196"/>
      <c r="BC1032" s="33"/>
      <c r="BD1032" s="998"/>
      <c r="BE1032" s="33"/>
      <c r="BF1032" s="196"/>
      <c r="BG1032" s="33"/>
      <c r="BH1032" s="196"/>
      <c r="BI1032" s="33"/>
      <c r="BJ1032" s="196"/>
      <c r="BK1032" s="33"/>
      <c r="BL1032" s="196"/>
      <c r="BM1032" s="33"/>
      <c r="BN1032" s="37">
        <v>0.5</v>
      </c>
      <c r="BO1032" s="33"/>
      <c r="BP1032" s="37">
        <v>0.5</v>
      </c>
      <c r="BQ1032" s="33"/>
      <c r="BR1032" s="37">
        <v>0.5</v>
      </c>
      <c r="BS1032" s="33"/>
      <c r="BT1032" s="37">
        <v>0.5</v>
      </c>
      <c r="BU1032" s="33"/>
      <c r="BV1032" s="19"/>
      <c r="BW1032" s="19"/>
      <c r="BX1032" s="215"/>
      <c r="BY1032"/>
      <c r="BZ1032"/>
      <c r="CA1032"/>
      <c r="CB1032"/>
      <c r="CC1032"/>
      <c r="CD1032"/>
      <c r="CE1032" s="2"/>
    </row>
    <row r="1033" spans="2:83" s="22" customFormat="1" ht="12.75" hidden="1" customHeight="1" outlineLevel="1" x14ac:dyDescent="0.2">
      <c r="B1033" s="23"/>
      <c r="C1033" s="20"/>
      <c r="D1033" s="21"/>
      <c r="E1033" s="20"/>
      <c r="F1033" s="21"/>
      <c r="G1033" s="20"/>
      <c r="H1033" s="21"/>
      <c r="I1033" s="20"/>
      <c r="J1033" s="21"/>
      <c r="K1033" s="20"/>
      <c r="L1033" s="21"/>
      <c r="M1033" s="20"/>
      <c r="N1033" s="21"/>
      <c r="O1033" s="20"/>
      <c r="P1033" s="21"/>
      <c r="Q1033" s="20"/>
      <c r="R1033" s="21"/>
      <c r="S1033" s="20"/>
      <c r="T1033" s="21"/>
      <c r="U1033" s="20"/>
      <c r="V1033" s="21"/>
      <c r="W1033" s="20"/>
      <c r="X1033" s="21"/>
      <c r="Y1033" s="20"/>
      <c r="Z1033" s="21"/>
      <c r="AA1033" s="20"/>
      <c r="AB1033" s="21"/>
      <c r="AC1033" s="20"/>
      <c r="AD1033" s="21"/>
      <c r="AE1033" s="20"/>
      <c r="AF1033" s="21"/>
      <c r="AG1033" s="20"/>
      <c r="AH1033" s="21"/>
      <c r="AI1033" s="20"/>
      <c r="AJ1033" s="21"/>
      <c r="AK1033" s="20"/>
      <c r="AL1033" s="21"/>
      <c r="AM1033" s="20"/>
      <c r="AN1033" s="21"/>
      <c r="AO1033" s="20"/>
      <c r="AP1033" s="21"/>
      <c r="AQ1033" s="20"/>
      <c r="AR1033" s="21"/>
      <c r="AS1033" s="20"/>
      <c r="AT1033" s="21"/>
      <c r="AU1033" s="20"/>
      <c r="AV1033" s="21"/>
      <c r="AW1033" s="20"/>
      <c r="AX1033" s="21"/>
      <c r="AY1033" s="275"/>
      <c r="BA1033" s="21"/>
      <c r="BB1033" s="20"/>
      <c r="BC1033" s="21"/>
      <c r="BD1033" s="992"/>
      <c r="BE1033" s="21"/>
      <c r="BF1033" s="20"/>
      <c r="BG1033" s="21"/>
      <c r="BH1033" s="20"/>
      <c r="BI1033" s="21"/>
      <c r="BJ1033" s="20"/>
      <c r="BK1033" s="21"/>
      <c r="BL1033" s="20"/>
      <c r="BM1033" s="21"/>
      <c r="BN1033" s="20"/>
      <c r="BO1033" s="21"/>
      <c r="BP1033" s="20"/>
      <c r="BQ1033" s="21"/>
      <c r="BR1033" s="20"/>
      <c r="BS1033" s="21"/>
      <c r="BT1033" s="20"/>
      <c r="BU1033" s="21"/>
      <c r="BV1033" s="19"/>
      <c r="BW1033" s="19"/>
      <c r="BX1033" s="215"/>
      <c r="BY1033"/>
      <c r="BZ1033"/>
      <c r="CA1033"/>
      <c r="CB1033"/>
      <c r="CC1033"/>
      <c r="CD1033"/>
      <c r="CE1033" s="2"/>
    </row>
    <row r="1034" spans="2:83" s="22" customFormat="1" ht="12.75" hidden="1" customHeight="1" outlineLevel="1" x14ac:dyDescent="0.2">
      <c r="B1034" s="23" t="s">
        <v>15</v>
      </c>
      <c r="C1034" s="20"/>
      <c r="D1034" s="21"/>
      <c r="E1034" s="20"/>
      <c r="F1034" s="21"/>
      <c r="G1034" s="20"/>
      <c r="H1034" s="21"/>
      <c r="I1034" s="20"/>
      <c r="J1034" s="21"/>
      <c r="K1034" s="20"/>
      <c r="L1034" s="21"/>
      <c r="M1034" s="20"/>
      <c r="N1034" s="21"/>
      <c r="O1034" s="20"/>
      <c r="P1034" s="21"/>
      <c r="Q1034" s="20"/>
      <c r="R1034" s="21"/>
      <c r="S1034" s="20"/>
      <c r="T1034" s="21"/>
      <c r="U1034" s="20"/>
      <c r="V1034" s="21"/>
      <c r="W1034" s="20"/>
      <c r="X1034" s="21"/>
      <c r="Y1034" s="20"/>
      <c r="Z1034" s="21"/>
      <c r="AA1034" s="20"/>
      <c r="AB1034" s="21"/>
      <c r="AC1034" s="20"/>
      <c r="AD1034" s="21"/>
      <c r="AE1034" s="20"/>
      <c r="AF1034" s="21"/>
      <c r="AG1034" s="20"/>
      <c r="AH1034" s="21"/>
      <c r="AI1034" s="20"/>
      <c r="AJ1034" s="21"/>
      <c r="AK1034" s="20"/>
      <c r="AL1034" s="21"/>
      <c r="AM1034" s="20"/>
      <c r="AN1034" s="21"/>
      <c r="AO1034" s="20"/>
      <c r="AP1034" s="21"/>
      <c r="AQ1034" s="20"/>
      <c r="AR1034" s="21"/>
      <c r="AS1034" s="20"/>
      <c r="AT1034" s="21"/>
      <c r="AU1034" s="20"/>
      <c r="AV1034" s="21"/>
      <c r="AW1034" s="20"/>
      <c r="AX1034" s="21"/>
      <c r="AY1034" s="275"/>
      <c r="BA1034" s="21"/>
      <c r="BB1034" s="20"/>
      <c r="BC1034" s="21"/>
      <c r="BD1034" s="992"/>
      <c r="BE1034" s="21"/>
      <c r="BF1034" s="20"/>
      <c r="BG1034" s="21"/>
      <c r="BH1034" s="20"/>
      <c r="BI1034" s="21"/>
      <c r="BJ1034" s="20"/>
      <c r="BK1034" s="21"/>
      <c r="BL1034" s="20"/>
      <c r="BM1034" s="21"/>
      <c r="BN1034" s="20"/>
      <c r="BO1034" s="21"/>
      <c r="BP1034" s="20"/>
      <c r="BQ1034" s="21"/>
      <c r="BR1034" s="20"/>
      <c r="BS1034" s="21"/>
      <c r="BT1034" s="20"/>
      <c r="BU1034" s="21"/>
      <c r="BV1034" s="19"/>
      <c r="BW1034" s="19"/>
      <c r="BX1034" s="215"/>
      <c r="BY1034"/>
      <c r="BZ1034"/>
      <c r="CA1034"/>
      <c r="CB1034"/>
      <c r="CC1034"/>
      <c r="CD1034"/>
      <c r="CE1034" s="2"/>
    </row>
    <row r="1035" spans="2:83" s="22" customFormat="1" ht="12.75" hidden="1" customHeight="1" outlineLevel="1" x14ac:dyDescent="0.2">
      <c r="B1035" s="23" t="s">
        <v>359</v>
      </c>
      <c r="C1035" s="18"/>
      <c r="D1035" s="21"/>
      <c r="E1035" s="18"/>
      <c r="F1035" s="21"/>
      <c r="G1035" s="18"/>
      <c r="H1035" s="21"/>
      <c r="J1035" s="21"/>
      <c r="L1035" s="21"/>
      <c r="M1035" s="18"/>
      <c r="N1035" s="21"/>
      <c r="P1035" s="21"/>
      <c r="R1035" s="21"/>
      <c r="T1035" s="21"/>
      <c r="V1035" s="21"/>
      <c r="X1035" s="21"/>
      <c r="Z1035" s="21"/>
      <c r="AB1035" s="21"/>
      <c r="AD1035" s="21"/>
      <c r="AF1035" s="21"/>
      <c r="AH1035" s="21"/>
      <c r="AJ1035" s="21"/>
      <c r="AL1035" s="21"/>
      <c r="AN1035" s="21"/>
      <c r="AP1035" s="21"/>
      <c r="AR1035" s="21"/>
      <c r="AT1035" s="21"/>
      <c r="AV1035" s="21"/>
      <c r="AX1035" s="21"/>
      <c r="AY1035" s="275"/>
      <c r="BA1035" s="21"/>
      <c r="BB1035" s="18"/>
      <c r="BC1035" s="21"/>
      <c r="BD1035" s="993"/>
      <c r="BE1035" s="21"/>
      <c r="BF1035" s="18"/>
      <c r="BG1035" s="21"/>
      <c r="BH1035" s="18"/>
      <c r="BI1035" s="21"/>
      <c r="BJ1035" s="18"/>
      <c r="BK1035" s="21"/>
      <c r="BL1035" s="18"/>
      <c r="BM1035" s="21"/>
      <c r="BO1035" s="21"/>
      <c r="BQ1035" s="21"/>
      <c r="BS1035" s="21"/>
      <c r="BU1035" s="21"/>
      <c r="BV1035" s="19"/>
      <c r="BW1035" s="19"/>
      <c r="BX1035" s="215"/>
      <c r="BY1035"/>
      <c r="BZ1035"/>
      <c r="CA1035"/>
      <c r="CB1035"/>
      <c r="CC1035"/>
      <c r="CD1035"/>
      <c r="CE1035" s="2"/>
    </row>
    <row r="1036" spans="2:83" s="22" customFormat="1" ht="12.75" hidden="1" customHeight="1" outlineLevel="1" x14ac:dyDescent="0.2">
      <c r="B1036" s="24" t="s">
        <v>352</v>
      </c>
      <c r="C1036" s="197"/>
      <c r="D1036" s="27"/>
      <c r="E1036" s="197"/>
      <c r="F1036" s="27"/>
      <c r="G1036" s="197"/>
      <c r="H1036" s="27"/>
      <c r="I1036" s="794"/>
      <c r="J1036" s="27"/>
      <c r="K1036" s="794"/>
      <c r="L1036" s="27"/>
      <c r="M1036" s="794"/>
      <c r="N1036" s="27"/>
      <c r="O1036" s="794"/>
      <c r="P1036" s="27"/>
      <c r="Q1036" s="794"/>
      <c r="R1036" s="27"/>
      <c r="S1036" s="794"/>
      <c r="T1036" s="27"/>
      <c r="U1036" s="794"/>
      <c r="V1036" s="27"/>
      <c r="W1036" s="794">
        <f>W488</f>
        <v>59.962756052141529</v>
      </c>
      <c r="X1036" s="27"/>
      <c r="Y1036" s="794">
        <f>Y488</f>
        <v>61.498178506375233</v>
      </c>
      <c r="Z1036" s="27"/>
      <c r="AA1036" s="794">
        <f>AA488</f>
        <v>66.08850344674228</v>
      </c>
      <c r="AB1036" s="27"/>
      <c r="AC1036" s="794">
        <f>AC488</f>
        <v>61.223610512710025</v>
      </c>
      <c r="AD1036" s="27"/>
      <c r="AE1036" s="794">
        <f>AE488</f>
        <v>64.564244619646288</v>
      </c>
      <c r="AF1036" s="27"/>
      <c r="AG1036" s="794">
        <f>AG488</f>
        <v>61.13546232519306</v>
      </c>
      <c r="AH1036" s="27"/>
      <c r="AI1036" s="794">
        <f>AI488</f>
        <v>65.976210008203452</v>
      </c>
      <c r="AJ1036" s="27"/>
      <c r="AK1036" s="794">
        <f>AK488</f>
        <v>63.361378205128204</v>
      </c>
      <c r="AL1036" s="27"/>
      <c r="AM1036" s="794">
        <f>AM488</f>
        <v>60.365972357407053</v>
      </c>
      <c r="AN1036" s="27"/>
      <c r="AO1036" s="794">
        <f>AO488</f>
        <v>61.525163273146369</v>
      </c>
      <c r="AP1036" s="27"/>
      <c r="AQ1036" s="794">
        <f t="shared" ref="AQ1036" si="4112">AQ488</f>
        <v>64</v>
      </c>
      <c r="AR1036" s="27"/>
      <c r="AS1036" s="794">
        <f t="shared" ref="AS1036" si="4113">AS488</f>
        <v>63.361378205128204</v>
      </c>
      <c r="AT1036" s="27"/>
      <c r="AU1036" s="794">
        <f t="shared" ref="AU1036" si="4114">AU488</f>
        <v>62</v>
      </c>
      <c r="AV1036" s="27"/>
      <c r="AW1036" s="794">
        <f t="shared" ref="AW1036" si="4115">AW488</f>
        <v>61</v>
      </c>
      <c r="AX1036" s="27"/>
      <c r="AY1036" s="275"/>
      <c r="BA1036" s="21"/>
      <c r="BB1036" s="197"/>
      <c r="BC1036" s="21"/>
      <c r="BD1036" s="997"/>
      <c r="BE1036" s="21"/>
      <c r="BF1036" s="197"/>
      <c r="BG1036" s="21"/>
      <c r="BH1036" s="197"/>
      <c r="BI1036" s="21"/>
      <c r="BJ1036" s="197"/>
      <c r="BK1036" s="21"/>
      <c r="BL1036" s="197"/>
      <c r="BM1036" s="21"/>
      <c r="BN1036" s="794">
        <f>BN488</f>
        <v>62.761179555687498</v>
      </c>
      <c r="BO1036" s="21"/>
      <c r="BP1036" s="794">
        <f>BP488</f>
        <v>62.961179555687501</v>
      </c>
      <c r="BQ1036" s="21"/>
      <c r="BR1036" s="794">
        <f>BR488</f>
        <v>63.161179555687504</v>
      </c>
      <c r="BS1036" s="21"/>
      <c r="BT1036" s="794">
        <f>BT488</f>
        <v>63.361179555687507</v>
      </c>
      <c r="BU1036" s="21"/>
      <c r="BV1036" s="19"/>
      <c r="BW1036" s="19"/>
      <c r="BX1036" s="215"/>
      <c r="BY1036"/>
      <c r="BZ1036"/>
      <c r="CA1036"/>
      <c r="CB1036"/>
      <c r="CC1036"/>
      <c r="CD1036"/>
      <c r="CE1036" s="2"/>
    </row>
    <row r="1037" spans="2:83" s="22" customFormat="1" ht="12.75" hidden="1" customHeight="1" outlineLevel="1" x14ac:dyDescent="0.2">
      <c r="B1037" s="24" t="s">
        <v>353</v>
      </c>
      <c r="C1037" s="213"/>
      <c r="D1037" s="36"/>
      <c r="E1037" s="213"/>
      <c r="F1037" s="36"/>
      <c r="G1037" s="213"/>
      <c r="H1037" s="36"/>
      <c r="I1037" s="200"/>
      <c r="J1037" s="36"/>
      <c r="K1037" s="200"/>
      <c r="L1037" s="36"/>
      <c r="M1037" s="200"/>
      <c r="N1037" s="36"/>
      <c r="O1037" s="200"/>
      <c r="P1037" s="36"/>
      <c r="Q1037" s="200"/>
      <c r="R1037" s="36"/>
      <c r="S1037" s="200"/>
      <c r="T1037" s="36"/>
      <c r="U1037" s="200"/>
      <c r="V1037" s="36"/>
      <c r="W1037" s="200">
        <v>-0.5</v>
      </c>
      <c r="X1037" s="36"/>
      <c r="Y1037" s="200">
        <v>-0.5</v>
      </c>
      <c r="Z1037" s="36"/>
      <c r="AA1037" s="200">
        <v>-0.5</v>
      </c>
      <c r="AB1037" s="36"/>
      <c r="AC1037" s="200">
        <v>-0.5</v>
      </c>
      <c r="AD1037" s="36"/>
      <c r="AE1037" s="200">
        <v>-0.5</v>
      </c>
      <c r="AF1037" s="36"/>
      <c r="AG1037" s="200">
        <v>-0.5</v>
      </c>
      <c r="AH1037" s="36"/>
      <c r="AI1037" s="200">
        <v>-0.5</v>
      </c>
      <c r="AJ1037" s="36"/>
      <c r="AK1037" s="200">
        <v>-0.5</v>
      </c>
      <c r="AL1037" s="36"/>
      <c r="AM1037" s="200">
        <v>-0.5</v>
      </c>
      <c r="AN1037" s="36"/>
      <c r="AO1037" s="200">
        <v>-0.5</v>
      </c>
      <c r="AP1037" s="36"/>
      <c r="AQ1037" s="200">
        <v>-0.5</v>
      </c>
      <c r="AR1037" s="36"/>
      <c r="AS1037" s="200">
        <v>-0.5</v>
      </c>
      <c r="AT1037" s="36"/>
      <c r="AU1037" s="200">
        <v>-0.5</v>
      </c>
      <c r="AV1037" s="36"/>
      <c r="AW1037" s="200">
        <v>-0.5</v>
      </c>
      <c r="AX1037" s="36"/>
      <c r="AY1037" s="278"/>
      <c r="AZ1037" s="35"/>
      <c r="BA1037" s="33"/>
      <c r="BB1037" s="196"/>
      <c r="BC1037" s="33"/>
      <c r="BD1037" s="998"/>
      <c r="BE1037" s="33"/>
      <c r="BF1037" s="196"/>
      <c r="BG1037" s="33"/>
      <c r="BH1037" s="196"/>
      <c r="BI1037" s="33"/>
      <c r="BJ1037" s="196"/>
      <c r="BK1037" s="33"/>
      <c r="BL1037" s="196"/>
      <c r="BM1037" s="33"/>
      <c r="BN1037" s="34">
        <v>-0.5</v>
      </c>
      <c r="BO1037" s="33"/>
      <c r="BP1037" s="34">
        <v>-0.5</v>
      </c>
      <c r="BQ1037" s="33"/>
      <c r="BR1037" s="34">
        <v>-0.5</v>
      </c>
      <c r="BS1037" s="33"/>
      <c r="BT1037" s="34">
        <v>-0.5</v>
      </c>
      <c r="BU1037" s="33"/>
      <c r="BV1037" s="19"/>
      <c r="BW1037" s="19"/>
      <c r="BX1037" s="215"/>
      <c r="BY1037"/>
      <c r="BZ1037"/>
      <c r="CA1037"/>
      <c r="CB1037"/>
      <c r="CC1037"/>
      <c r="CD1037"/>
      <c r="CE1037" s="2"/>
    </row>
    <row r="1038" spans="2:83" s="22" customFormat="1" ht="12.75" hidden="1" customHeight="1" outlineLevel="1" x14ac:dyDescent="0.2">
      <c r="B1038" s="24" t="s">
        <v>354</v>
      </c>
      <c r="C1038" s="212"/>
      <c r="D1038" s="36"/>
      <c r="E1038" s="212"/>
      <c r="F1038" s="36"/>
      <c r="G1038" s="212"/>
      <c r="H1038" s="36"/>
      <c r="I1038" s="199"/>
      <c r="J1038" s="36"/>
      <c r="K1038" s="199"/>
      <c r="L1038" s="36"/>
      <c r="M1038" s="199"/>
      <c r="N1038" s="36"/>
      <c r="O1038" s="199"/>
      <c r="P1038" s="36"/>
      <c r="Q1038" s="199"/>
      <c r="R1038" s="36"/>
      <c r="S1038" s="199"/>
      <c r="T1038" s="36"/>
      <c r="U1038" s="199"/>
      <c r="V1038" s="36"/>
      <c r="W1038" s="199">
        <v>0.5</v>
      </c>
      <c r="X1038" s="36"/>
      <c r="Y1038" s="199">
        <v>0.5</v>
      </c>
      <c r="Z1038" s="36"/>
      <c r="AA1038" s="199">
        <v>0.5</v>
      </c>
      <c r="AB1038" s="36"/>
      <c r="AC1038" s="199">
        <v>0.5</v>
      </c>
      <c r="AD1038" s="36"/>
      <c r="AE1038" s="199">
        <v>0.5</v>
      </c>
      <c r="AF1038" s="36"/>
      <c r="AG1038" s="199">
        <v>0.5</v>
      </c>
      <c r="AH1038" s="36"/>
      <c r="AI1038" s="199">
        <v>0.5</v>
      </c>
      <c r="AJ1038" s="36"/>
      <c r="AK1038" s="199">
        <v>0.5</v>
      </c>
      <c r="AL1038" s="36"/>
      <c r="AM1038" s="199">
        <v>0.5</v>
      </c>
      <c r="AN1038" s="36"/>
      <c r="AO1038" s="199">
        <v>0.5</v>
      </c>
      <c r="AP1038" s="36"/>
      <c r="AQ1038" s="199">
        <v>0.5</v>
      </c>
      <c r="AR1038" s="36"/>
      <c r="AS1038" s="199">
        <v>0.5</v>
      </c>
      <c r="AT1038" s="36"/>
      <c r="AU1038" s="199">
        <v>0.5</v>
      </c>
      <c r="AV1038" s="36"/>
      <c r="AW1038" s="199">
        <v>0.5</v>
      </c>
      <c r="AX1038" s="36"/>
      <c r="AY1038" s="278"/>
      <c r="AZ1038" s="35"/>
      <c r="BA1038" s="33"/>
      <c r="BB1038" s="196"/>
      <c r="BC1038" s="33"/>
      <c r="BD1038" s="998"/>
      <c r="BE1038" s="33"/>
      <c r="BF1038" s="196"/>
      <c r="BG1038" s="33"/>
      <c r="BH1038" s="196"/>
      <c r="BI1038" s="33"/>
      <c r="BJ1038" s="196"/>
      <c r="BK1038" s="33"/>
      <c r="BL1038" s="196"/>
      <c r="BM1038" s="33"/>
      <c r="BN1038" s="37">
        <v>0.5</v>
      </c>
      <c r="BO1038" s="33"/>
      <c r="BP1038" s="37">
        <v>0.5</v>
      </c>
      <c r="BQ1038" s="33"/>
      <c r="BR1038" s="37">
        <v>0.5</v>
      </c>
      <c r="BS1038" s="33"/>
      <c r="BT1038" s="37">
        <v>0.5</v>
      </c>
      <c r="BU1038" s="33"/>
      <c r="BV1038" s="19"/>
      <c r="BW1038" s="19"/>
      <c r="BX1038" s="215"/>
      <c r="BY1038"/>
      <c r="BZ1038"/>
      <c r="CA1038"/>
      <c r="CB1038"/>
      <c r="CC1038"/>
      <c r="CD1038"/>
      <c r="CE1038" s="2"/>
    </row>
    <row r="1039" spans="2:83" s="22" customFormat="1" ht="12.75" hidden="1" customHeight="1" outlineLevel="1" x14ac:dyDescent="0.2">
      <c r="B1039" s="23"/>
      <c r="C1039" s="20"/>
      <c r="D1039" s="21"/>
      <c r="E1039" s="20"/>
      <c r="F1039" s="21"/>
      <c r="G1039" s="20"/>
      <c r="H1039" s="21"/>
      <c r="I1039" s="20"/>
      <c r="J1039" s="21"/>
      <c r="K1039" s="20"/>
      <c r="L1039" s="21"/>
      <c r="M1039" s="20"/>
      <c r="N1039" s="21"/>
      <c r="O1039" s="20"/>
      <c r="P1039" s="21"/>
      <c r="Q1039" s="20"/>
      <c r="R1039" s="21"/>
      <c r="S1039" s="20"/>
      <c r="T1039" s="21"/>
      <c r="U1039" s="20"/>
      <c r="V1039" s="21"/>
      <c r="W1039" s="20"/>
      <c r="X1039" s="21"/>
      <c r="Y1039" s="20"/>
      <c r="Z1039" s="21"/>
      <c r="AA1039" s="20"/>
      <c r="AB1039" s="21"/>
      <c r="AC1039" s="20"/>
      <c r="AD1039" s="21"/>
      <c r="AE1039" s="20"/>
      <c r="AF1039" s="21"/>
      <c r="AG1039" s="20"/>
      <c r="AH1039" s="21"/>
      <c r="AI1039" s="20"/>
      <c r="AJ1039" s="21"/>
      <c r="AK1039" s="20"/>
      <c r="AL1039" s="21"/>
      <c r="AM1039" s="20"/>
      <c r="AN1039" s="21"/>
      <c r="AO1039" s="20"/>
      <c r="AP1039" s="21"/>
      <c r="AQ1039" s="20"/>
      <c r="AR1039" s="21"/>
      <c r="AS1039" s="20"/>
      <c r="AT1039" s="21"/>
      <c r="AU1039" s="20"/>
      <c r="AV1039" s="21"/>
      <c r="AW1039" s="20"/>
      <c r="AX1039" s="21"/>
      <c r="AY1039" s="275"/>
      <c r="BA1039" s="21"/>
      <c r="BB1039" s="20"/>
      <c r="BC1039" s="21"/>
      <c r="BD1039" s="992"/>
      <c r="BE1039" s="21"/>
      <c r="BF1039" s="20"/>
      <c r="BG1039" s="21"/>
      <c r="BH1039" s="20"/>
      <c r="BI1039" s="21"/>
      <c r="BJ1039" s="20"/>
      <c r="BK1039" s="21"/>
      <c r="BL1039" s="20"/>
      <c r="BM1039" s="21"/>
      <c r="BN1039" s="20"/>
      <c r="BO1039" s="21"/>
      <c r="BP1039" s="20"/>
      <c r="BQ1039" s="21"/>
      <c r="BR1039" s="20"/>
      <c r="BS1039" s="21"/>
      <c r="BT1039" s="20"/>
      <c r="BU1039" s="21"/>
      <c r="BV1039" s="19"/>
      <c r="BW1039" s="19"/>
      <c r="BX1039" s="215"/>
      <c r="BY1039"/>
      <c r="BZ1039"/>
      <c r="CA1039"/>
      <c r="CB1039"/>
      <c r="CC1039"/>
      <c r="CD1039"/>
      <c r="CE1039" s="2"/>
    </row>
    <row r="1040" spans="2:83" s="22" customFormat="1" ht="12.75" hidden="1" customHeight="1" outlineLevel="1" x14ac:dyDescent="0.2">
      <c r="B1040" s="23" t="s">
        <v>278</v>
      </c>
      <c r="C1040" s="20"/>
      <c r="D1040" s="21"/>
      <c r="E1040" s="20"/>
      <c r="F1040" s="21"/>
      <c r="G1040" s="20"/>
      <c r="H1040" s="21"/>
      <c r="I1040" s="20"/>
      <c r="J1040" s="21"/>
      <c r="K1040" s="20"/>
      <c r="L1040" s="21"/>
      <c r="M1040" s="20"/>
      <c r="N1040" s="21"/>
      <c r="O1040" s="20"/>
      <c r="P1040" s="21"/>
      <c r="Q1040" s="20"/>
      <c r="R1040" s="21"/>
      <c r="S1040" s="20"/>
      <c r="T1040" s="21"/>
      <c r="U1040" s="20"/>
      <c r="V1040" s="21"/>
      <c r="W1040" s="20"/>
      <c r="X1040" s="21"/>
      <c r="Y1040" s="20"/>
      <c r="Z1040" s="21"/>
      <c r="AA1040" s="20"/>
      <c r="AB1040" s="21"/>
      <c r="AC1040" s="20"/>
      <c r="AD1040" s="21"/>
      <c r="AE1040" s="20"/>
      <c r="AF1040" s="21"/>
      <c r="AG1040" s="20"/>
      <c r="AH1040" s="21"/>
      <c r="AI1040" s="20"/>
      <c r="AJ1040" s="21"/>
      <c r="AK1040" s="20"/>
      <c r="AL1040" s="21"/>
      <c r="AM1040" s="20"/>
      <c r="AN1040" s="21"/>
      <c r="AO1040" s="20"/>
      <c r="AP1040" s="21"/>
      <c r="AQ1040" s="20"/>
      <c r="AR1040" s="21"/>
      <c r="AS1040" s="20"/>
      <c r="AT1040" s="21"/>
      <c r="AU1040" s="20"/>
      <c r="AV1040" s="21"/>
      <c r="AW1040" s="20"/>
      <c r="AX1040" s="21"/>
      <c r="AY1040" s="275"/>
      <c r="BA1040" s="21"/>
      <c r="BB1040" s="20"/>
      <c r="BC1040" s="21"/>
      <c r="BD1040" s="992"/>
      <c r="BE1040" s="21"/>
      <c r="BF1040" s="20"/>
      <c r="BG1040" s="21"/>
      <c r="BH1040" s="20"/>
      <c r="BI1040" s="21"/>
      <c r="BJ1040" s="20"/>
      <c r="BK1040" s="21"/>
      <c r="BL1040" s="20"/>
      <c r="BM1040" s="21"/>
      <c r="BN1040" s="20"/>
      <c r="BO1040" s="21"/>
      <c r="BP1040" s="20"/>
      <c r="BQ1040" s="21"/>
      <c r="BR1040" s="20"/>
      <c r="BS1040" s="21"/>
      <c r="BT1040" s="20"/>
      <c r="BU1040" s="21"/>
      <c r="BV1040" s="19"/>
      <c r="BW1040" s="19"/>
      <c r="BX1040" s="215"/>
      <c r="BY1040"/>
      <c r="BZ1040"/>
      <c r="CA1040"/>
      <c r="CB1040"/>
      <c r="CC1040"/>
      <c r="CD1040"/>
      <c r="CE1040" s="2"/>
    </row>
    <row r="1041" spans="2:83" s="22" customFormat="1" ht="12.75" hidden="1" customHeight="1" outlineLevel="1" x14ac:dyDescent="0.2">
      <c r="B1041" s="18" t="s">
        <v>355</v>
      </c>
      <c r="C1041" s="214"/>
      <c r="D1041" s="21"/>
      <c r="E1041" s="214"/>
      <c r="F1041" s="21"/>
      <c r="G1041" s="214"/>
      <c r="H1041" s="21"/>
      <c r="I1041" s="796"/>
      <c r="J1041" s="21"/>
      <c r="K1041" s="796"/>
      <c r="L1041" s="21"/>
      <c r="M1041" s="796"/>
      <c r="N1041" s="21"/>
      <c r="O1041" s="796"/>
      <c r="P1041" s="21"/>
      <c r="Q1041" s="796"/>
      <c r="R1041" s="21"/>
      <c r="S1041" s="796"/>
      <c r="T1041" s="21"/>
      <c r="U1041" s="796"/>
      <c r="V1041" s="21"/>
      <c r="W1041" s="796">
        <v>0.87</v>
      </c>
      <c r="X1041" s="21"/>
      <c r="Y1041" s="796">
        <v>0.87</v>
      </c>
      <c r="Z1041" s="21"/>
      <c r="AA1041" s="796">
        <v>0.87</v>
      </c>
      <c r="AB1041" s="21"/>
      <c r="AC1041" s="796">
        <v>0.87</v>
      </c>
      <c r="AD1041" s="21"/>
      <c r="AE1041" s="796">
        <v>0.87</v>
      </c>
      <c r="AF1041" s="21"/>
      <c r="AG1041" s="796">
        <v>0.87</v>
      </c>
      <c r="AH1041" s="21"/>
      <c r="AI1041" s="796">
        <v>0.87</v>
      </c>
      <c r="AJ1041" s="21"/>
      <c r="AK1041" s="796">
        <v>0.87</v>
      </c>
      <c r="AL1041" s="21"/>
      <c r="AM1041" s="796">
        <v>0.87</v>
      </c>
      <c r="AN1041" s="21"/>
      <c r="AO1041" s="796">
        <v>0.87</v>
      </c>
      <c r="AP1041" s="21"/>
      <c r="AQ1041" s="796">
        <v>0.87</v>
      </c>
      <c r="AR1041" s="21"/>
      <c r="AS1041" s="796">
        <v>0.87</v>
      </c>
      <c r="AT1041" s="21"/>
      <c r="AU1041" s="796">
        <v>0.87</v>
      </c>
      <c r="AV1041" s="21"/>
      <c r="AW1041" s="796">
        <v>0.87</v>
      </c>
      <c r="AX1041" s="21"/>
      <c r="AY1041" s="275"/>
      <c r="BA1041" s="21"/>
      <c r="BB1041" s="25"/>
      <c r="BC1041" s="21"/>
      <c r="BD1041" s="990"/>
      <c r="BE1041" s="21"/>
      <c r="BF1041" s="25"/>
      <c r="BG1041" s="21"/>
      <c r="BH1041" s="25"/>
      <c r="BI1041" s="21"/>
      <c r="BJ1041" s="25"/>
      <c r="BK1041" s="21"/>
      <c r="BL1041" s="25"/>
      <c r="BM1041" s="21"/>
      <c r="BN1041" s="796">
        <v>5.44</v>
      </c>
      <c r="BO1041" s="21"/>
      <c r="BP1041" s="796">
        <v>5.44</v>
      </c>
      <c r="BQ1041" s="21"/>
      <c r="BR1041" s="796">
        <v>5.44</v>
      </c>
      <c r="BS1041" s="21"/>
      <c r="BT1041" s="796">
        <v>5.44</v>
      </c>
      <c r="BU1041" s="21"/>
      <c r="BV1041" s="19"/>
      <c r="BW1041" s="19"/>
      <c r="BX1041" s="215"/>
      <c r="BY1041"/>
      <c r="BZ1041"/>
      <c r="CA1041"/>
      <c r="CB1041"/>
      <c r="CC1041"/>
      <c r="CD1041"/>
      <c r="CE1041" s="2"/>
    </row>
    <row r="1042" spans="2:83" s="22" customFormat="1" ht="12.75" hidden="1" customHeight="1" outlineLevel="1" x14ac:dyDescent="0.2">
      <c r="B1042" s="18" t="s">
        <v>356</v>
      </c>
      <c r="C1042" s="214"/>
      <c r="D1042" s="21"/>
      <c r="E1042" s="214"/>
      <c r="F1042" s="21"/>
      <c r="G1042" s="214"/>
      <c r="H1042" s="21"/>
      <c r="I1042" s="201"/>
      <c r="J1042" s="21"/>
      <c r="K1042" s="201"/>
      <c r="L1042" s="21"/>
      <c r="M1042" s="201"/>
      <c r="N1042" s="21"/>
      <c r="O1042" s="201"/>
      <c r="P1042" s="21"/>
      <c r="Q1042" s="201"/>
      <c r="R1042" s="21"/>
      <c r="S1042" s="201"/>
      <c r="T1042" s="21"/>
      <c r="U1042" s="201"/>
      <c r="V1042" s="21"/>
      <c r="W1042" s="201">
        <v>0.7</v>
      </c>
      <c r="X1042" s="21"/>
      <c r="Y1042" s="201">
        <v>0.7</v>
      </c>
      <c r="Z1042" s="21"/>
      <c r="AA1042" s="201">
        <v>0.7</v>
      </c>
      <c r="AB1042" s="21"/>
      <c r="AC1042" s="201">
        <v>0.7</v>
      </c>
      <c r="AD1042" s="21"/>
      <c r="AE1042" s="201">
        <v>0.7</v>
      </c>
      <c r="AF1042" s="21"/>
      <c r="AG1042" s="201">
        <v>0.7</v>
      </c>
      <c r="AH1042" s="21"/>
      <c r="AI1042" s="201">
        <v>0.7</v>
      </c>
      <c r="AJ1042" s="21"/>
      <c r="AK1042" s="201">
        <v>0.7</v>
      </c>
      <c r="AL1042" s="21"/>
      <c r="AM1042" s="201">
        <v>0.7</v>
      </c>
      <c r="AN1042" s="21"/>
      <c r="AO1042" s="201">
        <v>0.7</v>
      </c>
      <c r="AP1042" s="21"/>
      <c r="AQ1042" s="201">
        <v>0.7</v>
      </c>
      <c r="AR1042" s="21"/>
      <c r="AS1042" s="201">
        <v>0.7</v>
      </c>
      <c r="AT1042" s="21"/>
      <c r="AU1042" s="201">
        <v>0.7</v>
      </c>
      <c r="AV1042" s="21"/>
      <c r="AW1042" s="201">
        <v>0.7</v>
      </c>
      <c r="AX1042" s="21"/>
      <c r="AY1042" s="275"/>
      <c r="BA1042" s="21"/>
      <c r="BB1042" s="25"/>
      <c r="BC1042" s="21"/>
      <c r="BD1042" s="990"/>
      <c r="BE1042" s="21"/>
      <c r="BF1042" s="25"/>
      <c r="BG1042" s="21"/>
      <c r="BH1042" s="25"/>
      <c r="BI1042" s="21"/>
      <c r="BJ1042" s="25"/>
      <c r="BK1042" s="21"/>
      <c r="BL1042" s="25"/>
      <c r="BM1042" s="21"/>
      <c r="BN1042" s="201">
        <v>3.33</v>
      </c>
      <c r="BO1042" s="21"/>
      <c r="BP1042" s="201">
        <v>3.33</v>
      </c>
      <c r="BQ1042" s="21"/>
      <c r="BR1042" s="201">
        <v>3.33</v>
      </c>
      <c r="BS1042" s="21"/>
      <c r="BT1042" s="201">
        <v>3.33</v>
      </c>
      <c r="BU1042" s="21"/>
      <c r="BV1042" s="19"/>
      <c r="BW1042" s="19"/>
      <c r="BX1042" s="215"/>
      <c r="BY1042"/>
      <c r="BZ1042"/>
      <c r="CA1042"/>
      <c r="CB1042"/>
      <c r="CC1042"/>
      <c r="CD1042"/>
      <c r="CE1042" s="2"/>
    </row>
    <row r="1043" spans="2:83" s="22" customFormat="1" ht="12.75" hidden="1" customHeight="1" outlineLevel="1" x14ac:dyDescent="0.2">
      <c r="B1043" s="18" t="s">
        <v>357</v>
      </c>
      <c r="C1043" s="25">
        <f>C845</f>
        <v>0.78525748906092263</v>
      </c>
      <c r="D1043" s="21"/>
      <c r="E1043" s="25">
        <f>E845</f>
        <v>0.9131897711978465</v>
      </c>
      <c r="F1043" s="21"/>
      <c r="G1043" s="25">
        <f>G845</f>
        <v>0.90154052243804406</v>
      </c>
      <c r="H1043" s="21"/>
      <c r="I1043" s="38">
        <f>I845</f>
        <v>0.9555629802873371</v>
      </c>
      <c r="J1043" s="21"/>
      <c r="K1043" s="38">
        <f>K845</f>
        <v>1.0584307178631052</v>
      </c>
      <c r="L1043" s="21"/>
      <c r="M1043" s="38">
        <f>M845</f>
        <v>1.0828025477707006</v>
      </c>
      <c r="N1043" s="21"/>
      <c r="O1043" s="38">
        <f>O845</f>
        <v>1.2789299901975959</v>
      </c>
      <c r="P1043" s="21"/>
      <c r="Q1043" s="38">
        <f>Q845</f>
        <v>1.0969854818329507</v>
      </c>
      <c r="R1043" s="21"/>
      <c r="S1043" s="38">
        <f>S845</f>
        <v>1.1151140316969463</v>
      </c>
      <c r="T1043" s="21"/>
      <c r="U1043" s="38">
        <f>U845</f>
        <v>1.0800422767580944</v>
      </c>
      <c r="V1043" s="21"/>
      <c r="W1043" s="38">
        <f>W845</f>
        <v>1.0713567839195983</v>
      </c>
      <c r="X1043" s="21"/>
      <c r="Y1043" s="38">
        <f>Y845</f>
        <v>1.0236326806212019</v>
      </c>
      <c r="Z1043" s="21"/>
      <c r="AA1043" s="38">
        <f>AA845</f>
        <v>0.97281685355079828</v>
      </c>
      <c r="AB1043" s="21"/>
      <c r="AC1043" s="38">
        <f>AC845</f>
        <v>1.1520847573479152</v>
      </c>
      <c r="AD1043" s="21"/>
      <c r="AE1043" s="38">
        <f>AE845</f>
        <v>1.1520247083047359</v>
      </c>
      <c r="AF1043" s="21"/>
      <c r="AG1043" s="38">
        <f>AG845</f>
        <v>1.2739726027397262</v>
      </c>
      <c r="AH1043" s="21"/>
      <c r="AI1043" s="38">
        <f>AI845</f>
        <v>1.2670998632010946</v>
      </c>
      <c r="AJ1043" s="21"/>
      <c r="AK1043" s="38">
        <f>AK845</f>
        <v>1.3105568841817561</v>
      </c>
      <c r="AL1043" s="21"/>
      <c r="AM1043" s="38">
        <f t="shared" ref="AM1043:AO1043" si="4116">AM845</f>
        <v>1.2752090087015864</v>
      </c>
      <c r="AN1043" s="21"/>
      <c r="AO1043" s="38">
        <f t="shared" si="4116"/>
        <v>1.1948228882833789</v>
      </c>
      <c r="AP1043" s="21"/>
      <c r="AQ1043" s="38">
        <f t="shared" ref="AQ1043:AW1043" si="4117">AQ845</f>
        <v>1.3611633992033498</v>
      </c>
      <c r="AR1043" s="21"/>
      <c r="AS1043" s="38">
        <f t="shared" si="4117"/>
        <v>1.3906444916339205</v>
      </c>
      <c r="AT1043" s="21"/>
      <c r="AU1043" s="38">
        <f t="shared" si="4117"/>
        <v>1.4461102977607878</v>
      </c>
      <c r="AV1043" s="21"/>
      <c r="AW1043" s="38">
        <f t="shared" si="4117"/>
        <v>1.4987367420827074</v>
      </c>
      <c r="AX1043" s="21"/>
      <c r="AY1043" s="275"/>
      <c r="BA1043" s="21"/>
      <c r="BB1043" s="25">
        <f>BB845</f>
        <v>3.5561147458480122</v>
      </c>
      <c r="BC1043" s="21"/>
      <c r="BD1043" s="990">
        <f>BD845</f>
        <v>4.5168138400994469</v>
      </c>
      <c r="BE1043" s="21"/>
      <c r="BF1043" s="25">
        <f>BF845</f>
        <v>4.2905208252640294</v>
      </c>
      <c r="BG1043" s="21"/>
      <c r="BH1043" s="25">
        <f>BH845</f>
        <v>4.549602665983083</v>
      </c>
      <c r="BI1043" s="21"/>
      <c r="BJ1043" s="25">
        <f>BJ845</f>
        <v>5.0474930659270347</v>
      </c>
      <c r="BK1043" s="21"/>
      <c r="BL1043" s="25">
        <f>BL845</f>
        <v>5.696041499291117</v>
      </c>
      <c r="BM1043" s="21"/>
      <c r="BN1043" s="38">
        <f>BN845</f>
        <v>6.0453425267725773</v>
      </c>
      <c r="BO1043" s="21"/>
      <c r="BP1043" s="38">
        <f>BP845</f>
        <v>6.3982805255733526</v>
      </c>
      <c r="BQ1043" s="21"/>
      <c r="BR1043" s="38">
        <f>BR845</f>
        <v>6.7461607794123113</v>
      </c>
      <c r="BS1043" s="21"/>
      <c r="BT1043" s="38">
        <f>BT845</f>
        <v>7.1006337608389298</v>
      </c>
      <c r="BU1043" s="21"/>
      <c r="BV1043" s="19"/>
      <c r="BW1043" s="19"/>
      <c r="BX1043" s="215"/>
      <c r="BY1043"/>
      <c r="BZ1043"/>
      <c r="CA1043"/>
      <c r="CB1043"/>
      <c r="CC1043"/>
      <c r="CD1043"/>
      <c r="CE1043" s="2"/>
    </row>
    <row r="1044" spans="2:83" s="22" customFormat="1" ht="12.75" hidden="1" customHeight="1" outlineLevel="1" x14ac:dyDescent="0.2">
      <c r="B1044" s="23"/>
      <c r="C1044" s="20"/>
      <c r="D1044" s="21"/>
      <c r="E1044" s="20"/>
      <c r="F1044" s="21"/>
      <c r="G1044" s="20"/>
      <c r="H1044" s="21"/>
      <c r="I1044" s="20"/>
      <c r="J1044" s="21"/>
      <c r="K1044" s="20"/>
      <c r="L1044" s="21"/>
      <c r="M1044" s="20"/>
      <c r="N1044" s="21"/>
      <c r="O1044" s="20"/>
      <c r="P1044" s="21"/>
      <c r="Q1044" s="20"/>
      <c r="R1044" s="21"/>
      <c r="S1044" s="20"/>
      <c r="T1044" s="21"/>
      <c r="U1044" s="20"/>
      <c r="V1044" s="21"/>
      <c r="W1044" s="20"/>
      <c r="X1044" s="21"/>
      <c r="Y1044" s="20"/>
      <c r="Z1044" s="21"/>
      <c r="AA1044" s="20"/>
      <c r="AB1044" s="21"/>
      <c r="AC1044" s="20"/>
      <c r="AD1044" s="21"/>
      <c r="AE1044" s="20"/>
      <c r="AF1044" s="21"/>
      <c r="AG1044" s="20"/>
      <c r="AH1044" s="21"/>
      <c r="AI1044" s="20"/>
      <c r="AJ1044" s="21"/>
      <c r="AK1044" s="20"/>
      <c r="AL1044" s="21"/>
      <c r="AM1044" s="20"/>
      <c r="AN1044" s="21"/>
      <c r="AO1044" s="20"/>
      <c r="AP1044" s="21"/>
      <c r="AQ1044" s="20"/>
      <c r="AR1044" s="21"/>
      <c r="AS1044" s="20"/>
      <c r="AT1044" s="21"/>
      <c r="AU1044" s="20"/>
      <c r="AV1044" s="21"/>
      <c r="AW1044" s="20"/>
      <c r="AX1044" s="21"/>
      <c r="AY1044" s="275"/>
      <c r="BA1044" s="21"/>
      <c r="BB1044" s="20"/>
      <c r="BC1044" s="21"/>
      <c r="BD1044" s="992"/>
      <c r="BE1044" s="21"/>
      <c r="BF1044" s="20"/>
      <c r="BG1044" s="21"/>
      <c r="BH1044" s="20"/>
      <c r="BI1044" s="21"/>
      <c r="BJ1044" s="20"/>
      <c r="BK1044" s="21"/>
      <c r="BL1044" s="20"/>
      <c r="BM1044" s="21"/>
      <c r="BN1044" s="20"/>
      <c r="BO1044" s="21"/>
      <c r="BP1044" s="20"/>
      <c r="BQ1044" s="21"/>
      <c r="BR1044" s="20"/>
      <c r="BS1044" s="21"/>
      <c r="BT1044" s="20"/>
      <c r="BU1044" s="21"/>
      <c r="BV1044" s="19"/>
      <c r="BW1044" s="19"/>
      <c r="BX1044" s="215"/>
      <c r="BY1044"/>
      <c r="BZ1044"/>
      <c r="CA1044"/>
      <c r="CB1044"/>
      <c r="CC1044"/>
      <c r="CD1044"/>
      <c r="CE1044" s="2"/>
    </row>
    <row r="1045" spans="2:83" ht="12.75" customHeight="1" collapsed="1" x14ac:dyDescent="0.2"/>
  </sheetData>
  <dataConsolidate/>
  <mergeCells count="1">
    <mergeCell ref="B4:B5"/>
  </mergeCells>
  <phoneticPr fontId="2" type="noConversion"/>
  <dataValidations disablePrompts="1" count="1">
    <dataValidation type="list" allowBlank="1" showInputMessage="1" showErrorMessage="1" promptTitle="Scenario Analysis" prompt="1= Base Case_x000a_2= Bull Case_x000a_3= Bear Case_x000a_" sqref="B6">
      <formula1>"1,2,3"</formula1>
    </dataValidation>
  </dataValidations>
  <printOptions horizontalCentered="1"/>
  <pageMargins left="0.5" right="0.5" top="0.5" bottom="0.5" header="0.5" footer="0.5"/>
  <pageSetup scale="55" fitToHeight="17" orientation="landscape" horizontalDpi="300" r:id="rId1"/>
  <headerFooter alignWithMargins="0"/>
  <ignoredErrors>
    <ignoredError sqref="BU9:BX9 AP5:BF5 AP6:BE9 BK4 AP170 S167:AN1045 AP818:BX827 AP817 AR817:AT817 AO167:AO707 AO708:AO940 AP693:BX816 AP692 AR692 AT692 AV692 AX692:BK692 BM692 BO692 BQ692 BS692 BU692:BX692 AP689:BX691 AP688 AR688:BX688 AP685:BX687 AP684 AR684:BX684 AP681:BX683 AP680 AR680:BX680 AP677:BX679 AP676 AR676:BX676 S29:AO152 BI7:BT9 AP98:BX114 AP97 AR97:BX97 AP74:BX74 AP116 AP117:AQ117 AP167:BX169 AP118:BM118 AR116:BM117 AP115:AT115 AV115:BM115 BO115:BX115 BN116:BX119 AP73 AR73:BX73 AP172:BX172 AP190 AR190:BX190 AP344 AR344:BM344 AP489:BX551 AP488 AP553:BX553 AP552 AR552:BX552 AP555:BX675 AP554:AQ554 AR554:BX554 AP30:BX30 AR488:AT488 AV488 AX488:BX488 AR170:AT170 AP191:BX192 AP831:BX890 AP829:BM829 BO829 BQ829 AP349:BX399 AP345:BO347 AP343:BM343 BP345:BX347 BS829 BU829:BX829 AV817:BX817 AP120:BX152 S154:BX154 S159:AP161 S157:AP157 S158:AP158 AP32:BX34 AP31 AR31:BX31 BU157:BX157 BU158:BX158 AP174:BX188 AP173 AR173 AX173:BM173 BO173 BQ173 BS173 BU173:BX173 S162:AF162 AP162 AN162 AL162 AJ162 AH162 BU162:BX162 BU159:BX161 AX162:BT162 AX158:BM158 AX157:BM157 AX159:BT161 AX170:BX170 AP171:AT171 AX171:BX171 AV170 AU171:AW171 AU170 AW170 AV173 AT173 AS173 AU173 AW173 AP194:BX340 AP193 AX193:BM193 AV193 AW193 BU193:BX193 BO193 BN193 AP189:BO189 BQ189:BX189 BR193 BQ193 BS193 BP193 BT193 BS157 BQ157 BO157 BN158:BT158 AP51:BX67 AP47 AX47:BX47 AP36:AP46 AP35 AX35:BM35 AX38:BX46 AV35 AT35 AR35 AQ36:AW46 AR47 AQ35 AS35 AU35 AW35 BU35:BX35 AX36:BM37 BU36:BX37 BS35 BQ35 BO35 BN36:BT37 BN35 BP35 BR35 BT35 AP341 BO341:BX341 AP348:BN348 BO348 BP348:BR348 BS348:BX348 AP342 BT342:BX342 BU343:BX344 BR342:BS342 BP342:BQ342 BO342 BP343:BT344 BN343:BO343 BN344:BO344 BN342 AP10:BX26 S7:AO26 AP905:BX1045 AP904:BA904 BC904:BX904 AP892:BX903 AP891:BA891 BC891:BX891 AP69:BX69 AP68 AR68:BX68 AP76:BX96 AP75 AR75:BX75 AP119 AT119:BM119 AR119 S156:BX156 S155:AR155 AT155:BX155 AR193 AT193 AR341:BN341 AR342:BM342 AP406:BX487 AP400 AR400 AX400:BP400 AP830:AR830 BO830:BQ830 AT830 AV830:BM830 BS830:BX830 AP29 AR29:BX29 AP48:AR50 AX48:BX50 AT47 AV47 AS48:AW50 AS47 AW47 AU47 AV157 AT157 AR157 AQ162 AQ159:AW161 AQ158:AW158 AR162:AW162 AQ157 AS157 AU157 AW157 AP401:AR405 AX401:BX405 AU400:AV400 AT400 AS401:AW405 AS400 AW400 AP828 AR828:BX828 AP71:BX72 AP70:BN70 BO70:BX70 BQ400:BX400 AP4 AR4 AT4 AV4 AX4:BF4 CE9:WYE9 CE818:WYE827 CE693:WYE816 CE692:WYE692 CE689:WYE691 CE688:WYE688 CE685:WYE687 CE684:WYE684 CE681:WYE683 CE680:WYE680 CE677:WYE679 CE676:WYE676 CE98:WYE114 CE97:WYE97 CE74:WYE74 CE167:WYE169 CE115:WYE115 CE116:WYE119 CE73:WYE73 CE172:WYE172 CE190:WYE190 CE489:WYE551 CE553:WYE553 CE552:WYE552 CE555:WYE675 CE554:WYE554 CE30:WYE30 CE488:WYE488 CE191:WYE192 CE831:WYE890 CE349:WYE399 CE345:WYE347 CE829:WYE829 CE817:WYE817 CE120:WYE152 CE154:WYE154 CE32:WYE34 CE31:WYE31 CE157:WYE157 CE158:WYE158 CE174:WYE188 CE173:WYE173 CE162:WYE162 CE159:WYE161 CE170:WYE170 CE171:WYE171 CE194:WYE340 CE193:WYE193 CE189:WYE189 CE51:WYE67 CE47:WYE47 CE38:WYE46 CE35:WYE35 CE36:WYE37 CE341:WYE341 CE348:WYE348 CE342:WYE342 CE343:WYE344 CE10:WYE26 CE905:WYE1045 CE904:WYE904 CE892:WYE903 CE891:WYE891 CE69:WYE69 CE68:WYE68 CE76:WYE96 CE75:WYE75 CE156:WYE156 CE155:WYE155 CE406:WYE487 CE830:WYE830 CE29:WYE29 CE48:WYE50 CE401:WYE405 CE828:WYE828 CE71:WYE72 CE70:WYE70 CE400:WYE400" formula="1"/>
    <ignoredError sqref="BF6:BF8 BF9 BG9:BH9 BH7:BH8" numberStoredAsText="1" formula="1"/>
    <ignoredError sqref="BG6:BH6 BJ6 BG7:BG8" numberStoredAsTex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CM460"/>
  <sheetViews>
    <sheetView showGridLines="0" zoomScaleNormal="100" workbookViewId="0">
      <pane xSplit="1" ySplit="5" topLeftCell="AH6" activePane="bottomRight" state="frozen"/>
      <selection pane="topRight" activeCell="B1" sqref="B1"/>
      <selection pane="bottomLeft" activeCell="A6" sqref="A6"/>
      <selection pane="bottomRight" activeCell="AH6" sqref="AH6"/>
    </sheetView>
  </sheetViews>
  <sheetFormatPr defaultRowHeight="12" customHeight="1" outlineLevelRow="2" outlineLevelCol="1" x14ac:dyDescent="0.2"/>
  <cols>
    <col min="1" max="1" width="32.5703125" style="373" customWidth="1"/>
    <col min="2" max="2" width="7.42578125" style="373" hidden="1" customWidth="1" outlineLevel="1"/>
    <col min="3" max="3" width="7.42578125" style="380" hidden="1" customWidth="1" outlineLevel="1"/>
    <col min="4" max="4" width="7.42578125" style="373" hidden="1" customWidth="1" outlineLevel="1" collapsed="1"/>
    <col min="5" max="5" width="7.42578125" style="380" hidden="1" customWidth="1" outlineLevel="1"/>
    <col min="6" max="6" width="7.42578125" style="373" hidden="1" customWidth="1" outlineLevel="1" collapsed="1"/>
    <col min="7" max="7" width="7.42578125" style="380" hidden="1" customWidth="1" outlineLevel="1"/>
    <col min="8" max="8" width="7.42578125" style="373" hidden="1" customWidth="1" outlineLevel="1" collapsed="1"/>
    <col min="9" max="9" width="7.42578125" style="380" hidden="1" customWidth="1" outlineLevel="1"/>
    <col min="10" max="10" width="7.42578125" style="373" hidden="1" customWidth="1" outlineLevel="1"/>
    <col min="11" max="11" width="7.42578125" style="380" hidden="1" customWidth="1" outlineLevel="1"/>
    <col min="12" max="12" width="7.42578125" style="373" hidden="1" customWidth="1" outlineLevel="1"/>
    <col min="13" max="13" width="7.42578125" style="380" hidden="1" customWidth="1" outlineLevel="1"/>
    <col min="14" max="14" width="7.42578125" style="373" hidden="1" customWidth="1" outlineLevel="1"/>
    <col min="15" max="15" width="7.42578125" style="380" hidden="1" customWidth="1" outlineLevel="1"/>
    <col min="16" max="16" width="7.42578125" style="373" hidden="1" customWidth="1" outlineLevel="1"/>
    <col min="17" max="17" width="7.42578125" style="380" hidden="1" customWidth="1" outlineLevel="1"/>
    <col min="18" max="18" width="7.42578125" style="373" hidden="1" customWidth="1" outlineLevel="1"/>
    <col min="19" max="19" width="7.42578125" style="380" hidden="1" customWidth="1" outlineLevel="1"/>
    <col min="20" max="20" width="7.42578125" style="373" hidden="1" customWidth="1" outlineLevel="1" collapsed="1"/>
    <col min="21" max="21" width="7.42578125" style="380" hidden="1" customWidth="1" outlineLevel="1"/>
    <col min="22" max="22" width="7.42578125" style="373" hidden="1" customWidth="1" outlineLevel="1" collapsed="1"/>
    <col min="23" max="23" width="7.42578125" style="380" hidden="1" customWidth="1" outlineLevel="1"/>
    <col min="24" max="24" width="7.42578125" style="373" hidden="1" customWidth="1" outlineLevel="1" collapsed="1"/>
    <col min="25" max="25" width="7.42578125" style="380" hidden="1" customWidth="1" outlineLevel="1"/>
    <col min="26" max="26" width="7.42578125" style="373" hidden="1" customWidth="1" outlineLevel="1" collapsed="1"/>
    <col min="27" max="27" width="7.42578125" style="380" hidden="1" customWidth="1" outlineLevel="1"/>
    <col min="28" max="28" width="7.42578125" style="373" hidden="1" customWidth="1" outlineLevel="1" collapsed="1"/>
    <col min="29" max="29" width="7.42578125" style="380" hidden="1" customWidth="1" outlineLevel="1"/>
    <col min="30" max="30" width="7.42578125" style="373" hidden="1" customWidth="1" outlineLevel="1" collapsed="1"/>
    <col min="31" max="31" width="7.42578125" style="380" hidden="1" customWidth="1" outlineLevel="1"/>
    <col min="32" max="32" width="7.42578125" style="373" hidden="1" customWidth="1" outlineLevel="1" collapsed="1"/>
    <col min="33" max="33" width="7.42578125" style="380" hidden="1" customWidth="1" outlineLevel="1"/>
    <col min="34" max="34" width="7.42578125" style="373" customWidth="1" collapsed="1"/>
    <col min="35" max="35" width="7.42578125" style="380" hidden="1" customWidth="1" outlineLevel="1"/>
    <col min="36" max="36" width="7.42578125" style="373" customWidth="1" collapsed="1"/>
    <col min="37" max="37" width="7.42578125" style="380" hidden="1" customWidth="1" outlineLevel="1"/>
    <col min="38" max="38" width="7.42578125" style="373" customWidth="1" collapsed="1"/>
    <col min="39" max="39" width="7.42578125" style="380" hidden="1" customWidth="1" outlineLevel="1"/>
    <col min="40" max="40" width="7.42578125" style="373" customWidth="1" collapsed="1"/>
    <col min="41" max="41" width="7.42578125" style="380" hidden="1" customWidth="1" outlineLevel="1"/>
    <col min="42" max="42" width="7.42578125" style="373" customWidth="1" collapsed="1"/>
    <col min="43" max="43" width="7.42578125" style="380" customWidth="1" outlineLevel="1"/>
    <col min="44" max="44" width="7.42578125" style="373" customWidth="1"/>
    <col min="45" max="45" width="7.42578125" style="380" hidden="1" customWidth="1" outlineLevel="1"/>
    <col min="46" max="46" width="7.42578125" style="373" customWidth="1" collapsed="1"/>
    <col min="47" max="47" width="7.42578125" style="380" hidden="1" customWidth="1" outlineLevel="1"/>
    <col min="48" max="48" width="7.42578125" style="373" customWidth="1" collapsed="1"/>
    <col min="49" max="49" width="7.42578125" style="380" hidden="1" customWidth="1" outlineLevel="1"/>
    <col min="50" max="50" width="0.85546875" style="373" customWidth="1" collapsed="1"/>
    <col min="51" max="51" width="7.42578125" style="373" hidden="1" customWidth="1" outlineLevel="1"/>
    <col min="52" max="52" width="7.42578125" style="380" hidden="1" customWidth="1" outlineLevel="1"/>
    <col min="53" max="53" width="7.42578125" style="373" hidden="1" customWidth="1" outlineLevel="1"/>
    <col min="54" max="54" width="7.42578125" style="380" hidden="1" customWidth="1" outlineLevel="1"/>
    <col min="55" max="55" width="7.42578125" style="373" hidden="1" customWidth="1" outlineLevel="1" collapsed="1"/>
    <col min="56" max="56" width="7.42578125" style="380" hidden="1" customWidth="1" outlineLevel="1"/>
    <col min="57" max="57" width="7.42578125" style="373" hidden="1" customWidth="1" outlineLevel="1"/>
    <col min="58" max="58" width="7.42578125" style="380" hidden="1" customWidth="1" outlineLevel="1"/>
    <col min="59" max="59" width="7.42578125" style="373" hidden="1" customWidth="1" outlineLevel="1"/>
    <col min="60" max="60" width="7.42578125" style="380" hidden="1" customWidth="1" outlineLevel="1"/>
    <col min="61" max="61" width="7.42578125" style="373" hidden="1" customWidth="1" outlineLevel="1"/>
    <col min="62" max="62" width="7.42578125" style="380" hidden="1" customWidth="1" outlineLevel="1"/>
    <col min="63" max="63" width="7.42578125" style="373" hidden="1" customWidth="1" outlineLevel="1"/>
    <col min="64" max="64" width="7.42578125" style="380" hidden="1" customWidth="1" outlineLevel="1"/>
    <col min="65" max="65" width="7.42578125" style="373" hidden="1" customWidth="1" outlineLevel="1" collapsed="1"/>
    <col min="66" max="66" width="7.42578125" style="380" hidden="1" customWidth="1" outlineLevel="1"/>
    <col min="67" max="67" width="7.42578125" style="373" hidden="1" customWidth="1" outlineLevel="1" collapsed="1"/>
    <col min="68" max="68" width="7.42578125" style="380" hidden="1" customWidth="1" outlineLevel="1"/>
    <col min="69" max="69" width="7.42578125" style="373" hidden="1" customWidth="1" outlineLevel="1"/>
    <col min="70" max="70" width="7.42578125" style="380" hidden="1" customWidth="1" outlineLevel="1"/>
    <col min="71" max="71" width="7.42578125" style="373" hidden="1" customWidth="1" outlineLevel="1"/>
    <col min="72" max="72" width="7.42578125" style="380" hidden="1" customWidth="1" outlineLevel="1"/>
    <col min="73" max="73" width="7.42578125" style="373" hidden="1" customWidth="1" outlineLevel="1" collapsed="1"/>
    <col min="74" max="74" width="7.42578125" style="380" hidden="1" customWidth="1" outlineLevel="1"/>
    <col min="75" max="75" width="7.42578125" style="373" customWidth="1" collapsed="1"/>
    <col min="76" max="76" width="7.42578125" style="380" hidden="1" customWidth="1" outlineLevel="1"/>
    <col min="77" max="77" width="7.42578125" style="373" customWidth="1" collapsed="1"/>
    <col min="78" max="78" width="7.42578125" style="380" hidden="1" customWidth="1" outlineLevel="1"/>
    <col min="79" max="79" width="7.42578125" style="373" customWidth="1" collapsed="1"/>
    <col min="80" max="80" width="7.42578125" style="380" customWidth="1" outlineLevel="1"/>
    <col min="81" max="81" width="7.42578125" style="373" customWidth="1"/>
    <col min="82" max="82" width="7.42578125" style="380" customWidth="1" outlineLevel="1"/>
    <col min="83" max="83" width="7.42578125" style="373" customWidth="1"/>
    <col min="84" max="84" width="7.42578125" style="380" hidden="1" customWidth="1" outlineLevel="1"/>
    <col min="85" max="85" width="7.42578125" style="373" customWidth="1" collapsed="1"/>
    <col min="86" max="86" width="7.42578125" style="380" hidden="1" customWidth="1" outlineLevel="1"/>
    <col min="87" max="87" width="7.42578125" style="373" customWidth="1" collapsed="1"/>
    <col min="88" max="88" width="7.42578125" style="380" hidden="1" customWidth="1" outlineLevel="1"/>
    <col min="89" max="89" width="7.42578125" style="373" customWidth="1" collapsed="1"/>
    <col min="90" max="90" width="7.42578125" style="380" hidden="1" customWidth="1" outlineLevel="1"/>
    <col min="91" max="91" width="7.42578125" style="380" customWidth="1" collapsed="1"/>
    <col min="92" max="16384" width="9.140625" style="373"/>
  </cols>
  <sheetData>
    <row r="1" spans="1:91" s="475" customFormat="1" ht="19.5" customHeight="1" x14ac:dyDescent="0.25">
      <c r="A1" s="472" t="str">
        <f>INPUT!B4</f>
        <v>Principal Financial Group</v>
      </c>
      <c r="B1" s="473"/>
      <c r="C1" s="474"/>
      <c r="D1" s="473"/>
      <c r="E1" s="474"/>
      <c r="F1" s="473"/>
      <c r="G1" s="474"/>
      <c r="H1" s="473"/>
      <c r="I1" s="474"/>
      <c r="J1" s="473"/>
      <c r="K1" s="474"/>
      <c r="L1" s="473"/>
      <c r="M1" s="474"/>
      <c r="N1" s="473"/>
      <c r="O1" s="474"/>
      <c r="P1" s="473"/>
      <c r="Q1" s="474"/>
      <c r="R1" s="473"/>
      <c r="S1" s="474"/>
      <c r="T1" s="473"/>
      <c r="U1" s="474"/>
      <c r="V1" s="473"/>
      <c r="W1" s="474"/>
      <c r="X1" s="473"/>
      <c r="Y1" s="474"/>
      <c r="Z1" s="473"/>
      <c r="AA1" s="474"/>
      <c r="AB1" s="473"/>
      <c r="AC1" s="474"/>
      <c r="AD1" s="473"/>
      <c r="AE1" s="474"/>
      <c r="AF1" s="473"/>
      <c r="AG1" s="474"/>
      <c r="AH1" s="473"/>
      <c r="AI1" s="474"/>
      <c r="AJ1" s="473"/>
      <c r="AK1" s="474"/>
      <c r="AL1" s="473"/>
      <c r="AM1" s="474"/>
      <c r="AN1" s="473"/>
      <c r="AO1" s="474"/>
      <c r="AP1" s="473"/>
      <c r="AQ1" s="474"/>
      <c r="AR1" s="473"/>
      <c r="AS1" s="474"/>
      <c r="AT1" s="473"/>
      <c r="AU1" s="474"/>
      <c r="AV1" s="473"/>
      <c r="AW1" s="474"/>
      <c r="AX1" s="474"/>
      <c r="AY1" s="473"/>
      <c r="AZ1" s="474"/>
      <c r="BA1" s="473"/>
      <c r="BB1" s="474"/>
      <c r="BC1" s="473"/>
      <c r="BD1" s="474"/>
      <c r="BE1" s="473"/>
      <c r="BF1" s="474"/>
      <c r="BG1" s="473"/>
      <c r="BH1" s="474"/>
      <c r="BI1" s="473"/>
      <c r="BJ1" s="474"/>
      <c r="BK1" s="473"/>
      <c r="BL1" s="474"/>
      <c r="BM1" s="473"/>
      <c r="BN1" s="474"/>
      <c r="BO1" s="473"/>
      <c r="BP1" s="474"/>
      <c r="BQ1" s="473"/>
      <c r="BR1" s="474"/>
      <c r="BS1" s="473"/>
      <c r="BT1" s="474"/>
      <c r="BU1" s="473"/>
      <c r="BV1" s="474"/>
      <c r="BW1" s="473"/>
      <c r="BX1" s="474"/>
      <c r="BY1" s="473"/>
      <c r="BZ1" s="474"/>
      <c r="CA1" s="473"/>
      <c r="CB1" s="474"/>
      <c r="CC1" s="473"/>
      <c r="CD1" s="474"/>
      <c r="CE1" s="473"/>
      <c r="CF1" s="474"/>
      <c r="CG1" s="473"/>
      <c r="CH1" s="474"/>
      <c r="CI1" s="473"/>
      <c r="CJ1" s="474"/>
      <c r="CK1" s="473"/>
      <c r="CL1" s="474"/>
      <c r="CM1" s="474"/>
    </row>
    <row r="2" spans="1:91" s="475" customFormat="1" ht="12" customHeight="1" x14ac:dyDescent="0.2">
      <c r="A2" s="476" t="s">
        <v>402</v>
      </c>
      <c r="B2" s="477"/>
      <c r="C2" s="478"/>
      <c r="D2" s="477"/>
      <c r="E2" s="478"/>
      <c r="F2" s="477"/>
      <c r="G2" s="478"/>
      <c r="H2" s="477"/>
      <c r="I2" s="478"/>
      <c r="J2" s="477"/>
      <c r="K2" s="478"/>
      <c r="L2" s="477"/>
      <c r="M2" s="478"/>
      <c r="N2" s="477"/>
      <c r="O2" s="478"/>
      <c r="P2" s="477"/>
      <c r="Q2" s="478"/>
      <c r="R2" s="477"/>
      <c r="S2" s="478"/>
      <c r="T2" s="477"/>
      <c r="U2" s="478"/>
      <c r="V2" s="477"/>
      <c r="W2" s="478"/>
      <c r="X2" s="477"/>
      <c r="Y2" s="478"/>
      <c r="Z2" s="477"/>
      <c r="AA2" s="478"/>
      <c r="AB2" s="477"/>
      <c r="AC2" s="478"/>
      <c r="AD2" s="477"/>
      <c r="AE2" s="478"/>
      <c r="AF2" s="477"/>
      <c r="AG2" s="478"/>
      <c r="AH2" s="477"/>
      <c r="AI2" s="478"/>
      <c r="AJ2" s="477"/>
      <c r="AK2" s="478"/>
      <c r="AL2" s="477"/>
      <c r="AM2" s="478"/>
      <c r="AN2" s="477"/>
      <c r="AO2" s="478"/>
      <c r="AP2" s="477"/>
      <c r="AQ2" s="478"/>
      <c r="AR2" s="477"/>
      <c r="AS2" s="478"/>
      <c r="AT2" s="477"/>
      <c r="AU2" s="478"/>
      <c r="AV2" s="477"/>
      <c r="AW2" s="478"/>
      <c r="AX2" s="478"/>
      <c r="AY2" s="477"/>
      <c r="AZ2" s="478"/>
      <c r="BA2" s="477"/>
      <c r="BB2" s="478"/>
      <c r="BC2" s="477"/>
      <c r="BD2" s="478"/>
      <c r="BE2" s="477"/>
      <c r="BF2" s="478"/>
      <c r="BG2" s="477"/>
      <c r="BH2" s="478"/>
      <c r="BI2" s="477"/>
      <c r="BJ2" s="478"/>
      <c r="BK2" s="477"/>
      <c r="BL2" s="478"/>
      <c r="BM2" s="477"/>
      <c r="BN2" s="478"/>
      <c r="BO2" s="477"/>
      <c r="BP2" s="478"/>
      <c r="BQ2" s="477"/>
      <c r="BR2" s="478"/>
      <c r="BS2" s="477"/>
      <c r="BT2" s="478"/>
      <c r="BU2" s="477"/>
      <c r="BV2" s="478"/>
      <c r="BW2" s="477"/>
      <c r="BX2" s="478"/>
      <c r="BY2" s="477"/>
      <c r="BZ2" s="478"/>
      <c r="CA2" s="477"/>
      <c r="CB2" s="478"/>
      <c r="CC2" s="477"/>
      <c r="CD2" s="478"/>
      <c r="CE2" s="477"/>
      <c r="CF2" s="478"/>
      <c r="CG2" s="477"/>
      <c r="CH2" s="478"/>
      <c r="CI2" s="477"/>
      <c r="CJ2" s="478"/>
      <c r="CK2" s="477"/>
      <c r="CL2" s="478"/>
      <c r="CM2" s="478"/>
    </row>
    <row r="3" spans="1:91" s="480" customFormat="1" ht="12" customHeight="1" x14ac:dyDescent="0.2">
      <c r="A3" s="861" t="s">
        <v>243</v>
      </c>
      <c r="B3" s="862"/>
      <c r="C3" s="863" t="str">
        <f>INPUT!D$4</f>
        <v>1Q13/</v>
      </c>
      <c r="D3" s="862"/>
      <c r="E3" s="863" t="str">
        <f>INPUT!F$4</f>
        <v>2Q13/</v>
      </c>
      <c r="F3" s="862"/>
      <c r="G3" s="863" t="str">
        <f>INPUT!H$4</f>
        <v>3Q13/</v>
      </c>
      <c r="H3" s="862"/>
      <c r="I3" s="863" t="str">
        <f>INPUT!J$4</f>
        <v>4Q13/</v>
      </c>
      <c r="J3" s="862"/>
      <c r="K3" s="863" t="str">
        <f>INPUT!L$4</f>
        <v>1Q14/</v>
      </c>
      <c r="L3" s="862"/>
      <c r="M3" s="863" t="str">
        <f>INPUT!N$4</f>
        <v>2Q14/</v>
      </c>
      <c r="N3" s="862"/>
      <c r="O3" s="863" t="str">
        <f>INPUT!P$4</f>
        <v>3Q14/</v>
      </c>
      <c r="P3" s="862"/>
      <c r="Q3" s="863" t="str">
        <f>INPUT!R$4</f>
        <v>4Q14/</v>
      </c>
      <c r="R3" s="862"/>
      <c r="S3" s="863" t="str">
        <f>INPUT!T$4</f>
        <v>1Q15/</v>
      </c>
      <c r="T3" s="862"/>
      <c r="U3" s="863" t="str">
        <f>INPUT!V$4</f>
        <v>2Q15/</v>
      </c>
      <c r="V3" s="862"/>
      <c r="W3" s="863" t="str">
        <f>INPUT!X$4</f>
        <v>3Q15/</v>
      </c>
      <c r="X3" s="862"/>
      <c r="Y3" s="863" t="str">
        <f>INPUT!Z$4</f>
        <v>4Q15/</v>
      </c>
      <c r="Z3" s="862"/>
      <c r="AA3" s="863" t="str">
        <f>INPUT!AB$4</f>
        <v>1Q16/</v>
      </c>
      <c r="AB3" s="862"/>
      <c r="AC3" s="863" t="str">
        <f>INPUT!AD$4</f>
        <v>2Q16/</v>
      </c>
      <c r="AD3" s="862"/>
      <c r="AE3" s="863" t="str">
        <f>INPUT!AF$4</f>
        <v>3Q16/</v>
      </c>
      <c r="AF3" s="862"/>
      <c r="AG3" s="863" t="str">
        <f>INPUT!AH$4</f>
        <v>4Q16/</v>
      </c>
      <c r="AH3" s="862"/>
      <c r="AI3" s="863" t="str">
        <f>INPUT!AJ$4</f>
        <v>1Q17/</v>
      </c>
      <c r="AJ3" s="862"/>
      <c r="AK3" s="863" t="str">
        <f>INPUT!AL$4</f>
        <v>2Q17/</v>
      </c>
      <c r="AL3" s="862"/>
      <c r="AM3" s="863" t="str">
        <f>INPUT!AN$4</f>
        <v>3Q17/</v>
      </c>
      <c r="AN3" s="862"/>
      <c r="AO3" s="863" t="str">
        <f>INPUT!AP$4</f>
        <v>4Q17/</v>
      </c>
      <c r="AP3" s="862"/>
      <c r="AQ3" s="863" t="str">
        <f>INPUT!AR$4</f>
        <v>1Q18E/</v>
      </c>
      <c r="AR3" s="862"/>
      <c r="AS3" s="863" t="str">
        <f>INPUT!AT$4</f>
        <v>2Q18E/</v>
      </c>
      <c r="AT3" s="862"/>
      <c r="AU3" s="863" t="str">
        <f>INPUT!AV$4</f>
        <v>3Q18E/</v>
      </c>
      <c r="AV3" s="862"/>
      <c r="AW3" s="863" t="str">
        <f>INPUT!AX$4</f>
        <v>4Q18E/</v>
      </c>
      <c r="AX3" s="862"/>
      <c r="AY3" s="862"/>
      <c r="AZ3" s="863" t="e">
        <f>INPUT!#REF!</f>
        <v>#REF!</v>
      </c>
      <c r="BA3" s="862"/>
      <c r="BB3" s="863" t="e">
        <f>INPUT!#REF!</f>
        <v>#REF!</v>
      </c>
      <c r="BC3" s="862"/>
      <c r="BD3" s="863" t="e">
        <f>INPUT!#REF!</f>
        <v>#REF!</v>
      </c>
      <c r="BE3" s="862"/>
      <c r="BF3" s="863" t="e">
        <f>INPUT!#REF!</f>
        <v>#REF!</v>
      </c>
      <c r="BG3" s="862"/>
      <c r="BH3" s="863" t="e">
        <f>INPUT!#REF!</f>
        <v>#REF!</v>
      </c>
      <c r="BI3" s="862"/>
      <c r="BJ3" s="863" t="e">
        <f>INPUT!#REF!</f>
        <v>#REF!</v>
      </c>
      <c r="BK3" s="862"/>
      <c r="BL3" s="863" t="e">
        <f>INPUT!#REF!</f>
        <v>#REF!</v>
      </c>
      <c r="BM3" s="862"/>
      <c r="BN3" s="863" t="e">
        <f>INPUT!#REF!</f>
        <v>#REF!</v>
      </c>
      <c r="BO3" s="862"/>
      <c r="BP3" s="863" t="e">
        <f>INPUT!#REF!</f>
        <v>#REF!</v>
      </c>
      <c r="BQ3" s="862"/>
      <c r="BR3" s="863" t="e">
        <f>INPUT!BA$4</f>
        <v>#REF!</v>
      </c>
      <c r="BS3" s="862"/>
      <c r="BT3" s="863" t="str">
        <f>INPUT!BC$4</f>
        <v>2013/</v>
      </c>
      <c r="BU3" s="862"/>
      <c r="BV3" s="863" t="str">
        <f>INPUT!BE$4</f>
        <v>2014/</v>
      </c>
      <c r="BW3" s="862"/>
      <c r="BX3" s="863" t="str">
        <f>INPUT!BG$4</f>
        <v>2015/</v>
      </c>
      <c r="BY3" s="862"/>
      <c r="BZ3" s="863" t="str">
        <f>INPUT!BI$4</f>
        <v>2016/</v>
      </c>
      <c r="CA3" s="862"/>
      <c r="CB3" s="863" t="str">
        <f>INPUT!BK$4</f>
        <v>2017/</v>
      </c>
      <c r="CC3" s="862"/>
      <c r="CD3" s="863" t="str">
        <f>INPUT!BM$4</f>
        <v>2018E/</v>
      </c>
      <c r="CE3" s="862"/>
      <c r="CF3" s="863" t="str">
        <f>INPUT!BO$4</f>
        <v>2019E/</v>
      </c>
      <c r="CG3" s="862"/>
      <c r="CH3" s="863" t="str">
        <f>INPUT!BQ$4</f>
        <v>2020E/</v>
      </c>
      <c r="CI3" s="862"/>
      <c r="CJ3" s="863" t="str">
        <f>INPUT!BS$4</f>
        <v>2021E/</v>
      </c>
      <c r="CK3" s="862"/>
      <c r="CL3" s="863" t="str">
        <f>INPUT!BU$4</f>
        <v>2022E/</v>
      </c>
      <c r="CM3" s="864" t="str">
        <f>INPUT!BV$4</f>
        <v>5-Yr</v>
      </c>
    </row>
    <row r="4" spans="1:91" s="480" customFormat="1" ht="12" customHeight="1" x14ac:dyDescent="0.2">
      <c r="A4" s="865"/>
      <c r="B4" s="479"/>
      <c r="C4" s="478">
        <f>INPUT!D$5</f>
        <v>0</v>
      </c>
      <c r="D4" s="479"/>
      <c r="E4" s="478">
        <f>INPUT!F$5</f>
        <v>0</v>
      </c>
      <c r="F4" s="479"/>
      <c r="G4" s="478">
        <f>INPUT!H$5</f>
        <v>0</v>
      </c>
      <c r="H4" s="479"/>
      <c r="I4" s="478">
        <f>INPUT!J$5</f>
        <v>0</v>
      </c>
      <c r="J4" s="479"/>
      <c r="K4" s="478" t="str">
        <f>INPUT!L$5</f>
        <v>1Q13</v>
      </c>
      <c r="L4" s="479"/>
      <c r="M4" s="478" t="str">
        <f>INPUT!N$5</f>
        <v>2Q13</v>
      </c>
      <c r="N4" s="479"/>
      <c r="O4" s="478" t="str">
        <f>INPUT!P$5</f>
        <v>3Q13</v>
      </c>
      <c r="P4" s="479"/>
      <c r="Q4" s="478" t="str">
        <f>INPUT!R$5</f>
        <v>4Q13</v>
      </c>
      <c r="R4" s="479"/>
      <c r="S4" s="478" t="str">
        <f>INPUT!T$5</f>
        <v>1Q14</v>
      </c>
      <c r="T4" s="479"/>
      <c r="U4" s="478" t="str">
        <f>INPUT!V$5</f>
        <v>2Q14</v>
      </c>
      <c r="V4" s="479"/>
      <c r="W4" s="478" t="str">
        <f>INPUT!X$5</f>
        <v>3Q14</v>
      </c>
      <c r="X4" s="479"/>
      <c r="Y4" s="478" t="str">
        <f>INPUT!Z$5</f>
        <v>4Q14</v>
      </c>
      <c r="Z4" s="479"/>
      <c r="AA4" s="478" t="str">
        <f>INPUT!AB$5</f>
        <v>1Q15</v>
      </c>
      <c r="AB4" s="479"/>
      <c r="AC4" s="478" t="str">
        <f>INPUT!AD$5</f>
        <v>2Q15</v>
      </c>
      <c r="AD4" s="479"/>
      <c r="AE4" s="478" t="str">
        <f>INPUT!AF$5</f>
        <v>3Q15</v>
      </c>
      <c r="AF4" s="479"/>
      <c r="AG4" s="478" t="str">
        <f>INPUT!AH$5</f>
        <v>4Q15</v>
      </c>
      <c r="AH4" s="479"/>
      <c r="AI4" s="478" t="str">
        <f>INPUT!AJ$5</f>
        <v>1Q16</v>
      </c>
      <c r="AJ4" s="479"/>
      <c r="AK4" s="478" t="str">
        <f>INPUT!AL$5</f>
        <v>2Q16</v>
      </c>
      <c r="AL4" s="479"/>
      <c r="AM4" s="478" t="str">
        <f>INPUT!AN$5</f>
        <v>3Q16</v>
      </c>
      <c r="AN4" s="479"/>
      <c r="AO4" s="478" t="str">
        <f>INPUT!AP$5</f>
        <v>4Q16</v>
      </c>
      <c r="AP4" s="479"/>
      <c r="AQ4" s="478" t="str">
        <f>INPUT!AR$5</f>
        <v>1Q17</v>
      </c>
      <c r="AR4" s="479"/>
      <c r="AS4" s="478" t="str">
        <f>INPUT!AT$5</f>
        <v>2Q17</v>
      </c>
      <c r="AT4" s="479"/>
      <c r="AU4" s="478" t="str">
        <f>INPUT!AV$5</f>
        <v>3Q17</v>
      </c>
      <c r="AV4" s="479"/>
      <c r="AW4" s="478" t="str">
        <f>INPUT!AX$5</f>
        <v>4Q17</v>
      </c>
      <c r="AX4" s="479"/>
      <c r="AY4" s="479"/>
      <c r="AZ4" s="478" t="e">
        <f>INPUT!#REF!</f>
        <v>#REF!</v>
      </c>
      <c r="BA4" s="482"/>
      <c r="BB4" s="478" t="e">
        <f>INPUT!#REF!</f>
        <v>#REF!</v>
      </c>
      <c r="BC4" s="479"/>
      <c r="BD4" s="478" t="e">
        <f>INPUT!#REF!</f>
        <v>#REF!</v>
      </c>
      <c r="BE4" s="479"/>
      <c r="BF4" s="478" t="e">
        <f>INPUT!#REF!</f>
        <v>#REF!</v>
      </c>
      <c r="BG4" s="479"/>
      <c r="BH4" s="478" t="e">
        <f>INPUT!#REF!</f>
        <v>#REF!</v>
      </c>
      <c r="BI4" s="479"/>
      <c r="BJ4" s="478" t="e">
        <f>INPUT!#REF!</f>
        <v>#REF!</v>
      </c>
      <c r="BK4" s="479"/>
      <c r="BL4" s="478" t="e">
        <f>INPUT!#REF!</f>
        <v>#REF!</v>
      </c>
      <c r="BM4" s="479"/>
      <c r="BN4" s="478" t="e">
        <f>INPUT!#REF!</f>
        <v>#REF!</v>
      </c>
      <c r="BO4" s="479"/>
      <c r="BP4" s="478" t="e">
        <f>INPUT!#REF!</f>
        <v>#REF!</v>
      </c>
      <c r="BQ4" s="479"/>
      <c r="BR4" s="478" t="e">
        <f>INPUT!BA$5</f>
        <v>#REF!</v>
      </c>
      <c r="BS4" s="479"/>
      <c r="BT4" s="478">
        <f>INPUT!BC$5</f>
        <v>0</v>
      </c>
      <c r="BU4" s="479"/>
      <c r="BV4" s="478" t="str">
        <f>INPUT!BE$5</f>
        <v>2013</v>
      </c>
      <c r="BW4" s="479"/>
      <c r="BX4" s="478" t="str">
        <f>INPUT!BG$5</f>
        <v>2014</v>
      </c>
      <c r="BY4" s="479"/>
      <c r="BZ4" s="478" t="str">
        <f>INPUT!BI$5</f>
        <v>2015</v>
      </c>
      <c r="CA4" s="479"/>
      <c r="CB4" s="478" t="str">
        <f>INPUT!BK$5</f>
        <v>2016</v>
      </c>
      <c r="CC4" s="479"/>
      <c r="CD4" s="478" t="str">
        <f>INPUT!BM$5</f>
        <v>2017</v>
      </c>
      <c r="CE4" s="479"/>
      <c r="CF4" s="478" t="str">
        <f>INPUT!BO$5</f>
        <v>2018E</v>
      </c>
      <c r="CG4" s="479"/>
      <c r="CH4" s="478" t="str">
        <f>INPUT!BQ$5</f>
        <v>2019E</v>
      </c>
      <c r="CI4" s="479"/>
      <c r="CJ4" s="478" t="str">
        <f>INPUT!BS$5</f>
        <v>2020E</v>
      </c>
      <c r="CK4" s="479"/>
      <c r="CL4" s="478" t="str">
        <f>INPUT!BU$5</f>
        <v>2021E</v>
      </c>
      <c r="CM4" s="866" t="str">
        <f>INPUT!BV$5</f>
        <v>CAGR</v>
      </c>
    </row>
    <row r="5" spans="1:91" s="480" customFormat="1" ht="12" customHeight="1" x14ac:dyDescent="0.2">
      <c r="A5" s="867"/>
      <c r="B5" s="484" t="str">
        <f>INPUT!C$6</f>
        <v>1Q13</v>
      </c>
      <c r="C5" s="485" t="str">
        <f>INPUT!D$6</f>
        <v>% Chg</v>
      </c>
      <c r="D5" s="484" t="str">
        <f>INPUT!E$6</f>
        <v>2Q13</v>
      </c>
      <c r="E5" s="485" t="str">
        <f>INPUT!F$6</f>
        <v>% Chg</v>
      </c>
      <c r="F5" s="484" t="str">
        <f>INPUT!G$6</f>
        <v>3Q13</v>
      </c>
      <c r="G5" s="485" t="str">
        <f>INPUT!H$6</f>
        <v>% Chg</v>
      </c>
      <c r="H5" s="484" t="str">
        <f>INPUT!I$6</f>
        <v>4Q13</v>
      </c>
      <c r="I5" s="485" t="str">
        <f>INPUT!J$6</f>
        <v>% Chg</v>
      </c>
      <c r="J5" s="484" t="str">
        <f>INPUT!K$6</f>
        <v>1Q14</v>
      </c>
      <c r="K5" s="485" t="str">
        <f>INPUT!L$6</f>
        <v>% Chg</v>
      </c>
      <c r="L5" s="484" t="str">
        <f>INPUT!M$6</f>
        <v>2Q14</v>
      </c>
      <c r="M5" s="485" t="str">
        <f>INPUT!N$6</f>
        <v>% Chg</v>
      </c>
      <c r="N5" s="484" t="str">
        <f>INPUT!O$6</f>
        <v>3Q14</v>
      </c>
      <c r="O5" s="485" t="str">
        <f>INPUT!P$6</f>
        <v>% Chg</v>
      </c>
      <c r="P5" s="484" t="str">
        <f>INPUT!Q$6</f>
        <v>4Q14</v>
      </c>
      <c r="Q5" s="485" t="str">
        <f>INPUT!R$6</f>
        <v>% Chg</v>
      </c>
      <c r="R5" s="484" t="str">
        <f>INPUT!S$6</f>
        <v>1Q15</v>
      </c>
      <c r="S5" s="485" t="str">
        <f>INPUT!T$6</f>
        <v>% Chg</v>
      </c>
      <c r="T5" s="484" t="str">
        <f>INPUT!U$6</f>
        <v>2Q15</v>
      </c>
      <c r="U5" s="485" t="str">
        <f>INPUT!V$6</f>
        <v>% Chg</v>
      </c>
      <c r="V5" s="484" t="str">
        <f>INPUT!W$6</f>
        <v>3Q15</v>
      </c>
      <c r="W5" s="485" t="str">
        <f>INPUT!X$6</f>
        <v>% Chg</v>
      </c>
      <c r="X5" s="484" t="str">
        <f>INPUT!Y$6</f>
        <v>4Q15</v>
      </c>
      <c r="Y5" s="485" t="str">
        <f>INPUT!Z$6</f>
        <v>% Chg</v>
      </c>
      <c r="Z5" s="484" t="str">
        <f>INPUT!AA$6</f>
        <v>1Q16</v>
      </c>
      <c r="AA5" s="485" t="str">
        <f>INPUT!AB$6</f>
        <v>% Chg</v>
      </c>
      <c r="AB5" s="484" t="str">
        <f>INPUT!AC$6</f>
        <v>2Q16</v>
      </c>
      <c r="AC5" s="485" t="str">
        <f>INPUT!AD$6</f>
        <v>% Chg</v>
      </c>
      <c r="AD5" s="484" t="str">
        <f>INPUT!AE$6</f>
        <v>3Q16</v>
      </c>
      <c r="AE5" s="485" t="str">
        <f>INPUT!AF$6</f>
        <v>% Chg</v>
      </c>
      <c r="AF5" s="484" t="str">
        <f>INPUT!AG$6</f>
        <v>4Q16</v>
      </c>
      <c r="AG5" s="485" t="str">
        <f>INPUT!AH$6</f>
        <v>% Chg</v>
      </c>
      <c r="AH5" s="484" t="str">
        <f>INPUT!AI$6</f>
        <v>1Q17</v>
      </c>
      <c r="AI5" s="485" t="str">
        <f>INPUT!AJ$6</f>
        <v>% Chg</v>
      </c>
      <c r="AJ5" s="484" t="str">
        <f>INPUT!AK$6</f>
        <v>2Q17</v>
      </c>
      <c r="AK5" s="485" t="str">
        <f>INPUT!AL$6</f>
        <v>% Chg</v>
      </c>
      <c r="AL5" s="484" t="str">
        <f>INPUT!AM$6</f>
        <v>3Q17</v>
      </c>
      <c r="AM5" s="485" t="str">
        <f>INPUT!AN$6</f>
        <v>% Chg</v>
      </c>
      <c r="AN5" s="484" t="str">
        <f>INPUT!AO$6</f>
        <v>4Q17</v>
      </c>
      <c r="AO5" s="485" t="str">
        <f>INPUT!AP$6</f>
        <v>% Chg</v>
      </c>
      <c r="AP5" s="484" t="str">
        <f>INPUT!AQ$6</f>
        <v>1Q18E</v>
      </c>
      <c r="AQ5" s="485" t="str">
        <f>INPUT!AR$6</f>
        <v>% Chg</v>
      </c>
      <c r="AR5" s="484" t="str">
        <f>INPUT!AS$6</f>
        <v>2Q18E</v>
      </c>
      <c r="AS5" s="485" t="str">
        <f>INPUT!AT$6</f>
        <v>% Chg</v>
      </c>
      <c r="AT5" s="484" t="str">
        <f>INPUT!AU$6</f>
        <v>3Q18E</v>
      </c>
      <c r="AU5" s="485" t="str">
        <f>INPUT!AV$6</f>
        <v>% Chg</v>
      </c>
      <c r="AV5" s="484" t="str">
        <f>INPUT!AW$6</f>
        <v>4Q18E</v>
      </c>
      <c r="AW5" s="485" t="str">
        <f>INPUT!AX$6</f>
        <v>% Chg</v>
      </c>
      <c r="AX5" s="484"/>
      <c r="AY5" s="486" t="e">
        <f>INPUT!#REF!</f>
        <v>#REF!</v>
      </c>
      <c r="AZ5" s="485" t="e">
        <f>INPUT!#REF!</f>
        <v>#REF!</v>
      </c>
      <c r="BA5" s="486" t="e">
        <f>INPUT!#REF!</f>
        <v>#REF!</v>
      </c>
      <c r="BB5" s="485" t="e">
        <f>INPUT!#REF!</f>
        <v>#REF!</v>
      </c>
      <c r="BC5" s="486" t="e">
        <f>INPUT!#REF!</f>
        <v>#REF!</v>
      </c>
      <c r="BD5" s="485" t="e">
        <f>INPUT!#REF!</f>
        <v>#REF!</v>
      </c>
      <c r="BE5" s="487" t="e">
        <f>INPUT!#REF!</f>
        <v>#REF!</v>
      </c>
      <c r="BF5" s="485" t="e">
        <f>INPUT!#REF!</f>
        <v>#REF!</v>
      </c>
      <c r="BG5" s="487" t="e">
        <f>INPUT!#REF!</f>
        <v>#REF!</v>
      </c>
      <c r="BH5" s="485" t="e">
        <f>INPUT!#REF!</f>
        <v>#REF!</v>
      </c>
      <c r="BI5" s="487" t="e">
        <f>INPUT!#REF!</f>
        <v>#REF!</v>
      </c>
      <c r="BJ5" s="485" t="e">
        <f>INPUT!#REF!</f>
        <v>#REF!</v>
      </c>
      <c r="BK5" s="487" t="e">
        <f>INPUT!#REF!</f>
        <v>#REF!</v>
      </c>
      <c r="BL5" s="485" t="e">
        <f>INPUT!#REF!</f>
        <v>#REF!</v>
      </c>
      <c r="BM5" s="484" t="e">
        <f>INPUT!#REF!</f>
        <v>#REF!</v>
      </c>
      <c r="BN5" s="485" t="e">
        <f>INPUT!#REF!</f>
        <v>#REF!</v>
      </c>
      <c r="BO5" s="484" t="e">
        <f>INPUT!#REF!</f>
        <v>#REF!</v>
      </c>
      <c r="BP5" s="485" t="e">
        <f>INPUT!#REF!</f>
        <v>#REF!</v>
      </c>
      <c r="BQ5" s="484" t="e">
        <f>INPUT!#REF!</f>
        <v>#REF!</v>
      </c>
      <c r="BR5" s="485" t="str">
        <f>INPUT!BA$6</f>
        <v>% Chg</v>
      </c>
      <c r="BS5" s="484" t="str">
        <f>INPUT!BB$6</f>
        <v>2013</v>
      </c>
      <c r="BT5" s="485" t="str">
        <f>INPUT!BC$6</f>
        <v>% Chg</v>
      </c>
      <c r="BU5" s="484" t="str">
        <f>INPUT!BD$6</f>
        <v>2014</v>
      </c>
      <c r="BV5" s="485" t="str">
        <f>INPUT!BE$6</f>
        <v>% Chg</v>
      </c>
      <c r="BW5" s="484" t="str">
        <f>INPUT!BF$6</f>
        <v>2015</v>
      </c>
      <c r="BX5" s="485" t="str">
        <f>INPUT!BG$6</f>
        <v>% Chg</v>
      </c>
      <c r="BY5" s="484" t="str">
        <f>INPUT!BH$6</f>
        <v>2016</v>
      </c>
      <c r="BZ5" s="485" t="str">
        <f>INPUT!BI$6</f>
        <v>% Chg</v>
      </c>
      <c r="CA5" s="484" t="str">
        <f>INPUT!BJ$6</f>
        <v>2017</v>
      </c>
      <c r="CB5" s="485" t="str">
        <f>INPUT!BK$6</f>
        <v>% Chg</v>
      </c>
      <c r="CC5" s="484" t="str">
        <f>INPUT!BL$6</f>
        <v>2018E</v>
      </c>
      <c r="CD5" s="485" t="str">
        <f>INPUT!BM$6</f>
        <v>% Chg</v>
      </c>
      <c r="CE5" s="484" t="str">
        <f>INPUT!BN$6</f>
        <v>2019E</v>
      </c>
      <c r="CF5" s="485" t="str">
        <f>INPUT!BO$6</f>
        <v>% Chg</v>
      </c>
      <c r="CG5" s="484" t="str">
        <f>INPUT!BP$6</f>
        <v>2020E</v>
      </c>
      <c r="CH5" s="485" t="str">
        <f>INPUT!BQ$6</f>
        <v>% Chg</v>
      </c>
      <c r="CI5" s="484" t="str">
        <f>INPUT!BR$6</f>
        <v>2021E</v>
      </c>
      <c r="CJ5" s="485" t="str">
        <f>INPUT!BS$6</f>
        <v>% Chg</v>
      </c>
      <c r="CK5" s="484" t="str">
        <f>INPUT!BT$6</f>
        <v>2022E</v>
      </c>
      <c r="CL5" s="485" t="str">
        <f>INPUT!BU$6</f>
        <v>% Chg</v>
      </c>
      <c r="CM5" s="868" t="str">
        <f>INPUT!BV$6</f>
        <v>(%)</v>
      </c>
    </row>
    <row r="6" spans="1:91" s="480" customFormat="1" ht="12" customHeight="1" x14ac:dyDescent="0.2">
      <c r="A6" s="865"/>
      <c r="B6" s="479"/>
      <c r="C6" s="478"/>
      <c r="D6" s="479"/>
      <c r="E6" s="478"/>
      <c r="F6" s="479"/>
      <c r="G6" s="478"/>
      <c r="H6" s="479"/>
      <c r="I6" s="478"/>
      <c r="J6" s="479"/>
      <c r="K6" s="478"/>
      <c r="L6" s="479"/>
      <c r="M6" s="478"/>
      <c r="N6" s="479"/>
      <c r="O6" s="478"/>
      <c r="P6" s="479"/>
      <c r="Q6" s="478"/>
      <c r="R6" s="479"/>
      <c r="S6" s="478"/>
      <c r="T6" s="479"/>
      <c r="U6" s="478"/>
      <c r="V6" s="479"/>
      <c r="W6" s="478"/>
      <c r="X6" s="479"/>
      <c r="Y6" s="478"/>
      <c r="Z6" s="479"/>
      <c r="AA6" s="478"/>
      <c r="AB6" s="479"/>
      <c r="AC6" s="478"/>
      <c r="AD6" s="479"/>
      <c r="AE6" s="478"/>
      <c r="AF6" s="479"/>
      <c r="AG6" s="478"/>
      <c r="AH6" s="479"/>
      <c r="AI6" s="478"/>
      <c r="AJ6" s="479"/>
      <c r="AK6" s="478"/>
      <c r="AL6" s="479"/>
      <c r="AM6" s="478"/>
      <c r="AN6" s="479"/>
      <c r="AO6" s="478"/>
      <c r="AP6" s="479"/>
      <c r="AQ6" s="478"/>
      <c r="AR6" s="479"/>
      <c r="AS6" s="478"/>
      <c r="AT6" s="479"/>
      <c r="AU6" s="478"/>
      <c r="AV6" s="479"/>
      <c r="AW6" s="478"/>
      <c r="AX6" s="479"/>
      <c r="AY6" s="482"/>
      <c r="AZ6" s="478"/>
      <c r="BA6" s="482"/>
      <c r="BB6" s="478"/>
      <c r="BC6" s="482"/>
      <c r="BD6" s="478"/>
      <c r="BE6" s="488"/>
      <c r="BF6" s="478"/>
      <c r="BG6" s="488"/>
      <c r="BH6" s="478"/>
      <c r="BI6" s="488"/>
      <c r="BJ6" s="478"/>
      <c r="BK6" s="488"/>
      <c r="BL6" s="478"/>
      <c r="BM6" s="479"/>
      <c r="BN6" s="478"/>
      <c r="BO6" s="479"/>
      <c r="BP6" s="478"/>
      <c r="BQ6" s="479"/>
      <c r="BR6" s="478"/>
      <c r="BS6" s="479"/>
      <c r="BT6" s="478"/>
      <c r="BU6" s="479"/>
      <c r="BV6" s="478"/>
      <c r="BW6" s="479"/>
      <c r="BX6" s="478"/>
      <c r="BY6" s="479"/>
      <c r="BZ6" s="478"/>
      <c r="CA6" s="479"/>
      <c r="CB6" s="478"/>
      <c r="CC6" s="479"/>
      <c r="CD6" s="478"/>
      <c r="CE6" s="479"/>
      <c r="CF6" s="478"/>
      <c r="CG6" s="479"/>
      <c r="CH6" s="478"/>
      <c r="CI6" s="479"/>
      <c r="CJ6" s="478"/>
      <c r="CK6" s="479"/>
      <c r="CL6" s="478"/>
      <c r="CM6" s="866"/>
    </row>
    <row r="7" spans="1:91" s="475" customFormat="1" ht="12" customHeight="1" x14ac:dyDescent="0.2">
      <c r="A7" s="869" t="str">
        <f>INPUT!B658</f>
        <v>Core Pre-tax Earnings by Segment</v>
      </c>
      <c r="B7" s="479"/>
      <c r="C7" s="478"/>
      <c r="D7" s="479"/>
      <c r="E7" s="478"/>
      <c r="F7" s="479"/>
      <c r="G7" s="478"/>
      <c r="H7" s="479"/>
      <c r="I7" s="478"/>
      <c r="J7" s="479"/>
      <c r="K7" s="478"/>
      <c r="L7" s="479"/>
      <c r="M7" s="478"/>
      <c r="N7" s="479"/>
      <c r="O7" s="478"/>
      <c r="P7" s="479"/>
      <c r="Q7" s="478"/>
      <c r="R7" s="479"/>
      <c r="S7" s="478"/>
      <c r="T7" s="479"/>
      <c r="U7" s="478"/>
      <c r="V7" s="479"/>
      <c r="W7" s="478"/>
      <c r="X7" s="479"/>
      <c r="Y7" s="478"/>
      <c r="Z7" s="479"/>
      <c r="AA7" s="478"/>
      <c r="AB7" s="479"/>
      <c r="AC7" s="478"/>
      <c r="AD7" s="479"/>
      <c r="AE7" s="478"/>
      <c r="AF7" s="479"/>
      <c r="AG7" s="478"/>
      <c r="AH7" s="479"/>
      <c r="AI7" s="478"/>
      <c r="AJ7" s="479"/>
      <c r="AK7" s="478"/>
      <c r="AL7" s="479"/>
      <c r="AM7" s="478"/>
      <c r="AN7" s="479"/>
      <c r="AO7" s="478"/>
      <c r="AP7" s="479"/>
      <c r="AQ7" s="478"/>
      <c r="AR7" s="479"/>
      <c r="AS7" s="478"/>
      <c r="AT7" s="479"/>
      <c r="AU7" s="478"/>
      <c r="AV7" s="479"/>
      <c r="AW7" s="478"/>
      <c r="AX7" s="479"/>
      <c r="AY7" s="479"/>
      <c r="AZ7" s="478"/>
      <c r="BA7" s="479"/>
      <c r="BB7" s="478"/>
      <c r="BC7" s="479"/>
      <c r="BD7" s="478"/>
      <c r="BE7" s="479"/>
      <c r="BF7" s="478"/>
      <c r="BG7" s="479"/>
      <c r="BH7" s="478"/>
      <c r="BI7" s="479"/>
      <c r="BJ7" s="478"/>
      <c r="BK7" s="479"/>
      <c r="BL7" s="478"/>
      <c r="BM7" s="479"/>
      <c r="BN7" s="478"/>
      <c r="BO7" s="479"/>
      <c r="BP7" s="478"/>
      <c r="BQ7" s="479"/>
      <c r="BR7" s="478"/>
      <c r="BS7" s="479"/>
      <c r="BT7" s="478"/>
      <c r="BU7" s="479"/>
      <c r="BV7" s="478"/>
      <c r="BW7" s="479"/>
      <c r="BX7" s="478"/>
      <c r="BY7" s="479"/>
      <c r="BZ7" s="478"/>
      <c r="CA7" s="479"/>
      <c r="CB7" s="478"/>
      <c r="CC7" s="479"/>
      <c r="CD7" s="478"/>
      <c r="CE7" s="479"/>
      <c r="CF7" s="478"/>
      <c r="CG7" s="479"/>
      <c r="CH7" s="478"/>
      <c r="CI7" s="479"/>
      <c r="CJ7" s="478"/>
      <c r="CK7" s="479"/>
      <c r="CL7" s="478"/>
      <c r="CM7" s="866"/>
    </row>
    <row r="8" spans="1:91" s="475" customFormat="1" ht="12" customHeight="1" x14ac:dyDescent="0.2">
      <c r="A8" s="870" t="s">
        <v>585</v>
      </c>
      <c r="B8" s="803">
        <f>INPUT!C660</f>
        <v>92.992307692307705</v>
      </c>
      <c r="C8" s="491" t="str">
        <f>INPUT!D660</f>
        <v>NA</v>
      </c>
      <c r="D8" s="803">
        <f>INPUT!E660</f>
        <v>119.79999999999995</v>
      </c>
      <c r="E8" s="491" t="str">
        <f>INPUT!F660</f>
        <v>NA</v>
      </c>
      <c r="F8" s="803">
        <f>INPUT!G660</f>
        <v>102.90000000000003</v>
      </c>
      <c r="G8" s="491" t="str">
        <f>INPUT!H660</f>
        <v>NA</v>
      </c>
      <c r="H8" s="803">
        <f>INPUT!I660</f>
        <v>118.38461538461539</v>
      </c>
      <c r="I8" s="491" t="str">
        <f>INPUT!J660</f>
        <v>NA</v>
      </c>
      <c r="J8" s="803">
        <f>INPUT!K660</f>
        <v>117.92307692307686</v>
      </c>
      <c r="K8" s="491">
        <f>INPUT!L660</f>
        <v>26.809496236247753</v>
      </c>
      <c r="L8" s="803">
        <f>INPUT!M660</f>
        <v>144.06923076923078</v>
      </c>
      <c r="M8" s="491">
        <f>INPUT!N660</f>
        <v>20.258122511878838</v>
      </c>
      <c r="N8" s="803">
        <f>INPUT!O660</f>
        <v>145.5</v>
      </c>
      <c r="O8" s="491">
        <f>INPUT!P660</f>
        <v>41.399416909620953</v>
      </c>
      <c r="P8" s="803">
        <f>INPUT!Q660</f>
        <v>138.69999999999999</v>
      </c>
      <c r="Q8" s="491">
        <f>INPUT!R660</f>
        <v>17.160493827160479</v>
      </c>
      <c r="R8" s="803">
        <f>INPUT!S660</f>
        <v>132.56923076923078</v>
      </c>
      <c r="S8" s="491">
        <f>INPUT!T660</f>
        <v>12.420091324200982</v>
      </c>
      <c r="T8" s="803">
        <f>INPUT!U660</f>
        <v>138.78461538461536</v>
      </c>
      <c r="U8" s="491">
        <f>INPUT!V660</f>
        <v>-3.6681082812750532</v>
      </c>
      <c r="V8" s="803">
        <f>INPUT!W660</f>
        <v>129.13846153846151</v>
      </c>
      <c r="W8" s="491">
        <f>INPUT!X660</f>
        <v>-11.245043616177654</v>
      </c>
      <c r="X8" s="803">
        <f>INPUT!Y660</f>
        <v>124.69999999999999</v>
      </c>
      <c r="Y8" s="491">
        <f>INPUT!Z660</f>
        <v>-10.093727469358328</v>
      </c>
      <c r="Z8" s="803">
        <f>INPUT!AA660</f>
        <v>114</v>
      </c>
      <c r="AA8" s="491">
        <f>INPUT!AB660</f>
        <v>-14.007195079494039</v>
      </c>
      <c r="AB8" s="803">
        <f>INPUT!AC660</f>
        <v>124.5</v>
      </c>
      <c r="AC8" s="491">
        <f>INPUT!AD660</f>
        <v>-10.29265048220816</v>
      </c>
      <c r="AD8" s="803">
        <f>INPUT!AE660</f>
        <v>145.29999999999998</v>
      </c>
      <c r="AE8" s="491">
        <f>INPUT!AF660</f>
        <v>12.514891589230402</v>
      </c>
      <c r="AF8" s="803">
        <f>INPUT!AG660</f>
        <v>124.00000000000006</v>
      </c>
      <c r="AG8" s="491">
        <f>INPUT!AH660</f>
        <v>-0.56134723336001002</v>
      </c>
      <c r="AH8" s="803">
        <f>INPUT!AI660</f>
        <v>138.69999999999999</v>
      </c>
      <c r="AI8" s="491">
        <f>INPUT!AJ660</f>
        <v>21.666666666666657</v>
      </c>
      <c r="AJ8" s="803">
        <f>INPUT!AK660</f>
        <v>147.5</v>
      </c>
      <c r="AK8" s="491">
        <f>INPUT!AL660</f>
        <v>18.47389558232932</v>
      </c>
      <c r="AL8" s="803">
        <f>INPUT!AM660</f>
        <v>149</v>
      </c>
      <c r="AM8" s="491">
        <f>INPUT!AN660</f>
        <v>2.54645560908466</v>
      </c>
      <c r="AN8" s="803">
        <f>INPUT!AO660</f>
        <v>126.60000000000002</v>
      </c>
      <c r="AO8" s="491">
        <f>INPUT!AP660</f>
        <v>2.0967741935483701</v>
      </c>
      <c r="AP8" s="803">
        <f>INPUT!AQ660</f>
        <v>142.05612240496151</v>
      </c>
      <c r="AQ8" s="491">
        <f>INPUT!AR660</f>
        <v>2.4196989221063632</v>
      </c>
      <c r="AR8" s="803">
        <f>INPUT!AS660</f>
        <v>142.19182518538878</v>
      </c>
      <c r="AS8" s="491">
        <f>INPUT!AT660</f>
        <v>-3.5987625861771022</v>
      </c>
      <c r="AT8" s="803">
        <f>INPUT!AU660</f>
        <v>143.63086237263838</v>
      </c>
      <c r="AU8" s="491">
        <f>INPUT!AV660</f>
        <v>-3.603448072054789</v>
      </c>
      <c r="AV8" s="803">
        <f>INPUT!AW660</f>
        <v>153.34038105962878</v>
      </c>
      <c r="AW8" s="491">
        <f>INPUT!AX660</f>
        <v>21.121943964951612</v>
      </c>
      <c r="AX8" s="490"/>
      <c r="AY8" s="490"/>
      <c r="AZ8" s="491"/>
      <c r="BA8" s="490"/>
      <c r="BB8" s="491"/>
      <c r="BC8" s="490"/>
      <c r="BD8" s="491"/>
      <c r="BE8" s="490"/>
      <c r="BF8" s="478"/>
      <c r="BG8" s="490"/>
      <c r="BH8" s="478"/>
      <c r="BI8" s="490"/>
      <c r="BJ8" s="478"/>
      <c r="BK8" s="490"/>
      <c r="BL8" s="478"/>
      <c r="BM8" s="490"/>
      <c r="BN8" s="478"/>
      <c r="BO8" s="490"/>
      <c r="BP8" s="478"/>
      <c r="BQ8" s="490"/>
      <c r="BR8" s="478"/>
      <c r="BS8" s="490">
        <f>INPUT!BB660</f>
        <v>434.07692307692309</v>
      </c>
      <c r="BT8" s="491" t="str">
        <f>INPUT!BC660</f>
        <v>NA</v>
      </c>
      <c r="BU8" s="490">
        <f>INPUT!BD660</f>
        <v>546.19230769230774</v>
      </c>
      <c r="BV8" s="491">
        <f>INPUT!BE660</f>
        <v>25.82846003898635</v>
      </c>
      <c r="BW8" s="490">
        <f>INPUT!BF660</f>
        <v>525.19230769230774</v>
      </c>
      <c r="BX8" s="491">
        <f>INPUT!BG660</f>
        <v>-3.8447996619956371</v>
      </c>
      <c r="BY8" s="490">
        <f>INPUT!BH660</f>
        <v>507.79999999999984</v>
      </c>
      <c r="BZ8" s="491">
        <f>INPUT!BI660</f>
        <v>-3.3116074697913263</v>
      </c>
      <c r="CA8" s="490">
        <f>INPUT!BJ660</f>
        <v>561.79999999999995</v>
      </c>
      <c r="CB8" s="491">
        <f>INPUT!BK660</f>
        <v>10.634107916502586</v>
      </c>
      <c r="CC8" s="490">
        <f>INPUT!BL660</f>
        <v>581.21919102261722</v>
      </c>
      <c r="CD8" s="491">
        <f>INPUT!BM660</f>
        <v>3.4566021756171637</v>
      </c>
      <c r="CE8" s="490">
        <f>INPUT!BN660</f>
        <v>602.06469029652203</v>
      </c>
      <c r="CF8" s="491">
        <f>INPUT!BO660</f>
        <v>3.586512557719999</v>
      </c>
      <c r="CG8" s="490">
        <f>INPUT!BP660</f>
        <v>623.87014885527947</v>
      </c>
      <c r="CH8" s="491">
        <f>INPUT!BQ660</f>
        <v>3.6217800030787544</v>
      </c>
      <c r="CI8" s="490">
        <f>INPUT!BR660</f>
        <v>648.12151853782029</v>
      </c>
      <c r="CJ8" s="491">
        <f>INPUT!BS660</f>
        <v>3.887246364814672</v>
      </c>
      <c r="CK8" s="490">
        <f>INPUT!BT660</f>
        <v>672.55931623420452</v>
      </c>
      <c r="CL8" s="491">
        <f>INPUT!BU660</f>
        <v>3.770557989112362</v>
      </c>
      <c r="CM8" s="871">
        <f>INPUT!BV660</f>
        <v>3.6644318007982291</v>
      </c>
    </row>
    <row r="9" spans="1:91" s="475" customFormat="1" ht="12" customHeight="1" x14ac:dyDescent="0.2">
      <c r="A9" s="870" t="s">
        <v>586</v>
      </c>
      <c r="B9" s="803">
        <f>+INPUT!C661</f>
        <v>76.700000000000045</v>
      </c>
      <c r="C9" s="491" t="str">
        <f>+INPUT!D661</f>
        <v>NA</v>
      </c>
      <c r="D9" s="803">
        <f>+INPUT!E661</f>
        <v>76.700000000000045</v>
      </c>
      <c r="E9" s="491" t="str">
        <f>+INPUT!F661</f>
        <v>NA</v>
      </c>
      <c r="F9" s="803">
        <f>+INPUT!G661</f>
        <v>80.200000000000045</v>
      </c>
      <c r="G9" s="491" t="str">
        <f>+INPUT!H661</f>
        <v>NA</v>
      </c>
      <c r="H9" s="803">
        <f>+INPUT!I661</f>
        <v>67.899999999999977</v>
      </c>
      <c r="I9" s="491" t="str">
        <f>+INPUT!J661</f>
        <v>NA</v>
      </c>
      <c r="J9" s="803">
        <f>+INPUT!K661</f>
        <v>67.669230769230865</v>
      </c>
      <c r="K9" s="491">
        <f>+INPUT!L661</f>
        <v>-11.774145020559544</v>
      </c>
      <c r="L9" s="803">
        <f>+INPUT!M661</f>
        <v>69.384615384615387</v>
      </c>
      <c r="M9" s="491">
        <f>+INPUT!N661</f>
        <v>-9.5376592117140291</v>
      </c>
      <c r="N9" s="803">
        <f>+INPUT!O661</f>
        <v>62.100000000000136</v>
      </c>
      <c r="O9" s="491">
        <f>+INPUT!P661</f>
        <v>-22.568578553615836</v>
      </c>
      <c r="P9" s="803">
        <f>+INPUT!Q661</f>
        <v>59.700000000000159</v>
      </c>
      <c r="Q9" s="491">
        <f>+INPUT!R661</f>
        <v>-12.076583210603559</v>
      </c>
      <c r="R9" s="803">
        <f>+INPUT!S661</f>
        <v>56.484615384615296</v>
      </c>
      <c r="S9" s="491">
        <f>+INPUT!T661</f>
        <v>-16.528361941571234</v>
      </c>
      <c r="T9" s="803">
        <f>+INPUT!U661</f>
        <v>73.5</v>
      </c>
      <c r="U9" s="491">
        <f>+INPUT!V661</f>
        <v>5.9312638580931321</v>
      </c>
      <c r="V9" s="803">
        <f>+INPUT!W661</f>
        <v>60.823076923077011</v>
      </c>
      <c r="W9" s="491">
        <f>+INPUT!X661</f>
        <v>-2.0562368388456065</v>
      </c>
      <c r="X9" s="803">
        <f>+INPUT!Y661</f>
        <v>62.100000000000023</v>
      </c>
      <c r="Y9" s="491">
        <f>+INPUT!Z661</f>
        <v>4.0201005025123209</v>
      </c>
      <c r="Z9" s="803">
        <f>+INPUT!AA661</f>
        <v>67.399999999999977</v>
      </c>
      <c r="AA9" s="491">
        <f>+INPUT!AB661</f>
        <v>19.324526760179907</v>
      </c>
      <c r="AB9" s="803">
        <f>+INPUT!AC661</f>
        <v>70.199999999999932</v>
      </c>
      <c r="AC9" s="491">
        <f>+INPUT!AD661</f>
        <v>-4.4897959183674487</v>
      </c>
      <c r="AD9" s="803">
        <f>+INPUT!AE661</f>
        <v>66.400000000000006</v>
      </c>
      <c r="AE9" s="491">
        <f>+INPUT!AF661</f>
        <v>9.1690906791449152</v>
      </c>
      <c r="AF9" s="803">
        <f>+INPUT!AG661</f>
        <v>75.499999999999773</v>
      </c>
      <c r="AG9" s="491">
        <f>+INPUT!AH661</f>
        <v>21.578099838968996</v>
      </c>
      <c r="AH9" s="803">
        <f>+INPUT!AI661</f>
        <v>94.500000000000114</v>
      </c>
      <c r="AI9" s="491">
        <f>+INPUT!AJ661</f>
        <v>40.207715133531366</v>
      </c>
      <c r="AJ9" s="803">
        <f>+INPUT!AK661</f>
        <v>89.300000000000182</v>
      </c>
      <c r="AK9" s="491">
        <f>+INPUT!AL661</f>
        <v>27.207977207977592</v>
      </c>
      <c r="AL9" s="803">
        <f>+INPUT!AM661</f>
        <v>83.100000000000136</v>
      </c>
      <c r="AM9" s="491">
        <f>+INPUT!AN661</f>
        <v>25.150602409638751</v>
      </c>
      <c r="AN9" s="803">
        <f>+INPUT!AO661</f>
        <v>75.099999999999682</v>
      </c>
      <c r="AO9" s="491">
        <f>+INPUT!AP661</f>
        <v>-0.52980132450343831</v>
      </c>
      <c r="AP9" s="803">
        <f>+INPUT!AQ661</f>
        <v>89.527146472392815</v>
      </c>
      <c r="AQ9" s="491">
        <f>+INPUT!AR661</f>
        <v>-5.2622788651929113</v>
      </c>
      <c r="AR9" s="803">
        <f>+INPUT!AS661</f>
        <v>85.40283843558268</v>
      </c>
      <c r="AS9" s="491">
        <f>+INPUT!AT661</f>
        <v>-4.3641226925167871</v>
      </c>
      <c r="AT9" s="803">
        <f>+INPUT!AU661</f>
        <v>86.414754059509278</v>
      </c>
      <c r="AU9" s="491">
        <f>+INPUT!AV661</f>
        <v>3.9888737178208657</v>
      </c>
      <c r="AV9" s="803">
        <f>+INPUT!AW661</f>
        <v>85.269450972957202</v>
      </c>
      <c r="AW9" s="491">
        <f>+INPUT!AX661</f>
        <v>13.541213013259082</v>
      </c>
      <c r="AX9" s="490"/>
      <c r="AY9" s="490"/>
      <c r="AZ9" s="491"/>
      <c r="BA9" s="490"/>
      <c r="BB9" s="491"/>
      <c r="BC9" s="490"/>
      <c r="BD9" s="491"/>
      <c r="BE9" s="490"/>
      <c r="BF9" s="478"/>
      <c r="BG9" s="490"/>
      <c r="BH9" s="478"/>
      <c r="BI9" s="490"/>
      <c r="BJ9" s="478"/>
      <c r="BK9" s="490"/>
      <c r="BL9" s="478"/>
      <c r="BM9" s="490"/>
      <c r="BN9" s="478"/>
      <c r="BO9" s="490"/>
      <c r="BP9" s="478"/>
      <c r="BQ9" s="490"/>
      <c r="BR9" s="478"/>
      <c r="BS9" s="490">
        <f>+INPUT!BB661</f>
        <v>301.49999999999955</v>
      </c>
      <c r="BT9" s="491" t="str">
        <f>+INPUT!BC661</f>
        <v>NA</v>
      </c>
      <c r="BU9" s="490">
        <f>+INPUT!BD661</f>
        <v>258.85384615384595</v>
      </c>
      <c r="BV9" s="491">
        <f>+INPUT!BE661</f>
        <v>-14.144661308840355</v>
      </c>
      <c r="BW9" s="490">
        <f>+INPUT!BF661</f>
        <v>252.90769230769178</v>
      </c>
      <c r="BX9" s="491">
        <f>+INPUT!BG661</f>
        <v>-2.2971085554665365</v>
      </c>
      <c r="BY9" s="490">
        <f>+INPUT!BH661</f>
        <v>279.50000000000034</v>
      </c>
      <c r="BZ9" s="491">
        <f>+INPUT!BI661</f>
        <v>10.514629843664821</v>
      </c>
      <c r="CA9" s="490">
        <f>+INPUT!BJ661</f>
        <v>342</v>
      </c>
      <c r="CB9" s="491">
        <f>+INPUT!BK661</f>
        <v>22.361359570661747</v>
      </c>
      <c r="CC9" s="490">
        <f>+INPUT!BL661</f>
        <v>346.61418994044107</v>
      </c>
      <c r="CD9" s="491">
        <f>+INPUT!BM661</f>
        <v>1.3491783451581938</v>
      </c>
      <c r="CE9" s="490">
        <f>+INPUT!BN661</f>
        <v>358.31452402740069</v>
      </c>
      <c r="CF9" s="491">
        <f>+INPUT!BO661</f>
        <v>3.3756073543815575</v>
      </c>
      <c r="CG9" s="490">
        <f>+INPUT!BP661</f>
        <v>378.78907885412536</v>
      </c>
      <c r="CH9" s="491">
        <f>+INPUT!BQ661</f>
        <v>5.7141291948185113</v>
      </c>
      <c r="CI9" s="490">
        <f>+INPUT!BR661</f>
        <v>399.70905001593383</v>
      </c>
      <c r="CJ9" s="491">
        <f>+INPUT!BS661</f>
        <v>5.5228548893472578</v>
      </c>
      <c r="CK9" s="490">
        <f>+INPUT!BT661</f>
        <v>421.11411200071416</v>
      </c>
      <c r="CL9" s="491">
        <f>+INPUT!BU661</f>
        <v>5.3551607060002766</v>
      </c>
      <c r="CM9" s="871">
        <f>+INPUT!BV661</f>
        <v>4.2496817527833519</v>
      </c>
    </row>
    <row r="10" spans="1:91" s="475" customFormat="1" ht="12" customHeight="1" x14ac:dyDescent="0.2">
      <c r="A10" s="872" t="s">
        <v>640</v>
      </c>
      <c r="B10" s="803"/>
      <c r="C10" s="491"/>
      <c r="D10" s="803"/>
      <c r="E10" s="491"/>
      <c r="F10" s="803"/>
      <c r="G10" s="491"/>
      <c r="H10" s="803"/>
      <c r="I10" s="491"/>
      <c r="J10" s="803"/>
      <c r="K10" s="491"/>
      <c r="L10" s="803"/>
      <c r="M10" s="491"/>
      <c r="N10" s="803"/>
      <c r="O10" s="491"/>
      <c r="P10" s="803"/>
      <c r="Q10" s="491"/>
      <c r="R10" s="803">
        <f>R8+R9</f>
        <v>189.05384615384608</v>
      </c>
      <c r="S10" s="491"/>
      <c r="T10" s="803">
        <f>T8+T9</f>
        <v>212.28461538461536</v>
      </c>
      <c r="U10" s="491"/>
      <c r="V10" s="803">
        <f>V8+V9</f>
        <v>189.96153846153851</v>
      </c>
      <c r="W10" s="491"/>
      <c r="X10" s="803">
        <f>X8+X9</f>
        <v>186.8</v>
      </c>
      <c r="Y10" s="491"/>
      <c r="Z10" s="803">
        <f>Z8+Z9</f>
        <v>181.39999999999998</v>
      </c>
      <c r="AA10" s="491"/>
      <c r="AB10" s="803">
        <f>AB8+AB9</f>
        <v>194.69999999999993</v>
      </c>
      <c r="AC10" s="491"/>
      <c r="AD10" s="803">
        <f>AD8+AD9</f>
        <v>211.7</v>
      </c>
      <c r="AE10" s="491"/>
      <c r="AF10" s="803">
        <f>AF8+AF9</f>
        <v>199.49999999999983</v>
      </c>
      <c r="AG10" s="491"/>
      <c r="AH10" s="803">
        <f t="shared" ref="AH10" si="0">AH8+AH9</f>
        <v>233.2000000000001</v>
      </c>
      <c r="AI10" s="491"/>
      <c r="AJ10" s="803">
        <f t="shared" ref="AJ10" si="1">AJ8+AJ9</f>
        <v>236.80000000000018</v>
      </c>
      <c r="AK10" s="491"/>
      <c r="AL10" s="803">
        <f t="shared" ref="AL10" si="2">AL8+AL9</f>
        <v>232.10000000000014</v>
      </c>
      <c r="AM10" s="491"/>
      <c r="AN10" s="803">
        <f t="shared" ref="AN10" si="3">AN8+AN9</f>
        <v>201.6999999999997</v>
      </c>
      <c r="AO10" s="491"/>
      <c r="AP10" s="803">
        <f t="shared" ref="AP10" si="4">AP8+AP9</f>
        <v>231.58326887735433</v>
      </c>
      <c r="AQ10" s="491"/>
      <c r="AR10" s="803">
        <f t="shared" ref="AR10" si="5">AR8+AR9</f>
        <v>227.59466362097146</v>
      </c>
      <c r="AS10" s="491"/>
      <c r="AT10" s="803">
        <f t="shared" ref="AT10" si="6">AT8+AT9</f>
        <v>230.04561643214765</v>
      </c>
      <c r="AU10" s="491"/>
      <c r="AV10" s="803">
        <f t="shared" ref="AV10" si="7">AV8+AV9</f>
        <v>238.60983203258598</v>
      </c>
      <c r="AW10" s="491"/>
      <c r="AX10" s="490"/>
      <c r="AY10" s="490"/>
      <c r="AZ10" s="491"/>
      <c r="BA10" s="490"/>
      <c r="BB10" s="491"/>
      <c r="BC10" s="490"/>
      <c r="BD10" s="491"/>
      <c r="BE10" s="490"/>
      <c r="BF10" s="478"/>
      <c r="BG10" s="490"/>
      <c r="BH10" s="478"/>
      <c r="BI10" s="490"/>
      <c r="BJ10" s="478"/>
      <c r="BK10" s="490"/>
      <c r="BL10" s="478"/>
      <c r="BM10" s="490"/>
      <c r="BN10" s="478"/>
      <c r="BO10" s="490"/>
      <c r="BP10" s="478"/>
      <c r="BQ10" s="490"/>
      <c r="BR10" s="478"/>
      <c r="BS10" s="490">
        <f>BS8+BS9</f>
        <v>735.57692307692264</v>
      </c>
      <c r="BT10" s="491"/>
      <c r="BU10" s="490">
        <f>BU8+BU9</f>
        <v>805.04615384615363</v>
      </c>
      <c r="BV10" s="491"/>
      <c r="BW10" s="490">
        <f>BW8+BW9</f>
        <v>778.09999999999945</v>
      </c>
      <c r="BX10" s="491"/>
      <c r="BY10" s="490">
        <f>BY8+BY9</f>
        <v>787.30000000000018</v>
      </c>
      <c r="BZ10" s="491">
        <f>BY10/BW10*100-100</f>
        <v>1.182367304973738</v>
      </c>
      <c r="CA10" s="490">
        <f>CA8+CA9</f>
        <v>903.8</v>
      </c>
      <c r="CB10" s="491">
        <f>CA10/BY10*100-100</f>
        <v>14.797408865743648</v>
      </c>
      <c r="CC10" s="490">
        <f>CC8+CC9</f>
        <v>927.83338096305829</v>
      </c>
      <c r="CD10" s="491">
        <f>CC10/CA10*100-100</f>
        <v>2.6591481481587067</v>
      </c>
      <c r="CE10" s="490">
        <f>CE8+CE9</f>
        <v>960.37921432392272</v>
      </c>
      <c r="CF10" s="491"/>
      <c r="CG10" s="490">
        <f>CG8+CG9</f>
        <v>1002.6592277094048</v>
      </c>
      <c r="CH10" s="491"/>
      <c r="CI10" s="490">
        <f>CI8+CI9</f>
        <v>1047.8305685537541</v>
      </c>
      <c r="CJ10" s="491"/>
      <c r="CK10" s="490">
        <f>CK8+CK9</f>
        <v>1093.6734282349187</v>
      </c>
      <c r="CL10" s="491"/>
      <c r="CM10" s="871"/>
    </row>
    <row r="11" spans="1:91" s="475" customFormat="1" ht="12" customHeight="1" x14ac:dyDescent="0.2">
      <c r="A11" s="872" t="s">
        <v>565</v>
      </c>
      <c r="B11" s="803">
        <f>INPUT!C662</f>
        <v>56.984615384615402</v>
      </c>
      <c r="C11" s="491" t="str">
        <f>INPUT!D662</f>
        <v>NA</v>
      </c>
      <c r="D11" s="803">
        <f>INPUT!E662</f>
        <v>67.246153846153845</v>
      </c>
      <c r="E11" s="491" t="str">
        <f>INPUT!F662</f>
        <v>NA</v>
      </c>
      <c r="F11" s="803">
        <f>INPUT!G662</f>
        <v>72.199999999999989</v>
      </c>
      <c r="G11" s="491" t="str">
        <f>INPUT!H662</f>
        <v>NA</v>
      </c>
      <c r="H11" s="803">
        <f>INPUT!I662</f>
        <v>82.400000000000034</v>
      </c>
      <c r="I11" s="491" t="str">
        <f>INPUT!J662</f>
        <v>NA</v>
      </c>
      <c r="J11" s="803">
        <f>INPUT!K662</f>
        <v>80.599999999999994</v>
      </c>
      <c r="K11" s="491">
        <f>INPUT!L662</f>
        <v>41.441684665226717</v>
      </c>
      <c r="L11" s="803">
        <f>INPUT!M662</f>
        <v>83.699999999999974</v>
      </c>
      <c r="M11" s="491">
        <f>INPUT!N662</f>
        <v>24.468085106382944</v>
      </c>
      <c r="N11" s="803">
        <f>INPUT!O662</f>
        <v>85.7</v>
      </c>
      <c r="O11" s="491">
        <f>INPUT!P662</f>
        <v>18.698060941828288</v>
      </c>
      <c r="P11" s="803">
        <f>INPUT!Q662</f>
        <v>100.10000000000001</v>
      </c>
      <c r="Q11" s="491">
        <f>INPUT!R662</f>
        <v>21.48058252427181</v>
      </c>
      <c r="R11" s="803">
        <f>INPUT!S662</f>
        <v>92.59999999999998</v>
      </c>
      <c r="S11" s="491">
        <f>INPUT!T662</f>
        <v>14.888337468982613</v>
      </c>
      <c r="T11" s="803">
        <f>INPUT!U662</f>
        <v>98.500000000000028</v>
      </c>
      <c r="U11" s="491">
        <f>INPUT!V662</f>
        <v>17.682198327359686</v>
      </c>
      <c r="V11" s="803">
        <f>INPUT!W662</f>
        <v>95.4</v>
      </c>
      <c r="W11" s="491">
        <f>INPUT!X662</f>
        <v>11.318553092182043</v>
      </c>
      <c r="X11" s="803">
        <f>INPUT!Y662</f>
        <v>102.00000000000003</v>
      </c>
      <c r="Y11" s="491">
        <f>INPUT!Z662</f>
        <v>1.8981018981019133</v>
      </c>
      <c r="Z11" s="803">
        <f>INPUT!AA662</f>
        <v>79.700000000000017</v>
      </c>
      <c r="AA11" s="491">
        <f>INPUT!AB662</f>
        <v>-13.930885529157635</v>
      </c>
      <c r="AB11" s="803">
        <f>INPUT!AC662</f>
        <v>117.49999999999996</v>
      </c>
      <c r="AC11" s="491">
        <f>INPUT!AD662</f>
        <v>19.289340101522768</v>
      </c>
      <c r="AD11" s="803">
        <f>INPUT!AE662</f>
        <v>112.9</v>
      </c>
      <c r="AE11" s="491">
        <f>INPUT!AF662</f>
        <v>18.343815513626822</v>
      </c>
      <c r="AF11" s="803">
        <f>INPUT!AG662</f>
        <v>133.70000000000002</v>
      </c>
      <c r="AG11" s="491">
        <f>INPUT!AH662</f>
        <v>31.078431372549005</v>
      </c>
      <c r="AH11" s="803">
        <f>INPUT!AI662</f>
        <v>100</v>
      </c>
      <c r="AI11" s="491">
        <f>INPUT!AJ662</f>
        <v>25.47051442910913</v>
      </c>
      <c r="AJ11" s="803">
        <f>INPUT!AK662</f>
        <v>115.40000000000002</v>
      </c>
      <c r="AK11" s="491">
        <f>INPUT!AL662</f>
        <v>-1.7872340425531377</v>
      </c>
      <c r="AL11" s="803">
        <f>INPUT!AM662</f>
        <v>130.20000000000002</v>
      </c>
      <c r="AM11" s="491">
        <f>INPUT!AN662</f>
        <v>15.323294951284325</v>
      </c>
      <c r="AN11" s="803">
        <f>INPUT!AO662</f>
        <v>124.10000000000001</v>
      </c>
      <c r="AO11" s="491">
        <f>INPUT!AP662</f>
        <v>-7.1802543006731554</v>
      </c>
      <c r="AP11" s="803">
        <f>INPUT!AQ662</f>
        <v>128.93566912992608</v>
      </c>
      <c r="AQ11" s="491">
        <f>INPUT!AR662</f>
        <v>28.935669129926083</v>
      </c>
      <c r="AR11" s="803">
        <f>INPUT!AS662</f>
        <v>129.57417779295389</v>
      </c>
      <c r="AS11" s="491">
        <f>INPUT!AT662</f>
        <v>12.282649733928835</v>
      </c>
      <c r="AT11" s="803">
        <f>INPUT!AU662</f>
        <v>131.61129112913176</v>
      </c>
      <c r="AU11" s="491">
        <f>INPUT!AV662</f>
        <v>1.0839409593945675</v>
      </c>
      <c r="AV11" s="803">
        <f>INPUT!AW662</f>
        <v>134.67239232122225</v>
      </c>
      <c r="AW11" s="491">
        <f>INPUT!AX662</f>
        <v>8.5192524747963176</v>
      </c>
      <c r="AX11" s="490"/>
      <c r="AY11" s="490"/>
      <c r="AZ11" s="491"/>
      <c r="BA11" s="490"/>
      <c r="BB11" s="491"/>
      <c r="BC11" s="490"/>
      <c r="BD11" s="491"/>
      <c r="BE11" s="490"/>
      <c r="BF11" s="478"/>
      <c r="BG11" s="490"/>
      <c r="BH11" s="478"/>
      <c r="BI11" s="490"/>
      <c r="BJ11" s="478"/>
      <c r="BK11" s="490"/>
      <c r="BL11" s="478"/>
      <c r="BM11" s="490"/>
      <c r="BN11" s="478"/>
      <c r="BO11" s="490"/>
      <c r="BP11" s="478"/>
      <c r="BQ11" s="490"/>
      <c r="BR11" s="478"/>
      <c r="BS11" s="490">
        <f>INPUT!BB662</f>
        <v>278.83076923076925</v>
      </c>
      <c r="BT11" s="491" t="str">
        <f>INPUT!BC662</f>
        <v>NA</v>
      </c>
      <c r="BU11" s="490">
        <f>INPUT!BD662</f>
        <v>350.1</v>
      </c>
      <c r="BV11" s="491">
        <f>INPUT!BE662</f>
        <v>25.560030898256443</v>
      </c>
      <c r="BW11" s="490">
        <f>INPUT!BF662</f>
        <v>388.5</v>
      </c>
      <c r="BX11" s="491">
        <f>INPUT!BG662</f>
        <v>10.968294772922007</v>
      </c>
      <c r="BY11" s="490">
        <f>INPUT!BH662</f>
        <v>443.80000000000007</v>
      </c>
      <c r="BZ11" s="491">
        <f>INPUT!BI662</f>
        <v>14.23423423423425</v>
      </c>
      <c r="CA11" s="490">
        <f>INPUT!BJ662</f>
        <v>469.70000000000005</v>
      </c>
      <c r="CB11" s="491">
        <f>INPUT!BK662</f>
        <v>5.8359621451104005</v>
      </c>
      <c r="CC11" s="490">
        <f>INPUT!BL662</f>
        <v>524.79353037323403</v>
      </c>
      <c r="CD11" s="491">
        <f>INPUT!BM662</f>
        <v>11.729514663239087</v>
      </c>
      <c r="CE11" s="490">
        <f>INPUT!BN662</f>
        <v>550.50015402645852</v>
      </c>
      <c r="CF11" s="491">
        <f>INPUT!BO662</f>
        <v>4.8984261743741229</v>
      </c>
      <c r="CG11" s="490">
        <f>INPUT!BP662</f>
        <v>563.85419045671711</v>
      </c>
      <c r="CH11" s="491">
        <f>INPUT!BQ662</f>
        <v>2.42580067100522</v>
      </c>
      <c r="CI11" s="490">
        <f>INPUT!BR662</f>
        <v>598.21777251477977</v>
      </c>
      <c r="CJ11" s="491">
        <f>INPUT!BS662</f>
        <v>6.0944092709905249</v>
      </c>
      <c r="CK11" s="490">
        <f>INPUT!BT662</f>
        <v>618.99998773386778</v>
      </c>
      <c r="CL11" s="491">
        <f>INPUT!BU662</f>
        <v>3.4740216981056875</v>
      </c>
      <c r="CM11" s="871">
        <f>INPUT!BV662</f>
        <v>5.6754281433789799</v>
      </c>
    </row>
    <row r="12" spans="1:91" s="475" customFormat="1" ht="12" customHeight="1" x14ac:dyDescent="0.2">
      <c r="A12" s="872" t="s">
        <v>566</v>
      </c>
      <c r="B12" s="803">
        <f>+INPUT!C663</f>
        <v>67.084615384615418</v>
      </c>
      <c r="C12" s="491" t="str">
        <f>+INPUT!D663</f>
        <v>NA</v>
      </c>
      <c r="D12" s="803">
        <f>+INPUT!E663</f>
        <v>86.469230769230791</v>
      </c>
      <c r="E12" s="491" t="str">
        <f>+INPUT!F663</f>
        <v>NA</v>
      </c>
      <c r="F12" s="803">
        <f>+INPUT!G663</f>
        <v>81.484615384615381</v>
      </c>
      <c r="G12" s="491" t="str">
        <f>+INPUT!H663</f>
        <v>NA</v>
      </c>
      <c r="H12" s="803">
        <f>+INPUT!I663</f>
        <v>90.438461538461539</v>
      </c>
      <c r="I12" s="491" t="str">
        <f>+INPUT!J663</f>
        <v>NA</v>
      </c>
      <c r="J12" s="803">
        <f>+INPUT!K663</f>
        <v>78.353846153846106</v>
      </c>
      <c r="K12" s="491">
        <f>+INPUT!L663</f>
        <v>16.798532278408302</v>
      </c>
      <c r="L12" s="803">
        <f>+INPUT!M663</f>
        <v>82.138461538461527</v>
      </c>
      <c r="M12" s="491">
        <f>+INPUT!N663</f>
        <v>-5.0084512054088037</v>
      </c>
      <c r="N12" s="803">
        <f>+INPUT!O663</f>
        <v>83.323076923076925</v>
      </c>
      <c r="O12" s="491">
        <f>+INPUT!P663</f>
        <v>2.2562069291041382</v>
      </c>
      <c r="P12" s="803">
        <f>+INPUT!Q663</f>
        <v>77.499999999999929</v>
      </c>
      <c r="Q12" s="491">
        <f>+INPUT!R663</f>
        <v>-14.306370672790763</v>
      </c>
      <c r="R12" s="803">
        <f>+INPUT!S663</f>
        <v>80.799999999999955</v>
      </c>
      <c r="S12" s="491">
        <f>+INPUT!T663</f>
        <v>3.1219320636167254</v>
      </c>
      <c r="T12" s="803">
        <f>+INPUT!U663</f>
        <v>72.199999999999946</v>
      </c>
      <c r="U12" s="491">
        <f>+INPUT!V663</f>
        <v>-12.099644128113923</v>
      </c>
      <c r="V12" s="803">
        <f>+INPUT!W663</f>
        <v>63.923076923076891</v>
      </c>
      <c r="W12" s="491">
        <f>+INPUT!X663</f>
        <v>-23.28286558345647</v>
      </c>
      <c r="X12" s="803">
        <f>+INPUT!Y663</f>
        <v>67.299999999999983</v>
      </c>
      <c r="Y12" s="491">
        <f>+INPUT!Z663</f>
        <v>-13.161290322580584</v>
      </c>
      <c r="Z12" s="803">
        <f>+INPUT!AA663</f>
        <v>68.000000000000014</v>
      </c>
      <c r="AA12" s="491">
        <f>+INPUT!AB663</f>
        <v>-15.841584158415785</v>
      </c>
      <c r="AB12" s="803">
        <f>+INPUT!AC663</f>
        <v>69.899999999999977</v>
      </c>
      <c r="AC12" s="491">
        <f>+INPUT!AD663</f>
        <v>-3.1855955678669972</v>
      </c>
      <c r="AD12" s="803">
        <f>+INPUT!AE663</f>
        <v>85.100000000000023</v>
      </c>
      <c r="AE12" s="491">
        <f>+INPUT!AF663</f>
        <v>33.128760529482662</v>
      </c>
      <c r="AF12" s="803">
        <f>+INPUT!AG663</f>
        <v>77.000000000000043</v>
      </c>
      <c r="AG12" s="491">
        <f>+INPUT!AH663</f>
        <v>14.41307578008923</v>
      </c>
      <c r="AH12" s="803">
        <f>+INPUT!AI663</f>
        <v>88.899999999999949</v>
      </c>
      <c r="AI12" s="491">
        <f>+INPUT!AJ663</f>
        <v>30.735294117646959</v>
      </c>
      <c r="AJ12" s="803">
        <f>+INPUT!AK663</f>
        <v>83.399999999999949</v>
      </c>
      <c r="AK12" s="491">
        <f>+INPUT!AL663</f>
        <v>19.313304721030008</v>
      </c>
      <c r="AL12" s="803">
        <f>+INPUT!AM663</f>
        <v>84.399999999999991</v>
      </c>
      <c r="AM12" s="491">
        <f>+INPUT!AN663</f>
        <v>-0.82256169212693919</v>
      </c>
      <c r="AN12" s="803">
        <f>+INPUT!AO663</f>
        <v>78.30000000000004</v>
      </c>
      <c r="AO12" s="491">
        <f>+INPUT!AP663</f>
        <v>1.6883116883116998</v>
      </c>
      <c r="AP12" s="803">
        <f>+INPUT!AQ663</f>
        <v>89.418216769456805</v>
      </c>
      <c r="AQ12" s="491">
        <f>+INPUT!AR663</f>
        <v>0.58292100051389184</v>
      </c>
      <c r="AR12" s="803">
        <f>+INPUT!AS663</f>
        <v>89.958952951178887</v>
      </c>
      <c r="AS12" s="491">
        <f>+INPUT!AT663</f>
        <v>7.8644519798308608</v>
      </c>
      <c r="AT12" s="803">
        <f>+INPUT!AU663</f>
        <v>90.789771476380139</v>
      </c>
      <c r="AU12" s="491">
        <f>+INPUT!AV663</f>
        <v>7.5708192848105966</v>
      </c>
      <c r="AV12" s="803">
        <f>+INPUT!AW663</f>
        <v>89.458368949220741</v>
      </c>
      <c r="AW12" s="491">
        <f>+INPUT!AX663</f>
        <v>14.250790484317605</v>
      </c>
      <c r="AX12" s="490"/>
      <c r="AY12" s="490"/>
      <c r="AZ12" s="491"/>
      <c r="BA12" s="490"/>
      <c r="BB12" s="491"/>
      <c r="BC12" s="490"/>
      <c r="BD12" s="491"/>
      <c r="BE12" s="490"/>
      <c r="BF12" s="478"/>
      <c r="BG12" s="490"/>
      <c r="BH12" s="478"/>
      <c r="BI12" s="490"/>
      <c r="BJ12" s="478"/>
      <c r="BK12" s="490"/>
      <c r="BL12" s="478"/>
      <c r="BM12" s="490"/>
      <c r="BN12" s="478"/>
      <c r="BO12" s="490"/>
      <c r="BP12" s="478"/>
      <c r="BQ12" s="490"/>
      <c r="BR12" s="478"/>
      <c r="BS12" s="490">
        <f>+INPUT!BB663</f>
        <v>325.47692307692313</v>
      </c>
      <c r="BT12" s="491" t="str">
        <f>+INPUT!BC663</f>
        <v>NA</v>
      </c>
      <c r="BU12" s="490">
        <f>+INPUT!BD663</f>
        <v>321.31538461538452</v>
      </c>
      <c r="BV12" s="491">
        <f>+INPUT!BE663</f>
        <v>-1.2785970882965074</v>
      </c>
      <c r="BW12" s="490">
        <f>+INPUT!BF663</f>
        <v>284.2230769230768</v>
      </c>
      <c r="BX12" s="491">
        <f>+INPUT!BG663</f>
        <v>-11.543894089200663</v>
      </c>
      <c r="BY12" s="490">
        <f>+INPUT!BH663</f>
        <v>300.00000000000006</v>
      </c>
      <c r="BZ12" s="491">
        <f>+INPUT!BI663</f>
        <v>5.5508944761699155</v>
      </c>
      <c r="CA12" s="490">
        <f>+INPUT!BJ663</f>
        <v>334.99999999999994</v>
      </c>
      <c r="CB12" s="491">
        <f>+INPUT!BK663</f>
        <v>11.666666666666629</v>
      </c>
      <c r="CC12" s="490">
        <f>+INPUT!BL663</f>
        <v>359.62531014623659</v>
      </c>
      <c r="CD12" s="491">
        <f>+INPUT!BM663</f>
        <v>7.3508388496228889</v>
      </c>
      <c r="CE12" s="490">
        <f>+INPUT!BN663</f>
        <v>381.34775926632324</v>
      </c>
      <c r="CF12" s="491">
        <f>+INPUT!BO663</f>
        <v>6.0403004202494799</v>
      </c>
      <c r="CG12" s="490">
        <f>+INPUT!BP663</f>
        <v>431.87008766088064</v>
      </c>
      <c r="CH12" s="491">
        <f>+INPUT!BQ663</f>
        <v>13.248361152497012</v>
      </c>
      <c r="CI12" s="490">
        <f>+INPUT!BR663</f>
        <v>450.13486372073396</v>
      </c>
      <c r="CJ12" s="491">
        <f>+INPUT!BS663</f>
        <v>4.2292292477999638</v>
      </c>
      <c r="CK12" s="490">
        <f>+INPUT!BT663</f>
        <v>484.47991981506397</v>
      </c>
      <c r="CL12" s="491">
        <f>+INPUT!BU663</f>
        <v>7.6299480138996501</v>
      </c>
      <c r="CM12" s="871">
        <f>+INPUT!BV663</f>
        <v>7.6579720869598855</v>
      </c>
    </row>
    <row r="13" spans="1:91" s="475" customFormat="1" ht="12" customHeight="1" x14ac:dyDescent="0.2">
      <c r="A13" s="870" t="s">
        <v>28</v>
      </c>
      <c r="B13" s="803">
        <f>+INPUT!C665</f>
        <v>19.900000000000034</v>
      </c>
      <c r="C13" s="491" t="str">
        <f>+INPUT!D665</f>
        <v>NA</v>
      </c>
      <c r="D13" s="803">
        <f>+INPUT!E665</f>
        <v>30.199999999999989</v>
      </c>
      <c r="E13" s="491" t="str">
        <f>+INPUT!F665</f>
        <v>NA</v>
      </c>
      <c r="F13" s="803">
        <f>+INPUT!G665</f>
        <v>31.500000000000057</v>
      </c>
      <c r="G13" s="491" t="str">
        <f>+INPUT!H665</f>
        <v>NA</v>
      </c>
      <c r="H13" s="803">
        <f>+INPUT!I665</f>
        <v>42.584615384615375</v>
      </c>
      <c r="I13" s="491" t="str">
        <f>+INPUT!J665</f>
        <v>NA</v>
      </c>
      <c r="J13" s="803">
        <f>+INPUT!K665</f>
        <v>21.800000000000011</v>
      </c>
      <c r="K13" s="491">
        <f>+INPUT!L665</f>
        <v>9.5477386934672097</v>
      </c>
      <c r="L13" s="803">
        <f>+INPUT!M665</f>
        <v>27.599999999999966</v>
      </c>
      <c r="M13" s="491">
        <f>+INPUT!N665</f>
        <v>-8.6092715231788901</v>
      </c>
      <c r="N13" s="803">
        <f>+INPUT!O665</f>
        <v>16.499999999999943</v>
      </c>
      <c r="O13" s="491">
        <f>+INPUT!P665</f>
        <v>-47.61904761904789</v>
      </c>
      <c r="P13" s="803">
        <f>+INPUT!Q665</f>
        <v>39.000000000000057</v>
      </c>
      <c r="Q13" s="491">
        <f>+INPUT!R665</f>
        <v>-8.4176300578033221</v>
      </c>
      <c r="R13" s="803">
        <f>+INPUT!S665</f>
        <v>35.100000000000023</v>
      </c>
      <c r="S13" s="491">
        <f>+INPUT!T665</f>
        <v>61.009174311926643</v>
      </c>
      <c r="T13" s="803">
        <f>+INPUT!U665</f>
        <v>36.699999999999989</v>
      </c>
      <c r="U13" s="491">
        <f>+INPUT!V665</f>
        <v>32.971014492753739</v>
      </c>
      <c r="V13" s="803">
        <f>+INPUT!W665</f>
        <v>42.269230769230774</v>
      </c>
      <c r="W13" s="491" t="str">
        <f>+INPUT!X665</f>
        <v>NM</v>
      </c>
      <c r="X13" s="803">
        <f>+INPUT!Y665</f>
        <v>29.800000000000011</v>
      </c>
      <c r="Y13" s="491">
        <f>+INPUT!Z665</f>
        <v>-23.589743589743676</v>
      </c>
      <c r="Z13" s="803">
        <f>+INPUT!AA665</f>
        <v>41.899999999999977</v>
      </c>
      <c r="AA13" s="491">
        <f>+INPUT!AB665</f>
        <v>19.373219373219229</v>
      </c>
      <c r="AB13" s="803">
        <f>+INPUT!AC665</f>
        <v>37.099999999999966</v>
      </c>
      <c r="AC13" s="491">
        <f>+INPUT!AD665</f>
        <v>1.0899182561307157</v>
      </c>
      <c r="AD13" s="803">
        <f>+INPUT!AE665</f>
        <v>39.500000000000071</v>
      </c>
      <c r="AE13" s="491">
        <f>+INPUT!AF665</f>
        <v>-6.5514103730662754</v>
      </c>
      <c r="AF13" s="803">
        <f>+INPUT!AG665</f>
        <v>35</v>
      </c>
      <c r="AG13" s="491">
        <f>+INPUT!AH665</f>
        <v>17.449664429530159</v>
      </c>
      <c r="AH13" s="803">
        <f>+INPUT!AI665</f>
        <v>40.699999999999989</v>
      </c>
      <c r="AI13" s="491">
        <f>+INPUT!AJ665</f>
        <v>-2.863961813842451</v>
      </c>
      <c r="AJ13" s="803">
        <f>+INPUT!AK665</f>
        <v>37.800000000000011</v>
      </c>
      <c r="AK13" s="491">
        <f>+INPUT!AL665</f>
        <v>1.8867924528303206</v>
      </c>
      <c r="AL13" s="803">
        <f>+INPUT!AM665</f>
        <v>46.399999999999977</v>
      </c>
      <c r="AM13" s="491">
        <f>+INPUT!AN665</f>
        <v>17.468354430379492</v>
      </c>
      <c r="AN13" s="803">
        <f>+INPUT!AO665</f>
        <v>48.300000000000011</v>
      </c>
      <c r="AO13" s="491">
        <f>+INPUT!AP665</f>
        <v>38.000000000000028</v>
      </c>
      <c r="AP13" s="803">
        <f>+INPUT!AQ665</f>
        <v>37.100329999999985</v>
      </c>
      <c r="AQ13" s="491">
        <f>+INPUT!AR665</f>
        <v>-8.8443980343980542</v>
      </c>
      <c r="AR13" s="803">
        <f>+INPUT!AS665</f>
        <v>39.686480450000033</v>
      </c>
      <c r="AS13" s="491">
        <f>+INPUT!AT665</f>
        <v>4.9906890211640871</v>
      </c>
      <c r="AT13" s="803">
        <f>+INPUT!AU665</f>
        <v>43.439293186750035</v>
      </c>
      <c r="AU13" s="491">
        <f>+INPUT!AV665</f>
        <v>-6.3808336492455595</v>
      </c>
      <c r="AV13" s="803">
        <f>+INPUT!AW665</f>
        <v>46.13335772633252</v>
      </c>
      <c r="AW13" s="491">
        <f>+INPUT!AX665</f>
        <v>-4.4858018088353901</v>
      </c>
      <c r="AX13" s="490"/>
      <c r="AY13" s="490"/>
      <c r="AZ13" s="491"/>
      <c r="BA13" s="490"/>
      <c r="BB13" s="491"/>
      <c r="BC13" s="490"/>
      <c r="BD13" s="491"/>
      <c r="BE13" s="490"/>
      <c r="BF13" s="478"/>
      <c r="BG13" s="490"/>
      <c r="BH13" s="478"/>
      <c r="BI13" s="490"/>
      <c r="BJ13" s="478"/>
      <c r="BK13" s="490"/>
      <c r="BL13" s="478"/>
      <c r="BM13" s="490"/>
      <c r="BN13" s="478"/>
      <c r="BO13" s="490"/>
      <c r="BP13" s="478"/>
      <c r="BQ13" s="490"/>
      <c r="BR13" s="478"/>
      <c r="BS13" s="490">
        <f>+INPUT!BB665</f>
        <v>124.18461538461557</v>
      </c>
      <c r="BT13" s="491" t="str">
        <f>+INPUT!BC665</f>
        <v>NA</v>
      </c>
      <c r="BU13" s="490">
        <f>+INPUT!BD665</f>
        <v>104.90000000000009</v>
      </c>
      <c r="BV13" s="491">
        <f>+INPUT!BE665</f>
        <v>-15.528989098116995</v>
      </c>
      <c r="BW13" s="490">
        <f>+INPUT!BF665</f>
        <v>143.86923076923046</v>
      </c>
      <c r="BX13" s="491">
        <f>+INPUT!BG665</f>
        <v>37.1489330497906</v>
      </c>
      <c r="BY13" s="490">
        <f>+INPUT!BH665</f>
        <v>153.49999999999972</v>
      </c>
      <c r="BZ13" s="491">
        <f>+INPUT!BI665</f>
        <v>6.6941132438646633</v>
      </c>
      <c r="CA13" s="490">
        <f>+INPUT!BJ665</f>
        <v>173.20000000000005</v>
      </c>
      <c r="CB13" s="491">
        <f>+INPUT!BK665</f>
        <v>12.833876221498613</v>
      </c>
      <c r="CC13" s="490">
        <f>+INPUT!BL665</f>
        <v>166.35946136308257</v>
      </c>
      <c r="CD13" s="491">
        <f>+INPUT!BM665</f>
        <v>-3.9495026772040802</v>
      </c>
      <c r="CE13" s="490">
        <f>+INPUT!BN665</f>
        <v>174.86614895248226</v>
      </c>
      <c r="CF13" s="491">
        <f>+INPUT!BO665</f>
        <v>5.1134378049191298</v>
      </c>
      <c r="CG13" s="490">
        <f>+INPUT!BP665</f>
        <v>176.08159040976625</v>
      </c>
      <c r="CH13" s="491">
        <f>+INPUT!BQ665</f>
        <v>0.69506960870640455</v>
      </c>
      <c r="CI13" s="490">
        <f>+INPUT!BR665</f>
        <v>179.1179389055917</v>
      </c>
      <c r="CJ13" s="491">
        <f>+INPUT!BS665</f>
        <v>1.7243986090535941</v>
      </c>
      <c r="CK13" s="490">
        <f>+INPUT!BT665</f>
        <v>182.11546473642716</v>
      </c>
      <c r="CL13" s="491">
        <f>+INPUT!BU665</f>
        <v>1.6734928110217879</v>
      </c>
      <c r="CM13" s="871">
        <f>+INPUT!BV665</f>
        <v>1.0089339895567484</v>
      </c>
    </row>
    <row r="14" spans="1:91" s="475" customFormat="1" ht="12" customHeight="1" x14ac:dyDescent="0.2">
      <c r="A14" s="870" t="s">
        <v>442</v>
      </c>
      <c r="B14" s="803">
        <f>+INPUT!C666</f>
        <v>31.899999999999977</v>
      </c>
      <c r="C14" s="491" t="str">
        <f>+INPUT!D666</f>
        <v>NA</v>
      </c>
      <c r="D14" s="803">
        <f>+INPUT!E666</f>
        <v>39.5</v>
      </c>
      <c r="E14" s="491" t="str">
        <f>+INPUT!F666</f>
        <v>NA</v>
      </c>
      <c r="F14" s="803">
        <f>+INPUT!G666</f>
        <v>48.700000000000045</v>
      </c>
      <c r="G14" s="491" t="str">
        <f>+INPUT!H666</f>
        <v>NA</v>
      </c>
      <c r="H14" s="803">
        <f>+INPUT!I666</f>
        <v>41.699999999999932</v>
      </c>
      <c r="I14" s="491" t="str">
        <f>+INPUT!J666</f>
        <v>NA</v>
      </c>
      <c r="J14" s="803">
        <f>+INPUT!K666</f>
        <v>40.900000000000091</v>
      </c>
      <c r="K14" s="491">
        <f>+INPUT!L666</f>
        <v>28.213166144200983</v>
      </c>
      <c r="L14" s="803">
        <f>+INPUT!M666</f>
        <v>45.600000000000023</v>
      </c>
      <c r="M14" s="491">
        <f>+INPUT!N666</f>
        <v>15.443037974683605</v>
      </c>
      <c r="N14" s="803">
        <f>+INPUT!O666</f>
        <v>48.600000000000023</v>
      </c>
      <c r="O14" s="491">
        <f>+INPUT!P666</f>
        <v>-0.20533880903495572</v>
      </c>
      <c r="P14" s="803">
        <f>+INPUT!Q666</f>
        <v>44.099999999999966</v>
      </c>
      <c r="Q14" s="491">
        <f>+INPUT!R666</f>
        <v>5.7553956834533295</v>
      </c>
      <c r="R14" s="803">
        <f>+INPUT!S666</f>
        <v>42.184615384615455</v>
      </c>
      <c r="S14" s="491">
        <f>+INPUT!T666</f>
        <v>3.1408689110400019</v>
      </c>
      <c r="T14" s="803">
        <f>+INPUT!U666</f>
        <v>51.400000000000034</v>
      </c>
      <c r="U14" s="491">
        <f>+INPUT!V666</f>
        <v>12.71929824561407</v>
      </c>
      <c r="V14" s="803">
        <f>+INPUT!W666</f>
        <v>53.246153846153824</v>
      </c>
      <c r="W14" s="491">
        <f>+INPUT!X666</f>
        <v>9.5599873377650226</v>
      </c>
      <c r="X14" s="803">
        <f>+INPUT!Y666</f>
        <v>56.800000000000011</v>
      </c>
      <c r="Y14" s="491">
        <f>+INPUT!Z666</f>
        <v>28.798185941043215</v>
      </c>
      <c r="Z14" s="803">
        <f>+INPUT!AA666</f>
        <v>38.599999999999966</v>
      </c>
      <c r="AA14" s="491">
        <f>+INPUT!AB666</f>
        <v>-8.4974471188915572</v>
      </c>
      <c r="AB14" s="803">
        <f>+INPUT!AC666</f>
        <v>66.500000000000114</v>
      </c>
      <c r="AC14" s="491">
        <f>+INPUT!AD666</f>
        <v>29.37743190661493</v>
      </c>
      <c r="AD14" s="803">
        <f>+INPUT!AE666</f>
        <v>56.000000000000092</v>
      </c>
      <c r="AE14" s="491">
        <f>+INPUT!AF666</f>
        <v>5.171915631320644</v>
      </c>
      <c r="AF14" s="803">
        <f>+INPUT!AG666</f>
        <v>66.899999999999977</v>
      </c>
      <c r="AG14" s="491">
        <f>+INPUT!AH666</f>
        <v>17.781690140845001</v>
      </c>
      <c r="AH14" s="803">
        <f>+INPUT!AI666</f>
        <v>45.5</v>
      </c>
      <c r="AI14" s="491">
        <f>+INPUT!AJ666</f>
        <v>17.875647668393896</v>
      </c>
      <c r="AJ14" s="803">
        <f>+INPUT!AK666</f>
        <v>63.599999999999966</v>
      </c>
      <c r="AK14" s="491">
        <f>+INPUT!AL666</f>
        <v>-4.3609022556393029</v>
      </c>
      <c r="AL14" s="803">
        <f>+INPUT!AM666</f>
        <v>69.800000000000011</v>
      </c>
      <c r="AM14" s="491">
        <f>+INPUT!AN666</f>
        <v>24.642857142856968</v>
      </c>
      <c r="AN14" s="803">
        <f>+INPUT!AO666</f>
        <v>62.599999999999909</v>
      </c>
      <c r="AO14" s="491">
        <f>+INPUT!AP666</f>
        <v>-6.4275037369208832</v>
      </c>
      <c r="AP14" s="803">
        <f>+INPUT!AQ666</f>
        <v>56.458019284956038</v>
      </c>
      <c r="AQ14" s="491">
        <f>+INPUT!AR666</f>
        <v>24.08355886803524</v>
      </c>
      <c r="AR14" s="803">
        <f>+INPUT!AS666</f>
        <v>65.749889880234036</v>
      </c>
      <c r="AS14" s="491">
        <f>+INPUT!AT666</f>
        <v>3.3803300003680334</v>
      </c>
      <c r="AT14" s="803">
        <f>+INPUT!AU666</f>
        <v>75.248319734541496</v>
      </c>
      <c r="AU14" s="491">
        <f>+INPUT!AV666</f>
        <v>7.8056156655322155</v>
      </c>
      <c r="AV14" s="803">
        <f>+INPUT!AW666</f>
        <v>80.076433950049818</v>
      </c>
      <c r="AW14" s="491">
        <f>+INPUT!AX666</f>
        <v>27.917626118290627</v>
      </c>
      <c r="AX14" s="490"/>
      <c r="AY14" s="490"/>
      <c r="AZ14" s="491"/>
      <c r="BA14" s="490"/>
      <c r="BB14" s="491"/>
      <c r="BC14" s="490"/>
      <c r="BD14" s="491"/>
      <c r="BE14" s="490"/>
      <c r="BF14" s="478"/>
      <c r="BG14" s="490"/>
      <c r="BH14" s="478"/>
      <c r="BI14" s="490"/>
      <c r="BJ14" s="478"/>
      <c r="BK14" s="490"/>
      <c r="BL14" s="478"/>
      <c r="BM14" s="490"/>
      <c r="BN14" s="478"/>
      <c r="BO14" s="490"/>
      <c r="BP14" s="478"/>
      <c r="BQ14" s="490"/>
      <c r="BR14" s="478"/>
      <c r="BS14" s="490">
        <f>+INPUT!BB666</f>
        <v>161.79999999999973</v>
      </c>
      <c r="BT14" s="491" t="str">
        <f>+INPUT!BC666</f>
        <v>NA</v>
      </c>
      <c r="BU14" s="490">
        <f>+INPUT!BD666</f>
        <v>179.19999999999982</v>
      </c>
      <c r="BV14" s="491">
        <f>+INPUT!BE666</f>
        <v>10.754017305315287</v>
      </c>
      <c r="BW14" s="490">
        <f>+INPUT!BF666</f>
        <v>203.63076923076954</v>
      </c>
      <c r="BX14" s="491">
        <f>+INPUT!BG666</f>
        <v>13.63324175824205</v>
      </c>
      <c r="BY14" s="490">
        <f>+INPUT!BH666</f>
        <v>228.00000000000009</v>
      </c>
      <c r="BZ14" s="491">
        <f>+INPUT!BI666</f>
        <v>11.967361740707034</v>
      </c>
      <c r="CA14" s="490">
        <f>+INPUT!BJ666</f>
        <v>241.49999999999955</v>
      </c>
      <c r="CB14" s="491">
        <f>+INPUT!BK666</f>
        <v>5.9210526315787178</v>
      </c>
      <c r="CC14" s="490">
        <f>+INPUT!BL666</f>
        <v>277.53266284978167</v>
      </c>
      <c r="CD14" s="491">
        <f>+INPUT!BM666</f>
        <v>14.9203572876945</v>
      </c>
      <c r="CE14" s="490">
        <f>+INPUT!BN666</f>
        <v>292.15154771861262</v>
      </c>
      <c r="CF14" s="491">
        <f>+INPUT!BO666</f>
        <v>5.2674466200555372</v>
      </c>
      <c r="CG14" s="490">
        <f>+INPUT!BP666</f>
        <v>302.56401683520153</v>
      </c>
      <c r="CH14" s="491">
        <f>+INPUT!BQ666</f>
        <v>3.564064335068224</v>
      </c>
      <c r="CI14" s="490">
        <f>+INPUT!BR666</f>
        <v>313.05489576432819</v>
      </c>
      <c r="CJ14" s="491">
        <f>+INPUT!BS666</f>
        <v>3.467325374266423</v>
      </c>
      <c r="CK14" s="490">
        <f>+INPUT!BT666</f>
        <v>323.58675111707817</v>
      </c>
      <c r="CL14" s="491">
        <f>+INPUT!BU666</f>
        <v>3.3642199803444441</v>
      </c>
      <c r="CM14" s="871">
        <f>+INPUT!BV666</f>
        <v>6.0265717735567659</v>
      </c>
    </row>
    <row r="15" spans="1:91" s="475" customFormat="1" ht="12" customHeight="1" x14ac:dyDescent="0.2">
      <c r="A15" s="872" t="s">
        <v>641</v>
      </c>
      <c r="B15" s="803"/>
      <c r="C15" s="491"/>
      <c r="D15" s="803"/>
      <c r="E15" s="491"/>
      <c r="F15" s="803"/>
      <c r="G15" s="491"/>
      <c r="H15" s="803"/>
      <c r="I15" s="491"/>
      <c r="J15" s="803"/>
      <c r="K15" s="491"/>
      <c r="L15" s="803"/>
      <c r="M15" s="491"/>
      <c r="N15" s="803"/>
      <c r="O15" s="491"/>
      <c r="P15" s="803"/>
      <c r="Q15" s="491"/>
      <c r="R15" s="803">
        <f>R13+R14</f>
        <v>77.284615384615478</v>
      </c>
      <c r="S15" s="491"/>
      <c r="T15" s="803">
        <f>T13+T14</f>
        <v>88.100000000000023</v>
      </c>
      <c r="U15" s="491"/>
      <c r="V15" s="803">
        <f>V13+V14</f>
        <v>95.51538461538459</v>
      </c>
      <c r="W15" s="491"/>
      <c r="X15" s="803">
        <f>X13+X14</f>
        <v>86.600000000000023</v>
      </c>
      <c r="Y15" s="491"/>
      <c r="Z15" s="803">
        <f>Z13+Z14</f>
        <v>80.499999999999943</v>
      </c>
      <c r="AA15" s="491"/>
      <c r="AB15" s="803">
        <f>AB13+AB14</f>
        <v>103.60000000000008</v>
      </c>
      <c r="AC15" s="491"/>
      <c r="AD15" s="803">
        <f>AD13+AD14</f>
        <v>95.500000000000171</v>
      </c>
      <c r="AE15" s="491"/>
      <c r="AF15" s="803">
        <f>AF13+AF14</f>
        <v>101.89999999999998</v>
      </c>
      <c r="AG15" s="491"/>
      <c r="AH15" s="803">
        <f t="shared" ref="AH15" si="8">AH13+AH14</f>
        <v>86.199999999999989</v>
      </c>
      <c r="AI15" s="491"/>
      <c r="AJ15" s="803">
        <f t="shared" ref="AJ15" si="9">AJ13+AJ14</f>
        <v>101.39999999999998</v>
      </c>
      <c r="AK15" s="491"/>
      <c r="AL15" s="803">
        <f t="shared" ref="AL15" si="10">AL13+AL14</f>
        <v>116.19999999999999</v>
      </c>
      <c r="AM15" s="491"/>
      <c r="AN15" s="803">
        <f t="shared" ref="AN15" si="11">AN13+AN14</f>
        <v>110.89999999999992</v>
      </c>
      <c r="AO15" s="491"/>
      <c r="AP15" s="803">
        <f t="shared" ref="AP15" si="12">AP13+AP14</f>
        <v>93.558349284956023</v>
      </c>
      <c r="AQ15" s="491"/>
      <c r="AR15" s="803">
        <f t="shared" ref="AR15" si="13">AR13+AR14</f>
        <v>105.43637033023407</v>
      </c>
      <c r="AS15" s="491"/>
      <c r="AT15" s="803">
        <f t="shared" ref="AT15" si="14">AT13+AT14</f>
        <v>118.68761292129153</v>
      </c>
      <c r="AU15" s="491"/>
      <c r="AV15" s="803">
        <f t="shared" ref="AV15" si="15">AV13+AV14</f>
        <v>126.20979167638234</v>
      </c>
      <c r="AW15" s="491"/>
      <c r="AX15" s="490"/>
      <c r="AY15" s="490"/>
      <c r="AZ15" s="491"/>
      <c r="BA15" s="490"/>
      <c r="BB15" s="491"/>
      <c r="BC15" s="490"/>
      <c r="BD15" s="491"/>
      <c r="BE15" s="490"/>
      <c r="BF15" s="478"/>
      <c r="BG15" s="490"/>
      <c r="BH15" s="478"/>
      <c r="BI15" s="490"/>
      <c r="BJ15" s="478"/>
      <c r="BK15" s="490"/>
      <c r="BL15" s="478"/>
      <c r="BM15" s="490"/>
      <c r="BN15" s="478"/>
      <c r="BO15" s="490"/>
      <c r="BP15" s="478"/>
      <c r="BQ15" s="490"/>
      <c r="BR15" s="478"/>
      <c r="BS15" s="490">
        <f>BS13+BS14</f>
        <v>285.98461538461527</v>
      </c>
      <c r="BT15" s="491"/>
      <c r="BU15" s="490">
        <f>BU13+BU14</f>
        <v>284.09999999999991</v>
      </c>
      <c r="BV15" s="491"/>
      <c r="BW15" s="490">
        <f>BW13+BW14</f>
        <v>347.5</v>
      </c>
      <c r="BX15" s="491"/>
      <c r="BY15" s="490">
        <f>BY13+BY14</f>
        <v>381.49999999999977</v>
      </c>
      <c r="BZ15" s="491">
        <f>BY15/BW15*100-100</f>
        <v>9.7841726618704428</v>
      </c>
      <c r="CA15" s="490">
        <f>CA13+CA14</f>
        <v>414.69999999999959</v>
      </c>
      <c r="CB15" s="491">
        <f>CA15/BY15*100-100</f>
        <v>8.702490170380031</v>
      </c>
      <c r="CC15" s="490">
        <f>CC13+CC14</f>
        <v>443.89212421286425</v>
      </c>
      <c r="CD15" s="491">
        <f>CC15/CA15*100-100</f>
        <v>7.0393354745272916</v>
      </c>
      <c r="CE15" s="490">
        <f>CE13+CE14</f>
        <v>467.01769667109488</v>
      </c>
      <c r="CF15" s="491"/>
      <c r="CG15" s="490">
        <f>CG13+CG14</f>
        <v>478.64560724496778</v>
      </c>
      <c r="CH15" s="491"/>
      <c r="CI15" s="490">
        <f>CI13+CI14</f>
        <v>492.17283466991989</v>
      </c>
      <c r="CJ15" s="491"/>
      <c r="CK15" s="490">
        <f>CK13+CK14</f>
        <v>505.70221585350532</v>
      </c>
      <c r="CL15" s="491"/>
      <c r="CM15" s="871"/>
    </row>
    <row r="16" spans="1:91" s="475" customFormat="1" ht="12" customHeight="1" x14ac:dyDescent="0.2">
      <c r="A16" s="872" t="s">
        <v>308</v>
      </c>
      <c r="B16" s="803">
        <f>+INPUT!C667</f>
        <v>-44.100000000000009</v>
      </c>
      <c r="C16" s="491" t="str">
        <f>+INPUT!D667</f>
        <v>NA</v>
      </c>
      <c r="D16" s="803">
        <f>+INPUT!E667</f>
        <v>-49.000000000000007</v>
      </c>
      <c r="E16" s="491" t="str">
        <f>+INPUT!F667</f>
        <v>NA</v>
      </c>
      <c r="F16" s="803">
        <f>+INPUT!G667</f>
        <v>-41.499999999999993</v>
      </c>
      <c r="G16" s="491" t="str">
        <f>+INPUT!H667</f>
        <v>NA</v>
      </c>
      <c r="H16" s="803">
        <f>+INPUT!I667</f>
        <v>-49.269230769230774</v>
      </c>
      <c r="I16" s="491" t="str">
        <f>+INPUT!J667</f>
        <v>NA</v>
      </c>
      <c r="J16" s="803">
        <f>+INPUT!K667</f>
        <v>-42.7</v>
      </c>
      <c r="K16" s="491">
        <f>+INPUT!L667</f>
        <v>-3.1746031746031917</v>
      </c>
      <c r="L16" s="803">
        <f>+INPUT!M667</f>
        <v>-39.800000000000004</v>
      </c>
      <c r="M16" s="491">
        <f>+INPUT!N667</f>
        <v>-18.775510204081641</v>
      </c>
      <c r="N16" s="803">
        <f>+INPUT!O667</f>
        <v>-43.2</v>
      </c>
      <c r="O16" s="491">
        <f>+INPUT!P667</f>
        <v>4.0963855421686901</v>
      </c>
      <c r="P16" s="803">
        <f>+INPUT!Q667</f>
        <v>-58.330769230769235</v>
      </c>
      <c r="Q16" s="491">
        <f>+INPUT!R667</f>
        <v>18.391881342701026</v>
      </c>
      <c r="R16" s="803">
        <f>+INPUT!S667</f>
        <v>-37.300000000000004</v>
      </c>
      <c r="S16" s="491">
        <f>+INPUT!T667</f>
        <v>-12.646370023419195</v>
      </c>
      <c r="T16" s="803">
        <f>+INPUT!U667</f>
        <v>-36.969230769230776</v>
      </c>
      <c r="U16" s="491">
        <f>+INPUT!V667</f>
        <v>-7.1124855044453028</v>
      </c>
      <c r="V16" s="803">
        <f>+INPUT!W667</f>
        <v>-54</v>
      </c>
      <c r="W16" s="491">
        <f>+INPUT!X667</f>
        <v>25</v>
      </c>
      <c r="X16" s="803">
        <f>+INPUT!Y667</f>
        <v>-54.8</v>
      </c>
      <c r="Y16" s="491">
        <f>+INPUT!Z667</f>
        <v>-6.0530133192667961</v>
      </c>
      <c r="Z16" s="803">
        <f>+INPUT!AA667</f>
        <v>-53.29999999999999</v>
      </c>
      <c r="AA16" s="491">
        <f>+INPUT!AB667</f>
        <v>42.895442359249301</v>
      </c>
      <c r="AB16" s="803">
        <f>+INPUT!AC667</f>
        <v>-54.499999999999993</v>
      </c>
      <c r="AC16" s="491">
        <f>+INPUT!AD667</f>
        <v>47.419891801914218</v>
      </c>
      <c r="AD16" s="803">
        <f>+INPUT!AE667</f>
        <v>-57.8</v>
      </c>
      <c r="AE16" s="491">
        <f>+INPUT!AF667</f>
        <v>7.0370370370370381</v>
      </c>
      <c r="AF16" s="803">
        <f>+INPUT!AG667</f>
        <v>-53.3</v>
      </c>
      <c r="AG16" s="491">
        <f>+INPUT!AH667</f>
        <v>-2.7372262773722582</v>
      </c>
      <c r="AH16" s="803">
        <f>+INPUT!AI667</f>
        <v>-58.5</v>
      </c>
      <c r="AI16" s="491">
        <f>+INPUT!AJ667</f>
        <v>9.7560975609756468</v>
      </c>
      <c r="AJ16" s="803">
        <f>+INPUT!AK667</f>
        <v>-47.5</v>
      </c>
      <c r="AK16" s="491">
        <f>+INPUT!AL667</f>
        <v>-12.844036697247702</v>
      </c>
      <c r="AL16" s="803">
        <f>+INPUT!AM667</f>
        <v>-42.999999999999993</v>
      </c>
      <c r="AM16" s="491">
        <f>+INPUT!AN667</f>
        <v>-25.605536332179938</v>
      </c>
      <c r="AN16" s="803">
        <f>+INPUT!AO667</f>
        <v>-61.499999999999993</v>
      </c>
      <c r="AO16" s="491">
        <f>+INPUT!AP667</f>
        <v>15.384615384615373</v>
      </c>
      <c r="AP16" s="803">
        <f>+INPUT!AQ667</f>
        <v>-51.500259740259729</v>
      </c>
      <c r="AQ16" s="491">
        <f>+INPUT!AR667</f>
        <v>-11.965367965367989</v>
      </c>
      <c r="AR16" s="803">
        <f>+INPUT!AS667</f>
        <v>-51.500259740259729</v>
      </c>
      <c r="AS16" s="491">
        <f>+INPUT!AT667</f>
        <v>8.4215994531783736</v>
      </c>
      <c r="AT16" s="803">
        <f>+INPUT!AU667</f>
        <v>-51.500259740259729</v>
      </c>
      <c r="AU16" s="491">
        <f>+INPUT!AV667</f>
        <v>19.768045907580785</v>
      </c>
      <c r="AV16" s="803">
        <f>+INPUT!AW667</f>
        <v>-51.500259740259729</v>
      </c>
      <c r="AW16" s="491">
        <f>+INPUT!AX667</f>
        <v>-16.259740259740269</v>
      </c>
      <c r="AX16" s="490"/>
      <c r="AY16" s="490"/>
      <c r="AZ16" s="491"/>
      <c r="BA16" s="490"/>
      <c r="BB16" s="491"/>
      <c r="BC16" s="490"/>
      <c r="BD16" s="491"/>
      <c r="BE16" s="490"/>
      <c r="BF16" s="478"/>
      <c r="BG16" s="490"/>
      <c r="BH16" s="478"/>
      <c r="BI16" s="490"/>
      <c r="BJ16" s="478"/>
      <c r="BK16" s="490"/>
      <c r="BL16" s="478"/>
      <c r="BM16" s="490"/>
      <c r="BN16" s="478"/>
      <c r="BO16" s="490"/>
      <c r="BP16" s="478"/>
      <c r="BQ16" s="490"/>
      <c r="BR16" s="478"/>
      <c r="BS16" s="803">
        <f>+INPUT!BB667</f>
        <v>-183.86923076923077</v>
      </c>
      <c r="BT16" s="805" t="str">
        <f>+INPUT!BC667</f>
        <v>NA</v>
      </c>
      <c r="BU16" s="803">
        <f>+INPUT!BD667</f>
        <v>-184.03076923076924</v>
      </c>
      <c r="BV16" s="805">
        <f>+INPUT!BE667</f>
        <v>8.7855080952195408E-2</v>
      </c>
      <c r="BW16" s="803">
        <f>+INPUT!BF667</f>
        <v>-183.06923076923076</v>
      </c>
      <c r="BX16" s="805">
        <f>+INPUT!BG667</f>
        <v>-0.52248787828122545</v>
      </c>
      <c r="BY16" s="803">
        <f>+INPUT!BH667</f>
        <v>-218.89999999999998</v>
      </c>
      <c r="BZ16" s="805">
        <f>+INPUT!BI667</f>
        <v>19.572250934913242</v>
      </c>
      <c r="CA16" s="803">
        <f>+INPUT!BJ667</f>
        <v>-210.5</v>
      </c>
      <c r="CB16" s="805">
        <f>+INPUT!BK667</f>
        <v>-3.8373686614892648</v>
      </c>
      <c r="CC16" s="803">
        <f>+INPUT!BL667</f>
        <v>-206.00103896103892</v>
      </c>
      <c r="CD16" s="805">
        <f>+INPUT!BM667</f>
        <v>-2.1372736527131053</v>
      </c>
      <c r="CE16" s="803">
        <f>+INPUT!BN667</f>
        <v>-206.70183896103896</v>
      </c>
      <c r="CF16" s="805">
        <f>+INPUT!BO667</f>
        <v>0.3401924589965688</v>
      </c>
      <c r="CG16" s="803">
        <f>+INPUT!BP667</f>
        <v>-214.90795896103896</v>
      </c>
      <c r="CH16" s="805">
        <f>+INPUT!BQ667</f>
        <v>3.9700275726848986</v>
      </c>
      <c r="CI16" s="803">
        <f>+INPUT!BR667</f>
        <v>-223.47907056103895</v>
      </c>
      <c r="CJ16" s="805">
        <f>+INPUT!BS667</f>
        <v>3.9882709051058782</v>
      </c>
      <c r="CK16" s="803">
        <f>+INPUT!BT667</f>
        <v>-232.43251705303899</v>
      </c>
      <c r="CL16" s="805">
        <f>+INPUT!BU667</f>
        <v>4.0063915021315495</v>
      </c>
      <c r="CM16" s="871">
        <f>+INPUT!BV667</f>
        <v>2.0020633596808057</v>
      </c>
    </row>
    <row r="17" spans="1:91" s="475" customFormat="1" ht="12" hidden="1" customHeight="1" outlineLevel="1" x14ac:dyDescent="0.2">
      <c r="A17" s="873" t="s">
        <v>441</v>
      </c>
      <c r="B17" s="490"/>
      <c r="C17" s="491"/>
      <c r="D17" s="490"/>
      <c r="E17" s="491"/>
      <c r="F17" s="490"/>
      <c r="G17" s="491"/>
      <c r="H17" s="490"/>
      <c r="I17" s="491"/>
      <c r="J17" s="490"/>
      <c r="K17" s="491"/>
      <c r="L17" s="490"/>
      <c r="M17" s="491"/>
      <c r="N17" s="490"/>
      <c r="O17" s="491"/>
      <c r="P17" s="490"/>
      <c r="Q17" s="491"/>
      <c r="R17" s="490"/>
      <c r="S17" s="491"/>
      <c r="T17" s="490"/>
      <c r="U17" s="491"/>
      <c r="V17" s="490"/>
      <c r="W17" s="491"/>
      <c r="X17" s="490"/>
      <c r="Y17" s="491"/>
      <c r="Z17" s="490"/>
      <c r="AA17" s="491"/>
      <c r="AB17" s="490"/>
      <c r="AC17" s="491"/>
      <c r="AD17" s="490"/>
      <c r="AE17" s="491"/>
      <c r="AF17" s="490"/>
      <c r="AG17" s="491"/>
      <c r="AH17" s="490"/>
      <c r="AI17" s="491"/>
      <c r="AJ17" s="490"/>
      <c r="AK17" s="491"/>
      <c r="AL17" s="490"/>
      <c r="AM17" s="491"/>
      <c r="AN17" s="490"/>
      <c r="AO17" s="491"/>
      <c r="AP17" s="490"/>
      <c r="AQ17" s="491"/>
      <c r="AR17" s="490"/>
      <c r="AS17" s="491"/>
      <c r="AT17" s="490"/>
      <c r="AU17" s="491"/>
      <c r="AV17" s="490"/>
      <c r="AW17" s="491"/>
      <c r="AX17" s="492"/>
      <c r="AY17" s="490"/>
      <c r="AZ17" s="491"/>
      <c r="BA17" s="490"/>
      <c r="BB17" s="491"/>
      <c r="BC17" s="490"/>
      <c r="BD17" s="491"/>
      <c r="BE17" s="490"/>
      <c r="BF17" s="478"/>
      <c r="BG17" s="490"/>
      <c r="BH17" s="478"/>
      <c r="BI17" s="490"/>
      <c r="BJ17" s="478"/>
      <c r="BK17" s="490"/>
      <c r="BL17" s="478"/>
      <c r="BM17" s="490"/>
      <c r="BN17" s="478"/>
      <c r="BO17" s="490"/>
      <c r="BP17" s="478"/>
      <c r="BQ17" s="490"/>
      <c r="BR17" s="478"/>
      <c r="BS17" s="490"/>
      <c r="BT17" s="491"/>
      <c r="BU17" s="490"/>
      <c r="BV17" s="491"/>
      <c r="BW17" s="490"/>
      <c r="BX17" s="491"/>
      <c r="BY17" s="490"/>
      <c r="BZ17" s="491"/>
      <c r="CA17" s="490"/>
      <c r="CB17" s="491"/>
      <c r="CC17" s="490"/>
      <c r="CD17" s="491"/>
      <c r="CE17" s="490"/>
      <c r="CF17" s="491"/>
      <c r="CG17" s="490"/>
      <c r="CH17" s="491"/>
      <c r="CI17" s="490"/>
      <c r="CJ17" s="491"/>
      <c r="CK17" s="490"/>
      <c r="CL17" s="491"/>
      <c r="CM17" s="871"/>
    </row>
    <row r="18" spans="1:91" s="475" customFormat="1" ht="12" customHeight="1" collapsed="1" x14ac:dyDescent="0.2">
      <c r="A18" s="869"/>
      <c r="B18" s="490"/>
      <c r="C18" s="491"/>
      <c r="D18" s="490"/>
      <c r="E18" s="491"/>
      <c r="F18" s="490"/>
      <c r="G18" s="491"/>
      <c r="H18" s="490"/>
      <c r="I18" s="491"/>
      <c r="J18" s="490"/>
      <c r="K18" s="491"/>
      <c r="L18" s="490"/>
      <c r="M18" s="491"/>
      <c r="N18" s="490"/>
      <c r="O18" s="491"/>
      <c r="P18" s="490"/>
      <c r="Q18" s="491"/>
      <c r="R18" s="490"/>
      <c r="S18" s="491"/>
      <c r="T18" s="490"/>
      <c r="U18" s="491"/>
      <c r="V18" s="490"/>
      <c r="W18" s="491"/>
      <c r="X18" s="490"/>
      <c r="Y18" s="491"/>
      <c r="Z18" s="490"/>
      <c r="AA18" s="491"/>
      <c r="AB18" s="490"/>
      <c r="AC18" s="491"/>
      <c r="AD18" s="490"/>
      <c r="AE18" s="491"/>
      <c r="AF18" s="490"/>
      <c r="AG18" s="491"/>
      <c r="AH18" s="490"/>
      <c r="AI18" s="491"/>
      <c r="AJ18" s="490"/>
      <c r="AK18" s="491"/>
      <c r="AL18" s="490"/>
      <c r="AM18" s="491"/>
      <c r="AN18" s="490"/>
      <c r="AO18" s="491"/>
      <c r="AP18" s="490"/>
      <c r="AQ18" s="491"/>
      <c r="AR18" s="490"/>
      <c r="AS18" s="491"/>
      <c r="AT18" s="490"/>
      <c r="AU18" s="491"/>
      <c r="AV18" s="490"/>
      <c r="AW18" s="491"/>
      <c r="AX18" s="492"/>
      <c r="AY18" s="490"/>
      <c r="AZ18" s="491"/>
      <c r="BA18" s="490"/>
      <c r="BB18" s="491"/>
      <c r="BC18" s="490"/>
      <c r="BD18" s="491"/>
      <c r="BE18" s="490"/>
      <c r="BF18" s="478"/>
      <c r="BG18" s="490"/>
      <c r="BH18" s="478"/>
      <c r="BI18" s="490"/>
      <c r="BJ18" s="478"/>
      <c r="BK18" s="497"/>
      <c r="BL18" s="478"/>
      <c r="BM18" s="497"/>
      <c r="BN18" s="478"/>
      <c r="BO18" s="497"/>
      <c r="BP18" s="478"/>
      <c r="BQ18" s="497"/>
      <c r="BR18" s="478"/>
      <c r="BS18" s="497"/>
      <c r="BT18" s="779"/>
      <c r="BU18" s="497"/>
      <c r="BV18" s="779"/>
      <c r="BW18" s="497"/>
      <c r="BX18" s="779"/>
      <c r="BY18" s="497"/>
      <c r="BZ18" s="779"/>
      <c r="CA18" s="497"/>
      <c r="CB18" s="779"/>
      <c r="CC18" s="497"/>
      <c r="CD18" s="779"/>
      <c r="CE18" s="497"/>
      <c r="CF18" s="779"/>
      <c r="CG18" s="497"/>
      <c r="CH18" s="779"/>
      <c r="CI18" s="497"/>
      <c r="CJ18" s="779"/>
      <c r="CK18" s="497"/>
      <c r="CL18" s="779"/>
      <c r="CM18" s="871"/>
    </row>
    <row r="19" spans="1:91" s="501" customFormat="1" ht="12" customHeight="1" x14ac:dyDescent="0.2">
      <c r="A19" s="869" t="str">
        <f>INPUT!B668</f>
        <v>Core Pre-tax Op Earnings</v>
      </c>
      <c r="B19" s="804">
        <f>INPUT!C668</f>
        <v>301.46153846153857</v>
      </c>
      <c r="C19" s="491" t="str">
        <f>INPUT!D668</f>
        <v>NA</v>
      </c>
      <c r="D19" s="804">
        <f>INPUT!E668</f>
        <v>370.91538461538465</v>
      </c>
      <c r="E19" s="491" t="str">
        <f>INPUT!F668</f>
        <v>NA</v>
      </c>
      <c r="F19" s="804">
        <f>INPUT!G668</f>
        <v>375.48461538461555</v>
      </c>
      <c r="G19" s="491" t="str">
        <f>INPUT!H668</f>
        <v>NA</v>
      </c>
      <c r="H19" s="804">
        <f>INPUT!I668</f>
        <v>394.13846153846151</v>
      </c>
      <c r="I19" s="491" t="str">
        <f>INPUT!J668</f>
        <v>NA</v>
      </c>
      <c r="J19" s="804">
        <f>INPUT!K668</f>
        <v>364.54615384615397</v>
      </c>
      <c r="K19" s="491">
        <f>INPUT!L668</f>
        <v>20.92625669813728</v>
      </c>
      <c r="L19" s="804">
        <f>INPUT!M668</f>
        <v>412.69230769230762</v>
      </c>
      <c r="M19" s="491">
        <f>INPUT!N668</f>
        <v>11.263195006117897</v>
      </c>
      <c r="N19" s="804">
        <f>INPUT!O668</f>
        <v>398.52307692307704</v>
      </c>
      <c r="O19" s="491">
        <f>INPUT!P668</f>
        <v>6.1356605822219308</v>
      </c>
      <c r="P19" s="804">
        <f>INPUT!Q668</f>
        <v>400.76923076923089</v>
      </c>
      <c r="Q19" s="491">
        <f>INPUT!R668</f>
        <v>1.6823451344705376</v>
      </c>
      <c r="R19" s="804">
        <f>INPUT!S668</f>
        <v>402.43846153846147</v>
      </c>
      <c r="S19" s="491">
        <f>INPUT!T668</f>
        <v>10.394378679496043</v>
      </c>
      <c r="T19" s="804">
        <f>INPUT!U668</f>
        <v>434.11538461538458</v>
      </c>
      <c r="U19" s="491">
        <f>INPUT!V668</f>
        <v>5.1910531220876095</v>
      </c>
      <c r="V19" s="804">
        <f>INPUT!W668</f>
        <v>390.80000000000007</v>
      </c>
      <c r="W19" s="491">
        <f>INPUT!X668</f>
        <v>-1.9379246448424965</v>
      </c>
      <c r="X19" s="804">
        <f>INPUT!Y668</f>
        <v>387.90000000000003</v>
      </c>
      <c r="Y19" s="491">
        <f>INPUT!Z668</f>
        <v>-3.2111324376199804</v>
      </c>
      <c r="Z19" s="804">
        <f>INPUT!AA668</f>
        <v>356.29999999999995</v>
      </c>
      <c r="AA19" s="491">
        <f>INPUT!AB668</f>
        <v>-11.464724659288564</v>
      </c>
      <c r="AB19" s="804">
        <f>INPUT!AC668</f>
        <v>431.19999999999993</v>
      </c>
      <c r="AC19" s="491">
        <f>INPUT!AD668</f>
        <v>-0.67156906175246434</v>
      </c>
      <c r="AD19" s="804">
        <f>INPUT!AE668</f>
        <v>447.4000000000002</v>
      </c>
      <c r="AE19" s="491">
        <f>INPUT!AF668</f>
        <v>14.483111566018451</v>
      </c>
      <c r="AF19" s="804">
        <f>INPUT!AG668</f>
        <v>458.7999999999999</v>
      </c>
      <c r="AG19" s="491">
        <f>INPUT!AH668</f>
        <v>18.277906676978574</v>
      </c>
      <c r="AH19" s="804">
        <f>INPUT!AI668</f>
        <v>449.8</v>
      </c>
      <c r="AI19" s="491">
        <f>INPUT!AJ668</f>
        <v>26.241930957058671</v>
      </c>
      <c r="AJ19" s="804">
        <f>INPUT!AK668</f>
        <v>489.50000000000011</v>
      </c>
      <c r="AK19" s="491">
        <f>INPUT!AL668</f>
        <v>13.520408163265344</v>
      </c>
      <c r="AL19" s="804">
        <f>INPUT!AM668</f>
        <v>519.90000000000009</v>
      </c>
      <c r="AM19" s="491">
        <f>INPUT!AN668</f>
        <v>16.204738489047799</v>
      </c>
      <c r="AN19" s="804">
        <f>INPUT!AO668</f>
        <v>453.49999999999977</v>
      </c>
      <c r="AO19" s="491">
        <f>INPUT!AP668</f>
        <v>-1.1551874455100517</v>
      </c>
      <c r="AP19" s="804">
        <f>INPUT!AQ668</f>
        <v>491.99524432143357</v>
      </c>
      <c r="AQ19" s="491">
        <f>INPUT!AR668</f>
        <v>9.3808902448718499</v>
      </c>
      <c r="AR19" s="804">
        <f>INPUT!AS668</f>
        <v>501.06390495507867</v>
      </c>
      <c r="AS19" s="491">
        <f>INPUT!AT668</f>
        <v>2.3623912063490451</v>
      </c>
      <c r="AT19" s="804">
        <f>INPUT!AU668</f>
        <v>519.63403221869135</v>
      </c>
      <c r="AU19" s="491">
        <f>INPUT!AV668</f>
        <v>-5.1157488230188619E-2</v>
      </c>
      <c r="AV19" s="804">
        <f>INPUT!AW668</f>
        <v>537.4501252391517</v>
      </c>
      <c r="AW19" s="491">
        <f>INPUT!AX668</f>
        <v>18.511604242370879</v>
      </c>
      <c r="AX19" s="500"/>
      <c r="AY19" s="499"/>
      <c r="AZ19" s="491"/>
      <c r="BA19" s="499"/>
      <c r="BB19" s="491"/>
      <c r="BC19" s="499"/>
      <c r="BD19" s="491"/>
      <c r="BE19" s="499"/>
      <c r="BF19" s="478"/>
      <c r="BG19" s="499"/>
      <c r="BH19" s="478"/>
      <c r="BI19" s="499"/>
      <c r="BJ19" s="478"/>
      <c r="BK19" s="500"/>
      <c r="BL19" s="478"/>
      <c r="BM19" s="500"/>
      <c r="BN19" s="478"/>
      <c r="BO19" s="500"/>
      <c r="BP19" s="478"/>
      <c r="BQ19" s="500"/>
      <c r="BR19" s="478"/>
      <c r="BS19" s="500">
        <f>INPUT!BB668</f>
        <v>1441.9999999999995</v>
      </c>
      <c r="BT19" s="779" t="str">
        <f>INPUT!BC668</f>
        <v>NA</v>
      </c>
      <c r="BU19" s="500">
        <f>INPUT!BD668</f>
        <v>1576.5307692307688</v>
      </c>
      <c r="BV19" s="779">
        <f>INPUT!BE668</f>
        <v>9.3294569508161658</v>
      </c>
      <c r="BW19" s="500">
        <f>INPUT!BF668</f>
        <v>1615.2538461538466</v>
      </c>
      <c r="BX19" s="779">
        <f>INPUT!BG668</f>
        <v>2.456220815910342</v>
      </c>
      <c r="BY19" s="500">
        <f>INPUT!BH668</f>
        <v>1693.7000000000007</v>
      </c>
      <c r="BZ19" s="491">
        <f>BY19/BW19*100-100</f>
        <v>4.8565836281984929</v>
      </c>
      <c r="CA19" s="500">
        <f>INPUT!BJ668</f>
        <v>1912.7000000000007</v>
      </c>
      <c r="CB19" s="491">
        <f>CA19/BY19*100-100</f>
        <v>12.930271004310072</v>
      </c>
      <c r="CC19" s="500">
        <f>INPUT!BL668</f>
        <v>2050.1433067343555</v>
      </c>
      <c r="CD19" s="491">
        <f>CC19/CA19*100-100</f>
        <v>7.1858266709026424</v>
      </c>
      <c r="CE19" s="500">
        <f>INPUT!BN668</f>
        <v>2152.5429853267619</v>
      </c>
      <c r="CF19" s="780">
        <f>INPUT!BO668</f>
        <v>4.9947571106879138</v>
      </c>
      <c r="CG19" s="500">
        <f>INPUT!BP668</f>
        <v>2262.1211541109324</v>
      </c>
      <c r="CH19" s="779">
        <f>INPUT!BQ668</f>
        <v>5.0906378888194865</v>
      </c>
      <c r="CI19" s="500">
        <f>INPUT!BR668</f>
        <v>2364.8769688981479</v>
      </c>
      <c r="CJ19" s="779">
        <f>INPUT!BS668</f>
        <v>4.5424540856478188</v>
      </c>
      <c r="CK19" s="500">
        <f>INPUT!BT668</f>
        <v>2470.4230345843162</v>
      </c>
      <c r="CL19" s="779">
        <f>INPUT!BU668</f>
        <v>4.4630679343689081</v>
      </c>
      <c r="CM19" s="871">
        <f>INPUT!BV668</f>
        <v>5.2506760387326823</v>
      </c>
    </row>
    <row r="20" spans="1:91" s="475" customFormat="1" ht="12" customHeight="1" x14ac:dyDescent="0.2">
      <c r="A20" s="865" t="str">
        <f>+INPUT!B669</f>
        <v>Abnormal Items</v>
      </c>
      <c r="B20" s="490">
        <f>+INPUT!C669</f>
        <v>13.538461538461535</v>
      </c>
      <c r="C20" s="491" t="str">
        <f>INPUT!D669</f>
        <v>NA</v>
      </c>
      <c r="D20" s="490">
        <f>+INPUT!E669</f>
        <v>-4.615384615384615</v>
      </c>
      <c r="E20" s="491" t="str">
        <f>INPUT!F669</f>
        <v>NA</v>
      </c>
      <c r="F20" s="490">
        <f>+INPUT!G669</f>
        <v>-15.384615384615383</v>
      </c>
      <c r="G20" s="491" t="str">
        <f>INPUT!H669</f>
        <v>NA</v>
      </c>
      <c r="H20" s="490">
        <f>+INPUT!I669</f>
        <v>-1.5384615384615383</v>
      </c>
      <c r="I20" s="491" t="str">
        <f>INPUT!J669</f>
        <v>NA</v>
      </c>
      <c r="J20" s="490">
        <f>+INPUT!K669</f>
        <v>36.153846153846153</v>
      </c>
      <c r="K20" s="491" t="str">
        <f>INPUT!L669</f>
        <v>NM</v>
      </c>
      <c r="L20" s="490">
        <f>+INPUT!M669</f>
        <v>22.307692307692307</v>
      </c>
      <c r="M20" s="491" t="str">
        <f>INPUT!N669</f>
        <v>NM</v>
      </c>
      <c r="N20" s="490">
        <f>+INPUT!O669</f>
        <v>79.07692307692308</v>
      </c>
      <c r="O20" s="491" t="str">
        <f>INPUT!P669</f>
        <v>NM</v>
      </c>
      <c r="P20" s="490">
        <f>+INPUT!Q669</f>
        <v>9.2307692307692299</v>
      </c>
      <c r="Q20" s="491" t="str">
        <f>INPUT!R669</f>
        <v>NM</v>
      </c>
      <c r="R20" s="490">
        <f>+INPUT!S669</f>
        <v>18.46153846153846</v>
      </c>
      <c r="S20" s="491">
        <f>INPUT!T669</f>
        <v>-48.936170212765958</v>
      </c>
      <c r="T20" s="490">
        <f>+INPUT!U669</f>
        <v>-4.615384615384615</v>
      </c>
      <c r="U20" s="491" t="str">
        <f>INPUT!V669</f>
        <v>NM</v>
      </c>
      <c r="V20" s="490">
        <f>+INPUT!W669</f>
        <v>8</v>
      </c>
      <c r="W20" s="491" t="str">
        <f>INPUT!X669</f>
        <v>NM</v>
      </c>
      <c r="X20" s="490">
        <f>+INPUT!Y669</f>
        <v>0</v>
      </c>
      <c r="Y20" s="491" t="str">
        <f>INPUT!Z669</f>
        <v>NM</v>
      </c>
      <c r="Z20" s="490">
        <f>+INPUT!AA669</f>
        <v>0</v>
      </c>
      <c r="AA20" s="491" t="str">
        <f>INPUT!AB669</f>
        <v>NM</v>
      </c>
      <c r="AB20" s="490">
        <f>+INPUT!AC669</f>
        <v>0</v>
      </c>
      <c r="AC20" s="491" t="str">
        <f>INPUT!AD669</f>
        <v>NM</v>
      </c>
      <c r="AD20" s="490">
        <f>+INPUT!AE669</f>
        <v>-31.000000000000004</v>
      </c>
      <c r="AE20" s="491" t="str">
        <f>INPUT!AF669</f>
        <v>NM</v>
      </c>
      <c r="AF20" s="490">
        <f>+INPUT!AG669</f>
        <v>6</v>
      </c>
      <c r="AG20" s="491" t="str">
        <f>INPUT!AH669</f>
        <v>NA</v>
      </c>
      <c r="AH20" s="490">
        <f>+INPUT!AI669</f>
        <v>23</v>
      </c>
      <c r="AI20" s="491" t="str">
        <f>INPUT!AJ669</f>
        <v>NA</v>
      </c>
      <c r="AJ20" s="490">
        <f>+INPUT!AK669</f>
        <v>5</v>
      </c>
      <c r="AK20" s="491" t="str">
        <f>INPUT!AL669</f>
        <v>NA</v>
      </c>
      <c r="AL20" s="490">
        <f>+INPUT!AM669</f>
        <v>-67</v>
      </c>
      <c r="AM20" s="491" t="str">
        <f>INPUT!AN669</f>
        <v>NM</v>
      </c>
      <c r="AN20" s="490">
        <f>+INPUT!AO669</f>
        <v>0</v>
      </c>
      <c r="AO20" s="491" t="str">
        <f>INPUT!AP669</f>
        <v>NM</v>
      </c>
      <c r="AP20" s="490">
        <f>+INPUT!AQ669</f>
        <v>0</v>
      </c>
      <c r="AQ20" s="491" t="str">
        <f>INPUT!AR669</f>
        <v>NM</v>
      </c>
      <c r="AR20" s="490">
        <f>+INPUT!AS669</f>
        <v>0</v>
      </c>
      <c r="AS20" s="491" t="str">
        <f>INPUT!AT669</f>
        <v>NM</v>
      </c>
      <c r="AT20" s="490">
        <f>+INPUT!AU669</f>
        <v>0</v>
      </c>
      <c r="AU20" s="491" t="str">
        <f>INPUT!AV669</f>
        <v>NM</v>
      </c>
      <c r="AV20" s="490">
        <f>+INPUT!AW669</f>
        <v>0</v>
      </c>
      <c r="AW20" s="491" t="str">
        <f>INPUT!AX669</f>
        <v>NA</v>
      </c>
      <c r="AX20" s="497"/>
      <c r="AY20" s="502"/>
      <c r="AZ20" s="504"/>
      <c r="BA20" s="502"/>
      <c r="BB20" s="504"/>
      <c r="BC20" s="502"/>
      <c r="BD20" s="504"/>
      <c r="BE20" s="502"/>
      <c r="BF20" s="478"/>
      <c r="BG20" s="502"/>
      <c r="BH20" s="478"/>
      <c r="BI20" s="502"/>
      <c r="BJ20" s="478"/>
      <c r="BK20" s="497"/>
      <c r="BL20" s="478"/>
      <c r="BM20" s="497"/>
      <c r="BN20" s="478"/>
      <c r="BO20" s="497"/>
      <c r="BP20" s="478"/>
      <c r="BQ20" s="497"/>
      <c r="BR20" s="478"/>
      <c r="BS20" s="497">
        <f>+INPUT!BB669</f>
        <v>-8.0000000000000018</v>
      </c>
      <c r="BT20" s="779" t="str">
        <f>+INPUT!BC669</f>
        <v>NA</v>
      </c>
      <c r="BU20" s="497">
        <f>+INPUT!BD669</f>
        <v>146.76923076923077</v>
      </c>
      <c r="BV20" s="779" t="str">
        <f>+INPUT!BE669</f>
        <v>NM</v>
      </c>
      <c r="BW20" s="497">
        <f>+INPUT!BF669</f>
        <v>21.84615384615385</v>
      </c>
      <c r="BX20" s="779" t="str">
        <f>+INPUT!BG669</f>
        <v>NM</v>
      </c>
      <c r="BY20" s="497">
        <f>+INPUT!BH669</f>
        <v>-25.000000000000004</v>
      </c>
      <c r="BZ20" s="779" t="str">
        <f>+INPUT!BI669</f>
        <v>NM</v>
      </c>
      <c r="CA20" s="497">
        <f>+INPUT!BJ669</f>
        <v>-39</v>
      </c>
      <c r="CB20" s="779">
        <f>+INPUT!BK669</f>
        <v>55.999999999999972</v>
      </c>
      <c r="CC20" s="497">
        <f>+INPUT!BL669</f>
        <v>0</v>
      </c>
      <c r="CD20" s="779" t="str">
        <f>+INPUT!BM669</f>
        <v>NM</v>
      </c>
      <c r="CE20" s="497">
        <f>+INPUT!BN669</f>
        <v>0</v>
      </c>
      <c r="CF20" s="779" t="str">
        <f>+INPUT!BO669</f>
        <v>NA</v>
      </c>
      <c r="CG20" s="497">
        <f>+INPUT!BP669</f>
        <v>0</v>
      </c>
      <c r="CH20" s="779" t="str">
        <f>+INPUT!BQ669</f>
        <v>NA</v>
      </c>
      <c r="CI20" s="497">
        <f>+INPUT!BR669</f>
        <v>0</v>
      </c>
      <c r="CJ20" s="779" t="str">
        <f>+INPUT!BS669</f>
        <v>NA</v>
      </c>
      <c r="CK20" s="497">
        <f>+INPUT!BT669</f>
        <v>0</v>
      </c>
      <c r="CL20" s="779" t="str">
        <f>+INPUT!BU669</f>
        <v>NA</v>
      </c>
      <c r="CM20" s="871" t="str">
        <f>+INPUT!BV669</f>
        <v>NM</v>
      </c>
    </row>
    <row r="21" spans="1:91" s="501" customFormat="1" ht="12" customHeight="1" x14ac:dyDescent="0.2">
      <c r="A21" s="869" t="str">
        <f>+INPUT!B670</f>
        <v>Reported Pre- Tax Earnings</v>
      </c>
      <c r="B21" s="499">
        <f>+INPUT!C670</f>
        <v>315.00000000000011</v>
      </c>
      <c r="C21" s="491" t="str">
        <f>INPUT!D670</f>
        <v>NA</v>
      </c>
      <c r="D21" s="499">
        <f>+INPUT!E670</f>
        <v>366.3</v>
      </c>
      <c r="E21" s="491" t="str">
        <f>INPUT!F670</f>
        <v>NA</v>
      </c>
      <c r="F21" s="499">
        <f>+INPUT!G670</f>
        <v>360.10000000000019</v>
      </c>
      <c r="G21" s="491" t="str">
        <f>INPUT!H670</f>
        <v>NA</v>
      </c>
      <c r="H21" s="499">
        <f>+INPUT!I670</f>
        <v>392.59999999999997</v>
      </c>
      <c r="I21" s="491" t="str">
        <f>INPUT!J670</f>
        <v>NA</v>
      </c>
      <c r="J21" s="499">
        <f>+INPUT!K670</f>
        <v>400.7000000000001</v>
      </c>
      <c r="K21" s="491">
        <f>INPUT!L670</f>
        <v>27.206349206349188</v>
      </c>
      <c r="L21" s="499">
        <f>+INPUT!M670</f>
        <v>434.99999999999994</v>
      </c>
      <c r="M21" s="491">
        <f>INPUT!N670</f>
        <v>18.75511875511873</v>
      </c>
      <c r="N21" s="499">
        <f>+INPUT!O670</f>
        <v>477.60000000000014</v>
      </c>
      <c r="O21" s="491">
        <f>INPUT!P670</f>
        <v>32.629825048597581</v>
      </c>
      <c r="P21" s="499">
        <f>+INPUT!Q670</f>
        <v>410.00000000000011</v>
      </c>
      <c r="Q21" s="491">
        <f>INPUT!R670</f>
        <v>4.4319918492104335</v>
      </c>
      <c r="R21" s="499">
        <f>+INPUT!S670</f>
        <v>420.89999999999992</v>
      </c>
      <c r="S21" s="491">
        <f>INPUT!T670</f>
        <v>5.0411779386073903</v>
      </c>
      <c r="T21" s="499">
        <f>+INPUT!U670</f>
        <v>429.49999999999994</v>
      </c>
      <c r="U21" s="491">
        <f>INPUT!V670</f>
        <v>-1.2643678160919478</v>
      </c>
      <c r="V21" s="499">
        <f>+INPUT!W670</f>
        <v>398.80000000000007</v>
      </c>
      <c r="W21" s="491">
        <f>INPUT!X670</f>
        <v>-16.499162479061994</v>
      </c>
      <c r="X21" s="499">
        <f>+INPUT!Y670</f>
        <v>387.90000000000003</v>
      </c>
      <c r="Y21" s="491">
        <f>INPUT!Z670</f>
        <v>-5.3902439024390389</v>
      </c>
      <c r="Z21" s="499">
        <f>+INPUT!AA670</f>
        <v>356.29999999999995</v>
      </c>
      <c r="AA21" s="491">
        <f>INPUT!AB670</f>
        <v>-15.348063673081498</v>
      </c>
      <c r="AB21" s="499">
        <f>+INPUT!AC670</f>
        <v>431.19999999999993</v>
      </c>
      <c r="AC21" s="491">
        <f>INPUT!AD670</f>
        <v>0.39580908032594664</v>
      </c>
      <c r="AD21" s="499">
        <f>+INPUT!AE670</f>
        <v>416.4000000000002</v>
      </c>
      <c r="AE21" s="491">
        <f>INPUT!AF670</f>
        <v>4.4132397191575023</v>
      </c>
      <c r="AF21" s="499">
        <f>+INPUT!AG670</f>
        <v>464.7999999999999</v>
      </c>
      <c r="AG21" s="491">
        <f>INPUT!AH670</f>
        <v>19.824697086878018</v>
      </c>
      <c r="AH21" s="499">
        <f>+INPUT!AI670</f>
        <v>472.8</v>
      </c>
      <c r="AI21" s="491">
        <f>INPUT!AJ670</f>
        <v>32.697165310131936</v>
      </c>
      <c r="AJ21" s="499">
        <f>+INPUT!AK670</f>
        <v>494.50000000000011</v>
      </c>
      <c r="AK21" s="491">
        <f>INPUT!AL670</f>
        <v>14.679962894248646</v>
      </c>
      <c r="AL21" s="499">
        <f>+INPUT!AM670</f>
        <v>452.90000000000009</v>
      </c>
      <c r="AM21" s="491">
        <f>INPUT!AN670</f>
        <v>8.7656099903938127</v>
      </c>
      <c r="AN21" s="499">
        <f>+INPUT!AO670</f>
        <v>453.49999999999977</v>
      </c>
      <c r="AO21" s="491">
        <f>INPUT!AP670</f>
        <v>-2.4311531841652538</v>
      </c>
      <c r="AP21" s="499">
        <f>+INPUT!AQ670</f>
        <v>491.99524432143357</v>
      </c>
      <c r="AQ21" s="491">
        <f>INPUT!AR670</f>
        <v>4.0599078514030396</v>
      </c>
      <c r="AR21" s="499">
        <f>+INPUT!AS670</f>
        <v>501.06390495507867</v>
      </c>
      <c r="AS21" s="491">
        <f>INPUT!AT670</f>
        <v>1.3273821951625138</v>
      </c>
      <c r="AT21" s="499">
        <f>+INPUT!AU670</f>
        <v>519.63403221869135</v>
      </c>
      <c r="AU21" s="491">
        <f>INPUT!AV670</f>
        <v>14.734827162440098</v>
      </c>
      <c r="AV21" s="499">
        <f>+INPUT!AW670</f>
        <v>537.4501252391517</v>
      </c>
      <c r="AW21" s="491">
        <f>INPUT!AX670</f>
        <v>18.511604242370879</v>
      </c>
      <c r="AX21" s="500"/>
      <c r="AY21" s="499"/>
      <c r="AZ21" s="491"/>
      <c r="BA21" s="499"/>
      <c r="BB21" s="491"/>
      <c r="BC21" s="499"/>
      <c r="BD21" s="491"/>
      <c r="BE21" s="499"/>
      <c r="BF21" s="478"/>
      <c r="BG21" s="499"/>
      <c r="BH21" s="478"/>
      <c r="BI21" s="499"/>
      <c r="BJ21" s="478"/>
      <c r="BK21" s="500"/>
      <c r="BL21" s="478"/>
      <c r="BM21" s="500"/>
      <c r="BN21" s="478"/>
      <c r="BO21" s="500"/>
      <c r="BP21" s="478"/>
      <c r="BQ21" s="500"/>
      <c r="BR21" s="478"/>
      <c r="BS21" s="500">
        <f>+INPUT!BB670</f>
        <v>1433.9999999999995</v>
      </c>
      <c r="BT21" s="779" t="str">
        <f>+INPUT!BC670</f>
        <v>NA</v>
      </c>
      <c r="BU21" s="500">
        <f>+INPUT!BD670</f>
        <v>1723.2999999999995</v>
      </c>
      <c r="BV21" s="779">
        <f>+INPUT!BE670</f>
        <v>20.174337517433756</v>
      </c>
      <c r="BW21" s="500">
        <f>+INPUT!BF670</f>
        <v>1637.1000000000004</v>
      </c>
      <c r="BX21" s="779">
        <f>+INPUT!BG670</f>
        <v>-5.0020309870596549</v>
      </c>
      <c r="BY21" s="500">
        <f>+INPUT!BH670</f>
        <v>1668.7000000000007</v>
      </c>
      <c r="BZ21" s="491">
        <f>BY21/BW21*100-100</f>
        <v>1.9302425019852336</v>
      </c>
      <c r="CA21" s="500">
        <f>+INPUT!BJ670</f>
        <v>1873.7000000000007</v>
      </c>
      <c r="CB21" s="491">
        <f>CA21/BY21*100-100</f>
        <v>12.285012285012286</v>
      </c>
      <c r="CC21" s="500">
        <f>+INPUT!BL670</f>
        <v>2050.1433067343555</v>
      </c>
      <c r="CD21" s="491">
        <f>CC21/CA21*100-100</f>
        <v>9.4168387006647265</v>
      </c>
      <c r="CE21" s="500">
        <f>+INPUT!BN670</f>
        <v>2152.5429853267619</v>
      </c>
      <c r="CF21" s="780">
        <f>+INPUT!BO670</f>
        <v>4.9947571106879138</v>
      </c>
      <c r="CG21" s="500">
        <f>+INPUT!BP670</f>
        <v>2262.1211541109324</v>
      </c>
      <c r="CH21" s="779">
        <f>+INPUT!BQ670</f>
        <v>5.0906378888194865</v>
      </c>
      <c r="CI21" s="500">
        <f>+INPUT!BR670</f>
        <v>2364.8769688981479</v>
      </c>
      <c r="CJ21" s="779">
        <f>+INPUT!BS670</f>
        <v>4.5424540856478188</v>
      </c>
      <c r="CK21" s="500">
        <f>+INPUT!BT670</f>
        <v>2470.4230345843162</v>
      </c>
      <c r="CL21" s="779">
        <f>+INPUT!BU670</f>
        <v>4.4630679343689081</v>
      </c>
      <c r="CM21" s="871">
        <f>+INPUT!BV670</f>
        <v>5.6852196278541767</v>
      </c>
    </row>
    <row r="22" spans="1:91" s="475" customFormat="1" ht="12" hidden="1" customHeight="1" outlineLevel="1" x14ac:dyDescent="0.2">
      <c r="A22" s="874" t="s">
        <v>167</v>
      </c>
      <c r="B22" s="506" t="e">
        <f>+#REF!+#REF!+#REF!+B16+B20-B21</f>
        <v>#REF!</v>
      </c>
      <c r="C22" s="507"/>
      <c r="D22" s="506" t="e">
        <f>+#REF!+#REF!+#REF!+D16+D20-D21</f>
        <v>#REF!</v>
      </c>
      <c r="E22" s="507"/>
      <c r="F22" s="506" t="e">
        <f>+#REF!+#REF!+#REF!+F16+F20-F21</f>
        <v>#REF!</v>
      </c>
      <c r="G22" s="507"/>
      <c r="H22" s="506" t="e">
        <f>+#REF!+#REF!+#REF!+H16+H20-H21</f>
        <v>#REF!</v>
      </c>
      <c r="I22" s="507"/>
      <c r="J22" s="506" t="e">
        <f>+#REF!+#REF!+#REF!+J16+J20-J21</f>
        <v>#REF!</v>
      </c>
      <c r="K22" s="507"/>
      <c r="L22" s="506" t="e">
        <f>+#REF!+#REF!+#REF!+L16+L20-L21</f>
        <v>#REF!</v>
      </c>
      <c r="M22" s="507"/>
      <c r="N22" s="506" t="e">
        <f>+#REF!+#REF!+#REF!+N16+N20-N21</f>
        <v>#REF!</v>
      </c>
      <c r="O22" s="507"/>
      <c r="P22" s="506" t="e">
        <f>+#REF!+#REF!+#REF!+P16+P20-P21</f>
        <v>#REF!</v>
      </c>
      <c r="Q22" s="507"/>
      <c r="R22" s="506" t="e">
        <f>+#REF!+#REF!+#REF!+R16+R20-R21</f>
        <v>#REF!</v>
      </c>
      <c r="S22" s="507"/>
      <c r="T22" s="506" t="e">
        <f>+#REF!+#REF!+#REF!+T16+T20-T21</f>
        <v>#REF!</v>
      </c>
      <c r="U22" s="507"/>
      <c r="V22" s="506" t="e">
        <f>+#REF!+#REF!+#REF!+V16+V20-V21</f>
        <v>#REF!</v>
      </c>
      <c r="W22" s="507"/>
      <c r="X22" s="506" t="e">
        <f>+#REF!+#REF!+#REF!+X16+X20-X21</f>
        <v>#REF!</v>
      </c>
      <c r="Y22" s="507"/>
      <c r="Z22" s="506" t="e">
        <f>+#REF!+#REF!+#REF!+Z16+Z20-Z21</f>
        <v>#REF!</v>
      </c>
      <c r="AA22" s="507"/>
      <c r="AB22" s="506" t="e">
        <f>+#REF!+#REF!+#REF!+AB16+AB20-AB21</f>
        <v>#REF!</v>
      </c>
      <c r="AC22" s="507"/>
      <c r="AD22" s="506" t="e">
        <f>+#REF!+#REF!+#REF!+AD16+AD20-AD21</f>
        <v>#REF!</v>
      </c>
      <c r="AE22" s="507"/>
      <c r="AF22" s="506" t="e">
        <f>+#REF!+#REF!+#REF!+AF16+AF20-AF21</f>
        <v>#REF!</v>
      </c>
      <c r="AG22" s="507"/>
      <c r="AH22" s="506" t="e">
        <f>+#REF!+#REF!+#REF!+AH16+AH20-AH21</f>
        <v>#REF!</v>
      </c>
      <c r="AI22" s="507"/>
      <c r="AJ22" s="506" t="e">
        <f>+#REF!+#REF!+#REF!+AJ16+AJ20-AJ21</f>
        <v>#REF!</v>
      </c>
      <c r="AK22" s="507"/>
      <c r="AL22" s="506" t="e">
        <f>+#REF!+#REF!+#REF!+AL16+AL20-AL21</f>
        <v>#REF!</v>
      </c>
      <c r="AM22" s="507"/>
      <c r="AN22" s="506" t="e">
        <f>+#REF!+#REF!+#REF!+AN16+AN20-AN21</f>
        <v>#REF!</v>
      </c>
      <c r="AO22" s="507"/>
      <c r="AP22" s="506" t="e">
        <f>+#REF!+#REF!+#REF!+AP16+AP20-AP21</f>
        <v>#REF!</v>
      </c>
      <c r="AQ22" s="507"/>
      <c r="AR22" s="506" t="e">
        <f>+#REF!+#REF!+#REF!+AR16+AR20-AR21</f>
        <v>#REF!</v>
      </c>
      <c r="AS22" s="507"/>
      <c r="AT22" s="506" t="e">
        <f>+#REF!+#REF!+#REF!+AT16+AT20-AT21</f>
        <v>#REF!</v>
      </c>
      <c r="AU22" s="507"/>
      <c r="AV22" s="506" t="e">
        <f>+#REF!+#REF!+#REF!+AV16+AV20-AV21</f>
        <v>#REF!</v>
      </c>
      <c r="AW22" s="507"/>
      <c r="AX22" s="509"/>
      <c r="AY22" s="506"/>
      <c r="AZ22" s="507"/>
      <c r="BA22" s="506"/>
      <c r="BB22" s="507"/>
      <c r="BC22" s="506"/>
      <c r="BD22" s="507"/>
      <c r="BE22" s="506"/>
      <c r="BF22" s="507"/>
      <c r="BG22" s="506"/>
      <c r="BH22" s="507"/>
      <c r="BI22" s="506"/>
      <c r="BJ22" s="507"/>
      <c r="BK22" s="506"/>
      <c r="BL22" s="507"/>
      <c r="BM22" s="508"/>
      <c r="BN22" s="507"/>
      <c r="BO22" s="508"/>
      <c r="BP22" s="507"/>
      <c r="BQ22" s="508"/>
      <c r="BR22" s="507"/>
      <c r="BS22" s="506" t="e">
        <f>+#REF!+#REF!+#REF!+BS16+BS20-BS21</f>
        <v>#REF!</v>
      </c>
      <c r="BT22" s="506"/>
      <c r="BU22" s="506" t="e">
        <f>+#REF!+#REF!+#REF!+BU16+BU20-BU21</f>
        <v>#REF!</v>
      </c>
      <c r="BV22" s="506"/>
      <c r="BW22" s="506" t="e">
        <f>+#REF!+#REF!+#REF!+BW16+BW20-BW21</f>
        <v>#REF!</v>
      </c>
      <c r="BX22" s="506"/>
      <c r="BY22" s="506" t="e">
        <f>+#REF!+#REF!+#REF!+BY16+BY20-BY21</f>
        <v>#REF!</v>
      </c>
      <c r="BZ22" s="506"/>
      <c r="CA22" s="506" t="e">
        <f>+#REF!+#REF!+#REF!+CA16+CA20-CA21</f>
        <v>#REF!</v>
      </c>
      <c r="CB22" s="506"/>
      <c r="CC22" s="506" t="e">
        <f>+#REF!+#REF!+#REF!+CC16+CC20-CC21</f>
        <v>#REF!</v>
      </c>
      <c r="CD22" s="506"/>
      <c r="CE22" s="506" t="e">
        <f>+#REF!+#REF!+#REF!+CE16+CE20-CE21</f>
        <v>#REF!</v>
      </c>
      <c r="CF22" s="506"/>
      <c r="CG22" s="506" t="e">
        <f>+#REF!+#REF!+#REF!+CG16+CG20-CG21</f>
        <v>#REF!</v>
      </c>
      <c r="CH22" s="506"/>
      <c r="CI22" s="506" t="e">
        <f>+#REF!+#REF!+#REF!+CI16+CI20-CI21</f>
        <v>#REF!</v>
      </c>
      <c r="CJ22" s="506"/>
      <c r="CK22" s="506" t="e">
        <f>+#REF!+#REF!+#REF!+CK16+CK20-CK21</f>
        <v>#REF!</v>
      </c>
      <c r="CL22" s="506"/>
      <c r="CM22" s="875"/>
    </row>
    <row r="23" spans="1:91" s="475" customFormat="1" ht="12" customHeight="1" collapsed="1" x14ac:dyDescent="0.2">
      <c r="A23" s="874"/>
      <c r="B23" s="506"/>
      <c r="C23" s="507"/>
      <c r="D23" s="506"/>
      <c r="E23" s="507"/>
      <c r="F23" s="506"/>
      <c r="G23" s="507"/>
      <c r="H23" s="506"/>
      <c r="I23" s="507"/>
      <c r="J23" s="506"/>
      <c r="K23" s="507"/>
      <c r="L23" s="506"/>
      <c r="M23" s="507"/>
      <c r="N23" s="506"/>
      <c r="O23" s="507"/>
      <c r="P23" s="506"/>
      <c r="Q23" s="507"/>
      <c r="R23" s="506"/>
      <c r="S23" s="507"/>
      <c r="T23" s="506"/>
      <c r="U23" s="507"/>
      <c r="V23" s="506"/>
      <c r="W23" s="507"/>
      <c r="X23" s="506"/>
      <c r="Y23" s="507"/>
      <c r="Z23" s="506"/>
      <c r="AA23" s="507"/>
      <c r="AB23" s="506"/>
      <c r="AC23" s="507"/>
      <c r="AD23" s="506"/>
      <c r="AE23" s="507"/>
      <c r="AF23" s="506"/>
      <c r="AG23" s="507"/>
      <c r="AH23" s="506"/>
      <c r="AI23" s="507"/>
      <c r="AJ23" s="506"/>
      <c r="AK23" s="507"/>
      <c r="AL23" s="506"/>
      <c r="AM23" s="507"/>
      <c r="AN23" s="506"/>
      <c r="AO23" s="507"/>
      <c r="AP23" s="506"/>
      <c r="AQ23" s="507"/>
      <c r="AR23" s="506"/>
      <c r="AS23" s="507"/>
      <c r="AT23" s="506"/>
      <c r="AU23" s="507"/>
      <c r="AV23" s="506"/>
      <c r="AW23" s="507"/>
      <c r="AX23" s="509"/>
      <c r="AY23" s="506"/>
      <c r="AZ23" s="507"/>
      <c r="BA23" s="506"/>
      <c r="BB23" s="507"/>
      <c r="BC23" s="506"/>
      <c r="BD23" s="507"/>
      <c r="BE23" s="506"/>
      <c r="BF23" s="507"/>
      <c r="BG23" s="506"/>
      <c r="BH23" s="507"/>
      <c r="BI23" s="506"/>
      <c r="BJ23" s="507"/>
      <c r="BK23" s="506"/>
      <c r="BL23" s="507"/>
      <c r="BM23" s="508"/>
      <c r="BN23" s="507"/>
      <c r="BO23" s="508"/>
      <c r="BP23" s="507"/>
      <c r="BQ23" s="508"/>
      <c r="BR23" s="507"/>
      <c r="BS23" s="508"/>
      <c r="BT23" s="508"/>
      <c r="BU23" s="508"/>
      <c r="BV23" s="508"/>
      <c r="BW23" s="508"/>
      <c r="BX23" s="508"/>
      <c r="BY23" s="508"/>
      <c r="BZ23" s="508"/>
      <c r="CA23" s="508"/>
      <c r="CB23" s="508"/>
      <c r="CC23" s="508"/>
      <c r="CD23" s="508"/>
      <c r="CE23" s="508"/>
      <c r="CF23" s="508"/>
      <c r="CG23" s="508"/>
      <c r="CH23" s="508"/>
      <c r="CI23" s="508"/>
      <c r="CJ23" s="508"/>
      <c r="CK23" s="508"/>
      <c r="CL23" s="508"/>
      <c r="CM23" s="875"/>
    </row>
    <row r="24" spans="1:91" s="475" customFormat="1" ht="12" customHeight="1" x14ac:dyDescent="0.2">
      <c r="A24" s="865" t="str">
        <f>+INPUT!B704</f>
        <v xml:space="preserve">Taxes </v>
      </c>
      <c r="B24" s="803">
        <f>+INPUT!C704</f>
        <v>81.699999999999989</v>
      </c>
      <c r="C24" s="491" t="str">
        <f>+INPUT!D704</f>
        <v>NA</v>
      </c>
      <c r="D24" s="803">
        <f>+INPUT!E704</f>
        <v>94.900000000000034</v>
      </c>
      <c r="E24" s="491" t="str">
        <f>+INPUT!F704</f>
        <v>NA</v>
      </c>
      <c r="F24" s="803">
        <f>+INPUT!G704</f>
        <v>90.900000000000205</v>
      </c>
      <c r="G24" s="491" t="str">
        <f>+INPUT!H704</f>
        <v>NA</v>
      </c>
      <c r="H24" s="803">
        <f>+INPUT!I704</f>
        <v>106.59999999999997</v>
      </c>
      <c r="I24" s="491" t="str">
        <f>+INPUT!J704</f>
        <v>NA</v>
      </c>
      <c r="J24" s="803">
        <f>+INPUT!K704</f>
        <v>83.700000000000102</v>
      </c>
      <c r="K24" s="491">
        <f>+INPUT!L704</f>
        <v>2.4479804161568097</v>
      </c>
      <c r="L24" s="803">
        <f>+INPUT!M704</f>
        <v>111.99999999999994</v>
      </c>
      <c r="M24" s="491">
        <f>+INPUT!N704</f>
        <v>18.018967334035722</v>
      </c>
      <c r="N24" s="803">
        <f>+INPUT!O704</f>
        <v>88.023076923077042</v>
      </c>
      <c r="O24" s="491">
        <f>+INPUT!P704</f>
        <v>-3.1649318778032551</v>
      </c>
      <c r="P24" s="803">
        <f>+INPUT!Q704</f>
        <v>74.469230769230904</v>
      </c>
      <c r="Q24" s="491">
        <f>+INPUT!R704</f>
        <v>-30.141434550440025</v>
      </c>
      <c r="R24" s="803">
        <f>+INPUT!S704</f>
        <v>79.838461538461473</v>
      </c>
      <c r="S24" s="491">
        <f>+INPUT!T704</f>
        <v>-4.613546549030616</v>
      </c>
      <c r="T24" s="803">
        <f>+INPUT!U704</f>
        <v>90.715384615384608</v>
      </c>
      <c r="U24" s="491">
        <f>+INPUT!V704</f>
        <v>-19.004120879120848</v>
      </c>
      <c r="V24" s="803">
        <f>+INPUT!W704</f>
        <v>79</v>
      </c>
      <c r="W24" s="491">
        <f>+INPUT!X704</f>
        <v>-10.25080835445263</v>
      </c>
      <c r="X24" s="803">
        <f>+INPUT!Y704</f>
        <v>84.700000000000045</v>
      </c>
      <c r="Y24" s="491">
        <f>+INPUT!Z704</f>
        <v>13.738250180766315</v>
      </c>
      <c r="Z24" s="803">
        <f>+INPUT!AA704</f>
        <v>69.999999999999972</v>
      </c>
      <c r="AA24" s="491">
        <f>+INPUT!AB704</f>
        <v>-12.322959822718914</v>
      </c>
      <c r="AB24" s="803">
        <f>+INPUT!AC704</f>
        <v>94.099999999999937</v>
      </c>
      <c r="AC24" s="491">
        <f>+INPUT!AD704</f>
        <v>3.7310268803527009</v>
      </c>
      <c r="AD24" s="803">
        <f>+INPUT!AE704</f>
        <v>80.700000000000131</v>
      </c>
      <c r="AE24" s="491">
        <f>+INPUT!AF704</f>
        <v>2.1518987341773794</v>
      </c>
      <c r="AF24" s="803">
        <f>+INPUT!AG704</f>
        <v>92.799999999999841</v>
      </c>
      <c r="AG24" s="491">
        <f>+INPUT!AH704</f>
        <v>9.5631641086184231</v>
      </c>
      <c r="AH24" s="803">
        <f>+INPUT!AI704</f>
        <v>102.30000000000003</v>
      </c>
      <c r="AI24" s="491">
        <f>+INPUT!AJ704</f>
        <v>46.142857142857252</v>
      </c>
      <c r="AJ24" s="803">
        <f>+INPUT!AK704</f>
        <v>110.90000000000009</v>
      </c>
      <c r="AK24" s="491">
        <f>+INPUT!AL704</f>
        <v>17.853347502656931</v>
      </c>
      <c r="AL24" s="803">
        <f>+INPUT!AM704</f>
        <v>79.200000000000159</v>
      </c>
      <c r="AM24" s="491">
        <f>+INPUT!AN704</f>
        <v>-1.8587360594795115</v>
      </c>
      <c r="AN24" s="803">
        <f>+INPUT!AO704</f>
        <v>102.69999999999973</v>
      </c>
      <c r="AO24" s="491">
        <f>+INPUT!AP704</f>
        <v>10.668103448275758</v>
      </c>
      <c r="AP24" s="803">
        <f>+INPUT!AQ704</f>
        <v>93.47909642107237</v>
      </c>
      <c r="AQ24" s="491">
        <f>+INPUT!AR704</f>
        <v>-8.6225841436242945</v>
      </c>
      <c r="AR24" s="803">
        <f>+INPUT!AS704</f>
        <v>95.20214194146493</v>
      </c>
      <c r="AS24" s="491">
        <f>+INPUT!AT704</f>
        <v>-14.154966689391486</v>
      </c>
      <c r="AT24" s="803">
        <f>+INPUT!AU704</f>
        <v>98.730466121551359</v>
      </c>
      <c r="AU24" s="491">
        <f>+INPUT!AV704</f>
        <v>24.659679446402976</v>
      </c>
      <c r="AV24" s="803">
        <f>+INPUT!AW704</f>
        <v>102.1155237954388</v>
      </c>
      <c r="AW24" s="491">
        <f>+INPUT!AX704</f>
        <v>-0.56911022839429393</v>
      </c>
      <c r="AX24" s="509"/>
      <c r="AY24" s="506"/>
      <c r="AZ24" s="507"/>
      <c r="BA24" s="506"/>
      <c r="BB24" s="507"/>
      <c r="BC24" s="506"/>
      <c r="BD24" s="507"/>
      <c r="BE24" s="506"/>
      <c r="BF24" s="507"/>
      <c r="BG24" s="506"/>
      <c r="BH24" s="507"/>
      <c r="BI24" s="506"/>
      <c r="BJ24" s="507"/>
      <c r="BK24" s="506"/>
      <c r="BL24" s="507"/>
      <c r="BM24" s="508"/>
      <c r="BN24" s="507"/>
      <c r="BO24" s="508"/>
      <c r="BP24" s="507"/>
      <c r="BQ24" s="508"/>
      <c r="BR24" s="507"/>
      <c r="BS24" s="803">
        <f>+INPUT!BB704</f>
        <v>374.10000000000019</v>
      </c>
      <c r="BT24" s="805" t="str">
        <f>+INPUT!BC704</f>
        <v>NA</v>
      </c>
      <c r="BU24" s="803">
        <f>+INPUT!BD704</f>
        <v>358.19230769230796</v>
      </c>
      <c r="BV24" s="805">
        <f>+INPUT!BE704</f>
        <v>-4.2522566981267715</v>
      </c>
      <c r="BW24" s="803">
        <f>+INPUT!BF704</f>
        <v>334.2538461538461</v>
      </c>
      <c r="BX24" s="805">
        <f>+INPUT!BG704</f>
        <v>-6.6831311070547343</v>
      </c>
      <c r="BY24" s="803">
        <f>+INPUT!BH704</f>
        <v>337.59999999999991</v>
      </c>
      <c r="BZ24" s="491">
        <f>BY24/BW24*100-100</f>
        <v>1.001081628426121</v>
      </c>
      <c r="CA24" s="803">
        <f>+INPUT!BJ704</f>
        <v>395.1</v>
      </c>
      <c r="CB24" s="491">
        <f>CA24/BY24*100-100</f>
        <v>17.031990521327046</v>
      </c>
      <c r="CC24" s="803">
        <f>+INPUT!BL704</f>
        <v>389.52722827952744</v>
      </c>
      <c r="CD24" s="491">
        <f>CC24/CA24*100-100</f>
        <v>-1.4104712023468977</v>
      </c>
      <c r="CE24" s="803">
        <f>+INPUT!BN704</f>
        <v>408.9831672120846</v>
      </c>
      <c r="CF24" s="805">
        <f>+INPUT!BO704</f>
        <v>4.9947571106878854</v>
      </c>
      <c r="CG24" s="803">
        <f>+INPUT!BP704</f>
        <v>429.80301928107713</v>
      </c>
      <c r="CH24" s="805">
        <f>+INPUT!BQ704</f>
        <v>5.0906378888195434</v>
      </c>
      <c r="CI24" s="803">
        <f>+INPUT!BR704</f>
        <v>449.32662409064835</v>
      </c>
      <c r="CJ24" s="805">
        <f>+INPUT!BS704</f>
        <v>4.5424540856478899</v>
      </c>
      <c r="CK24" s="803">
        <f>+INPUT!BT704</f>
        <v>469.38037657102035</v>
      </c>
      <c r="CL24" s="805">
        <f>+INPUT!BU704</f>
        <v>4.4630679343689081</v>
      </c>
      <c r="CM24" s="876">
        <f>+INPUT!BV704</f>
        <v>3.5055362842796756</v>
      </c>
    </row>
    <row r="25" spans="1:91" s="748" customFormat="1" ht="12" customHeight="1" x14ac:dyDescent="0.2">
      <c r="A25" s="877" t="str">
        <f>+INPUT!B705</f>
        <v>Tax Rate (%)</v>
      </c>
      <c r="B25" s="806">
        <f>+INPUT!C705</f>
        <v>25.936507936507923</v>
      </c>
      <c r="C25" s="752" t="str">
        <f>+INPUT!D705</f>
        <v>NA</v>
      </c>
      <c r="D25" s="806">
        <f>+INPUT!E705</f>
        <v>25.907725907725915</v>
      </c>
      <c r="E25" s="752" t="str">
        <f>+INPUT!F705</f>
        <v>NA</v>
      </c>
      <c r="F25" s="806">
        <f>+INPUT!G705</f>
        <v>25.24298805887258</v>
      </c>
      <c r="G25" s="752" t="str">
        <f>+INPUT!H705</f>
        <v>NA</v>
      </c>
      <c r="H25" s="806">
        <f>+INPUT!I705</f>
        <v>27.152317880794698</v>
      </c>
      <c r="I25" s="752" t="str">
        <f>+INPUT!J705</f>
        <v>NA</v>
      </c>
      <c r="J25" s="806">
        <f>+INPUT!K705</f>
        <v>20.88844522086351</v>
      </c>
      <c r="K25" s="752">
        <f>+INPUT!L705</f>
        <v>-19.463154901199403</v>
      </c>
      <c r="L25" s="806">
        <f>+INPUT!M705</f>
        <v>25.747126436781599</v>
      </c>
      <c r="M25" s="752">
        <f>+INPUT!N705</f>
        <v>-0.6198902656154246</v>
      </c>
      <c r="N25" s="806">
        <f>+INPUT!O705</f>
        <v>18.430292488081452</v>
      </c>
      <c r="O25" s="752">
        <f>+INPUT!P705</f>
        <v>-26.988467272187904</v>
      </c>
      <c r="P25" s="806">
        <f>+INPUT!Q705</f>
        <v>18.163227016885582</v>
      </c>
      <c r="Q25" s="752">
        <f>+INPUT!R705</f>
        <v>-33.106163913421383</v>
      </c>
      <c r="R25" s="806">
        <f>+INPUT!S705</f>
        <v>18.968510700513537</v>
      </c>
      <c r="S25" s="752">
        <f>+INPUT!T705</f>
        <v>-9.1913711147459196</v>
      </c>
      <c r="T25" s="806">
        <f>+INPUT!U705</f>
        <v>21.121160562371273</v>
      </c>
      <c r="U25" s="752">
        <f>+INPUT!V705</f>
        <v>-17.966921030075838</v>
      </c>
      <c r="V25" s="806">
        <f>+INPUT!W705</f>
        <v>19.809428284854562</v>
      </c>
      <c r="W25" s="752">
        <f>+INPUT!X705</f>
        <v>7.4829837761119222</v>
      </c>
      <c r="X25" s="806">
        <f>+INPUT!Y705</f>
        <v>21.835524619747368</v>
      </c>
      <c r="Y25" s="752">
        <f>+INPUT!Z705</f>
        <v>20.218310322542393</v>
      </c>
      <c r="Z25" s="806">
        <f>+INPUT!AA705</f>
        <v>19.646365422396851</v>
      </c>
      <c r="AA25" s="752">
        <f>+INPUT!AB705</f>
        <v>3.573579036254884</v>
      </c>
      <c r="AB25" s="806">
        <f>+INPUT!AC705</f>
        <v>21.822820037105739</v>
      </c>
      <c r="AC25" s="752">
        <f>+INPUT!AD705</f>
        <v>3.3220687502585378</v>
      </c>
      <c r="AD25" s="806">
        <f>+INPUT!AE705</f>
        <v>19.380403458213276</v>
      </c>
      <c r="AE25" s="752">
        <f>+INPUT!AF705</f>
        <v>-2.1657607704372737</v>
      </c>
      <c r="AF25" s="806">
        <f>+INPUT!AG705</f>
        <v>19.965576592082588</v>
      </c>
      <c r="AG25" s="752">
        <f>+INPUT!AH705</f>
        <v>-8.5637879566843935</v>
      </c>
      <c r="AH25" s="806">
        <f>+INPUT!AI705</f>
        <v>21.637055837563459</v>
      </c>
      <c r="AI25" s="752">
        <f>+INPUT!AJ705</f>
        <v>10.132614213198039</v>
      </c>
      <c r="AJ25" s="806">
        <f>+INPUT!AK705</f>
        <v>22.426693629929233</v>
      </c>
      <c r="AK25" s="752">
        <f>+INPUT!AL705</f>
        <v>2.7671657090913016</v>
      </c>
      <c r="AL25" s="806">
        <f>+INPUT!AM705</f>
        <v>17.487304040627102</v>
      </c>
      <c r="AM25" s="752">
        <f>+INPUT!AN705</f>
        <v>-9.7681114929725226</v>
      </c>
      <c r="AN25" s="806">
        <f>+INPUT!AO705</f>
        <v>22.646085997794881</v>
      </c>
      <c r="AO25" s="752">
        <f>+INPUT!AP705</f>
        <v>13.425654868265894</v>
      </c>
      <c r="AP25" s="806">
        <f>+INPUT!AQ705</f>
        <v>18.999999999999996</v>
      </c>
      <c r="AQ25" s="752">
        <f>+INPUT!AR705</f>
        <v>-12.18768328445752</v>
      </c>
      <c r="AR25" s="806">
        <f>+INPUT!AS705</f>
        <v>18.999999999999996</v>
      </c>
      <c r="AS25" s="752">
        <f>+INPUT!AT705</f>
        <v>-15.279531109107353</v>
      </c>
      <c r="AT25" s="806">
        <f>+INPUT!AU705</f>
        <v>19</v>
      </c>
      <c r="AU25" s="752">
        <f>+INPUT!AV705</f>
        <v>8.650252525252327</v>
      </c>
      <c r="AV25" s="806">
        <f>+INPUT!AW705</f>
        <v>18.999999999999996</v>
      </c>
      <c r="AW25" s="752">
        <f>+INPUT!AX705</f>
        <v>-16.100292112950171</v>
      </c>
      <c r="AX25" s="751"/>
      <c r="AY25" s="750"/>
      <c r="AZ25" s="750"/>
      <c r="BA25" s="750"/>
      <c r="BB25" s="750"/>
      <c r="BC25" s="750"/>
      <c r="BD25" s="750"/>
      <c r="BE25" s="750"/>
      <c r="BF25" s="750"/>
      <c r="BG25" s="750"/>
      <c r="BH25" s="750"/>
      <c r="BI25" s="750"/>
      <c r="BJ25" s="750"/>
      <c r="BK25" s="750"/>
      <c r="BL25" s="750"/>
      <c r="BM25" s="750"/>
      <c r="BN25" s="750"/>
      <c r="BO25" s="750"/>
      <c r="BP25" s="750"/>
      <c r="BQ25" s="750"/>
      <c r="BR25" s="750"/>
      <c r="BS25" s="806">
        <f>+INPUT!BB705</f>
        <v>26.087866108786635</v>
      </c>
      <c r="BT25" s="807" t="str">
        <f>+INPUT!BC705</f>
        <v>NA</v>
      </c>
      <c r="BU25" s="806">
        <f>+INPUT!BD705</f>
        <v>20.785255480317304</v>
      </c>
      <c r="BV25" s="807">
        <f>+INPUT!BE705</f>
        <v>-20.325965360131022</v>
      </c>
      <c r="BW25" s="806">
        <f>+INPUT!BF705</f>
        <v>20.4174360853855</v>
      </c>
      <c r="BX25" s="807">
        <f>+INPUT!BG705</f>
        <v>-1.7696169059846767</v>
      </c>
      <c r="BY25" s="806">
        <f>+INPUT!BH705</f>
        <v>20.231317792293389</v>
      </c>
      <c r="BZ25" s="491">
        <f>BY25/BW25*100-100</f>
        <v>-0.91156544981340915</v>
      </c>
      <c r="CA25" s="806">
        <f>+INPUT!BJ705</f>
        <v>21.086620056572549</v>
      </c>
      <c r="CB25" s="491">
        <f>CA25/BY25*100-100</f>
        <v>4.2276151907661159</v>
      </c>
      <c r="CC25" s="806">
        <f>+INPUT!BL705</f>
        <v>18.999999999999993</v>
      </c>
      <c r="CD25" s="491">
        <f>CC25/CA25*100-100</f>
        <v>-9.8954695013920571</v>
      </c>
      <c r="CE25" s="806">
        <f>+INPUT!BN705</f>
        <v>18.999999999999993</v>
      </c>
      <c r="CF25" s="807">
        <f>+INPUT!BO705</f>
        <v>0</v>
      </c>
      <c r="CG25" s="806">
        <f>+INPUT!BP705</f>
        <v>19</v>
      </c>
      <c r="CH25" s="807">
        <f>+INPUT!BQ705</f>
        <v>4.2632564145606011E-14</v>
      </c>
      <c r="CI25" s="806">
        <f>+INPUT!BR705</f>
        <v>19.000000000000011</v>
      </c>
      <c r="CJ25" s="807">
        <f>+INPUT!BS705</f>
        <v>7.1054273576010019E-14</v>
      </c>
      <c r="CK25" s="806">
        <f>+INPUT!BT705</f>
        <v>19.000000000000011</v>
      </c>
      <c r="CL25" s="807">
        <f>+INPUT!BU705</f>
        <v>0</v>
      </c>
      <c r="CM25" s="878">
        <f>+INPUT!BV705</f>
        <v>-2.0624296862415958</v>
      </c>
    </row>
    <row r="26" spans="1:91" s="475" customFormat="1" ht="12" customHeight="1" x14ac:dyDescent="0.2">
      <c r="A26" s="850" t="str">
        <f>+INPUT!B706</f>
        <v>Preferred Stock Dividends</v>
      </c>
      <c r="B26" s="803">
        <f>+INPUT!C706</f>
        <v>0</v>
      </c>
      <c r="C26" s="491" t="str">
        <f>+INPUT!D706</f>
        <v>NA</v>
      </c>
      <c r="D26" s="803">
        <f>+INPUT!E706</f>
        <v>0</v>
      </c>
      <c r="E26" s="491" t="str">
        <f>+INPUT!F706</f>
        <v>NA</v>
      </c>
      <c r="F26" s="803">
        <f>+INPUT!G706</f>
        <v>0</v>
      </c>
      <c r="G26" s="491" t="str">
        <f>+INPUT!H706</f>
        <v>NA</v>
      </c>
      <c r="H26" s="803">
        <f>+INPUT!I706</f>
        <v>0</v>
      </c>
      <c r="I26" s="491" t="str">
        <f>+INPUT!J706</f>
        <v>NA</v>
      </c>
      <c r="J26" s="803">
        <f>+INPUT!K706</f>
        <v>0</v>
      </c>
      <c r="K26" s="491" t="str">
        <f>+INPUT!L706</f>
        <v>NA</v>
      </c>
      <c r="L26" s="803">
        <f>+INPUT!M706</f>
        <v>0</v>
      </c>
      <c r="M26" s="491" t="str">
        <f>+INPUT!N706</f>
        <v>NA</v>
      </c>
      <c r="N26" s="803">
        <f>+INPUT!O706</f>
        <v>8.1999999999999993</v>
      </c>
      <c r="O26" s="491" t="str">
        <f>+INPUT!P706</f>
        <v>NA</v>
      </c>
      <c r="P26" s="803">
        <f>+INPUT!Q706</f>
        <v>8.3000000000000007</v>
      </c>
      <c r="Q26" s="491" t="str">
        <f>+INPUT!R706</f>
        <v>NA</v>
      </c>
      <c r="R26" s="803">
        <f>+INPUT!S706</f>
        <v>8.1999999999999993</v>
      </c>
      <c r="S26" s="491" t="str">
        <f>+INPUT!T706</f>
        <v>NA</v>
      </c>
      <c r="T26" s="803">
        <f>+INPUT!U706</f>
        <v>16.5</v>
      </c>
      <c r="U26" s="491" t="str">
        <f>+INPUT!V706</f>
        <v>NA</v>
      </c>
      <c r="V26" s="803">
        <f>+INPUT!W706</f>
        <v>0</v>
      </c>
      <c r="W26" s="491" t="str">
        <f>+INPUT!X706</f>
        <v>NM</v>
      </c>
      <c r="X26" s="803">
        <f>+INPUT!Y706</f>
        <v>0</v>
      </c>
      <c r="Y26" s="491" t="str">
        <f>+INPUT!Z706</f>
        <v>NM</v>
      </c>
      <c r="Z26" s="803">
        <f>+INPUT!AA706</f>
        <v>0</v>
      </c>
      <c r="AA26" s="491" t="str">
        <f>+INPUT!AB706</f>
        <v>NM</v>
      </c>
      <c r="AB26" s="803">
        <f>+INPUT!AC706</f>
        <v>0</v>
      </c>
      <c r="AC26" s="491" t="str">
        <f>+INPUT!AD706</f>
        <v>NM</v>
      </c>
      <c r="AD26" s="803">
        <f>+INPUT!AE706</f>
        <v>0</v>
      </c>
      <c r="AE26" s="491" t="str">
        <f>+INPUT!AF706</f>
        <v>NA</v>
      </c>
      <c r="AF26" s="803">
        <f>+INPUT!AG706</f>
        <v>0</v>
      </c>
      <c r="AG26" s="491" t="str">
        <f>+INPUT!AH706</f>
        <v>NA</v>
      </c>
      <c r="AH26" s="803">
        <f>+INPUT!AI706</f>
        <v>0</v>
      </c>
      <c r="AI26" s="491" t="str">
        <f>+INPUT!AJ706</f>
        <v>NA</v>
      </c>
      <c r="AJ26" s="803">
        <f>+INPUT!AK706</f>
        <v>0</v>
      </c>
      <c r="AK26" s="491" t="str">
        <f>+INPUT!AL706</f>
        <v>NA</v>
      </c>
      <c r="AL26" s="803">
        <f>+INPUT!AM706</f>
        <v>0</v>
      </c>
      <c r="AM26" s="491" t="str">
        <f>+INPUT!AN706</f>
        <v>NA</v>
      </c>
      <c r="AN26" s="803">
        <f>+INPUT!AO706</f>
        <v>0</v>
      </c>
      <c r="AO26" s="491" t="str">
        <f>+INPUT!AP706</f>
        <v>NA</v>
      </c>
      <c r="AP26" s="803">
        <f>+INPUT!AQ706</f>
        <v>0</v>
      </c>
      <c r="AQ26" s="491" t="str">
        <f>+INPUT!AR706</f>
        <v>NA</v>
      </c>
      <c r="AR26" s="803">
        <f>+INPUT!AS706</f>
        <v>0</v>
      </c>
      <c r="AS26" s="491" t="str">
        <f>+INPUT!AT706</f>
        <v>NA</v>
      </c>
      <c r="AT26" s="803">
        <f>+INPUT!AU706</f>
        <v>0</v>
      </c>
      <c r="AU26" s="491" t="str">
        <f>+INPUT!AV706</f>
        <v>NA</v>
      </c>
      <c r="AV26" s="803">
        <f>+INPUT!AW706</f>
        <v>0</v>
      </c>
      <c r="AW26" s="491" t="str">
        <f>+INPUT!AX706</f>
        <v>NA</v>
      </c>
      <c r="AX26" s="509"/>
      <c r="AY26" s="506"/>
      <c r="AZ26" s="507"/>
      <c r="BA26" s="506"/>
      <c r="BB26" s="507"/>
      <c r="BC26" s="506"/>
      <c r="BD26" s="507"/>
      <c r="BE26" s="506"/>
      <c r="BF26" s="507"/>
      <c r="BG26" s="506"/>
      <c r="BH26" s="507"/>
      <c r="BI26" s="506"/>
      <c r="BJ26" s="507"/>
      <c r="BK26" s="506"/>
      <c r="BL26" s="507"/>
      <c r="BM26" s="508"/>
      <c r="BN26" s="507"/>
      <c r="BO26" s="508"/>
      <c r="BP26" s="507"/>
      <c r="BQ26" s="508"/>
      <c r="BR26" s="507"/>
      <c r="BS26" s="803">
        <f>+INPUT!BB706</f>
        <v>0</v>
      </c>
      <c r="BT26" s="805" t="str">
        <f>+INPUT!BC706</f>
        <v>NA</v>
      </c>
      <c r="BU26" s="803">
        <f>+INPUT!BD706</f>
        <v>16.5</v>
      </c>
      <c r="BV26" s="805">
        <f>+INPUT!BE706</f>
        <v>0</v>
      </c>
      <c r="BW26" s="803">
        <f>+INPUT!BF706</f>
        <v>24.7</v>
      </c>
      <c r="BX26" s="805">
        <f>+INPUT!BG706</f>
        <v>0</v>
      </c>
      <c r="BY26" s="803">
        <f>+INPUT!BH706</f>
        <v>0</v>
      </c>
      <c r="BZ26" s="805">
        <f>+INPUT!BI706</f>
        <v>0</v>
      </c>
      <c r="CA26" s="803">
        <f>+INPUT!BJ706</f>
        <v>0</v>
      </c>
      <c r="CB26" s="805">
        <f>+INPUT!BK706</f>
        <v>0</v>
      </c>
      <c r="CC26" s="803">
        <f>+INPUT!BL706</f>
        <v>0</v>
      </c>
      <c r="CD26" s="805">
        <f>+INPUT!BM706</f>
        <v>0</v>
      </c>
      <c r="CE26" s="803">
        <f>+INPUT!BN706</f>
        <v>0</v>
      </c>
      <c r="CF26" s="805">
        <f>+INPUT!BO706</f>
        <v>0</v>
      </c>
      <c r="CG26" s="803">
        <f>+INPUT!BP706</f>
        <v>0</v>
      </c>
      <c r="CH26" s="805">
        <f>+INPUT!BQ706</f>
        <v>0</v>
      </c>
      <c r="CI26" s="803">
        <f>+INPUT!BR706</f>
        <v>0</v>
      </c>
      <c r="CJ26" s="805">
        <f>+INPUT!BS706</f>
        <v>0</v>
      </c>
      <c r="CK26" s="803">
        <f>+INPUT!BT706</f>
        <v>0</v>
      </c>
      <c r="CL26" s="805">
        <f>+INPUT!BU706</f>
        <v>0</v>
      </c>
      <c r="CM26" s="876">
        <f>+INPUT!BV706</f>
        <v>0</v>
      </c>
    </row>
    <row r="27" spans="1:91" s="475" customFormat="1" ht="12" customHeight="1" x14ac:dyDescent="0.2">
      <c r="A27" s="879" t="str">
        <f>+INPUT!B707</f>
        <v xml:space="preserve">After- Tax Operating Earnings </v>
      </c>
      <c r="B27" s="499">
        <f>+INPUT!C707</f>
        <v>233.30000000000013</v>
      </c>
      <c r="C27" s="491" t="str">
        <f>+INPUT!D707</f>
        <v>NA</v>
      </c>
      <c r="D27" s="499">
        <f>+INPUT!E707</f>
        <v>271.39999999999998</v>
      </c>
      <c r="E27" s="491" t="str">
        <f>+INPUT!F707</f>
        <v>NA</v>
      </c>
      <c r="F27" s="499">
        <f>+INPUT!G707</f>
        <v>269.2</v>
      </c>
      <c r="G27" s="491" t="str">
        <f>+INPUT!H707</f>
        <v>NA</v>
      </c>
      <c r="H27" s="499">
        <f>+INPUT!I707</f>
        <v>286</v>
      </c>
      <c r="I27" s="491" t="str">
        <f>+INPUT!J707</f>
        <v>NA</v>
      </c>
      <c r="J27" s="499">
        <f>+INPUT!K707</f>
        <v>317</v>
      </c>
      <c r="K27" s="491">
        <f>+INPUT!L707</f>
        <v>35.876553793398983</v>
      </c>
      <c r="L27" s="499">
        <f>+INPUT!M707</f>
        <v>323</v>
      </c>
      <c r="M27" s="491">
        <f>+INPUT!N707</f>
        <v>19.012527634487839</v>
      </c>
      <c r="N27" s="499">
        <f>+INPUT!O707</f>
        <v>381.37692307692311</v>
      </c>
      <c r="O27" s="491">
        <f>+INPUT!P707</f>
        <v>41.670476625900108</v>
      </c>
      <c r="P27" s="499">
        <f>+INPUT!Q707</f>
        <v>327.23076923076923</v>
      </c>
      <c r="Q27" s="491">
        <f>+INPUT!R707</f>
        <v>14.416352877891342</v>
      </c>
      <c r="R27" s="499">
        <f>+INPUT!S707</f>
        <v>332.86153846153849</v>
      </c>
      <c r="S27" s="491">
        <f>+INPUT!T707</f>
        <v>5.0036398932298027</v>
      </c>
      <c r="T27" s="499">
        <f>+INPUT!U707</f>
        <v>322.28461538461534</v>
      </c>
      <c r="U27" s="491">
        <f>+INPUT!V707</f>
        <v>-0.22148130507264341</v>
      </c>
      <c r="V27" s="499">
        <f>+INPUT!W707</f>
        <v>319.80000000000007</v>
      </c>
      <c r="W27" s="491">
        <f>+INPUT!X707</f>
        <v>-16.145948889650853</v>
      </c>
      <c r="X27" s="499">
        <f>+INPUT!Y707</f>
        <v>303.2</v>
      </c>
      <c r="Y27" s="491">
        <f>+INPUT!Z707</f>
        <v>-7.343676539727312</v>
      </c>
      <c r="Z27" s="499">
        <f>+INPUT!AA707</f>
        <v>286.29999999999995</v>
      </c>
      <c r="AA27" s="491">
        <f>+INPUT!AB707</f>
        <v>-13.988260306895938</v>
      </c>
      <c r="AB27" s="499">
        <f>+INPUT!AC707</f>
        <v>337.1</v>
      </c>
      <c r="AC27" s="491">
        <f>+INPUT!AD707</f>
        <v>4.5969878511588007</v>
      </c>
      <c r="AD27" s="499">
        <f>+INPUT!AE707</f>
        <v>335.70000000000005</v>
      </c>
      <c r="AE27" s="491">
        <f>+INPUT!AF707</f>
        <v>4.9718574108817961</v>
      </c>
      <c r="AF27" s="499">
        <f>+INPUT!AG707</f>
        <v>372.00000000000006</v>
      </c>
      <c r="AG27" s="491">
        <f>+INPUT!AH707</f>
        <v>22.691292875989475</v>
      </c>
      <c r="AH27" s="499">
        <f>+INPUT!AI707</f>
        <v>370.5</v>
      </c>
      <c r="AI27" s="491">
        <f>+INPUT!AJ707</f>
        <v>29.409710094306689</v>
      </c>
      <c r="AJ27" s="499">
        <f>+INPUT!AK707</f>
        <v>383.6</v>
      </c>
      <c r="AK27" s="491">
        <f>+INPUT!AL707</f>
        <v>13.794126371996441</v>
      </c>
      <c r="AL27" s="499">
        <f>+INPUT!AM707</f>
        <v>373.69999999999993</v>
      </c>
      <c r="AM27" s="491">
        <f>+INPUT!AN707</f>
        <v>11.319630622579652</v>
      </c>
      <c r="AN27" s="499">
        <f>+INPUT!AO707</f>
        <v>350.80000000000007</v>
      </c>
      <c r="AO27" s="491">
        <f>+INPUT!AP707</f>
        <v>-5.6989247311827995</v>
      </c>
      <c r="AP27" s="499">
        <f>+INPUT!AQ707</f>
        <v>398.5161479003612</v>
      </c>
      <c r="AQ27" s="491">
        <f>+INPUT!AR707</f>
        <v>7.5617133334308306</v>
      </c>
      <c r="AR27" s="499">
        <f>+INPUT!AS707</f>
        <v>405.86176301361377</v>
      </c>
      <c r="AS27" s="491">
        <f>+INPUT!AT707</f>
        <v>5.8033793049045386</v>
      </c>
      <c r="AT27" s="499">
        <f>+INPUT!AU707</f>
        <v>420.90356609714001</v>
      </c>
      <c r="AU27" s="491">
        <f>+INPUT!AV707</f>
        <v>12.631406501776851</v>
      </c>
      <c r="AV27" s="499">
        <f>+INPUT!AW707</f>
        <v>435.33460144371293</v>
      </c>
      <c r="AW27" s="491">
        <f>+INPUT!AX707</f>
        <v>24.097662897295564</v>
      </c>
      <c r="AX27" s="509"/>
      <c r="AY27" s="506"/>
      <c r="AZ27" s="507"/>
      <c r="BA27" s="506"/>
      <c r="BB27" s="507"/>
      <c r="BC27" s="506"/>
      <c r="BD27" s="507"/>
      <c r="BE27" s="506"/>
      <c r="BF27" s="507"/>
      <c r="BG27" s="506"/>
      <c r="BH27" s="507"/>
      <c r="BI27" s="506"/>
      <c r="BJ27" s="507"/>
      <c r="BK27" s="506"/>
      <c r="BL27" s="507"/>
      <c r="BM27" s="508"/>
      <c r="BN27" s="507"/>
      <c r="BO27" s="508"/>
      <c r="BP27" s="507"/>
      <c r="BQ27" s="508"/>
      <c r="BR27" s="507"/>
      <c r="BS27" s="499">
        <f>+INPUT!BB707</f>
        <v>1059.9000000000001</v>
      </c>
      <c r="BT27" s="491" t="str">
        <f>+INPUT!BC707</f>
        <v>NA</v>
      </c>
      <c r="BU27" s="499">
        <f>+INPUT!BD707</f>
        <v>1348.6076923076923</v>
      </c>
      <c r="BV27" s="805">
        <f>+INPUT!BE707</f>
        <v>27.2391444766197</v>
      </c>
      <c r="BW27" s="499">
        <f>+INPUT!BF707</f>
        <v>1278.1461538461542</v>
      </c>
      <c r="BX27" s="491">
        <f>+INPUT!BG707</f>
        <v>-5.2247617200645351</v>
      </c>
      <c r="BY27" s="499">
        <f>+INPUT!BH707</f>
        <v>1331.1000000000008</v>
      </c>
      <c r="BZ27" s="491">
        <f>BY27/BW27*100-100</f>
        <v>4.1430196378168205</v>
      </c>
      <c r="CA27" s="499">
        <f>+INPUT!BJ707</f>
        <v>1478.6000000000008</v>
      </c>
      <c r="CB27" s="491">
        <f>CA27/BY27*100-100</f>
        <v>11.081060776801138</v>
      </c>
      <c r="CC27" s="499">
        <f>+INPUT!BL707</f>
        <v>1660.6160784548281</v>
      </c>
      <c r="CD27" s="491">
        <f>CC27/CA27*100-100</f>
        <v>12.310028300745785</v>
      </c>
      <c r="CE27" s="499">
        <f>+INPUT!BN707</f>
        <v>1743.5598181146775</v>
      </c>
      <c r="CF27" s="805">
        <f>+INPUT!BO707</f>
        <v>4.9947571106879138</v>
      </c>
      <c r="CG27" s="499">
        <f>+INPUT!BP707</f>
        <v>1832.3181348298554</v>
      </c>
      <c r="CH27" s="805">
        <f>+INPUT!BQ707</f>
        <v>5.0906378888194865</v>
      </c>
      <c r="CI27" s="499">
        <f>+INPUT!BR707</f>
        <v>1915.5503448074996</v>
      </c>
      <c r="CJ27" s="805">
        <f>+INPUT!BS707</f>
        <v>4.5424540856477904</v>
      </c>
      <c r="CK27" s="499">
        <f>+INPUT!BT707</f>
        <v>2001.0426580132957</v>
      </c>
      <c r="CL27" s="805">
        <f>+INPUT!BU707</f>
        <v>4.4630679343688797</v>
      </c>
      <c r="CM27" s="876">
        <f>+INPUT!BV707</f>
        <v>6.2383040168927373</v>
      </c>
    </row>
    <row r="28" spans="1:91" s="475" customFormat="1" ht="12" customHeight="1" x14ac:dyDescent="0.2">
      <c r="A28" s="879" t="str">
        <f>+INPUT!B709</f>
        <v>Core Earnings After-Tax</v>
      </c>
      <c r="B28" s="499">
        <f>+INPUT!C709</f>
        <v>224.50000000000011</v>
      </c>
      <c r="C28" s="491" t="str">
        <f>+INPUT!D709</f>
        <v>NA</v>
      </c>
      <c r="D28" s="499">
        <f>+INPUT!E709</f>
        <v>274.39999999999998</v>
      </c>
      <c r="E28" s="491" t="str">
        <f>+INPUT!F709</f>
        <v>NA</v>
      </c>
      <c r="F28" s="499">
        <f>+INPUT!G709</f>
        <v>279.2</v>
      </c>
      <c r="G28" s="491" t="str">
        <f>+INPUT!H709</f>
        <v>NA</v>
      </c>
      <c r="H28" s="499">
        <f>+INPUT!I709</f>
        <v>287</v>
      </c>
      <c r="I28" s="491" t="str">
        <f>+INPUT!J709</f>
        <v>NA</v>
      </c>
      <c r="J28" s="499">
        <f>+INPUT!K709</f>
        <v>293.5</v>
      </c>
      <c r="K28" s="491">
        <f>+INPUT!L709</f>
        <v>30.734966592427554</v>
      </c>
      <c r="L28" s="499">
        <f>+INPUT!M709</f>
        <v>308.5</v>
      </c>
      <c r="M28" s="491">
        <f>+INPUT!N709</f>
        <v>12.427113702623927</v>
      </c>
      <c r="N28" s="499">
        <f>+INPUT!O709</f>
        <v>329.97692307692307</v>
      </c>
      <c r="O28" s="491">
        <f>+INPUT!P709</f>
        <v>18.186577033281907</v>
      </c>
      <c r="P28" s="499">
        <f>+INPUT!Q709</f>
        <v>321.23076923076923</v>
      </c>
      <c r="Q28" s="491">
        <f>+INPUT!R709</f>
        <v>11.927097292950933</v>
      </c>
      <c r="R28" s="499">
        <f>+INPUT!S709</f>
        <v>320.86153846153849</v>
      </c>
      <c r="S28" s="491">
        <f>+INPUT!T709</f>
        <v>9.322500327611067</v>
      </c>
      <c r="T28" s="499">
        <f>+INPUT!U709</f>
        <v>325.28461538461534</v>
      </c>
      <c r="U28" s="491">
        <f>+INPUT!V709</f>
        <v>5.4407181149482398</v>
      </c>
      <c r="V28" s="499">
        <f>+INPUT!W709</f>
        <v>314.60000000000008</v>
      </c>
      <c r="W28" s="491">
        <f>+INPUT!X709</f>
        <v>-4.6599995337669071</v>
      </c>
      <c r="X28" s="499">
        <f>+INPUT!Y709</f>
        <v>303.2</v>
      </c>
      <c r="Y28" s="491">
        <f>+INPUT!Z709</f>
        <v>-5.6130268199233768</v>
      </c>
      <c r="Z28" s="499">
        <f>+INPUT!AA709</f>
        <v>286.29999999999995</v>
      </c>
      <c r="AA28" s="491">
        <f>+INPUT!AB709</f>
        <v>-10.771480629075597</v>
      </c>
      <c r="AB28" s="499">
        <f>+INPUT!AC709</f>
        <v>337.1</v>
      </c>
      <c r="AC28" s="491">
        <f>+INPUT!AD709</f>
        <v>3.6323219902097748</v>
      </c>
      <c r="AD28" s="499">
        <f>+INPUT!AE709</f>
        <v>355.85</v>
      </c>
      <c r="AE28" s="491">
        <f>+INPUT!AF709</f>
        <v>13.111888111888078</v>
      </c>
      <c r="AF28" s="499">
        <f>+INPUT!AG709</f>
        <v>368.10000000000008</v>
      </c>
      <c r="AG28" s="491">
        <f>+INPUT!AH709</f>
        <v>21.405013192612159</v>
      </c>
      <c r="AH28" s="499">
        <f>+INPUT!AI709</f>
        <v>355.55</v>
      </c>
      <c r="AI28" s="491">
        <f>+INPUT!AJ709</f>
        <v>24.187914774711871</v>
      </c>
      <c r="AJ28" s="499">
        <f>+INPUT!AK709</f>
        <v>380.35</v>
      </c>
      <c r="AK28" s="491">
        <f>+INPUT!AL709</f>
        <v>12.830020765351534</v>
      </c>
      <c r="AL28" s="499">
        <f>+INPUT!AM709</f>
        <v>417.24999999999994</v>
      </c>
      <c r="AM28" s="491">
        <f>+INPUT!AN709</f>
        <v>17.254461149360665</v>
      </c>
      <c r="AN28" s="499">
        <f>+INPUT!AO709</f>
        <v>350.80000000000007</v>
      </c>
      <c r="AO28" s="491">
        <f>+INPUT!AP709</f>
        <v>-4.6998098342841672</v>
      </c>
      <c r="AP28" s="499">
        <f>+INPUT!AQ709</f>
        <v>398.5161479003612</v>
      </c>
      <c r="AQ28" s="491">
        <f>+INPUT!AR709</f>
        <v>12.084417916006515</v>
      </c>
      <c r="AR28" s="499">
        <f>+INPUT!AS709</f>
        <v>405.86176301361377</v>
      </c>
      <c r="AS28" s="491">
        <f>+INPUT!AT709</f>
        <v>6.7074439367986685</v>
      </c>
      <c r="AT28" s="499">
        <f>+INPUT!AU709</f>
        <v>420.90356609714001</v>
      </c>
      <c r="AU28" s="491">
        <f>+INPUT!AV709</f>
        <v>0.8756299813397419</v>
      </c>
      <c r="AV28" s="499">
        <f>+INPUT!AW709</f>
        <v>435.33460144371293</v>
      </c>
      <c r="AW28" s="491">
        <f>+INPUT!AX709</f>
        <v>24.097662897295564</v>
      </c>
      <c r="AX28" s="509"/>
      <c r="AY28" s="506"/>
      <c r="AZ28" s="507"/>
      <c r="BA28" s="506"/>
      <c r="BB28" s="507"/>
      <c r="BC28" s="506"/>
      <c r="BD28" s="507"/>
      <c r="BE28" s="506"/>
      <c r="BF28" s="507"/>
      <c r="BG28" s="506"/>
      <c r="BH28" s="507"/>
      <c r="BI28" s="506"/>
      <c r="BJ28" s="507"/>
      <c r="BK28" s="506"/>
      <c r="BL28" s="507"/>
      <c r="BM28" s="508"/>
      <c r="BN28" s="507"/>
      <c r="BO28" s="508"/>
      <c r="BP28" s="507"/>
      <c r="BQ28" s="508"/>
      <c r="BR28" s="507"/>
      <c r="BS28" s="499">
        <f>+INPUT!BB709</f>
        <v>1065.1000000000001</v>
      </c>
      <c r="BT28" s="491" t="str">
        <f>+INPUT!BC709</f>
        <v>NA</v>
      </c>
      <c r="BU28" s="499">
        <f>+INPUT!BD709</f>
        <v>1253.2076923076922</v>
      </c>
      <c r="BV28" s="805">
        <f>+INPUT!BE709</f>
        <v>17.661035800177643</v>
      </c>
      <c r="BW28" s="499">
        <f>+INPUT!BF709</f>
        <v>1263.9461538461542</v>
      </c>
      <c r="BX28" s="491">
        <f>+INPUT!BG709</f>
        <v>0.85687804219330133</v>
      </c>
      <c r="BY28" s="499">
        <f>+INPUT!BH709</f>
        <v>1347.3500000000008</v>
      </c>
      <c r="BZ28" s="491">
        <f>BY28/BW28*100-100</f>
        <v>6.5986866529124484</v>
      </c>
      <c r="CA28" s="499">
        <f>+INPUT!BJ709</f>
        <v>1503.9500000000007</v>
      </c>
      <c r="CB28" s="491">
        <f>CA28/BY28*100-100</f>
        <v>11.622815155675937</v>
      </c>
      <c r="CC28" s="499">
        <f>+INPUT!BL709</f>
        <v>1660.6160784548281</v>
      </c>
      <c r="CD28" s="491">
        <f>CC28/CA28*100-100</f>
        <v>10.416973865808529</v>
      </c>
      <c r="CE28" s="499">
        <f>+INPUT!BN709</f>
        <v>1743.5598181146775</v>
      </c>
      <c r="CF28" s="805">
        <f>+INPUT!BO709</f>
        <v>4.9947571106879138</v>
      </c>
      <c r="CG28" s="499">
        <f>+INPUT!BP709</f>
        <v>1832.3181348298554</v>
      </c>
      <c r="CH28" s="805">
        <f>+INPUT!BQ709</f>
        <v>5.0906378888194865</v>
      </c>
      <c r="CI28" s="499">
        <f>+INPUT!BR709</f>
        <v>1915.5503448074996</v>
      </c>
      <c r="CJ28" s="805">
        <f>+INPUT!BS709</f>
        <v>4.5424540856477904</v>
      </c>
      <c r="CK28" s="499">
        <f>+INPUT!BT709</f>
        <v>2001.0426580132957</v>
      </c>
      <c r="CL28" s="805">
        <f>+INPUT!BU709</f>
        <v>4.4630679343688797</v>
      </c>
      <c r="CM28" s="876">
        <f>+INPUT!BV709</f>
        <v>5.8777222613830116</v>
      </c>
    </row>
    <row r="29" spans="1:91" s="475" customFormat="1" ht="12" customHeight="1" x14ac:dyDescent="0.2">
      <c r="A29" s="869"/>
      <c r="B29" s="490"/>
      <c r="C29" s="491"/>
      <c r="D29" s="490"/>
      <c r="E29" s="491"/>
      <c r="F29" s="490"/>
      <c r="G29" s="491"/>
      <c r="H29" s="490"/>
      <c r="I29" s="491"/>
      <c r="J29" s="490"/>
      <c r="K29" s="491"/>
      <c r="L29" s="490"/>
      <c r="M29" s="491"/>
      <c r="N29" s="490"/>
      <c r="O29" s="491"/>
      <c r="P29" s="490"/>
      <c r="Q29" s="491"/>
      <c r="R29" s="490"/>
      <c r="S29" s="491"/>
      <c r="T29" s="490"/>
      <c r="U29" s="491"/>
      <c r="V29" s="490"/>
      <c r="W29" s="491"/>
      <c r="X29" s="490"/>
      <c r="Y29" s="491"/>
      <c r="Z29" s="490"/>
      <c r="AA29" s="491"/>
      <c r="AB29" s="490"/>
      <c r="AC29" s="491"/>
      <c r="AD29" s="490"/>
      <c r="AE29" s="491"/>
      <c r="AF29" s="490"/>
      <c r="AG29" s="491"/>
      <c r="AH29" s="490"/>
      <c r="AI29" s="491"/>
      <c r="AJ29" s="490"/>
      <c r="AK29" s="491"/>
      <c r="AL29" s="490"/>
      <c r="AM29" s="491"/>
      <c r="AN29" s="490"/>
      <c r="AO29" s="491"/>
      <c r="AP29" s="490"/>
      <c r="AQ29" s="491"/>
      <c r="AR29" s="490"/>
      <c r="AS29" s="491"/>
      <c r="AT29" s="490"/>
      <c r="AU29" s="491"/>
      <c r="AV29" s="490"/>
      <c r="AW29" s="491"/>
      <c r="AX29" s="492"/>
      <c r="AY29" s="490"/>
      <c r="AZ29" s="491"/>
      <c r="BA29" s="490"/>
      <c r="BB29" s="491"/>
      <c r="BC29" s="490"/>
      <c r="BD29" s="491"/>
      <c r="BE29" s="490"/>
      <c r="BF29" s="478"/>
      <c r="BG29" s="490"/>
      <c r="BH29" s="478"/>
      <c r="BI29" s="490"/>
      <c r="BJ29" s="478"/>
      <c r="BK29" s="490"/>
      <c r="BL29" s="478"/>
      <c r="BM29" s="490"/>
      <c r="BN29" s="478"/>
      <c r="BO29" s="490"/>
      <c r="BP29" s="478"/>
      <c r="BQ29" s="490"/>
      <c r="BR29" s="478"/>
      <c r="BS29" s="490"/>
      <c r="BT29" s="491"/>
      <c r="BU29" s="490"/>
      <c r="BV29" s="491"/>
      <c r="BW29" s="490"/>
      <c r="BX29" s="491"/>
      <c r="BY29" s="490"/>
      <c r="BZ29" s="491"/>
      <c r="CA29" s="490"/>
      <c r="CB29" s="491"/>
      <c r="CC29" s="490"/>
      <c r="CD29" s="491"/>
      <c r="CE29" s="490"/>
      <c r="CF29" s="491"/>
      <c r="CG29" s="490"/>
      <c r="CH29" s="491"/>
      <c r="CI29" s="490"/>
      <c r="CJ29" s="491"/>
      <c r="CK29" s="490"/>
      <c r="CL29" s="491"/>
      <c r="CM29" s="871"/>
    </row>
    <row r="30" spans="1:91" s="475" customFormat="1" ht="12.75" customHeight="1" x14ac:dyDescent="0.2">
      <c r="A30" s="865" t="str">
        <f>+INPUT!B842</f>
        <v>Weighted Average Shares (FD)</v>
      </c>
      <c r="B30" s="490">
        <f>+INPUT!C842</f>
        <v>297.10000000000002</v>
      </c>
      <c r="C30" s="491" t="str">
        <f>+INPUT!D842</f>
        <v>NA</v>
      </c>
      <c r="D30" s="490">
        <f>+INPUT!E842</f>
        <v>297.2</v>
      </c>
      <c r="E30" s="491" t="str">
        <f>+INPUT!F842</f>
        <v>NA</v>
      </c>
      <c r="F30" s="490">
        <f>+INPUT!G842</f>
        <v>298.60000000000002</v>
      </c>
      <c r="G30" s="491" t="str">
        <f>+INPUT!H842</f>
        <v>NA</v>
      </c>
      <c r="H30" s="490">
        <f>+INPUT!I842</f>
        <v>299.3</v>
      </c>
      <c r="I30" s="491" t="str">
        <f>+INPUT!J842</f>
        <v>NA</v>
      </c>
      <c r="J30" s="490">
        <f>+INPUT!K842</f>
        <v>299.5</v>
      </c>
      <c r="K30" s="491">
        <f>+INPUT!L842</f>
        <v>0.80780881857960196</v>
      </c>
      <c r="L30" s="490">
        <f>+INPUT!M842</f>
        <v>298.3</v>
      </c>
      <c r="M30" s="491">
        <f>+INPUT!N842</f>
        <v>0.37012113055180862</v>
      </c>
      <c r="N30" s="490">
        <f>+INPUT!O842</f>
        <v>298.2</v>
      </c>
      <c r="O30" s="491">
        <f>+INPUT!P842</f>
        <v>-0.13395847287341667</v>
      </c>
      <c r="P30" s="490">
        <f>+INPUT!Q842</f>
        <v>298.3</v>
      </c>
      <c r="Q30" s="491">
        <f>+INPUT!R842</f>
        <v>-0.33411293017039156</v>
      </c>
      <c r="R30" s="490">
        <f>+INPUT!S842</f>
        <v>298.5</v>
      </c>
      <c r="S30" s="491">
        <f>+INPUT!T842</f>
        <v>-0.33388981636059611</v>
      </c>
      <c r="T30" s="490">
        <f>+INPUT!U842</f>
        <v>298.39999999999998</v>
      </c>
      <c r="U30" s="491">
        <f>+INPUT!V842</f>
        <v>3.3523298692571757E-2</v>
      </c>
      <c r="V30" s="490">
        <f>+INPUT!W842</f>
        <v>298.5</v>
      </c>
      <c r="W30" s="491">
        <f>+INPUT!X842</f>
        <v>0.10060362173038584</v>
      </c>
      <c r="X30" s="490">
        <f>+INPUT!Y842</f>
        <v>296.2</v>
      </c>
      <c r="Y30" s="491">
        <f>+INPUT!Z842</f>
        <v>-0.70398927254441901</v>
      </c>
      <c r="Z30" s="490">
        <f>+INPUT!AA842</f>
        <v>294.3</v>
      </c>
      <c r="AA30" s="491">
        <f>+INPUT!AB842</f>
        <v>-1.4070351758793862</v>
      </c>
      <c r="AB30" s="490">
        <f>+INPUT!AC842</f>
        <v>292.60000000000002</v>
      </c>
      <c r="AC30" s="491">
        <f>+INPUT!AD842</f>
        <v>-1.9436997319034646</v>
      </c>
      <c r="AD30" s="490">
        <f>+INPUT!AE842</f>
        <v>291.39999999999998</v>
      </c>
      <c r="AE30" s="491">
        <f>+INPUT!AF842</f>
        <v>-2.3785594639866048</v>
      </c>
      <c r="AF30" s="490">
        <f>+INPUT!AG842</f>
        <v>292</v>
      </c>
      <c r="AG30" s="491">
        <f>+INPUT!AH842</f>
        <v>-1.4179608372721191</v>
      </c>
      <c r="AH30" s="490">
        <f>+INPUT!AI842</f>
        <v>292.39999999999998</v>
      </c>
      <c r="AI30" s="491">
        <f>+INPUT!AJ842</f>
        <v>-0.64559972816854838</v>
      </c>
      <c r="AJ30" s="490">
        <f>+INPUT!AK842</f>
        <v>292.7</v>
      </c>
      <c r="AK30" s="491">
        <f>+INPUT!AL842</f>
        <v>3.417634996580432E-2</v>
      </c>
      <c r="AL30" s="490">
        <f>+INPUT!AM842</f>
        <v>293.05</v>
      </c>
      <c r="AM30" s="491">
        <f>+INPUT!AN842</f>
        <v>0.56623198352781401</v>
      </c>
      <c r="AN30" s="490">
        <f>+INPUT!AO842</f>
        <v>293.60000000000002</v>
      </c>
      <c r="AO30" s="491">
        <f>+INPUT!AP842</f>
        <v>0.54794520547945069</v>
      </c>
      <c r="AP30" s="490">
        <f>+INPUT!AQ842</f>
        <v>292.77612675568662</v>
      </c>
      <c r="AQ30" s="491">
        <f>+INPUT!AR842</f>
        <v>0.12863432137027075</v>
      </c>
      <c r="AR30" s="490">
        <f>+INPUT!AS842</f>
        <v>291.85155908304898</v>
      </c>
      <c r="AS30" s="491">
        <f>+INPUT!AT842</f>
        <v>-0.28986707104577647</v>
      </c>
      <c r="AT30" s="490">
        <f>+INPUT!AU842</f>
        <v>291.05910299434498</v>
      </c>
      <c r="AU30" s="491">
        <f>+INPUT!AV842</f>
        <v>-0.67937109901212978</v>
      </c>
      <c r="AV30" s="490">
        <f>+INPUT!AW842</f>
        <v>290.46769136970227</v>
      </c>
      <c r="AW30" s="491">
        <f>+INPUT!AX842</f>
        <v>-1.0668626124992358</v>
      </c>
      <c r="AX30" s="490"/>
      <c r="AY30" s="490"/>
      <c r="AZ30" s="491"/>
      <c r="BA30" s="490"/>
      <c r="BB30" s="491"/>
      <c r="BC30" s="490"/>
      <c r="BD30" s="491"/>
      <c r="BE30" s="490"/>
      <c r="BF30" s="478"/>
      <c r="BG30" s="490"/>
      <c r="BH30" s="478"/>
      <c r="BI30" s="490"/>
      <c r="BJ30" s="478"/>
      <c r="BK30" s="490"/>
      <c r="BL30" s="478"/>
      <c r="BM30" s="490"/>
      <c r="BN30" s="478"/>
      <c r="BO30" s="490"/>
      <c r="BP30" s="478"/>
      <c r="BQ30" s="490"/>
      <c r="BR30" s="478"/>
      <c r="BS30" s="490">
        <f>+INPUT!BB842</f>
        <v>298.05</v>
      </c>
      <c r="BT30" s="491" t="str">
        <f>+INPUT!BC842</f>
        <v>NA</v>
      </c>
      <c r="BU30" s="490">
        <f>+INPUT!BD842</f>
        <v>298.57499999999999</v>
      </c>
      <c r="BV30" s="491">
        <f>+INPUT!BE842</f>
        <v>0.17614494212378418</v>
      </c>
      <c r="BW30" s="490">
        <f>+INPUT!BF842</f>
        <v>297.89999999999998</v>
      </c>
      <c r="BX30" s="491">
        <f>+INPUT!BG842</f>
        <v>-0.2260738507912663</v>
      </c>
      <c r="BY30" s="490">
        <f>+INPUT!BH842</f>
        <v>292.57500000000005</v>
      </c>
      <c r="BZ30" s="491">
        <f>+INPUT!BI842</f>
        <v>-1.7875125881167975</v>
      </c>
      <c r="CA30" s="490">
        <f>+INPUT!BJ842</f>
        <v>292.9375</v>
      </c>
      <c r="CB30" s="491">
        <f>+INPUT!BK842</f>
        <v>0.12389985473808451</v>
      </c>
      <c r="CC30" s="490">
        <f>+INPUT!BL842</f>
        <v>291.53862005069573</v>
      </c>
      <c r="CD30" s="491">
        <f>+INPUT!BM842</f>
        <v>-0.47753529312713283</v>
      </c>
      <c r="CE30" s="490">
        <f>+INPUT!BN842</f>
        <v>288.41373510154278</v>
      </c>
      <c r="CF30" s="491">
        <f>+INPUT!BO842</f>
        <v>-1.0718596900162254</v>
      </c>
      <c r="CG30" s="490">
        <f>+INPUT!BP842</f>
        <v>286.37664877403301</v>
      </c>
      <c r="CH30" s="491">
        <f>+INPUT!BQ842</f>
        <v>-0.70630697487155203</v>
      </c>
      <c r="CI30" s="490">
        <f>+INPUT!BR842</f>
        <v>283.94673762494762</v>
      </c>
      <c r="CJ30" s="491">
        <f>+INPUT!BS842</f>
        <v>-0.84850184520551863</v>
      </c>
      <c r="CK30" s="490">
        <f>+INPUT!BT842</f>
        <v>281.81183897264901</v>
      </c>
      <c r="CL30" s="491">
        <f>+INPUT!BU842</f>
        <v>-0.75186588518529618</v>
      </c>
      <c r="CM30" s="871">
        <f>+INPUT!BV842</f>
        <v>-0.77140260262199556</v>
      </c>
    </row>
    <row r="31" spans="1:91" s="375" customFormat="1" ht="12" customHeight="1" x14ac:dyDescent="0.2">
      <c r="A31" s="880" t="str">
        <f>INPUT!B850</f>
        <v>Core EPS</v>
      </c>
      <c r="B31" s="410">
        <f>INPUT!C850</f>
        <v>0.75563783237967042</v>
      </c>
      <c r="C31" s="411" t="str">
        <f>INPUT!D850</f>
        <v>NA</v>
      </c>
      <c r="D31" s="711">
        <f>INPUT!E850</f>
        <v>0.92328398384925969</v>
      </c>
      <c r="E31" s="412" t="str">
        <f>INPUT!F850</f>
        <v>NA</v>
      </c>
      <c r="F31" s="711">
        <f>INPUT!G850</f>
        <v>0.93503014065639645</v>
      </c>
      <c r="G31" s="412" t="str">
        <f>INPUT!H850</f>
        <v>NA</v>
      </c>
      <c r="H31" s="711">
        <f>INPUT!I850</f>
        <v>0.95890410958904104</v>
      </c>
      <c r="I31" s="412" t="str">
        <f>INPUT!J850</f>
        <v>NA</v>
      </c>
      <c r="J31" s="711">
        <f>INPUT!K850</f>
        <v>0.97996661101836391</v>
      </c>
      <c r="K31" s="412">
        <f>INPUT!L850</f>
        <v>29.687340816728664</v>
      </c>
      <c r="L31" s="711">
        <f>INPUT!M850</f>
        <v>1.0341937646664432</v>
      </c>
      <c r="M31" s="412">
        <f>INPUT!N850</f>
        <v>12.012531654106027</v>
      </c>
      <c r="N31" s="711">
        <f>INPUT!O850</f>
        <v>1.1065624516328743</v>
      </c>
      <c r="O31" s="412">
        <f>INPUT!P850</f>
        <v>18.34511033580813</v>
      </c>
      <c r="P31" s="711">
        <f>INPUT!Q850</f>
        <v>1.0768715026173961</v>
      </c>
      <c r="Q31" s="412">
        <f>INPUT!R850</f>
        <v>12.302313844385608</v>
      </c>
      <c r="R31" s="711">
        <f>INPUT!S850</f>
        <v>1.0749130266718208</v>
      </c>
      <c r="S31" s="412">
        <f>INPUT!T850</f>
        <v>9.6887398596968666</v>
      </c>
      <c r="T31" s="711">
        <f>INPUT!U850</f>
        <v>1.0900958960610434</v>
      </c>
      <c r="U31" s="412">
        <f>INPUT!V850</f>
        <v>5.4053827536496755</v>
      </c>
      <c r="V31" s="711">
        <f>INPUT!W850</f>
        <v>1.0539363484087105</v>
      </c>
      <c r="W31" s="412">
        <f>INPUT!X850</f>
        <v>-4.7558186297128771</v>
      </c>
      <c r="X31" s="711">
        <f>INPUT!Y850</f>
        <v>1.0236326806212019</v>
      </c>
      <c r="Y31" s="412">
        <f>INPUT!Z850</f>
        <v>-4.9438416623333552</v>
      </c>
      <c r="Z31" s="711">
        <f>INPUT!AA850</f>
        <v>0.97281685355079828</v>
      </c>
      <c r="AA31" s="412">
        <f>INPUT!AB850</f>
        <v>-9.4980868765853472</v>
      </c>
      <c r="AB31" s="711">
        <f>INPUT!AC850</f>
        <v>1.1520847573479152</v>
      </c>
      <c r="AC31" s="412">
        <f>INPUT!AD850</f>
        <v>5.6865512025925824</v>
      </c>
      <c r="AD31" s="711">
        <f>INPUT!AE850</f>
        <v>1.2211736444749488</v>
      </c>
      <c r="AE31" s="412">
        <f>INPUT!AF850</f>
        <v>15.8678744042505</v>
      </c>
      <c r="AF31" s="711">
        <f>INPUT!AG850</f>
        <v>1.2606164383561647</v>
      </c>
      <c r="AG31" s="412">
        <f>INPUT!AH850</f>
        <v>23.151249683738769</v>
      </c>
      <c r="AH31" s="711">
        <f>INPUT!AI850</f>
        <v>1.2159712722298224</v>
      </c>
      <c r="AI31" s="412">
        <f>INPUT!AJ850</f>
        <v>24.994881389185068</v>
      </c>
      <c r="AJ31" s="711">
        <f>INPUT!AK850</f>
        <v>1.2994533652203624</v>
      </c>
      <c r="AK31" s="412">
        <f>INPUT!AL850</f>
        <v>12.791472756890542</v>
      </c>
      <c r="AL31" s="711">
        <f>INPUT!AM850</f>
        <v>1.4238184610134788</v>
      </c>
      <c r="AM31" s="412">
        <f>INPUT!AN850</f>
        <v>16.594267117978816</v>
      </c>
      <c r="AN31" s="711">
        <f>INPUT!AO850</f>
        <v>1.1948228882833789</v>
      </c>
      <c r="AO31" s="412">
        <f>INPUT!AP850</f>
        <v>-5.2191569196559158</v>
      </c>
      <c r="AP31" s="711">
        <f>INPUT!AQ850</f>
        <v>1.3611633992033498</v>
      </c>
      <c r="AQ31" s="412">
        <f>INPUT!AR850</f>
        <v>11.940424111112208</v>
      </c>
      <c r="AR31" s="711">
        <f>INPUT!AS850</f>
        <v>1.3906444916339205</v>
      </c>
      <c r="AS31" s="412">
        <f>INPUT!AT850</f>
        <v>7.0176528726826604</v>
      </c>
      <c r="AT31" s="711">
        <f>INPUT!AU850</f>
        <v>1.4461102977607878</v>
      </c>
      <c r="AU31" s="412">
        <f>INPUT!AV850</f>
        <v>1.565637569514422</v>
      </c>
      <c r="AV31" s="711">
        <f>INPUT!AW850</f>
        <v>1.4987367420827074</v>
      </c>
      <c r="AW31" s="412">
        <f>INPUT!AX850</f>
        <v>25.435891526648476</v>
      </c>
      <c r="AX31" s="711"/>
      <c r="AY31" s="410"/>
      <c r="AZ31" s="411"/>
      <c r="BA31" s="410"/>
      <c r="BB31" s="411"/>
      <c r="BC31" s="410"/>
      <c r="BD31" s="411"/>
      <c r="BE31" s="410"/>
      <c r="BF31" s="412"/>
      <c r="BG31" s="410"/>
      <c r="BH31" s="412"/>
      <c r="BI31" s="410"/>
      <c r="BJ31" s="412"/>
      <c r="BK31" s="410"/>
      <c r="BL31" s="412"/>
      <c r="BM31" s="410"/>
      <c r="BN31" s="412"/>
      <c r="BO31" s="410"/>
      <c r="BP31" s="412"/>
      <c r="BQ31" s="711"/>
      <c r="BR31" s="412"/>
      <c r="BS31" s="711">
        <f>INPUT!BB850</f>
        <v>3.5735614829726559</v>
      </c>
      <c r="BT31" s="781" t="str">
        <f>INPUT!BC850</f>
        <v>NA</v>
      </c>
      <c r="BU31" s="711">
        <f>INPUT!BD850</f>
        <v>4.197296130981135</v>
      </c>
      <c r="BV31" s="782">
        <f>INPUT!BE850</f>
        <v>17.454146262222054</v>
      </c>
      <c r="BW31" s="711">
        <f>INPUT!BF850</f>
        <v>4.2428538229142472</v>
      </c>
      <c r="BX31" s="782">
        <f>INPUT!BG850</f>
        <v>1.0854057114731717</v>
      </c>
      <c r="BY31" s="711">
        <f>INPUT!BH850</f>
        <v>4.6051439801760248</v>
      </c>
      <c r="BZ31" s="809">
        <f>BY31/BW31*100-100</f>
        <v>8.5388319367772851</v>
      </c>
      <c r="CA31" s="711">
        <f>INPUT!BJ850</f>
        <v>5.1340302965649691</v>
      </c>
      <c r="CB31" s="809">
        <f>CA31/BY31*100-100</f>
        <v>11.484685791924548</v>
      </c>
      <c r="CC31" s="711">
        <f>INPUT!BL850</f>
        <v>5.696041499291117</v>
      </c>
      <c r="CD31" s="809">
        <f>CC31/CA31*100-100</f>
        <v>10.946783915594978</v>
      </c>
      <c r="CE31" s="711">
        <f>INPUT!BN850</f>
        <v>6.0453425267725773</v>
      </c>
      <c r="CF31" s="782">
        <f>INPUT!BO850</f>
        <v>6.1323469557750201</v>
      </c>
      <c r="CG31" s="711">
        <f>INPUT!BP850</f>
        <v>6.3982805255733526</v>
      </c>
      <c r="CH31" s="782">
        <f>INPUT!BQ850</f>
        <v>5.838180338628348</v>
      </c>
      <c r="CI31" s="711">
        <f>INPUT!BR850</f>
        <v>6.7461607794123113</v>
      </c>
      <c r="CJ31" s="782">
        <f>INPUT!BS850</f>
        <v>5.4370897376023493</v>
      </c>
      <c r="CK31" s="711">
        <f>INPUT!BT850</f>
        <v>7.1006337608389298</v>
      </c>
      <c r="CL31" s="782">
        <f>INPUT!BU850</f>
        <v>5.254440162594193</v>
      </c>
      <c r="CM31" s="881">
        <f>INPUT!BV850</f>
        <v>6.7008151262860638</v>
      </c>
    </row>
    <row r="32" spans="1:91" s="376" customFormat="1" ht="12" hidden="1" customHeight="1" outlineLevel="1" x14ac:dyDescent="0.2">
      <c r="A32" s="882" t="s">
        <v>167</v>
      </c>
      <c r="B32" s="406">
        <f>+(B28/B30)-B31</f>
        <v>0</v>
      </c>
      <c r="C32" s="406"/>
      <c r="D32" s="406">
        <f>+(D28/D30)-D31</f>
        <v>0</v>
      </c>
      <c r="E32" s="406"/>
      <c r="F32" s="406">
        <f>+(F28/F30)-F31</f>
        <v>0</v>
      </c>
      <c r="G32" s="406"/>
      <c r="H32" s="406">
        <f>+(H28/H30)-H31</f>
        <v>0</v>
      </c>
      <c r="I32" s="406"/>
      <c r="J32" s="406">
        <f>+(J28/J30)-J31</f>
        <v>0</v>
      </c>
      <c r="K32" s="406"/>
      <c r="L32" s="406">
        <f>+(L28/L30)-L31</f>
        <v>0</v>
      </c>
      <c r="M32" s="406"/>
      <c r="N32" s="406">
        <f>+(N28/N30)-N31</f>
        <v>0</v>
      </c>
      <c r="O32" s="406"/>
      <c r="P32" s="406">
        <f>+(P28/P30)-P31</f>
        <v>0</v>
      </c>
      <c r="Q32" s="406"/>
      <c r="R32" s="406">
        <f>+(R28/R30)-R31</f>
        <v>0</v>
      </c>
      <c r="S32" s="406"/>
      <c r="T32" s="406">
        <f>+(T28/T30)-T31</f>
        <v>0</v>
      </c>
      <c r="U32" s="406"/>
      <c r="V32" s="406">
        <f>+(V28/V30)-V31</f>
        <v>0</v>
      </c>
      <c r="W32" s="406"/>
      <c r="X32" s="406">
        <f>+(X28/X30)-X31</f>
        <v>0</v>
      </c>
      <c r="Y32" s="406"/>
      <c r="Z32" s="406">
        <f>+(Z28/Z30)-Z31</f>
        <v>0</v>
      </c>
      <c r="AA32" s="406"/>
      <c r="AB32" s="406">
        <f>+(AB28/AB30)-AB31</f>
        <v>0</v>
      </c>
      <c r="AC32" s="406"/>
      <c r="AD32" s="406">
        <f>+(AD28/AD30)-AD31</f>
        <v>0</v>
      </c>
      <c r="AE32" s="406"/>
      <c r="AF32" s="406">
        <f>+(AF28/AF30)-AF31</f>
        <v>0</v>
      </c>
      <c r="AG32" s="413"/>
      <c r="AH32" s="406">
        <f t="shared" ref="AH32" si="16">+(AH28/AH30)-AH31</f>
        <v>0</v>
      </c>
      <c r="AI32" s="413"/>
      <c r="AJ32" s="406">
        <f t="shared" ref="AJ32" si="17">+(AJ28/AJ30)-AJ31</f>
        <v>0</v>
      </c>
      <c r="AK32" s="413"/>
      <c r="AL32" s="406">
        <f t="shared" ref="AL32" si="18">+(AL28/AL30)-AL31</f>
        <v>0</v>
      </c>
      <c r="AM32" s="413"/>
      <c r="AN32" s="406">
        <f t="shared" ref="AN32" si="19">+(AN28/AN30)-AN31</f>
        <v>0</v>
      </c>
      <c r="AO32" s="413"/>
      <c r="AP32" s="406">
        <f t="shared" ref="AP32" si="20">+(AP28/AP30)-AP31</f>
        <v>0</v>
      </c>
      <c r="AQ32" s="413"/>
      <c r="AR32" s="406">
        <f t="shared" ref="AR32" si="21">+(AR28/AR30)-AR31</f>
        <v>0</v>
      </c>
      <c r="AS32" s="413"/>
      <c r="AT32" s="406">
        <f t="shared" ref="AT32" si="22">+(AT28/AT30)-AT31</f>
        <v>0</v>
      </c>
      <c r="AU32" s="413"/>
      <c r="AV32" s="406">
        <f t="shared" ref="AV32" si="23">+(AV28/AV30)-AV31</f>
        <v>0</v>
      </c>
      <c r="AW32" s="413"/>
      <c r="AX32" s="414"/>
      <c r="AY32" s="406"/>
      <c r="AZ32" s="407"/>
      <c r="BA32" s="406"/>
      <c r="BB32" s="407"/>
      <c r="BC32" s="406"/>
      <c r="BD32" s="407"/>
      <c r="BE32" s="406"/>
      <c r="BF32" s="413"/>
      <c r="BG32" s="406"/>
      <c r="BH32" s="413"/>
      <c r="BI32" s="406"/>
      <c r="BJ32" s="413"/>
      <c r="BK32" s="406"/>
      <c r="BL32" s="413"/>
      <c r="BM32" s="406"/>
      <c r="BN32" s="413"/>
      <c r="BO32" s="408"/>
      <c r="BP32" s="413"/>
      <c r="BQ32" s="408"/>
      <c r="BR32" s="413"/>
      <c r="BS32" s="406">
        <f>+(BS28/BS30)-BS31</f>
        <v>0</v>
      </c>
      <c r="BT32" s="413"/>
      <c r="BU32" s="406">
        <f t="shared" ref="BU32" si="24">+(BU28/BU30)-BU31</f>
        <v>0</v>
      </c>
      <c r="BV32" s="413"/>
      <c r="BW32" s="406">
        <f t="shared" ref="BW32" si="25">+(BW28/BW30)-BW31</f>
        <v>0</v>
      </c>
      <c r="BX32" s="413"/>
      <c r="BY32" s="406">
        <f t="shared" ref="BY32:CA32" si="26">+(BY28/BY30)-BY31</f>
        <v>0</v>
      </c>
      <c r="BZ32" s="413"/>
      <c r="CA32" s="406">
        <f t="shared" si="26"/>
        <v>0</v>
      </c>
      <c r="CB32" s="413"/>
      <c r="CC32" s="406">
        <f t="shared" ref="CC32" si="27">+(CC28/CC30)-CC31</f>
        <v>0</v>
      </c>
      <c r="CD32" s="413"/>
      <c r="CE32" s="406">
        <f t="shared" ref="CE32" si="28">+(CE28/CE30)-CE31</f>
        <v>0</v>
      </c>
      <c r="CF32" s="413"/>
      <c r="CG32" s="406">
        <f t="shared" ref="CG32:CI32" si="29">+(CG28/CG30)-CG31</f>
        <v>0</v>
      </c>
      <c r="CH32" s="413"/>
      <c r="CI32" s="406">
        <f t="shared" si="29"/>
        <v>0</v>
      </c>
      <c r="CJ32" s="413"/>
      <c r="CK32" s="406">
        <f t="shared" ref="CK32" si="30">+(CK28/CK30)-CK31</f>
        <v>0</v>
      </c>
      <c r="CL32" s="413"/>
      <c r="CM32" s="883"/>
    </row>
    <row r="33" spans="1:91" s="475" customFormat="1" ht="6" customHeight="1" collapsed="1" x14ac:dyDescent="0.2">
      <c r="A33" s="869"/>
      <c r="B33" s="510"/>
      <c r="C33" s="511"/>
      <c r="D33" s="510"/>
      <c r="E33" s="512"/>
      <c r="F33" s="510"/>
      <c r="G33" s="512"/>
      <c r="H33" s="510"/>
      <c r="I33" s="512"/>
      <c r="J33" s="510"/>
      <c r="K33" s="512"/>
      <c r="L33" s="510"/>
      <c r="M33" s="512"/>
      <c r="N33" s="510"/>
      <c r="O33" s="512"/>
      <c r="P33" s="510"/>
      <c r="Q33" s="512"/>
      <c r="R33" s="510"/>
      <c r="S33" s="512"/>
      <c r="T33" s="510"/>
      <c r="U33" s="512"/>
      <c r="V33" s="510"/>
      <c r="W33" s="512"/>
      <c r="X33" s="510"/>
      <c r="Y33" s="512"/>
      <c r="Z33" s="510"/>
      <c r="AA33" s="512"/>
      <c r="AB33" s="510"/>
      <c r="AC33" s="512"/>
      <c r="AD33" s="510"/>
      <c r="AE33" s="512"/>
      <c r="AF33" s="510"/>
      <c r="AG33" s="512"/>
      <c r="AH33" s="510"/>
      <c r="AI33" s="512"/>
      <c r="AJ33" s="510"/>
      <c r="AK33" s="512"/>
      <c r="AL33" s="510"/>
      <c r="AM33" s="512"/>
      <c r="AN33" s="510"/>
      <c r="AO33" s="512"/>
      <c r="AP33" s="510"/>
      <c r="AQ33" s="512"/>
      <c r="AR33" s="510"/>
      <c r="AS33" s="512"/>
      <c r="AT33" s="510"/>
      <c r="AU33" s="512"/>
      <c r="AV33" s="510"/>
      <c r="AW33" s="512"/>
      <c r="AX33" s="513"/>
      <c r="AY33" s="510"/>
      <c r="AZ33" s="511"/>
      <c r="BA33" s="510"/>
      <c r="BB33" s="511"/>
      <c r="BC33" s="510"/>
      <c r="BD33" s="511"/>
      <c r="BE33" s="510"/>
      <c r="BF33" s="512"/>
      <c r="BG33" s="510"/>
      <c r="BH33" s="512"/>
      <c r="BI33" s="510"/>
      <c r="BJ33" s="512"/>
      <c r="BK33" s="510"/>
      <c r="BL33" s="512"/>
      <c r="BM33" s="510"/>
      <c r="BN33" s="512"/>
      <c r="BO33" s="510"/>
      <c r="BP33" s="512"/>
      <c r="BQ33" s="510"/>
      <c r="BR33" s="512"/>
      <c r="BS33" s="510"/>
      <c r="BT33" s="512"/>
      <c r="BU33" s="510"/>
      <c r="BV33" s="512"/>
      <c r="BW33" s="510"/>
      <c r="BX33" s="512"/>
      <c r="BY33" s="510"/>
      <c r="BZ33" s="512"/>
      <c r="CA33" s="510"/>
      <c r="CB33" s="512"/>
      <c r="CC33" s="510"/>
      <c r="CD33" s="512"/>
      <c r="CE33" s="510"/>
      <c r="CF33" s="512"/>
      <c r="CG33" s="510"/>
      <c r="CH33" s="512"/>
      <c r="CI33" s="510"/>
      <c r="CJ33" s="512"/>
      <c r="CK33" s="510"/>
      <c r="CL33" s="512"/>
      <c r="CM33" s="884"/>
    </row>
    <row r="34" spans="1:91" s="475" customFormat="1" ht="12" customHeight="1" x14ac:dyDescent="0.2">
      <c r="A34" s="865" t="s">
        <v>225</v>
      </c>
      <c r="B34" s="747">
        <f>+B36-B31</f>
        <v>2.9619656681252216E-2</v>
      </c>
      <c r="C34" s="511"/>
      <c r="D34" s="514">
        <f>+D36-D31</f>
        <v>-1.0094212651413192E-2</v>
      </c>
      <c r="E34" s="512"/>
      <c r="F34" s="514">
        <f>+F36-F31</f>
        <v>-3.348961821835239E-2</v>
      </c>
      <c r="G34" s="512"/>
      <c r="H34" s="514">
        <f>+H36-H31</f>
        <v>-3.3411293017039378E-3</v>
      </c>
      <c r="I34" s="512"/>
      <c r="J34" s="514">
        <f>+J36-J31</f>
        <v>7.8464106844741255E-2</v>
      </c>
      <c r="K34" s="512"/>
      <c r="L34" s="514">
        <f>+L36-L31</f>
        <v>4.8608783104257425E-2</v>
      </c>
      <c r="M34" s="512"/>
      <c r="N34" s="514">
        <f>+N36-N31</f>
        <v>0.17236753856472165</v>
      </c>
      <c r="O34" s="512"/>
      <c r="P34" s="514">
        <f>+P36-P31</f>
        <v>2.0113979215554689E-2</v>
      </c>
      <c r="Q34" s="512"/>
      <c r="R34" s="514">
        <f>+R36-R31</f>
        <v>4.020100502512558E-2</v>
      </c>
      <c r="S34" s="512"/>
      <c r="T34" s="514">
        <f>+T36-T31</f>
        <v>-1.0053619302949013E-2</v>
      </c>
      <c r="U34" s="512"/>
      <c r="V34" s="514">
        <f>+V36-V31</f>
        <v>1.7420435510887788E-2</v>
      </c>
      <c r="W34" s="512"/>
      <c r="X34" s="514">
        <f>+X36-X31</f>
        <v>0</v>
      </c>
      <c r="Y34" s="512"/>
      <c r="Z34" s="514">
        <f>+Z36-Z31</f>
        <v>0</v>
      </c>
      <c r="AA34" s="512"/>
      <c r="AB34" s="514">
        <f>+AB36-AB31</f>
        <v>0</v>
      </c>
      <c r="AC34" s="512"/>
      <c r="AD34" s="514">
        <f>+AD36-AD31</f>
        <v>-6.9148936170212894E-2</v>
      </c>
      <c r="AE34" s="512"/>
      <c r="AF34" s="514">
        <f>+AF36-AF31</f>
        <v>1.3356164383561575E-2</v>
      </c>
      <c r="AG34" s="512"/>
      <c r="AH34" s="514">
        <f t="shared" ref="AH34" si="31">+AH36-AH31</f>
        <v>5.1128590971272203E-2</v>
      </c>
      <c r="AI34" s="512"/>
      <c r="AJ34" s="514">
        <f t="shared" ref="AJ34" si="32">+AJ36-AJ31</f>
        <v>1.1103518961393721E-2</v>
      </c>
      <c r="AK34" s="512"/>
      <c r="AL34" s="514">
        <f t="shared" ref="AL34" si="33">+AL36-AL31</f>
        <v>-0.14860945231189238</v>
      </c>
      <c r="AM34" s="512"/>
      <c r="AN34" s="514">
        <f t="shared" ref="AN34" si="34">+AN36-AN31</f>
        <v>0</v>
      </c>
      <c r="AO34" s="512"/>
      <c r="AP34" s="514">
        <f t="shared" ref="AP34" si="35">+AP36-AP31</f>
        <v>0</v>
      </c>
      <c r="AQ34" s="512"/>
      <c r="AR34" s="514">
        <f t="shared" ref="AR34" si="36">+AR36-AR31</f>
        <v>0</v>
      </c>
      <c r="AS34" s="512"/>
      <c r="AT34" s="514">
        <f t="shared" ref="AT34" si="37">+AT36-AT31</f>
        <v>0</v>
      </c>
      <c r="AU34" s="512"/>
      <c r="AV34" s="514">
        <f t="shared" ref="AV34" si="38">+AV36-AV31</f>
        <v>0</v>
      </c>
      <c r="AW34" s="512"/>
      <c r="AX34" s="513"/>
      <c r="AY34" s="510"/>
      <c r="AZ34" s="511"/>
      <c r="BA34" s="510"/>
      <c r="BB34" s="511"/>
      <c r="BC34" s="510"/>
      <c r="BD34" s="511"/>
      <c r="BE34" s="510"/>
      <c r="BF34" s="512"/>
      <c r="BG34" s="510"/>
      <c r="BH34" s="512"/>
      <c r="BI34" s="510"/>
      <c r="BJ34" s="512"/>
      <c r="BK34" s="510"/>
      <c r="BL34" s="512"/>
      <c r="BM34" s="510"/>
      <c r="BN34" s="512"/>
      <c r="BO34" s="514"/>
      <c r="BP34" s="512"/>
      <c r="BQ34" s="514"/>
      <c r="BR34" s="512"/>
      <c r="BS34" s="514">
        <f>+BS36-BS31</f>
        <v>-1.7446737124643619E-2</v>
      </c>
      <c r="BT34" s="512"/>
      <c r="BU34" s="514">
        <f t="shared" ref="BU34" si="39">+BU36-BU31</f>
        <v>0.3195177091183119</v>
      </c>
      <c r="BV34" s="512"/>
      <c r="BW34" s="514">
        <f t="shared" ref="BW34" si="40">+BW36-BW31</f>
        <v>4.7667002349782273E-2</v>
      </c>
      <c r="BX34" s="512"/>
      <c r="BY34" s="514">
        <f t="shared" ref="BY34:CA34" si="41">+BY36-BY31</f>
        <v>-5.5541314192941726E-2</v>
      </c>
      <c r="BZ34" s="512"/>
      <c r="CA34" s="514">
        <f t="shared" si="41"/>
        <v>-8.6537230637934393E-2</v>
      </c>
      <c r="CB34" s="512"/>
      <c r="CC34" s="514">
        <f t="shared" ref="CC34" si="42">+CC36-CC31</f>
        <v>0</v>
      </c>
      <c r="CD34" s="512"/>
      <c r="CE34" s="514">
        <f t="shared" ref="CE34" si="43">+CE36-CE31</f>
        <v>0</v>
      </c>
      <c r="CF34" s="512"/>
      <c r="CG34" s="514">
        <f t="shared" ref="CG34:CI34" si="44">+CG36-CG31</f>
        <v>0</v>
      </c>
      <c r="CH34" s="512"/>
      <c r="CI34" s="514">
        <f t="shared" si="44"/>
        <v>0</v>
      </c>
      <c r="CJ34" s="512"/>
      <c r="CK34" s="514">
        <f t="shared" ref="CK34" si="45">+CK36-CK31</f>
        <v>0</v>
      </c>
      <c r="CL34" s="512"/>
      <c r="CM34" s="884"/>
    </row>
    <row r="35" spans="1:91" s="475" customFormat="1" ht="6" customHeight="1" x14ac:dyDescent="0.2">
      <c r="A35" s="869"/>
      <c r="B35" s="510"/>
      <c r="C35" s="511"/>
      <c r="D35" s="510"/>
      <c r="E35" s="512"/>
      <c r="F35" s="510"/>
      <c r="G35" s="512"/>
      <c r="H35" s="510"/>
      <c r="I35" s="512"/>
      <c r="J35" s="510"/>
      <c r="K35" s="512"/>
      <c r="L35" s="510"/>
      <c r="M35" s="512"/>
      <c r="N35" s="510"/>
      <c r="O35" s="512"/>
      <c r="P35" s="510"/>
      <c r="Q35" s="512"/>
      <c r="R35" s="510"/>
      <c r="S35" s="512"/>
      <c r="T35" s="510"/>
      <c r="U35" s="512"/>
      <c r="V35" s="510"/>
      <c r="W35" s="512"/>
      <c r="X35" s="510"/>
      <c r="Y35" s="512"/>
      <c r="Z35" s="510"/>
      <c r="AA35" s="512"/>
      <c r="AB35" s="510"/>
      <c r="AC35" s="512"/>
      <c r="AD35" s="510"/>
      <c r="AE35" s="512"/>
      <c r="AF35" s="510"/>
      <c r="AG35" s="512"/>
      <c r="AH35" s="510"/>
      <c r="AI35" s="512"/>
      <c r="AJ35" s="510"/>
      <c r="AK35" s="512"/>
      <c r="AL35" s="510"/>
      <c r="AM35" s="512"/>
      <c r="AN35" s="510"/>
      <c r="AO35" s="512"/>
      <c r="AP35" s="510"/>
      <c r="AQ35" s="512"/>
      <c r="AR35" s="510"/>
      <c r="AS35" s="512"/>
      <c r="AT35" s="510"/>
      <c r="AU35" s="512"/>
      <c r="AV35" s="510"/>
      <c r="AW35" s="512"/>
      <c r="AX35" s="513"/>
      <c r="AY35" s="510"/>
      <c r="AZ35" s="511"/>
      <c r="BA35" s="510"/>
      <c r="BB35" s="511"/>
      <c r="BC35" s="510"/>
      <c r="BD35" s="511"/>
      <c r="BE35" s="510"/>
      <c r="BF35" s="512"/>
      <c r="BG35" s="510"/>
      <c r="BH35" s="512"/>
      <c r="BI35" s="510"/>
      <c r="BJ35" s="512"/>
      <c r="BK35" s="510"/>
      <c r="BL35" s="512"/>
      <c r="BM35" s="510"/>
      <c r="BN35" s="512"/>
      <c r="BO35" s="510"/>
      <c r="BP35" s="512"/>
      <c r="BQ35" s="510"/>
      <c r="BR35" s="512"/>
      <c r="BS35" s="510"/>
      <c r="BT35" s="512"/>
      <c r="BU35" s="510"/>
      <c r="BV35" s="512"/>
      <c r="BW35" s="510"/>
      <c r="BX35" s="512"/>
      <c r="BY35" s="510"/>
      <c r="BZ35" s="512"/>
      <c r="CA35" s="510"/>
      <c r="CB35" s="512"/>
      <c r="CC35" s="510"/>
      <c r="CD35" s="512"/>
      <c r="CE35" s="510"/>
      <c r="CF35" s="512"/>
      <c r="CG35" s="510"/>
      <c r="CH35" s="512"/>
      <c r="CI35" s="510"/>
      <c r="CJ35" s="512"/>
      <c r="CK35" s="510"/>
      <c r="CL35" s="512"/>
      <c r="CM35" s="884"/>
    </row>
    <row r="36" spans="1:91" s="377" customFormat="1" ht="12" customHeight="1" x14ac:dyDescent="0.2">
      <c r="A36" s="885" t="str">
        <f>+INPUT!B845</f>
        <v>Operating EPS</v>
      </c>
      <c r="B36" s="415">
        <f>+INPUT!C845</f>
        <v>0.78525748906092263</v>
      </c>
      <c r="C36" s="416" t="str">
        <f>+INPUT!D845</f>
        <v>NA</v>
      </c>
      <c r="D36" s="418">
        <f>+INPUT!E845</f>
        <v>0.9131897711978465</v>
      </c>
      <c r="E36" s="417" t="str">
        <f>+INPUT!F845</f>
        <v>NA</v>
      </c>
      <c r="F36" s="418">
        <f>+INPUT!G845</f>
        <v>0.90154052243804406</v>
      </c>
      <c r="G36" s="417" t="str">
        <f>+INPUT!H845</f>
        <v>NA</v>
      </c>
      <c r="H36" s="418">
        <f>+INPUT!I845</f>
        <v>0.9555629802873371</v>
      </c>
      <c r="I36" s="417" t="str">
        <f>+INPUT!J845</f>
        <v>NA</v>
      </c>
      <c r="J36" s="418">
        <f>+INPUT!K845</f>
        <v>1.0584307178631052</v>
      </c>
      <c r="K36" s="417">
        <f>+INPUT!L845</f>
        <v>34.787726651148034</v>
      </c>
      <c r="L36" s="418">
        <f>+INPUT!M845</f>
        <v>1.0828025477707006</v>
      </c>
      <c r="M36" s="417">
        <f>+INPUT!N845</f>
        <v>18.573661458162221</v>
      </c>
      <c r="N36" s="418">
        <f>+INPUT!O845</f>
        <v>1.2789299901975959</v>
      </c>
      <c r="O36" s="417">
        <f>+INPUT!P845</f>
        <v>41.860510799777927</v>
      </c>
      <c r="P36" s="418">
        <f>+INPUT!Q845</f>
        <v>1.0969854818329507</v>
      </c>
      <c r="Q36" s="417">
        <f>+INPUT!R845</f>
        <v>14.799914235175578</v>
      </c>
      <c r="R36" s="418">
        <f>+INPUT!S845</f>
        <v>1.1151140316969463</v>
      </c>
      <c r="S36" s="417">
        <f>+INPUT!T845</f>
        <v>5.3554108811468097</v>
      </c>
      <c r="T36" s="418">
        <f>+INPUT!U845</f>
        <v>1.0800422767580944</v>
      </c>
      <c r="U36" s="417">
        <f>+INPUT!V845</f>
        <v>-0.25491914645834868</v>
      </c>
      <c r="V36" s="418">
        <f>+INPUT!W845</f>
        <v>1.0713567839195983</v>
      </c>
      <c r="W36" s="417">
        <f>+INPUT!X845</f>
        <v>-16.23022431790244</v>
      </c>
      <c r="X36" s="418">
        <f>+INPUT!Y845</f>
        <v>1.0236326806212019</v>
      </c>
      <c r="Y36" s="417">
        <f>+INPUT!Z845</f>
        <v>-6.6867613497658738</v>
      </c>
      <c r="Z36" s="418">
        <f>+INPUT!AA845</f>
        <v>0.97281685355079828</v>
      </c>
      <c r="AA36" s="417">
        <f>+INPUT!AB845</f>
        <v>-12.760773705771115</v>
      </c>
      <c r="AB36" s="418">
        <f>+INPUT!AC845</f>
        <v>1.1520847573479152</v>
      </c>
      <c r="AC36" s="417">
        <f>+INPUT!AD845</f>
        <v>6.6703389432186668</v>
      </c>
      <c r="AD36" s="418">
        <f>+INPUT!AE845</f>
        <v>1.1520247083047359</v>
      </c>
      <c r="AE36" s="417">
        <f>+INPUT!AF845</f>
        <v>7.5295107657797189</v>
      </c>
      <c r="AF36" s="418">
        <f>+INPUT!AG845</f>
        <v>1.2739726027397262</v>
      </c>
      <c r="AG36" s="417">
        <f>+INPUT!AH845</f>
        <v>24.456030650233146</v>
      </c>
      <c r="AH36" s="418">
        <f>+INPUT!AI845</f>
        <v>1.2670998632010946</v>
      </c>
      <c r="AI36" s="417">
        <f>+INPUT!AJ845</f>
        <v>30.250607663318988</v>
      </c>
      <c r="AJ36" s="418">
        <f>+INPUT!AK845</f>
        <v>1.3105568841817561</v>
      </c>
      <c r="AK36" s="417">
        <f>+INPUT!AL845</f>
        <v>13.755248980000559</v>
      </c>
      <c r="AL36" s="418">
        <f>+INPUT!AM845</f>
        <v>1.2752090087015864</v>
      </c>
      <c r="AM36" s="417">
        <f>+INPUT!AN845</f>
        <v>10.692852289437667</v>
      </c>
      <c r="AN36" s="418">
        <f>+INPUT!AO845</f>
        <v>1.1948228882833789</v>
      </c>
      <c r="AO36" s="417">
        <f>+INPUT!AP845</f>
        <v>-6.2128270487240371</v>
      </c>
      <c r="AP36" s="418">
        <f>+INPUT!AQ845</f>
        <v>1.3611633992033498</v>
      </c>
      <c r="AQ36" s="417">
        <f>+INPUT!AR845</f>
        <v>7.4235298048743488</v>
      </c>
      <c r="AR36" s="418">
        <f>+INPUT!AS845</f>
        <v>1.3906444916339205</v>
      </c>
      <c r="AS36" s="417">
        <f>+INPUT!AT845</f>
        <v>6.1109600368218366</v>
      </c>
      <c r="AT36" s="418">
        <f>+INPUT!AU845</f>
        <v>1.4461102977607878</v>
      </c>
      <c r="AU36" s="417">
        <f>+INPUT!AV845</f>
        <v>13.40182573154911</v>
      </c>
      <c r="AV36" s="418">
        <f>+INPUT!AW845</f>
        <v>1.4987367420827074</v>
      </c>
      <c r="AW36" s="417">
        <f>+INPUT!AX845</f>
        <v>25.435891526648476</v>
      </c>
      <c r="AX36" s="419"/>
      <c r="AY36" s="415"/>
      <c r="AZ36" s="416"/>
      <c r="BA36" s="415"/>
      <c r="BB36" s="416"/>
      <c r="BC36" s="415"/>
      <c r="BD36" s="416"/>
      <c r="BE36" s="415"/>
      <c r="BF36" s="417"/>
      <c r="BG36" s="415"/>
      <c r="BH36" s="417"/>
      <c r="BI36" s="415"/>
      <c r="BJ36" s="417"/>
      <c r="BK36" s="415"/>
      <c r="BL36" s="417"/>
      <c r="BM36" s="415"/>
      <c r="BN36" s="417"/>
      <c r="BO36" s="415"/>
      <c r="BP36" s="417"/>
      <c r="BQ36" s="418"/>
      <c r="BR36" s="417"/>
      <c r="BS36" s="418">
        <f>+INPUT!BB845</f>
        <v>3.5561147458480122</v>
      </c>
      <c r="BT36" s="417" t="str">
        <f>+INPUT!BC845</f>
        <v>NA</v>
      </c>
      <c r="BU36" s="418">
        <f>+INPUT!BD845</f>
        <v>4.5168138400994469</v>
      </c>
      <c r="BV36" s="417">
        <f>+INPUT!BE845</f>
        <v>27.015413250461378</v>
      </c>
      <c r="BW36" s="418">
        <f>+INPUT!BF845</f>
        <v>4.2905208252640294</v>
      </c>
      <c r="BX36" s="417">
        <f>+INPUT!BG845</f>
        <v>-5.0100142013033491</v>
      </c>
      <c r="BY36" s="418">
        <f>+INPUT!BH845</f>
        <v>4.549602665983083</v>
      </c>
      <c r="BZ36" s="417">
        <f>+INPUT!BI845</f>
        <v>6.0384706489126501</v>
      </c>
      <c r="CA36" s="418">
        <f>+INPUT!BJ845</f>
        <v>5.0474930659270347</v>
      </c>
      <c r="CB36" s="417">
        <f>+INPUT!BK845</f>
        <v>10.943601815310757</v>
      </c>
      <c r="CC36" s="418">
        <f>+INPUT!BL845</f>
        <v>5.696041499291117</v>
      </c>
      <c r="CD36" s="417">
        <f>+INPUT!BM845</f>
        <v>12.848921729919567</v>
      </c>
      <c r="CE36" s="418">
        <f>+INPUT!BN845</f>
        <v>6.0453425267725773</v>
      </c>
      <c r="CF36" s="417">
        <f>+INPUT!BO845</f>
        <v>6.1323469557750201</v>
      </c>
      <c r="CG36" s="418">
        <f>+INPUT!BP845</f>
        <v>6.3982805255733526</v>
      </c>
      <c r="CH36" s="417">
        <f>+INPUT!BQ845</f>
        <v>5.838180338628348</v>
      </c>
      <c r="CI36" s="418">
        <f>+INPUT!BR845</f>
        <v>6.7461607794123113</v>
      </c>
      <c r="CJ36" s="417">
        <f>+INPUT!BS845</f>
        <v>5.4370897376023493</v>
      </c>
      <c r="CK36" s="418">
        <f>+INPUT!BT845</f>
        <v>7.1006337608389298</v>
      </c>
      <c r="CL36" s="417">
        <f>+INPUT!BU845</f>
        <v>5.254440162594193</v>
      </c>
      <c r="CM36" s="886">
        <f>+INPUT!BV845</f>
        <v>7.0642000424969709</v>
      </c>
    </row>
    <row r="37" spans="1:91" s="376" customFormat="1" ht="12" hidden="1" customHeight="1" outlineLevel="1" x14ac:dyDescent="0.2">
      <c r="A37" s="882" t="s">
        <v>167</v>
      </c>
      <c r="B37" s="406">
        <f>+(B27/B30)-B36</f>
        <v>0</v>
      </c>
      <c r="C37" s="407"/>
      <c r="D37" s="408">
        <f>+(D27/D30)-D36</f>
        <v>0</v>
      </c>
      <c r="E37" s="413"/>
      <c r="F37" s="408">
        <f>+(F27/F30)-F36</f>
        <v>0</v>
      </c>
      <c r="G37" s="413"/>
      <c r="H37" s="408">
        <f>+(H27/H30)-H36</f>
        <v>0</v>
      </c>
      <c r="I37" s="413"/>
      <c r="J37" s="408">
        <f>+(J27/J30)-J36</f>
        <v>0</v>
      </c>
      <c r="K37" s="413"/>
      <c r="L37" s="408">
        <f>+(L27/L30)-L36</f>
        <v>0</v>
      </c>
      <c r="M37" s="413"/>
      <c r="N37" s="408">
        <f>+(N27/N30)-N36</f>
        <v>0</v>
      </c>
      <c r="O37" s="413"/>
      <c r="P37" s="408">
        <f>+(P27/P30)-P36</f>
        <v>0</v>
      </c>
      <c r="Q37" s="413"/>
      <c r="R37" s="408">
        <f>+(R27/R30)-R36</f>
        <v>0</v>
      </c>
      <c r="S37" s="413"/>
      <c r="T37" s="408">
        <f>+(T27/T30)-T36</f>
        <v>0</v>
      </c>
      <c r="U37" s="413"/>
      <c r="V37" s="408">
        <f>+(V27/V30)-V36</f>
        <v>0</v>
      </c>
      <c r="W37" s="413"/>
      <c r="X37" s="408">
        <f>+(X27/X30)-X36</f>
        <v>0</v>
      </c>
      <c r="Y37" s="413"/>
      <c r="Z37" s="408">
        <f>+(Z27/Z30)-Z36</f>
        <v>0</v>
      </c>
      <c r="AA37" s="413"/>
      <c r="AB37" s="408">
        <f>+(AB27/AB30)-AB36</f>
        <v>0</v>
      </c>
      <c r="AC37" s="413"/>
      <c r="AD37" s="408">
        <f>+(AD27/AD30)-AD36</f>
        <v>0</v>
      </c>
      <c r="AE37" s="413"/>
      <c r="AF37" s="408">
        <f>+(AF27/AF30)-AF36</f>
        <v>0</v>
      </c>
      <c r="AG37" s="413"/>
      <c r="AH37" s="408">
        <f t="shared" ref="AH37" si="46">+(AH27/AH30)-AH36</f>
        <v>0</v>
      </c>
      <c r="AI37" s="413"/>
      <c r="AJ37" s="408">
        <f t="shared" ref="AJ37" si="47">+(AJ27/AJ30)-AJ36</f>
        <v>0</v>
      </c>
      <c r="AK37" s="413"/>
      <c r="AL37" s="408">
        <f t="shared" ref="AL37" si="48">+(AL27/AL30)-AL36</f>
        <v>0</v>
      </c>
      <c r="AM37" s="413"/>
      <c r="AN37" s="408">
        <f t="shared" ref="AN37" si="49">+(AN27/AN30)-AN36</f>
        <v>0</v>
      </c>
      <c r="AO37" s="413"/>
      <c r="AP37" s="408">
        <f t="shared" ref="AP37" si="50">+(AP27/AP30)-AP36</f>
        <v>0</v>
      </c>
      <c r="AQ37" s="413"/>
      <c r="AR37" s="408">
        <f t="shared" ref="AR37" si="51">+(AR27/AR30)-AR36</f>
        <v>0</v>
      </c>
      <c r="AS37" s="413"/>
      <c r="AT37" s="408">
        <f t="shared" ref="AT37" si="52">+(AT27/AT30)-AT36</f>
        <v>0</v>
      </c>
      <c r="AU37" s="413"/>
      <c r="AV37" s="408">
        <f t="shared" ref="AV37" si="53">+(AV27/AV30)-AV36</f>
        <v>0</v>
      </c>
      <c r="AW37" s="413"/>
      <c r="AX37" s="414"/>
      <c r="AY37" s="406"/>
      <c r="AZ37" s="407"/>
      <c r="BA37" s="406"/>
      <c r="BB37" s="407"/>
      <c r="BC37" s="406"/>
      <c r="BD37" s="407"/>
      <c r="BE37" s="406"/>
      <c r="BF37" s="413"/>
      <c r="BG37" s="406"/>
      <c r="BH37" s="413"/>
      <c r="BI37" s="406"/>
      <c r="BJ37" s="413"/>
      <c r="BK37" s="406"/>
      <c r="BL37" s="413"/>
      <c r="BM37" s="406"/>
      <c r="BN37" s="413"/>
      <c r="BO37" s="408"/>
      <c r="BP37" s="413"/>
      <c r="BQ37" s="408"/>
      <c r="BR37" s="413"/>
      <c r="BS37" s="408">
        <f>+(BS27/BS30)-BS36</f>
        <v>0</v>
      </c>
      <c r="BT37" s="413"/>
      <c r="BU37" s="408">
        <f t="shared" ref="BU37" si="54">+(BU27/BU30)-BU36</f>
        <v>0</v>
      </c>
      <c r="BV37" s="413"/>
      <c r="BW37" s="408">
        <f t="shared" ref="BW37" si="55">+(BW27/BW30)-BW36</f>
        <v>0</v>
      </c>
      <c r="BX37" s="413"/>
      <c r="BY37" s="408">
        <f t="shared" ref="BY37:CA37" si="56">+(BY27/BY30)-BY36</f>
        <v>0</v>
      </c>
      <c r="BZ37" s="413"/>
      <c r="CA37" s="408">
        <f t="shared" si="56"/>
        <v>0</v>
      </c>
      <c r="CB37" s="413"/>
      <c r="CC37" s="408">
        <f t="shared" ref="CC37" si="57">+(CC27/CC30)-CC36</f>
        <v>0</v>
      </c>
      <c r="CD37" s="413"/>
      <c r="CE37" s="408">
        <f t="shared" ref="CE37" si="58">+(CE27/CE30)-CE36</f>
        <v>0</v>
      </c>
      <c r="CF37" s="413"/>
      <c r="CG37" s="408">
        <f t="shared" ref="CG37:CI37" si="59">+(CG27/CG30)-CG36</f>
        <v>0</v>
      </c>
      <c r="CH37" s="413"/>
      <c r="CI37" s="408">
        <f t="shared" si="59"/>
        <v>0</v>
      </c>
      <c r="CJ37" s="413"/>
      <c r="CK37" s="408">
        <f t="shared" ref="CK37" si="60">+(CK27/CK30)-CK36</f>
        <v>0</v>
      </c>
      <c r="CL37" s="413"/>
      <c r="CM37" s="883"/>
    </row>
    <row r="38" spans="1:91" s="475" customFormat="1" ht="12" customHeight="1" collapsed="1" x14ac:dyDescent="0.2">
      <c r="A38" s="869"/>
      <c r="B38" s="515"/>
      <c r="C38" s="491"/>
      <c r="D38" s="515"/>
      <c r="E38" s="478"/>
      <c r="F38" s="515"/>
      <c r="G38" s="478"/>
      <c r="H38" s="515"/>
      <c r="I38" s="478"/>
      <c r="J38" s="515"/>
      <c r="K38" s="478"/>
      <c r="L38" s="515"/>
      <c r="M38" s="478"/>
      <c r="N38" s="515"/>
      <c r="O38" s="478"/>
      <c r="P38" s="515"/>
      <c r="Q38" s="478"/>
      <c r="R38" s="515"/>
      <c r="S38" s="478"/>
      <c r="T38" s="515"/>
      <c r="U38" s="478"/>
      <c r="V38" s="515"/>
      <c r="W38" s="478"/>
      <c r="X38" s="515"/>
      <c r="Y38" s="478"/>
      <c r="Z38" s="515"/>
      <c r="AA38" s="478"/>
      <c r="AB38" s="515"/>
      <c r="AC38" s="478"/>
      <c r="AD38" s="515"/>
      <c r="AE38" s="478"/>
      <c r="AF38" s="515"/>
      <c r="AG38" s="478"/>
      <c r="AH38" s="515"/>
      <c r="AI38" s="478"/>
      <c r="AJ38" s="515"/>
      <c r="AK38" s="478"/>
      <c r="AL38" s="515"/>
      <c r="AM38" s="478"/>
      <c r="AN38" s="515"/>
      <c r="AO38" s="478"/>
      <c r="AP38" s="515"/>
      <c r="AQ38" s="478"/>
      <c r="AR38" s="515"/>
      <c r="AS38" s="478"/>
      <c r="AT38" s="515"/>
      <c r="AU38" s="478"/>
      <c r="AV38" s="515"/>
      <c r="AW38" s="478"/>
      <c r="AX38" s="516"/>
      <c r="AY38" s="515"/>
      <c r="AZ38" s="491"/>
      <c r="BA38" s="515"/>
      <c r="BB38" s="491"/>
      <c r="BC38" s="515"/>
      <c r="BD38" s="491"/>
      <c r="BE38" s="515"/>
      <c r="BF38" s="478"/>
      <c r="BG38" s="515"/>
      <c r="BH38" s="478"/>
      <c r="BI38" s="515"/>
      <c r="BJ38" s="478"/>
      <c r="BK38" s="515"/>
      <c r="BL38" s="478"/>
      <c r="BM38" s="515"/>
      <c r="BN38" s="478"/>
      <c r="BO38" s="515"/>
      <c r="BP38" s="478"/>
      <c r="BQ38" s="515"/>
      <c r="BR38" s="478"/>
      <c r="BS38" s="515"/>
      <c r="BT38" s="478"/>
      <c r="BU38" s="515"/>
      <c r="BV38" s="478"/>
      <c r="BW38" s="515"/>
      <c r="BX38" s="478"/>
      <c r="BY38" s="515"/>
      <c r="BZ38" s="478"/>
      <c r="CA38" s="515"/>
      <c r="CB38" s="478"/>
      <c r="CC38" s="515"/>
      <c r="CD38" s="478"/>
      <c r="CE38" s="515"/>
      <c r="CF38" s="478"/>
      <c r="CG38" s="515"/>
      <c r="CH38" s="478"/>
      <c r="CI38" s="515"/>
      <c r="CJ38" s="478"/>
      <c r="CK38" s="515"/>
      <c r="CL38" s="478"/>
      <c r="CM38" s="871"/>
    </row>
    <row r="39" spans="1:91" s="501" customFormat="1" ht="12" customHeight="1" x14ac:dyDescent="0.2">
      <c r="A39" s="869" t="str">
        <f>+INPUT!B731</f>
        <v>Net Income</v>
      </c>
      <c r="B39" s="499">
        <f>+INPUT!C731</f>
        <v>178.30000000000013</v>
      </c>
      <c r="C39" s="491" t="str">
        <f>+INPUT!D731</f>
        <v>NA</v>
      </c>
      <c r="D39" s="500">
        <f>+INPUT!E731</f>
        <v>222.29999999999998</v>
      </c>
      <c r="E39" s="478" t="str">
        <f>+INPUT!F731</f>
        <v>NA</v>
      </c>
      <c r="F39" s="500">
        <f>+INPUT!G731</f>
        <v>245.7</v>
      </c>
      <c r="G39" s="478" t="str">
        <f>+INPUT!H731</f>
        <v>NA</v>
      </c>
      <c r="H39" s="500">
        <f>+INPUT!I731</f>
        <v>233.4</v>
      </c>
      <c r="I39" s="478" t="str">
        <f>+INPUT!J731</f>
        <v>NA</v>
      </c>
      <c r="J39" s="500">
        <f>+INPUT!K731</f>
        <v>293.60000000000002</v>
      </c>
      <c r="K39" s="478">
        <f>+INPUT!L731</f>
        <v>64.666292765002709</v>
      </c>
      <c r="L39" s="500">
        <f>+INPUT!M731</f>
        <v>306.2</v>
      </c>
      <c r="M39" s="478">
        <f>+INPUT!N731</f>
        <v>37.741790373369327</v>
      </c>
      <c r="N39" s="500">
        <f>+INPUT!O731</f>
        <v>268.37692307692311</v>
      </c>
      <c r="O39" s="478">
        <f>+INPUT!P731</f>
        <v>9.2295169218246258</v>
      </c>
      <c r="P39" s="500">
        <f>+INPUT!Q731</f>
        <v>273.6307692307692</v>
      </c>
      <c r="Q39" s="478">
        <f>+INPUT!R731</f>
        <v>17.236833432206168</v>
      </c>
      <c r="R39" s="500">
        <f>+INPUT!S731</f>
        <v>420.6615384615385</v>
      </c>
      <c r="S39" s="478">
        <f>+INPUT!T731</f>
        <v>43.277090756654815</v>
      </c>
      <c r="T39" s="500">
        <f>+INPUT!U731</f>
        <v>239.48461538461532</v>
      </c>
      <c r="U39" s="478">
        <f>+INPUT!V731</f>
        <v>-21.788172637290884</v>
      </c>
      <c r="V39" s="500">
        <f>+INPUT!W731</f>
        <v>303.20000000000005</v>
      </c>
      <c r="W39" s="478">
        <f>+INPUT!X731</f>
        <v>12.97543638396057</v>
      </c>
      <c r="X39" s="500">
        <f>+INPUT!Y731</f>
        <v>253.6</v>
      </c>
      <c r="Y39" s="478">
        <f>+INPUT!Z731</f>
        <v>-7.3203643314966769</v>
      </c>
      <c r="Z39" s="500">
        <f>+INPUT!AA731</f>
        <v>367.99999999999994</v>
      </c>
      <c r="AA39" s="478">
        <f>+INPUT!AB731</f>
        <v>-12.518743371246771</v>
      </c>
      <c r="AB39" s="500">
        <f>+INPUT!AC731</f>
        <v>322.3</v>
      </c>
      <c r="AC39" s="478">
        <f>+INPUT!AD731</f>
        <v>34.580670028587065</v>
      </c>
      <c r="AD39" s="500">
        <f>+INPUT!AE731</f>
        <v>308.20000000000005</v>
      </c>
      <c r="AE39" s="478">
        <f>+INPUT!AF731</f>
        <v>1.6490765171504052</v>
      </c>
      <c r="AF39" s="500">
        <f>+INPUT!AG731</f>
        <v>318.00000000000006</v>
      </c>
      <c r="AG39" s="478">
        <f>+INPUT!AH731</f>
        <v>25.394321766561532</v>
      </c>
      <c r="AH39" s="500">
        <f>+INPUT!AI731</f>
        <v>348.9</v>
      </c>
      <c r="AI39" s="478">
        <f>+INPUT!AJ731</f>
        <v>-5.1902173913043441</v>
      </c>
      <c r="AJ39" s="500">
        <f>+INPUT!AK731</f>
        <v>309.5</v>
      </c>
      <c r="AK39" s="478">
        <f>+INPUT!AL731</f>
        <v>-3.9714551659944135</v>
      </c>
      <c r="AL39" s="500">
        <f>+INPUT!AM731</f>
        <v>810.19999999999993</v>
      </c>
      <c r="AM39" s="478" t="str">
        <f>+INPUT!AN731</f>
        <v>NM</v>
      </c>
      <c r="AN39" s="500">
        <f>+INPUT!AO731</f>
        <v>841.80000000000007</v>
      </c>
      <c r="AO39" s="478" t="str">
        <f>+INPUT!AP731</f>
        <v>NM</v>
      </c>
      <c r="AP39" s="500">
        <f>+INPUT!AQ731</f>
        <v>385.3315127143195</v>
      </c>
      <c r="AQ39" s="478">
        <f>+INPUT!AR731</f>
        <v>10.441820783697196</v>
      </c>
      <c r="AR39" s="500">
        <f>+INPUT!AS731</f>
        <v>392.42053478040253</v>
      </c>
      <c r="AS39" s="478">
        <f>+INPUT!AT731</f>
        <v>26.791772142294846</v>
      </c>
      <c r="AT39" s="500">
        <f>+INPUT!AU731</f>
        <v>407.20074125233941</v>
      </c>
      <c r="AU39" s="478">
        <f>+INPUT!AV731</f>
        <v>-49.740713249526117</v>
      </c>
      <c r="AV39" s="500">
        <f>+INPUT!AW731</f>
        <v>421.36507885339699</v>
      </c>
      <c r="AW39" s="478">
        <f>+INPUT!AX731</f>
        <v>-49.944751858707889</v>
      </c>
      <c r="AX39" s="499"/>
      <c r="AY39" s="499"/>
      <c r="AZ39" s="491"/>
      <c r="BA39" s="499"/>
      <c r="BB39" s="491"/>
      <c r="BC39" s="499"/>
      <c r="BD39" s="491"/>
      <c r="BE39" s="499"/>
      <c r="BF39" s="478"/>
      <c r="BG39" s="499"/>
      <c r="BH39" s="478"/>
      <c r="BI39" s="499"/>
      <c r="BJ39" s="478"/>
      <c r="BK39" s="500"/>
      <c r="BL39" s="478"/>
      <c r="BM39" s="500"/>
      <c r="BN39" s="478"/>
      <c r="BO39" s="500"/>
      <c r="BP39" s="478"/>
      <c r="BQ39" s="500"/>
      <c r="BR39" s="478"/>
      <c r="BS39" s="500">
        <f>+INPUT!BB731</f>
        <v>879.7</v>
      </c>
      <c r="BT39" s="478" t="str">
        <f>+INPUT!BC731</f>
        <v>NA</v>
      </c>
      <c r="BU39" s="500">
        <f>+INPUT!BD731</f>
        <v>1141.8076923076924</v>
      </c>
      <c r="BV39" s="478">
        <f>+INPUT!BE731</f>
        <v>29.795122463077462</v>
      </c>
      <c r="BW39" s="500">
        <f>+INPUT!BF731</f>
        <v>1216.9461538461542</v>
      </c>
      <c r="BX39" s="478">
        <f>+INPUT!BG731</f>
        <v>6.5806582005591991</v>
      </c>
      <c r="BY39" s="500">
        <f>+INPUT!BH731</f>
        <v>1316.5000000000009</v>
      </c>
      <c r="BZ39" s="478">
        <f>+INPUT!BI731</f>
        <v>8.1806286859288804</v>
      </c>
      <c r="CA39" s="500">
        <f>+INPUT!BJ731</f>
        <v>2310.4000000000005</v>
      </c>
      <c r="CB39" s="478">
        <f>+INPUT!BK731</f>
        <v>75.495632358526308</v>
      </c>
      <c r="CC39" s="500">
        <f>+INPUT!BL731</f>
        <v>1606.3178676004586</v>
      </c>
      <c r="CD39" s="478">
        <f>+INPUT!BM731</f>
        <v>-30.474469026988487</v>
      </c>
      <c r="CE39" s="500">
        <f>+INPUT!BN731</f>
        <v>1684.9258405600249</v>
      </c>
      <c r="CF39" s="478">
        <f>+INPUT!BO731</f>
        <v>4.8936748164914547</v>
      </c>
      <c r="CG39" s="500">
        <f>+INPUT!BP731</f>
        <v>1769.0015292388971</v>
      </c>
      <c r="CH39" s="478">
        <f>+INPUT!BQ731</f>
        <v>4.9898747265296777</v>
      </c>
      <c r="CI39" s="500">
        <f>+INPUT!BR731</f>
        <v>1847.1765009373312</v>
      </c>
      <c r="CJ39" s="478">
        <f>+INPUT!BS731</f>
        <v>4.4191579490645552</v>
      </c>
      <c r="CK39" s="500">
        <f>+INPUT!BT731</f>
        <v>1927.2069968015803</v>
      </c>
      <c r="CL39" s="478">
        <f>+INPUT!BU731</f>
        <v>4.3325852090278545</v>
      </c>
      <c r="CM39" s="871">
        <f>+INPUT!BV731</f>
        <v>-3.5619905681000152</v>
      </c>
    </row>
    <row r="40" spans="1:91" s="475" customFormat="1" ht="12" customHeight="1" x14ac:dyDescent="0.2">
      <c r="A40" s="887"/>
      <c r="B40" s="490"/>
      <c r="C40" s="491"/>
      <c r="D40" s="490"/>
      <c r="E40" s="478"/>
      <c r="F40" s="490"/>
      <c r="G40" s="478"/>
      <c r="H40" s="490"/>
      <c r="I40" s="478"/>
      <c r="J40" s="490"/>
      <c r="K40" s="478"/>
      <c r="L40" s="490"/>
      <c r="M40" s="478"/>
      <c r="N40" s="490"/>
      <c r="O40" s="478"/>
      <c r="P40" s="490"/>
      <c r="Q40" s="478"/>
      <c r="R40" s="490"/>
      <c r="S40" s="478"/>
      <c r="T40" s="490"/>
      <c r="U40" s="478"/>
      <c r="V40" s="490"/>
      <c r="W40" s="478"/>
      <c r="X40" s="490"/>
      <c r="Y40" s="478"/>
      <c r="Z40" s="490"/>
      <c r="AA40" s="478"/>
      <c r="AB40" s="490"/>
      <c r="AC40" s="478"/>
      <c r="AD40" s="490"/>
      <c r="AE40" s="478"/>
      <c r="AF40" s="490"/>
      <c r="AG40" s="478"/>
      <c r="AH40" s="490"/>
      <c r="AI40" s="478"/>
      <c r="AJ40" s="490"/>
      <c r="AK40" s="478"/>
      <c r="AL40" s="490"/>
      <c r="AM40" s="478"/>
      <c r="AN40" s="490"/>
      <c r="AO40" s="478"/>
      <c r="AP40" s="490"/>
      <c r="AQ40" s="478"/>
      <c r="AR40" s="490"/>
      <c r="AS40" s="478"/>
      <c r="AT40" s="490"/>
      <c r="AU40" s="478"/>
      <c r="AV40" s="490"/>
      <c r="AW40" s="478"/>
      <c r="AX40" s="490"/>
      <c r="AY40" s="490"/>
      <c r="AZ40" s="491"/>
      <c r="BA40" s="490"/>
      <c r="BB40" s="491"/>
      <c r="BC40" s="490"/>
      <c r="BD40" s="491"/>
      <c r="BE40" s="490"/>
      <c r="BF40" s="478"/>
      <c r="BG40" s="490"/>
      <c r="BH40" s="478"/>
      <c r="BI40" s="490"/>
      <c r="BJ40" s="478"/>
      <c r="BK40" s="490"/>
      <c r="BL40" s="478"/>
      <c r="BM40" s="490"/>
      <c r="BN40" s="478"/>
      <c r="BO40" s="490"/>
      <c r="BP40" s="478"/>
      <c r="BQ40" s="490"/>
      <c r="BR40" s="478"/>
      <c r="BS40" s="490"/>
      <c r="BT40" s="478"/>
      <c r="BU40" s="490"/>
      <c r="BV40" s="478"/>
      <c r="BW40" s="490"/>
      <c r="BX40" s="478"/>
      <c r="BY40" s="490"/>
      <c r="BZ40" s="478"/>
      <c r="CA40" s="490"/>
      <c r="CB40" s="478"/>
      <c r="CC40" s="490"/>
      <c r="CD40" s="478"/>
      <c r="CE40" s="490"/>
      <c r="CF40" s="478"/>
      <c r="CG40" s="490"/>
      <c r="CH40" s="478"/>
      <c r="CI40" s="490"/>
      <c r="CJ40" s="478"/>
      <c r="CK40" s="490"/>
      <c r="CL40" s="478"/>
      <c r="CM40" s="871"/>
    </row>
    <row r="41" spans="1:91" s="377" customFormat="1" ht="12" customHeight="1" x14ac:dyDescent="0.2">
      <c r="A41" s="885" t="str">
        <f>+INPUT!B848</f>
        <v xml:space="preserve">Net EPS </v>
      </c>
      <c r="B41" s="415">
        <f>+INPUT!C848</f>
        <v>0.60013463480309692</v>
      </c>
      <c r="C41" s="416" t="str">
        <f>+INPUT!D848</f>
        <v>NA</v>
      </c>
      <c r="D41" s="418">
        <f>+INPUT!E848</f>
        <v>0.74798115746971738</v>
      </c>
      <c r="E41" s="417" t="str">
        <f>+INPUT!F848</f>
        <v>NA</v>
      </c>
      <c r="F41" s="418">
        <f>+INPUT!G848</f>
        <v>0.82283991962491621</v>
      </c>
      <c r="G41" s="417" t="str">
        <f>+INPUT!H848</f>
        <v>NA</v>
      </c>
      <c r="H41" s="418">
        <f>+INPUT!I848</f>
        <v>0.77981957901770793</v>
      </c>
      <c r="I41" s="417" t="str">
        <f>+INPUT!J848</f>
        <v>NA</v>
      </c>
      <c r="J41" s="418">
        <f>+INPUT!K848</f>
        <v>0.98030050083472464</v>
      </c>
      <c r="K41" s="417">
        <f>+INPUT!L848</f>
        <v>63.34676320695263</v>
      </c>
      <c r="L41" s="418">
        <f>+INPUT!M848</f>
        <v>1.026483405967147</v>
      </c>
      <c r="M41" s="417">
        <f>+INPUT!N848</f>
        <v>37.233858863444027</v>
      </c>
      <c r="N41" s="418">
        <f>+INPUT!O848</f>
        <v>0.89998968167982263</v>
      </c>
      <c r="O41" s="417">
        <f>+INPUT!P848</f>
        <v>9.3760353885205916</v>
      </c>
      <c r="P41" s="418">
        <f>+INPUT!Q848</f>
        <v>0.91730060084066101</v>
      </c>
      <c r="Q41" s="417">
        <f>+INPUT!R848</f>
        <v>17.629849970698316</v>
      </c>
      <c r="R41" s="418">
        <f>+INPUT!S848</f>
        <v>1.4092513851307822</v>
      </c>
      <c r="S41" s="417">
        <f>+INPUT!T848</f>
        <v>43.757081010445944</v>
      </c>
      <c r="T41" s="418">
        <f>+INPUT!U848</f>
        <v>0.80256238399670021</v>
      </c>
      <c r="U41" s="417">
        <f>+INPUT!V848</f>
        <v>-21.81438303520062</v>
      </c>
      <c r="V41" s="418">
        <f>+INPUT!W848</f>
        <v>1.0157453936348411</v>
      </c>
      <c r="W41" s="417">
        <f>+INPUT!X848</f>
        <v>12.861893231815884</v>
      </c>
      <c r="X41" s="418">
        <f>+INPUT!Y848</f>
        <v>0.85617825793382851</v>
      </c>
      <c r="Y41" s="417">
        <f>+INPUT!Z848</f>
        <v>-6.6632838625437358</v>
      </c>
      <c r="Z41" s="418">
        <f>+INPUT!AA848</f>
        <v>1.2504247366632686</v>
      </c>
      <c r="AA41" s="417">
        <f>+INPUT!AB848</f>
        <v>-11.270285070734502</v>
      </c>
      <c r="AB41" s="418">
        <f>+INPUT!AC848</f>
        <v>1.1015037593984962</v>
      </c>
      <c r="AC41" s="417">
        <f>+INPUT!AD848</f>
        <v>37.248366153555622</v>
      </c>
      <c r="AD41" s="418">
        <f>+INPUT!AE848</f>
        <v>1.0576527110501033</v>
      </c>
      <c r="AE41" s="417">
        <f>+INPUT!AF848</f>
        <v>4.125769870862726</v>
      </c>
      <c r="AF41" s="418">
        <f>+INPUT!AG848</f>
        <v>1.0890410958904111</v>
      </c>
      <c r="AG41" s="417">
        <f>+INPUT!AH848</f>
        <v>27.197938723477819</v>
      </c>
      <c r="AH41" s="418">
        <f>+INPUT!AI848</f>
        <v>1.1932284541723666</v>
      </c>
      <c r="AI41" s="417">
        <f>+INPUT!AJ848</f>
        <v>-4.5741483524653432</v>
      </c>
      <c r="AJ41" s="418">
        <f>+INPUT!AK848</f>
        <v>1.0573966518619748</v>
      </c>
      <c r="AK41" s="417">
        <f>+INPUT!AL848</f>
        <v>-4.0042630050220822</v>
      </c>
      <c r="AL41" s="418">
        <f>+INPUT!AM848</f>
        <v>2.76471591878519</v>
      </c>
      <c r="AM41" s="417" t="str">
        <f>+INPUT!AN848</f>
        <v>NM</v>
      </c>
      <c r="AN41" s="418">
        <f>+INPUT!AO848</f>
        <v>2.8671662125340598</v>
      </c>
      <c r="AO41" s="417" t="str">
        <f>+INPUT!AP848</f>
        <v>NM</v>
      </c>
      <c r="AP41" s="418">
        <f>+INPUT!AQ848</f>
        <v>1.3161302357000839</v>
      </c>
      <c r="AQ41" s="417">
        <f>+INPUT!AR848</f>
        <v>10.299937207997871</v>
      </c>
      <c r="AR41" s="418">
        <f>+INPUT!AS848</f>
        <v>1.3445894755996002</v>
      </c>
      <c r="AS41" s="417">
        <f>+INPUT!AT848</f>
        <v>27.160368177060718</v>
      </c>
      <c r="AT41" s="418">
        <f>+INPUT!AU848</f>
        <v>1.3990311145164593</v>
      </c>
      <c r="AU41" s="417">
        <f>+INPUT!AV848</f>
        <v>-49.396930620951807</v>
      </c>
      <c r="AV41" s="418">
        <f>+INPUT!AW848</f>
        <v>1.450643535831635</v>
      </c>
      <c r="AW41" s="417">
        <f>+INPUT!AX848</f>
        <v>-49.404972425734371</v>
      </c>
      <c r="AX41" s="419"/>
      <c r="AY41" s="415"/>
      <c r="AZ41" s="416"/>
      <c r="BA41" s="415"/>
      <c r="BB41" s="416"/>
      <c r="BC41" s="415"/>
      <c r="BD41" s="416"/>
      <c r="BE41" s="415"/>
      <c r="BF41" s="417"/>
      <c r="BG41" s="415"/>
      <c r="BH41" s="417"/>
      <c r="BI41" s="415"/>
      <c r="BJ41" s="417"/>
      <c r="BK41" s="415"/>
      <c r="BL41" s="417"/>
      <c r="BM41" s="415"/>
      <c r="BN41" s="417"/>
      <c r="BO41" s="415"/>
      <c r="BP41" s="417"/>
      <c r="BQ41" s="418"/>
      <c r="BR41" s="417"/>
      <c r="BS41" s="418">
        <f>+INPUT!BB848</f>
        <v>2.9515182016440193</v>
      </c>
      <c r="BT41" s="417" t="str">
        <f>+INPUT!BC848</f>
        <v>NA</v>
      </c>
      <c r="BU41" s="418">
        <f>+INPUT!BD848</f>
        <v>3.8241905461197101</v>
      </c>
      <c r="BV41" s="417">
        <f>+INPUT!BE848</f>
        <v>29.566896927472953</v>
      </c>
      <c r="BW41" s="418">
        <f>+INPUT!BF848</f>
        <v>4.0850827587987721</v>
      </c>
      <c r="BX41" s="417">
        <f>+INPUT!BG848</f>
        <v>6.822155160228121</v>
      </c>
      <c r="BY41" s="418">
        <f>+INPUT!BH848</f>
        <v>4.4997009313851173</v>
      </c>
      <c r="BZ41" s="417">
        <f>+INPUT!BI848</f>
        <v>10.149566044734541</v>
      </c>
      <c r="CA41" s="418">
        <f>+INPUT!BJ848</f>
        <v>7.8870066140388326</v>
      </c>
      <c r="CB41" s="417">
        <f>+INPUT!BK848</f>
        <v>75.27846259798028</v>
      </c>
      <c r="CC41" s="418">
        <f>+INPUT!BL848</f>
        <v>5.5097944393135139</v>
      </c>
      <c r="CD41" s="417">
        <f>+INPUT!BM848</f>
        <v>-30.140867011495757</v>
      </c>
      <c r="CE41" s="418">
        <f>+INPUT!BN848</f>
        <v>5.8420443810236966</v>
      </c>
      <c r="CF41" s="417">
        <f>+INPUT!BO848</f>
        <v>6.0301694622127968</v>
      </c>
      <c r="CG41" s="418">
        <f>+INPUT!BP848</f>
        <v>6.1771849653661421</v>
      </c>
      <c r="CH41" s="417">
        <f>+INPUT!BQ848</f>
        <v>5.7367004165709261</v>
      </c>
      <c r="CI41" s="418">
        <f>+INPUT!BR848</f>
        <v>6.5053626478962503</v>
      </c>
      <c r="CJ41" s="417">
        <f>+INPUT!BS848</f>
        <v>5.3127384782893046</v>
      </c>
      <c r="CK41" s="418">
        <f>+INPUT!BT848</f>
        <v>6.8386303564365996</v>
      </c>
      <c r="CL41" s="417">
        <f>+INPUT!BU848</f>
        <v>5.1229689500572846</v>
      </c>
      <c r="CM41" s="886">
        <f>+INPUT!BV848</f>
        <v>-2.8122819818793054</v>
      </c>
    </row>
    <row r="42" spans="1:91" s="376" customFormat="1" ht="12" hidden="1" customHeight="1" outlineLevel="1" x14ac:dyDescent="0.2">
      <c r="A42" s="882" t="s">
        <v>167</v>
      </c>
      <c r="B42" s="408">
        <f>(B39/B64)-B41</f>
        <v>0</v>
      </c>
      <c r="C42" s="407"/>
      <c r="D42" s="408">
        <f>(D39/D64)-D41</f>
        <v>0</v>
      </c>
      <c r="E42" s="413"/>
      <c r="F42" s="408">
        <f>(F39/F64)-F41</f>
        <v>0</v>
      </c>
      <c r="G42" s="413"/>
      <c r="H42" s="408">
        <f>(H39/H64)-H41</f>
        <v>0</v>
      </c>
      <c r="I42" s="413"/>
      <c r="J42" s="408">
        <f>(J39/J64)-J41</f>
        <v>0</v>
      </c>
      <c r="K42" s="413"/>
      <c r="L42" s="408">
        <f>(L39/L64)-L41</f>
        <v>0</v>
      </c>
      <c r="M42" s="413"/>
      <c r="N42" s="408">
        <f>(N39/N64)-N41</f>
        <v>0</v>
      </c>
      <c r="O42" s="413"/>
      <c r="P42" s="408">
        <f>(P39/P64)-P41</f>
        <v>0</v>
      </c>
      <c r="Q42" s="413"/>
      <c r="R42" s="408">
        <f>(R39/R64)-R41</f>
        <v>0</v>
      </c>
      <c r="S42" s="413"/>
      <c r="T42" s="408">
        <f>(T39/T64)-T41</f>
        <v>0</v>
      </c>
      <c r="U42" s="413"/>
      <c r="V42" s="408">
        <f>(V39/V64)-V41</f>
        <v>0</v>
      </c>
      <c r="W42" s="413"/>
      <c r="X42" s="408">
        <f>(X39/X64)-X41</f>
        <v>0</v>
      </c>
      <c r="Y42" s="413"/>
      <c r="Z42" s="408">
        <f>(Z39/Z64)-Z41</f>
        <v>0</v>
      </c>
      <c r="AA42" s="413"/>
      <c r="AB42" s="408">
        <f>(AB39/AB64)-AB41</f>
        <v>0</v>
      </c>
      <c r="AC42" s="413"/>
      <c r="AD42" s="408">
        <f>(AD39/AD64)-AD41</f>
        <v>0</v>
      </c>
      <c r="AE42" s="413"/>
      <c r="AF42" s="408">
        <f>(AF39/AF64)-AF41</f>
        <v>0</v>
      </c>
      <c r="AG42" s="413"/>
      <c r="AH42" s="408">
        <f t="shared" ref="AH42" si="61">(AH39/AH64)-AH41</f>
        <v>0</v>
      </c>
      <c r="AI42" s="413"/>
      <c r="AJ42" s="408">
        <f t="shared" ref="AJ42" si="62">(AJ39/AJ64)-AJ41</f>
        <v>0</v>
      </c>
      <c r="AK42" s="413"/>
      <c r="AL42" s="408">
        <f t="shared" ref="AL42" si="63">(AL39/AL64)-AL41</f>
        <v>0</v>
      </c>
      <c r="AM42" s="413"/>
      <c r="AN42" s="408">
        <f t="shared" ref="AN42" si="64">(AN39/AN64)-AN41</f>
        <v>0</v>
      </c>
      <c r="AO42" s="413"/>
      <c r="AP42" s="408">
        <f t="shared" ref="AP42" si="65">(AP39/AP64)-AP41</f>
        <v>0</v>
      </c>
      <c r="AQ42" s="413"/>
      <c r="AR42" s="408">
        <f t="shared" ref="AR42" si="66">(AR39/AR64)-AR41</f>
        <v>0</v>
      </c>
      <c r="AS42" s="413"/>
      <c r="AT42" s="408">
        <f t="shared" ref="AT42" si="67">(AT39/AT64)-AT41</f>
        <v>0</v>
      </c>
      <c r="AU42" s="413"/>
      <c r="AV42" s="408">
        <f t="shared" ref="AV42" si="68">(AV39/AV64)-AV41</f>
        <v>0</v>
      </c>
      <c r="AW42" s="413"/>
      <c r="AX42" s="414"/>
      <c r="AY42" s="406"/>
      <c r="AZ42" s="407"/>
      <c r="BA42" s="406"/>
      <c r="BB42" s="407"/>
      <c r="BC42" s="406"/>
      <c r="BD42" s="407"/>
      <c r="BE42" s="406"/>
      <c r="BF42" s="413"/>
      <c r="BG42" s="406"/>
      <c r="BH42" s="413"/>
      <c r="BI42" s="406"/>
      <c r="BJ42" s="413"/>
      <c r="BK42" s="406"/>
      <c r="BL42" s="413"/>
      <c r="BM42" s="406"/>
      <c r="BN42" s="413"/>
      <c r="BO42" s="408"/>
      <c r="BP42" s="413"/>
      <c r="BQ42" s="408"/>
      <c r="BR42" s="413"/>
      <c r="BS42" s="408">
        <f>(BS39/BS64)-BS41</f>
        <v>0</v>
      </c>
      <c r="BT42" s="413"/>
      <c r="BU42" s="408">
        <f t="shared" ref="BU42" si="69">(BU39/BU64)-BU41</f>
        <v>0</v>
      </c>
      <c r="BV42" s="413"/>
      <c r="BW42" s="408">
        <f t="shared" ref="BW42" si="70">(BW39/BW64)-BW41</f>
        <v>0</v>
      </c>
      <c r="BX42" s="413"/>
      <c r="BY42" s="408">
        <f t="shared" ref="BY42:CA42" si="71">(BY39/BY64)-BY41</f>
        <v>0</v>
      </c>
      <c r="BZ42" s="413"/>
      <c r="CA42" s="408">
        <f t="shared" si="71"/>
        <v>0</v>
      </c>
      <c r="CB42" s="413"/>
      <c r="CC42" s="408">
        <f t="shared" ref="CC42" si="72">(CC39/CC64)-CC41</f>
        <v>0</v>
      </c>
      <c r="CD42" s="413"/>
      <c r="CE42" s="408">
        <f t="shared" ref="CE42" si="73">(CE39/CE64)-CE41</f>
        <v>0</v>
      </c>
      <c r="CF42" s="413"/>
      <c r="CG42" s="408">
        <f t="shared" ref="CG42:CI42" si="74">(CG39/CG64)-CG41</f>
        <v>0</v>
      </c>
      <c r="CH42" s="413"/>
      <c r="CI42" s="408">
        <f t="shared" si="74"/>
        <v>0</v>
      </c>
      <c r="CJ42" s="413"/>
      <c r="CK42" s="408">
        <f t="shared" ref="CK42" si="75">(CK39/CK64)-CK41</f>
        <v>0</v>
      </c>
      <c r="CL42" s="413"/>
      <c r="CM42" s="883"/>
    </row>
    <row r="43" spans="1:91" s="475" customFormat="1" ht="12" customHeight="1" collapsed="1" x14ac:dyDescent="0.2">
      <c r="A43" s="869"/>
      <c r="B43" s="490"/>
      <c r="C43" s="491"/>
      <c r="D43" s="490"/>
      <c r="E43" s="478"/>
      <c r="F43" s="490"/>
      <c r="G43" s="478"/>
      <c r="H43" s="490"/>
      <c r="I43" s="478"/>
      <c r="J43" s="490"/>
      <c r="K43" s="478"/>
      <c r="L43" s="490"/>
      <c r="M43" s="478"/>
      <c r="N43" s="490"/>
      <c r="O43" s="478"/>
      <c r="P43" s="490"/>
      <c r="Q43" s="478"/>
      <c r="R43" s="490"/>
      <c r="S43" s="478"/>
      <c r="T43" s="490"/>
      <c r="U43" s="478"/>
      <c r="V43" s="490"/>
      <c r="W43" s="478"/>
      <c r="X43" s="490"/>
      <c r="Y43" s="478"/>
      <c r="Z43" s="490"/>
      <c r="AA43" s="478"/>
      <c r="AB43" s="490"/>
      <c r="AC43" s="478"/>
      <c r="AD43" s="490"/>
      <c r="AE43" s="478"/>
      <c r="AF43" s="490"/>
      <c r="AG43" s="478"/>
      <c r="AH43" s="490"/>
      <c r="AI43" s="478"/>
      <c r="AJ43" s="490"/>
      <c r="AK43" s="478"/>
      <c r="AL43" s="490"/>
      <c r="AM43" s="478"/>
      <c r="AN43" s="490"/>
      <c r="AO43" s="478"/>
      <c r="AP43" s="490"/>
      <c r="AQ43" s="478"/>
      <c r="AR43" s="490"/>
      <c r="AS43" s="478"/>
      <c r="AT43" s="490"/>
      <c r="AU43" s="478"/>
      <c r="AV43" s="490"/>
      <c r="AW43" s="478"/>
      <c r="AX43" s="490"/>
      <c r="AY43" s="490"/>
      <c r="AZ43" s="491"/>
      <c r="BA43" s="490"/>
      <c r="BB43" s="491"/>
      <c r="BC43" s="518"/>
      <c r="BD43" s="491"/>
      <c r="BE43" s="490"/>
      <c r="BF43" s="478"/>
      <c r="BG43" s="490"/>
      <c r="BH43" s="478"/>
      <c r="BI43" s="490"/>
      <c r="BJ43" s="478"/>
      <c r="BK43" s="490"/>
      <c r="BL43" s="478"/>
      <c r="BM43" s="490"/>
      <c r="BN43" s="478"/>
      <c r="BO43" s="490"/>
      <c r="BP43" s="478"/>
      <c r="BQ43" s="490"/>
      <c r="BR43" s="478"/>
      <c r="BS43" s="490"/>
      <c r="BT43" s="478"/>
      <c r="BU43" s="490"/>
      <c r="BV43" s="478"/>
      <c r="BW43" s="490"/>
      <c r="BX43" s="478"/>
      <c r="BY43" s="490"/>
      <c r="BZ43" s="478"/>
      <c r="CA43" s="490"/>
      <c r="CB43" s="478"/>
      <c r="CC43" s="490"/>
      <c r="CD43" s="478"/>
      <c r="CE43" s="490"/>
      <c r="CF43" s="478"/>
      <c r="CG43" s="490"/>
      <c r="CH43" s="478"/>
      <c r="CI43" s="490"/>
      <c r="CJ43" s="478"/>
      <c r="CK43" s="490"/>
      <c r="CL43" s="478"/>
      <c r="CM43" s="871"/>
    </row>
    <row r="44" spans="1:91" s="475" customFormat="1" ht="12" customHeight="1" x14ac:dyDescent="0.2">
      <c r="A44" s="888" t="str">
        <f>+INPUT!B902</f>
        <v>Profitability</v>
      </c>
      <c r="B44" s="490"/>
      <c r="C44" s="491"/>
      <c r="D44" s="490"/>
      <c r="E44" s="478"/>
      <c r="F44" s="490"/>
      <c r="G44" s="478"/>
      <c r="H44" s="490"/>
      <c r="I44" s="478"/>
      <c r="J44" s="490"/>
      <c r="K44" s="478"/>
      <c r="L44" s="490"/>
      <c r="M44" s="478"/>
      <c r="N44" s="490"/>
      <c r="O44" s="478"/>
      <c r="P44" s="490"/>
      <c r="Q44" s="478"/>
      <c r="R44" s="490"/>
      <c r="S44" s="478"/>
      <c r="T44" s="490"/>
      <c r="U44" s="478"/>
      <c r="V44" s="490"/>
      <c r="W44" s="478"/>
      <c r="X44" s="490"/>
      <c r="Y44" s="478"/>
      <c r="Z44" s="490"/>
      <c r="AA44" s="478"/>
      <c r="AB44" s="490"/>
      <c r="AC44" s="478"/>
      <c r="AD44" s="490"/>
      <c r="AE44" s="478"/>
      <c r="AF44" s="490"/>
      <c r="AG44" s="478"/>
      <c r="AH44" s="490"/>
      <c r="AI44" s="478"/>
      <c r="AJ44" s="490"/>
      <c r="AK44" s="478"/>
      <c r="AL44" s="490"/>
      <c r="AM44" s="478"/>
      <c r="AN44" s="490"/>
      <c r="AO44" s="478"/>
      <c r="AP44" s="490"/>
      <c r="AQ44" s="478"/>
      <c r="AR44" s="490"/>
      <c r="AS44" s="478"/>
      <c r="AT44" s="490"/>
      <c r="AU44" s="478"/>
      <c r="AV44" s="490"/>
      <c r="AW44" s="478"/>
      <c r="AX44" s="490"/>
      <c r="AY44" s="490"/>
      <c r="AZ44" s="491"/>
      <c r="BA44" s="490"/>
      <c r="BB44" s="491"/>
      <c r="BC44" s="490"/>
      <c r="BD44" s="491"/>
      <c r="BE44" s="490"/>
      <c r="BF44" s="478"/>
      <c r="BG44" s="490"/>
      <c r="BH44" s="478"/>
      <c r="BI44" s="490"/>
      <c r="BJ44" s="478"/>
      <c r="BK44" s="490"/>
      <c r="BL44" s="478"/>
      <c r="BM44" s="490"/>
      <c r="BN44" s="478"/>
      <c r="BO44" s="490"/>
      <c r="BP44" s="478"/>
      <c r="BQ44" s="490"/>
      <c r="BR44" s="478"/>
      <c r="BS44" s="490"/>
      <c r="BT44" s="478"/>
      <c r="BU44" s="490"/>
      <c r="BV44" s="478"/>
      <c r="BW44" s="490"/>
      <c r="BX44" s="478"/>
      <c r="BY44" s="490"/>
      <c r="BZ44" s="478"/>
      <c r="CA44" s="490"/>
      <c r="CB44" s="478"/>
      <c r="CC44" s="490"/>
      <c r="CD44" s="478"/>
      <c r="CE44" s="490"/>
      <c r="CF44" s="478"/>
      <c r="CG44" s="490"/>
      <c r="CH44" s="478"/>
      <c r="CI44" s="490"/>
      <c r="CJ44" s="478"/>
      <c r="CK44" s="490"/>
      <c r="CL44" s="478"/>
      <c r="CM44" s="871"/>
    </row>
    <row r="45" spans="1:91" s="475" customFormat="1" ht="12" customHeight="1" x14ac:dyDescent="0.2">
      <c r="A45" s="887" t="str">
        <f>+INPUT!B903</f>
        <v>Operating ROE (Excl FAS 115)(%)</v>
      </c>
      <c r="B45" s="502" t="e">
        <f>+INPUT!C903</f>
        <v>#REF!</v>
      </c>
      <c r="C45" s="491" t="str">
        <f>+INPUT!D903</f>
        <v>NA</v>
      </c>
      <c r="D45" s="502">
        <f>+INPUT!E903</f>
        <v>12.533842876687812</v>
      </c>
      <c r="E45" s="478" t="str">
        <f>+INPUT!F903</f>
        <v>NA</v>
      </c>
      <c r="F45" s="502">
        <f>+INPUT!G903</f>
        <v>12.294904145876389</v>
      </c>
      <c r="G45" s="478" t="str">
        <f>+INPUT!H903</f>
        <v>NA</v>
      </c>
      <c r="H45" s="502">
        <f>+INPUT!I903</f>
        <v>12.916993637477347</v>
      </c>
      <c r="I45" s="478" t="str">
        <f>+INPUT!J903</f>
        <v>NA</v>
      </c>
      <c r="J45" s="502">
        <f>+INPUT!K903</f>
        <v>14.055234410938255</v>
      </c>
      <c r="K45" s="478" t="str">
        <f>+INPUT!L903</f>
        <v>NA</v>
      </c>
      <c r="L45" s="502">
        <f>+INPUT!M903</f>
        <v>14.085965820818227</v>
      </c>
      <c r="M45" s="478">
        <f>+INPUT!N903</f>
        <v>12.383456210523192</v>
      </c>
      <c r="N45" s="502">
        <f>+INPUT!O903</f>
        <v>16.355210132649603</v>
      </c>
      <c r="O45" s="478">
        <f>+INPUT!P903</f>
        <v>33.024299649664272</v>
      </c>
      <c r="P45" s="502">
        <f>+INPUT!Q903</f>
        <v>13.788370073824014</v>
      </c>
      <c r="Q45" s="478">
        <f>+INPUT!R903</f>
        <v>6.7459693857745435</v>
      </c>
      <c r="R45" s="502">
        <f>+INPUT!S903</f>
        <v>13.695046891578505</v>
      </c>
      <c r="S45" s="478">
        <f>+INPUT!T903</f>
        <v>-2.5626575041640081</v>
      </c>
      <c r="T45" s="502">
        <f>+INPUT!U903</f>
        <v>12.629573555577492</v>
      </c>
      <c r="U45" s="478">
        <f>+INPUT!V903</f>
        <v>-10.339314206543605</v>
      </c>
      <c r="V45" s="502">
        <f>+INPUT!W903</f>
        <v>12.687518286907324</v>
      </c>
      <c r="W45" s="478">
        <f>+INPUT!X903</f>
        <v>-22.425219951289606</v>
      </c>
      <c r="X45" s="502">
        <f>+INPUT!Y903</f>
        <v>11.925974000432671</v>
      </c>
      <c r="Y45" s="478">
        <f>+INPUT!Z903</f>
        <v>-13.507006726827967</v>
      </c>
      <c r="Z45" s="502">
        <f>+INPUT!AA903</f>
        <v>11.12287415378937</v>
      </c>
      <c r="AA45" s="478">
        <f>+INPUT!AB903</f>
        <v>-18.781773864322005</v>
      </c>
      <c r="AB45" s="502">
        <f>+INPUT!AC903</f>
        <v>12.893047182394929</v>
      </c>
      <c r="AC45" s="478">
        <f>+INPUT!AD903</f>
        <v>2.0861640787632325</v>
      </c>
      <c r="AD45" s="502">
        <f>+INPUT!AE903</f>
        <v>12.654911458971435</v>
      </c>
      <c r="AE45" s="478">
        <f>+INPUT!AF903</f>
        <v>-0.25699925862993211</v>
      </c>
      <c r="AF45" s="502">
        <f>+INPUT!AG903</f>
        <v>13.774397948651487</v>
      </c>
      <c r="AG45" s="478">
        <f>+INPUT!AH903</f>
        <v>15.499144540745718</v>
      </c>
      <c r="AH45" s="502">
        <f>+INPUT!AI903</f>
        <v>13.488852582860419</v>
      </c>
      <c r="AI45" s="478">
        <f>+INPUT!AJ903</f>
        <v>21.271286507049084</v>
      </c>
      <c r="AJ45" s="502">
        <f>+INPUT!AK903</f>
        <v>13.727332098732298</v>
      </c>
      <c r="AK45" s="478">
        <f>+INPUT!AL903</f>
        <v>6.4708125591641306</v>
      </c>
      <c r="AL45" s="502">
        <f>+INPUT!AM903</f>
        <v>12.867571103918463</v>
      </c>
      <c r="AM45" s="478">
        <f>+INPUT!AN903</f>
        <v>1.6804514645281472</v>
      </c>
      <c r="AN45" s="502">
        <f>+INPUT!AO903</f>
        <v>11.392754493935019</v>
      </c>
      <c r="AO45" s="478">
        <f>+INPUT!AP903</f>
        <v>-17.290363350868859</v>
      </c>
      <c r="AP45" s="502">
        <f>+INPUT!AQ903</f>
        <v>12.489918520505052</v>
      </c>
      <c r="AQ45" s="478">
        <f>+INPUT!AR903</f>
        <v>-7.4056266551882999</v>
      </c>
      <c r="AR45" s="502">
        <f>+INPUT!AS903</f>
        <v>12.553437419738355</v>
      </c>
      <c r="AS45" s="478">
        <f>+INPUT!AT903</f>
        <v>-8.5515136557550875</v>
      </c>
      <c r="AT45" s="502">
        <f>+INPUT!AU903</f>
        <v>12.834216959046746</v>
      </c>
      <c r="AU45" s="478">
        <f>+INPUT!AV903</f>
        <v>-0.25921088449676688</v>
      </c>
      <c r="AV45" s="502">
        <f>+INPUT!AW903</f>
        <v>13.064395207949387</v>
      </c>
      <c r="AW45" s="478">
        <f>+INPUT!AX903</f>
        <v>14.672840662934263</v>
      </c>
      <c r="AX45" s="490"/>
      <c r="AY45" s="502"/>
      <c r="AZ45" s="491"/>
      <c r="BA45" s="502"/>
      <c r="BB45" s="491"/>
      <c r="BC45" s="502"/>
      <c r="BD45" s="491"/>
      <c r="BE45" s="502"/>
      <c r="BF45" s="478"/>
      <c r="BG45" s="502"/>
      <c r="BH45" s="478"/>
      <c r="BI45" s="502"/>
      <c r="BJ45" s="478"/>
      <c r="BK45" s="502"/>
      <c r="BL45" s="478"/>
      <c r="BM45" s="502"/>
      <c r="BN45" s="478"/>
      <c r="BO45" s="502"/>
      <c r="BP45" s="478"/>
      <c r="BQ45" s="502"/>
      <c r="BR45" s="478"/>
      <c r="BS45" s="502">
        <f>+INPUT!BB903</f>
        <v>10.577844311377246</v>
      </c>
      <c r="BT45" s="478" t="str">
        <f>+INPUT!BC903</f>
        <v>NA</v>
      </c>
      <c r="BU45" s="502">
        <f>+INPUT!BD903</f>
        <v>13.375926171058261</v>
      </c>
      <c r="BV45" s="478">
        <f>+INPUT!BE903</f>
        <v>26.452288172472649</v>
      </c>
      <c r="BW45" s="502">
        <f>+INPUT!BF903</f>
        <v>12.568550296439851</v>
      </c>
      <c r="BX45" s="478">
        <f>+INPUT!BG903</f>
        <v>-6.0360371632832681</v>
      </c>
      <c r="BY45" s="502">
        <f>+INPUT!BH903</f>
        <v>12.619095020050633</v>
      </c>
      <c r="BZ45" s="478">
        <f>+INPUT!BI903</f>
        <v>0.40215237572067508</v>
      </c>
      <c r="CA45" s="502">
        <f>+INPUT!BJ903</f>
        <v>12.537786766046398</v>
      </c>
      <c r="CB45" s="478">
        <f>+INPUT!BK903</f>
        <v>-0.64432713974372291</v>
      </c>
      <c r="CC45" s="502">
        <f>+INPUT!BL903</f>
        <v>12.711392330592853</v>
      </c>
      <c r="CD45" s="478">
        <f>+INPUT!BM903</f>
        <v>1.384658774199238</v>
      </c>
      <c r="CE45" s="502">
        <f>+INPUT!BN903</f>
        <v>12.595126143711077</v>
      </c>
      <c r="CF45" s="478">
        <f>+INPUT!BO903</f>
        <v>-0.91466130426918824</v>
      </c>
      <c r="CG45" s="502">
        <f>+INPUT!BP903</f>
        <v>12.50885043262722</v>
      </c>
      <c r="CH45" s="478">
        <f>+INPUT!BQ903</f>
        <v>-0.68499283055561477</v>
      </c>
      <c r="CI45" s="502">
        <f>+INPUT!BR903</f>
        <v>12.38530013990886</v>
      </c>
      <c r="CJ45" s="478">
        <f>+INPUT!BS903</f>
        <v>-0.98770301382850789</v>
      </c>
      <c r="CK45" s="502">
        <f>+INPUT!BT903</f>
        <v>12.275993499465848</v>
      </c>
      <c r="CL45" s="478">
        <f>+INPUT!BU903</f>
        <v>-0.88255140536155352</v>
      </c>
      <c r="CM45" s="871">
        <f>+INPUT!BV903</f>
        <v>-0.42113908106924391</v>
      </c>
    </row>
    <row r="46" spans="1:91" s="475" customFormat="1" ht="12" customHeight="1" x14ac:dyDescent="0.2">
      <c r="A46" s="887" t="str">
        <f>+INPUT!B905</f>
        <v>Reported ROE (Excl FAS 115)(%)</v>
      </c>
      <c r="B46" s="502" t="e">
        <f>+INPUT!C905</f>
        <v>#REF!</v>
      </c>
      <c r="C46" s="491" t="str">
        <f>+INPUT!D905</f>
        <v>NA</v>
      </c>
      <c r="D46" s="502">
        <f>+INPUT!E905</f>
        <v>10.266297978952471</v>
      </c>
      <c r="E46" s="478" t="str">
        <f>+INPUT!F905</f>
        <v>NA</v>
      </c>
      <c r="F46" s="502">
        <f>+INPUT!G905</f>
        <v>11.221611993468903</v>
      </c>
      <c r="G46" s="478" t="str">
        <f>+INPUT!H905</f>
        <v>NA</v>
      </c>
      <c r="H46" s="502">
        <f>+INPUT!I905</f>
        <v>10.541350751703543</v>
      </c>
      <c r="I46" s="478" t="str">
        <f>+INPUT!J905</f>
        <v>NA</v>
      </c>
      <c r="J46" s="502">
        <f>+INPUT!K905</f>
        <v>13.01771868470496</v>
      </c>
      <c r="K46" s="478" t="str">
        <f>+INPUT!L905</f>
        <v>NA</v>
      </c>
      <c r="L46" s="502">
        <f>+INPUT!M905</f>
        <v>13.35332115893047</v>
      </c>
      <c r="M46" s="478">
        <f>+INPUT!N905</f>
        <v>30.069487426790886</v>
      </c>
      <c r="N46" s="502">
        <f>+INPUT!O905</f>
        <v>11.509246380887312</v>
      </c>
      <c r="O46" s="478">
        <f>+INPUT!P905</f>
        <v>2.5632180794151083</v>
      </c>
      <c r="P46" s="502">
        <f>+INPUT!Q905</f>
        <v>11.529851910344799</v>
      </c>
      <c r="Q46" s="478">
        <f>+INPUT!R905</f>
        <v>9.3773671128579963</v>
      </c>
      <c r="R46" s="502">
        <f>+INPUT!S905</f>
        <v>17.307435161602474</v>
      </c>
      <c r="S46" s="478">
        <f>+INPUT!T905</f>
        <v>32.952905042706703</v>
      </c>
      <c r="T46" s="502">
        <f>+INPUT!U905</f>
        <v>9.3848369455043095</v>
      </c>
      <c r="U46" s="478">
        <f>+INPUT!V905</f>
        <v>-29.719080116425616</v>
      </c>
      <c r="V46" s="502">
        <f>+INPUT!W905</f>
        <v>12.028941665385554</v>
      </c>
      <c r="W46" s="478">
        <f>+INPUT!X905</f>
        <v>4.5154588519476562</v>
      </c>
      <c r="X46" s="502">
        <f>+INPUT!Y905</f>
        <v>9.9750231085413095</v>
      </c>
      <c r="Y46" s="478">
        <f>+INPUT!Z905</f>
        <v>-13.485245204307162</v>
      </c>
      <c r="Z46" s="502">
        <f>+INPUT!AA905</f>
        <v>14.296953156110682</v>
      </c>
      <c r="AA46" s="478">
        <f>+INPUT!AB905</f>
        <v>-17.394154462416921</v>
      </c>
      <c r="AB46" s="502">
        <f>+INPUT!AC905</f>
        <v>12.32699230758198</v>
      </c>
      <c r="AC46" s="478">
        <f>+INPUT!AD905</f>
        <v>31.350095682664744</v>
      </c>
      <c r="AD46" s="502">
        <f>+INPUT!AE905</f>
        <v>11.618241619466776</v>
      </c>
      <c r="AE46" s="478">
        <f>+INPUT!AF905</f>
        <v>-3.4142658377054715</v>
      </c>
      <c r="AF46" s="502">
        <f>+INPUT!AG905</f>
        <v>11.77488856900853</v>
      </c>
      <c r="AG46" s="478">
        <f>+INPUT!AH905</f>
        <v>18.043722213796684</v>
      </c>
      <c r="AH46" s="502">
        <f>+INPUT!AI905</f>
        <v>12.702457938353575</v>
      </c>
      <c r="AI46" s="478">
        <f>+INPUT!AJ905</f>
        <v>-11.152692467734653</v>
      </c>
      <c r="AJ46" s="502">
        <f>+INPUT!AK905</f>
        <v>11.075623786646627</v>
      </c>
      <c r="AK46" s="478">
        <f>+INPUT!AL905</f>
        <v>-10.151450489392062</v>
      </c>
      <c r="AL46" s="502">
        <f>+INPUT!AM905</f>
        <v>27.897527718476688</v>
      </c>
      <c r="AM46" s="478" t="str">
        <f>+INPUT!AN905</f>
        <v>NM</v>
      </c>
      <c r="AN46" s="502">
        <f>+INPUT!AO905</f>
        <v>27.338713606027643</v>
      </c>
      <c r="AO46" s="478" t="str">
        <f>+INPUT!AP905</f>
        <v>NM</v>
      </c>
      <c r="AP46" s="502">
        <f>+INPUT!AQ905</f>
        <v>12.076698077459373</v>
      </c>
      <c r="AQ46" s="478">
        <f>+INPUT!AR905</f>
        <v>-4.9262895727038369</v>
      </c>
      <c r="AR46" s="502">
        <f>+INPUT!AS905</f>
        <v>12.137695822852873</v>
      </c>
      <c r="AS46" s="478">
        <f>+INPUT!AT905</f>
        <v>9.5892751204382591</v>
      </c>
      <c r="AT46" s="502">
        <f>+INPUT!AU905</f>
        <v>12.416389596259805</v>
      </c>
      <c r="AU46" s="478" t="str">
        <f>+INPUT!AV905</f>
        <v>NM</v>
      </c>
      <c r="AV46" s="502">
        <f>+INPUT!AW905</f>
        <v>12.645169712477575</v>
      </c>
      <c r="AW46" s="478" t="str">
        <f>+INPUT!AX905</f>
        <v>NM</v>
      </c>
      <c r="AX46" s="490"/>
      <c r="AY46" s="502"/>
      <c r="AZ46" s="491"/>
      <c r="BA46" s="502"/>
      <c r="BB46" s="491"/>
      <c r="BC46" s="502"/>
      <c r="BD46" s="491"/>
      <c r="BE46" s="502"/>
      <c r="BF46" s="478"/>
      <c r="BG46" s="502"/>
      <c r="BH46" s="478"/>
      <c r="BI46" s="502"/>
      <c r="BJ46" s="478"/>
      <c r="BK46" s="502"/>
      <c r="BL46" s="478"/>
      <c r="BM46" s="502"/>
      <c r="BN46" s="478"/>
      <c r="BO46" s="502"/>
      <c r="BP46" s="478"/>
      <c r="BQ46" s="502"/>
      <c r="BR46" s="478"/>
      <c r="BS46" s="502">
        <f>+INPUT!BB905</f>
        <v>8.7794411177644722</v>
      </c>
      <c r="BT46" s="478" t="str">
        <f>+INPUT!BC905</f>
        <v>NA</v>
      </c>
      <c r="BU46" s="502">
        <f>+INPUT!BD905</f>
        <v>11.32481705463203</v>
      </c>
      <c r="BV46" s="478">
        <f>+INPUT!BE905</f>
        <v>28.992459801537933</v>
      </c>
      <c r="BW46" s="502">
        <f>+INPUT!BF905</f>
        <v>11.966744880191104</v>
      </c>
      <c r="BX46" s="478">
        <f>+INPUT!BG905</f>
        <v>5.6683284371160454</v>
      </c>
      <c r="BY46" s="502">
        <f>+INPUT!BH905</f>
        <v>12.48068409127538</v>
      </c>
      <c r="BZ46" s="478">
        <f>+INPUT!BI905</f>
        <v>4.2947285684598739</v>
      </c>
      <c r="CA46" s="502">
        <f>+INPUT!BJ905</f>
        <v>19.591033778083045</v>
      </c>
      <c r="CB46" s="478">
        <f>+INPUT!BK905</f>
        <v>56.970832967226158</v>
      </c>
      <c r="CC46" s="502">
        <f>+INPUT!BL905</f>
        <v>12.295759921648957</v>
      </c>
      <c r="CD46" s="478">
        <f>+INPUT!BM905</f>
        <v>-37.237819806096631</v>
      </c>
      <c r="CE46" s="502">
        <f>+INPUT!BN905</f>
        <v>12.171566059373436</v>
      </c>
      <c r="CF46" s="478">
        <f>+INPUT!BO905</f>
        <v>-1.0100543851450254</v>
      </c>
      <c r="CG46" s="502">
        <f>+INPUT!BP905</f>
        <v>12.076601286486181</v>
      </c>
      <c r="CH46" s="478">
        <f>+INPUT!BQ905</f>
        <v>-0.78021819397777392</v>
      </c>
      <c r="CI46" s="502">
        <f>+INPUT!BR905</f>
        <v>11.943218009127586</v>
      </c>
      <c r="CJ46" s="478">
        <f>+INPUT!BS905</f>
        <v>-1.1044769483931844</v>
      </c>
      <c r="CK46" s="502">
        <f>+INPUT!BT905</f>
        <v>11.823026595719933</v>
      </c>
      <c r="CL46" s="478">
        <f>+INPUT!BU905</f>
        <v>-1.0063570246795877</v>
      </c>
      <c r="CM46" s="871">
        <f>+INPUT!BV905</f>
        <v>-9.60711188508132</v>
      </c>
    </row>
    <row r="47" spans="1:91" s="475" customFormat="1" ht="12" customHeight="1" x14ac:dyDescent="0.2">
      <c r="A47" s="887" t="str">
        <f>+INPUT!B906</f>
        <v>Reported ROE (Incl FAS 115)(%)</v>
      </c>
      <c r="B47" s="502" t="e">
        <f>+INPUT!C906</f>
        <v>#REF!</v>
      </c>
      <c r="C47" s="491" t="str">
        <f>+INPUT!D906</f>
        <v>NA</v>
      </c>
      <c r="D47" s="502">
        <f>+INPUT!E906</f>
        <v>9.9112755807213855</v>
      </c>
      <c r="E47" s="478" t="str">
        <f>+INPUT!F906</f>
        <v>NA</v>
      </c>
      <c r="F47" s="502">
        <f>+INPUT!G906</f>
        <v>11.233283803863298</v>
      </c>
      <c r="G47" s="478" t="str">
        <f>+INPUT!H906</f>
        <v>NA</v>
      </c>
      <c r="H47" s="502">
        <f>+INPUT!I906</f>
        <v>10.443770765048718</v>
      </c>
      <c r="I47" s="478" t="str">
        <f>+INPUT!J906</f>
        <v>NA</v>
      </c>
      <c r="J47" s="502">
        <f>+INPUT!K906</f>
        <v>12.636041338275566</v>
      </c>
      <c r="K47" s="478" t="str">
        <f>+INPUT!L906</f>
        <v>NA</v>
      </c>
      <c r="L47" s="502">
        <f>+INPUT!M906</f>
        <v>12.688480604173899</v>
      </c>
      <c r="M47" s="478">
        <f>+INPUT!N906</f>
        <v>28.02066193028179</v>
      </c>
      <c r="N47" s="502">
        <f>+INPUT!O906</f>
        <v>10.935079527637415</v>
      </c>
      <c r="O47" s="478">
        <f>+INPUT!P906</f>
        <v>-2.6546491785716881</v>
      </c>
      <c r="P47" s="502">
        <f>+INPUT!Q906</f>
        <v>11.274212283668206</v>
      </c>
      <c r="Q47" s="478">
        <f>+INPUT!R906</f>
        <v>7.9515487011516512</v>
      </c>
      <c r="R47" s="502">
        <f>+INPUT!S906</f>
        <v>17.237930950243864</v>
      </c>
      <c r="S47" s="478">
        <f>+INPUT!T906</f>
        <v>36.418760344102481</v>
      </c>
      <c r="T47" s="502">
        <f>+INPUT!U906</f>
        <v>9.5241445768389479</v>
      </c>
      <c r="U47" s="478">
        <f>+INPUT!V906</f>
        <v>-24.938652042341744</v>
      </c>
      <c r="V47" s="502">
        <f>+INPUT!W906</f>
        <v>12.558960737714683</v>
      </c>
      <c r="W47" s="478">
        <f>+INPUT!X906</f>
        <v>14.85020027493222</v>
      </c>
      <c r="X47" s="502">
        <f>+INPUT!Y906</f>
        <v>10.716304227256639</v>
      </c>
      <c r="Y47" s="478">
        <f>+INPUT!Z906</f>
        <v>-4.9485324772512058</v>
      </c>
      <c r="Z47" s="502">
        <f>+INPUT!AA906</f>
        <v>15.211954612157161</v>
      </c>
      <c r="AA47" s="478">
        <f>+INPUT!AB906</f>
        <v>-11.753013421010621</v>
      </c>
      <c r="AB47" s="502">
        <f>+INPUT!AC906</f>
        <v>12.552272738336912</v>
      </c>
      <c r="AC47" s="478">
        <f>+INPUT!AD906</f>
        <v>31.794227156755284</v>
      </c>
      <c r="AD47" s="502">
        <f>+INPUT!AE906</f>
        <v>11.578685375898715</v>
      </c>
      <c r="AE47" s="478">
        <f>+INPUT!AF906</f>
        <v>-7.80538598924187</v>
      </c>
      <c r="AF47" s="502">
        <f>+INPUT!AG906</f>
        <v>12.101665406076521</v>
      </c>
      <c r="AG47" s="478">
        <f>+INPUT!AH906</f>
        <v>12.927602179268575</v>
      </c>
      <c r="AH47" s="502">
        <f>+INPUT!AI906</f>
        <v>13.391289328996228</v>
      </c>
      <c r="AI47" s="478">
        <f>+INPUT!AJ906</f>
        <v>-11.968647879779269</v>
      </c>
      <c r="AJ47" s="502">
        <f>+INPUT!AK906</f>
        <v>11.366035934301006</v>
      </c>
      <c r="AK47" s="478">
        <f>+INPUT!AL906</f>
        <v>-9.4503746752803011</v>
      </c>
      <c r="AL47" s="502">
        <f>+INPUT!AM906</f>
        <v>27.980746400742511</v>
      </c>
      <c r="AM47" s="478" t="str">
        <f>+INPUT!AN906</f>
        <v>NM</v>
      </c>
      <c r="AN47" s="502">
        <f>+INPUT!AO906</f>
        <v>27.104891389656967</v>
      </c>
      <c r="AO47" s="478" t="str">
        <f>+INPUT!AP906</f>
        <v>NM</v>
      </c>
      <c r="AP47" s="502">
        <f>+INPUT!AQ906</f>
        <v>11.92209987359583</v>
      </c>
      <c r="AQ47" s="478">
        <f>+INPUT!AR906</f>
        <v>-10.971232263790725</v>
      </c>
      <c r="AR47" s="502">
        <f>+INPUT!AS906</f>
        <v>11.984327314721545</v>
      </c>
      <c r="AS47" s="478">
        <f>+INPUT!AT906</f>
        <v>5.4398154641991567</v>
      </c>
      <c r="AT47" s="502">
        <f>+INPUT!AU906</f>
        <v>12.261694949354297</v>
      </c>
      <c r="AU47" s="478" t="str">
        <f>+INPUT!AV906</f>
        <v>NM</v>
      </c>
      <c r="AV47" s="502">
        <f>+INPUT!AW906</f>
        <v>12.490084811696347</v>
      </c>
      <c r="AW47" s="478" t="str">
        <f>+INPUT!AX906</f>
        <v>NM</v>
      </c>
      <c r="AX47" s="490"/>
      <c r="AY47" s="502"/>
      <c r="AZ47" s="491"/>
      <c r="BA47" s="502"/>
      <c r="BB47" s="491"/>
      <c r="BC47" s="502"/>
      <c r="BD47" s="491"/>
      <c r="BE47" s="502"/>
      <c r="BF47" s="478"/>
      <c r="BG47" s="502"/>
      <c r="BH47" s="478"/>
      <c r="BI47" s="502"/>
      <c r="BJ47" s="478"/>
      <c r="BK47" s="502"/>
      <c r="BL47" s="478"/>
      <c r="BM47" s="502"/>
      <c r="BN47" s="478"/>
      <c r="BO47" s="502"/>
      <c r="BP47" s="478"/>
      <c r="BQ47" s="502"/>
      <c r="BR47" s="478"/>
      <c r="BS47" s="502" t="e">
        <f>+INPUT!BB906</f>
        <v>#REF!</v>
      </c>
      <c r="BT47" s="478" t="str">
        <f>+INPUT!BC906</f>
        <v>NA</v>
      </c>
      <c r="BU47" s="502">
        <f>+INPUT!BD906</f>
        <v>11.823810997454579</v>
      </c>
      <c r="BV47" s="478" t="str">
        <f>+INPUT!BE906</f>
        <v>NA</v>
      </c>
      <c r="BW47" s="502">
        <f>+INPUT!BF906</f>
        <v>12.856038261834829</v>
      </c>
      <c r="BX47" s="478">
        <f>+INPUT!BG906</f>
        <v>8.7300724326739214</v>
      </c>
      <c r="BY47" s="502">
        <f>+INPUT!BH906</f>
        <v>13.475681844934984</v>
      </c>
      <c r="BZ47" s="478">
        <f>+INPUT!BI906</f>
        <v>4.8198641796179515</v>
      </c>
      <c r="CA47" s="502">
        <f>+INPUT!BJ906</f>
        <v>20.023746999124661</v>
      </c>
      <c r="CB47" s="478">
        <f>+INPUT!BK906</f>
        <v>48.591716764601841</v>
      </c>
      <c r="CC47" s="502">
        <f>+INPUT!BL906</f>
        <v>12.141940916550913</v>
      </c>
      <c r="CD47" s="478">
        <f>+INPUT!BM906</f>
        <v>-39.362293595291142</v>
      </c>
      <c r="CE47" s="502">
        <f>+INPUT!BN906</f>
        <v>12.027769411757378</v>
      </c>
      <c r="CF47" s="478">
        <f>+INPUT!BO906</f>
        <v>-0.94030687167902727</v>
      </c>
      <c r="CG47" s="502">
        <f>+INPUT!BP906</f>
        <v>11.941680161709749</v>
      </c>
      <c r="CH47" s="478">
        <f>+INPUT!BQ906</f>
        <v>-0.71575407792133205</v>
      </c>
      <c r="CI47" s="502">
        <f>+INPUT!BR906</f>
        <v>11.816770648278007</v>
      </c>
      <c r="CJ47" s="478">
        <f>+INPUT!BS906</f>
        <v>-1.0459961390714199</v>
      </c>
      <c r="CK47" s="502">
        <f>+INPUT!BT906</f>
        <v>11.704192854504033</v>
      </c>
      <c r="CL47" s="478">
        <f>+INPUT!BU906</f>
        <v>-0.9526950900953608</v>
      </c>
      <c r="CM47" s="871">
        <f>+INPUT!BV906</f>
        <v>-10.182859576914149</v>
      </c>
    </row>
    <row r="48" spans="1:91" s="475" customFormat="1" ht="12" customHeight="1" x14ac:dyDescent="0.2">
      <c r="A48" s="869"/>
      <c r="B48" s="490"/>
      <c r="C48" s="491"/>
      <c r="D48" s="490"/>
      <c r="E48" s="478"/>
      <c r="F48" s="490"/>
      <c r="G48" s="478"/>
      <c r="H48" s="490"/>
      <c r="I48" s="478"/>
      <c r="J48" s="490"/>
      <c r="K48" s="478"/>
      <c r="L48" s="490"/>
      <c r="M48" s="478"/>
      <c r="N48" s="490"/>
      <c r="O48" s="478"/>
      <c r="P48" s="490"/>
      <c r="Q48" s="478"/>
      <c r="R48" s="490"/>
      <c r="S48" s="478"/>
      <c r="T48" s="490"/>
      <c r="U48" s="478"/>
      <c r="V48" s="490"/>
      <c r="W48" s="478"/>
      <c r="X48" s="490"/>
      <c r="Y48" s="478"/>
      <c r="Z48" s="490"/>
      <c r="AA48" s="478"/>
      <c r="AB48" s="490"/>
      <c r="AC48" s="478"/>
      <c r="AD48" s="490"/>
      <c r="AE48" s="478"/>
      <c r="AF48" s="490"/>
      <c r="AG48" s="478"/>
      <c r="AH48" s="490"/>
      <c r="AI48" s="478"/>
      <c r="AJ48" s="490"/>
      <c r="AK48" s="478"/>
      <c r="AL48" s="490"/>
      <c r="AM48" s="478"/>
      <c r="AN48" s="490"/>
      <c r="AO48" s="478"/>
      <c r="AP48" s="490"/>
      <c r="AQ48" s="478"/>
      <c r="AR48" s="490"/>
      <c r="AS48" s="478"/>
      <c r="AT48" s="490"/>
      <c r="AU48" s="478"/>
      <c r="AV48" s="490"/>
      <c r="AW48" s="478"/>
      <c r="AX48" s="490"/>
      <c r="AY48" s="490"/>
      <c r="AZ48" s="491"/>
      <c r="BA48" s="490"/>
      <c r="BB48" s="491"/>
      <c r="BC48" s="490"/>
      <c r="BD48" s="491"/>
      <c r="BE48" s="490"/>
      <c r="BF48" s="478"/>
      <c r="BG48" s="490"/>
      <c r="BH48" s="478"/>
      <c r="BI48" s="490"/>
      <c r="BJ48" s="478"/>
      <c r="BK48" s="490"/>
      <c r="BL48" s="478"/>
      <c r="BM48" s="490"/>
      <c r="BN48" s="478"/>
      <c r="BO48" s="490"/>
      <c r="BP48" s="478"/>
      <c r="BQ48" s="490"/>
      <c r="BR48" s="478"/>
      <c r="BS48" s="490"/>
      <c r="BT48" s="478"/>
      <c r="BU48" s="490"/>
      <c r="BV48" s="478"/>
      <c r="BW48" s="490"/>
      <c r="BX48" s="478"/>
      <c r="BY48" s="490"/>
      <c r="BZ48" s="478"/>
      <c r="CA48" s="490"/>
      <c r="CB48" s="478"/>
      <c r="CC48" s="490"/>
      <c r="CD48" s="478"/>
      <c r="CE48" s="490"/>
      <c r="CF48" s="478"/>
      <c r="CG48" s="490"/>
      <c r="CH48" s="478"/>
      <c r="CI48" s="490"/>
      <c r="CJ48" s="478"/>
      <c r="CK48" s="490"/>
      <c r="CL48" s="478"/>
      <c r="CM48" s="871"/>
    </row>
    <row r="49" spans="1:91" s="475" customFormat="1" ht="12" customHeight="1" x14ac:dyDescent="0.2">
      <c r="A49" s="869" t="s">
        <v>180</v>
      </c>
      <c r="B49" s="479"/>
      <c r="C49" s="520"/>
      <c r="D49" s="479"/>
      <c r="E49" s="478"/>
      <c r="F49" s="479"/>
      <c r="G49" s="478"/>
      <c r="H49" s="479"/>
      <c r="I49" s="478"/>
      <c r="J49" s="479"/>
      <c r="K49" s="478"/>
      <c r="L49" s="479"/>
      <c r="M49" s="478"/>
      <c r="N49" s="479"/>
      <c r="O49" s="478"/>
      <c r="P49" s="479"/>
      <c r="Q49" s="478"/>
      <c r="R49" s="479"/>
      <c r="S49" s="478"/>
      <c r="T49" s="479"/>
      <c r="U49" s="478"/>
      <c r="V49" s="479"/>
      <c r="W49" s="478"/>
      <c r="X49" s="479"/>
      <c r="Y49" s="478"/>
      <c r="Z49" s="479"/>
      <c r="AA49" s="478"/>
      <c r="AB49" s="479"/>
      <c r="AC49" s="478"/>
      <c r="AD49" s="479"/>
      <c r="AE49" s="478"/>
      <c r="AF49" s="479"/>
      <c r="AG49" s="478"/>
      <c r="AH49" s="479"/>
      <c r="AI49" s="478"/>
      <c r="AJ49" s="479"/>
      <c r="AK49" s="478"/>
      <c r="AL49" s="479"/>
      <c r="AM49" s="478"/>
      <c r="AN49" s="479"/>
      <c r="AO49" s="478"/>
      <c r="AP49" s="479"/>
      <c r="AQ49" s="478"/>
      <c r="AR49" s="479"/>
      <c r="AS49" s="478"/>
      <c r="AT49" s="479"/>
      <c r="AU49" s="478"/>
      <c r="AV49" s="479"/>
      <c r="AW49" s="478"/>
      <c r="AX49" s="479"/>
      <c r="AY49" s="479"/>
      <c r="AZ49" s="520"/>
      <c r="BA49" s="479"/>
      <c r="BB49" s="520"/>
      <c r="BC49" s="479"/>
      <c r="BD49" s="520"/>
      <c r="BE49" s="479"/>
      <c r="BF49" s="478"/>
      <c r="BG49" s="479"/>
      <c r="BH49" s="478"/>
      <c r="BI49" s="479"/>
      <c r="BJ49" s="478"/>
      <c r="BK49" s="479"/>
      <c r="BL49" s="478"/>
      <c r="BM49" s="479"/>
      <c r="BN49" s="478"/>
      <c r="BO49" s="479"/>
      <c r="BP49" s="478"/>
      <c r="BQ49" s="479"/>
      <c r="BR49" s="478"/>
      <c r="BS49" s="479"/>
      <c r="BT49" s="478"/>
      <c r="BU49" s="479"/>
      <c r="BV49" s="478"/>
      <c r="BW49" s="479"/>
      <c r="BX49" s="478"/>
      <c r="BY49" s="479"/>
      <c r="BZ49" s="478"/>
      <c r="CA49" s="479"/>
      <c r="CB49" s="478"/>
      <c r="CC49" s="479"/>
      <c r="CD49" s="478"/>
      <c r="CE49" s="479"/>
      <c r="CF49" s="478"/>
      <c r="CG49" s="479"/>
      <c r="CH49" s="478"/>
      <c r="CI49" s="479"/>
      <c r="CJ49" s="478"/>
      <c r="CK49" s="479"/>
      <c r="CL49" s="478"/>
      <c r="CM49" s="889"/>
    </row>
    <row r="50" spans="1:91" s="475" customFormat="1" ht="12" customHeight="1" x14ac:dyDescent="0.2">
      <c r="A50" s="865" t="str">
        <f>+INPUT!B817</f>
        <v>Dividends Per Share</v>
      </c>
      <c r="B50" s="495">
        <f>+INPUT!C817</f>
        <v>0.23</v>
      </c>
      <c r="C50" s="491" t="str">
        <f>+INPUT!D817</f>
        <v>NA</v>
      </c>
      <c r="D50" s="495">
        <f>+INPUT!E817</f>
        <v>0.23</v>
      </c>
      <c r="E50" s="478" t="str">
        <f>+INPUT!F817</f>
        <v>NA</v>
      </c>
      <c r="F50" s="495">
        <f>+INPUT!G817</f>
        <v>0.26</v>
      </c>
      <c r="G50" s="478" t="str">
        <f>+INPUT!H817</f>
        <v>NA</v>
      </c>
      <c r="H50" s="495">
        <f>+INPUT!I817</f>
        <v>0.26</v>
      </c>
      <c r="I50" s="478" t="str">
        <f>+INPUT!J817</f>
        <v>NA</v>
      </c>
      <c r="J50" s="495">
        <f>+INPUT!K817</f>
        <v>0.28000000000000003</v>
      </c>
      <c r="K50" s="478">
        <f>+INPUT!L817</f>
        <v>21.739130434782624</v>
      </c>
      <c r="L50" s="495">
        <f>+INPUT!M817</f>
        <v>0.32</v>
      </c>
      <c r="M50" s="478">
        <f>+INPUT!N817</f>
        <v>39.130434782608688</v>
      </c>
      <c r="N50" s="495">
        <f>+INPUT!O817</f>
        <v>0.34</v>
      </c>
      <c r="O50" s="478">
        <f>+INPUT!P817</f>
        <v>30.769230769230774</v>
      </c>
      <c r="P50" s="495">
        <f>+INPUT!Q817</f>
        <v>0.34</v>
      </c>
      <c r="Q50" s="478">
        <f>+INPUT!R817</f>
        <v>30.769230769230774</v>
      </c>
      <c r="R50" s="495">
        <f>+INPUT!S817</f>
        <v>0.36</v>
      </c>
      <c r="S50" s="478">
        <f>+INPUT!T817</f>
        <v>28.571428571428555</v>
      </c>
      <c r="T50" s="495">
        <f>+INPUT!U817</f>
        <v>0.38</v>
      </c>
      <c r="U50" s="478">
        <f>+INPUT!V817</f>
        <v>18.75</v>
      </c>
      <c r="V50" s="495">
        <f>+INPUT!W817</f>
        <v>0.38</v>
      </c>
      <c r="W50" s="478">
        <f>+INPUT!X817</f>
        <v>11.764705882352942</v>
      </c>
      <c r="X50" s="495">
        <f>+INPUT!Y817</f>
        <v>0.38</v>
      </c>
      <c r="Y50" s="478">
        <f>+INPUT!Z817</f>
        <v>11.764705882352942</v>
      </c>
      <c r="Z50" s="495">
        <f>+INPUT!AA817</f>
        <v>0.38</v>
      </c>
      <c r="AA50" s="478">
        <f>+INPUT!AB817</f>
        <v>5.5555555555555571</v>
      </c>
      <c r="AB50" s="495">
        <f>+INPUT!AC817</f>
        <v>0.39</v>
      </c>
      <c r="AC50" s="478">
        <f>+INPUT!AD817</f>
        <v>2.6315789473684248</v>
      </c>
      <c r="AD50" s="495">
        <f>+INPUT!AE817</f>
        <v>0.41</v>
      </c>
      <c r="AE50" s="478">
        <f>+INPUT!AF817</f>
        <v>7.8947368421052602</v>
      </c>
      <c r="AF50" s="495">
        <f>+INPUT!AG817</f>
        <v>0.43</v>
      </c>
      <c r="AG50" s="478">
        <f>+INPUT!AH817</f>
        <v>13.157894736842096</v>
      </c>
      <c r="AH50" s="495">
        <f>+INPUT!AI817</f>
        <v>0.45</v>
      </c>
      <c r="AI50" s="478">
        <f>+INPUT!AJ817</f>
        <v>18.421052631578931</v>
      </c>
      <c r="AJ50" s="495">
        <f>+INPUT!AK817</f>
        <v>0.46</v>
      </c>
      <c r="AK50" s="478">
        <f>+INPUT!AL817</f>
        <v>17.948717948717956</v>
      </c>
      <c r="AL50" s="495">
        <f>+INPUT!AM817</f>
        <v>0.47</v>
      </c>
      <c r="AM50" s="478">
        <f>+INPUT!AN817</f>
        <v>14.634146341463406</v>
      </c>
      <c r="AN50" s="495">
        <f>+INPUT!AO817</f>
        <v>0.49</v>
      </c>
      <c r="AO50" s="478">
        <f>+INPUT!AP817</f>
        <v>13.95348837209302</v>
      </c>
      <c r="AP50" s="495">
        <f>+INPUT!AQ817</f>
        <v>0.51</v>
      </c>
      <c r="AQ50" s="478">
        <f>+INPUT!AR817</f>
        <v>13.333333333333329</v>
      </c>
      <c r="AR50" s="495">
        <f>+INPUT!AS817</f>
        <v>0.51</v>
      </c>
      <c r="AS50" s="478">
        <f>+INPUT!AT817</f>
        <v>10.869565217391312</v>
      </c>
      <c r="AT50" s="495">
        <f>+INPUT!AU817</f>
        <v>0.53</v>
      </c>
      <c r="AU50" s="478">
        <f>+INPUT!AV817</f>
        <v>12.765957446808528</v>
      </c>
      <c r="AV50" s="495">
        <f>+INPUT!AW817</f>
        <v>0.53</v>
      </c>
      <c r="AW50" s="478">
        <f>+INPUT!AX817</f>
        <v>8.1632653061224545</v>
      </c>
      <c r="AX50" s="479"/>
      <c r="AY50" s="495"/>
      <c r="AZ50" s="491"/>
      <c r="BA50" s="495"/>
      <c r="BB50" s="491"/>
      <c r="BC50" s="495"/>
      <c r="BD50" s="491"/>
      <c r="BE50" s="495"/>
      <c r="BF50" s="478"/>
      <c r="BG50" s="495"/>
      <c r="BH50" s="478"/>
      <c r="BI50" s="495"/>
      <c r="BJ50" s="478"/>
      <c r="BK50" s="495"/>
      <c r="BL50" s="478"/>
      <c r="BM50" s="495"/>
      <c r="BN50" s="478"/>
      <c r="BO50" s="495"/>
      <c r="BP50" s="478"/>
      <c r="BQ50" s="495"/>
      <c r="BR50" s="478"/>
      <c r="BS50" s="495">
        <f>+INPUT!BB817</f>
        <v>0.98</v>
      </c>
      <c r="BT50" s="478" t="str">
        <f>+INPUT!BC817</f>
        <v>NA</v>
      </c>
      <c r="BU50" s="495">
        <f>+INPUT!BD817</f>
        <v>1.2800000000000002</v>
      </c>
      <c r="BV50" s="478">
        <f>+INPUT!BE817</f>
        <v>30.612244897959215</v>
      </c>
      <c r="BW50" s="495">
        <f>+INPUT!BF817</f>
        <v>1.5</v>
      </c>
      <c r="BX50" s="478">
        <f>+INPUT!BG817</f>
        <v>17.187499999999972</v>
      </c>
      <c r="BY50" s="495">
        <f>+INPUT!BH817</f>
        <v>1.6099999999999999</v>
      </c>
      <c r="BZ50" s="478">
        <f>+INPUT!BI817</f>
        <v>7.3333333333333286</v>
      </c>
      <c r="CA50" s="495">
        <f>+INPUT!BJ817</f>
        <v>1.8699999999999999</v>
      </c>
      <c r="CB50" s="478">
        <f>+INPUT!BK817</f>
        <v>16.149068322981378</v>
      </c>
      <c r="CC50" s="495">
        <f>+INPUT!BL817</f>
        <v>2.08</v>
      </c>
      <c r="CD50" s="478">
        <f>+INPUT!BM817</f>
        <v>11.229946524064175</v>
      </c>
      <c r="CE50" s="495">
        <f>+INPUT!BN817</f>
        <v>2.3088000000000002</v>
      </c>
      <c r="CF50" s="478">
        <f>+INPUT!BO817</f>
        <v>11.000000000000014</v>
      </c>
      <c r="CG50" s="495">
        <f>+INPUT!BP817</f>
        <v>2.5650768000000004</v>
      </c>
      <c r="CH50" s="478">
        <f>+INPUT!BQ817</f>
        <v>11.099999999999994</v>
      </c>
      <c r="CI50" s="495">
        <f>+INPUT!BR817</f>
        <v>2.8472352480000005</v>
      </c>
      <c r="CJ50" s="478">
        <f>+INPUT!BS817</f>
        <v>11.000000000000014</v>
      </c>
      <c r="CK50" s="495">
        <f>+INPUT!BT817</f>
        <v>3.160431125280001</v>
      </c>
      <c r="CL50" s="478">
        <f>+INPUT!BU817</f>
        <v>11.000000000000014</v>
      </c>
      <c r="CM50" s="871">
        <f>+INPUT!BV817</f>
        <v>11.065952316919535</v>
      </c>
    </row>
    <row r="51" spans="1:91" s="475" customFormat="1" ht="12" customHeight="1" x14ac:dyDescent="0.2">
      <c r="A51" s="890" t="str">
        <f>+INPUT!B818</f>
        <v>Dividend Payout Ratio (%)</v>
      </c>
      <c r="B51" s="891">
        <f>+INPUT!C818</f>
        <v>29.289755679382758</v>
      </c>
      <c r="C51" s="892" t="str">
        <f>+INPUT!D818</f>
        <v>NA</v>
      </c>
      <c r="D51" s="891">
        <f>+INPUT!E818</f>
        <v>25.186440677966104</v>
      </c>
      <c r="E51" s="893" t="str">
        <f>+INPUT!F818</f>
        <v>NA</v>
      </c>
      <c r="F51" s="891">
        <f>+INPUT!G818</f>
        <v>28.839524517087671</v>
      </c>
      <c r="G51" s="893" t="str">
        <f>+INPUT!H818</f>
        <v>NA</v>
      </c>
      <c r="H51" s="891">
        <f>+INPUT!I818</f>
        <v>27.209090909090911</v>
      </c>
      <c r="I51" s="893" t="str">
        <f>+INPUT!J818</f>
        <v>NA</v>
      </c>
      <c r="J51" s="891">
        <f>+INPUT!K818</f>
        <v>26.454258675078869</v>
      </c>
      <c r="K51" s="893">
        <f>+INPUT!L818</f>
        <v>-9.6808489471279984</v>
      </c>
      <c r="L51" s="891">
        <f>+INPUT!M818</f>
        <v>29.552941176470586</v>
      </c>
      <c r="M51" s="893">
        <f>+INPUT!N818</f>
        <v>17.336711265933019</v>
      </c>
      <c r="N51" s="891">
        <f>+INPUT!O818</f>
        <v>26.584723370781987</v>
      </c>
      <c r="O51" s="893">
        <f>+INPUT!P818</f>
        <v>-7.8184407824397226</v>
      </c>
      <c r="P51" s="891">
        <f>+INPUT!Q818</f>
        <v>30.994029149036205</v>
      </c>
      <c r="Q51" s="893">
        <f>+INPUT!R818</f>
        <v>13.910564864483206</v>
      </c>
      <c r="R51" s="891">
        <f>+INPUT!S818</f>
        <v>32.283693843594008</v>
      </c>
      <c r="S51" s="893">
        <f>+INPUT!T818</f>
        <v>22.035904464813967</v>
      </c>
      <c r="T51" s="891">
        <f>+INPUT!U818</f>
        <v>35.183807909874218</v>
      </c>
      <c r="U51" s="893">
        <f>+INPUT!V818</f>
        <v>19.053490140896059</v>
      </c>
      <c r="V51" s="891">
        <f>+INPUT!W818</f>
        <v>35.46904315196997</v>
      </c>
      <c r="W51" s="893">
        <f>+INPUT!X818</f>
        <v>33.418891207844268</v>
      </c>
      <c r="X51" s="891">
        <f>+INPUT!Y818</f>
        <v>37.122691292875984</v>
      </c>
      <c r="Y51" s="893">
        <f>+INPUT!Z818</f>
        <v>19.773686455445414</v>
      </c>
      <c r="Z51" s="891">
        <f>+INPUT!AA818</f>
        <v>39.061823262312267</v>
      </c>
      <c r="AA51" s="893">
        <f>+INPUT!AB818</f>
        <v>20.995520065196089</v>
      </c>
      <c r="AB51" s="891">
        <f>+INPUT!AC818</f>
        <v>33.851676060516169</v>
      </c>
      <c r="AC51" s="893">
        <f>+INPUT!AD818</f>
        <v>-3.7862071461122042</v>
      </c>
      <c r="AD51" s="891">
        <f>+INPUT!AE818</f>
        <v>35.589514447423284</v>
      </c>
      <c r="AE51" s="893">
        <f>+INPUT!AF818</f>
        <v>0.3396519464512977</v>
      </c>
      <c r="AF51" s="891">
        <f>+INPUT!AG818</f>
        <v>33.752688172043008</v>
      </c>
      <c r="AG51" s="893">
        <f>+INPUT!AH818</f>
        <v>-9.0780140217896701</v>
      </c>
      <c r="AH51" s="891">
        <f>+INPUT!AI818</f>
        <v>35.514170040485823</v>
      </c>
      <c r="AI51" s="893">
        <f>+INPUT!AJ818</f>
        <v>-9.082149591438295</v>
      </c>
      <c r="AJ51" s="891">
        <f>+INPUT!AK818</f>
        <v>35.099582898852972</v>
      </c>
      <c r="AK51" s="893">
        <f>+INPUT!AL818</f>
        <v>3.6863960180462954</v>
      </c>
      <c r="AL51" s="891">
        <f>+INPUT!AM818</f>
        <v>36.856703237891367</v>
      </c>
      <c r="AM51" s="893">
        <f>+INPUT!AN818</f>
        <v>3.5605677968439693</v>
      </c>
      <c r="AN51" s="891">
        <f>+INPUT!AO818</f>
        <v>41.010262257696688</v>
      </c>
      <c r="AO51" s="893">
        <f>+INPUT!AP818</f>
        <v>21.502210575526988</v>
      </c>
      <c r="AP51" s="891">
        <f>+INPUT!AQ818</f>
        <v>37.467948396091785</v>
      </c>
      <c r="AQ51" s="893">
        <f>+INPUT!AR818</f>
        <v>5.501405082474605</v>
      </c>
      <c r="AR51" s="891">
        <f>+INPUT!AS818</f>
        <v>36.673643268868943</v>
      </c>
      <c r="AS51" s="893">
        <f>+INPUT!AT818</f>
        <v>4.4845557696567653</v>
      </c>
      <c r="AT51" s="891">
        <f>+INPUT!AU818</f>
        <v>36.65003982204346</v>
      </c>
      <c r="AU51" s="893">
        <f>+INPUT!AV818</f>
        <v>-0.56072138225168544</v>
      </c>
      <c r="AV51" s="891">
        <f>+INPUT!AW818</f>
        <v>35.363115156801314</v>
      </c>
      <c r="AW51" s="893">
        <f>+INPUT!AX818</f>
        <v>-13.770082876842693</v>
      </c>
      <c r="AX51" s="894"/>
      <c r="AY51" s="891"/>
      <c r="AZ51" s="892"/>
      <c r="BA51" s="891"/>
      <c r="BB51" s="892"/>
      <c r="BC51" s="891"/>
      <c r="BD51" s="892"/>
      <c r="BE51" s="891"/>
      <c r="BF51" s="893"/>
      <c r="BG51" s="891"/>
      <c r="BH51" s="893"/>
      <c r="BI51" s="891"/>
      <c r="BJ51" s="893"/>
      <c r="BK51" s="891"/>
      <c r="BL51" s="893"/>
      <c r="BM51" s="891"/>
      <c r="BN51" s="893"/>
      <c r="BO51" s="891"/>
      <c r="BP51" s="893"/>
      <c r="BQ51" s="891"/>
      <c r="BR51" s="893"/>
      <c r="BS51" s="891">
        <f>+INPUT!BB818</f>
        <v>27.558165864704215</v>
      </c>
      <c r="BT51" s="893" t="str">
        <f>+INPUT!BC818</f>
        <v>NA</v>
      </c>
      <c r="BU51" s="891">
        <f>+INPUT!BD818</f>
        <v>28.338559996349517</v>
      </c>
      <c r="BV51" s="893">
        <f>+INPUT!BE818</f>
        <v>2.8318072235888962</v>
      </c>
      <c r="BW51" s="891">
        <f>+INPUT!BF818</f>
        <v>34.96079056807033</v>
      </c>
      <c r="BX51" s="893">
        <f>+INPUT!BG818</f>
        <v>23.368267733342378</v>
      </c>
      <c r="BY51" s="891">
        <f>+INPUT!BH818</f>
        <v>35.387705656975413</v>
      </c>
      <c r="BZ51" s="893">
        <f>+INPUT!BI818</f>
        <v>1.2211253863777927</v>
      </c>
      <c r="CA51" s="891">
        <f>+INPUT!BJ818</f>
        <v>37.048094481266041</v>
      </c>
      <c r="CB51" s="893">
        <f>+INPUT!BK818</f>
        <v>4.6919934295410997</v>
      </c>
      <c r="CC51" s="891">
        <f>+INPUT!BL818</f>
        <v>36.516587884039467</v>
      </c>
      <c r="CD51" s="893">
        <f>+INPUT!BM818</f>
        <v>-1.4346394994628895</v>
      </c>
      <c r="CE51" s="891">
        <f>+INPUT!BN818</f>
        <v>38.191384355397275</v>
      </c>
      <c r="CF51" s="893">
        <f>+INPUT!BO818</f>
        <v>4.5863991364040402</v>
      </c>
      <c r="CG51" s="891">
        <f>+INPUT!BP818</f>
        <v>40.090095921046583</v>
      </c>
      <c r="CH51" s="893">
        <f>+INPUT!BQ818</f>
        <v>4.9715704148885607</v>
      </c>
      <c r="CI51" s="891">
        <f>+INPUT!BR818</f>
        <v>42.205268168068123</v>
      </c>
      <c r="CJ51" s="893">
        <f>+INPUT!BS818</f>
        <v>5.2760468600203865</v>
      </c>
      <c r="CK51" s="891">
        <f>+INPUT!BT818</f>
        <v>44.509141461572874</v>
      </c>
      <c r="CL51" s="893">
        <f>+INPUT!BU818</f>
        <v>5.4587339294477601</v>
      </c>
      <c r="CM51" s="895">
        <f>+INPUT!BV818</f>
        <v>3.7377127675115807</v>
      </c>
    </row>
    <row r="52" spans="1:91" s="475" customFormat="1" ht="12" customHeight="1" x14ac:dyDescent="0.2">
      <c r="A52" s="481"/>
      <c r="B52" s="521"/>
      <c r="C52" s="522"/>
      <c r="D52" s="479"/>
      <c r="E52" s="474"/>
      <c r="F52" s="479"/>
      <c r="G52" s="474"/>
      <c r="H52" s="479"/>
      <c r="I52" s="474"/>
      <c r="J52" s="479"/>
      <c r="K52" s="474"/>
      <c r="L52" s="479"/>
      <c r="M52" s="474"/>
      <c r="N52" s="479"/>
      <c r="O52" s="474"/>
      <c r="P52" s="479"/>
      <c r="Q52" s="474"/>
      <c r="R52" s="479"/>
      <c r="S52" s="474"/>
      <c r="T52" s="479"/>
      <c r="U52" s="474"/>
      <c r="V52" s="479"/>
      <c r="W52" s="474"/>
      <c r="X52" s="479"/>
      <c r="Y52" s="474"/>
      <c r="Z52" s="479"/>
      <c r="AA52" s="474"/>
      <c r="AB52" s="479"/>
      <c r="AC52" s="474"/>
      <c r="AD52" s="479"/>
      <c r="AE52" s="474"/>
      <c r="AF52" s="479"/>
      <c r="AG52" s="474"/>
      <c r="AH52" s="479"/>
      <c r="AI52" s="474"/>
      <c r="AJ52" s="479"/>
      <c r="AK52" s="474"/>
      <c r="AL52" s="479"/>
      <c r="AM52" s="474"/>
      <c r="AN52" s="479"/>
      <c r="AO52" s="474"/>
      <c r="AP52" s="479"/>
      <c r="AQ52" s="474"/>
      <c r="AR52" s="479"/>
      <c r="AS52" s="474"/>
      <c r="AT52" s="479"/>
      <c r="AU52" s="474"/>
      <c r="AV52" s="479"/>
      <c r="AW52" s="474"/>
      <c r="AX52" s="479"/>
      <c r="AY52" s="479"/>
      <c r="AZ52" s="522"/>
      <c r="BA52" s="479"/>
      <c r="BB52" s="522"/>
      <c r="BC52" s="479"/>
      <c r="BD52" s="522"/>
      <c r="BE52" s="479"/>
      <c r="BF52" s="474"/>
      <c r="BG52" s="479"/>
      <c r="BH52" s="474"/>
      <c r="BI52" s="479"/>
      <c r="BJ52" s="474"/>
      <c r="BK52" s="479"/>
      <c r="BL52" s="474"/>
      <c r="BM52" s="479"/>
      <c r="BN52" s="474"/>
      <c r="BO52" s="479"/>
      <c r="BP52" s="474"/>
      <c r="BQ52" s="479"/>
      <c r="BR52" s="474"/>
      <c r="BS52" s="479"/>
      <c r="BT52" s="474"/>
      <c r="BU52" s="479"/>
      <c r="BV52" s="474"/>
      <c r="BW52" s="479"/>
      <c r="BX52" s="474"/>
      <c r="BY52" s="479"/>
      <c r="BZ52" s="474"/>
      <c r="CA52" s="479"/>
      <c r="CB52" s="474"/>
      <c r="CC52" s="479"/>
      <c r="CD52" s="474"/>
      <c r="CE52" s="479"/>
      <c r="CF52" s="474"/>
      <c r="CG52" s="479"/>
      <c r="CH52" s="474"/>
      <c r="CI52" s="479"/>
      <c r="CJ52" s="474"/>
      <c r="CK52" s="479"/>
      <c r="CL52" s="474"/>
      <c r="CM52" s="522"/>
    </row>
    <row r="53" spans="1:91" s="475" customFormat="1" ht="12" customHeight="1" x14ac:dyDescent="0.2">
      <c r="A53" s="523" t="s">
        <v>309</v>
      </c>
      <c r="B53" s="479"/>
      <c r="C53" s="522"/>
      <c r="D53" s="479"/>
      <c r="E53" s="474"/>
      <c r="F53" s="479"/>
      <c r="G53" s="474"/>
      <c r="H53" s="479"/>
      <c r="I53" s="474"/>
      <c r="J53" s="479"/>
      <c r="K53" s="474"/>
      <c r="L53" s="479"/>
      <c r="M53" s="474"/>
      <c r="N53" s="479"/>
      <c r="O53" s="474"/>
      <c r="P53" s="479"/>
      <c r="Q53" s="474"/>
      <c r="R53" s="479"/>
      <c r="S53" s="474"/>
      <c r="T53" s="479"/>
      <c r="U53" s="474"/>
      <c r="V53" s="479"/>
      <c r="W53" s="474"/>
      <c r="X53" s="479"/>
      <c r="Y53" s="474"/>
      <c r="Z53" s="479"/>
      <c r="AA53" s="474"/>
      <c r="AB53" s="479"/>
      <c r="AC53" s="474"/>
      <c r="AD53" s="479"/>
      <c r="AE53" s="474"/>
      <c r="AF53" s="479"/>
      <c r="AG53" s="474"/>
      <c r="AH53" s="479"/>
      <c r="AI53" s="474"/>
      <c r="AJ53" s="479"/>
      <c r="AK53" s="474"/>
      <c r="AL53" s="479"/>
      <c r="AM53" s="474"/>
      <c r="AN53" s="479"/>
      <c r="AO53" s="474"/>
      <c r="AP53" s="479"/>
      <c r="AQ53" s="474"/>
      <c r="AR53" s="479"/>
      <c r="AS53" s="474"/>
      <c r="AT53" s="479"/>
      <c r="AU53" s="474"/>
      <c r="AV53" s="479"/>
      <c r="AW53" s="474"/>
      <c r="AX53" s="479"/>
      <c r="AY53" s="479"/>
      <c r="AZ53" s="522"/>
      <c r="BA53" s="479"/>
      <c r="BB53" s="522"/>
      <c r="BC53" s="479"/>
      <c r="BD53" s="522"/>
      <c r="BE53" s="479"/>
      <c r="BF53" s="474"/>
      <c r="BG53" s="479"/>
      <c r="BH53" s="474"/>
      <c r="BI53" s="479"/>
      <c r="BJ53" s="474"/>
      <c r="BK53" s="479"/>
      <c r="BL53" s="474"/>
      <c r="BM53" s="479"/>
      <c r="BN53" s="474"/>
      <c r="BO53" s="479"/>
      <c r="BP53" s="474"/>
      <c r="BQ53" s="479"/>
      <c r="BR53" s="474"/>
      <c r="BS53" s="479"/>
      <c r="BT53" s="474"/>
      <c r="BU53" s="479"/>
      <c r="BV53" s="474"/>
      <c r="BW53" s="479"/>
      <c r="BX53" s="474"/>
      <c r="BY53" s="479"/>
      <c r="BZ53" s="474"/>
      <c r="CA53" s="479"/>
      <c r="CB53" s="474"/>
      <c r="CC53" s="479"/>
      <c r="CD53" s="474"/>
      <c r="CE53" s="479"/>
      <c r="CF53" s="474"/>
      <c r="CG53" s="479"/>
      <c r="CH53" s="474"/>
      <c r="CI53" s="479"/>
      <c r="CJ53" s="474"/>
      <c r="CK53" s="479"/>
      <c r="CL53" s="474"/>
      <c r="CM53" s="522"/>
    </row>
    <row r="54" spans="1:91" s="475" customFormat="1" ht="12" customHeight="1" x14ac:dyDescent="0.2">
      <c r="A54" s="523" t="s">
        <v>310</v>
      </c>
      <c r="B54" s="479"/>
      <c r="C54" s="520"/>
      <c r="D54" s="479"/>
      <c r="E54" s="478"/>
      <c r="F54" s="479"/>
      <c r="G54" s="478"/>
      <c r="H54" s="479"/>
      <c r="I54" s="478"/>
      <c r="J54" s="479"/>
      <c r="K54" s="478"/>
      <c r="L54" s="479"/>
      <c r="M54" s="478"/>
      <c r="N54" s="479"/>
      <c r="O54" s="478"/>
      <c r="P54" s="479"/>
      <c r="Q54" s="478"/>
      <c r="R54" s="479"/>
      <c r="S54" s="478"/>
      <c r="T54" s="479"/>
      <c r="U54" s="478"/>
      <c r="V54" s="479"/>
      <c r="W54" s="478"/>
      <c r="X54" s="479"/>
      <c r="Y54" s="478"/>
      <c r="Z54" s="479"/>
      <c r="AA54" s="478"/>
      <c r="AB54" s="479"/>
      <c r="AC54" s="478"/>
      <c r="AD54" s="479"/>
      <c r="AE54" s="478"/>
      <c r="AF54" s="479"/>
      <c r="AG54" s="478"/>
      <c r="AH54" s="479"/>
      <c r="AI54" s="478"/>
      <c r="AJ54" s="479"/>
      <c r="AK54" s="478"/>
      <c r="AL54" s="479"/>
      <c r="AM54" s="478"/>
      <c r="AN54" s="479"/>
      <c r="AO54" s="478"/>
      <c r="AP54" s="479"/>
      <c r="AQ54" s="478"/>
      <c r="AR54" s="479"/>
      <c r="AS54" s="478"/>
      <c r="AT54" s="479"/>
      <c r="AU54" s="478"/>
      <c r="AV54" s="479"/>
      <c r="AW54" s="478"/>
      <c r="AX54" s="479"/>
      <c r="AY54" s="479"/>
      <c r="AZ54" s="520"/>
      <c r="BA54" s="479"/>
      <c r="BB54" s="520"/>
      <c r="BC54" s="479"/>
      <c r="BD54" s="520"/>
      <c r="BE54" s="479"/>
      <c r="BF54" s="478"/>
      <c r="BG54" s="479"/>
      <c r="BH54" s="478"/>
      <c r="BI54" s="479"/>
      <c r="BJ54" s="478"/>
      <c r="BK54" s="479"/>
      <c r="BL54" s="478"/>
      <c r="BM54" s="479"/>
      <c r="BN54" s="478"/>
      <c r="BO54" s="479"/>
      <c r="BP54" s="478"/>
      <c r="BQ54" s="479"/>
      <c r="BR54" s="478"/>
      <c r="BS54" s="479"/>
      <c r="BT54" s="478"/>
      <c r="BU54" s="479"/>
      <c r="BV54" s="478"/>
      <c r="BW54" s="479"/>
      <c r="BX54" s="478"/>
      <c r="BY54" s="479"/>
      <c r="BZ54" s="478"/>
      <c r="CA54" s="479"/>
      <c r="CB54" s="478"/>
      <c r="CC54" s="479"/>
      <c r="CD54" s="478"/>
      <c r="CE54" s="479"/>
      <c r="CF54" s="478"/>
      <c r="CG54" s="479"/>
      <c r="CH54" s="478"/>
      <c r="CI54" s="479"/>
      <c r="CJ54" s="478"/>
      <c r="CK54" s="479"/>
      <c r="CL54" s="478"/>
      <c r="CM54" s="520"/>
    </row>
    <row r="55" spans="1:91" s="475" customFormat="1" ht="12" customHeight="1" x14ac:dyDescent="0.2">
      <c r="A55" s="489"/>
      <c r="B55" s="524"/>
      <c r="C55" s="522"/>
      <c r="D55" s="524"/>
      <c r="E55" s="474"/>
      <c r="F55" s="524"/>
      <c r="G55" s="474"/>
      <c r="H55" s="524"/>
      <c r="I55" s="474"/>
      <c r="J55" s="524"/>
      <c r="K55" s="474"/>
      <c r="L55" s="524"/>
      <c r="M55" s="474"/>
      <c r="N55" s="524"/>
      <c r="O55" s="474"/>
      <c r="P55" s="524"/>
      <c r="Q55" s="474"/>
      <c r="R55" s="524"/>
      <c r="S55" s="474"/>
      <c r="T55" s="524"/>
      <c r="U55" s="474"/>
      <c r="V55" s="524"/>
      <c r="W55" s="474"/>
      <c r="X55" s="524"/>
      <c r="Y55" s="474"/>
      <c r="Z55" s="524"/>
      <c r="AA55" s="474"/>
      <c r="AB55" s="524"/>
      <c r="AC55" s="474"/>
      <c r="AD55" s="524"/>
      <c r="AE55" s="474"/>
      <c r="AF55" s="524"/>
      <c r="AG55" s="474"/>
      <c r="AH55" s="524"/>
      <c r="AI55" s="474"/>
      <c r="AJ55" s="524"/>
      <c r="AK55" s="474"/>
      <c r="AL55" s="524"/>
      <c r="AM55" s="474"/>
      <c r="AN55" s="524"/>
      <c r="AO55" s="474"/>
      <c r="AP55" s="524"/>
      <c r="AQ55" s="474"/>
      <c r="AR55" s="524"/>
      <c r="AS55" s="474"/>
      <c r="AT55" s="524"/>
      <c r="AU55" s="474"/>
      <c r="AV55" s="524"/>
      <c r="AW55" s="474"/>
      <c r="AX55" s="490"/>
      <c r="AY55" s="524"/>
      <c r="AZ55" s="522"/>
      <c r="BA55" s="524"/>
      <c r="BB55" s="522"/>
      <c r="BC55" s="524"/>
      <c r="BD55" s="522"/>
      <c r="BE55" s="524"/>
      <c r="BF55" s="474"/>
      <c r="BG55" s="524"/>
      <c r="BH55" s="474"/>
      <c r="BI55" s="524"/>
      <c r="BJ55" s="474"/>
      <c r="BK55" s="524"/>
      <c r="BL55" s="474"/>
      <c r="BM55" s="524"/>
      <c r="BN55" s="474"/>
      <c r="BO55" s="524"/>
      <c r="BP55" s="474"/>
      <c r="BQ55" s="524"/>
      <c r="BR55" s="474"/>
      <c r="BS55" s="524"/>
      <c r="BT55" s="474"/>
      <c r="BU55" s="524"/>
      <c r="BV55" s="474"/>
      <c r="BW55" s="524"/>
      <c r="BX55" s="474"/>
      <c r="BY55" s="524"/>
      <c r="BZ55" s="474"/>
      <c r="CA55" s="524"/>
      <c r="CB55" s="474"/>
      <c r="CC55" s="524"/>
      <c r="CD55" s="474"/>
      <c r="CE55" s="524"/>
      <c r="CF55" s="474"/>
      <c r="CG55" s="524"/>
      <c r="CH55" s="474"/>
      <c r="CI55" s="524"/>
      <c r="CJ55" s="474"/>
      <c r="CK55" s="524"/>
      <c r="CL55" s="474"/>
      <c r="CM55" s="522"/>
    </row>
    <row r="56" spans="1:91" s="475" customFormat="1" ht="19.5" customHeight="1" x14ac:dyDescent="0.25">
      <c r="A56" s="472" t="str">
        <f>+A1</f>
        <v>Principal Financial Group</v>
      </c>
      <c r="B56" s="473"/>
      <c r="C56" s="474"/>
      <c r="D56" s="473"/>
      <c r="E56" s="474"/>
      <c r="F56" s="473"/>
      <c r="G56" s="474"/>
      <c r="H56" s="473"/>
      <c r="I56" s="474"/>
      <c r="J56" s="473"/>
      <c r="K56" s="474"/>
      <c r="L56" s="473"/>
      <c r="M56" s="474"/>
      <c r="N56" s="473"/>
      <c r="O56" s="474"/>
      <c r="P56" s="473"/>
      <c r="Q56" s="474"/>
      <c r="R56" s="473"/>
      <c r="S56" s="474"/>
      <c r="T56" s="473"/>
      <c r="U56" s="474"/>
      <c r="V56" s="473"/>
      <c r="W56" s="474"/>
      <c r="X56" s="473"/>
      <c r="Y56" s="474"/>
      <c r="Z56" s="473"/>
      <c r="AA56" s="474"/>
      <c r="AB56" s="473"/>
      <c r="AC56" s="474"/>
      <c r="AD56" s="473"/>
      <c r="AE56" s="474"/>
      <c r="AF56" s="473"/>
      <c r="AG56" s="474"/>
      <c r="AH56" s="473"/>
      <c r="AI56" s="474"/>
      <c r="AJ56" s="473"/>
      <c r="AK56" s="474"/>
      <c r="AL56" s="473"/>
      <c r="AM56" s="474"/>
      <c r="AN56" s="473"/>
      <c r="AO56" s="474"/>
      <c r="AP56" s="473"/>
      <c r="AQ56" s="474"/>
      <c r="AR56" s="473"/>
      <c r="AS56" s="474"/>
      <c r="AT56" s="473"/>
      <c r="AU56" s="474"/>
      <c r="AV56" s="473"/>
      <c r="AW56" s="474"/>
      <c r="AX56" s="474"/>
      <c r="AY56" s="473"/>
      <c r="AZ56" s="474"/>
      <c r="BA56" s="473"/>
      <c r="BB56" s="474"/>
      <c r="BC56" s="473"/>
      <c r="BD56" s="474"/>
      <c r="BE56" s="473"/>
      <c r="BF56" s="474"/>
      <c r="BG56" s="473"/>
      <c r="BH56" s="474"/>
      <c r="BI56" s="473"/>
      <c r="BJ56" s="474"/>
      <c r="BK56" s="473"/>
      <c r="BL56" s="474"/>
      <c r="BM56" s="473"/>
      <c r="BN56" s="474"/>
      <c r="BO56" s="473"/>
      <c r="BP56" s="474"/>
      <c r="BQ56" s="473"/>
      <c r="BR56" s="474"/>
      <c r="BS56" s="473"/>
      <c r="BT56" s="474"/>
      <c r="BU56" s="473"/>
      <c r="BV56" s="474"/>
      <c r="BW56" s="473"/>
      <c r="BX56" s="474"/>
      <c r="BY56" s="473"/>
      <c r="BZ56" s="474"/>
      <c r="CA56" s="473"/>
      <c r="CB56" s="474"/>
      <c r="CC56" s="473"/>
      <c r="CD56" s="474"/>
      <c r="CE56" s="473"/>
      <c r="CF56" s="474"/>
      <c r="CG56" s="473"/>
      <c r="CH56" s="474"/>
      <c r="CI56" s="473"/>
      <c r="CJ56" s="474"/>
      <c r="CK56" s="473"/>
      <c r="CL56" s="474"/>
      <c r="CM56" s="474"/>
    </row>
    <row r="57" spans="1:91" s="475" customFormat="1" ht="12" customHeight="1" x14ac:dyDescent="0.2">
      <c r="A57" s="476" t="s">
        <v>313</v>
      </c>
      <c r="B57" s="477"/>
      <c r="C57" s="478"/>
      <c r="D57" s="477"/>
      <c r="E57" s="478"/>
      <c r="F57" s="477"/>
      <c r="G57" s="478"/>
      <c r="H57" s="477"/>
      <c r="I57" s="478"/>
      <c r="J57" s="477"/>
      <c r="K57" s="478"/>
      <c r="L57" s="477"/>
      <c r="M57" s="478"/>
      <c r="N57" s="477"/>
      <c r="O57" s="478"/>
      <c r="P57" s="477"/>
      <c r="Q57" s="478"/>
      <c r="R57" s="477"/>
      <c r="S57" s="478"/>
      <c r="T57" s="477"/>
      <c r="U57" s="478"/>
      <c r="V57" s="477"/>
      <c r="W57" s="478"/>
      <c r="X57" s="477"/>
      <c r="Y57" s="478"/>
      <c r="Z57" s="477"/>
      <c r="AA57" s="478"/>
      <c r="AB57" s="477"/>
      <c r="AC57" s="478"/>
      <c r="AD57" s="477"/>
      <c r="AE57" s="478"/>
      <c r="AF57" s="477"/>
      <c r="AG57" s="478"/>
      <c r="AH57" s="477"/>
      <c r="AI57" s="478"/>
      <c r="AJ57" s="477"/>
      <c r="AK57" s="478"/>
      <c r="AL57" s="477"/>
      <c r="AM57" s="478"/>
      <c r="AN57" s="477"/>
      <c r="AO57" s="478"/>
      <c r="AP57" s="477"/>
      <c r="AQ57" s="478"/>
      <c r="AR57" s="477"/>
      <c r="AS57" s="478"/>
      <c r="AT57" s="477"/>
      <c r="AU57" s="478"/>
      <c r="AV57" s="477"/>
      <c r="AW57" s="478"/>
      <c r="AX57" s="478"/>
      <c r="AY57" s="477"/>
      <c r="AZ57" s="478"/>
      <c r="BA57" s="477"/>
      <c r="BB57" s="478"/>
      <c r="BC57" s="477"/>
      <c r="BD57" s="478"/>
      <c r="BE57" s="477"/>
      <c r="BF57" s="478"/>
      <c r="BG57" s="477"/>
      <c r="BH57" s="478"/>
      <c r="BI57" s="477"/>
      <c r="BJ57" s="478"/>
      <c r="BK57" s="477"/>
      <c r="BL57" s="478"/>
      <c r="BM57" s="477"/>
      <c r="BN57" s="478"/>
      <c r="BO57" s="477"/>
      <c r="BP57" s="478"/>
      <c r="BQ57" s="477"/>
      <c r="BR57" s="478"/>
      <c r="BS57" s="477"/>
      <c r="BT57" s="478"/>
      <c r="BU57" s="477"/>
      <c r="BV57" s="478"/>
      <c r="BW57" s="477"/>
      <c r="BX57" s="478"/>
      <c r="BY57" s="477"/>
      <c r="BZ57" s="478"/>
      <c r="CA57" s="477"/>
      <c r="CB57" s="478"/>
      <c r="CC57" s="477"/>
      <c r="CD57" s="478"/>
      <c r="CE57" s="477"/>
      <c r="CF57" s="478"/>
      <c r="CG57" s="477"/>
      <c r="CH57" s="478"/>
      <c r="CI57" s="477"/>
      <c r="CJ57" s="478"/>
      <c r="CK57" s="477"/>
      <c r="CL57" s="478"/>
      <c r="CM57" s="478"/>
    </row>
    <row r="58" spans="1:91" s="480" customFormat="1" ht="12" customHeight="1" x14ac:dyDescent="0.2">
      <c r="A58" s="861" t="s">
        <v>243</v>
      </c>
      <c r="B58" s="862"/>
      <c r="C58" s="863" t="str">
        <f>INPUT!D$4</f>
        <v>1Q13/</v>
      </c>
      <c r="D58" s="862"/>
      <c r="E58" s="863" t="str">
        <f>INPUT!F$4</f>
        <v>2Q13/</v>
      </c>
      <c r="F58" s="862"/>
      <c r="G58" s="863" t="str">
        <f>INPUT!H$4</f>
        <v>3Q13/</v>
      </c>
      <c r="H58" s="862"/>
      <c r="I58" s="863" t="str">
        <f>INPUT!J$4</f>
        <v>4Q13/</v>
      </c>
      <c r="J58" s="862"/>
      <c r="K58" s="863" t="str">
        <f>INPUT!L$4</f>
        <v>1Q14/</v>
      </c>
      <c r="L58" s="862"/>
      <c r="M58" s="863" t="str">
        <f>INPUT!N$4</f>
        <v>2Q14/</v>
      </c>
      <c r="N58" s="862"/>
      <c r="O58" s="863" t="str">
        <f>INPUT!P$4</f>
        <v>3Q14/</v>
      </c>
      <c r="P58" s="862"/>
      <c r="Q58" s="863" t="str">
        <f>INPUT!R$4</f>
        <v>4Q14/</v>
      </c>
      <c r="R58" s="862"/>
      <c r="S58" s="863" t="str">
        <f>INPUT!T$4</f>
        <v>1Q15/</v>
      </c>
      <c r="T58" s="862"/>
      <c r="U58" s="863" t="str">
        <f>INPUT!V$4</f>
        <v>2Q15/</v>
      </c>
      <c r="V58" s="862"/>
      <c r="W58" s="863" t="str">
        <f>INPUT!X$4</f>
        <v>3Q15/</v>
      </c>
      <c r="X58" s="862"/>
      <c r="Y58" s="863" t="str">
        <f>INPUT!Z$4</f>
        <v>4Q15/</v>
      </c>
      <c r="Z58" s="862"/>
      <c r="AA58" s="863" t="str">
        <f>INPUT!AB$4</f>
        <v>1Q16/</v>
      </c>
      <c r="AB58" s="862"/>
      <c r="AC58" s="863" t="str">
        <f>INPUT!AD$4</f>
        <v>2Q16/</v>
      </c>
      <c r="AD58" s="862"/>
      <c r="AE58" s="863" t="str">
        <f>INPUT!AF$4</f>
        <v>3Q16/</v>
      </c>
      <c r="AF58" s="862"/>
      <c r="AG58" s="863" t="str">
        <f>INPUT!AH$4</f>
        <v>4Q16/</v>
      </c>
      <c r="AH58" s="862"/>
      <c r="AI58" s="863" t="str">
        <f>INPUT!AJ$4</f>
        <v>1Q17/</v>
      </c>
      <c r="AJ58" s="862"/>
      <c r="AK58" s="863" t="str">
        <f>INPUT!AL$4</f>
        <v>2Q17/</v>
      </c>
      <c r="AL58" s="862"/>
      <c r="AM58" s="863" t="str">
        <f>INPUT!AN$4</f>
        <v>3Q17/</v>
      </c>
      <c r="AN58" s="862"/>
      <c r="AO58" s="863" t="str">
        <f>INPUT!AP$4</f>
        <v>4Q17/</v>
      </c>
      <c r="AP58" s="862"/>
      <c r="AQ58" s="863" t="str">
        <f>INPUT!AR$4</f>
        <v>1Q18E/</v>
      </c>
      <c r="AR58" s="862"/>
      <c r="AS58" s="863" t="str">
        <f>INPUT!AT$4</f>
        <v>2Q18E/</v>
      </c>
      <c r="AT58" s="862"/>
      <c r="AU58" s="863" t="str">
        <f>INPUT!AV$4</f>
        <v>3Q18E/</v>
      </c>
      <c r="AV58" s="862"/>
      <c r="AW58" s="863" t="str">
        <f>INPUT!AX$4</f>
        <v>4Q18E/</v>
      </c>
      <c r="AX58" s="862"/>
      <c r="AY58" s="862"/>
      <c r="AZ58" s="863"/>
      <c r="BA58" s="862"/>
      <c r="BB58" s="863"/>
      <c r="BC58" s="862"/>
      <c r="BD58" s="863"/>
      <c r="BE58" s="862"/>
      <c r="BF58" s="863"/>
      <c r="BG58" s="862"/>
      <c r="BH58" s="863"/>
      <c r="BI58" s="862"/>
      <c r="BJ58" s="863"/>
      <c r="BK58" s="862"/>
      <c r="BL58" s="863"/>
      <c r="BM58" s="862"/>
      <c r="BN58" s="863"/>
      <c r="BO58" s="862"/>
      <c r="BP58" s="863"/>
      <c r="BQ58" s="862"/>
      <c r="BR58" s="863"/>
      <c r="BS58" s="862"/>
      <c r="BT58" s="863" t="str">
        <f>INPUT!BC$4</f>
        <v>2013/</v>
      </c>
      <c r="BU58" s="862"/>
      <c r="BV58" s="863" t="str">
        <f>INPUT!BE$4</f>
        <v>2014/</v>
      </c>
      <c r="BW58" s="862"/>
      <c r="BX58" s="863" t="str">
        <f>INPUT!BG$4</f>
        <v>2015/</v>
      </c>
      <c r="BY58" s="862"/>
      <c r="BZ58" s="863" t="str">
        <f>INPUT!BI$4</f>
        <v>2016/</v>
      </c>
      <c r="CA58" s="862"/>
      <c r="CB58" s="863" t="str">
        <f>INPUT!BK$4</f>
        <v>2017/</v>
      </c>
      <c r="CC58" s="862"/>
      <c r="CD58" s="863" t="str">
        <f>INPUT!BM$4</f>
        <v>2018E/</v>
      </c>
      <c r="CE58" s="862"/>
      <c r="CF58" s="863" t="str">
        <f>INPUT!BO$4</f>
        <v>2019E/</v>
      </c>
      <c r="CG58" s="862"/>
      <c r="CH58" s="863" t="str">
        <f>INPUT!BQ$4</f>
        <v>2020E/</v>
      </c>
      <c r="CI58" s="862"/>
      <c r="CJ58" s="863" t="str">
        <f>INPUT!BS$4</f>
        <v>2021E/</v>
      </c>
      <c r="CK58" s="862"/>
      <c r="CL58" s="863" t="str">
        <f>INPUT!BU$4</f>
        <v>2022E/</v>
      </c>
      <c r="CM58" s="864" t="str">
        <f>INPUT!BV$4</f>
        <v>5-Yr</v>
      </c>
    </row>
    <row r="59" spans="1:91" s="480" customFormat="1" ht="12" customHeight="1" x14ac:dyDescent="0.2">
      <c r="A59" s="865"/>
      <c r="B59" s="479"/>
      <c r="C59" s="478">
        <f>INPUT!D$5</f>
        <v>0</v>
      </c>
      <c r="D59" s="479"/>
      <c r="E59" s="478">
        <f>INPUT!F$5</f>
        <v>0</v>
      </c>
      <c r="F59" s="479"/>
      <c r="G59" s="478">
        <f>INPUT!H$5</f>
        <v>0</v>
      </c>
      <c r="H59" s="479"/>
      <c r="I59" s="478">
        <f>INPUT!J$5</f>
        <v>0</v>
      </c>
      <c r="J59" s="479"/>
      <c r="K59" s="478" t="str">
        <f>INPUT!L$5</f>
        <v>1Q13</v>
      </c>
      <c r="L59" s="479"/>
      <c r="M59" s="478" t="str">
        <f>INPUT!N$5</f>
        <v>2Q13</v>
      </c>
      <c r="N59" s="479"/>
      <c r="O59" s="478" t="str">
        <f>INPUT!P$5</f>
        <v>3Q13</v>
      </c>
      <c r="P59" s="479"/>
      <c r="Q59" s="478" t="str">
        <f>INPUT!R$5</f>
        <v>4Q13</v>
      </c>
      <c r="R59" s="479"/>
      <c r="S59" s="478" t="str">
        <f>INPUT!T$5</f>
        <v>1Q14</v>
      </c>
      <c r="T59" s="479"/>
      <c r="U59" s="478" t="str">
        <f>INPUT!V$5</f>
        <v>2Q14</v>
      </c>
      <c r="V59" s="479"/>
      <c r="W59" s="478" t="str">
        <f>INPUT!X$5</f>
        <v>3Q14</v>
      </c>
      <c r="X59" s="479"/>
      <c r="Y59" s="478" t="str">
        <f>INPUT!Z$5</f>
        <v>4Q14</v>
      </c>
      <c r="Z59" s="479"/>
      <c r="AA59" s="478" t="str">
        <f>INPUT!AB$5</f>
        <v>1Q15</v>
      </c>
      <c r="AB59" s="479"/>
      <c r="AC59" s="478" t="str">
        <f>INPUT!AD$5</f>
        <v>2Q15</v>
      </c>
      <c r="AD59" s="479"/>
      <c r="AE59" s="478" t="str">
        <f>INPUT!AF$5</f>
        <v>3Q15</v>
      </c>
      <c r="AF59" s="479"/>
      <c r="AG59" s="478" t="str">
        <f>INPUT!AH$5</f>
        <v>4Q15</v>
      </c>
      <c r="AH59" s="479"/>
      <c r="AI59" s="478" t="str">
        <f>INPUT!AJ$5</f>
        <v>1Q16</v>
      </c>
      <c r="AJ59" s="479"/>
      <c r="AK59" s="478" t="str">
        <f>INPUT!AL$5</f>
        <v>2Q16</v>
      </c>
      <c r="AL59" s="479"/>
      <c r="AM59" s="478" t="str">
        <f>INPUT!AN$5</f>
        <v>3Q16</v>
      </c>
      <c r="AN59" s="479"/>
      <c r="AO59" s="478" t="str">
        <f>INPUT!AP$5</f>
        <v>4Q16</v>
      </c>
      <c r="AP59" s="479"/>
      <c r="AQ59" s="478" t="str">
        <f>INPUT!AR$5</f>
        <v>1Q17</v>
      </c>
      <c r="AR59" s="479"/>
      <c r="AS59" s="478" t="str">
        <f>INPUT!AT$5</f>
        <v>2Q17</v>
      </c>
      <c r="AT59" s="479"/>
      <c r="AU59" s="478" t="str">
        <f>INPUT!AV$5</f>
        <v>3Q17</v>
      </c>
      <c r="AV59" s="479"/>
      <c r="AW59" s="478" t="str">
        <f>INPUT!AX$5</f>
        <v>4Q17</v>
      </c>
      <c r="AX59" s="479"/>
      <c r="AY59" s="479"/>
      <c r="AZ59" s="478"/>
      <c r="BA59" s="482"/>
      <c r="BB59" s="478"/>
      <c r="BC59" s="479"/>
      <c r="BD59" s="478"/>
      <c r="BE59" s="479"/>
      <c r="BF59" s="478"/>
      <c r="BG59" s="479"/>
      <c r="BH59" s="478"/>
      <c r="BI59" s="479"/>
      <c r="BJ59" s="478"/>
      <c r="BK59" s="479"/>
      <c r="BL59" s="478"/>
      <c r="BM59" s="479"/>
      <c r="BN59" s="478"/>
      <c r="BO59" s="479"/>
      <c r="BP59" s="478"/>
      <c r="BQ59" s="479"/>
      <c r="BR59" s="478"/>
      <c r="BS59" s="479"/>
      <c r="BT59" s="478">
        <f>INPUT!BC$5</f>
        <v>0</v>
      </c>
      <c r="BU59" s="479"/>
      <c r="BV59" s="478" t="str">
        <f>INPUT!BE$5</f>
        <v>2013</v>
      </c>
      <c r="BW59" s="479"/>
      <c r="BX59" s="478" t="str">
        <f>INPUT!BG$5</f>
        <v>2014</v>
      </c>
      <c r="BY59" s="479"/>
      <c r="BZ59" s="478" t="str">
        <f>INPUT!BI$5</f>
        <v>2015</v>
      </c>
      <c r="CA59" s="479"/>
      <c r="CB59" s="478" t="str">
        <f>INPUT!BK$5</f>
        <v>2016</v>
      </c>
      <c r="CC59" s="479"/>
      <c r="CD59" s="478" t="str">
        <f>INPUT!BM$5</f>
        <v>2017</v>
      </c>
      <c r="CE59" s="479"/>
      <c r="CF59" s="478" t="str">
        <f>INPUT!BO$5</f>
        <v>2018E</v>
      </c>
      <c r="CG59" s="479"/>
      <c r="CH59" s="478" t="str">
        <f>INPUT!BQ$5</f>
        <v>2019E</v>
      </c>
      <c r="CI59" s="479"/>
      <c r="CJ59" s="478" t="str">
        <f>INPUT!BS$5</f>
        <v>2020E</v>
      </c>
      <c r="CK59" s="479"/>
      <c r="CL59" s="478" t="str">
        <f>INPUT!BU$5</f>
        <v>2021E</v>
      </c>
      <c r="CM59" s="866" t="str">
        <f>INPUT!BV$5</f>
        <v>CAGR</v>
      </c>
    </row>
    <row r="60" spans="1:91" s="480" customFormat="1" ht="12" customHeight="1" x14ac:dyDescent="0.2">
      <c r="A60" s="867"/>
      <c r="B60" s="484" t="str">
        <f>INPUT!C$6</f>
        <v>1Q13</v>
      </c>
      <c r="C60" s="485" t="str">
        <f>INPUT!D$6</f>
        <v>% Chg</v>
      </c>
      <c r="D60" s="484" t="str">
        <f>INPUT!E$6</f>
        <v>2Q13</v>
      </c>
      <c r="E60" s="485" t="str">
        <f>INPUT!F$6</f>
        <v>% Chg</v>
      </c>
      <c r="F60" s="484" t="str">
        <f>INPUT!G$6</f>
        <v>3Q13</v>
      </c>
      <c r="G60" s="485" t="str">
        <f>INPUT!H$6</f>
        <v>% Chg</v>
      </c>
      <c r="H60" s="484" t="str">
        <f>INPUT!I$6</f>
        <v>4Q13</v>
      </c>
      <c r="I60" s="485" t="str">
        <f>INPUT!J$6</f>
        <v>% Chg</v>
      </c>
      <c r="J60" s="484" t="str">
        <f>INPUT!K$6</f>
        <v>1Q14</v>
      </c>
      <c r="K60" s="485" t="str">
        <f>INPUT!L$6</f>
        <v>% Chg</v>
      </c>
      <c r="L60" s="484" t="str">
        <f>INPUT!M$6</f>
        <v>2Q14</v>
      </c>
      <c r="M60" s="485" t="str">
        <f>INPUT!N$6</f>
        <v>% Chg</v>
      </c>
      <c r="N60" s="484" t="str">
        <f>INPUT!O$6</f>
        <v>3Q14</v>
      </c>
      <c r="O60" s="485" t="str">
        <f>INPUT!P$6</f>
        <v>% Chg</v>
      </c>
      <c r="P60" s="484" t="str">
        <f>INPUT!Q$6</f>
        <v>4Q14</v>
      </c>
      <c r="Q60" s="485" t="str">
        <f>INPUT!R$6</f>
        <v>% Chg</v>
      </c>
      <c r="R60" s="484" t="str">
        <f>INPUT!S$6</f>
        <v>1Q15</v>
      </c>
      <c r="S60" s="485" t="str">
        <f>INPUT!T$6</f>
        <v>% Chg</v>
      </c>
      <c r="T60" s="484" t="str">
        <f>INPUT!U$6</f>
        <v>2Q15</v>
      </c>
      <c r="U60" s="485" t="str">
        <f>INPUT!V$6</f>
        <v>% Chg</v>
      </c>
      <c r="V60" s="484" t="str">
        <f>INPUT!W$6</f>
        <v>3Q15</v>
      </c>
      <c r="W60" s="485" t="str">
        <f>INPUT!X$6</f>
        <v>% Chg</v>
      </c>
      <c r="X60" s="484" t="str">
        <f>INPUT!Y$6</f>
        <v>4Q15</v>
      </c>
      <c r="Y60" s="485" t="str">
        <f>INPUT!Z$6</f>
        <v>% Chg</v>
      </c>
      <c r="Z60" s="484" t="str">
        <f>INPUT!AA$6</f>
        <v>1Q16</v>
      </c>
      <c r="AA60" s="485" t="str">
        <f>INPUT!AB$6</f>
        <v>% Chg</v>
      </c>
      <c r="AB60" s="484" t="str">
        <f>INPUT!AC$6</f>
        <v>2Q16</v>
      </c>
      <c r="AC60" s="485" t="str">
        <f>INPUT!AD$6</f>
        <v>% Chg</v>
      </c>
      <c r="AD60" s="484" t="str">
        <f>INPUT!AE$6</f>
        <v>3Q16</v>
      </c>
      <c r="AE60" s="485" t="str">
        <f>INPUT!AF$6</f>
        <v>% Chg</v>
      </c>
      <c r="AF60" s="484" t="str">
        <f>INPUT!AG$6</f>
        <v>4Q16</v>
      </c>
      <c r="AG60" s="485" t="str">
        <f>INPUT!AH$6</f>
        <v>% Chg</v>
      </c>
      <c r="AH60" s="484" t="str">
        <f>INPUT!AI$6</f>
        <v>1Q17</v>
      </c>
      <c r="AI60" s="485" t="str">
        <f>INPUT!AJ$6</f>
        <v>% Chg</v>
      </c>
      <c r="AJ60" s="484" t="str">
        <f>INPUT!AK$6</f>
        <v>2Q17</v>
      </c>
      <c r="AK60" s="485" t="str">
        <f>INPUT!AL$6</f>
        <v>% Chg</v>
      </c>
      <c r="AL60" s="484" t="str">
        <f>INPUT!AM$6</f>
        <v>3Q17</v>
      </c>
      <c r="AM60" s="485" t="str">
        <f>INPUT!AN$6</f>
        <v>% Chg</v>
      </c>
      <c r="AN60" s="484" t="str">
        <f>INPUT!AO$6</f>
        <v>4Q17</v>
      </c>
      <c r="AO60" s="485" t="str">
        <f>INPUT!AP$6</f>
        <v>% Chg</v>
      </c>
      <c r="AP60" s="484" t="str">
        <f>INPUT!AQ$6</f>
        <v>1Q18E</v>
      </c>
      <c r="AQ60" s="485" t="str">
        <f>INPUT!AR$6</f>
        <v>% Chg</v>
      </c>
      <c r="AR60" s="484" t="str">
        <f>INPUT!AS$6</f>
        <v>2Q18E</v>
      </c>
      <c r="AS60" s="485" t="str">
        <f>INPUT!AT$6</f>
        <v>% Chg</v>
      </c>
      <c r="AT60" s="484" t="str">
        <f>INPUT!AU$6</f>
        <v>3Q18E</v>
      </c>
      <c r="AU60" s="485" t="str">
        <f>INPUT!AV$6</f>
        <v>% Chg</v>
      </c>
      <c r="AV60" s="484" t="str">
        <f>INPUT!AW$6</f>
        <v>4Q18E</v>
      </c>
      <c r="AW60" s="485" t="str">
        <f>INPUT!AX$6</f>
        <v>% Chg</v>
      </c>
      <c r="AX60" s="484"/>
      <c r="AY60" s="486"/>
      <c r="AZ60" s="485"/>
      <c r="BA60" s="486"/>
      <c r="BB60" s="485"/>
      <c r="BC60" s="486"/>
      <c r="BD60" s="485"/>
      <c r="BE60" s="487"/>
      <c r="BF60" s="485"/>
      <c r="BG60" s="487"/>
      <c r="BH60" s="485"/>
      <c r="BI60" s="487"/>
      <c r="BJ60" s="485"/>
      <c r="BK60" s="487"/>
      <c r="BL60" s="485"/>
      <c r="BM60" s="484"/>
      <c r="BN60" s="485"/>
      <c r="BO60" s="484"/>
      <c r="BP60" s="485"/>
      <c r="BQ60" s="484"/>
      <c r="BR60" s="485"/>
      <c r="BS60" s="484" t="str">
        <f>INPUT!BB$6</f>
        <v>2013</v>
      </c>
      <c r="BT60" s="485" t="str">
        <f>INPUT!BC$6</f>
        <v>% Chg</v>
      </c>
      <c r="BU60" s="484" t="str">
        <f>INPUT!BD$6</f>
        <v>2014</v>
      </c>
      <c r="BV60" s="485" t="str">
        <f>INPUT!BE$6</f>
        <v>% Chg</v>
      </c>
      <c r="BW60" s="484" t="str">
        <f>INPUT!BF$6</f>
        <v>2015</v>
      </c>
      <c r="BX60" s="485" t="str">
        <f>INPUT!BG$6</f>
        <v>% Chg</v>
      </c>
      <c r="BY60" s="484" t="str">
        <f>INPUT!BH$6</f>
        <v>2016</v>
      </c>
      <c r="BZ60" s="485" t="str">
        <f>INPUT!BI$6</f>
        <v>% Chg</v>
      </c>
      <c r="CA60" s="484" t="str">
        <f>INPUT!BJ$6</f>
        <v>2017</v>
      </c>
      <c r="CB60" s="485" t="str">
        <f>INPUT!BK$6</f>
        <v>% Chg</v>
      </c>
      <c r="CC60" s="484" t="str">
        <f>INPUT!BL$6</f>
        <v>2018E</v>
      </c>
      <c r="CD60" s="485" t="str">
        <f>INPUT!BM$6</f>
        <v>% Chg</v>
      </c>
      <c r="CE60" s="484" t="str">
        <f>INPUT!BN$6</f>
        <v>2019E</v>
      </c>
      <c r="CF60" s="485" t="str">
        <f>INPUT!BO$6</f>
        <v>% Chg</v>
      </c>
      <c r="CG60" s="484" t="str">
        <f>INPUT!BP$6</f>
        <v>2020E</v>
      </c>
      <c r="CH60" s="485" t="str">
        <f>INPUT!BQ$6</f>
        <v>% Chg</v>
      </c>
      <c r="CI60" s="484" t="str">
        <f>INPUT!BR$6</f>
        <v>2021E</v>
      </c>
      <c r="CJ60" s="485" t="str">
        <f>INPUT!BS$6</f>
        <v>% Chg</v>
      </c>
      <c r="CK60" s="484" t="str">
        <f>INPUT!BT$6</f>
        <v>2022E</v>
      </c>
      <c r="CL60" s="485" t="str">
        <f>INPUT!BU$6</f>
        <v>% Chg</v>
      </c>
      <c r="CM60" s="868" t="str">
        <f>INPUT!BV$6</f>
        <v>(%)</v>
      </c>
    </row>
    <row r="61" spans="1:91" s="475" customFormat="1" ht="12.75" customHeight="1" x14ac:dyDescent="0.2">
      <c r="A61" s="865"/>
      <c r="B61" s="479"/>
      <c r="C61" s="520"/>
      <c r="D61" s="479"/>
      <c r="E61" s="478"/>
      <c r="F61" s="479"/>
      <c r="G61" s="478"/>
      <c r="H61" s="479"/>
      <c r="I61" s="478"/>
      <c r="J61" s="479"/>
      <c r="K61" s="478"/>
      <c r="L61" s="479"/>
      <c r="M61" s="478"/>
      <c r="N61" s="479"/>
      <c r="O61" s="478"/>
      <c r="P61" s="479"/>
      <c r="Q61" s="478"/>
      <c r="R61" s="479"/>
      <c r="S61" s="478"/>
      <c r="T61" s="479"/>
      <c r="U61" s="478"/>
      <c r="V61" s="479"/>
      <c r="W61" s="478"/>
      <c r="X61" s="479"/>
      <c r="Y61" s="478"/>
      <c r="Z61" s="479"/>
      <c r="AA61" s="478"/>
      <c r="AB61" s="479"/>
      <c r="AC61" s="478"/>
      <c r="AD61" s="479"/>
      <c r="AE61" s="478"/>
      <c r="AF61" s="479"/>
      <c r="AG61" s="478"/>
      <c r="AH61" s="479"/>
      <c r="AI61" s="478"/>
      <c r="AJ61" s="479"/>
      <c r="AK61" s="478"/>
      <c r="AL61" s="479"/>
      <c r="AM61" s="478"/>
      <c r="AN61" s="479"/>
      <c r="AO61" s="478"/>
      <c r="AP61" s="479"/>
      <c r="AQ61" s="478"/>
      <c r="AR61" s="479"/>
      <c r="AS61" s="478"/>
      <c r="AT61" s="479"/>
      <c r="AU61" s="478"/>
      <c r="AV61" s="479"/>
      <c r="AW61" s="478"/>
      <c r="AX61" s="479"/>
      <c r="AY61" s="482"/>
      <c r="AZ61" s="520"/>
      <c r="BA61" s="482"/>
      <c r="BB61" s="520"/>
      <c r="BC61" s="482"/>
      <c r="BD61" s="520"/>
      <c r="BE61" s="482"/>
      <c r="BF61" s="478"/>
      <c r="BG61" s="482"/>
      <c r="BH61" s="478"/>
      <c r="BI61" s="482"/>
      <c r="BJ61" s="478"/>
      <c r="BK61" s="482"/>
      <c r="BL61" s="478"/>
      <c r="BM61" s="482"/>
      <c r="BN61" s="478"/>
      <c r="BO61" s="482"/>
      <c r="BP61" s="478"/>
      <c r="BQ61" s="482"/>
      <c r="BR61" s="478"/>
      <c r="BS61" s="482"/>
      <c r="BT61" s="478"/>
      <c r="BU61" s="482"/>
      <c r="BV61" s="478"/>
      <c r="BW61" s="482"/>
      <c r="BX61" s="478"/>
      <c r="BY61" s="482"/>
      <c r="BZ61" s="478"/>
      <c r="CA61" s="482"/>
      <c r="CB61" s="478"/>
      <c r="CC61" s="482"/>
      <c r="CD61" s="478"/>
      <c r="CE61" s="482"/>
      <c r="CF61" s="478"/>
      <c r="CG61" s="482"/>
      <c r="CH61" s="478"/>
      <c r="CI61" s="482"/>
      <c r="CJ61" s="478"/>
      <c r="CK61" s="482"/>
      <c r="CL61" s="478"/>
      <c r="CM61" s="866"/>
    </row>
    <row r="62" spans="1:91" s="475" customFormat="1" ht="12.75" customHeight="1" x14ac:dyDescent="0.2">
      <c r="A62" s="869" t="str">
        <f>+INPUT!B839</f>
        <v>Shares Outstanding</v>
      </c>
      <c r="B62" s="490"/>
      <c r="C62" s="491"/>
      <c r="D62" s="490"/>
      <c r="E62" s="478"/>
      <c r="F62" s="490"/>
      <c r="G62" s="478"/>
      <c r="H62" s="490"/>
      <c r="I62" s="478"/>
      <c r="J62" s="490"/>
      <c r="K62" s="478"/>
      <c r="L62" s="490"/>
      <c r="M62" s="478"/>
      <c r="N62" s="490"/>
      <c r="O62" s="478"/>
      <c r="P62" s="490"/>
      <c r="Q62" s="478"/>
      <c r="R62" s="490"/>
      <c r="S62" s="478"/>
      <c r="T62" s="490"/>
      <c r="U62" s="478"/>
      <c r="V62" s="490"/>
      <c r="W62" s="478"/>
      <c r="X62" s="490"/>
      <c r="Y62" s="478"/>
      <c r="Z62" s="490"/>
      <c r="AA62" s="478"/>
      <c r="AB62" s="490"/>
      <c r="AC62" s="478"/>
      <c r="AD62" s="490"/>
      <c r="AE62" s="478"/>
      <c r="AF62" s="490"/>
      <c r="AG62" s="478"/>
      <c r="AH62" s="490"/>
      <c r="AI62" s="478"/>
      <c r="AJ62" s="490"/>
      <c r="AK62" s="478"/>
      <c r="AL62" s="490"/>
      <c r="AM62" s="478"/>
      <c r="AN62" s="490"/>
      <c r="AO62" s="478"/>
      <c r="AP62" s="490"/>
      <c r="AQ62" s="478"/>
      <c r="AR62" s="490"/>
      <c r="AS62" s="478"/>
      <c r="AT62" s="490"/>
      <c r="AU62" s="478"/>
      <c r="AV62" s="490"/>
      <c r="AW62" s="478"/>
      <c r="AX62" s="490"/>
      <c r="AY62" s="490"/>
      <c r="AZ62" s="491"/>
      <c r="BA62" s="490"/>
      <c r="BB62" s="491"/>
      <c r="BC62" s="490"/>
      <c r="BD62" s="491"/>
      <c r="BE62" s="490"/>
      <c r="BF62" s="478"/>
      <c r="BG62" s="490"/>
      <c r="BH62" s="478"/>
      <c r="BI62" s="490"/>
      <c r="BJ62" s="478"/>
      <c r="BK62" s="490"/>
      <c r="BL62" s="478"/>
      <c r="BM62" s="490"/>
      <c r="BN62" s="478"/>
      <c r="BO62" s="490"/>
      <c r="BP62" s="478"/>
      <c r="BQ62" s="490"/>
      <c r="BR62" s="478"/>
      <c r="BS62" s="490"/>
      <c r="BT62" s="478"/>
      <c r="BU62" s="490"/>
      <c r="BV62" s="478"/>
      <c r="BW62" s="490"/>
      <c r="BX62" s="478"/>
      <c r="BY62" s="490"/>
      <c r="BZ62" s="478"/>
      <c r="CA62" s="490"/>
      <c r="CB62" s="478"/>
      <c r="CC62" s="490"/>
      <c r="CD62" s="478"/>
      <c r="CE62" s="490"/>
      <c r="CF62" s="478"/>
      <c r="CG62" s="490"/>
      <c r="CH62" s="478"/>
      <c r="CI62" s="490"/>
      <c r="CJ62" s="478"/>
      <c r="CK62" s="490"/>
      <c r="CL62" s="478"/>
      <c r="CM62" s="871"/>
    </row>
    <row r="63" spans="1:91" s="475" customFormat="1" ht="12.75" customHeight="1" x14ac:dyDescent="0.2">
      <c r="A63" s="865" t="str">
        <f>+INPUT!B840</f>
        <v>Outstanding Shares (EOP)</v>
      </c>
      <c r="B63" s="490">
        <f>+INPUT!C840</f>
        <v>293.3</v>
      </c>
      <c r="C63" s="491" t="str">
        <f>+INPUT!D840</f>
        <v>NA</v>
      </c>
      <c r="D63" s="490">
        <f>+INPUT!E840</f>
        <v>293.89999999999998</v>
      </c>
      <c r="E63" s="478" t="str">
        <f>+INPUT!F840</f>
        <v>NA</v>
      </c>
      <c r="F63" s="490">
        <f>+INPUT!G840</f>
        <v>293.89999999999998</v>
      </c>
      <c r="G63" s="478" t="str">
        <f>+INPUT!H840</f>
        <v>NA</v>
      </c>
      <c r="H63" s="490">
        <f>+INPUT!I840</f>
        <v>295.2</v>
      </c>
      <c r="I63" s="478" t="str">
        <f>+INPUT!J840</f>
        <v>NA</v>
      </c>
      <c r="J63" s="490">
        <f>+INPUT!K840</f>
        <v>294.8</v>
      </c>
      <c r="K63" s="478">
        <f>+INPUT!L840</f>
        <v>0.51142175247187538</v>
      </c>
      <c r="L63" s="490">
        <f>+INPUT!M840</f>
        <v>293.8</v>
      </c>
      <c r="M63" s="478">
        <f>+INPUT!N840</f>
        <v>-3.4025178632177244E-2</v>
      </c>
      <c r="N63" s="490">
        <f>+INPUT!O840</f>
        <v>293.60000000000002</v>
      </c>
      <c r="O63" s="478">
        <f>+INPUT!P840</f>
        <v>-0.10207553589654594</v>
      </c>
      <c r="P63" s="490">
        <f>+INPUT!Q840</f>
        <v>293.89999999999998</v>
      </c>
      <c r="Q63" s="478">
        <f>+INPUT!R840</f>
        <v>-0.44037940379404006</v>
      </c>
      <c r="R63" s="490">
        <f>+INPUT!S840</f>
        <v>294.39999999999998</v>
      </c>
      <c r="S63" s="478">
        <f>+INPUT!T840</f>
        <v>-0.13568521031209002</v>
      </c>
      <c r="T63" s="490">
        <f>+INPUT!U840</f>
        <v>294.7</v>
      </c>
      <c r="U63" s="478">
        <f>+INPUT!V840</f>
        <v>0.30633083730428723</v>
      </c>
      <c r="V63" s="490">
        <f>+INPUT!W840</f>
        <v>293.5</v>
      </c>
      <c r="W63" s="478">
        <f>+INPUT!X840</f>
        <v>-3.40599455040973E-2</v>
      </c>
      <c r="X63" s="490">
        <f>+INPUT!Y840</f>
        <v>291.39999999999998</v>
      </c>
      <c r="Y63" s="478">
        <f>+INPUT!Z840</f>
        <v>-0.85062946580470111</v>
      </c>
      <c r="Z63" s="490">
        <f>+INPUT!AA840</f>
        <v>290.39999999999998</v>
      </c>
      <c r="AA63" s="478">
        <f>+INPUT!AB840</f>
        <v>-1.3586956521739069</v>
      </c>
      <c r="AB63" s="490">
        <f>+INPUT!AC840</f>
        <v>288</v>
      </c>
      <c r="AC63" s="478">
        <f>+INPUT!AD840</f>
        <v>-2.2734984730234089</v>
      </c>
      <c r="AD63" s="490">
        <f>+INPUT!AE840</f>
        <v>287.7</v>
      </c>
      <c r="AE63" s="478">
        <f>+INPUT!AF840</f>
        <v>-1.9761499148211215</v>
      </c>
      <c r="AF63" s="490">
        <f>+INPUT!AG840</f>
        <v>287.7</v>
      </c>
      <c r="AG63" s="478">
        <f>+INPUT!AH840</f>
        <v>-1.2697323266986871</v>
      </c>
      <c r="AH63" s="490">
        <f>+INPUT!AI840</f>
        <v>288.10000000000002</v>
      </c>
      <c r="AI63" s="478">
        <f>+INPUT!AJ840</f>
        <v>-0.79201101928373419</v>
      </c>
      <c r="AJ63" s="490">
        <f>+INPUT!AK840</f>
        <v>288.60000000000002</v>
      </c>
      <c r="AK63" s="478">
        <f>+INPUT!AL840</f>
        <v>0.20833333333334281</v>
      </c>
      <c r="AL63" s="490">
        <f>+INPUT!AM840</f>
        <v>288.5</v>
      </c>
      <c r="AM63" s="478">
        <f>+INPUT!AN840</f>
        <v>0.27806743135209899</v>
      </c>
      <c r="AN63" s="490">
        <f>+INPUT!AO840</f>
        <v>289</v>
      </c>
      <c r="AO63" s="478">
        <f>+INPUT!AP840</f>
        <v>0.45185957594718218</v>
      </c>
      <c r="AP63" s="490">
        <f>+INPUT!AQ840</f>
        <v>287.9522535113731</v>
      </c>
      <c r="AQ63" s="478">
        <f>+INPUT!AR840</f>
        <v>-5.1283057489385442E-2</v>
      </c>
      <c r="AR63" s="490">
        <f>+INPUT!AS840</f>
        <v>287.15086465472478</v>
      </c>
      <c r="AS63" s="478">
        <f>+INPUT!AT840</f>
        <v>-0.50212589926377404</v>
      </c>
      <c r="AT63" s="490">
        <f>+INPUT!AU840</f>
        <v>286.3673413339651</v>
      </c>
      <c r="AU63" s="478">
        <f>+INPUT!AV840</f>
        <v>-0.73922310781105693</v>
      </c>
      <c r="AV63" s="490">
        <f>+INPUT!AW840</f>
        <v>285.96804140543935</v>
      </c>
      <c r="AW63" s="478">
        <f>+INPUT!AX840</f>
        <v>-1.0491206209552502</v>
      </c>
      <c r="AX63" s="490"/>
      <c r="AY63" s="490"/>
      <c r="AZ63" s="491"/>
      <c r="BA63" s="490"/>
      <c r="BB63" s="491"/>
      <c r="BC63" s="490"/>
      <c r="BD63" s="491"/>
      <c r="BE63" s="490"/>
      <c r="BF63" s="478"/>
      <c r="BG63" s="490"/>
      <c r="BH63" s="478"/>
      <c r="BI63" s="490"/>
      <c r="BJ63" s="478"/>
      <c r="BK63" s="490"/>
      <c r="BL63" s="478"/>
      <c r="BM63" s="490"/>
      <c r="BN63" s="478"/>
      <c r="BO63" s="490"/>
      <c r="BP63" s="478"/>
      <c r="BQ63" s="490"/>
      <c r="BR63" s="478"/>
      <c r="BS63" s="490">
        <f>+INPUT!BB840</f>
        <v>293.60000000000002</v>
      </c>
      <c r="BT63" s="478" t="str">
        <f>+INPUT!BC840</f>
        <v>NA</v>
      </c>
      <c r="BU63" s="490">
        <f>+INPUT!BD840</f>
        <v>293.89999999999998</v>
      </c>
      <c r="BV63" s="478">
        <f>+INPUT!BE840</f>
        <v>0.10217983651223506</v>
      </c>
      <c r="BW63" s="490">
        <f>+INPUT!BF840</f>
        <v>291.39999999999998</v>
      </c>
      <c r="BX63" s="478">
        <f>+INPUT!BG840</f>
        <v>-0.85062946580470111</v>
      </c>
      <c r="BY63" s="490">
        <f>+INPUT!BH840</f>
        <v>287.7</v>
      </c>
      <c r="BZ63" s="478">
        <f>+INPUT!BI840</f>
        <v>-1.2697323266986871</v>
      </c>
      <c r="CA63" s="490">
        <f>+INPUT!BJ840</f>
        <v>289</v>
      </c>
      <c r="CB63" s="478">
        <f>+INPUT!BK840</f>
        <v>0.45185957594718218</v>
      </c>
      <c r="CC63" s="490">
        <f>+INPUT!BL840</f>
        <v>285.96804140543935</v>
      </c>
      <c r="CD63" s="478">
        <f>+INPUT!BM840</f>
        <v>-1.0491206209552502</v>
      </c>
      <c r="CE63" s="490">
        <f>+INPUT!BN840</f>
        <v>283.34419756561175</v>
      </c>
      <c r="CF63" s="478">
        <f>+INPUT!BO840</f>
        <v>-0.91753044393782091</v>
      </c>
      <c r="CG63" s="490">
        <f>+INPUT!BP840</f>
        <v>280.80909998245437</v>
      </c>
      <c r="CH63" s="478">
        <f>+INPUT!BQ840</f>
        <v>-0.89470601654736015</v>
      </c>
      <c r="CI63" s="490">
        <f>+INPUT!BR840</f>
        <v>278.48437526744095</v>
      </c>
      <c r="CJ63" s="478">
        <f>+INPUT!BS840</f>
        <v>-0.82786658806949731</v>
      </c>
      <c r="CK63" s="490">
        <f>+INPUT!BT840</f>
        <v>276.53930267785705</v>
      </c>
      <c r="CL63" s="478">
        <f>+INPUT!BU840</f>
        <v>-0.69844945078730802</v>
      </c>
      <c r="CM63" s="871">
        <f>+INPUT!BV840</f>
        <v>-0.87760107695907807</v>
      </c>
    </row>
    <row r="64" spans="1:91" s="475" customFormat="1" ht="12.75" customHeight="1" x14ac:dyDescent="0.2">
      <c r="A64" s="865" t="str">
        <f>+INPUT!B842</f>
        <v>Weighted Average Shares (FD)</v>
      </c>
      <c r="B64" s="490">
        <f>+INPUT!C842</f>
        <v>297.10000000000002</v>
      </c>
      <c r="C64" s="491" t="str">
        <f>+INPUT!D842</f>
        <v>NA</v>
      </c>
      <c r="D64" s="490">
        <f>+INPUT!E842</f>
        <v>297.2</v>
      </c>
      <c r="E64" s="478" t="str">
        <f>+INPUT!F842</f>
        <v>NA</v>
      </c>
      <c r="F64" s="490">
        <f>+INPUT!G842</f>
        <v>298.60000000000002</v>
      </c>
      <c r="G64" s="478" t="str">
        <f>+INPUT!H842</f>
        <v>NA</v>
      </c>
      <c r="H64" s="490">
        <f>+INPUT!I842</f>
        <v>299.3</v>
      </c>
      <c r="I64" s="478" t="str">
        <f>+INPUT!J842</f>
        <v>NA</v>
      </c>
      <c r="J64" s="490">
        <f>+INPUT!K842</f>
        <v>299.5</v>
      </c>
      <c r="K64" s="478">
        <f>+INPUT!L842</f>
        <v>0.80780881857960196</v>
      </c>
      <c r="L64" s="490">
        <f>+INPUT!M842</f>
        <v>298.3</v>
      </c>
      <c r="M64" s="478">
        <f>+INPUT!N842</f>
        <v>0.37012113055180862</v>
      </c>
      <c r="N64" s="490">
        <f>+INPUT!O842</f>
        <v>298.2</v>
      </c>
      <c r="O64" s="478">
        <f>+INPUT!P842</f>
        <v>-0.13395847287341667</v>
      </c>
      <c r="P64" s="490">
        <f>+INPUT!Q842</f>
        <v>298.3</v>
      </c>
      <c r="Q64" s="478">
        <f>+INPUT!R842</f>
        <v>-0.33411293017039156</v>
      </c>
      <c r="R64" s="490">
        <f>+INPUT!S842</f>
        <v>298.5</v>
      </c>
      <c r="S64" s="478">
        <f>+INPUT!T842</f>
        <v>-0.33388981636059611</v>
      </c>
      <c r="T64" s="490">
        <f>+INPUT!U842</f>
        <v>298.39999999999998</v>
      </c>
      <c r="U64" s="478">
        <f>+INPUT!V842</f>
        <v>3.3523298692571757E-2</v>
      </c>
      <c r="V64" s="490">
        <f>+INPUT!W842</f>
        <v>298.5</v>
      </c>
      <c r="W64" s="478">
        <f>+INPUT!X842</f>
        <v>0.10060362173038584</v>
      </c>
      <c r="X64" s="490">
        <f>+INPUT!Y842</f>
        <v>296.2</v>
      </c>
      <c r="Y64" s="478">
        <f>+INPUT!Z842</f>
        <v>-0.70398927254441901</v>
      </c>
      <c r="Z64" s="490">
        <f>+INPUT!AA842</f>
        <v>294.3</v>
      </c>
      <c r="AA64" s="478">
        <f>+INPUT!AB842</f>
        <v>-1.4070351758793862</v>
      </c>
      <c r="AB64" s="490">
        <f>+INPUT!AC842</f>
        <v>292.60000000000002</v>
      </c>
      <c r="AC64" s="478">
        <f>+INPUT!AD842</f>
        <v>-1.9436997319034646</v>
      </c>
      <c r="AD64" s="490">
        <f>+INPUT!AE842</f>
        <v>291.39999999999998</v>
      </c>
      <c r="AE64" s="478">
        <f>+INPUT!AF842</f>
        <v>-2.3785594639866048</v>
      </c>
      <c r="AF64" s="490">
        <f>+INPUT!AG842</f>
        <v>292</v>
      </c>
      <c r="AG64" s="478">
        <f>+INPUT!AH842</f>
        <v>-1.4179608372721191</v>
      </c>
      <c r="AH64" s="490">
        <f>+INPUT!AI842</f>
        <v>292.39999999999998</v>
      </c>
      <c r="AI64" s="478">
        <f>+INPUT!AJ842</f>
        <v>-0.64559972816854838</v>
      </c>
      <c r="AJ64" s="490">
        <f>+INPUT!AK842</f>
        <v>292.7</v>
      </c>
      <c r="AK64" s="478">
        <f>+INPUT!AL842</f>
        <v>3.417634996580432E-2</v>
      </c>
      <c r="AL64" s="490">
        <f>+INPUT!AM842</f>
        <v>293.05</v>
      </c>
      <c r="AM64" s="478">
        <f>+INPUT!AN842</f>
        <v>0.56623198352781401</v>
      </c>
      <c r="AN64" s="490">
        <f>+INPUT!AO842</f>
        <v>293.60000000000002</v>
      </c>
      <c r="AO64" s="478">
        <f>+INPUT!AP842</f>
        <v>0.54794520547945069</v>
      </c>
      <c r="AP64" s="490">
        <f>+INPUT!AQ842</f>
        <v>292.77612675568662</v>
      </c>
      <c r="AQ64" s="478">
        <f>+INPUT!AR842</f>
        <v>0.12863432137027075</v>
      </c>
      <c r="AR64" s="490">
        <f>+INPUT!AS842</f>
        <v>291.85155908304898</v>
      </c>
      <c r="AS64" s="478">
        <f>+INPUT!AT842</f>
        <v>-0.28986707104577647</v>
      </c>
      <c r="AT64" s="490">
        <f>+INPUT!AU842</f>
        <v>291.05910299434498</v>
      </c>
      <c r="AU64" s="478">
        <f>+INPUT!AV842</f>
        <v>-0.67937109901212978</v>
      </c>
      <c r="AV64" s="490">
        <f>+INPUT!AW842</f>
        <v>290.46769136970227</v>
      </c>
      <c r="AW64" s="478">
        <f>+INPUT!AX842</f>
        <v>-1.0668626124992358</v>
      </c>
      <c r="AX64" s="490"/>
      <c r="AY64" s="490"/>
      <c r="AZ64" s="491"/>
      <c r="BA64" s="490"/>
      <c r="BB64" s="491"/>
      <c r="BC64" s="490"/>
      <c r="BD64" s="491"/>
      <c r="BE64" s="490"/>
      <c r="BF64" s="478"/>
      <c r="BG64" s="490"/>
      <c r="BH64" s="478"/>
      <c r="BI64" s="490"/>
      <c r="BJ64" s="478"/>
      <c r="BK64" s="490"/>
      <c r="BL64" s="478"/>
      <c r="BM64" s="490"/>
      <c r="BN64" s="478"/>
      <c r="BO64" s="490"/>
      <c r="BP64" s="478"/>
      <c r="BQ64" s="490"/>
      <c r="BR64" s="478"/>
      <c r="BS64" s="490">
        <f>+INPUT!BB842</f>
        <v>298.05</v>
      </c>
      <c r="BT64" s="478" t="str">
        <f>+INPUT!BC842</f>
        <v>NA</v>
      </c>
      <c r="BU64" s="490">
        <f>+INPUT!BD842</f>
        <v>298.57499999999999</v>
      </c>
      <c r="BV64" s="478">
        <f>+INPUT!BE842</f>
        <v>0.17614494212378418</v>
      </c>
      <c r="BW64" s="490">
        <f>+INPUT!BF842</f>
        <v>297.89999999999998</v>
      </c>
      <c r="BX64" s="478">
        <f>+INPUT!BG842</f>
        <v>-0.2260738507912663</v>
      </c>
      <c r="BY64" s="490">
        <f>+INPUT!BH842</f>
        <v>292.57500000000005</v>
      </c>
      <c r="BZ64" s="478">
        <f>+INPUT!BI842</f>
        <v>-1.7875125881167975</v>
      </c>
      <c r="CA64" s="490">
        <f>+INPUT!BJ842</f>
        <v>292.9375</v>
      </c>
      <c r="CB64" s="478">
        <f>+INPUT!BK842</f>
        <v>0.12389985473808451</v>
      </c>
      <c r="CC64" s="490">
        <f>+INPUT!BL842</f>
        <v>291.53862005069573</v>
      </c>
      <c r="CD64" s="478">
        <f>+INPUT!BM842</f>
        <v>-0.47753529312713283</v>
      </c>
      <c r="CE64" s="490">
        <f>+INPUT!BN842</f>
        <v>288.41373510154278</v>
      </c>
      <c r="CF64" s="478">
        <f>+INPUT!BO842</f>
        <v>-1.0718596900162254</v>
      </c>
      <c r="CG64" s="490">
        <f>+INPUT!BP842</f>
        <v>286.37664877403301</v>
      </c>
      <c r="CH64" s="478">
        <f>+INPUT!BQ842</f>
        <v>-0.70630697487155203</v>
      </c>
      <c r="CI64" s="490">
        <f>+INPUT!BR842</f>
        <v>283.94673762494762</v>
      </c>
      <c r="CJ64" s="478">
        <f>+INPUT!BS842</f>
        <v>-0.84850184520551863</v>
      </c>
      <c r="CK64" s="490">
        <f>+INPUT!BT842</f>
        <v>281.81183897264901</v>
      </c>
      <c r="CL64" s="478">
        <f>+INPUT!BU842</f>
        <v>-0.75186588518529618</v>
      </c>
      <c r="CM64" s="871">
        <f>+INPUT!BV842</f>
        <v>-0.77140260262199556</v>
      </c>
    </row>
    <row r="65" spans="1:91" s="475" customFormat="1" ht="12.75" customHeight="1" x14ac:dyDescent="0.2">
      <c r="A65" s="865"/>
      <c r="B65" s="490"/>
      <c r="C65" s="491"/>
      <c r="D65" s="490"/>
      <c r="E65" s="478"/>
      <c r="F65" s="490"/>
      <c r="G65" s="478"/>
      <c r="H65" s="490"/>
      <c r="I65" s="478"/>
      <c r="J65" s="490"/>
      <c r="K65" s="478"/>
      <c r="L65" s="490"/>
      <c r="M65" s="478"/>
      <c r="N65" s="490"/>
      <c r="O65" s="478"/>
      <c r="P65" s="490"/>
      <c r="Q65" s="478"/>
      <c r="R65" s="490"/>
      <c r="S65" s="478"/>
      <c r="T65" s="490"/>
      <c r="U65" s="478"/>
      <c r="V65" s="490"/>
      <c r="W65" s="478"/>
      <c r="X65" s="490"/>
      <c r="Y65" s="478"/>
      <c r="Z65" s="490"/>
      <c r="AA65" s="478"/>
      <c r="AB65" s="490"/>
      <c r="AC65" s="478"/>
      <c r="AD65" s="490"/>
      <c r="AE65" s="478"/>
      <c r="AF65" s="490"/>
      <c r="AG65" s="478"/>
      <c r="AH65" s="490"/>
      <c r="AI65" s="478"/>
      <c r="AJ65" s="490"/>
      <c r="AK65" s="478"/>
      <c r="AL65" s="490"/>
      <c r="AM65" s="478"/>
      <c r="AN65" s="490"/>
      <c r="AO65" s="478"/>
      <c r="AP65" s="490"/>
      <c r="AQ65" s="478"/>
      <c r="AR65" s="490"/>
      <c r="AS65" s="478"/>
      <c r="AT65" s="490"/>
      <c r="AU65" s="478"/>
      <c r="AV65" s="490"/>
      <c r="AW65" s="478"/>
      <c r="AX65" s="490"/>
      <c r="AY65" s="490"/>
      <c r="AZ65" s="491"/>
      <c r="BA65" s="490"/>
      <c r="BB65" s="491"/>
      <c r="BC65" s="490"/>
      <c r="BD65" s="491"/>
      <c r="BE65" s="490"/>
      <c r="BF65" s="478"/>
      <c r="BG65" s="490"/>
      <c r="BH65" s="478"/>
      <c r="BI65" s="490"/>
      <c r="BJ65" s="478"/>
      <c r="BK65" s="490"/>
      <c r="BL65" s="478"/>
      <c r="BM65" s="490"/>
      <c r="BN65" s="478"/>
      <c r="BO65" s="490"/>
      <c r="BP65" s="478"/>
      <c r="BQ65" s="490"/>
      <c r="BR65" s="478"/>
      <c r="BS65" s="490"/>
      <c r="BT65" s="478"/>
      <c r="BU65" s="490"/>
      <c r="BV65" s="478"/>
      <c r="BW65" s="490"/>
      <c r="BX65" s="478"/>
      <c r="BY65" s="490"/>
      <c r="BZ65" s="478"/>
      <c r="CA65" s="490"/>
      <c r="CB65" s="478"/>
      <c r="CC65" s="490"/>
      <c r="CD65" s="478"/>
      <c r="CE65" s="490"/>
      <c r="CF65" s="478"/>
      <c r="CG65" s="490"/>
      <c r="CH65" s="478"/>
      <c r="CI65" s="490"/>
      <c r="CJ65" s="478"/>
      <c r="CK65" s="490"/>
      <c r="CL65" s="478"/>
      <c r="CM65" s="871"/>
    </row>
    <row r="66" spans="1:91" s="475" customFormat="1" ht="12.75" customHeight="1" x14ac:dyDescent="0.2">
      <c r="A66" s="869" t="str">
        <f>+INPUT!B714</f>
        <v>Pre-Tax Core Earnings Contributions (%)</v>
      </c>
      <c r="B66" s="502"/>
      <c r="C66" s="491"/>
      <c r="D66" s="479"/>
      <c r="E66" s="478"/>
      <c r="F66" s="479"/>
      <c r="G66" s="478"/>
      <c r="H66" s="479"/>
      <c r="I66" s="478"/>
      <c r="J66" s="479"/>
      <c r="K66" s="478"/>
      <c r="L66" s="479"/>
      <c r="M66" s="478"/>
      <c r="N66" s="479"/>
      <c r="O66" s="478"/>
      <c r="P66" s="479"/>
      <c r="Q66" s="478"/>
      <c r="R66" s="479"/>
      <c r="S66" s="478"/>
      <c r="T66" s="479"/>
      <c r="U66" s="478"/>
      <c r="V66" s="479"/>
      <c r="W66" s="478"/>
      <c r="X66" s="479"/>
      <c r="Y66" s="478"/>
      <c r="Z66" s="479"/>
      <c r="AA66" s="478"/>
      <c r="AB66" s="479"/>
      <c r="AC66" s="478"/>
      <c r="AD66" s="479"/>
      <c r="AE66" s="478"/>
      <c r="AF66" s="479"/>
      <c r="AG66" s="478"/>
      <c r="AH66" s="479"/>
      <c r="AI66" s="478"/>
      <c r="AJ66" s="479"/>
      <c r="AK66" s="478"/>
      <c r="AL66" s="479"/>
      <c r="AM66" s="478"/>
      <c r="AN66" s="479"/>
      <c r="AO66" s="478"/>
      <c r="AP66" s="479"/>
      <c r="AQ66" s="478"/>
      <c r="AR66" s="479"/>
      <c r="AS66" s="478"/>
      <c r="AT66" s="479"/>
      <c r="AU66" s="478"/>
      <c r="AV66" s="479"/>
      <c r="AW66" s="478"/>
      <c r="AX66" s="479"/>
      <c r="AY66" s="479"/>
      <c r="AZ66" s="491"/>
      <c r="BA66" s="479"/>
      <c r="BB66" s="491"/>
      <c r="BC66" s="479"/>
      <c r="BD66" s="491"/>
      <c r="BE66" s="479"/>
      <c r="BF66" s="478"/>
      <c r="BG66" s="479"/>
      <c r="BH66" s="478"/>
      <c r="BI66" s="479"/>
      <c r="BJ66" s="478"/>
      <c r="BK66" s="479"/>
      <c r="BL66" s="478"/>
      <c r="BM66" s="479"/>
      <c r="BN66" s="478"/>
      <c r="BO66" s="479"/>
      <c r="BP66" s="478"/>
      <c r="BQ66" s="479"/>
      <c r="BR66" s="478"/>
      <c r="BS66" s="479"/>
      <c r="BT66" s="478"/>
      <c r="BU66" s="479"/>
      <c r="BV66" s="478"/>
      <c r="BW66" s="479"/>
      <c r="BX66" s="478"/>
      <c r="BY66" s="479"/>
      <c r="BZ66" s="478"/>
      <c r="CA66" s="479"/>
      <c r="CB66" s="478"/>
      <c r="CC66" s="479"/>
      <c r="CD66" s="478"/>
      <c r="CE66" s="479"/>
      <c r="CF66" s="478"/>
      <c r="CG66" s="479"/>
      <c r="CH66" s="478"/>
      <c r="CI66" s="479"/>
      <c r="CJ66" s="478"/>
      <c r="CK66" s="479"/>
      <c r="CL66" s="478"/>
      <c r="CM66" s="871"/>
    </row>
    <row r="67" spans="1:91" s="475" customFormat="1" ht="12.75" customHeight="1" x14ac:dyDescent="0.2">
      <c r="A67" s="873" t="str">
        <f>INPUT!B715</f>
        <v>RIS - Fee</v>
      </c>
      <c r="B67" s="502">
        <f>INPUT!C715</f>
        <v>30.847154886450618</v>
      </c>
      <c r="C67" s="491" t="str">
        <f>INPUT!D715</f>
        <v>NA</v>
      </c>
      <c r="D67" s="502">
        <f>INPUT!E715</f>
        <v>32.298471556855169</v>
      </c>
      <c r="E67" s="478" t="str">
        <f>INPUT!F715</f>
        <v>NA</v>
      </c>
      <c r="F67" s="502">
        <f>INPUT!G715</f>
        <v>27.404584844201334</v>
      </c>
      <c r="G67" s="478" t="str">
        <f>INPUT!H715</f>
        <v>NA</v>
      </c>
      <c r="H67" s="502">
        <f>INPUT!I715</f>
        <v>30.036301182715956</v>
      </c>
      <c r="I67" s="478" t="str">
        <f>INPUT!J715</f>
        <v>NA</v>
      </c>
      <c r="J67" s="502">
        <f>INPUT!K715</f>
        <v>32.347914160916602</v>
      </c>
      <c r="K67" s="478">
        <f>INPUT!L715</f>
        <v>4.865146494029446</v>
      </c>
      <c r="L67" s="502">
        <f>INPUT!M715</f>
        <v>34.909599254426851</v>
      </c>
      <c r="M67" s="478">
        <f>INPUT!N715</f>
        <v>8.0843692339289248</v>
      </c>
      <c r="N67" s="502">
        <f>INPUT!O715</f>
        <v>36.509805435453977</v>
      </c>
      <c r="O67" s="478">
        <f>INPUT!P715</f>
        <v>33.225172514077542</v>
      </c>
      <c r="P67" s="502">
        <f>INPUT!Q715</f>
        <v>34.608445297504787</v>
      </c>
      <c r="Q67" s="478">
        <f>INPUT!R715</f>
        <v>15.22206108859973</v>
      </c>
      <c r="R67" s="502">
        <f>INPUT!S715</f>
        <v>32.941491293461027</v>
      </c>
      <c r="S67" s="478">
        <f>INPUT!T715</f>
        <v>1.8349780749127689</v>
      </c>
      <c r="T67" s="502">
        <f>INPUT!U715</f>
        <v>31.969522459466642</v>
      </c>
      <c r="U67" s="478">
        <f>INPUT!V715</f>
        <v>-8.4219723450058837</v>
      </c>
      <c r="V67" s="502">
        <f>INPUT!W715</f>
        <v>33.044642154161082</v>
      </c>
      <c r="W67" s="478">
        <f>INPUT!X715</f>
        <v>-9.4910483360942379</v>
      </c>
      <c r="X67" s="502">
        <f>INPUT!Y715</f>
        <v>32.147460685743745</v>
      </c>
      <c r="Y67" s="478">
        <f>INPUT!Z715</f>
        <v>-7.1109366242998391</v>
      </c>
      <c r="Z67" s="502">
        <f>INPUT!AA715</f>
        <v>31.995509402189171</v>
      </c>
      <c r="AA67" s="478">
        <f>INPUT!AB715</f>
        <v>-2.8717032961396001</v>
      </c>
      <c r="AB67" s="502">
        <f>INPUT!AC715</f>
        <v>28.872912801484237</v>
      </c>
      <c r="AC67" s="478">
        <f>INPUT!AD715</f>
        <v>-9.6861304760135738</v>
      </c>
      <c r="AD67" s="502">
        <f>INPUT!AE715</f>
        <v>32.476531068395154</v>
      </c>
      <c r="AE67" s="478">
        <f>INPUT!AF715</f>
        <v>-1.7192229926883584</v>
      </c>
      <c r="AF67" s="502">
        <f>INPUT!AG715</f>
        <v>27.027027027027046</v>
      </c>
      <c r="AG67" s="478">
        <f>INPUT!AH715</f>
        <v>-15.927956826112336</v>
      </c>
      <c r="AH67" s="502">
        <f>INPUT!AI715</f>
        <v>30.835927078701641</v>
      </c>
      <c r="AI67" s="478">
        <f>INPUT!AJ715</f>
        <v>-3.6242033496369004</v>
      </c>
      <c r="AJ67" s="502">
        <f>INPUT!AK715</f>
        <v>30.132788559754847</v>
      </c>
      <c r="AK67" s="478">
        <f>INPUT!AL715</f>
        <v>4.3635215017372389</v>
      </c>
      <c r="AL67" s="502">
        <f>INPUT!AM715</f>
        <v>28.659357568763216</v>
      </c>
      <c r="AM67" s="478">
        <f>INPUT!AN715</f>
        <v>-11.753636777256233</v>
      </c>
      <c r="AN67" s="502">
        <f>INPUT!AO715</f>
        <v>27.916207276736515</v>
      </c>
      <c r="AO67" s="478">
        <f>INPUT!AP715</f>
        <v>3.2899669239250215</v>
      </c>
      <c r="AP67" s="502">
        <f>INPUT!AQ715</f>
        <v>28.873474702156365</v>
      </c>
      <c r="AQ67" s="478">
        <f>INPUT!AR715</f>
        <v>-6.3641750466479152</v>
      </c>
      <c r="AR67" s="502">
        <f>INPUT!AS715</f>
        <v>28.377982085565822</v>
      </c>
      <c r="AS67" s="478">
        <f>INPUT!AT715</f>
        <v>-5.8235780956984939</v>
      </c>
      <c r="AT67" s="502">
        <f>INPUT!AU715</f>
        <v>27.640772826093574</v>
      </c>
      <c r="AU67" s="478">
        <f>INPUT!AV715</f>
        <v>-3.5541087766036696</v>
      </c>
      <c r="AV67" s="502">
        <f>INPUT!AW715</f>
        <v>28.531090394926633</v>
      </c>
      <c r="AW67" s="478">
        <f>INPUT!AX715</f>
        <v>2.2026026390143727</v>
      </c>
      <c r="AX67" s="502"/>
      <c r="AY67" s="502"/>
      <c r="AZ67" s="491"/>
      <c r="BA67" s="502"/>
      <c r="BB67" s="491"/>
      <c r="BC67" s="502"/>
      <c r="BD67" s="491"/>
      <c r="BE67" s="502"/>
      <c r="BF67" s="478"/>
      <c r="BG67" s="502"/>
      <c r="BH67" s="478"/>
      <c r="BI67" s="502"/>
      <c r="BJ67" s="478"/>
      <c r="BK67" s="502"/>
      <c r="BL67" s="478"/>
      <c r="BM67" s="502"/>
      <c r="BN67" s="478"/>
      <c r="BO67" s="502"/>
      <c r="BP67" s="478"/>
      <c r="BQ67" s="502"/>
      <c r="BR67" s="478"/>
      <c r="BS67" s="502">
        <f>INPUT!BB715</f>
        <v>30.102421849994677</v>
      </c>
      <c r="BT67" s="478" t="str">
        <f>INPUT!BC715</f>
        <v>NA</v>
      </c>
      <c r="BU67" s="502">
        <f>INPUT!BD715</f>
        <v>34.645204416708559</v>
      </c>
      <c r="BV67" s="478">
        <f>INPUT!BE715</f>
        <v>15.091086655257556</v>
      </c>
      <c r="BW67" s="502">
        <f>INPUT!BF715</f>
        <v>32.514536891081654</v>
      </c>
      <c r="BX67" s="478">
        <f>INPUT!BG715</f>
        <v>-6.1499637871939825</v>
      </c>
      <c r="BY67" s="502">
        <f>INPUT!BH715</f>
        <v>29.981696876660539</v>
      </c>
      <c r="BZ67" s="478">
        <f>INPUT!BI715</f>
        <v>-7.7898695678973127</v>
      </c>
      <c r="CA67" s="502">
        <f>INPUT!BJ715</f>
        <v>29.372091807392675</v>
      </c>
      <c r="CB67" s="478">
        <f>INPUT!BK715</f>
        <v>-2.0332573962563742</v>
      </c>
      <c r="CC67" s="502">
        <f>INPUT!BL715</f>
        <v>28.350173820211289</v>
      </c>
      <c r="CD67" s="478">
        <f>INPUT!BM715</f>
        <v>-3.4792141938089003</v>
      </c>
      <c r="CE67" s="502">
        <f>INPUT!BN715</f>
        <v>27.969926473042161</v>
      </c>
      <c r="CF67" s="478">
        <f>INPUT!BO715</f>
        <v>-1.3412522603231594</v>
      </c>
      <c r="CG67" s="502">
        <f>INPUT!BP715</f>
        <v>27.578989203187721</v>
      </c>
      <c r="CH67" s="478">
        <f>INPUT!BQ715</f>
        <v>-1.3977057473898924</v>
      </c>
      <c r="CI67" s="502">
        <f>INPUT!BR715</f>
        <v>27.406141083093864</v>
      </c>
      <c r="CJ67" s="478">
        <f>INPUT!BS715</f>
        <v>-0.62673841604708969</v>
      </c>
      <c r="CK67" s="502">
        <f>INPUT!BT715</f>
        <v>27.224459407106043</v>
      </c>
      <c r="CL67" s="478">
        <f>INPUT!BU715</f>
        <v>-0.66292323109982476</v>
      </c>
      <c r="CM67" s="871">
        <f>INPUT!BV715</f>
        <v>-1.5071107356599778</v>
      </c>
    </row>
    <row r="68" spans="1:91" s="475" customFormat="1" ht="12.75" customHeight="1" x14ac:dyDescent="0.2">
      <c r="A68" s="873" t="str">
        <f>INPUT!B716</f>
        <v>Principal Global Investors</v>
      </c>
      <c r="B68" s="502">
        <f>INPUT!C716</f>
        <v>18.902781321765755</v>
      </c>
      <c r="C68" s="491" t="str">
        <f>INPUT!D716</f>
        <v>NA</v>
      </c>
      <c r="D68" s="502">
        <f>INPUT!E716</f>
        <v>18.129782865675352</v>
      </c>
      <c r="E68" s="478" t="str">
        <f>INPUT!F716</f>
        <v>NA</v>
      </c>
      <c r="F68" s="502">
        <f>INPUT!G716</f>
        <v>19.228484215270512</v>
      </c>
      <c r="G68" s="478" t="str">
        <f>INPUT!H716</f>
        <v>NA</v>
      </c>
      <c r="H68" s="502">
        <f>INPUT!I716</f>
        <v>20.906358562004772</v>
      </c>
      <c r="I68" s="478" t="str">
        <f>INPUT!J716</f>
        <v>NA</v>
      </c>
      <c r="J68" s="502">
        <f>INPUT!K716</f>
        <v>22.109683273195323</v>
      </c>
      <c r="K68" s="478">
        <f>INPUT!L716</f>
        <v>16.965238590243644</v>
      </c>
      <c r="L68" s="502">
        <f>INPUT!M716</f>
        <v>20.281453867660762</v>
      </c>
      <c r="M68" s="478">
        <f>INPUT!N716</f>
        <v>11.868156491047174</v>
      </c>
      <c r="N68" s="502">
        <f>INPUT!O716</f>
        <v>21.504400864731309</v>
      </c>
      <c r="O68" s="478">
        <f>INPUT!P716</f>
        <v>11.836172960806522</v>
      </c>
      <c r="P68" s="502">
        <f>INPUT!Q716</f>
        <v>24.976967370441454</v>
      </c>
      <c r="Q68" s="478">
        <f>INPUT!R716</f>
        <v>19.47067346216194</v>
      </c>
      <c r="R68" s="502">
        <f>INPUT!S716</f>
        <v>23.009729151136341</v>
      </c>
      <c r="S68" s="478">
        <f>INPUT!T716</f>
        <v>4.0708221226858967</v>
      </c>
      <c r="T68" s="502">
        <f>INPUT!U716</f>
        <v>22.68982014707186</v>
      </c>
      <c r="U68" s="478">
        <f>INPUT!V716</f>
        <v>11.874722074295136</v>
      </c>
      <c r="V68" s="502">
        <f>INPUT!W716</f>
        <v>24.411463664278401</v>
      </c>
      <c r="W68" s="478">
        <f>INPUT!X716</f>
        <v>13.51845521218344</v>
      </c>
      <c r="X68" s="502">
        <f>INPUT!Y716</f>
        <v>26.295436968290804</v>
      </c>
      <c r="Y68" s="478">
        <f>INPUT!Z716</f>
        <v>5.278741723503515</v>
      </c>
      <c r="Z68" s="502">
        <f>INPUT!AA716</f>
        <v>22.368790345214716</v>
      </c>
      <c r="AA68" s="478">
        <f>INPUT!AB716</f>
        <v>-2.7855121705766379</v>
      </c>
      <c r="AB68" s="502">
        <f>INPUT!AC716</f>
        <v>27.249536178107604</v>
      </c>
      <c r="AC68" s="478">
        <f>INPUT!AD716</f>
        <v>20.095866787309816</v>
      </c>
      <c r="AD68" s="502">
        <f>INPUT!AE716</f>
        <v>25.234689316048271</v>
      </c>
      <c r="AE68" s="478">
        <f>INPUT!AF716</f>
        <v>3.3722912443570721</v>
      </c>
      <c r="AF68" s="502">
        <f>INPUT!AG716</f>
        <v>29.141238012205768</v>
      </c>
      <c r="AG68" s="478">
        <f>INPUT!AH716</f>
        <v>10.822413969947206</v>
      </c>
      <c r="AH68" s="502">
        <f>INPUT!AI716</f>
        <v>22.232103156958647</v>
      </c>
      <c r="AI68" s="478">
        <f>INPUT!AJ716</f>
        <v>-0.61106204737311032</v>
      </c>
      <c r="AJ68" s="502">
        <f>INPUT!AK716</f>
        <v>23.575076608784475</v>
      </c>
      <c r="AK68" s="478">
        <f>INPUT!AL716</f>
        <v>-13.484484819507529</v>
      </c>
      <c r="AL68" s="502">
        <f>INPUT!AM716</f>
        <v>25.043277553375649</v>
      </c>
      <c r="AM68" s="478">
        <f>INPUT!AN716</f>
        <v>-0.7585263296698912</v>
      </c>
      <c r="AN68" s="502">
        <f>INPUT!AO716</f>
        <v>27.364939360529235</v>
      </c>
      <c r="AO68" s="478">
        <f>INPUT!AP716</f>
        <v>-6.0954810874285243</v>
      </c>
      <c r="AP68" s="502">
        <f>INPUT!AQ716</f>
        <v>26.206690129242183</v>
      </c>
      <c r="AQ68" s="478">
        <f>INPUT!AR716</f>
        <v>17.877692201331357</v>
      </c>
      <c r="AR68" s="502">
        <f>INPUT!AS716</f>
        <v>25.859810796902334</v>
      </c>
      <c r="AS68" s="478">
        <f>INPUT!AT716</f>
        <v>9.6913118291481055</v>
      </c>
      <c r="AT68" s="502">
        <f>INPUT!AU716</f>
        <v>25.327688905822534</v>
      </c>
      <c r="AU68" s="478">
        <f>INPUT!AV716</f>
        <v>1.1356794326969037</v>
      </c>
      <c r="AV68" s="502">
        <f>INPUT!AW716</f>
        <v>25.057653909987732</v>
      </c>
      <c r="AW68" s="478">
        <f>INPUT!AX716</f>
        <v>-8.4315386931552894</v>
      </c>
      <c r="AX68" s="502"/>
      <c r="AY68" s="502"/>
      <c r="AZ68" s="491"/>
      <c r="BA68" s="502"/>
      <c r="BB68" s="491"/>
      <c r="BC68" s="502"/>
      <c r="BD68" s="491"/>
      <c r="BE68" s="502"/>
      <c r="BF68" s="478"/>
      <c r="BG68" s="502"/>
      <c r="BH68" s="478"/>
      <c r="BI68" s="502"/>
      <c r="BJ68" s="478"/>
      <c r="BK68" s="502"/>
      <c r="BL68" s="478"/>
      <c r="BM68" s="502"/>
      <c r="BN68" s="478"/>
      <c r="BO68" s="502"/>
      <c r="BP68" s="478"/>
      <c r="BQ68" s="502"/>
      <c r="BR68" s="478"/>
      <c r="BS68" s="502">
        <f>INPUT!BB716</f>
        <v>19.336391763576238</v>
      </c>
      <c r="BT68" s="478" t="str">
        <f>INPUT!BC716</f>
        <v>NA</v>
      </c>
      <c r="BU68" s="502">
        <f>INPUT!BD716</f>
        <v>22.206988079961366</v>
      </c>
      <c r="BV68" s="478">
        <f>INPUT!BE716</f>
        <v>14.845563492318362</v>
      </c>
      <c r="BW68" s="502">
        <f>INPUT!BF716</f>
        <v>24.051947062381235</v>
      </c>
      <c r="BX68" s="478">
        <f>INPUT!BG716</f>
        <v>8.3080108647632471</v>
      </c>
      <c r="BY68" s="502">
        <f>INPUT!BH716</f>
        <v>26.202987542067657</v>
      </c>
      <c r="BZ68" s="478">
        <f>INPUT!BI716</f>
        <v>8.9433112176219112</v>
      </c>
      <c r="CA68" s="502">
        <f>INPUT!BJ716</f>
        <v>24.556909081403244</v>
      </c>
      <c r="CB68" s="478">
        <f>INPUT!BK716</f>
        <v>-6.2820258873981913</v>
      </c>
      <c r="CC68" s="502">
        <f>INPUT!BL716</f>
        <v>25.597894969067809</v>
      </c>
      <c r="CD68" s="478">
        <f>INPUT!BM716</f>
        <v>4.2390753828742049</v>
      </c>
      <c r="CE68" s="502">
        <f>INPUT!BN716</f>
        <v>25.574409327899723</v>
      </c>
      <c r="CF68" s="478">
        <f>INPUT!BO716</f>
        <v>-9.1748330073500028E-2</v>
      </c>
      <c r="CG68" s="502">
        <f>INPUT!BP716</f>
        <v>24.925905910566726</v>
      </c>
      <c r="CH68" s="478">
        <f>INPUT!BQ716</f>
        <v>-2.5357513013038755</v>
      </c>
      <c r="CI68" s="502">
        <f>INPUT!BR716</f>
        <v>25.295936337588991</v>
      </c>
      <c r="CJ68" s="478">
        <f>INPUT!BS716</f>
        <v>1.4845214787776229</v>
      </c>
      <c r="CK68" s="502">
        <f>INPUT!BT716</f>
        <v>25.056436855885426</v>
      </c>
      <c r="CL68" s="478">
        <f>INPUT!BU716</f>
        <v>-0.94679034018470531</v>
      </c>
      <c r="CM68" s="871">
        <f>INPUT!BV716</f>
        <v>0.40356235288216968</v>
      </c>
    </row>
    <row r="69" spans="1:91" s="475" customFormat="1" ht="12.75" customHeight="1" x14ac:dyDescent="0.2">
      <c r="A69" s="873" t="str">
        <f>INPUT!B717</f>
        <v>Principal International</v>
      </c>
      <c r="B69" s="502">
        <f>INPUT!C717</f>
        <v>22.253125797397299</v>
      </c>
      <c r="C69" s="491" t="str">
        <f>INPUT!D717</f>
        <v>NA</v>
      </c>
      <c r="D69" s="502">
        <f>INPUT!E717</f>
        <v>23.312387233248309</v>
      </c>
      <c r="E69" s="478" t="str">
        <f>INPUT!F717</f>
        <v>NA</v>
      </c>
      <c r="F69" s="502">
        <f>INPUT!G717</f>
        <v>21.701186159424733</v>
      </c>
      <c r="G69" s="478" t="str">
        <f>INPUT!H717</f>
        <v>NA</v>
      </c>
      <c r="H69" s="502">
        <f>INPUT!I717</f>
        <v>22.945860494164489</v>
      </c>
      <c r="I69" s="478" t="str">
        <f>INPUT!J717</f>
        <v>NA</v>
      </c>
      <c r="J69" s="502">
        <f>INPUT!K717</f>
        <v>21.493532527273089</v>
      </c>
      <c r="K69" s="478">
        <f>INPUT!L717</f>
        <v>-3.4134228019915014</v>
      </c>
      <c r="L69" s="502">
        <f>INPUT!M717</f>
        <v>19.903075489282386</v>
      </c>
      <c r="M69" s="478">
        <f>INPUT!N717</f>
        <v>-14.624464280961902</v>
      </c>
      <c r="N69" s="502">
        <f>INPUT!O717</f>
        <v>20.907967881408272</v>
      </c>
      <c r="O69" s="478">
        <f>INPUT!P717</f>
        <v>-3.655183971001378</v>
      </c>
      <c r="P69" s="502">
        <f>INPUT!Q717</f>
        <v>19.337811900191916</v>
      </c>
      <c r="Q69" s="478">
        <f>INPUT!R717</f>
        <v>-15.724180816361894</v>
      </c>
      <c r="R69" s="502">
        <f>INPUT!S717</f>
        <v>20.077603838140558</v>
      </c>
      <c r="S69" s="478">
        <f>INPUT!T717</f>
        <v>-6.5876964958452646</v>
      </c>
      <c r="T69" s="502">
        <f>INPUT!U717</f>
        <v>16.631522991051643</v>
      </c>
      <c r="U69" s="478">
        <f>INPUT!V717</f>
        <v>-16.437421945128236</v>
      </c>
      <c r="V69" s="502">
        <f>INPUT!W717</f>
        <v>16.356979765372795</v>
      </c>
      <c r="W69" s="478">
        <f>INPUT!X717</f>
        <v>-21.766764430905283</v>
      </c>
      <c r="X69" s="502">
        <f>INPUT!Y717</f>
        <v>17.349832431038923</v>
      </c>
      <c r="Y69" s="478">
        <f>INPUT!Z717</f>
        <v>-10.280271001773798</v>
      </c>
      <c r="Z69" s="502">
        <f>INPUT!AA717</f>
        <v>19.085040696042668</v>
      </c>
      <c r="AA69" s="478">
        <f>INPUT!AB717</f>
        <v>-4.9436334639313912</v>
      </c>
      <c r="AB69" s="502">
        <f>INPUT!AC717</f>
        <v>16.210575139146567</v>
      </c>
      <c r="AC69" s="478">
        <f>INPUT!AD717</f>
        <v>-2.5310240807865938</v>
      </c>
      <c r="AD69" s="502">
        <f>INPUT!AE717</f>
        <v>19.021010281627177</v>
      </c>
      <c r="AE69" s="478">
        <f>INPUT!AF717</f>
        <v>16.286811834872168</v>
      </c>
      <c r="AF69" s="502">
        <f>INPUT!AG717</f>
        <v>16.782911944202279</v>
      </c>
      <c r="AG69" s="478">
        <f>INPUT!AH717</f>
        <v>-3.267584797086684</v>
      </c>
      <c r="AH69" s="502">
        <f>INPUT!AI717</f>
        <v>19.764339706536227</v>
      </c>
      <c r="AI69" s="478">
        <f>INPUT!AJ717</f>
        <v>3.5593270211596177</v>
      </c>
      <c r="AJ69" s="502">
        <f>INPUT!AK717</f>
        <v>17.037793667007136</v>
      </c>
      <c r="AK69" s="478">
        <f>INPUT!AL717</f>
        <v>5.1029560688623548</v>
      </c>
      <c r="AL69" s="502">
        <f>INPUT!AM717</f>
        <v>16.23389113291017</v>
      </c>
      <c r="AM69" s="478">
        <f>INPUT!AN717</f>
        <v>-14.652844972220791</v>
      </c>
      <c r="AN69" s="502">
        <f>INPUT!AO717</f>
        <v>17.265711135611923</v>
      </c>
      <c r="AO69" s="478">
        <f>INPUT!AP717</f>
        <v>2.876730766477209</v>
      </c>
      <c r="AP69" s="502">
        <f>INPUT!AQ717</f>
        <v>18.174609978757744</v>
      </c>
      <c r="AQ69" s="478">
        <f>INPUT!AR717</f>
        <v>-8.0434244269377047</v>
      </c>
      <c r="AR69" s="502">
        <f>INPUT!AS717</f>
        <v>17.953588766136303</v>
      </c>
      <c r="AS69" s="478">
        <f>INPUT!AT717</f>
        <v>5.375080348006307</v>
      </c>
      <c r="AT69" s="502">
        <f>INPUT!AU717</f>
        <v>17.471867862220904</v>
      </c>
      <c r="AU69" s="478">
        <f>INPUT!AV717</f>
        <v>7.6258779806712198</v>
      </c>
      <c r="AV69" s="502">
        <f>INPUT!AW717</f>
        <v>16.644961969152771</v>
      </c>
      <c r="AW69" s="478">
        <f>INPUT!AX717</f>
        <v>-3.5952713536299541</v>
      </c>
      <c r="AX69" s="502"/>
      <c r="AY69" s="502"/>
      <c r="AZ69" s="491"/>
      <c r="BA69" s="502"/>
      <c r="BB69" s="491"/>
      <c r="BC69" s="502"/>
      <c r="BD69" s="491"/>
      <c r="BE69" s="502"/>
      <c r="BF69" s="478"/>
      <c r="BG69" s="502"/>
      <c r="BH69" s="478"/>
      <c r="BI69" s="502"/>
      <c r="BJ69" s="478"/>
      <c r="BK69" s="502"/>
      <c r="BL69" s="478"/>
      <c r="BM69" s="502"/>
      <c r="BN69" s="478"/>
      <c r="BO69" s="502"/>
      <c r="BP69" s="478"/>
      <c r="BQ69" s="502"/>
      <c r="BR69" s="478"/>
      <c r="BS69" s="502">
        <f>INPUT!BB717</f>
        <v>22.571215192574424</v>
      </c>
      <c r="BT69" s="478" t="str">
        <f>INPUT!BC717</f>
        <v>NA</v>
      </c>
      <c r="BU69" s="502">
        <f>INPUT!BD717</f>
        <v>20.381167997892156</v>
      </c>
      <c r="BV69" s="478">
        <f>INPUT!BE717</f>
        <v>-9.7028324615980779</v>
      </c>
      <c r="BW69" s="502">
        <f>INPUT!BF717</f>
        <v>17.59618635794325</v>
      </c>
      <c r="BX69" s="478">
        <f>INPUT!BG717</f>
        <v>-13.664484980629837</v>
      </c>
      <c r="BY69" s="502">
        <f>INPUT!BH717</f>
        <v>17.712700005904228</v>
      </c>
      <c r="BZ69" s="478">
        <f>INPUT!BI717</f>
        <v>0.66215284147853026</v>
      </c>
      <c r="CA69" s="502">
        <f>INPUT!BJ717</f>
        <v>17.514508286715106</v>
      </c>
      <c r="CB69" s="478">
        <f>INPUT!BK717</f>
        <v>-1.1189243826353845</v>
      </c>
      <c r="CC69" s="502">
        <f>INPUT!BL717</f>
        <v>17.541471806625982</v>
      </c>
      <c r="CD69" s="478">
        <f>INPUT!BM717</f>
        <v>0.15394962547323132</v>
      </c>
      <c r="CE69" s="502">
        <f>INPUT!BN717</f>
        <v>17.716150704810833</v>
      </c>
      <c r="CF69" s="478">
        <f>INPUT!BO717</f>
        <v>0.99580525574181422</v>
      </c>
      <c r="CG69" s="502">
        <f>INPUT!BP717</f>
        <v>19.09137743909282</v>
      </c>
      <c r="CH69" s="478">
        <f>INPUT!BQ717</f>
        <v>7.7625594701480054</v>
      </c>
      <c r="CI69" s="502">
        <f>INPUT!BR717</f>
        <v>19.034176815145798</v>
      </c>
      <c r="CJ69" s="478">
        <f>INPUT!BS717</f>
        <v>-0.29961496560166267</v>
      </c>
      <c r="CK69" s="502">
        <f>INPUT!BT717</f>
        <v>19.611212858391461</v>
      </c>
      <c r="CL69" s="478">
        <f>INPUT!BU717</f>
        <v>3.0315786642609339</v>
      </c>
      <c r="CM69" s="871">
        <f>INPUT!BV717</f>
        <v>2.2872024568671767</v>
      </c>
    </row>
    <row r="70" spans="1:91" s="501" customFormat="1" ht="12.75" customHeight="1" x14ac:dyDescent="0.2">
      <c r="A70" s="869" t="str">
        <f>INPUT!B718</f>
        <v>Fee</v>
      </c>
      <c r="B70" s="746">
        <f>INPUT!C718</f>
        <v>72.003062005613671</v>
      </c>
      <c r="C70" s="741" t="str">
        <f>INPUT!D718</f>
        <v>NA</v>
      </c>
      <c r="D70" s="746">
        <f>INPUT!E718</f>
        <v>73.74064165577883</v>
      </c>
      <c r="E70" s="742" t="str">
        <f>INPUT!F718</f>
        <v>NA</v>
      </c>
      <c r="F70" s="746">
        <f>INPUT!G718</f>
        <v>68.334255218896587</v>
      </c>
      <c r="G70" s="742" t="str">
        <f>INPUT!H718</f>
        <v>NA</v>
      </c>
      <c r="H70" s="746">
        <f>INPUT!I718</f>
        <v>73.888520238885221</v>
      </c>
      <c r="I70" s="742" t="str">
        <f>INPUT!J718</f>
        <v>NA</v>
      </c>
      <c r="J70" s="746">
        <f>INPUT!K718</f>
        <v>75.951129961385021</v>
      </c>
      <c r="K70" s="742">
        <f>INPUT!L718</f>
        <v>5.4831945278431817</v>
      </c>
      <c r="L70" s="746">
        <f>INPUT!M718</f>
        <v>75.094128611369996</v>
      </c>
      <c r="M70" s="742">
        <f>INPUT!N718</f>
        <v>1.8354694578184478</v>
      </c>
      <c r="N70" s="746">
        <f>INPUT!O718</f>
        <v>78.922174181593562</v>
      </c>
      <c r="O70" s="742">
        <f>INPUT!P718</f>
        <v>15.494306521349316</v>
      </c>
      <c r="P70" s="746">
        <f>INPUT!Q718</f>
        <v>78.923224568138153</v>
      </c>
      <c r="Q70" s="742">
        <f>INPUT!R718</f>
        <v>6.8139195547230997</v>
      </c>
      <c r="R70" s="746">
        <f>INPUT!S718</f>
        <v>76.028824282737929</v>
      </c>
      <c r="S70" s="742">
        <f>INPUT!T718</f>
        <v>0.10229514872577283</v>
      </c>
      <c r="T70" s="746">
        <f>INPUT!U718</f>
        <v>71.290865597590141</v>
      </c>
      <c r="U70" s="742">
        <f>INPUT!V718</f>
        <v>-5.0646609583322402</v>
      </c>
      <c r="V70" s="746">
        <f>INPUT!W718</f>
        <v>73.813085583812281</v>
      </c>
      <c r="W70" s="742">
        <f>INPUT!X718</f>
        <v>-6.4735781176348297</v>
      </c>
      <c r="X70" s="746">
        <f>INPUT!Y718</f>
        <v>75.792730085073472</v>
      </c>
      <c r="Y70" s="742">
        <f>INPUT!Z718</f>
        <v>-3.9665060572404514</v>
      </c>
      <c r="Z70" s="746">
        <f>INPUT!AA718</f>
        <v>73.449340443446559</v>
      </c>
      <c r="AA70" s="742">
        <f>INPUT!AB718</f>
        <v>-3.392770917643972</v>
      </c>
      <c r="AB70" s="746">
        <f>INPUT!AC718</f>
        <v>72.333024118738408</v>
      </c>
      <c r="AC70" s="742">
        <f>INPUT!AD718</f>
        <v>1.4618401844506366</v>
      </c>
      <c r="AD70" s="746">
        <f>INPUT!AE718</f>
        <v>76.732230666070592</v>
      </c>
      <c r="AE70" s="742">
        <f>INPUT!AF718</f>
        <v>3.954779913574697</v>
      </c>
      <c r="AF70" s="746">
        <f>INPUT!AG718</f>
        <v>72.95117698343509</v>
      </c>
      <c r="AG70" s="742">
        <f>INPUT!AH718</f>
        <v>-3.749110367773909</v>
      </c>
      <c r="AH70" s="746">
        <f>INPUT!AI718</f>
        <v>72.832369942196522</v>
      </c>
      <c r="AI70" s="742">
        <f>INPUT!AJ718</f>
        <v>-0.83999461060523117</v>
      </c>
      <c r="AJ70" s="746">
        <f>INPUT!AK718</f>
        <v>70.74565883554645</v>
      </c>
      <c r="AK70" s="742">
        <f>INPUT!AL718</f>
        <v>-2.1945235976671142</v>
      </c>
      <c r="AL70" s="746">
        <f>INPUT!AM718</f>
        <v>69.936526255049031</v>
      </c>
      <c r="AM70" s="742">
        <f>INPUT!AN718</f>
        <v>-8.8563884459395581</v>
      </c>
      <c r="AN70" s="746">
        <f>INPUT!AO718</f>
        <v>72.546857772877672</v>
      </c>
      <c r="AO70" s="742">
        <f>INPUT!AP718</f>
        <v>-0.55423260771958383</v>
      </c>
      <c r="AP70" s="746">
        <f>INPUT!AQ718</f>
        <v>73.254774810156292</v>
      </c>
      <c r="AQ70" s="742">
        <f>INPUT!AR718</f>
        <v>0.57996858854794198</v>
      </c>
      <c r="AR70" s="746">
        <f>INPUT!AS718</f>
        <v>72.191381648604462</v>
      </c>
      <c r="AS70" s="742">
        <f>INPUT!AT718</f>
        <v>2.0435498613684615</v>
      </c>
      <c r="AT70" s="746">
        <f>INPUT!AU718</f>
        <v>70.440329594137012</v>
      </c>
      <c r="AU70" s="742">
        <f>INPUT!AV718</f>
        <v>0.72037226620417982</v>
      </c>
      <c r="AV70" s="746">
        <f>INPUT!AW718</f>
        <v>70.233706274067131</v>
      </c>
      <c r="AW70" s="742">
        <f>INPUT!AX718</f>
        <v>-3.1884930234364077</v>
      </c>
      <c r="AX70" s="746"/>
      <c r="AY70" s="746"/>
      <c r="AZ70" s="741"/>
      <c r="BA70" s="746"/>
      <c r="BB70" s="741"/>
      <c r="BC70" s="746"/>
      <c r="BD70" s="741"/>
      <c r="BE70" s="746"/>
      <c r="BF70" s="742"/>
      <c r="BG70" s="746"/>
      <c r="BH70" s="742"/>
      <c r="BI70" s="746"/>
      <c r="BJ70" s="742"/>
      <c r="BK70" s="746"/>
      <c r="BL70" s="742"/>
      <c r="BM70" s="746"/>
      <c r="BN70" s="742"/>
      <c r="BO70" s="746"/>
      <c r="BP70" s="742"/>
      <c r="BQ70" s="746"/>
      <c r="BR70" s="742"/>
      <c r="BS70" s="746">
        <f>INPUT!BB718</f>
        <v>72.010028806145328</v>
      </c>
      <c r="BT70" s="742">
        <f>INPUT!BC718</f>
        <v>0</v>
      </c>
      <c r="BU70" s="746">
        <f>INPUT!BD718</f>
        <v>77.233360494562078</v>
      </c>
      <c r="BV70" s="742">
        <f>INPUT!BE718</f>
        <v>0</v>
      </c>
      <c r="BW70" s="746">
        <f>INPUT!BF718</f>
        <v>74.162670311406146</v>
      </c>
      <c r="BX70" s="742">
        <f>INPUT!BG718</f>
        <v>0</v>
      </c>
      <c r="BY70" s="746">
        <f>INPUT!BH718</f>
        <v>73.897384424632421</v>
      </c>
      <c r="BZ70" s="742">
        <f>INPUT!BI718</f>
        <v>0</v>
      </c>
      <c r="CA70" s="746">
        <f>INPUT!BJ718</f>
        <v>71.443509175511025</v>
      </c>
      <c r="CB70" s="742">
        <f>INPUT!BK718</f>
        <v>0</v>
      </c>
      <c r="CC70" s="746">
        <f>INPUT!BL718</f>
        <v>71.489540595905083</v>
      </c>
      <c r="CD70" s="742">
        <f>INPUT!BM718</f>
        <v>0</v>
      </c>
      <c r="CE70" s="746">
        <f>INPUT!BN718</f>
        <v>71.260486505752723</v>
      </c>
      <c r="CF70" s="742">
        <f>INPUT!BO718</f>
        <v>0</v>
      </c>
      <c r="CG70" s="746">
        <f>INPUT!BP718</f>
        <v>71.596272552847267</v>
      </c>
      <c r="CH70" s="742">
        <f>INPUT!BQ718</f>
        <v>0</v>
      </c>
      <c r="CI70" s="746">
        <f>INPUT!BR718</f>
        <v>71.736254235828653</v>
      </c>
      <c r="CJ70" s="742">
        <f>INPUT!BS718</f>
        <v>0</v>
      </c>
      <c r="CK70" s="746">
        <f>INPUT!BT718</f>
        <v>71.89210912138293</v>
      </c>
      <c r="CL70" s="742">
        <f>INPUT!BU718</f>
        <v>0</v>
      </c>
      <c r="CM70" s="896">
        <f>INPUT!BV718</f>
        <v>0</v>
      </c>
    </row>
    <row r="71" spans="1:91" s="475" customFormat="1" ht="12.75" customHeight="1" x14ac:dyDescent="0.2">
      <c r="A71" s="873" t="str">
        <f>INPUT!B719</f>
        <v>RIS - Spread</v>
      </c>
      <c r="B71" s="502">
        <f>INPUT!C719</f>
        <v>25.4427149783108</v>
      </c>
      <c r="C71" s="491" t="str">
        <f>INPUT!D719</f>
        <v>NA</v>
      </c>
      <c r="D71" s="502">
        <f>INPUT!E719</f>
        <v>20.678570687903118</v>
      </c>
      <c r="E71" s="478" t="str">
        <f>INPUT!F719</f>
        <v>NA</v>
      </c>
      <c r="F71" s="502">
        <f>INPUT!G719</f>
        <v>21.35906418372155</v>
      </c>
      <c r="G71" s="478" t="str">
        <f>INPUT!H719</f>
        <v>NA</v>
      </c>
      <c r="H71" s="502">
        <f>INPUT!I719</f>
        <v>17.227448378156833</v>
      </c>
      <c r="I71" s="478" t="str">
        <f>INPUT!J719</f>
        <v>NA</v>
      </c>
      <c r="J71" s="502">
        <f>INPUT!K719</f>
        <v>18.562596273554067</v>
      </c>
      <c r="K71" s="478">
        <f>INPUT!L719</f>
        <v>-27.041605860938347</v>
      </c>
      <c r="L71" s="502">
        <f>INPUT!M719</f>
        <v>16.812674743709231</v>
      </c>
      <c r="M71" s="478">
        <f>INPUT!N719</f>
        <v>-18.695179674364155</v>
      </c>
      <c r="N71" s="502">
        <f>INPUT!O719</f>
        <v>15.582535515750493</v>
      </c>
      <c r="O71" s="478">
        <f>INPUT!P719</f>
        <v>-27.044858418345598</v>
      </c>
      <c r="P71" s="502">
        <f>INPUT!Q719</f>
        <v>14.8963531669866</v>
      </c>
      <c r="Q71" s="478">
        <f>INPUT!R719</f>
        <v>-13.531285423126818</v>
      </c>
      <c r="R71" s="502">
        <f>INPUT!S719</f>
        <v>14.035590725767896</v>
      </c>
      <c r="S71" s="478">
        <f>INPUT!T719</f>
        <v>-24.387782188829632</v>
      </c>
      <c r="T71" s="502">
        <f>INPUT!U719</f>
        <v>16.930982546292196</v>
      </c>
      <c r="U71" s="478">
        <f>INPUT!V719</f>
        <v>0.70368221824568877</v>
      </c>
      <c r="V71" s="502">
        <f>INPUT!W719</f>
        <v>15.563735138965457</v>
      </c>
      <c r="W71" s="478">
        <f>INPUT!X719</f>
        <v>-0.12065030601748106</v>
      </c>
      <c r="X71" s="502">
        <f>INPUT!Y719</f>
        <v>16.009280742459399</v>
      </c>
      <c r="Y71" s="478">
        <f>INPUT!Z719</f>
        <v>7.4711411779580885</v>
      </c>
      <c r="Z71" s="502">
        <f>INPUT!AA719</f>
        <v>18.916643278136398</v>
      </c>
      <c r="AA71" s="478">
        <f>INPUT!AB719</f>
        <v>34.776253082154852</v>
      </c>
      <c r="AB71" s="502">
        <f>INPUT!AC719</f>
        <v>16.280148423005553</v>
      </c>
      <c r="AC71" s="478">
        <f>INPUT!AD719</f>
        <v>-3.8440422551210673</v>
      </c>
      <c r="AD71" s="502">
        <f>INPUT!AE719</f>
        <v>14.841305319624492</v>
      </c>
      <c r="AE71" s="478">
        <f>INPUT!AF719</f>
        <v>-4.6417509221953139</v>
      </c>
      <c r="AF71" s="502">
        <f>INPUT!AG719</f>
        <v>16.455972101133344</v>
      </c>
      <c r="AG71" s="478">
        <f>INPUT!AH719</f>
        <v>2.7902025447604331</v>
      </c>
      <c r="AH71" s="502">
        <f>INPUT!AI719</f>
        <v>21.009337483325947</v>
      </c>
      <c r="AI71" s="478">
        <f>INPUT!AJ719</f>
        <v>11.062714322092532</v>
      </c>
      <c r="AJ71" s="502">
        <f>INPUT!AK719</f>
        <v>18.243105209397378</v>
      </c>
      <c r="AK71" s="478">
        <f>INPUT!AL719</f>
        <v>12.057364192195934</v>
      </c>
      <c r="AL71" s="502">
        <f>INPUT!AM719</f>
        <v>15.983843046739782</v>
      </c>
      <c r="AM71" s="478">
        <f>INPUT!AN719</f>
        <v>7.698364143243694</v>
      </c>
      <c r="AN71" s="502">
        <f>INPUT!AO719</f>
        <v>16.560088202866531</v>
      </c>
      <c r="AO71" s="478">
        <f>INPUT!AP719</f>
        <v>0.63269493344617445</v>
      </c>
      <c r="AP71" s="502">
        <f>INPUT!AQ719</f>
        <v>18.196750376290698</v>
      </c>
      <c r="AQ71" s="478">
        <f>INPUT!AR719</f>
        <v>-13.38731937295718</v>
      </c>
      <c r="AR71" s="502">
        <f>INPUT!AS719</f>
        <v>17.04430065527055</v>
      </c>
      <c r="AS71" s="478">
        <f>INPUT!AT719</f>
        <v>-6.5712746835955329</v>
      </c>
      <c r="AT71" s="502">
        <f>INPUT!AU719</f>
        <v>16.629925813469637</v>
      </c>
      <c r="AU71" s="478">
        <f>INPUT!AV719</f>
        <v>4.0420990423929197</v>
      </c>
      <c r="AV71" s="502">
        <f>INPUT!AW719</f>
        <v>15.865556070903223</v>
      </c>
      <c r="AW71" s="478">
        <f>INPUT!AX719</f>
        <v>-4.1940122749049493</v>
      </c>
      <c r="AX71" s="502"/>
      <c r="AY71" s="502"/>
      <c r="AZ71" s="491"/>
      <c r="BA71" s="502"/>
      <c r="BB71" s="491"/>
      <c r="BC71" s="502"/>
      <c r="BD71" s="491"/>
      <c r="BE71" s="502"/>
      <c r="BF71" s="478"/>
      <c r="BG71" s="502"/>
      <c r="BH71" s="478"/>
      <c r="BI71" s="502"/>
      <c r="BJ71" s="478"/>
      <c r="BK71" s="502"/>
      <c r="BL71" s="478"/>
      <c r="BM71" s="502"/>
      <c r="BN71" s="478"/>
      <c r="BO71" s="502"/>
      <c r="BP71" s="478"/>
      <c r="BQ71" s="502"/>
      <c r="BR71" s="478"/>
      <c r="BS71" s="502">
        <f>INPUT!BB719</f>
        <v>20.908460471567242</v>
      </c>
      <c r="BT71" s="478" t="str">
        <f>INPUT!BC719</f>
        <v>NA</v>
      </c>
      <c r="BU71" s="502">
        <f>INPUT!BD719</f>
        <v>16.419206729479033</v>
      </c>
      <c r="BV71" s="478">
        <f>INPUT!BE719</f>
        <v>-21.47099136348659</v>
      </c>
      <c r="BW71" s="502">
        <f>INPUT!BF719</f>
        <v>15.657457984693963</v>
      </c>
      <c r="BX71" s="478">
        <f>INPUT!BG719</f>
        <v>-4.6393760510818538</v>
      </c>
      <c r="BY71" s="502">
        <f>INPUT!BH719</f>
        <v>16.50233217216746</v>
      </c>
      <c r="BZ71" s="478">
        <f>INPUT!BI719</f>
        <v>5.3959856593542241</v>
      </c>
      <c r="CA71" s="502">
        <f>INPUT!BJ719</f>
        <v>17.880483086736021</v>
      </c>
      <c r="CB71" s="478">
        <f>INPUT!BK719</f>
        <v>8.3512493882102632</v>
      </c>
      <c r="CC71" s="502">
        <f>INPUT!BL719</f>
        <v>16.906827381377447</v>
      </c>
      <c r="CD71" s="478">
        <f>INPUT!BM719</f>
        <v>-5.4453545837407802</v>
      </c>
      <c r="CE71" s="502">
        <f>INPUT!BN719</f>
        <v>16.646103072966394</v>
      </c>
      <c r="CF71" s="478">
        <f>INPUT!BO719</f>
        <v>-1.5421243887438862</v>
      </c>
      <c r="CG71" s="502">
        <f>INPUT!BP719</f>
        <v>16.744862589068468</v>
      </c>
      <c r="CH71" s="478">
        <f>INPUT!BQ719</f>
        <v>0.59328910597977824</v>
      </c>
      <c r="CI71" s="502">
        <f>INPUT!BR719</f>
        <v>16.901896177802762</v>
      </c>
      <c r="CJ71" s="478">
        <f>INPUT!BS719</f>
        <v>0.93780159675247887</v>
      </c>
      <c r="CK71" s="502">
        <f>INPUT!BT719</f>
        <v>17.046234839353033</v>
      </c>
      <c r="CL71" s="478">
        <f>INPUT!BU719</f>
        <v>0.8539791040713709</v>
      </c>
      <c r="CM71" s="871">
        <f>INPUT!BV719</f>
        <v>-0.9510573457798599</v>
      </c>
    </row>
    <row r="72" spans="1:91" s="501" customFormat="1" ht="12.75" customHeight="1" x14ac:dyDescent="0.2">
      <c r="A72" s="869" t="str">
        <f>INPUT!B720</f>
        <v>Spread</v>
      </c>
      <c r="B72" s="746">
        <f>INPUT!C720</f>
        <v>25.4427149783108</v>
      </c>
      <c r="C72" s="741" t="str">
        <f>INPUT!D720</f>
        <v>NA</v>
      </c>
      <c r="D72" s="746">
        <f>INPUT!E720</f>
        <v>20.678570687903118</v>
      </c>
      <c r="E72" s="742" t="str">
        <f>INPUT!F720</f>
        <v>NA</v>
      </c>
      <c r="F72" s="746">
        <f>INPUT!G720</f>
        <v>21.35906418372155</v>
      </c>
      <c r="G72" s="742" t="str">
        <f>INPUT!H720</f>
        <v>NA</v>
      </c>
      <c r="H72" s="746">
        <f>INPUT!I720</f>
        <v>17.227448378156833</v>
      </c>
      <c r="I72" s="742" t="str">
        <f>INPUT!J720</f>
        <v>NA</v>
      </c>
      <c r="J72" s="746">
        <f>INPUT!K720</f>
        <v>18.562596273554067</v>
      </c>
      <c r="K72" s="742">
        <f>INPUT!L720</f>
        <v>-27.041605860938347</v>
      </c>
      <c r="L72" s="746">
        <f>INPUT!M720</f>
        <v>16.812674743709231</v>
      </c>
      <c r="M72" s="742">
        <f>INPUT!N720</f>
        <v>-18.695179674364155</v>
      </c>
      <c r="N72" s="746">
        <f>INPUT!O720</f>
        <v>15.582535515750493</v>
      </c>
      <c r="O72" s="742">
        <f>INPUT!P720</f>
        <v>-27.044858418345598</v>
      </c>
      <c r="P72" s="746">
        <f>INPUT!Q720</f>
        <v>14.8963531669866</v>
      </c>
      <c r="Q72" s="742">
        <f>INPUT!R720</f>
        <v>-13.531285423126818</v>
      </c>
      <c r="R72" s="746">
        <f>INPUT!S720</f>
        <v>14.035590725767896</v>
      </c>
      <c r="S72" s="742">
        <f>INPUT!T720</f>
        <v>-24.387782188829632</v>
      </c>
      <c r="T72" s="746">
        <f>INPUT!U720</f>
        <v>16.930982546292196</v>
      </c>
      <c r="U72" s="742">
        <f>INPUT!V720</f>
        <v>0.70368221824568877</v>
      </c>
      <c r="V72" s="746">
        <f>INPUT!W720</f>
        <v>15.563735138965457</v>
      </c>
      <c r="W72" s="742">
        <f>INPUT!X720</f>
        <v>-0.12065030601748106</v>
      </c>
      <c r="X72" s="746">
        <f>INPUT!Y720</f>
        <v>16.009280742459399</v>
      </c>
      <c r="Y72" s="742">
        <f>INPUT!Z720</f>
        <v>7.4711411779580885</v>
      </c>
      <c r="Z72" s="746">
        <f>INPUT!AA720</f>
        <v>18.916643278136398</v>
      </c>
      <c r="AA72" s="742">
        <f>INPUT!AB720</f>
        <v>34.776253082154852</v>
      </c>
      <c r="AB72" s="746">
        <f>INPUT!AC720</f>
        <v>16.280148423005553</v>
      </c>
      <c r="AC72" s="742">
        <f>INPUT!AD720</f>
        <v>-3.8440422551210673</v>
      </c>
      <c r="AD72" s="746">
        <f>INPUT!AE720</f>
        <v>14.841305319624492</v>
      </c>
      <c r="AE72" s="742">
        <f>INPUT!AF720</f>
        <v>-4.6417509221953139</v>
      </c>
      <c r="AF72" s="746">
        <f>INPUT!AG720</f>
        <v>16.455972101133344</v>
      </c>
      <c r="AG72" s="742">
        <f>INPUT!AH720</f>
        <v>2.7902025447604331</v>
      </c>
      <c r="AH72" s="746">
        <f>INPUT!AI720</f>
        <v>21.009337483325947</v>
      </c>
      <c r="AI72" s="742">
        <f>INPUT!AJ720</f>
        <v>11.062714322092532</v>
      </c>
      <c r="AJ72" s="746">
        <f>INPUT!AK720</f>
        <v>18.243105209397378</v>
      </c>
      <c r="AK72" s="742">
        <f>INPUT!AL720</f>
        <v>12.057364192195934</v>
      </c>
      <c r="AL72" s="746">
        <f>INPUT!AM720</f>
        <v>15.983843046739782</v>
      </c>
      <c r="AM72" s="742">
        <f>INPUT!AN720</f>
        <v>7.698364143243694</v>
      </c>
      <c r="AN72" s="746">
        <f>INPUT!AO720</f>
        <v>16.560088202866531</v>
      </c>
      <c r="AO72" s="742">
        <f>INPUT!AP720</f>
        <v>0.63269493344617445</v>
      </c>
      <c r="AP72" s="746">
        <f>INPUT!AQ720</f>
        <v>18.196750376290698</v>
      </c>
      <c r="AQ72" s="742">
        <f>INPUT!AR720</f>
        <v>-13.38731937295718</v>
      </c>
      <c r="AR72" s="746">
        <f>INPUT!AS720</f>
        <v>17.04430065527055</v>
      </c>
      <c r="AS72" s="742">
        <f>INPUT!AT720</f>
        <v>-6.5712746835955329</v>
      </c>
      <c r="AT72" s="746">
        <f>INPUT!AU720</f>
        <v>16.629925813469637</v>
      </c>
      <c r="AU72" s="742">
        <f>INPUT!AV720</f>
        <v>4.0420990423929197</v>
      </c>
      <c r="AV72" s="746">
        <f>INPUT!AW720</f>
        <v>15.865556070903223</v>
      </c>
      <c r="AW72" s="742">
        <f>INPUT!AX720</f>
        <v>-4.1940122749049493</v>
      </c>
      <c r="AX72" s="746"/>
      <c r="AY72" s="746"/>
      <c r="AZ72" s="741"/>
      <c r="BA72" s="746"/>
      <c r="BB72" s="741"/>
      <c r="BC72" s="746"/>
      <c r="BD72" s="741"/>
      <c r="BE72" s="746"/>
      <c r="BF72" s="742"/>
      <c r="BG72" s="746"/>
      <c r="BH72" s="742"/>
      <c r="BI72" s="746"/>
      <c r="BJ72" s="742"/>
      <c r="BK72" s="746"/>
      <c r="BL72" s="742"/>
      <c r="BM72" s="746"/>
      <c r="BN72" s="742"/>
      <c r="BO72" s="746"/>
      <c r="BP72" s="742"/>
      <c r="BQ72" s="746"/>
      <c r="BR72" s="742"/>
      <c r="BS72" s="746">
        <f>INPUT!BB720</f>
        <v>20.908460471567242</v>
      </c>
      <c r="BT72" s="742" t="str">
        <f>INPUT!BC720</f>
        <v>NA</v>
      </c>
      <c r="BU72" s="746">
        <f>INPUT!BD720</f>
        <v>16.419206729479033</v>
      </c>
      <c r="BV72" s="742">
        <f>INPUT!BE720</f>
        <v>-21.47099136348659</v>
      </c>
      <c r="BW72" s="746">
        <f>INPUT!BF720</f>
        <v>15.657457984693963</v>
      </c>
      <c r="BX72" s="742">
        <f>INPUT!BG720</f>
        <v>-4.6393760510818538</v>
      </c>
      <c r="BY72" s="746">
        <f>INPUT!BH720</f>
        <v>16.50233217216746</v>
      </c>
      <c r="BZ72" s="742">
        <f>INPUT!BI720</f>
        <v>5.3959856593542241</v>
      </c>
      <c r="CA72" s="746">
        <f>INPUT!BJ720</f>
        <v>17.880483086736021</v>
      </c>
      <c r="CB72" s="742">
        <f>INPUT!BK720</f>
        <v>8.3512493882102632</v>
      </c>
      <c r="CC72" s="746">
        <f>INPUT!BL720</f>
        <v>16.906827381377447</v>
      </c>
      <c r="CD72" s="742">
        <f>INPUT!BM720</f>
        <v>-5.4453545837407802</v>
      </c>
      <c r="CE72" s="746">
        <f>INPUT!BN720</f>
        <v>16.646103072966394</v>
      </c>
      <c r="CF72" s="742">
        <f>INPUT!BO720</f>
        <v>-1.5421243887438862</v>
      </c>
      <c r="CG72" s="746">
        <f>INPUT!BP720</f>
        <v>16.744862589068468</v>
      </c>
      <c r="CH72" s="742">
        <f>INPUT!BQ720</f>
        <v>0.59328910597977824</v>
      </c>
      <c r="CI72" s="746">
        <f>INPUT!BR720</f>
        <v>16.901896177802762</v>
      </c>
      <c r="CJ72" s="742">
        <f>INPUT!BS720</f>
        <v>0.93780159675247887</v>
      </c>
      <c r="CK72" s="746">
        <f>INPUT!BT720</f>
        <v>17.046234839353033</v>
      </c>
      <c r="CL72" s="742">
        <f>INPUT!BU720</f>
        <v>0.8539791040713709</v>
      </c>
      <c r="CM72" s="896">
        <f>INPUT!BV720</f>
        <v>-0.9510573457798599</v>
      </c>
    </row>
    <row r="73" spans="1:91" s="475" customFormat="1" ht="12.75" customHeight="1" x14ac:dyDescent="0.2">
      <c r="A73" s="873" t="str">
        <f>INPUT!B721</f>
        <v>Individual Life</v>
      </c>
      <c r="B73" s="502">
        <f>INPUT!C721</f>
        <v>6.6011737688185859</v>
      </c>
      <c r="C73" s="491" t="str">
        <f>INPUT!D721</f>
        <v>NA</v>
      </c>
      <c r="D73" s="502">
        <f>INPUT!E721</f>
        <v>8.1420187063190816</v>
      </c>
      <c r="E73" s="478" t="str">
        <f>INPUT!F721</f>
        <v>NA</v>
      </c>
      <c r="F73" s="502">
        <f>INPUT!G721</f>
        <v>8.3891586257759325</v>
      </c>
      <c r="G73" s="478" t="str">
        <f>INPUT!H721</f>
        <v>NA</v>
      </c>
      <c r="H73" s="502">
        <f>INPUT!I721</f>
        <v>10.804481049221279</v>
      </c>
      <c r="I73" s="478" t="str">
        <f>INPUT!J721</f>
        <v>NA</v>
      </c>
      <c r="J73" s="502">
        <f>INPUT!K721</f>
        <v>5.9800384039163568</v>
      </c>
      <c r="K73" s="478">
        <f>INPUT!L721</f>
        <v>-9.4094684772007469</v>
      </c>
      <c r="L73" s="502">
        <f>INPUT!M721</f>
        <v>6.68779123951537</v>
      </c>
      <c r="M73" s="478">
        <f>INPUT!N721</f>
        <v>-17.860772853236938</v>
      </c>
      <c r="N73" s="502">
        <f>INPUT!O721</f>
        <v>4.1402872143298177</v>
      </c>
      <c r="O73" s="478" t="str">
        <f>INPUT!P721</f>
        <v>NM</v>
      </c>
      <c r="P73" s="502">
        <f>INPUT!Q721</f>
        <v>9.7312859884836964</v>
      </c>
      <c r="Q73" s="478">
        <f>INPUT!R721</f>
        <v>-9.9328700365014981</v>
      </c>
      <c r="R73" s="502">
        <f>INPUT!S721</f>
        <v>8.7218303801823573</v>
      </c>
      <c r="S73" s="478">
        <f>INPUT!T721</f>
        <v>45.849069706147503</v>
      </c>
      <c r="T73" s="502">
        <f>INPUT!U721</f>
        <v>8.4539735979445361</v>
      </c>
      <c r="U73" s="478">
        <f>INPUT!V721</f>
        <v>26.40905338063682</v>
      </c>
      <c r="V73" s="502">
        <f>INPUT!W721</f>
        <v>10.816077474214628</v>
      </c>
      <c r="W73" s="478" t="str">
        <f>INPUT!X721</f>
        <v>NM</v>
      </c>
      <c r="X73" s="502">
        <f>INPUT!Y721</f>
        <v>7.6823923691673137</v>
      </c>
      <c r="Y73" s="478">
        <f>INPUT!Z721</f>
        <v>-21.054705634395148</v>
      </c>
      <c r="Z73" s="502">
        <f>INPUT!AA721</f>
        <v>11.759753017120399</v>
      </c>
      <c r="AA73" s="478">
        <f>INPUT!AB721</f>
        <v>34.831251062171248</v>
      </c>
      <c r="AB73" s="502">
        <f>INPUT!AC721</f>
        <v>8.6038961038960977</v>
      </c>
      <c r="AC73" s="478">
        <f>INPUT!AD721</f>
        <v>1.7733969028246577</v>
      </c>
      <c r="AD73" s="502">
        <f>INPUT!AE721</f>
        <v>8.8287885561019337</v>
      </c>
      <c r="AE73" s="478">
        <f>INPUT!AF721</f>
        <v>-18.373471555195152</v>
      </c>
      <c r="AF73" s="502">
        <f>INPUT!AG721</f>
        <v>7.6285963382737592</v>
      </c>
      <c r="AG73" s="478">
        <f>INPUT!AH721</f>
        <v>-0.70025101958421487</v>
      </c>
      <c r="AH73" s="502">
        <f>INPUT!AI721</f>
        <v>9.0484659848821671</v>
      </c>
      <c r="AI73" s="478">
        <f>INPUT!AJ721</f>
        <v>-23.055646052183349</v>
      </c>
      <c r="AJ73" s="502">
        <f>INPUT!AK721</f>
        <v>7.7221654749744646</v>
      </c>
      <c r="AK73" s="478">
        <f>INPUT!AL721</f>
        <v>-10.248039007843886</v>
      </c>
      <c r="AL73" s="502">
        <f>INPUT!AM721</f>
        <v>8.9247932294672001</v>
      </c>
      <c r="AM73" s="478">
        <f>INPUT!AN721</f>
        <v>1.0874048319903977</v>
      </c>
      <c r="AN73" s="502">
        <f>INPUT!AO721</f>
        <v>10.650496141124595</v>
      </c>
      <c r="AO73" s="478">
        <f>INPUT!AP721</f>
        <v>39.612789415656096</v>
      </c>
      <c r="AP73" s="502">
        <f>INPUT!AQ721</f>
        <v>7.5407903690551432</v>
      </c>
      <c r="AQ73" s="478">
        <f>INPUT!AR721</f>
        <v>-16.662223390638715</v>
      </c>
      <c r="AR73" s="502">
        <f>INPUT!AS721</f>
        <v>7.9204428931191924</v>
      </c>
      <c r="AS73" s="478">
        <f>INPUT!AT721</f>
        <v>2.5676401106308049</v>
      </c>
      <c r="AT73" s="502">
        <f>INPUT!AU721</f>
        <v>8.3595935780565522</v>
      </c>
      <c r="AU73" s="478">
        <f>INPUT!AV721</f>
        <v>-6.3329159217326776</v>
      </c>
      <c r="AV73" s="502">
        <f>INPUT!AW721</f>
        <v>8.583746762698091</v>
      </c>
      <c r="AW73" s="478">
        <f>INPUT!AX721</f>
        <v>-19.405193439263329</v>
      </c>
      <c r="AX73" s="502"/>
      <c r="AY73" s="502"/>
      <c r="AZ73" s="491"/>
      <c r="BA73" s="502"/>
      <c r="BB73" s="491"/>
      <c r="BC73" s="502"/>
      <c r="BD73" s="491"/>
      <c r="BE73" s="502"/>
      <c r="BF73" s="478"/>
      <c r="BG73" s="502"/>
      <c r="BH73" s="478"/>
      <c r="BI73" s="502"/>
      <c r="BJ73" s="478"/>
      <c r="BK73" s="502"/>
      <c r="BL73" s="478"/>
      <c r="BM73" s="502"/>
      <c r="BN73" s="478"/>
      <c r="BO73" s="502"/>
      <c r="BP73" s="478"/>
      <c r="BQ73" s="502"/>
      <c r="BR73" s="478"/>
      <c r="BS73" s="502">
        <f>INPUT!BB721</f>
        <v>8.611970553718141</v>
      </c>
      <c r="BT73" s="478" t="str">
        <f>INPUT!BC721</f>
        <v>NA</v>
      </c>
      <c r="BU73" s="502">
        <f>INPUT!BD721</f>
        <v>6.6538504701169634</v>
      </c>
      <c r="BV73" s="478">
        <f>INPUT!BE721</f>
        <v>-22.737189721994312</v>
      </c>
      <c r="BW73" s="502">
        <f>INPUT!BF721</f>
        <v>8.9069115118842728</v>
      </c>
      <c r="BX73" s="478">
        <f>INPUT!BG721</f>
        <v>33.861011032424102</v>
      </c>
      <c r="BY73" s="502">
        <f>INPUT!BH721</f>
        <v>9.0629981696876456</v>
      </c>
      <c r="BZ73" s="478">
        <f>INPUT!BI721</f>
        <v>1.7524217861052165</v>
      </c>
      <c r="CA73" s="502">
        <f>INPUT!BJ721</f>
        <v>9.0552621948031575</v>
      </c>
      <c r="CB73" s="478">
        <f>INPUT!BK721</f>
        <v>-8.5357789328071476E-2</v>
      </c>
      <c r="CC73" s="502">
        <f>INPUT!BL721</f>
        <v>8.1145284242628986</v>
      </c>
      <c r="CD73" s="478">
        <f>INPUT!BM721</f>
        <v>-10.38880763806209</v>
      </c>
      <c r="CE73" s="502">
        <f>INPUT!BN721</f>
        <v>8.1237006714612541</v>
      </c>
      <c r="CF73" s="478">
        <f>INPUT!BO721</f>
        <v>0.11303487669019319</v>
      </c>
      <c r="CG73" s="502">
        <f>INPUT!BP721</f>
        <v>7.7839151139086766</v>
      </c>
      <c r="CH73" s="478">
        <f>INPUT!BQ721</f>
        <v>-4.1826449704905002</v>
      </c>
      <c r="CI73" s="502">
        <f>INPUT!BR721</f>
        <v>7.5740912217115026</v>
      </c>
      <c r="CJ73" s="478">
        <f>INPUT!BS721</f>
        <v>-2.6956086895430076</v>
      </c>
      <c r="CK73" s="502">
        <f>INPUT!BT721</f>
        <v>7.3718331713608993</v>
      </c>
      <c r="CL73" s="478">
        <f>INPUT!BU721</f>
        <v>-2.6703936410327458</v>
      </c>
      <c r="CM73" s="871">
        <f>INPUT!BV721</f>
        <v>-4.0301328303249617</v>
      </c>
    </row>
    <row r="74" spans="1:91" s="475" customFormat="1" ht="12.75" customHeight="1" x14ac:dyDescent="0.2">
      <c r="A74" s="873" t="str">
        <f>INPUT!B722</f>
        <v>Specialty Benefits</v>
      </c>
      <c r="B74" s="502">
        <f>INPUT!C722</f>
        <v>10.581781066598611</v>
      </c>
      <c r="C74" s="491" t="str">
        <f>INPUT!D722</f>
        <v>NA</v>
      </c>
      <c r="D74" s="502">
        <f>INPUT!E722</f>
        <v>10.649329102635889</v>
      </c>
      <c r="E74" s="478" t="str">
        <f>INPUT!F722</f>
        <v>NA</v>
      </c>
      <c r="F74" s="502">
        <f>INPUT!G722</f>
        <v>12.969905557945635</v>
      </c>
      <c r="G74" s="478" t="str">
        <f>INPUT!H722</f>
        <v>NA</v>
      </c>
      <c r="H74" s="502">
        <f>INPUT!I722</f>
        <v>10.58003825285919</v>
      </c>
      <c r="I74" s="478" t="str">
        <f>INPUT!J722</f>
        <v>NA</v>
      </c>
      <c r="J74" s="502">
        <f>INPUT!K722</f>
        <v>11.219429849549515</v>
      </c>
      <c r="K74" s="478">
        <f>INPUT!L722</f>
        <v>6.0259116961287589</v>
      </c>
      <c r="L74" s="502">
        <f>INPUT!M722</f>
        <v>11.049394221808022</v>
      </c>
      <c r="M74" s="478">
        <f>INPUT!N722</f>
        <v>3.7567166468083855</v>
      </c>
      <c r="N74" s="502">
        <f>INPUT!O722</f>
        <v>12.195027794935147</v>
      </c>
      <c r="O74" s="478">
        <f>INPUT!P722</f>
        <v>-5.9744287230818145</v>
      </c>
      <c r="P74" s="502">
        <f>INPUT!Q722</f>
        <v>11.003838771593079</v>
      </c>
      <c r="Q74" s="478">
        <f>INPUT!R722</f>
        <v>4.0056614976733158</v>
      </c>
      <c r="R74" s="502">
        <f>INPUT!S722</f>
        <v>10.48225242273068</v>
      </c>
      <c r="S74" s="478">
        <f>INPUT!T722</f>
        <v>-6.5705426809049072</v>
      </c>
      <c r="T74" s="502">
        <f>INPUT!U722</f>
        <v>11.840170107202985</v>
      </c>
      <c r="U74" s="478">
        <f>INPUT!V722</f>
        <v>7.1567351976112832</v>
      </c>
      <c r="V74" s="502">
        <f>INPUT!W722</f>
        <v>13.624911424297292</v>
      </c>
      <c r="W74" s="478">
        <f>INPUT!X722</f>
        <v>11.725136288381449</v>
      </c>
      <c r="X74" s="502">
        <f>INPUT!Y722</f>
        <v>14.642949213714877</v>
      </c>
      <c r="Y74" s="478">
        <f>INPUT!Z722</f>
        <v>33.071281010735362</v>
      </c>
      <c r="Z74" s="502">
        <f>INPUT!AA722</f>
        <v>10.833567218635972</v>
      </c>
      <c r="AA74" s="478">
        <f>INPUT!AB722</f>
        <v>3.3515200906960558</v>
      </c>
      <c r="AB74" s="502">
        <f>INPUT!AC722</f>
        <v>15.422077922077952</v>
      </c>
      <c r="AC74" s="478">
        <f>INPUT!AD722</f>
        <v>30.252165150025235</v>
      </c>
      <c r="AD74" s="502">
        <f>INPUT!AE722</f>
        <v>12.516763522574891</v>
      </c>
      <c r="AE74" s="478">
        <f>INPUT!AF722</f>
        <v>-8.1332484829680567</v>
      </c>
      <c r="AF74" s="502">
        <f>INPUT!AG722</f>
        <v>14.581517000871838</v>
      </c>
      <c r="AG74" s="478">
        <f>INPUT!AH722</f>
        <v>-0.41953442538405739</v>
      </c>
      <c r="AH74" s="502">
        <f>INPUT!AI722</f>
        <v>10.115606936416183</v>
      </c>
      <c r="AI74" s="478">
        <f>INPUT!AJ722</f>
        <v>-6.6271826050495122</v>
      </c>
      <c r="AJ74" s="502">
        <f>INPUT!AK722</f>
        <v>12.99284984678242</v>
      </c>
      <c r="AK74" s="478">
        <f>INPUT!AL722</f>
        <v>-15.751626256653111</v>
      </c>
      <c r="AL74" s="502">
        <f>INPUT!AM722</f>
        <v>13.425658780534718</v>
      </c>
      <c r="AM74" s="478">
        <f>INPUT!AN722</f>
        <v>7.2614239002004553</v>
      </c>
      <c r="AN74" s="502">
        <f>INPUT!AO722</f>
        <v>13.803748621830197</v>
      </c>
      <c r="AO74" s="478">
        <f>INPUT!AP722</f>
        <v>-5.3339332183005297</v>
      </c>
      <c r="AP74" s="502">
        <f>INPUT!AQ722</f>
        <v>11.475318092316867</v>
      </c>
      <c r="AQ74" s="478">
        <f>INPUT!AR722</f>
        <v>13.441715998332484</v>
      </c>
      <c r="AR74" s="502">
        <f>INPUT!AS722</f>
        <v>13.12205673368722</v>
      </c>
      <c r="AS74" s="478">
        <f>INPUT!AT722</f>
        <v>0.9944460871053451</v>
      </c>
      <c r="AT74" s="502">
        <f>INPUT!AU722</f>
        <v>14.481022232753368</v>
      </c>
      <c r="AU74" s="478">
        <f>INPUT!AV722</f>
        <v>7.8607945388033755</v>
      </c>
      <c r="AV74" s="502">
        <f>INPUT!AW722</f>
        <v>14.899323712022177</v>
      </c>
      <c r="AW74" s="478">
        <f>INPUT!AX722</f>
        <v>7.9367939840585393</v>
      </c>
      <c r="AX74" s="502"/>
      <c r="AY74" s="502"/>
      <c r="AZ74" s="491"/>
      <c r="BA74" s="502"/>
      <c r="BB74" s="491"/>
      <c r="BC74" s="502"/>
      <c r="BD74" s="491"/>
      <c r="BE74" s="502"/>
      <c r="BF74" s="478"/>
      <c r="BG74" s="502"/>
      <c r="BH74" s="478"/>
      <c r="BI74" s="502"/>
      <c r="BJ74" s="478"/>
      <c r="BK74" s="502"/>
      <c r="BL74" s="478"/>
      <c r="BM74" s="502"/>
      <c r="BN74" s="478"/>
      <c r="BO74" s="502"/>
      <c r="BP74" s="478"/>
      <c r="BQ74" s="502"/>
      <c r="BR74" s="478"/>
      <c r="BS74" s="502">
        <f>INPUT!BB722</f>
        <v>11.220527045769749</v>
      </c>
      <c r="BT74" s="478" t="str">
        <f>INPUT!BC722</f>
        <v>NA</v>
      </c>
      <c r="BU74" s="502">
        <f>INPUT!BD722</f>
        <v>11.366730259723143</v>
      </c>
      <c r="BV74" s="478">
        <f>INPUT!BE722</f>
        <v>1.3029977411668483</v>
      </c>
      <c r="BW74" s="502">
        <f>INPUT!BF722</f>
        <v>12.606734830914901</v>
      </c>
      <c r="BX74" s="478">
        <f>INPUT!BG722</f>
        <v>10.909070091911914</v>
      </c>
      <c r="BY74" s="502">
        <f>INPUT!BH722</f>
        <v>13.461652004487219</v>
      </c>
      <c r="BZ74" s="478">
        <f>INPUT!BI722</f>
        <v>6.7814321871500454</v>
      </c>
      <c r="CA74" s="502">
        <f>INPUT!BJ722</f>
        <v>12.626130600721464</v>
      </c>
      <c r="CB74" s="478">
        <f>INPUT!BK722</f>
        <v>-6.2066780770090304</v>
      </c>
      <c r="CC74" s="502">
        <f>INPUT!BL722</f>
        <v>13.537232345570004</v>
      </c>
      <c r="CD74" s="478">
        <f>INPUT!BM722</f>
        <v>7.2160012727611189</v>
      </c>
      <c r="CE74" s="502">
        <f>INPUT!BN722</f>
        <v>13.572390874891784</v>
      </c>
      <c r="CF74" s="478">
        <f>INPUT!BO722</f>
        <v>0.25971726291072628</v>
      </c>
      <c r="CG74" s="502">
        <f>INPUT!BP722</f>
        <v>13.37523484475421</v>
      </c>
      <c r="CH74" s="478">
        <f>INPUT!BQ722</f>
        <v>-1.4526256424157538</v>
      </c>
      <c r="CI74" s="502">
        <f>INPUT!BR722</f>
        <v>13.237682123911412</v>
      </c>
      <c r="CJ74" s="478">
        <f>INPUT!BS722</f>
        <v>-1.0284135003188197</v>
      </c>
      <c r="CK74" s="502">
        <f>INPUT!BT722</f>
        <v>13.098434826225066</v>
      </c>
      <c r="CL74" s="478">
        <f>INPUT!BU722</f>
        <v>-1.0519009021588488</v>
      </c>
      <c r="CM74" s="871">
        <f>INPUT!BV722</f>
        <v>0.73718836213323424</v>
      </c>
    </row>
    <row r="75" spans="1:91" s="501" customFormat="1" ht="12.75" customHeight="1" x14ac:dyDescent="0.2">
      <c r="A75" s="869" t="str">
        <f>INPUT!B723</f>
        <v>Risk</v>
      </c>
      <c r="B75" s="746">
        <f>INPUT!C723</f>
        <v>17.182954835417195</v>
      </c>
      <c r="C75" s="741" t="str">
        <f>INPUT!D723</f>
        <v>NA</v>
      </c>
      <c r="D75" s="746">
        <f>INPUT!E723</f>
        <v>18.791347808954971</v>
      </c>
      <c r="E75" s="742" t="str">
        <f>INPUT!F723</f>
        <v>NA</v>
      </c>
      <c r="F75" s="746">
        <f>INPUT!G723</f>
        <v>21.359064183721568</v>
      </c>
      <c r="G75" s="742" t="str">
        <f>INPUT!H723</f>
        <v>NA</v>
      </c>
      <c r="H75" s="746">
        <f>INPUT!I723</f>
        <v>21.38451930208047</v>
      </c>
      <c r="I75" s="742" t="str">
        <f>INPUT!J723</f>
        <v>NA</v>
      </c>
      <c r="J75" s="746">
        <f>INPUT!K723</f>
        <v>17.199468253465874</v>
      </c>
      <c r="K75" s="742">
        <f>INPUT!L723</f>
        <v>9.6103482822655906E-2</v>
      </c>
      <c r="L75" s="746">
        <f>INPUT!M723</f>
        <v>17.737185461323392</v>
      </c>
      <c r="M75" s="742">
        <f>INPUT!N723</f>
        <v>-5.609828301561322</v>
      </c>
      <c r="N75" s="746">
        <f>INPUT!O723</f>
        <v>16.335315009264963</v>
      </c>
      <c r="O75" s="742">
        <f>INPUT!P723</f>
        <v>-23.520455443386723</v>
      </c>
      <c r="P75" s="746">
        <f>INPUT!Q723</f>
        <v>20.735124760076776</v>
      </c>
      <c r="Q75" s="742">
        <f>INPUT!R723</f>
        <v>-3.0367507112517416</v>
      </c>
      <c r="R75" s="746">
        <f>INPUT!S723</f>
        <v>19.204082802913035</v>
      </c>
      <c r="S75" s="742">
        <f>INPUT!T723</f>
        <v>11.655096075677875</v>
      </c>
      <c r="T75" s="746">
        <f>INPUT!U723</f>
        <v>20.294143705147519</v>
      </c>
      <c r="U75" s="742">
        <f>INPUT!V723</f>
        <v>14.415805987932373</v>
      </c>
      <c r="V75" s="746">
        <f>INPUT!W723</f>
        <v>24.440988898511918</v>
      </c>
      <c r="W75" s="742">
        <f>INPUT!X723</f>
        <v>49.62055451425104</v>
      </c>
      <c r="X75" s="746">
        <f>INPUT!Y723</f>
        <v>22.325341582882189</v>
      </c>
      <c r="Y75" s="742">
        <f>INPUT!Z723</f>
        <v>7.6691934155477242</v>
      </c>
      <c r="Z75" s="746">
        <f>INPUT!AA723</f>
        <v>22.593320235756373</v>
      </c>
      <c r="AA75" s="742">
        <f>INPUT!AB723</f>
        <v>17.648525407988913</v>
      </c>
      <c r="AB75" s="746">
        <f>INPUT!AC723</f>
        <v>24.025974025974051</v>
      </c>
      <c r="AC75" s="742">
        <f>INPUT!AD723</f>
        <v>18.388705505618191</v>
      </c>
      <c r="AD75" s="746">
        <f>INPUT!AE723</f>
        <v>21.345552078676825</v>
      </c>
      <c r="AE75" s="742">
        <f>INPUT!AF723</f>
        <v>-12.664940983724108</v>
      </c>
      <c r="AF75" s="746">
        <f>INPUT!AG723</f>
        <v>22.210113339145597</v>
      </c>
      <c r="AG75" s="742">
        <f>INPUT!AH723</f>
        <v>-0.51613205248757765</v>
      </c>
      <c r="AH75" s="746">
        <f>INPUT!AI723</f>
        <v>19.164072921298349</v>
      </c>
      <c r="AI75" s="742">
        <f>INPUT!AJ723</f>
        <v>-15.178146809209863</v>
      </c>
      <c r="AJ75" s="746">
        <f>INPUT!AK723</f>
        <v>20.715015321756884</v>
      </c>
      <c r="AK75" s="742">
        <f>INPUT!AL723</f>
        <v>-13.780747039174145</v>
      </c>
      <c r="AL75" s="746">
        <f>INPUT!AM723</f>
        <v>22.350452010001916</v>
      </c>
      <c r="AM75" s="742">
        <f>INPUT!AN723</f>
        <v>4.7077720342915796</v>
      </c>
      <c r="AN75" s="746">
        <f>INPUT!AO723</f>
        <v>24.454244762954794</v>
      </c>
      <c r="AO75" s="742">
        <f>INPUT!AP723</f>
        <v>10.104097127023152</v>
      </c>
      <c r="AP75" s="746">
        <f>INPUT!AQ723</f>
        <v>19.01610846137201</v>
      </c>
      <c r="AQ75" s="742">
        <f>INPUT!AR723</f>
        <v>-0.77209297070611171</v>
      </c>
      <c r="AR75" s="746">
        <f>INPUT!AS723</f>
        <v>21.042499626806411</v>
      </c>
      <c r="AS75" s="742">
        <f>INPUT!AT723</f>
        <v>1.5809030307864163</v>
      </c>
      <c r="AT75" s="746">
        <f>INPUT!AU723</f>
        <v>22.840615810809922</v>
      </c>
      <c r="AU75" s="742">
        <f>INPUT!AV723</f>
        <v>2.1930822722898711</v>
      </c>
      <c r="AV75" s="746">
        <f>INPUT!AW723</f>
        <v>23.483070474720268</v>
      </c>
      <c r="AW75" s="742">
        <f>INPUT!AX723</f>
        <v>-3.9713935050888836</v>
      </c>
      <c r="AX75" s="746"/>
      <c r="AY75" s="746"/>
      <c r="AZ75" s="741"/>
      <c r="BA75" s="746"/>
      <c r="BB75" s="741"/>
      <c r="BC75" s="746"/>
      <c r="BD75" s="741"/>
      <c r="BE75" s="746"/>
      <c r="BF75" s="742"/>
      <c r="BG75" s="746"/>
      <c r="BH75" s="742"/>
      <c r="BI75" s="746"/>
      <c r="BJ75" s="742"/>
      <c r="BK75" s="746"/>
      <c r="BL75" s="742"/>
      <c r="BM75" s="746"/>
      <c r="BN75" s="742"/>
      <c r="BO75" s="746"/>
      <c r="BP75" s="742"/>
      <c r="BQ75" s="746"/>
      <c r="BR75" s="742"/>
      <c r="BS75" s="746">
        <f>INPUT!BB723</f>
        <v>19.83249759948789</v>
      </c>
      <c r="BT75" s="742" t="str">
        <f>INPUT!BC723</f>
        <v>NA</v>
      </c>
      <c r="BU75" s="746">
        <f>INPUT!BD723</f>
        <v>18.020580729840106</v>
      </c>
      <c r="BV75" s="742">
        <f>INPUT!BE723</f>
        <v>-9.1361002846891637</v>
      </c>
      <c r="BW75" s="746">
        <f>INPUT!BF723</f>
        <v>21.513646342799174</v>
      </c>
      <c r="BX75" s="742">
        <f>INPUT!BG723</f>
        <v>19.383757190327032</v>
      </c>
      <c r="BY75" s="746">
        <f>INPUT!BH723</f>
        <v>22.524650174174866</v>
      </c>
      <c r="BZ75" s="742">
        <f>INPUT!BI723</f>
        <v>4.699360653542044</v>
      </c>
      <c r="CA75" s="746">
        <f>INPUT!BJ723</f>
        <v>21.681392795524623</v>
      </c>
      <c r="CB75" s="742">
        <f>INPUT!BK723</f>
        <v>-3.7437091014938915</v>
      </c>
      <c r="CC75" s="746">
        <f>INPUT!BL723</f>
        <v>21.651760769832904</v>
      </c>
      <c r="CD75" s="742">
        <f>INPUT!BM723</f>
        <v>-0.13667030513757084</v>
      </c>
      <c r="CE75" s="746">
        <f>INPUT!BN723</f>
        <v>21.696091546353038</v>
      </c>
      <c r="CF75" s="742">
        <f>INPUT!BO723</f>
        <v>0.20474444083964727</v>
      </c>
      <c r="CG75" s="746">
        <f>INPUT!BP723</f>
        <v>21.159149958662887</v>
      </c>
      <c r="CH75" s="742">
        <f>INPUT!BQ723</f>
        <v>-2.4748309461314335</v>
      </c>
      <c r="CI75" s="746">
        <f>INPUT!BR723</f>
        <v>20.811773345622914</v>
      </c>
      <c r="CJ75" s="742">
        <f>INPUT!BS723</f>
        <v>-1.6417323650459394</v>
      </c>
      <c r="CK75" s="746">
        <f>INPUT!BT723</f>
        <v>20.470267997585964</v>
      </c>
      <c r="CL75" s="742">
        <f>INPUT!BU723</f>
        <v>-1.6409238288613892</v>
      </c>
      <c r="CM75" s="896">
        <f>INPUT!BV723</f>
        <v>-1.1430356572529998</v>
      </c>
    </row>
    <row r="76" spans="1:91" s="475" customFormat="1" ht="12.75" customHeight="1" x14ac:dyDescent="0.2">
      <c r="A76" s="865" t="str">
        <f>INPUT!B724</f>
        <v>Corporate and Other</v>
      </c>
      <c r="B76" s="502">
        <f>INPUT!C724</f>
        <v>-14.628731819341667</v>
      </c>
      <c r="C76" s="491" t="str">
        <f>INPUT!D724</f>
        <v>NA</v>
      </c>
      <c r="D76" s="502">
        <f>INPUT!E724</f>
        <v>-13.210560152636926</v>
      </c>
      <c r="E76" s="478" t="str">
        <f>INPUT!F724</f>
        <v>NA</v>
      </c>
      <c r="F76" s="502">
        <f>INPUT!G724</f>
        <v>-11.052383586339698</v>
      </c>
      <c r="G76" s="478" t="str">
        <f>INPUT!H724</f>
        <v>NA</v>
      </c>
      <c r="H76" s="502">
        <f>INPUT!I724</f>
        <v>-12.500487919122527</v>
      </c>
      <c r="I76" s="478" t="str">
        <f>INPUT!J724</f>
        <v>NA</v>
      </c>
      <c r="J76" s="502">
        <f>INPUT!K724</f>
        <v>-11.713194488404968</v>
      </c>
      <c r="K76" s="478">
        <f>INPUT!L724</f>
        <v>-19.930212454109409</v>
      </c>
      <c r="L76" s="502">
        <f>INPUT!M724</f>
        <v>-9.6439888164026133</v>
      </c>
      <c r="M76" s="478">
        <f>INPUT!N724</f>
        <v>-26.997881202807278</v>
      </c>
      <c r="N76" s="502">
        <f>INPUT!O724</f>
        <v>-10.840024706609015</v>
      </c>
      <c r="O76" s="478">
        <f>INPUT!P724</f>
        <v>-1.921385356124901</v>
      </c>
      <c r="P76" s="502">
        <f>INPUT!Q724</f>
        <v>-14.554702495201532</v>
      </c>
      <c r="Q76" s="478">
        <f>INPUT!R724</f>
        <v>16.433075167702739</v>
      </c>
      <c r="R76" s="502">
        <f>INPUT!S724</f>
        <v>-9.2684978114188539</v>
      </c>
      <c r="S76" s="478">
        <f>INPUT!T724</f>
        <v>-20.871306110439363</v>
      </c>
      <c r="T76" s="502">
        <f>INPUT!U724</f>
        <v>-8.5159918490298594</v>
      </c>
      <c r="U76" s="478">
        <f>INPUT!V724</f>
        <v>-11.69637365665794</v>
      </c>
      <c r="V76" s="502">
        <f>INPUT!W724</f>
        <v>-13.817809621289658</v>
      </c>
      <c r="W76" s="478">
        <f>INPUT!X724</f>
        <v>27.470277930871603</v>
      </c>
      <c r="X76" s="502">
        <f>INPUT!Y724</f>
        <v>-14.127352410415053</v>
      </c>
      <c r="Y76" s="478">
        <f>INPUT!Z724</f>
        <v>-2.9361650293255366</v>
      </c>
      <c r="Z76" s="502">
        <f>INPUT!AA724</f>
        <v>-14.959303957339321</v>
      </c>
      <c r="AA76" s="478">
        <f>INPUT!AB724</f>
        <v>61.399444243374091</v>
      </c>
      <c r="AB76" s="502">
        <f>INPUT!AC724</f>
        <v>-12.639146567717995</v>
      </c>
      <c r="AC76" s="478">
        <f>INPUT!AD724</f>
        <v>48.416611849597359</v>
      </c>
      <c r="AD76" s="502">
        <f>INPUT!AE724</f>
        <v>-12.91908806437192</v>
      </c>
      <c r="AE76" s="478">
        <f>INPUT!AF724</f>
        <v>-6.5040811933972691</v>
      </c>
      <c r="AF76" s="502">
        <f>INPUT!AG724</f>
        <v>-11.61726242371404</v>
      </c>
      <c r="AG76" s="478">
        <f>INPUT!AH724</f>
        <v>-17.767589522651889</v>
      </c>
      <c r="AH76" s="502">
        <f>INPUT!AI724</f>
        <v>-13.005780346820808</v>
      </c>
      <c r="AI76" s="478">
        <f>INPUT!AJ724</f>
        <v>-13.058920495830122</v>
      </c>
      <c r="AJ76" s="502">
        <f>INPUT!AK724</f>
        <v>-9.7037793667007133</v>
      </c>
      <c r="AK76" s="478">
        <f>INPUT!AL724</f>
        <v>-23.224409854654169</v>
      </c>
      <c r="AL76" s="502">
        <f>INPUT!AM724</f>
        <v>-8.2708213117907263</v>
      </c>
      <c r="AM76" s="478">
        <f>INPUT!AN724</f>
        <v>-35.979836420498728</v>
      </c>
      <c r="AN76" s="502">
        <f>INPUT!AO724</f>
        <v>-13.561190738699015</v>
      </c>
      <c r="AO76" s="478">
        <f>INPUT!AP724</f>
        <v>16.733101518107048</v>
      </c>
      <c r="AP76" s="502">
        <f>INPUT!AQ724</f>
        <v>-10.46763364781901</v>
      </c>
      <c r="AQ76" s="478">
        <f>INPUT!AR724</f>
        <v>-19.515527952324945</v>
      </c>
      <c r="AR76" s="502">
        <f>INPUT!AS724</f>
        <v>-10.278181930681441</v>
      </c>
      <c r="AS76" s="478">
        <f>INPUT!AT724</f>
        <v>5.9193695803908781</v>
      </c>
      <c r="AT76" s="502">
        <f>INPUT!AU724</f>
        <v>-9.9108712184165633</v>
      </c>
      <c r="AU76" s="478">
        <f>INPUT!AV724</f>
        <v>19.829347591971455</v>
      </c>
      <c r="AV76" s="502">
        <f>INPUT!AW724</f>
        <v>-9.5823328196906488</v>
      </c>
      <c r="AW76" s="478">
        <f>INPUT!AX724</f>
        <v>-29.340033597890951</v>
      </c>
      <c r="AX76" s="502"/>
      <c r="AY76" s="502"/>
      <c r="AZ76" s="491"/>
      <c r="BA76" s="502"/>
      <c r="BB76" s="491"/>
      <c r="BC76" s="502"/>
      <c r="BD76" s="491"/>
      <c r="BE76" s="502"/>
      <c r="BF76" s="478"/>
      <c r="BG76" s="502"/>
      <c r="BH76" s="478"/>
      <c r="BI76" s="502"/>
      <c r="BJ76" s="478"/>
      <c r="BK76" s="502"/>
      <c r="BL76" s="478"/>
      <c r="BM76" s="502"/>
      <c r="BN76" s="478"/>
      <c r="BO76" s="502"/>
      <c r="BP76" s="478"/>
      <c r="BQ76" s="502"/>
      <c r="BR76" s="478"/>
      <c r="BS76" s="502">
        <f>INPUT!BB724</f>
        <v>-12.750986877200473</v>
      </c>
      <c r="BT76" s="478" t="str">
        <f>INPUT!BC724</f>
        <v>NA</v>
      </c>
      <c r="BU76" s="502">
        <f>INPUT!BD724</f>
        <v>-11.673147953881212</v>
      </c>
      <c r="BV76" s="478">
        <f>INPUT!BE724</f>
        <v>-8.4529843352478196</v>
      </c>
      <c r="BW76" s="502">
        <f>INPUT!BF724</f>
        <v>-11.333774638899335</v>
      </c>
      <c r="BX76" s="478">
        <f>INPUT!BG724</f>
        <v>-2.907299010709778</v>
      </c>
      <c r="BY76" s="502">
        <f>INPUT!BH724</f>
        <v>-12.924366770974782</v>
      </c>
      <c r="BZ76" s="478">
        <f>INPUT!BI724</f>
        <v>14.034089989898675</v>
      </c>
      <c r="CA76" s="502">
        <f>INPUT!BJ724</f>
        <v>-11.005385057771733</v>
      </c>
      <c r="CB76" s="478">
        <f>INPUT!BK724</f>
        <v>-14.847781304942913</v>
      </c>
      <c r="CC76" s="502">
        <f>INPUT!BL724</f>
        <v>-10.048128747115491</v>
      </c>
      <c r="CD76" s="478">
        <f>INPUT!BM724</f>
        <v>-8.6980719496066286</v>
      </c>
      <c r="CE76" s="502">
        <f>INPUT!BN724</f>
        <v>-9.6026811250722162</v>
      </c>
      <c r="CF76" s="478">
        <f>INPUT!BO724</f>
        <v>-4.4331400726841679</v>
      </c>
      <c r="CG76" s="502">
        <f>INPUT!BP724</f>
        <v>-9.5002851005786599</v>
      </c>
      <c r="CH76" s="478">
        <f>INPUT!BQ724</f>
        <v>-1.0663274470939683</v>
      </c>
      <c r="CI76" s="502">
        <f>INPUT!BR724</f>
        <v>-9.4499237592542986</v>
      </c>
      <c r="CJ76" s="478">
        <f>INPUT!BS724</f>
        <v>-0.53010347364515553</v>
      </c>
      <c r="CK76" s="502">
        <f>INPUT!BT724</f>
        <v>-9.4086119583219112</v>
      </c>
      <c r="CL76" s="478">
        <f>INPUT!BU724</f>
        <v>-0.43716544159343584</v>
      </c>
      <c r="CM76" s="871">
        <f>INPUT!BV724</f>
        <v>-3.0865480406571</v>
      </c>
    </row>
    <row r="77" spans="1:91" s="501" customFormat="1" ht="12.75" customHeight="1" x14ac:dyDescent="0.2">
      <c r="A77" s="869" t="str">
        <f>INPUT!B775</f>
        <v>Total</v>
      </c>
      <c r="B77" s="746">
        <f>INPUT!C725</f>
        <v>100</v>
      </c>
      <c r="C77" s="741" t="str">
        <f>INPUT!D725</f>
        <v>NA</v>
      </c>
      <c r="D77" s="746">
        <f>INPUT!E725</f>
        <v>100</v>
      </c>
      <c r="E77" s="742" t="str">
        <f>INPUT!F725</f>
        <v>NA</v>
      </c>
      <c r="F77" s="746">
        <f>INPUT!G725</f>
        <v>100</v>
      </c>
      <c r="G77" s="742" t="str">
        <f>INPUT!H725</f>
        <v>NA</v>
      </c>
      <c r="H77" s="746">
        <f>INPUT!I725</f>
        <v>100</v>
      </c>
      <c r="I77" s="742" t="str">
        <f>INPUT!J725</f>
        <v>NA</v>
      </c>
      <c r="J77" s="746">
        <f>INPUT!K725</f>
        <v>100</v>
      </c>
      <c r="K77" s="742">
        <f>INPUT!L725</f>
        <v>0</v>
      </c>
      <c r="L77" s="746">
        <f>INPUT!M725</f>
        <v>100</v>
      </c>
      <c r="M77" s="742">
        <f>INPUT!N725</f>
        <v>0</v>
      </c>
      <c r="N77" s="746">
        <f>INPUT!O725</f>
        <v>100</v>
      </c>
      <c r="O77" s="742">
        <f>INPUT!P725</f>
        <v>0</v>
      </c>
      <c r="P77" s="746">
        <f>INPUT!Q725</f>
        <v>100</v>
      </c>
      <c r="Q77" s="742">
        <f>INPUT!R725</f>
        <v>0</v>
      </c>
      <c r="R77" s="746">
        <f>INPUT!S725</f>
        <v>100</v>
      </c>
      <c r="S77" s="742">
        <f>INPUT!T725</f>
        <v>0</v>
      </c>
      <c r="T77" s="746">
        <f>INPUT!U725</f>
        <v>100</v>
      </c>
      <c r="U77" s="742">
        <f>INPUT!V725</f>
        <v>0</v>
      </c>
      <c r="V77" s="746">
        <f>INPUT!W725</f>
        <v>100</v>
      </c>
      <c r="W77" s="742">
        <f>INPUT!X725</f>
        <v>0</v>
      </c>
      <c r="X77" s="746">
        <f>INPUT!Y725</f>
        <v>100</v>
      </c>
      <c r="Y77" s="742">
        <f>INPUT!Z725</f>
        <v>0</v>
      </c>
      <c r="Z77" s="746">
        <f>INPUT!AA725</f>
        <v>100</v>
      </c>
      <c r="AA77" s="742">
        <f>INPUT!AB725</f>
        <v>0</v>
      </c>
      <c r="AB77" s="746">
        <f>INPUT!AC725</f>
        <v>100.00000000000001</v>
      </c>
      <c r="AC77" s="742">
        <f>INPUT!AD725</f>
        <v>0</v>
      </c>
      <c r="AD77" s="746">
        <f>INPUT!AE725</f>
        <v>99.999999999999986</v>
      </c>
      <c r="AE77" s="742">
        <f>INPUT!AF725</f>
        <v>0</v>
      </c>
      <c r="AF77" s="746">
        <f>INPUT!AG725</f>
        <v>100</v>
      </c>
      <c r="AG77" s="742">
        <f>INPUT!AH725</f>
        <v>0</v>
      </c>
      <c r="AH77" s="746">
        <f>INPUT!AI725</f>
        <v>100</v>
      </c>
      <c r="AI77" s="742">
        <f>INPUT!AJ725</f>
        <v>0</v>
      </c>
      <c r="AJ77" s="746">
        <f>INPUT!AK725</f>
        <v>100</v>
      </c>
      <c r="AK77" s="742">
        <f>INPUT!AL725</f>
        <v>-1.4210854715202004E-14</v>
      </c>
      <c r="AL77" s="746">
        <f>INPUT!AM725</f>
        <v>100</v>
      </c>
      <c r="AM77" s="742">
        <f>INPUT!AN725</f>
        <v>2.8421709430404007E-14</v>
      </c>
      <c r="AN77" s="746">
        <f>INPUT!AO725</f>
        <v>99.999999999999986</v>
      </c>
      <c r="AO77" s="742">
        <f>INPUT!AP725</f>
        <v>-1.4210854715202004E-14</v>
      </c>
      <c r="AP77" s="746">
        <f>INPUT!AQ725</f>
        <v>99.999999999999986</v>
      </c>
      <c r="AQ77" s="742">
        <f>INPUT!AR725</f>
        <v>-1.4210854715202004E-14</v>
      </c>
      <c r="AR77" s="746">
        <f>INPUT!AS725</f>
        <v>99.999999999999986</v>
      </c>
      <c r="AS77" s="742">
        <f>INPUT!AT725</f>
        <v>-1.4210854715202004E-14</v>
      </c>
      <c r="AT77" s="746">
        <f>INPUT!AU725</f>
        <v>100</v>
      </c>
      <c r="AU77" s="742">
        <f>INPUT!AV725</f>
        <v>0</v>
      </c>
      <c r="AV77" s="746">
        <f>INPUT!AW725</f>
        <v>99.999999999999972</v>
      </c>
      <c r="AW77" s="742">
        <f>INPUT!AX725</f>
        <v>-1.4210854715202004E-14</v>
      </c>
      <c r="AX77" s="746"/>
      <c r="AY77" s="746"/>
      <c r="AZ77" s="741"/>
      <c r="BA77" s="746"/>
      <c r="BB77" s="741"/>
      <c r="BC77" s="746"/>
      <c r="BD77" s="741"/>
      <c r="BE77" s="746"/>
      <c r="BF77" s="742"/>
      <c r="BG77" s="746"/>
      <c r="BH77" s="742"/>
      <c r="BI77" s="746"/>
      <c r="BJ77" s="742"/>
      <c r="BK77" s="746"/>
      <c r="BL77" s="742"/>
      <c r="BM77" s="746"/>
      <c r="BN77" s="742"/>
      <c r="BO77" s="746"/>
      <c r="BP77" s="742"/>
      <c r="BQ77" s="746"/>
      <c r="BR77" s="742"/>
      <c r="BS77" s="746">
        <f>INPUT!BB725</f>
        <v>99.999999999999986</v>
      </c>
      <c r="BT77" s="742" t="str">
        <f>INPUT!BC725</f>
        <v>NA</v>
      </c>
      <c r="BU77" s="746">
        <f>INPUT!BD725</f>
        <v>100</v>
      </c>
      <c r="BV77" s="742">
        <f>INPUT!BE725</f>
        <v>2.8421709430404007E-14</v>
      </c>
      <c r="BW77" s="746">
        <f>INPUT!BF725</f>
        <v>99.999999999999943</v>
      </c>
      <c r="BX77" s="742">
        <f>INPUT!BG725</f>
        <v>-5.6843418860808015E-14</v>
      </c>
      <c r="BY77" s="746">
        <f>INPUT!BH725</f>
        <v>99.999999999999972</v>
      </c>
      <c r="BZ77" s="742">
        <f>INPUT!BI725</f>
        <v>2.8421709430404007E-14</v>
      </c>
      <c r="CA77" s="746">
        <f>INPUT!BJ725</f>
        <v>99.999999999999943</v>
      </c>
      <c r="CB77" s="742">
        <f>INPUT!BK725</f>
        <v>-2.8421709430404007E-14</v>
      </c>
      <c r="CC77" s="746">
        <f>INPUT!BL725</f>
        <v>99.999999999999943</v>
      </c>
      <c r="CD77" s="742">
        <f>INPUT!BM725</f>
        <v>0</v>
      </c>
      <c r="CE77" s="746">
        <f>INPUT!BN725</f>
        <v>99.999999999999943</v>
      </c>
      <c r="CF77" s="742">
        <f>INPUT!BO725</f>
        <v>0</v>
      </c>
      <c r="CG77" s="746">
        <f>INPUT!BP725</f>
        <v>99.999999999999972</v>
      </c>
      <c r="CH77" s="742">
        <f>INPUT!BQ725</f>
        <v>2.8421709430404007E-14</v>
      </c>
      <c r="CI77" s="746">
        <f>INPUT!BR725</f>
        <v>100.00000000000003</v>
      </c>
      <c r="CJ77" s="742">
        <f>INPUT!BS725</f>
        <v>7.1054273576010019E-14</v>
      </c>
      <c r="CK77" s="746">
        <f>INPUT!BT725</f>
        <v>100.00000000000001</v>
      </c>
      <c r="CL77" s="742">
        <f>INPUT!BU725</f>
        <v>-1.4210854715202004E-14</v>
      </c>
      <c r="CM77" s="896">
        <f>INPUT!BV725</f>
        <v>2.2204460492503131E-14</v>
      </c>
    </row>
    <row r="78" spans="1:91" s="526" customFormat="1" ht="12.75" hidden="1" customHeight="1" outlineLevel="1" x14ac:dyDescent="0.2">
      <c r="A78" s="874" t="s">
        <v>167</v>
      </c>
      <c r="B78" s="508">
        <f>+B67+B68+B69+B71+B73+B74+B76-B77</f>
        <v>0</v>
      </c>
      <c r="C78" s="507"/>
      <c r="D78" s="508">
        <f>+D67+D68+D69+D71+D73+D74+D76-D77</f>
        <v>0</v>
      </c>
      <c r="E78" s="525"/>
      <c r="F78" s="508">
        <f>+F67+F68+F69+F71+F73+F74+F76-F77</f>
        <v>0</v>
      </c>
      <c r="G78" s="525"/>
      <c r="H78" s="508">
        <f>+H67+H68+H69+H71+H73+H74+H76-H77</f>
        <v>0</v>
      </c>
      <c r="I78" s="525"/>
      <c r="J78" s="508">
        <f>+J67+J68+J69+J71+J73+J74+J76-J77</f>
        <v>0</v>
      </c>
      <c r="K78" s="525"/>
      <c r="L78" s="508">
        <f>+L67+L68+L69+L71+L73+L74+L76-L77</f>
        <v>0</v>
      </c>
      <c r="M78" s="525"/>
      <c r="N78" s="508">
        <f>+N67+N68+N69+N71+N73+N74+N76-N77</f>
        <v>0</v>
      </c>
      <c r="O78" s="525"/>
      <c r="P78" s="508">
        <f>+P67+P68+P69+P71+P73+P74+P76-P77</f>
        <v>0</v>
      </c>
      <c r="Q78" s="525"/>
      <c r="R78" s="508">
        <f>+R67+R68+R69+R71+R73+R74+R76-R77</f>
        <v>0</v>
      </c>
      <c r="S78" s="525"/>
      <c r="T78" s="508">
        <f>+T67+T68+T69+T71+T73+T74+T76-T77</f>
        <v>0</v>
      </c>
      <c r="U78" s="525"/>
      <c r="V78" s="508">
        <f>+V67+V68+V69+V71+V73+V74+V76-V77</f>
        <v>0</v>
      </c>
      <c r="W78" s="525"/>
      <c r="X78" s="508">
        <f>+X67+X68+X69+X71+X73+X74+X76-X77</f>
        <v>0</v>
      </c>
      <c r="Y78" s="525"/>
      <c r="Z78" s="508">
        <f>+Z67+Z68+Z69+Z71+Z73+Z74+Z76-Z77</f>
        <v>0</v>
      </c>
      <c r="AA78" s="525"/>
      <c r="AB78" s="508">
        <f>+AB67+AB68+AB69+AB71+AB73+AB74+AB76-AB77</f>
        <v>0</v>
      </c>
      <c r="AC78" s="525"/>
      <c r="AD78" s="508">
        <f>+AD67+AD68+AD69+AD71+AD73+AD74+AD76-AD77</f>
        <v>0</v>
      </c>
      <c r="AE78" s="525"/>
      <c r="AF78" s="508">
        <f>+AF67+AF68+AF69+AF71+AF73+AF74+AF76-AF77</f>
        <v>0</v>
      </c>
      <c r="AG78" s="525"/>
      <c r="AH78" s="508">
        <f t="shared" ref="AH78" si="76">+AH67+AH68+AH69+AH71+AH73+AH74+AH76-AH77</f>
        <v>0</v>
      </c>
      <c r="AI78" s="525"/>
      <c r="AJ78" s="508">
        <f t="shared" ref="AJ78" si="77">+AJ67+AJ68+AJ69+AJ71+AJ73+AJ74+AJ76-AJ77</f>
        <v>0</v>
      </c>
      <c r="AK78" s="525"/>
      <c r="AL78" s="508">
        <f t="shared" ref="AL78" si="78">+AL67+AL68+AL69+AL71+AL73+AL74+AL76-AL77</f>
        <v>0</v>
      </c>
      <c r="AM78" s="525"/>
      <c r="AN78" s="508">
        <f t="shared" ref="AN78" si="79">+AN67+AN68+AN69+AN71+AN73+AN74+AN76-AN77</f>
        <v>0</v>
      </c>
      <c r="AO78" s="525"/>
      <c r="AP78" s="508">
        <f t="shared" ref="AP78" si="80">+AP67+AP68+AP69+AP71+AP73+AP74+AP76-AP77</f>
        <v>0</v>
      </c>
      <c r="AQ78" s="525"/>
      <c r="AR78" s="508">
        <f t="shared" ref="AR78" si="81">+AR67+AR68+AR69+AR71+AR73+AR74+AR76-AR77</f>
        <v>0</v>
      </c>
      <c r="AS78" s="525"/>
      <c r="AT78" s="508">
        <f t="shared" ref="AT78" si="82">+AT67+AT68+AT69+AT71+AT73+AT74+AT76-AT77</f>
        <v>0</v>
      </c>
      <c r="AU78" s="525"/>
      <c r="AV78" s="508">
        <f t="shared" ref="AV78" si="83">+AV67+AV68+AV69+AV71+AV73+AV74+AV76-AV77</f>
        <v>0</v>
      </c>
      <c r="AW78" s="525"/>
      <c r="AX78" s="507"/>
      <c r="AY78" s="506"/>
      <c r="AZ78" s="507"/>
      <c r="BA78" s="506"/>
      <c r="BB78" s="507"/>
      <c r="BC78" s="506"/>
      <c r="BD78" s="507"/>
      <c r="BE78" s="506"/>
      <c r="BF78" s="525"/>
      <c r="BG78" s="506"/>
      <c r="BH78" s="525"/>
      <c r="BI78" s="506"/>
      <c r="BJ78" s="525"/>
      <c r="BK78" s="506"/>
      <c r="BL78" s="525"/>
      <c r="BM78" s="506"/>
      <c r="BN78" s="525"/>
      <c r="BO78" s="508"/>
      <c r="BP78" s="525"/>
      <c r="BQ78" s="508"/>
      <c r="BR78" s="525"/>
      <c r="BS78" s="508">
        <f>+BS67+BS68+BS69+BS71+BS73+BS74+BS76-BS77</f>
        <v>0</v>
      </c>
      <c r="BT78" s="525"/>
      <c r="BU78" s="508">
        <f t="shared" ref="BU78" si="84">+BU67+BU68+BU69+BU71+BU73+BU74+BU76-BU77</f>
        <v>0</v>
      </c>
      <c r="BV78" s="525"/>
      <c r="BW78" s="508">
        <f t="shared" ref="BW78" si="85">+BW67+BW68+BW69+BW71+BW73+BW74+BW76-BW77</f>
        <v>0</v>
      </c>
      <c r="BX78" s="525"/>
      <c r="BY78" s="508">
        <f t="shared" ref="BY78:CA78" si="86">+BY67+BY68+BY69+BY71+BY73+BY74+BY76-BY77</f>
        <v>0</v>
      </c>
      <c r="BZ78" s="525"/>
      <c r="CA78" s="508">
        <f t="shared" si="86"/>
        <v>0</v>
      </c>
      <c r="CB78" s="525"/>
      <c r="CC78" s="508">
        <f t="shared" ref="CC78" si="87">+CC67+CC68+CC69+CC71+CC73+CC74+CC76-CC77</f>
        <v>0</v>
      </c>
      <c r="CD78" s="525"/>
      <c r="CE78" s="508">
        <f t="shared" ref="CE78" si="88">+CE67+CE68+CE69+CE71+CE73+CE74+CE76-CE77</f>
        <v>0</v>
      </c>
      <c r="CF78" s="525"/>
      <c r="CG78" s="508">
        <f t="shared" ref="CG78:CI78" si="89">+CG67+CG68+CG69+CG71+CG73+CG74+CG76-CG77</f>
        <v>0</v>
      </c>
      <c r="CH78" s="525"/>
      <c r="CI78" s="508">
        <f t="shared" si="89"/>
        <v>0</v>
      </c>
      <c r="CJ78" s="525"/>
      <c r="CK78" s="508">
        <f t="shared" ref="CK78" si="90">+CK67+CK68+CK69+CK71+CK73+CK74+CK76-CK77</f>
        <v>0</v>
      </c>
      <c r="CL78" s="525"/>
      <c r="CM78" s="875"/>
    </row>
    <row r="79" spans="1:91" s="475" customFormat="1" ht="12.75" customHeight="1" collapsed="1" x14ac:dyDescent="0.2">
      <c r="A79" s="869"/>
      <c r="B79" s="490"/>
      <c r="C79" s="491"/>
      <c r="D79" s="490"/>
      <c r="E79" s="478"/>
      <c r="F79" s="490"/>
      <c r="G79" s="478"/>
      <c r="H79" s="490"/>
      <c r="I79" s="478"/>
      <c r="J79" s="490"/>
      <c r="K79" s="478"/>
      <c r="L79" s="490"/>
      <c r="M79" s="478"/>
      <c r="N79" s="490"/>
      <c r="O79" s="478"/>
      <c r="P79" s="490"/>
      <c r="Q79" s="478"/>
      <c r="R79" s="490"/>
      <c r="S79" s="478"/>
      <c r="T79" s="490"/>
      <c r="U79" s="478"/>
      <c r="V79" s="490"/>
      <c r="W79" s="478"/>
      <c r="X79" s="490"/>
      <c r="Y79" s="478"/>
      <c r="Z79" s="490"/>
      <c r="AA79" s="478"/>
      <c r="AB79" s="490"/>
      <c r="AC79" s="478"/>
      <c r="AD79" s="490"/>
      <c r="AE79" s="478"/>
      <c r="AF79" s="490"/>
      <c r="AG79" s="478"/>
      <c r="AH79" s="490"/>
      <c r="AI79" s="478"/>
      <c r="AJ79" s="490"/>
      <c r="AK79" s="478"/>
      <c r="AL79" s="490"/>
      <c r="AM79" s="478"/>
      <c r="AN79" s="490"/>
      <c r="AO79" s="478"/>
      <c r="AP79" s="490"/>
      <c r="AQ79" s="478"/>
      <c r="AR79" s="490"/>
      <c r="AS79" s="478"/>
      <c r="AT79" s="490"/>
      <c r="AU79" s="478"/>
      <c r="AV79" s="490"/>
      <c r="AW79" s="478"/>
      <c r="AX79" s="490"/>
      <c r="AY79" s="490"/>
      <c r="AZ79" s="491"/>
      <c r="BA79" s="490"/>
      <c r="BB79" s="491"/>
      <c r="BC79" s="490"/>
      <c r="BD79" s="491"/>
      <c r="BE79" s="490"/>
      <c r="BF79" s="478"/>
      <c r="BG79" s="490"/>
      <c r="BH79" s="478"/>
      <c r="BI79" s="490"/>
      <c r="BJ79" s="478"/>
      <c r="BK79" s="490"/>
      <c r="BL79" s="478"/>
      <c r="BM79" s="490"/>
      <c r="BN79" s="478"/>
      <c r="BO79" s="490"/>
      <c r="BP79" s="478"/>
      <c r="BQ79" s="490"/>
      <c r="BR79" s="478"/>
      <c r="BS79" s="490"/>
      <c r="BT79" s="478"/>
      <c r="BU79" s="490"/>
      <c r="BV79" s="478"/>
      <c r="BW79" s="490"/>
      <c r="BX79" s="478"/>
      <c r="BY79" s="490"/>
      <c r="BZ79" s="478"/>
      <c r="CA79" s="490"/>
      <c r="CB79" s="478"/>
      <c r="CC79" s="490"/>
      <c r="CD79" s="478"/>
      <c r="CE79" s="490"/>
      <c r="CF79" s="478"/>
      <c r="CG79" s="490"/>
      <c r="CH79" s="478"/>
      <c r="CI79" s="490"/>
      <c r="CJ79" s="478"/>
      <c r="CK79" s="490"/>
      <c r="CL79" s="478"/>
      <c r="CM79" s="871"/>
    </row>
    <row r="80" spans="1:91" s="475" customFormat="1" ht="12.75" customHeight="1" x14ac:dyDescent="0.2">
      <c r="A80" s="869" t="str">
        <f>+INPUT!B918</f>
        <v>Capital Ratios (Excl FAS 115)</v>
      </c>
      <c r="B80" s="490"/>
      <c r="C80" s="491"/>
      <c r="D80" s="490"/>
      <c r="E80" s="478"/>
      <c r="F80" s="490"/>
      <c r="G80" s="478"/>
      <c r="H80" s="490"/>
      <c r="I80" s="478"/>
      <c r="J80" s="490"/>
      <c r="K80" s="478"/>
      <c r="L80" s="490"/>
      <c r="M80" s="478"/>
      <c r="N80" s="490"/>
      <c r="O80" s="478"/>
      <c r="P80" s="490"/>
      <c r="Q80" s="478"/>
      <c r="R80" s="490"/>
      <c r="S80" s="478"/>
      <c r="T80" s="490"/>
      <c r="U80" s="478"/>
      <c r="V80" s="490"/>
      <c r="W80" s="478"/>
      <c r="X80" s="490"/>
      <c r="Y80" s="478"/>
      <c r="Z80" s="490"/>
      <c r="AA80" s="478"/>
      <c r="AB80" s="490"/>
      <c r="AC80" s="478"/>
      <c r="AD80" s="490"/>
      <c r="AE80" s="478"/>
      <c r="AF80" s="490"/>
      <c r="AG80" s="478"/>
      <c r="AH80" s="490"/>
      <c r="AI80" s="478"/>
      <c r="AJ80" s="490"/>
      <c r="AK80" s="478"/>
      <c r="AL80" s="490"/>
      <c r="AM80" s="478"/>
      <c r="AN80" s="490"/>
      <c r="AO80" s="478"/>
      <c r="AP80" s="490"/>
      <c r="AQ80" s="478"/>
      <c r="AR80" s="490"/>
      <c r="AS80" s="478"/>
      <c r="AT80" s="490"/>
      <c r="AU80" s="478"/>
      <c r="AV80" s="490"/>
      <c r="AW80" s="478"/>
      <c r="AX80" s="490"/>
      <c r="AY80" s="490"/>
      <c r="AZ80" s="491"/>
      <c r="BA80" s="490"/>
      <c r="BB80" s="491"/>
      <c r="BC80" s="490"/>
      <c r="BD80" s="491"/>
      <c r="BE80" s="490"/>
      <c r="BF80" s="478"/>
      <c r="BG80" s="490"/>
      <c r="BH80" s="478"/>
      <c r="BI80" s="490"/>
      <c r="BJ80" s="478"/>
      <c r="BK80" s="490"/>
      <c r="BL80" s="478"/>
      <c r="BM80" s="490"/>
      <c r="BN80" s="478"/>
      <c r="BO80" s="490"/>
      <c r="BP80" s="478"/>
      <c r="BQ80" s="490"/>
      <c r="BR80" s="478"/>
      <c r="BS80" s="490"/>
      <c r="BT80" s="478"/>
      <c r="BU80" s="490"/>
      <c r="BV80" s="478"/>
      <c r="BW80" s="490"/>
      <c r="BX80" s="478"/>
      <c r="BY80" s="490"/>
      <c r="BZ80" s="478"/>
      <c r="CA80" s="490"/>
      <c r="CB80" s="478"/>
      <c r="CC80" s="490"/>
      <c r="CD80" s="478"/>
      <c r="CE80" s="490"/>
      <c r="CF80" s="478"/>
      <c r="CG80" s="490"/>
      <c r="CH80" s="478"/>
      <c r="CI80" s="490"/>
      <c r="CJ80" s="478"/>
      <c r="CK80" s="490"/>
      <c r="CL80" s="478"/>
      <c r="CM80" s="871"/>
    </row>
    <row r="81" spans="1:91" s="475" customFormat="1" ht="12.75" customHeight="1" x14ac:dyDescent="0.2">
      <c r="A81" s="865" t="str">
        <f>+INPUT!B921</f>
        <v>DAC to Equity (%)</v>
      </c>
      <c r="B81" s="502">
        <f>+INPUT!C921</f>
        <v>29.832135873266978</v>
      </c>
      <c r="C81" s="491" t="str">
        <f>+INPUT!D921</f>
        <v>NA</v>
      </c>
      <c r="D81" s="502">
        <f>+INPUT!E921</f>
        <v>31.442728318232145</v>
      </c>
      <c r="E81" s="478" t="str">
        <f>+INPUT!F921</f>
        <v>NA</v>
      </c>
      <c r="F81" s="502">
        <f>+INPUT!G921</f>
        <v>32.353352481148008</v>
      </c>
      <c r="G81" s="478" t="str">
        <f>+INPUT!H921</f>
        <v>NA</v>
      </c>
      <c r="H81" s="502">
        <f>+INPUT!I921</f>
        <v>32.386064624776338</v>
      </c>
      <c r="I81" s="478" t="str">
        <f>+INPUT!J921</f>
        <v>NA</v>
      </c>
      <c r="J81" s="502">
        <f>+INPUT!K921</f>
        <v>31.63898151899523</v>
      </c>
      <c r="K81" s="478">
        <f>+INPUT!L921</f>
        <v>6.0567089577632061</v>
      </c>
      <c r="L81" s="502">
        <f>+INPUT!M921</f>
        <v>30.898555455806743</v>
      </c>
      <c r="M81" s="478">
        <f>+INPUT!N921</f>
        <v>-1.7306795291993211</v>
      </c>
      <c r="N81" s="502">
        <f>+INPUT!O921</f>
        <v>30.045389128750145</v>
      </c>
      <c r="O81" s="478">
        <f>+INPUT!P921</f>
        <v>-7.1336142173911981</v>
      </c>
      <c r="P81" s="502">
        <f>+INPUT!Q921</f>
        <v>29.535406962974658</v>
      </c>
      <c r="Q81" s="478">
        <f>+INPUT!R921</f>
        <v>-8.8021119417542337</v>
      </c>
      <c r="R81" s="502">
        <f>+INPUT!S921</f>
        <v>29.061243337886982</v>
      </c>
      <c r="S81" s="478">
        <f>+INPUT!T921</f>
        <v>-8.1473487999626002</v>
      </c>
      <c r="T81" s="502">
        <f>+INPUT!U921</f>
        <v>31.560878243512974</v>
      </c>
      <c r="U81" s="478">
        <f>+INPUT!V921</f>
        <v>2.143539650756594</v>
      </c>
      <c r="V81" s="502">
        <f>+INPUT!W921</f>
        <v>31.001409603043957</v>
      </c>
      <c r="W81" s="478">
        <f>+INPUT!X921</f>
        <v>3.1819207606101685</v>
      </c>
      <c r="X81" s="502">
        <f>+INPUT!Y921</f>
        <v>32.137216625302869</v>
      </c>
      <c r="Y81" s="478">
        <f>+INPUT!Z921</f>
        <v>8.8091207464647994</v>
      </c>
      <c r="Z81" s="502">
        <f>+INPUT!AA921</f>
        <v>30.961654981390112</v>
      </c>
      <c r="AA81" s="478">
        <f>+INPUT!AB921</f>
        <v>6.5393335770516501</v>
      </c>
      <c r="AB81" s="502">
        <f>+INPUT!AC921</f>
        <v>30.171118927654717</v>
      </c>
      <c r="AC81" s="478">
        <f>+INPUT!AD921</f>
        <v>-4.4034240908486453</v>
      </c>
      <c r="AD81" s="502">
        <f>+INPUT!AE921</f>
        <v>29.670740367006758</v>
      </c>
      <c r="AE81" s="478">
        <f>+INPUT!AF921</f>
        <v>-4.2922862317413575</v>
      </c>
      <c r="AF81" s="502">
        <f>+INPUT!AG921</f>
        <v>31.003898188488876</v>
      </c>
      <c r="AG81" s="478">
        <f>+INPUT!AH921</f>
        <v>-3.5264984209045878</v>
      </c>
      <c r="AH81" s="502">
        <f>+INPUT!AI921</f>
        <v>30.988510730544117</v>
      </c>
      <c r="AI81" s="478">
        <f>+INPUT!AJ921</f>
        <v>8.6738739160253431E-2</v>
      </c>
      <c r="AJ81" s="502">
        <f>+INPUT!AK921</f>
        <v>30.59321883695787</v>
      </c>
      <c r="AK81" s="478">
        <f>+INPUT!AL921</f>
        <v>1.3990197390931343</v>
      </c>
      <c r="AL81" s="502">
        <f>+INPUT!AM921</f>
        <v>29.134517214253435</v>
      </c>
      <c r="AM81" s="478">
        <f>+INPUT!AN921</f>
        <v>-1.8072456100542382</v>
      </c>
      <c r="AN81" s="502">
        <f>+INPUT!AO921</f>
        <v>27.915135842570837</v>
      </c>
      <c r="AO81" s="478">
        <f>+INPUT!AP921</f>
        <v>-9.9624967387643864</v>
      </c>
      <c r="AP81" s="502">
        <f>+INPUT!AQ921</f>
        <v>27.8849025134013</v>
      </c>
      <c r="AQ81" s="478">
        <f>+INPUT!AR921</f>
        <v>-10.01535131562072</v>
      </c>
      <c r="AR81" s="502">
        <f>+INPUT!AS921</f>
        <v>27.80985290998731</v>
      </c>
      <c r="AS81" s="478">
        <f>+INPUT!AT921</f>
        <v>-9.0979832550608961</v>
      </c>
      <c r="AT81" s="502">
        <f>+INPUT!AU921</f>
        <v>27.720000369992583</v>
      </c>
      <c r="AU81" s="478">
        <f>+INPUT!AV921</f>
        <v>-4.8551236797870416</v>
      </c>
      <c r="AV81" s="502">
        <f>+INPUT!AW921</f>
        <v>27.55399166726648</v>
      </c>
      <c r="AW81" s="478">
        <f>+INPUT!AX921</f>
        <v>-1.2937217190740284</v>
      </c>
      <c r="AX81" s="502"/>
      <c r="AY81" s="502"/>
      <c r="AZ81" s="491"/>
      <c r="BA81" s="502"/>
      <c r="BB81" s="491"/>
      <c r="BC81" s="502"/>
      <c r="BD81" s="491"/>
      <c r="BE81" s="502"/>
      <c r="BF81" s="478"/>
      <c r="BG81" s="502"/>
      <c r="BH81" s="478"/>
      <c r="BI81" s="502"/>
      <c r="BJ81" s="478"/>
      <c r="BK81" s="502"/>
      <c r="BL81" s="478"/>
      <c r="BM81" s="502"/>
      <c r="BN81" s="478"/>
      <c r="BO81" s="502"/>
      <c r="BP81" s="478"/>
      <c r="BQ81" s="502"/>
      <c r="BR81" s="478"/>
      <c r="BS81" s="502">
        <f>+INPUT!BB921</f>
        <v>31.560878243512974</v>
      </c>
      <c r="BT81" s="478" t="str">
        <f>+INPUT!BC921</f>
        <v>NA</v>
      </c>
      <c r="BU81" s="502">
        <f>+INPUT!BD921</f>
        <v>31.001409603043957</v>
      </c>
      <c r="BV81" s="478">
        <f>+INPUT!BE921</f>
        <v>-1.7726649941498778</v>
      </c>
      <c r="BW81" s="502">
        <f>+INPUT!BF921</f>
        <v>32.137216625302869</v>
      </c>
      <c r="BX81" s="478">
        <f>+INPUT!BG921</f>
        <v>3.6637270266168542</v>
      </c>
      <c r="BY81" s="502">
        <f>+INPUT!BH921</f>
        <v>31.003898188488876</v>
      </c>
      <c r="BZ81" s="478">
        <f>+INPUT!BI921</f>
        <v>-3.5264984209045878</v>
      </c>
      <c r="CA81" s="502">
        <f>+INPUT!BJ921</f>
        <v>27.915135842570837</v>
      </c>
      <c r="CB81" s="478">
        <f>+INPUT!BK921</f>
        <v>-9.9624967387643864</v>
      </c>
      <c r="CC81" s="502">
        <f>+INPUT!BL921</f>
        <v>27.55399166726648</v>
      </c>
      <c r="CD81" s="478">
        <f>+INPUT!BM921</f>
        <v>-1.2937217190740284</v>
      </c>
      <c r="CE81" s="502">
        <f>+INPUT!BN921</f>
        <v>27.293082877127034</v>
      </c>
      <c r="CF81" s="478">
        <f>+INPUT!BO921</f>
        <v>-0.94690015621003454</v>
      </c>
      <c r="CG81" s="502">
        <f>+INPUT!BP921</f>
        <v>27.089159181064314</v>
      </c>
      <c r="CH81" s="478">
        <f>+INPUT!BQ921</f>
        <v>-0.74716255756368355</v>
      </c>
      <c r="CI81" s="502">
        <f>+INPUT!BR921</f>
        <v>26.940765284551865</v>
      </c>
      <c r="CJ81" s="478">
        <f>+INPUT!BS921</f>
        <v>-0.54779808971028388</v>
      </c>
      <c r="CK81" s="502">
        <f>+INPUT!BT921</f>
        <v>26.829292311492853</v>
      </c>
      <c r="CL81" s="478">
        <f>+INPUT!BU921</f>
        <v>-0.41377062559885758</v>
      </c>
      <c r="CM81" s="871">
        <f>+INPUT!BV921</f>
        <v>-0.79035529187935216</v>
      </c>
    </row>
    <row r="82" spans="1:91" s="475" customFormat="1" ht="12.75" customHeight="1" x14ac:dyDescent="0.2">
      <c r="A82" s="865" t="str">
        <f>+INPUT!B922</f>
        <v>Debt to Capital (%)</v>
      </c>
      <c r="B82" s="502">
        <f>+INPUT!C922</f>
        <v>23.761265034004488</v>
      </c>
      <c r="C82" s="491" t="str">
        <f>+INPUT!D922</f>
        <v>NA</v>
      </c>
      <c r="D82" s="502">
        <f>+INPUT!E922</f>
        <v>22.839158055366653</v>
      </c>
      <c r="E82" s="478" t="str">
        <f>+INPUT!F922</f>
        <v>NA</v>
      </c>
      <c r="F82" s="502">
        <f>+INPUT!G922</f>
        <v>22.949216321726659</v>
      </c>
      <c r="G82" s="478" t="str">
        <f>+INPUT!H922</f>
        <v>NA</v>
      </c>
      <c r="H82" s="502">
        <f>+INPUT!I922</f>
        <v>22.459805761854241</v>
      </c>
      <c r="I82" s="478" t="str">
        <f>+INPUT!J922</f>
        <v>NA</v>
      </c>
      <c r="J82" s="502">
        <f>+INPUT!K922</f>
        <v>21.681081125060004</v>
      </c>
      <c r="K82" s="478">
        <f>+INPUT!L922</f>
        <v>-8.7545166722712651</v>
      </c>
      <c r="L82" s="502">
        <f>+INPUT!M922</f>
        <v>21.457645588282428</v>
      </c>
      <c r="M82" s="478">
        <f>+INPUT!N922</f>
        <v>-6.0488765117136296</v>
      </c>
      <c r="N82" s="502">
        <f>+INPUT!O922</f>
        <v>21.089121491764484</v>
      </c>
      <c r="O82" s="478">
        <f>+INPUT!P922</f>
        <v>-8.1052651379697522</v>
      </c>
      <c r="P82" s="502">
        <f>+INPUT!Q922</f>
        <v>20.162611874448505</v>
      </c>
      <c r="Q82" s="478">
        <f>+INPUT!R922</f>
        <v>-10.228022057551783</v>
      </c>
      <c r="R82" s="502">
        <f>+INPUT!S922</f>
        <v>19.648433876503507</v>
      </c>
      <c r="S82" s="478">
        <f>+INPUT!T922</f>
        <v>-9.3752116734025321</v>
      </c>
      <c r="T82" s="502">
        <f>+INPUT!U922</f>
        <v>25.014031805425631</v>
      </c>
      <c r="U82" s="478">
        <f>+INPUT!V922</f>
        <v>16.573981532649</v>
      </c>
      <c r="V82" s="502">
        <f>+INPUT!W922</f>
        <v>25.692918461222934</v>
      </c>
      <c r="W82" s="478">
        <f>+INPUT!X922</f>
        <v>21.830197958963254</v>
      </c>
      <c r="X82" s="502">
        <f>+INPUT!Y922</f>
        <v>25.405385628567245</v>
      </c>
      <c r="Y82" s="478">
        <f>+INPUT!Z922</f>
        <v>26.002453386323211</v>
      </c>
      <c r="Z82" s="502">
        <f>+INPUT!AA922</f>
        <v>24.596429141224416</v>
      </c>
      <c r="AA82" s="478">
        <f>+INPUT!AB922</f>
        <v>25.182644559971507</v>
      </c>
      <c r="AB82" s="502">
        <f>+INPUT!AC922</f>
        <v>23.858676375849612</v>
      </c>
      <c r="AC82" s="478">
        <f>+INPUT!AD922</f>
        <v>-4.618829297744071</v>
      </c>
      <c r="AD82" s="502">
        <f>+INPUT!AE922</f>
        <v>23.665385246310862</v>
      </c>
      <c r="AE82" s="478">
        <f>+INPUT!AF922</f>
        <v>-7.8914087474030197</v>
      </c>
      <c r="AF82" s="502">
        <f>+INPUT!AG922</f>
        <v>22.565271740674451</v>
      </c>
      <c r="AG82" s="478">
        <f>+INPUT!AH922</f>
        <v>-11.179180388819645</v>
      </c>
      <c r="AH82" s="502">
        <f>+INPUT!AI922</f>
        <v>22.344969804094855</v>
      </c>
      <c r="AI82" s="478">
        <f>+INPUT!AJ922</f>
        <v>-9.1536024363635846</v>
      </c>
      <c r="AJ82" s="502">
        <f>+INPUT!AK922</f>
        <v>21.924859890680139</v>
      </c>
      <c r="AK82" s="478">
        <f>+INPUT!AL922</f>
        <v>-8.1052966003048397</v>
      </c>
      <c r="AL82" s="502">
        <f>+INPUT!AM922</f>
        <v>21.300613820174398</v>
      </c>
      <c r="AM82" s="478">
        <f>+INPUT!AN922</f>
        <v>-9.9925329823443434</v>
      </c>
      <c r="AN82" s="502">
        <f>+INPUT!AO922</f>
        <v>20.236201160882171</v>
      </c>
      <c r="AO82" s="478">
        <f>+INPUT!AP922</f>
        <v>-10.321482526594494</v>
      </c>
      <c r="AP82" s="502">
        <f>+INPUT!AQ922</f>
        <v>20.037086141331621</v>
      </c>
      <c r="AQ82" s="478">
        <f>+INPUT!AR922</f>
        <v>-10.328425963414375</v>
      </c>
      <c r="AR82" s="502">
        <f>+INPUT!AS922</f>
        <v>19.813848021394186</v>
      </c>
      <c r="AS82" s="478">
        <f>+INPUT!AT922</f>
        <v>-9.6283938862628986</v>
      </c>
      <c r="AT82" s="502">
        <f>+INPUT!AU922</f>
        <v>19.583754577795233</v>
      </c>
      <c r="AU82" s="478">
        <f>+INPUT!AV922</f>
        <v>-8.0601397540623054</v>
      </c>
      <c r="AV82" s="502">
        <f>+INPUT!AW922</f>
        <v>19.312695609638432</v>
      </c>
      <c r="AW82" s="478">
        <f>+INPUT!AX922</f>
        <v>-4.5636310091092298</v>
      </c>
      <c r="AX82" s="502"/>
      <c r="AY82" s="502"/>
      <c r="AZ82" s="491"/>
      <c r="BA82" s="502"/>
      <c r="BB82" s="491"/>
      <c r="BC82" s="502"/>
      <c r="BD82" s="491"/>
      <c r="BE82" s="502"/>
      <c r="BF82" s="478"/>
      <c r="BG82" s="502"/>
      <c r="BH82" s="478"/>
      <c r="BI82" s="502"/>
      <c r="BJ82" s="478"/>
      <c r="BK82" s="502"/>
      <c r="BL82" s="478"/>
      <c r="BM82" s="502"/>
      <c r="BN82" s="478"/>
      <c r="BO82" s="502"/>
      <c r="BP82" s="478"/>
      <c r="BQ82" s="502"/>
      <c r="BR82" s="478"/>
      <c r="BS82" s="502">
        <f>+INPUT!BB922</f>
        <v>25.014031805425631</v>
      </c>
      <c r="BT82" s="478" t="str">
        <f>+INPUT!BC922</f>
        <v>NA</v>
      </c>
      <c r="BU82" s="502">
        <f>+INPUT!BD922</f>
        <v>25.692918461222934</v>
      </c>
      <c r="BV82" s="478">
        <f>+INPUT!BE922</f>
        <v>2.7140233173048642</v>
      </c>
      <c r="BW82" s="502">
        <f>+INPUT!BF922</f>
        <v>25.405385628567245</v>
      </c>
      <c r="BX82" s="478">
        <f>+INPUT!BG922</f>
        <v>-1.1191131637678637</v>
      </c>
      <c r="BY82" s="502">
        <f>+INPUT!BH922</f>
        <v>22.565271740674451</v>
      </c>
      <c r="BZ82" s="478">
        <f>+INPUT!BI922</f>
        <v>-11.179180388819645</v>
      </c>
      <c r="CA82" s="502">
        <f>+INPUT!BJ922</f>
        <v>20.236201160882171</v>
      </c>
      <c r="CB82" s="478">
        <f>+INPUT!BK922</f>
        <v>-10.321482526594494</v>
      </c>
      <c r="CC82" s="502">
        <f>+INPUT!BL922</f>
        <v>19.312695609638432</v>
      </c>
      <c r="CD82" s="478">
        <f>+INPUT!BM922</f>
        <v>-4.5636310091092298</v>
      </c>
      <c r="CE82" s="502">
        <f>+INPUT!BN922</f>
        <v>18.430162425103454</v>
      </c>
      <c r="CF82" s="478">
        <f>+INPUT!BO922</f>
        <v>-4.5697048323721816</v>
      </c>
      <c r="CG82" s="502">
        <f>+INPUT!BP922</f>
        <v>17.610923693018599</v>
      </c>
      <c r="CH82" s="478">
        <f>+INPUT!BQ922</f>
        <v>-4.4450977326655732</v>
      </c>
      <c r="CI82" s="502">
        <f>+INPUT!BR922</f>
        <v>16.850942468215308</v>
      </c>
      <c r="CJ82" s="478">
        <f>+INPUT!BS922</f>
        <v>-4.3153967279102261</v>
      </c>
      <c r="CK82" s="502">
        <f>+INPUT!BT922</f>
        <v>16.137552402444559</v>
      </c>
      <c r="CL82" s="478">
        <f>+INPUT!BU922</f>
        <v>-4.2335321428837887</v>
      </c>
      <c r="CM82" s="871">
        <f>+INPUT!BV922</f>
        <v>-4.4255658344630184</v>
      </c>
    </row>
    <row r="83" spans="1:91" s="475" customFormat="1" ht="12.75" hidden="1" customHeight="1" outlineLevel="1" x14ac:dyDescent="0.2">
      <c r="A83" s="865" t="str">
        <f>+INPUT!B923</f>
        <v>Debt to Equity (%)</v>
      </c>
      <c r="B83" s="502">
        <f>+INPUT!C923</f>
        <v>31.16691934172654</v>
      </c>
      <c r="C83" s="491" t="str">
        <f>+INPUT!D923</f>
        <v>NA</v>
      </c>
      <c r="D83" s="502">
        <f>+INPUT!E923</f>
        <v>29.59941529896065</v>
      </c>
      <c r="E83" s="478" t="str">
        <f>+INPUT!F923</f>
        <v>NA</v>
      </c>
      <c r="F83" s="502">
        <f>+INPUT!G923</f>
        <v>29.784533298910297</v>
      </c>
      <c r="G83" s="478" t="str">
        <f>+INPUT!H923</f>
        <v>NA</v>
      </c>
      <c r="H83" s="502">
        <f>+INPUT!I923</f>
        <v>28.965372066098304</v>
      </c>
      <c r="I83" s="478" t="str">
        <f>+INPUT!J923</f>
        <v>NA</v>
      </c>
      <c r="J83" s="502">
        <f>+INPUT!K923</f>
        <v>27.683069986806704</v>
      </c>
      <c r="K83" s="478">
        <f>+INPUT!L923</f>
        <v>-11.178035649662775</v>
      </c>
      <c r="L83" s="502">
        <f>+INPUT!M923</f>
        <v>27.319840039174082</v>
      </c>
      <c r="M83" s="478">
        <f>+INPUT!N923</f>
        <v>-7.7014198988809568</v>
      </c>
      <c r="N83" s="502">
        <f>+INPUT!O923</f>
        <v>26.725239777381926</v>
      </c>
      <c r="O83" s="478">
        <f>+INPUT!P923</f>
        <v>-10.271416680684737</v>
      </c>
      <c r="P83" s="502">
        <f>+INPUT!Q923</f>
        <v>25.254598563195703</v>
      </c>
      <c r="Q83" s="478">
        <f>+INPUT!R923</f>
        <v>-12.811067969141575</v>
      </c>
      <c r="R83" s="502">
        <f>+INPUT!S923</f>
        <v>24.453081407653972</v>
      </c>
      <c r="S83" s="478">
        <f>+INPUT!T923</f>
        <v>-11.667739816039514</v>
      </c>
      <c r="T83" s="502">
        <f>+INPUT!U923</f>
        <v>33.358283433133735</v>
      </c>
      <c r="U83" s="478">
        <f>+INPUT!V923</f>
        <v>22.102777268465303</v>
      </c>
      <c r="V83" s="502">
        <f>+INPUT!W923</f>
        <v>34.576675505436341</v>
      </c>
      <c r="W83" s="478">
        <f>+INPUT!X923</f>
        <v>29.378354669428376</v>
      </c>
      <c r="X83" s="502">
        <f>+INPUT!Y923</f>
        <v>34.05793547247918</v>
      </c>
      <c r="Y83" s="478">
        <f>+INPUT!Z923</f>
        <v>34.858352181898653</v>
      </c>
      <c r="Z83" s="502">
        <f>+INPUT!AA923</f>
        <v>32.619713975206047</v>
      </c>
      <c r="AA83" s="478">
        <f>+INPUT!AB923</f>
        <v>33.397151186826989</v>
      </c>
      <c r="AB83" s="502">
        <f>+INPUT!AC923</f>
        <v>31.334727635706816</v>
      </c>
      <c r="AC83" s="478">
        <f>+INPUT!AD923</f>
        <v>-6.0661268781503992</v>
      </c>
      <c r="AD83" s="502">
        <f>+INPUT!AE923</f>
        <v>31.002167657061701</v>
      </c>
      <c r="AE83" s="478">
        <f>+INPUT!AF923</f>
        <v>-10.337916517776947</v>
      </c>
      <c r="AF83" s="502">
        <f>+INPUT!AG923</f>
        <v>29.14102270121532</v>
      </c>
      <c r="AG83" s="478">
        <f>+INPUT!AH923</f>
        <v>-14.436907883735401</v>
      </c>
      <c r="AH83" s="502">
        <f>+INPUT!AI923</f>
        <v>28.774658573596355</v>
      </c>
      <c r="AI83" s="478">
        <f>+INPUT!AJ923</f>
        <v>-11.787520284611588</v>
      </c>
      <c r="AJ83" s="502">
        <f>+INPUT!AK923</f>
        <v>28.081742613565869</v>
      </c>
      <c r="AK83" s="478">
        <f>+INPUT!AL923</f>
        <v>-10.381405129668593</v>
      </c>
      <c r="AL83" s="502">
        <f>+INPUT!AM923</f>
        <v>27.06579409844846</v>
      </c>
      <c r="AM83" s="478">
        <f>+INPUT!AN923</f>
        <v>-12.697091384565212</v>
      </c>
      <c r="AN83" s="502">
        <f>+INPUT!AO923</f>
        <v>25.37015720840758</v>
      </c>
      <c r="AO83" s="478">
        <f>+INPUT!AP923</f>
        <v>-12.940058869829841</v>
      </c>
      <c r="AP83" s="502">
        <f>+INPUT!AQ923</f>
        <v>25.057973971216786</v>
      </c>
      <c r="AQ83" s="478">
        <f>+INPUT!AR923</f>
        <v>-12.916520252963153</v>
      </c>
      <c r="AR83" s="502">
        <f>+INPUT!AS923</f>
        <v>24.709812770016264</v>
      </c>
      <c r="AS83" s="478">
        <f>+INPUT!AT923</f>
        <v>-12.007551988318127</v>
      </c>
      <c r="AT83" s="502">
        <f>+INPUT!AU923</f>
        <v>24.352983001103542</v>
      </c>
      <c r="AU83" s="478">
        <f>+INPUT!AV923</f>
        <v>-10.023024218234298</v>
      </c>
      <c r="AV83" s="502">
        <f>+INPUT!AW923</f>
        <v>23.935234614115345</v>
      </c>
      <c r="AW83" s="478">
        <f>+INPUT!AX923</f>
        <v>-5.6559467980620326</v>
      </c>
      <c r="AX83" s="502"/>
      <c r="AY83" s="502"/>
      <c r="AZ83" s="491"/>
      <c r="BA83" s="502"/>
      <c r="BB83" s="491"/>
      <c r="BC83" s="502"/>
      <c r="BD83" s="491"/>
      <c r="BE83" s="502"/>
      <c r="BF83" s="478"/>
      <c r="BG83" s="502"/>
      <c r="BH83" s="478"/>
      <c r="BI83" s="502"/>
      <c r="BJ83" s="478"/>
      <c r="BK83" s="502"/>
      <c r="BL83" s="478"/>
      <c r="BM83" s="502"/>
      <c r="BN83" s="478"/>
      <c r="BO83" s="502"/>
      <c r="BP83" s="478"/>
      <c r="BQ83" s="502"/>
      <c r="BR83" s="478"/>
      <c r="BS83" s="502">
        <f>+INPUT!BB923</f>
        <v>33.358283433133735</v>
      </c>
      <c r="BT83" s="478" t="str">
        <f>+INPUT!BC923</f>
        <v>NA</v>
      </c>
      <c r="BU83" s="502">
        <f>+INPUT!BD923</f>
        <v>34.576675505436341</v>
      </c>
      <c r="BV83" s="478">
        <f>+INPUT!BE923</f>
        <v>3.6524423528712333</v>
      </c>
      <c r="BW83" s="502">
        <f>+INPUT!BF923</f>
        <v>34.05793547247918</v>
      </c>
      <c r="BX83" s="478">
        <f>+INPUT!BG923</f>
        <v>-1.5002600029479538</v>
      </c>
      <c r="BY83" s="502">
        <f>+INPUT!BH923</f>
        <v>29.14102270121532</v>
      </c>
      <c r="BZ83" s="478">
        <f>+INPUT!BI923</f>
        <v>-14.436907883735401</v>
      </c>
      <c r="CA83" s="502">
        <f>+INPUT!BJ923</f>
        <v>25.37015720840758</v>
      </c>
      <c r="CB83" s="478">
        <f>+INPUT!BK923</f>
        <v>-12.940058869829841</v>
      </c>
      <c r="CC83" s="502">
        <f>+INPUT!BL923</f>
        <v>23.935234614115345</v>
      </c>
      <c r="CD83" s="478">
        <f>+INPUT!BM923</f>
        <v>-5.6559467980620326</v>
      </c>
      <c r="CE83" s="502">
        <f>+INPUT!BN923</f>
        <v>22.594335079043258</v>
      </c>
      <c r="CF83" s="478">
        <f>+INPUT!BO923</f>
        <v>-5.6021992543215617</v>
      </c>
      <c r="CG83" s="502">
        <f>+INPUT!BP923</f>
        <v>21.375313915888995</v>
      </c>
      <c r="CH83" s="478">
        <f>+INPUT!BQ923</f>
        <v>-5.3952513268909286</v>
      </c>
      <c r="CI83" s="502">
        <f>+INPUT!BR923</f>
        <v>20.265945241500592</v>
      </c>
      <c r="CJ83" s="478">
        <f>+INPUT!BS923</f>
        <v>-5.1899526657419983</v>
      </c>
      <c r="CK83" s="502">
        <f>+INPUT!BT923</f>
        <v>19.242882678414649</v>
      </c>
      <c r="CL83" s="478">
        <f>+INPUT!BU923</f>
        <v>-5.0481857662919083</v>
      </c>
      <c r="CM83" s="871">
        <f>+INPUT!BV923</f>
        <v>-5.3785945025256137</v>
      </c>
    </row>
    <row r="84" spans="1:91" s="475" customFormat="1" ht="12.75" customHeight="1" collapsed="1" x14ac:dyDescent="0.2">
      <c r="A84" s="865" t="str">
        <f>+INPUT!B924</f>
        <v>Capital to Gen Policy Liab (%)</v>
      </c>
      <c r="B84" s="502">
        <f>+INPUT!C924</f>
        <v>17.741863582193353</v>
      </c>
      <c r="C84" s="491" t="str">
        <f>+INPUT!D924</f>
        <v>NA</v>
      </c>
      <c r="D84" s="502">
        <f>+INPUT!E924</f>
        <v>18.348570802493175</v>
      </c>
      <c r="E84" s="478" t="str">
        <f>+INPUT!F924</f>
        <v>NA</v>
      </c>
      <c r="F84" s="502">
        <f>+INPUT!G924</f>
        <v>18.324658222926288</v>
      </c>
      <c r="G84" s="478" t="str">
        <f>+INPUT!H924</f>
        <v>NA</v>
      </c>
      <c r="H84" s="502">
        <f>+INPUT!I924</f>
        <v>18.639483516082318</v>
      </c>
      <c r="I84" s="478" t="str">
        <f>+INPUT!J924</f>
        <v>NA</v>
      </c>
      <c r="J84" s="502">
        <f>+INPUT!K924</f>
        <v>18.697194561325045</v>
      </c>
      <c r="K84" s="478">
        <f>+INPUT!L924</f>
        <v>5.3846146133741684</v>
      </c>
      <c r="L84" s="502">
        <f>+INPUT!M924</f>
        <v>18.865534468554671</v>
      </c>
      <c r="M84" s="478">
        <f>+INPUT!N924</f>
        <v>2.8174601260565311</v>
      </c>
      <c r="N84" s="502">
        <f>+INPUT!O924</f>
        <v>19.326152419951441</v>
      </c>
      <c r="O84" s="478">
        <f>+INPUT!P924</f>
        <v>5.4652817249937442</v>
      </c>
      <c r="P84" s="502">
        <f>+INPUT!Q924</f>
        <v>19.152872297083189</v>
      </c>
      <c r="Q84" s="478">
        <f>+INPUT!R924</f>
        <v>2.7543079750998061</v>
      </c>
      <c r="R84" s="502">
        <f>+INPUT!S924</f>
        <v>19.593095374046012</v>
      </c>
      <c r="S84" s="478">
        <f>+INPUT!T924</f>
        <v>4.7916322942594292</v>
      </c>
      <c r="T84" s="502">
        <f>+INPUT!U924</f>
        <v>20.172490836518659</v>
      </c>
      <c r="U84" s="478">
        <f>+INPUT!V924</f>
        <v>6.9277463097716208</v>
      </c>
      <c r="V84" s="502">
        <f>+INPUT!W924</f>
        <v>20.020647704409345</v>
      </c>
      <c r="W84" s="478">
        <f>+INPUT!X924</f>
        <v>3.5935517291115815</v>
      </c>
      <c r="X84" s="502">
        <f>+INPUT!Y924</f>
        <v>19.827780075010701</v>
      </c>
      <c r="Y84" s="478">
        <f>+INPUT!Z924</f>
        <v>3.5237940683721547</v>
      </c>
      <c r="Z84" s="502">
        <f>+INPUT!AA924</f>
        <v>19.20240409520574</v>
      </c>
      <c r="AA84" s="478">
        <f>+INPUT!AB924</f>
        <v>-1.9940253001462906</v>
      </c>
      <c r="AB84" s="502">
        <f>+INPUT!AC924</f>
        <v>18.533210629118464</v>
      </c>
      <c r="AC84" s="478">
        <f>+INPUT!AD924</f>
        <v>-8.1263152908840226</v>
      </c>
      <c r="AD84" s="502">
        <f>+INPUT!AE924</f>
        <v>18.661042981529143</v>
      </c>
      <c r="AE84" s="478">
        <f>+INPUT!AF924</f>
        <v>-6.7910126732851097</v>
      </c>
      <c r="AF84" s="502">
        <f>+INPUT!AG924</f>
        <v>18.828708712403365</v>
      </c>
      <c r="AG84" s="478">
        <f>+INPUT!AH924</f>
        <v>-5.0387454310454274</v>
      </c>
      <c r="AH84" s="502">
        <f>+INPUT!AI924</f>
        <v>18.928564316013791</v>
      </c>
      <c r="AI84" s="478">
        <f>+INPUT!AJ924</f>
        <v>-1.4260702870028581</v>
      </c>
      <c r="AJ84" s="502">
        <f>+INPUT!AK924</f>
        <v>18.900444754809456</v>
      </c>
      <c r="AK84" s="478">
        <f>+INPUT!AL924</f>
        <v>1.9814922143819587</v>
      </c>
      <c r="AL84" s="502">
        <f>+INPUT!AM924</f>
        <v>19.313355491362564</v>
      </c>
      <c r="AM84" s="478">
        <f>+INPUT!AN924</f>
        <v>3.4955844133636447</v>
      </c>
      <c r="AN84" s="502">
        <f>+INPUT!AO924</f>
        <v>20.230835876760302</v>
      </c>
      <c r="AO84" s="478">
        <f>+INPUT!AP924</f>
        <v>7.4467515843680303</v>
      </c>
      <c r="AP84" s="502">
        <f>+INPUT!AQ924</f>
        <v>20.047921445428461</v>
      </c>
      <c r="AQ84" s="478">
        <f>+INPUT!AR924</f>
        <v>5.913587056719777</v>
      </c>
      <c r="AR84" s="502">
        <f>+INPUT!AS924</f>
        <v>19.897692859140292</v>
      </c>
      <c r="AS84" s="478">
        <f>+INPUT!AT924</f>
        <v>5.2763208340749372</v>
      </c>
      <c r="AT84" s="502">
        <f>+INPUT!AU924</f>
        <v>19.75946034412927</v>
      </c>
      <c r="AU84" s="478">
        <f>+INPUT!AV924</f>
        <v>2.3098257212021736</v>
      </c>
      <c r="AV84" s="502">
        <f>+INPUT!AW924</f>
        <v>19.674842263357782</v>
      </c>
      <c r="AW84" s="478">
        <f>+INPUT!AX924</f>
        <v>-2.7482483511282112</v>
      </c>
      <c r="AX84" s="502"/>
      <c r="AY84" s="502"/>
      <c r="AZ84" s="491"/>
      <c r="BA84" s="502"/>
      <c r="BB84" s="491"/>
      <c r="BC84" s="502"/>
      <c r="BD84" s="491"/>
      <c r="BE84" s="502"/>
      <c r="BF84" s="478"/>
      <c r="BG84" s="502"/>
      <c r="BH84" s="478"/>
      <c r="BI84" s="502"/>
      <c r="BJ84" s="478"/>
      <c r="BK84" s="502"/>
      <c r="BL84" s="478"/>
      <c r="BM84" s="502"/>
      <c r="BN84" s="478"/>
      <c r="BO84" s="502"/>
      <c r="BP84" s="478"/>
      <c r="BQ84" s="502"/>
      <c r="BR84" s="478"/>
      <c r="BS84" s="502">
        <f>+INPUT!BB924</f>
        <v>20.172490836518659</v>
      </c>
      <c r="BT84" s="478" t="str">
        <f>+INPUT!BC924</f>
        <v>NA</v>
      </c>
      <c r="BU84" s="502">
        <f>+INPUT!BD924</f>
        <v>20.020647704409345</v>
      </c>
      <c r="BV84" s="478">
        <f>+INPUT!BE924</f>
        <v>-0.75272376296946675</v>
      </c>
      <c r="BW84" s="502">
        <f>+INPUT!BF924</f>
        <v>19.827780075010701</v>
      </c>
      <c r="BX84" s="478">
        <f>+INPUT!BG924</f>
        <v>-0.96334360529289143</v>
      </c>
      <c r="BY84" s="502">
        <f>+INPUT!BH924</f>
        <v>18.828708712403365</v>
      </c>
      <c r="BZ84" s="478">
        <f>+INPUT!BI924</f>
        <v>-5.0387454310454274</v>
      </c>
      <c r="CA84" s="502">
        <f>+INPUT!BJ924</f>
        <v>20.230835876760302</v>
      </c>
      <c r="CB84" s="478">
        <f>+INPUT!BK924</f>
        <v>7.4467515843680303</v>
      </c>
      <c r="CC84" s="502">
        <f>+INPUT!BL924</f>
        <v>19.674842263357782</v>
      </c>
      <c r="CD84" s="478">
        <f>+INPUT!BM924</f>
        <v>-2.7482483511282112</v>
      </c>
      <c r="CE84" s="502">
        <f>+INPUT!BN924</f>
        <v>19.137361151482242</v>
      </c>
      <c r="CF84" s="478">
        <f>+INPUT!BO924</f>
        <v>-2.7318191662280213</v>
      </c>
      <c r="CG84" s="502">
        <f>+INPUT!BP924</f>
        <v>18.579727429047217</v>
      </c>
      <c r="CH84" s="478">
        <f>+INPUT!BQ924</f>
        <v>-2.9138485605254658</v>
      </c>
      <c r="CI84" s="502">
        <f>+INPUT!BR924</f>
        <v>18.004319272687237</v>
      </c>
      <c r="CJ84" s="478">
        <f>+INPUT!BS924</f>
        <v>-3.0969676953408793</v>
      </c>
      <c r="CK84" s="502">
        <f>+INPUT!BT924</f>
        <v>17.424871881592836</v>
      </c>
      <c r="CL84" s="478">
        <f>+INPUT!BU924</f>
        <v>-3.2183798916153989</v>
      </c>
      <c r="CM84" s="871">
        <f>+INPUT!BV924</f>
        <v>-2.9420412452112243</v>
      </c>
    </row>
    <row r="85" spans="1:91" s="475" customFormat="1" ht="12.75" customHeight="1" x14ac:dyDescent="0.2">
      <c r="A85" s="865" t="str">
        <f>+INPUT!B925</f>
        <v>Equity to Assets (%)</v>
      </c>
      <c r="B85" s="502">
        <f>+INPUT!C925</f>
        <v>4.5480731421056761</v>
      </c>
      <c r="C85" s="491" t="str">
        <f>+INPUT!D925</f>
        <v>NA</v>
      </c>
      <c r="D85" s="502">
        <f>+INPUT!E925</f>
        <v>4.7344911181538949</v>
      </c>
      <c r="E85" s="478" t="str">
        <f>+INPUT!F925</f>
        <v>NA</v>
      </c>
      <c r="F85" s="502">
        <f>+INPUT!G925</f>
        <v>4.6087580333863647</v>
      </c>
      <c r="G85" s="478" t="str">
        <f>+INPUT!H925</f>
        <v>NA</v>
      </c>
      <c r="H85" s="502">
        <f>+INPUT!I925</f>
        <v>4.5676083923614552</v>
      </c>
      <c r="I85" s="478" t="str">
        <f>+INPUT!J925</f>
        <v>NA</v>
      </c>
      <c r="J85" s="502">
        <f>+INPUT!K925</f>
        <v>4.5657658392626175</v>
      </c>
      <c r="K85" s="478">
        <f>+INPUT!L925</f>
        <v>0.38901522917791453</v>
      </c>
      <c r="L85" s="502">
        <f>+INPUT!M925</f>
        <v>4.5022365584878754</v>
      </c>
      <c r="M85" s="478">
        <f>+INPUT!N925</f>
        <v>-4.9055865534410827</v>
      </c>
      <c r="N85" s="502">
        <f>+INPUT!O925</f>
        <v>4.5992296893160471</v>
      </c>
      <c r="O85" s="478">
        <f>+INPUT!P925</f>
        <v>-0.20674428992134608</v>
      </c>
      <c r="P85" s="502">
        <f>+INPUT!Q925</f>
        <v>4.626441425770853</v>
      </c>
      <c r="Q85" s="478">
        <f>+INPUT!R925</f>
        <v>1.2880489822154146</v>
      </c>
      <c r="R85" s="502">
        <f>+INPUT!S925</f>
        <v>4.67242542598472</v>
      </c>
      <c r="S85" s="478">
        <f>+INPUT!T925</f>
        <v>2.3360722051249354</v>
      </c>
      <c r="T85" s="502">
        <f>+INPUT!U925</f>
        <v>4.5014023081142485</v>
      </c>
      <c r="U85" s="478">
        <f>+INPUT!V925</f>
        <v>-1.8529687696087649E-2</v>
      </c>
      <c r="V85" s="502">
        <f>+INPUT!W925</f>
        <v>4.6990177396060391</v>
      </c>
      <c r="W85" s="478">
        <f>+INPUT!X925</f>
        <v>2.1696687713118195</v>
      </c>
      <c r="X85" s="502">
        <f>+INPUT!Y925</f>
        <v>4.6427901282698238</v>
      </c>
      <c r="Y85" s="478">
        <f>+INPUT!Z925</f>
        <v>0.35337532661503701</v>
      </c>
      <c r="Z85" s="502">
        <f>+INPUT!AA925</f>
        <v>4.7712045505334153</v>
      </c>
      <c r="AA85" s="478">
        <f>+INPUT!AB925</f>
        <v>2.1140867010815327</v>
      </c>
      <c r="AB85" s="502">
        <f>+INPUT!AC925</f>
        <v>4.7150634151151873</v>
      </c>
      <c r="AC85" s="478">
        <f>+INPUT!AD925</f>
        <v>4.7465454624171741</v>
      </c>
      <c r="AD85" s="502">
        <f>+INPUT!AE925</f>
        <v>4.647817964371419</v>
      </c>
      <c r="AE85" s="478">
        <f>+INPUT!AF925</f>
        <v>-1.0895846338922865</v>
      </c>
      <c r="AF85" s="502">
        <f>+INPUT!AG925</f>
        <v>4.7673810997006854</v>
      </c>
      <c r="AG85" s="478">
        <f>+INPUT!AH925</f>
        <v>2.6835365801316584</v>
      </c>
      <c r="AH85" s="502">
        <f>+INPUT!AI925</f>
        <v>4.6921586718603985</v>
      </c>
      <c r="AI85" s="478">
        <f>+INPUT!AJ925</f>
        <v>-1.6567279360131408</v>
      </c>
      <c r="AJ85" s="502">
        <f>+INPUT!AK925</f>
        <v>4.6964664752153826</v>
      </c>
      <c r="AK85" s="478">
        <f>+INPUT!AL925</f>
        <v>-0.39441547785312991</v>
      </c>
      <c r="AL85" s="502">
        <f>+INPUT!AM925</f>
        <v>4.8205106689913855</v>
      </c>
      <c r="AM85" s="478">
        <f>+INPUT!AN925</f>
        <v>3.7155651521589164</v>
      </c>
      <c r="AN85" s="502">
        <f>+INPUT!AO925</f>
        <v>4.9980356669294963</v>
      </c>
      <c r="AO85" s="478">
        <f>+INPUT!AP925</f>
        <v>4.8381818529945662</v>
      </c>
      <c r="AP85" s="502">
        <f>+INPUT!AQ925</f>
        <v>5.0373308116989453</v>
      </c>
      <c r="AQ85" s="478">
        <f>+INPUT!AR925</f>
        <v>7.3563611970029399</v>
      </c>
      <c r="AR85" s="502">
        <f>+INPUT!AS925</f>
        <v>5.035503072647006</v>
      </c>
      <c r="AS85" s="478">
        <f>+INPUT!AT925</f>
        <v>7.2189719488219026</v>
      </c>
      <c r="AT85" s="502">
        <f>+INPUT!AU925</f>
        <v>5.0372817674363226</v>
      </c>
      <c r="AU85" s="478">
        <f>+INPUT!AV925</f>
        <v>4.4968492620366618</v>
      </c>
      <c r="AV85" s="502">
        <f>+INPUT!AW925</f>
        <v>5.0568057735101641</v>
      </c>
      <c r="AW85" s="478">
        <f>+INPUT!AX925</f>
        <v>1.1758640893567929</v>
      </c>
      <c r="AX85" s="492"/>
      <c r="AY85" s="502"/>
      <c r="AZ85" s="491"/>
      <c r="BA85" s="502"/>
      <c r="BB85" s="491"/>
      <c r="BC85" s="502"/>
      <c r="BD85" s="491"/>
      <c r="BE85" s="502"/>
      <c r="BF85" s="478"/>
      <c r="BG85" s="502"/>
      <c r="BH85" s="478"/>
      <c r="BI85" s="502"/>
      <c r="BJ85" s="478"/>
      <c r="BK85" s="502"/>
      <c r="BL85" s="478"/>
      <c r="BM85" s="502"/>
      <c r="BN85" s="478"/>
      <c r="BO85" s="502"/>
      <c r="BP85" s="478"/>
      <c r="BQ85" s="502"/>
      <c r="BR85" s="478"/>
      <c r="BS85" s="502">
        <f>+INPUT!BB925</f>
        <v>4.5014023081142485</v>
      </c>
      <c r="BT85" s="478" t="str">
        <f>+INPUT!BC925</f>
        <v>NA</v>
      </c>
      <c r="BU85" s="502">
        <f>+INPUT!BD925</f>
        <v>4.6990177396060391</v>
      </c>
      <c r="BV85" s="478">
        <f>+INPUT!BE925</f>
        <v>4.3900859768869935</v>
      </c>
      <c r="BW85" s="502">
        <f>+INPUT!BF925</f>
        <v>4.6427901282698238</v>
      </c>
      <c r="BX85" s="478">
        <f>+INPUT!BG925</f>
        <v>-1.1965822316927301</v>
      </c>
      <c r="BY85" s="502">
        <f>+INPUT!BH925</f>
        <v>4.7673810997006854</v>
      </c>
      <c r="BZ85" s="478">
        <f>+INPUT!BI925</f>
        <v>2.6835365801316584</v>
      </c>
      <c r="CA85" s="502">
        <f>+INPUT!BJ925</f>
        <v>4.9980356669294963</v>
      </c>
      <c r="CB85" s="478">
        <f>+INPUT!BK925</f>
        <v>4.8381818529945662</v>
      </c>
      <c r="CC85" s="502">
        <f>+INPUT!BL925</f>
        <v>5.0568057735101641</v>
      </c>
      <c r="CD85" s="478">
        <f>+INPUT!BM925</f>
        <v>1.1758640893567929</v>
      </c>
      <c r="CE85" s="502">
        <f>+INPUT!BN925</f>
        <v>5.2183228544634144</v>
      </c>
      <c r="CF85" s="478">
        <f>+INPUT!BO925</f>
        <v>3.1940534833144909</v>
      </c>
      <c r="CG85" s="502">
        <f>+INPUT!BP925</f>
        <v>5.3825950996954566</v>
      </c>
      <c r="CH85" s="478">
        <f>+INPUT!BQ925</f>
        <v>3.1479893025693855</v>
      </c>
      <c r="CI85" s="502">
        <f>+INPUT!BR925</f>
        <v>5.5486352173177655</v>
      </c>
      <c r="CJ85" s="478">
        <f>+INPUT!BS925</f>
        <v>3.0847595731602269</v>
      </c>
      <c r="CK85" s="502">
        <f>+INPUT!BT925</f>
        <v>5.7195252259879688</v>
      </c>
      <c r="CL85" s="478">
        <f>+INPUT!BU925</f>
        <v>3.0798566129710707</v>
      </c>
      <c r="CM85" s="871">
        <f>+INPUT!BV925</f>
        <v>2.7335098236065836</v>
      </c>
    </row>
    <row r="86" spans="1:91" s="475" customFormat="1" ht="12.75" customHeight="1" x14ac:dyDescent="0.2">
      <c r="A86" s="865" t="str">
        <f>+INPUT!B926</f>
        <v>Equity to Gen Policy Liab (%)</v>
      </c>
      <c r="B86" s="502">
        <f>+INPUT!C926</f>
        <v>13.526172354456866</v>
      </c>
      <c r="C86" s="491" t="str">
        <f>+INPUT!D926</f>
        <v>NA</v>
      </c>
      <c r="D86" s="502">
        <f>+INPUT!E926</f>
        <v>14.157911716010901</v>
      </c>
      <c r="E86" s="478" t="str">
        <f>+INPUT!F926</f>
        <v>NA</v>
      </c>
      <c r="F86" s="502">
        <f>+INPUT!G926</f>
        <v>14.11929276712986</v>
      </c>
      <c r="G86" s="478" t="str">
        <f>+INPUT!H926</f>
        <v>NA</v>
      </c>
      <c r="H86" s="502">
        <f>+INPUT!I926</f>
        <v>14.453091723357392</v>
      </c>
      <c r="I86" s="478" t="str">
        <f>+INPUT!J926</f>
        <v>NA</v>
      </c>
      <c r="J86" s="502">
        <f>+INPUT!K926</f>
        <v>14.643440640373855</v>
      </c>
      <c r="K86" s="478">
        <f>+INPUT!L926</f>
        <v>8.260047681181959</v>
      </c>
      <c r="L86" s="502">
        <f>+INPUT!M926</f>
        <v>14.817434943956947</v>
      </c>
      <c r="M86" s="478">
        <f>+INPUT!N926</f>
        <v>4.6583369156074355</v>
      </c>
      <c r="N86" s="502">
        <f>+INPUT!O926</f>
        <v>15.250436656424302</v>
      </c>
      <c r="O86" s="478">
        <f>+INPUT!P926</f>
        <v>8.011335326424998</v>
      </c>
      <c r="P86" s="502">
        <f>+INPUT!Q926</f>
        <v>15.291152993013535</v>
      </c>
      <c r="Q86" s="478">
        <f>+INPUT!R926</f>
        <v>5.7984913241902802</v>
      </c>
      <c r="R86" s="502">
        <f>+INPUT!S926</f>
        <v>15.743358985116314</v>
      </c>
      <c r="S86" s="478">
        <f>+INPUT!T926</f>
        <v>7.5113381598983011</v>
      </c>
      <c r="T86" s="502">
        <f>+INPUT!U926</f>
        <v>15.126537562725309</v>
      </c>
      <c r="U86" s="478">
        <f>+INPUT!V926</f>
        <v>2.0860737363616693</v>
      </c>
      <c r="V86" s="502">
        <f>+INPUT!W926</f>
        <v>14.876759014306751</v>
      </c>
      <c r="W86" s="478">
        <f>+INPUT!X926</f>
        <v>-2.4502750349783469</v>
      </c>
      <c r="X86" s="502">
        <f>+INPUT!Y926</f>
        <v>14.790456085370012</v>
      </c>
      <c r="Y86" s="478">
        <f>+INPUT!Z926</f>
        <v>-3.2744221961044389</v>
      </c>
      <c r="Z86" s="502">
        <f>+INPUT!AA926</f>
        <v>14.479298378516884</v>
      </c>
      <c r="AA86" s="478">
        <f>+INPUT!AB926</f>
        <v>-8.0291671414878181</v>
      </c>
      <c r="AB86" s="502">
        <f>+INPUT!AC926</f>
        <v>14.111431883062528</v>
      </c>
      <c r="AC86" s="478">
        <f>+INPUT!AD926</f>
        <v>-6.7107603141395344</v>
      </c>
      <c r="AD86" s="502">
        <f>+INPUT!AE926</f>
        <v>14.244835268970615</v>
      </c>
      <c r="AE86" s="478">
        <f>+INPUT!AF926</f>
        <v>-4.2477245529649537</v>
      </c>
      <c r="AF86" s="502">
        <f>+INPUT!AG926</f>
        <v>14.5799594261895</v>
      </c>
      <c r="AG86" s="478">
        <f>+INPUT!AH926</f>
        <v>-1.4231924828114302</v>
      </c>
      <c r="AH86" s="502">
        <f>+INPUT!AI926</f>
        <v>14.698982335251834</v>
      </c>
      <c r="AI86" s="478">
        <f>+INPUT!AJ926</f>
        <v>1.5172279138946294</v>
      </c>
      <c r="AJ86" s="502">
        <f>+INPUT!AK926</f>
        <v>14.75654872360208</v>
      </c>
      <c r="AK86" s="478">
        <f>+INPUT!AL926</f>
        <v>4.5715902247585944</v>
      </c>
      <c r="AL86" s="502">
        <f>+INPUT!AM926</f>
        <v>15.199492222429978</v>
      </c>
      <c r="AM86" s="478">
        <f>+INPUT!AN926</f>
        <v>6.7017760151911574</v>
      </c>
      <c r="AN86" s="502">
        <f>+INPUT!AO926</f>
        <v>16.136883232211169</v>
      </c>
      <c r="AO86" s="478">
        <f>+INPUT!AP926</f>
        <v>10.678519469848567</v>
      </c>
      <c r="AP86" s="502">
        <f>+INPUT!AQ926</f>
        <v>16.030902155861465</v>
      </c>
      <c r="AQ86" s="478">
        <f>+INPUT!AR926</f>
        <v>9.061306355987341</v>
      </c>
      <c r="AR86" s="502">
        <f>+INPUT!AS926</f>
        <v>15.955194236266431</v>
      </c>
      <c r="AS86" s="478">
        <f>+INPUT!AT926</f>
        <v>8.1228038826395732</v>
      </c>
      <c r="AT86" s="502">
        <f>+INPUT!AU926</f>
        <v>15.889816124438219</v>
      </c>
      <c r="AU86" s="478">
        <f>+INPUT!AV926</f>
        <v>4.5417563422910092</v>
      </c>
      <c r="AV86" s="502">
        <f>+INPUT!AW926</f>
        <v>15.875099865358994</v>
      </c>
      <c r="AW86" s="478">
        <f>+INPUT!AX926</f>
        <v>-1.6222672190477425</v>
      </c>
      <c r="AX86" s="502"/>
      <c r="AY86" s="502"/>
      <c r="AZ86" s="491"/>
      <c r="BA86" s="502"/>
      <c r="BB86" s="491"/>
      <c r="BC86" s="502"/>
      <c r="BD86" s="491"/>
      <c r="BE86" s="502"/>
      <c r="BF86" s="478"/>
      <c r="BG86" s="502"/>
      <c r="BH86" s="478"/>
      <c r="BI86" s="502"/>
      <c r="BJ86" s="478"/>
      <c r="BK86" s="502"/>
      <c r="BL86" s="478"/>
      <c r="BM86" s="502"/>
      <c r="BN86" s="478"/>
      <c r="BO86" s="502"/>
      <c r="BP86" s="478"/>
      <c r="BQ86" s="502"/>
      <c r="BR86" s="478"/>
      <c r="BS86" s="502">
        <f>+INPUT!BB926</f>
        <v>15.126537562725309</v>
      </c>
      <c r="BT86" s="478" t="str">
        <f>+INPUT!BC926</f>
        <v>NA</v>
      </c>
      <c r="BU86" s="502">
        <f>+INPUT!BD926</f>
        <v>14.876759014306751</v>
      </c>
      <c r="BV86" s="478">
        <f>+INPUT!BE926</f>
        <v>-1.6512605570362666</v>
      </c>
      <c r="BW86" s="502">
        <f>+INPUT!BF926</f>
        <v>14.790456085370012</v>
      </c>
      <c r="BX86" s="478">
        <f>+INPUT!BG926</f>
        <v>-0.58011915669094094</v>
      </c>
      <c r="BY86" s="502">
        <f>+INPUT!BH926</f>
        <v>14.5799594261895</v>
      </c>
      <c r="BZ86" s="478">
        <f>+INPUT!BI926</f>
        <v>-1.4231924828114302</v>
      </c>
      <c r="CA86" s="502">
        <f>+INPUT!BJ926</f>
        <v>16.136883232211169</v>
      </c>
      <c r="CB86" s="478">
        <f>+INPUT!BK926</f>
        <v>10.678519469848567</v>
      </c>
      <c r="CC86" s="502">
        <f>+INPUT!BL926</f>
        <v>15.875099865358994</v>
      </c>
      <c r="CD86" s="478">
        <f>+INPUT!BM926</f>
        <v>-1.6222672190477425</v>
      </c>
      <c r="CE86" s="502">
        <f>+INPUT!BN926</f>
        <v>15.610314407385417</v>
      </c>
      <c r="CF86" s="478">
        <f>+INPUT!BO926</f>
        <v>-1.6679294002512961</v>
      </c>
      <c r="CG86" s="502">
        <f>+INPUT!BP926</f>
        <v>15.307665809146865</v>
      </c>
      <c r="CH86" s="478">
        <f>+INPUT!BQ926</f>
        <v>-1.9387732389000831</v>
      </c>
      <c r="CI86" s="502">
        <f>+INPUT!BR926</f>
        <v>14.970421790252908</v>
      </c>
      <c r="CJ86" s="478">
        <f>+INPUT!BS926</f>
        <v>-2.2031054446749181</v>
      </c>
      <c r="CK86" s="502">
        <f>+INPUT!BT926</f>
        <v>14.612924050641961</v>
      </c>
      <c r="CL86" s="478">
        <f>+INPUT!BU926</f>
        <v>-2.3880271686380325</v>
      </c>
      <c r="CM86" s="871">
        <f>+INPUT!BV926</f>
        <v>-1.9644715645387167</v>
      </c>
    </row>
    <row r="87" spans="1:91" s="475" customFormat="1" ht="12.75" customHeight="1" x14ac:dyDescent="0.2">
      <c r="A87" s="865" t="str">
        <f>+INPUT!B927</f>
        <v>Return on Average Assets (%)</v>
      </c>
      <c r="B87" s="502" t="e">
        <f>+INPUT!C927</f>
        <v>#REF!</v>
      </c>
      <c r="C87" s="491" t="str">
        <f>+INPUT!D927</f>
        <v>NA</v>
      </c>
      <c r="D87" s="502">
        <f>+INPUT!E927</f>
        <v>0.448349208165986</v>
      </c>
      <c r="E87" s="478" t="str">
        <f>+INPUT!F927</f>
        <v>NA</v>
      </c>
      <c r="F87" s="502">
        <f>+INPUT!G927</f>
        <v>0.49359861161578955</v>
      </c>
      <c r="G87" s="478" t="str">
        <f>+INPUT!H927</f>
        <v>NA</v>
      </c>
      <c r="H87" s="502">
        <f>+INPUT!I927</f>
        <v>0.45573331400274292</v>
      </c>
      <c r="I87" s="478" t="str">
        <f>+INPUT!J927</f>
        <v>NA</v>
      </c>
      <c r="J87" s="502">
        <f>+INPUT!K927</f>
        <v>0.56078653367405196</v>
      </c>
      <c r="K87" s="478" t="str">
        <f>+INPUT!L927</f>
        <v>NA</v>
      </c>
      <c r="L87" s="502">
        <f>+INPUT!M927</f>
        <v>0.57159524448437193</v>
      </c>
      <c r="M87" s="478">
        <f>+INPUT!N927</f>
        <v>27.488848886905657</v>
      </c>
      <c r="N87" s="502">
        <f>+INPUT!O927</f>
        <v>0.49497133581256442</v>
      </c>
      <c r="O87" s="478">
        <f>+INPUT!P927</f>
        <v>0.27810536019971721</v>
      </c>
      <c r="P87" s="502">
        <f>+INPUT!Q927</f>
        <v>0.5031372795364325</v>
      </c>
      <c r="Q87" s="478">
        <f>+INPUT!R927</f>
        <v>10.401689777149855</v>
      </c>
      <c r="R87" s="502">
        <f>+INPUT!S927</f>
        <v>0.76223457066417544</v>
      </c>
      <c r="S87" s="478">
        <f>+INPUT!T927</f>
        <v>35.922409846455395</v>
      </c>
      <c r="T87" s="502">
        <f>+INPUT!U927</f>
        <v>0.4304720359617607</v>
      </c>
      <c r="U87" s="478">
        <f>+INPUT!V927</f>
        <v>-24.689360152027945</v>
      </c>
      <c r="V87" s="502">
        <f>+INPUT!W927</f>
        <v>0.55317476842534263</v>
      </c>
      <c r="W87" s="478">
        <f>+INPUT!X927</f>
        <v>11.758950145512799</v>
      </c>
      <c r="X87" s="502">
        <f>+INPUT!Y927</f>
        <v>0.4659000565381477</v>
      </c>
      <c r="Y87" s="478">
        <f>+INPUT!Z927</f>
        <v>-7.4010065468799127</v>
      </c>
      <c r="Z87" s="502">
        <f>+INPUT!AA927</f>
        <v>0.67292274531451235</v>
      </c>
      <c r="AA87" s="478">
        <f>+INPUT!AB927</f>
        <v>-11.717105047051461</v>
      </c>
      <c r="AB87" s="502">
        <f>+INPUT!AC927</f>
        <v>0.58464521758216648</v>
      </c>
      <c r="AC87" s="478">
        <f>+INPUT!AD927</f>
        <v>35.814912175642718</v>
      </c>
      <c r="AD87" s="502">
        <f>+INPUT!AE927</f>
        <v>0.54383920569831268</v>
      </c>
      <c r="AE87" s="478">
        <f>+INPUT!AF927</f>
        <v>-1.6876335038932524</v>
      </c>
      <c r="AF87" s="502">
        <f>+INPUT!AG927</f>
        <v>0.55429026987443275</v>
      </c>
      <c r="AG87" s="478">
        <f>+INPUT!AH927</f>
        <v>18.971925866046277</v>
      </c>
      <c r="AH87" s="502">
        <f>+INPUT!AI927</f>
        <v>0.60072236476967356</v>
      </c>
      <c r="AI87" s="478">
        <f>+INPUT!AJ927</f>
        <v>-10.729371394794157</v>
      </c>
      <c r="AJ87" s="502">
        <f>+INPUT!AK927</f>
        <v>0.51992656352269984</v>
      </c>
      <c r="AK87" s="478">
        <f>+INPUT!AL927</f>
        <v>-11.069731199908603</v>
      </c>
      <c r="AL87" s="502">
        <f>+INPUT!AM927</f>
        <v>1.3277706375372165</v>
      </c>
      <c r="AM87" s="478" t="str">
        <f>+INPUT!AN927</f>
        <v>NM</v>
      </c>
      <c r="AN87" s="502">
        <f>+INPUT!AO927</f>
        <v>1.342417000440336</v>
      </c>
      <c r="AO87" s="478" t="str">
        <f>+INPUT!AP927</f>
        <v>NM</v>
      </c>
      <c r="AP87" s="502">
        <f>+INPUT!AQ927</f>
        <v>0.60597585347313243</v>
      </c>
      <c r="AQ87" s="478">
        <f>+INPUT!AR927</f>
        <v>0.87452856952864977</v>
      </c>
      <c r="AR87" s="502">
        <f>+INPUT!AS927</f>
        <v>0.61130417270190718</v>
      </c>
      <c r="AS87" s="478">
        <f>+INPUT!AT927</f>
        <v>17.575099175562286</v>
      </c>
      <c r="AT87" s="502">
        <f>+INPUT!AU927</f>
        <v>0.62533888808155802</v>
      </c>
      <c r="AU87" s="478" t="str">
        <f>+INPUT!AV927</f>
        <v>NM</v>
      </c>
      <c r="AV87" s="502">
        <f>+INPUT!AW927</f>
        <v>0.63821554191948515</v>
      </c>
      <c r="AW87" s="478" t="str">
        <f>+INPUT!AX927</f>
        <v>NM</v>
      </c>
      <c r="AX87" s="502"/>
      <c r="AY87" s="502"/>
      <c r="AZ87" s="491"/>
      <c r="BA87" s="502"/>
      <c r="BB87" s="491"/>
      <c r="BC87" s="502"/>
      <c r="BD87" s="491"/>
      <c r="BE87" s="502"/>
      <c r="BF87" s="478"/>
      <c r="BG87" s="502"/>
      <c r="BH87" s="478"/>
      <c r="BI87" s="502"/>
      <c r="BJ87" s="478"/>
      <c r="BK87" s="502"/>
      <c r="BL87" s="478"/>
      <c r="BM87" s="502"/>
      <c r="BN87" s="478"/>
      <c r="BO87" s="502"/>
      <c r="BP87" s="478"/>
      <c r="BQ87" s="502"/>
      <c r="BR87" s="478"/>
      <c r="BS87" s="502" t="e">
        <f>+INPUT!BB927</f>
        <v>#REF!</v>
      </c>
      <c r="BT87" s="478" t="str">
        <f>+INPUT!BC927</f>
        <v>NA</v>
      </c>
      <c r="BU87" s="502">
        <f>+INPUT!BD927</f>
        <v>0.52079420001532195</v>
      </c>
      <c r="BV87" s="478" t="str">
        <f>+INPUT!BE927</f>
        <v>NA</v>
      </c>
      <c r="BW87" s="502">
        <f>+INPUT!BF927</f>
        <v>0.55892673686987837</v>
      </c>
      <c r="BX87" s="478">
        <f>+INPUT!BG927</f>
        <v>7.3219972214426718</v>
      </c>
      <c r="BY87" s="502">
        <f>+INPUT!BH927</f>
        <v>0.58738507452964062</v>
      </c>
      <c r="BZ87" s="478">
        <f>+INPUT!BI927</f>
        <v>5.0916042805781103</v>
      </c>
      <c r="CA87" s="502">
        <f>+INPUT!BJ927</f>
        <v>0.95774783341886649</v>
      </c>
      <c r="CB87" s="478">
        <f>+INPUT!BK927</f>
        <v>63.052803850319265</v>
      </c>
      <c r="CC87" s="502">
        <f>+INPUT!BL927</f>
        <v>0.61824362941196742</v>
      </c>
      <c r="CD87" s="478">
        <f>+INPUT!BM927</f>
        <v>-35.448182930884116</v>
      </c>
      <c r="CE87" s="502">
        <f>+INPUT!BN927</f>
        <v>0.62545085029331304</v>
      </c>
      <c r="CF87" s="478">
        <f>+INPUT!BO927</f>
        <v>1.1657574034690299</v>
      </c>
      <c r="CG87" s="502">
        <f>+INPUT!BP927</f>
        <v>0.64023664286013715</v>
      </c>
      <c r="CH87" s="478">
        <f>+INPUT!BQ927</f>
        <v>2.3640214990338677</v>
      </c>
      <c r="CI87" s="502">
        <f>+INPUT!BR927</f>
        <v>0.65288392531194739</v>
      </c>
      <c r="CJ87" s="478">
        <f>+INPUT!BS927</f>
        <v>1.9754074673562769</v>
      </c>
      <c r="CK87" s="502">
        <f>+INPUT!BT927</f>
        <v>0.66622722983134797</v>
      </c>
      <c r="CL87" s="478">
        <f>+INPUT!BU927</f>
        <v>2.0437483604800235</v>
      </c>
      <c r="CM87" s="871">
        <f>+INPUT!BV927</f>
        <v>-7.0018647980356397</v>
      </c>
    </row>
    <row r="88" spans="1:91" s="475" customFormat="1" ht="12.75" customHeight="1" x14ac:dyDescent="0.2">
      <c r="A88" s="865" t="str">
        <f>+INPUT!B928</f>
        <v xml:space="preserve">Book Value per Share </v>
      </c>
      <c r="B88" s="495">
        <f>+INPUT!C928</f>
        <v>29.187180361404707</v>
      </c>
      <c r="C88" s="491" t="str">
        <f>+INPUT!D928</f>
        <v>NA</v>
      </c>
      <c r="D88" s="495">
        <f>+INPUT!E928</f>
        <v>29.812861517522972</v>
      </c>
      <c r="E88" s="478" t="str">
        <f>+INPUT!F928</f>
        <v>NA</v>
      </c>
      <c r="F88" s="495">
        <f>+INPUT!G928</f>
        <v>29.786321878189863</v>
      </c>
      <c r="G88" s="478" t="str">
        <f>+INPUT!H928</f>
        <v>NA</v>
      </c>
      <c r="H88" s="495">
        <f>+INPUT!I928</f>
        <v>30.348915989159895</v>
      </c>
      <c r="I88" s="478" t="str">
        <f>+INPUT!J928</f>
        <v>NA</v>
      </c>
      <c r="J88" s="495">
        <f>+INPUT!K928</f>
        <v>30.814450474898237</v>
      </c>
      <c r="K88" s="478">
        <f>+INPUT!L928</f>
        <v>5.5752905671057249</v>
      </c>
      <c r="L88" s="495">
        <f>+INPUT!M928</f>
        <v>31.519400953029272</v>
      </c>
      <c r="M88" s="478">
        <f>+INPUT!N928</f>
        <v>5.7241718796542216</v>
      </c>
      <c r="N88" s="495">
        <f>+INPUT!O928</f>
        <v>31.996934604904627</v>
      </c>
      <c r="O88" s="478">
        <f>+INPUT!P928</f>
        <v>7.4215699936198405</v>
      </c>
      <c r="P88" s="495">
        <f>+INPUT!Q928</f>
        <v>32.635590336849269</v>
      </c>
      <c r="Q88" s="478">
        <f>+INPUT!R928</f>
        <v>7.5346162232157781</v>
      </c>
      <c r="R88" s="495">
        <f>+INPUT!S928</f>
        <v>33.466711956521742</v>
      </c>
      <c r="S88" s="478">
        <f>+INPUT!T928</f>
        <v>8.6072003256526131</v>
      </c>
      <c r="T88" s="495">
        <f>+INPUT!U928</f>
        <v>34.000678656260604</v>
      </c>
      <c r="U88" s="478">
        <f>+INPUT!V928</f>
        <v>7.8722235455203275</v>
      </c>
      <c r="V88" s="495">
        <f>+INPUT!W928</f>
        <v>34.564565587734236</v>
      </c>
      <c r="W88" s="478">
        <f>+INPUT!X928</f>
        <v>8.0246155281263469</v>
      </c>
      <c r="X88" s="495">
        <f>+INPUT!Y928</f>
        <v>34.983184625943721</v>
      </c>
      <c r="Y88" s="478">
        <f>+INPUT!Z928</f>
        <v>7.1933562863845282</v>
      </c>
      <c r="Z88" s="495">
        <f>+INPUT!AA928</f>
        <v>35.804752066115711</v>
      </c>
      <c r="AA88" s="478">
        <f>+INPUT!AB928</f>
        <v>6.9861661720202193</v>
      </c>
      <c r="AB88" s="495">
        <f>+INPUT!AC928</f>
        <v>36.524305555555557</v>
      </c>
      <c r="AC88" s="478">
        <f>+INPUT!AD928</f>
        <v>7.4222839044133906</v>
      </c>
      <c r="AD88" s="495">
        <f>+INPUT!AE928</f>
        <v>37.201251303441083</v>
      </c>
      <c r="AE88" s="478">
        <f>+INPUT!AF928</f>
        <v>7.6282912019079845</v>
      </c>
      <c r="AF88" s="495">
        <f>+INPUT!AG928</f>
        <v>37.895377128953768</v>
      </c>
      <c r="AG88" s="478">
        <f>+INPUT!AH928</f>
        <v>8.3245494489668346</v>
      </c>
      <c r="AH88" s="495">
        <f>+INPUT!AI928</f>
        <v>38.428323498785147</v>
      </c>
      <c r="AI88" s="478">
        <f>+INPUT!AJ928</f>
        <v>7.3274391841195978</v>
      </c>
      <c r="AJ88" s="495">
        <f>+INPUT!AK928</f>
        <v>39.099792099792097</v>
      </c>
      <c r="AK88" s="478">
        <f>+INPUT!AL928</f>
        <v>7.0514319302226909</v>
      </c>
      <c r="AL88" s="495">
        <f>+INPUT!AM928</f>
        <v>41.419064124783361</v>
      </c>
      <c r="AM88" s="478">
        <f>+INPUT!AN928</f>
        <v>11.337825136414523</v>
      </c>
      <c r="AN88" s="495">
        <f>+INPUT!AO928</f>
        <v>43.888581314878891</v>
      </c>
      <c r="AO88" s="478">
        <f>+INPUT!AP928</f>
        <v>15.815132715346564</v>
      </c>
      <c r="AP88" s="495">
        <f>+INPUT!AQ928</f>
        <v>44.597047567699974</v>
      </c>
      <c r="AQ88" s="478">
        <f>+INPUT!AR928</f>
        <v>16.05254538129887</v>
      </c>
      <c r="AR88" s="495">
        <f>+INPUT!AS928</f>
        <v>45.351636255252018</v>
      </c>
      <c r="AS88" s="478">
        <f>+INPUT!AT928</f>
        <v>15.989456259776787</v>
      </c>
      <c r="AT88" s="495">
        <f>+INPUT!AU928</f>
        <v>46.142050552219629</v>
      </c>
      <c r="AU88" s="478">
        <f>+INPUT!AV928</f>
        <v>11.402928886097754</v>
      </c>
      <c r="AV88" s="495">
        <f>+INPUT!AW928</f>
        <v>47.01293382811609</v>
      </c>
      <c r="AW88" s="478">
        <f>+INPUT!AX928</f>
        <v>7.118827767116727</v>
      </c>
      <c r="AX88" s="502"/>
      <c r="AY88" s="502"/>
      <c r="AZ88" s="504"/>
      <c r="BA88" s="502"/>
      <c r="BB88" s="504"/>
      <c r="BC88" s="502"/>
      <c r="BD88" s="504"/>
      <c r="BE88" s="502"/>
      <c r="BF88" s="478"/>
      <c r="BG88" s="502"/>
      <c r="BH88" s="478"/>
      <c r="BI88" s="502"/>
      <c r="BJ88" s="478"/>
      <c r="BK88" s="495"/>
      <c r="BL88" s="478"/>
      <c r="BM88" s="495"/>
      <c r="BN88" s="478"/>
      <c r="BO88" s="495"/>
      <c r="BP88" s="478"/>
      <c r="BQ88" s="495"/>
      <c r="BR88" s="478"/>
      <c r="BS88" s="495">
        <f>+INPUT!BB928</f>
        <v>34.128065395095362</v>
      </c>
      <c r="BT88" s="478" t="str">
        <f>+INPUT!BC928</f>
        <v>NA</v>
      </c>
      <c r="BU88" s="495">
        <f>+INPUT!BD928</f>
        <v>34.517522966995578</v>
      </c>
      <c r="BV88" s="478">
        <f>+INPUT!BE928</f>
        <v>1.1411651008972399</v>
      </c>
      <c r="BW88" s="495">
        <f>+INPUT!BF928</f>
        <v>34.983184625943721</v>
      </c>
      <c r="BX88" s="478">
        <f>+INPUT!BG928</f>
        <v>1.3490587357424033</v>
      </c>
      <c r="BY88" s="495">
        <f>+INPUT!BH928</f>
        <v>37.895377128953776</v>
      </c>
      <c r="BZ88" s="478">
        <f>+INPUT!BI928</f>
        <v>8.3245494489668488</v>
      </c>
      <c r="CA88" s="495">
        <f>+INPUT!BJ928</f>
        <v>43.888581314878891</v>
      </c>
      <c r="CB88" s="478">
        <f>+INPUT!BK928</f>
        <v>15.815132715346536</v>
      </c>
      <c r="CC88" s="495">
        <f>+INPUT!BL928</f>
        <v>47.01293382811609</v>
      </c>
      <c r="CD88" s="478">
        <f>+INPUT!BM928</f>
        <v>7.118827767116727</v>
      </c>
      <c r="CE88" s="495">
        <f>+INPUT!BN928</f>
        <v>50.264186162428132</v>
      </c>
      <c r="CF88" s="478">
        <f>+INPUT!BO928</f>
        <v>6.9156550539877912</v>
      </c>
      <c r="CG88" s="495">
        <f>+INPUT!BP928</f>
        <v>53.610377426784176</v>
      </c>
      <c r="CH88" s="478">
        <f>+INPUT!BQ928</f>
        <v>6.6572076856926969</v>
      </c>
      <c r="CI88" s="495">
        <f>+INPUT!BR928</f>
        <v>57.017063358175598</v>
      </c>
      <c r="CJ88" s="478">
        <f>+INPUT!BS928</f>
        <v>6.3545270429105756</v>
      </c>
      <c r="CK88" s="495">
        <f>+INPUT!BT928</f>
        <v>60.470776913520517</v>
      </c>
      <c r="CL88" s="478">
        <f>+INPUT!BU928</f>
        <v>6.0573332822299761</v>
      </c>
      <c r="CM88" s="871">
        <f>+INPUT!BV928</f>
        <v>6.6200301854420163</v>
      </c>
    </row>
    <row r="89" spans="1:91" s="475" customFormat="1" ht="12.75" customHeight="1" x14ac:dyDescent="0.2">
      <c r="A89" s="869"/>
      <c r="B89" s="490"/>
      <c r="C89" s="491"/>
      <c r="D89" s="490"/>
      <c r="E89" s="478"/>
      <c r="F89" s="490"/>
      <c r="G89" s="478"/>
      <c r="H89" s="490"/>
      <c r="I89" s="478"/>
      <c r="J89" s="490"/>
      <c r="K89" s="478"/>
      <c r="L89" s="490"/>
      <c r="M89" s="478"/>
      <c r="N89" s="490"/>
      <c r="O89" s="478"/>
      <c r="P89" s="490"/>
      <c r="Q89" s="478"/>
      <c r="R89" s="490"/>
      <c r="S89" s="478"/>
      <c r="T89" s="490"/>
      <c r="U89" s="478"/>
      <c r="V89" s="490"/>
      <c r="W89" s="478"/>
      <c r="X89" s="490"/>
      <c r="Y89" s="478"/>
      <c r="Z89" s="490"/>
      <c r="AA89" s="478"/>
      <c r="AB89" s="490"/>
      <c r="AC89" s="478"/>
      <c r="AD89" s="490"/>
      <c r="AE89" s="478"/>
      <c r="AF89" s="490"/>
      <c r="AG89" s="478"/>
      <c r="AH89" s="490"/>
      <c r="AI89" s="478"/>
      <c r="AJ89" s="490"/>
      <c r="AK89" s="478"/>
      <c r="AL89" s="490"/>
      <c r="AM89" s="478"/>
      <c r="AN89" s="490"/>
      <c r="AO89" s="478"/>
      <c r="AP89" s="490"/>
      <c r="AQ89" s="478"/>
      <c r="AR89" s="490"/>
      <c r="AS89" s="478"/>
      <c r="AT89" s="490"/>
      <c r="AU89" s="478"/>
      <c r="AV89" s="490"/>
      <c r="AW89" s="478"/>
      <c r="AX89" s="490"/>
      <c r="AY89" s="490"/>
      <c r="AZ89" s="491"/>
      <c r="BA89" s="490"/>
      <c r="BB89" s="491"/>
      <c r="BC89" s="490"/>
      <c r="BD89" s="491"/>
      <c r="BE89" s="490"/>
      <c r="BF89" s="478"/>
      <c r="BG89" s="490"/>
      <c r="BH89" s="478"/>
      <c r="BI89" s="490"/>
      <c r="BJ89" s="478"/>
      <c r="BK89" s="490"/>
      <c r="BL89" s="478"/>
      <c r="BM89" s="490"/>
      <c r="BN89" s="478"/>
      <c r="BO89" s="490"/>
      <c r="BP89" s="478"/>
      <c r="BQ89" s="490"/>
      <c r="BR89" s="478"/>
      <c r="BS89" s="490"/>
      <c r="BT89" s="478"/>
      <c r="BU89" s="490"/>
      <c r="BV89" s="478"/>
      <c r="BW89" s="490"/>
      <c r="BX89" s="478"/>
      <c r="BY89" s="490"/>
      <c r="BZ89" s="478"/>
      <c r="CA89" s="490"/>
      <c r="CB89" s="478"/>
      <c r="CC89" s="490"/>
      <c r="CD89" s="478"/>
      <c r="CE89" s="490"/>
      <c r="CF89" s="478"/>
      <c r="CG89" s="490"/>
      <c r="CH89" s="478"/>
      <c r="CI89" s="490"/>
      <c r="CJ89" s="478"/>
      <c r="CK89" s="490"/>
      <c r="CL89" s="478"/>
      <c r="CM89" s="871"/>
    </row>
    <row r="90" spans="1:91" s="475" customFormat="1" ht="12.75" customHeight="1" x14ac:dyDescent="0.2">
      <c r="A90" s="869" t="str">
        <f>+INPUT!B930</f>
        <v>Capital Ratios (Incl FAS 115)</v>
      </c>
      <c r="B90" s="490"/>
      <c r="C90" s="491"/>
      <c r="D90" s="490"/>
      <c r="E90" s="478"/>
      <c r="F90" s="490"/>
      <c r="G90" s="478"/>
      <c r="H90" s="490"/>
      <c r="I90" s="478"/>
      <c r="J90" s="490"/>
      <c r="K90" s="478"/>
      <c r="L90" s="490"/>
      <c r="M90" s="478"/>
      <c r="N90" s="490"/>
      <c r="O90" s="478"/>
      <c r="P90" s="490"/>
      <c r="Q90" s="478"/>
      <c r="R90" s="490"/>
      <c r="S90" s="478"/>
      <c r="T90" s="490"/>
      <c r="U90" s="478"/>
      <c r="V90" s="490"/>
      <c r="W90" s="478"/>
      <c r="X90" s="490"/>
      <c r="Y90" s="478"/>
      <c r="Z90" s="490"/>
      <c r="AA90" s="478"/>
      <c r="AB90" s="490"/>
      <c r="AC90" s="478"/>
      <c r="AD90" s="490"/>
      <c r="AE90" s="478"/>
      <c r="AF90" s="490"/>
      <c r="AG90" s="478"/>
      <c r="AH90" s="490"/>
      <c r="AI90" s="478"/>
      <c r="AJ90" s="490"/>
      <c r="AK90" s="478"/>
      <c r="AL90" s="490"/>
      <c r="AM90" s="478"/>
      <c r="AN90" s="490"/>
      <c r="AO90" s="478"/>
      <c r="AP90" s="490"/>
      <c r="AQ90" s="478"/>
      <c r="AR90" s="490"/>
      <c r="AS90" s="478"/>
      <c r="AT90" s="490"/>
      <c r="AU90" s="478"/>
      <c r="AV90" s="490"/>
      <c r="AW90" s="478"/>
      <c r="AX90" s="490"/>
      <c r="AY90" s="490"/>
      <c r="AZ90" s="491"/>
      <c r="BA90" s="490"/>
      <c r="BB90" s="491"/>
      <c r="BC90" s="490"/>
      <c r="BD90" s="491"/>
      <c r="BE90" s="490"/>
      <c r="BF90" s="478"/>
      <c r="BG90" s="490"/>
      <c r="BH90" s="478"/>
      <c r="BI90" s="490"/>
      <c r="BJ90" s="478"/>
      <c r="BK90" s="490"/>
      <c r="BL90" s="478"/>
      <c r="BM90" s="490"/>
      <c r="BN90" s="478"/>
      <c r="BO90" s="490"/>
      <c r="BP90" s="478"/>
      <c r="BQ90" s="490"/>
      <c r="BR90" s="478"/>
      <c r="BS90" s="490"/>
      <c r="BT90" s="478"/>
      <c r="BU90" s="490"/>
      <c r="BV90" s="478"/>
      <c r="BW90" s="490"/>
      <c r="BX90" s="478"/>
      <c r="BY90" s="490"/>
      <c r="BZ90" s="478"/>
      <c r="CA90" s="490"/>
      <c r="CB90" s="478"/>
      <c r="CC90" s="490"/>
      <c r="CD90" s="478"/>
      <c r="CE90" s="490"/>
      <c r="CF90" s="478"/>
      <c r="CG90" s="490"/>
      <c r="CH90" s="478"/>
      <c r="CI90" s="490"/>
      <c r="CJ90" s="478"/>
      <c r="CK90" s="490"/>
      <c r="CL90" s="478"/>
      <c r="CM90" s="871"/>
    </row>
    <row r="91" spans="1:91" s="475" customFormat="1" ht="12.75" customHeight="1" x14ac:dyDescent="0.2">
      <c r="A91" s="865" t="str">
        <f>+INPUT!B933</f>
        <v>DAC to Equity (%)</v>
      </c>
      <c r="B91" s="502">
        <f>+INPUT!C933</f>
        <v>27.926899502241969</v>
      </c>
      <c r="C91" s="491" t="str">
        <f>+INPUT!D933</f>
        <v>NA</v>
      </c>
      <c r="D91" s="502">
        <f>+INPUT!E933</f>
        <v>31.4444181697014</v>
      </c>
      <c r="E91" s="478" t="str">
        <f>+INPUT!F933</f>
        <v>NA</v>
      </c>
      <c r="F91" s="502">
        <f>+INPUT!G933</f>
        <v>32.415071564062771</v>
      </c>
      <c r="G91" s="478" t="str">
        <f>+INPUT!H933</f>
        <v>NA</v>
      </c>
      <c r="H91" s="502">
        <f>+INPUT!I933</f>
        <v>31.773404101526193</v>
      </c>
      <c r="I91" s="478" t="str">
        <f>+INPUT!J933</f>
        <v>NA</v>
      </c>
      <c r="J91" s="502">
        <f>+INPUT!K933</f>
        <v>30.492896404649628</v>
      </c>
      <c r="K91" s="478">
        <f>+INPUT!L933</f>
        <v>9.1882627436019675</v>
      </c>
      <c r="L91" s="502">
        <f>+INPUT!M933</f>
        <v>29.118037262781442</v>
      </c>
      <c r="M91" s="478">
        <f>+INPUT!N933</f>
        <v>-7.3983906916794808</v>
      </c>
      <c r="N91" s="502">
        <f>+INPUT!O933</f>
        <v>28.938389360629678</v>
      </c>
      <c r="O91" s="478">
        <f>+INPUT!P933</f>
        <v>-10.725511423172492</v>
      </c>
      <c r="P91" s="502">
        <f>+INPUT!Q933</f>
        <v>29.389238020424198</v>
      </c>
      <c r="Q91" s="478">
        <f>+INPUT!R933</f>
        <v>-7.5036532865154157</v>
      </c>
      <c r="R91" s="502">
        <f>+INPUT!S933</f>
        <v>28.98317118569263</v>
      </c>
      <c r="S91" s="478">
        <f>+INPUT!T933</f>
        <v>-4.9510718789140356</v>
      </c>
      <c r="T91" s="502">
        <f>+INPUT!U933</f>
        <v>32.624259805640953</v>
      </c>
      <c r="U91" s="478">
        <f>+INPUT!V933</f>
        <v>12.04141100314186</v>
      </c>
      <c r="V91" s="502">
        <f>+INPUT!W933</f>
        <v>32.691288213465278</v>
      </c>
      <c r="W91" s="478">
        <f>+INPUT!X933</f>
        <v>12.968582342531377</v>
      </c>
      <c r="X91" s="502">
        <f>+INPUT!Y933</f>
        <v>35.182997551441211</v>
      </c>
      <c r="Y91" s="478">
        <f>+INPUT!Z933</f>
        <v>19.713881411252004</v>
      </c>
      <c r="Z91" s="502">
        <f>+INPUT!AA933</f>
        <v>32.059631931166351</v>
      </c>
      <c r="AA91" s="478">
        <f>+INPUT!AB933</f>
        <v>10.614645049581029</v>
      </c>
      <c r="AB91" s="502">
        <f>+INPUT!AC933</f>
        <v>30.226577902225777</v>
      </c>
      <c r="AC91" s="478">
        <f>+INPUT!AD933</f>
        <v>-7.3493833046308765</v>
      </c>
      <c r="AD91" s="502">
        <f>+INPUT!AE933</f>
        <v>29.418412910158782</v>
      </c>
      <c r="AE91" s="478">
        <f>+INPUT!AF933</f>
        <v>-10.011460184546735</v>
      </c>
      <c r="AF91" s="502">
        <f>+INPUT!AG933</f>
        <v>33.05075630909429</v>
      </c>
      <c r="AG91" s="478">
        <f>+INPUT!AH933</f>
        <v>-6.0604308635992794</v>
      </c>
      <c r="AH91" s="502">
        <f>+INPUT!AI933</f>
        <v>32.316952553197503</v>
      </c>
      <c r="AI91" s="478">
        <f>+INPUT!AJ933</f>
        <v>0.80263124225390925</v>
      </c>
      <c r="AJ91" s="502">
        <f>+INPUT!AK933</f>
        <v>30.911256167118843</v>
      </c>
      <c r="AK91" s="478">
        <f>+INPUT!AL933</f>
        <v>2.2651530950933392</v>
      </c>
      <c r="AL91" s="502">
        <f>+INPUT!AM933</f>
        <v>29.020372778500221</v>
      </c>
      <c r="AM91" s="478">
        <f>+INPUT!AN933</f>
        <v>-1.3530306100269343</v>
      </c>
      <c r="AN91" s="502">
        <f>+INPUT!AO933</f>
        <v>27.555586685656031</v>
      </c>
      <c r="AO91" s="478">
        <f>+INPUT!AP933</f>
        <v>-16.626456508428518</v>
      </c>
      <c r="AP91" s="502">
        <f>+INPUT!AQ933</f>
        <v>27.530106041658652</v>
      </c>
      <c r="AQ91" s="478">
        <f>+INPUT!AR933</f>
        <v>-14.812184111911975</v>
      </c>
      <c r="AR91" s="502">
        <f>+INPUT!AS933</f>
        <v>27.46086599960514</v>
      </c>
      <c r="AS91" s="478">
        <f>+INPUT!AT933</f>
        <v>-11.162245069755457</v>
      </c>
      <c r="AT91" s="502">
        <f>+INPUT!AU933</f>
        <v>27.377102254716686</v>
      </c>
      <c r="AU91" s="478">
        <f>+INPUT!AV933</f>
        <v>-5.6624721409538665</v>
      </c>
      <c r="AV91" s="502">
        <f>+INPUT!AW933</f>
        <v>27.21892280038205</v>
      </c>
      <c r="AW91" s="478">
        <f>+INPUT!AX933</f>
        <v>-1.2217627195331318</v>
      </c>
      <c r="AX91" s="490"/>
      <c r="AY91" s="502"/>
      <c r="AZ91" s="491"/>
      <c r="BA91" s="502"/>
      <c r="BB91" s="491"/>
      <c r="BC91" s="502"/>
      <c r="BD91" s="491"/>
      <c r="BE91" s="502"/>
      <c r="BF91" s="478"/>
      <c r="BG91" s="502"/>
      <c r="BH91" s="478"/>
      <c r="BI91" s="502"/>
      <c r="BJ91" s="478"/>
      <c r="BK91" s="502"/>
      <c r="BL91" s="478"/>
      <c r="BM91" s="502"/>
      <c r="BN91" s="478"/>
      <c r="BO91" s="502"/>
      <c r="BP91" s="478"/>
      <c r="BQ91" s="502"/>
      <c r="BR91" s="478"/>
      <c r="BS91" s="502">
        <f>+INPUT!BB933</f>
        <v>32.624259805640953</v>
      </c>
      <c r="BT91" s="478" t="str">
        <f>+INPUT!BC933</f>
        <v>NA</v>
      </c>
      <c r="BU91" s="502">
        <f>+INPUT!BD933</f>
        <v>32.691288213465278</v>
      </c>
      <c r="BV91" s="478">
        <f>+INPUT!BE933</f>
        <v>0.20545571983439004</v>
      </c>
      <c r="BW91" s="502">
        <f>+INPUT!BF933</f>
        <v>35.182997551441211</v>
      </c>
      <c r="BX91" s="478">
        <f>+INPUT!BG933</f>
        <v>7.621936834381529</v>
      </c>
      <c r="BY91" s="502">
        <f>+INPUT!BH933</f>
        <v>33.05075630909429</v>
      </c>
      <c r="BZ91" s="478">
        <f>+INPUT!BI933</f>
        <v>-6.0604308635992794</v>
      </c>
      <c r="CA91" s="502">
        <f>+INPUT!BJ933</f>
        <v>27.555586685656031</v>
      </c>
      <c r="CB91" s="478">
        <f>+INPUT!BK933</f>
        <v>-16.626456508428518</v>
      </c>
      <c r="CC91" s="502">
        <f>+INPUT!BL933</f>
        <v>27.21892280038205</v>
      </c>
      <c r="CD91" s="478">
        <f>+INPUT!BM933</f>
        <v>-1.2217627195331318</v>
      </c>
      <c r="CE91" s="502">
        <f>+INPUT!BN933</f>
        <v>26.97956667496959</v>
      </c>
      <c r="CF91" s="478">
        <f>+INPUT!BO933</f>
        <v>-0.87937398246009479</v>
      </c>
      <c r="CG91" s="502">
        <f>+INPUT!BP933</f>
        <v>26.794591499799964</v>
      </c>
      <c r="CH91" s="478">
        <f>+INPUT!BQ933</f>
        <v>-0.68561210562820918</v>
      </c>
      <c r="CI91" s="502">
        <f>+INPUT!BR933</f>
        <v>26.66285857744014</v>
      </c>
      <c r="CJ91" s="478">
        <f>+INPUT!BS933</f>
        <v>-0.49163997279379146</v>
      </c>
      <c r="CK91" s="502">
        <f>+INPUT!BT933</f>
        <v>26.566369783253929</v>
      </c>
      <c r="CL91" s="478">
        <f>+INPUT!BU933</f>
        <v>-0.36188465653810908</v>
      </c>
      <c r="CM91" s="871">
        <f>+INPUT!BV933</f>
        <v>-0.72851688690048766</v>
      </c>
    </row>
    <row r="92" spans="1:91" s="475" customFormat="1" ht="12.75" customHeight="1" x14ac:dyDescent="0.2">
      <c r="A92" s="865" t="str">
        <f>+INPUT!B934</f>
        <v>Debt to Capital (%)</v>
      </c>
      <c r="B92" s="502">
        <f>+INPUT!C934</f>
        <v>22.586500644873652</v>
      </c>
      <c r="C92" s="491" t="str">
        <f>+INPUT!D934</f>
        <v>NA</v>
      </c>
      <c r="D92" s="502">
        <f>+INPUT!E934</f>
        <v>22.840105164506152</v>
      </c>
      <c r="E92" s="478" t="str">
        <f>+INPUT!F934</f>
        <v>NA</v>
      </c>
      <c r="F92" s="502">
        <f>+INPUT!G934</f>
        <v>22.982933793744607</v>
      </c>
      <c r="G92" s="478" t="str">
        <f>+INPUT!H934</f>
        <v>NA</v>
      </c>
      <c r="H92" s="502">
        <f>+INPUT!I934</f>
        <v>22.128946141104194</v>
      </c>
      <c r="I92" s="478" t="str">
        <f>+INPUT!J934</f>
        <v>NA</v>
      </c>
      <c r="J92" s="502">
        <f>+INPUT!K934</f>
        <v>21.061117389964199</v>
      </c>
      <c r="K92" s="478">
        <f>+INPUT!L934</f>
        <v>-6.7535174168543222</v>
      </c>
      <c r="L92" s="502">
        <f>+INPUT!M934</f>
        <v>20.474319179192342</v>
      </c>
      <c r="M92" s="478">
        <f>+INPUT!N934</f>
        <v>-10.358034554894573</v>
      </c>
      <c r="N92" s="502">
        <f>+INPUT!O934</f>
        <v>20.471172303209244</v>
      </c>
      <c r="O92" s="478">
        <f>+INPUT!P934</f>
        <v>-10.928811408833297</v>
      </c>
      <c r="P92" s="502">
        <f>+INPUT!Q934</f>
        <v>20.082867725532047</v>
      </c>
      <c r="Q92" s="478">
        <f>+INPUT!R934</f>
        <v>-9.2461629330444595</v>
      </c>
      <c r="R92" s="502">
        <f>+INPUT!S934</f>
        <v>19.605997963654314</v>
      </c>
      <c r="S92" s="478">
        <f>+INPUT!T934</f>
        <v>-6.9090324096634248</v>
      </c>
      <c r="T92" s="502">
        <f>+INPUT!U934</f>
        <v>25.640730597810663</v>
      </c>
      <c r="U92" s="478">
        <f>+INPUT!V934</f>
        <v>25.233617652443584</v>
      </c>
      <c r="V92" s="502">
        <f>+INPUT!W934</f>
        <v>26.719226081657528</v>
      </c>
      <c r="W92" s="478">
        <f>+INPUT!X934</f>
        <v>30.521230957881102</v>
      </c>
      <c r="X92" s="502">
        <f>+INPUT!Y934</f>
        <v>27.159228693237374</v>
      </c>
      <c r="Y92" s="478">
        <f>+INPUT!Z934</f>
        <v>35.23580926995254</v>
      </c>
      <c r="Z92" s="502">
        <f>+INPUT!AA934</f>
        <v>25.248449748014263</v>
      </c>
      <c r="AA92" s="478">
        <f>+INPUT!AB934</f>
        <v>28.779212335020901</v>
      </c>
      <c r="AB92" s="502">
        <f>+INPUT!AC934</f>
        <v>23.892054103422776</v>
      </c>
      <c r="AC92" s="478">
        <f>+INPUT!AD934</f>
        <v>-6.8199168027497592</v>
      </c>
      <c r="AD92" s="502">
        <f>+INPUT!AE934</f>
        <v>23.511447136267332</v>
      </c>
      <c r="AE92" s="478">
        <f>+INPUT!AF934</f>
        <v>-12.00550845143043</v>
      </c>
      <c r="AF92" s="502">
        <f>+INPUT!AG934</f>
        <v>23.701918772940228</v>
      </c>
      <c r="AG92" s="478">
        <f>+INPUT!AH934</f>
        <v>-12.729779476977612</v>
      </c>
      <c r="AH92" s="502">
        <f>+INPUT!AI934</f>
        <v>23.081771942790073</v>
      </c>
      <c r="AI92" s="478">
        <f>+INPUT!AJ934</f>
        <v>-8.581429065341311</v>
      </c>
      <c r="AJ92" s="502">
        <f>+INPUT!AK934</f>
        <v>22.102407075448667</v>
      </c>
      <c r="AK92" s="478">
        <f>+INPUT!AL934</f>
        <v>-7.490553220025248</v>
      </c>
      <c r="AL92" s="502">
        <f>+INPUT!AM934</f>
        <v>21.23488240778433</v>
      </c>
      <c r="AM92" s="478">
        <f>+INPUT!AN934</f>
        <v>-9.6827928765444256</v>
      </c>
      <c r="AN92" s="502">
        <f>+INPUT!AO934</f>
        <v>20.027758414658436</v>
      </c>
      <c r="AO92" s="478">
        <f>+INPUT!AP934</f>
        <v>-15.501531304193279</v>
      </c>
      <c r="AP92" s="502">
        <f>+INPUT!AQ934</f>
        <v>19.832704463582104</v>
      </c>
      <c r="AQ92" s="478">
        <f>+INPUT!AR934</f>
        <v>-14.076334725345305</v>
      </c>
      <c r="AR92" s="502">
        <f>+INPUT!AS934</f>
        <v>19.613972393282864</v>
      </c>
      <c r="AS92" s="478">
        <f>+INPUT!AT934</f>
        <v>-11.258659175316481</v>
      </c>
      <c r="AT92" s="502">
        <f>+INPUT!AU934</f>
        <v>19.388471333657076</v>
      </c>
      <c r="AU92" s="478">
        <f>+INPUT!AV934</f>
        <v>-8.6951791805091005</v>
      </c>
      <c r="AV92" s="502">
        <f>+INPUT!AW934</f>
        <v>19.12275457421088</v>
      </c>
      <c r="AW92" s="478">
        <f>+INPUT!AX934</f>
        <v>-4.5187475388417795</v>
      </c>
      <c r="AX92" s="490"/>
      <c r="AY92" s="502"/>
      <c r="AZ92" s="491"/>
      <c r="BA92" s="502"/>
      <c r="BB92" s="491"/>
      <c r="BC92" s="502"/>
      <c r="BD92" s="491"/>
      <c r="BE92" s="502"/>
      <c r="BF92" s="478"/>
      <c r="BG92" s="502"/>
      <c r="BH92" s="478"/>
      <c r="BI92" s="502"/>
      <c r="BJ92" s="478"/>
      <c r="BK92" s="502"/>
      <c r="BL92" s="478"/>
      <c r="BM92" s="502"/>
      <c r="BN92" s="478"/>
      <c r="BO92" s="502"/>
      <c r="BP92" s="478"/>
      <c r="BQ92" s="502"/>
      <c r="BR92" s="478"/>
      <c r="BS92" s="502">
        <f>+INPUT!BB934</f>
        <v>25.640730597810663</v>
      </c>
      <c r="BT92" s="478" t="str">
        <f>+INPUT!BC934</f>
        <v>NA</v>
      </c>
      <c r="BU92" s="502">
        <f>+INPUT!BD934</f>
        <v>26.719226081657528</v>
      </c>
      <c r="BV92" s="478">
        <f>+INPUT!BE934</f>
        <v>4.2061807862017417</v>
      </c>
      <c r="BW92" s="502">
        <f>+INPUT!BF934</f>
        <v>27.159228693237374</v>
      </c>
      <c r="BX92" s="478">
        <f>+INPUT!BG934</f>
        <v>1.6467640575933586</v>
      </c>
      <c r="BY92" s="502">
        <f>+INPUT!BH934</f>
        <v>23.701918772940228</v>
      </c>
      <c r="BZ92" s="478">
        <f>+INPUT!BI934</f>
        <v>-12.729779476977612</v>
      </c>
      <c r="CA92" s="502">
        <f>+INPUT!BJ934</f>
        <v>20.027758414658436</v>
      </c>
      <c r="CB92" s="478">
        <f>+INPUT!BK934</f>
        <v>-15.501531304193279</v>
      </c>
      <c r="CC92" s="502">
        <f>+INPUT!BL934</f>
        <v>19.12275457421088</v>
      </c>
      <c r="CD92" s="478">
        <f>+INPUT!BM934</f>
        <v>-4.5187475388417795</v>
      </c>
      <c r="CE92" s="502">
        <f>+INPUT!BN934</f>
        <v>18.257106463414978</v>
      </c>
      <c r="CF92" s="478">
        <f>+INPUT!BO934</f>
        <v>-4.5267961131673076</v>
      </c>
      <c r="CG92" s="502">
        <f>+INPUT!BP934</f>
        <v>17.452844825117097</v>
      </c>
      <c r="CH92" s="478">
        <f>+INPUT!BQ934</f>
        <v>-4.4051977234701667</v>
      </c>
      <c r="CI92" s="502">
        <f>+INPUT!BR934</f>
        <v>16.706156592221998</v>
      </c>
      <c r="CJ92" s="478">
        <f>+INPUT!BS934</f>
        <v>-4.2783181789395712</v>
      </c>
      <c r="CK92" s="502">
        <f>+INPUT!BT934</f>
        <v>16.004717824114501</v>
      </c>
      <c r="CL92" s="478">
        <f>+INPUT!BU934</f>
        <v>-4.1986842649019138</v>
      </c>
      <c r="CM92" s="871">
        <f>+INPUT!BV934</f>
        <v>-4.3856371163123793</v>
      </c>
    </row>
    <row r="93" spans="1:91" s="475" customFormat="1" ht="12.75" hidden="1" customHeight="1" outlineLevel="1" x14ac:dyDescent="0.2">
      <c r="A93" s="865" t="str">
        <f>+INPUT!B935</f>
        <v>Debt to Equity (%)</v>
      </c>
      <c r="B93" s="502">
        <f>+INPUT!C935</f>
        <v>29.176436710683284</v>
      </c>
      <c r="C93" s="491" t="str">
        <f>+INPUT!D935</f>
        <v>NA</v>
      </c>
      <c r="D93" s="502">
        <f>+INPUT!E935</f>
        <v>29.601006083797323</v>
      </c>
      <c r="E93" s="478" t="str">
        <f>+INPUT!F935</f>
        <v>NA</v>
      </c>
      <c r="F93" s="502">
        <f>+INPUT!G935</f>
        <v>29.841351957234007</v>
      </c>
      <c r="G93" s="478" t="str">
        <f>+INPUT!H935</f>
        <v>NA</v>
      </c>
      <c r="H93" s="502">
        <f>+INPUT!I935</f>
        <v>28.417422192850207</v>
      </c>
      <c r="I93" s="478" t="str">
        <f>+INPUT!J935</f>
        <v>NA</v>
      </c>
      <c r="J93" s="502">
        <f>+INPUT!K935</f>
        <v>26.680283142602551</v>
      </c>
      <c r="K93" s="478">
        <f>+INPUT!L935</f>
        <v>-8.5553749857560177</v>
      </c>
      <c r="L93" s="502">
        <f>+INPUT!M935</f>
        <v>25.745544040454536</v>
      </c>
      <c r="M93" s="478">
        <f>+INPUT!N935</f>
        <v>-13.024766902950461</v>
      </c>
      <c r="N93" s="502">
        <f>+INPUT!O935</f>
        <v>25.740568415338682</v>
      </c>
      <c r="O93" s="478">
        <f>+INPUT!P935</f>
        <v>-13.74194958650736</v>
      </c>
      <c r="P93" s="502">
        <f>+INPUT!Q935</f>
        <v>25.129615082482324</v>
      </c>
      <c r="Q93" s="478">
        <f>+INPUT!R935</f>
        <v>-11.569688088017685</v>
      </c>
      <c r="R93" s="502">
        <f>+INPUT!S935</f>
        <v>24.387388943257918</v>
      </c>
      <c r="S93" s="478">
        <f>+INPUT!T935</f>
        <v>-8.5939650156237803</v>
      </c>
      <c r="T93" s="502">
        <f>+INPUT!U935</f>
        <v>34.482225019085149</v>
      </c>
      <c r="U93" s="478">
        <f>+INPUT!V935</f>
        <v>33.934730471814731</v>
      </c>
      <c r="V93" s="502">
        <f>+INPUT!W935</f>
        <v>36.461440911406093</v>
      </c>
      <c r="W93" s="478">
        <f>+INPUT!X935</f>
        <v>41.649711549022726</v>
      </c>
      <c r="X93" s="502">
        <f>+INPUT!Y935</f>
        <v>37.285751106147167</v>
      </c>
      <c r="Y93" s="478">
        <f>+INPUT!Z935</f>
        <v>48.373745414583766</v>
      </c>
      <c r="Z93" s="502">
        <f>+INPUT!AA935</f>
        <v>33.776489802421921</v>
      </c>
      <c r="AA93" s="478">
        <f>+INPUT!AB935</f>
        <v>38.49982005457656</v>
      </c>
      <c r="AB93" s="502">
        <f>+INPUT!AC935</f>
        <v>31.392325495014141</v>
      </c>
      <c r="AC93" s="478">
        <f>+INPUT!AD935</f>
        <v>-8.9608472839580884</v>
      </c>
      <c r="AD93" s="502">
        <f>+INPUT!AE935</f>
        <v>30.738517406851575</v>
      </c>
      <c r="AE93" s="478">
        <f>+INPUT!AF935</f>
        <v>-15.69582375655439</v>
      </c>
      <c r="AF93" s="502">
        <f>+INPUT!AG935</f>
        <v>31.064894938057947</v>
      </c>
      <c r="AG93" s="478">
        <f>+INPUT!AH935</f>
        <v>-16.684272097347147</v>
      </c>
      <c r="AH93" s="502">
        <f>+INPUT!AI935</f>
        <v>30.008195099895442</v>
      </c>
      <c r="AI93" s="478">
        <f>+INPUT!AJ935</f>
        <v>-11.156561041628066</v>
      </c>
      <c r="AJ93" s="502">
        <f>+INPUT!AK935</f>
        <v>28.373671439188403</v>
      </c>
      <c r="AK93" s="478">
        <f>+INPUT!AL935</f>
        <v>-9.615898179652774</v>
      </c>
      <c r="AL93" s="502">
        <f>+INPUT!AM935</f>
        <v>26.959754593044583</v>
      </c>
      <c r="AM93" s="478">
        <f>+INPUT!AN935</f>
        <v>-12.29325007381361</v>
      </c>
      <c r="AN93" s="502">
        <f>+INPUT!AO935</f>
        <v>25.043387577533409</v>
      </c>
      <c r="AO93" s="478">
        <f>+INPUT!AP935</f>
        <v>-19.383639869155076</v>
      </c>
      <c r="AP93" s="502">
        <f>+INPUT!AQ935</f>
        <v>24.739146220259641</v>
      </c>
      <c r="AQ93" s="478">
        <f>+INPUT!AR935</f>
        <v>-17.55869975550165</v>
      </c>
      <c r="AR93" s="502">
        <f>+INPUT!AS935</f>
        <v>24.399728382204451</v>
      </c>
      <c r="AS93" s="478">
        <f>+INPUT!AT935</f>
        <v>-14.005741433571856</v>
      </c>
      <c r="AT93" s="502">
        <f>+INPUT!AU935</f>
        <v>24.05173509847133</v>
      </c>
      <c r="AU93" s="478">
        <f>+INPUT!AV935</f>
        <v>-10.786520643342584</v>
      </c>
      <c r="AV93" s="502">
        <f>+INPUT!AW935</f>
        <v>23.644171452101975</v>
      </c>
      <c r="AW93" s="478">
        <f>+INPUT!AX935</f>
        <v>-5.5871679544131609</v>
      </c>
      <c r="AX93" s="490"/>
      <c r="AY93" s="502"/>
      <c r="AZ93" s="491"/>
      <c r="BA93" s="502"/>
      <c r="BB93" s="491"/>
      <c r="BC93" s="502"/>
      <c r="BD93" s="491"/>
      <c r="BE93" s="502"/>
      <c r="BF93" s="478"/>
      <c r="BG93" s="502"/>
      <c r="BH93" s="478"/>
      <c r="BI93" s="502"/>
      <c r="BJ93" s="478"/>
      <c r="BK93" s="502"/>
      <c r="BL93" s="478"/>
      <c r="BM93" s="502"/>
      <c r="BN93" s="478"/>
      <c r="BO93" s="502"/>
      <c r="BP93" s="478"/>
      <c r="BQ93" s="502"/>
      <c r="BR93" s="478"/>
      <c r="BS93" s="502">
        <f>+INPUT!BB935</f>
        <v>34.482225019085149</v>
      </c>
      <c r="BT93" s="478" t="str">
        <f>+INPUT!BC935</f>
        <v>NA</v>
      </c>
      <c r="BU93" s="502">
        <f>+INPUT!BD935</f>
        <v>36.461440911406093</v>
      </c>
      <c r="BV93" s="478">
        <f>+INPUT!BE935</f>
        <v>5.7398149081896293</v>
      </c>
      <c r="BW93" s="502">
        <f>+INPUT!BF935</f>
        <v>37.285751106147167</v>
      </c>
      <c r="BX93" s="478">
        <f>+INPUT!BG935</f>
        <v>2.2607724054131211</v>
      </c>
      <c r="BY93" s="502">
        <f>+INPUT!BH935</f>
        <v>31.064894938057947</v>
      </c>
      <c r="BZ93" s="478">
        <f>+INPUT!BI935</f>
        <v>-16.684272097347147</v>
      </c>
      <c r="CA93" s="502">
        <f>+INPUT!BJ935</f>
        <v>25.043387577533409</v>
      </c>
      <c r="CB93" s="478">
        <f>+INPUT!BK935</f>
        <v>-19.383639869155076</v>
      </c>
      <c r="CC93" s="502">
        <f>+INPUT!BL935</f>
        <v>23.644171452101975</v>
      </c>
      <c r="CD93" s="478">
        <f>+INPUT!BM935</f>
        <v>-5.5871679544131609</v>
      </c>
      <c r="CE93" s="502">
        <f>+INPUT!BN935</f>
        <v>22.334793489104701</v>
      </c>
      <c r="CF93" s="478">
        <f>+INPUT!BO935</f>
        <v>-5.5378466767160575</v>
      </c>
      <c r="CG93" s="502">
        <f>+INPUT!BP935</f>
        <v>21.142878622699737</v>
      </c>
      <c r="CH93" s="478">
        <f>+INPUT!BQ935</f>
        <v>-5.336583331233399</v>
      </c>
      <c r="CI93" s="502">
        <f>+INPUT!BR935</f>
        <v>20.056892452944453</v>
      </c>
      <c r="CJ93" s="478">
        <f>+INPUT!BS935</f>
        <v>-5.1364158548842624</v>
      </c>
      <c r="CK93" s="502">
        <f>+INPUT!BT935</f>
        <v>19.054305681836677</v>
      </c>
      <c r="CL93" s="478">
        <f>+INPUT!BU935</f>
        <v>-4.9987143993514849</v>
      </c>
      <c r="CM93" s="871">
        <f>+INPUT!BV935</f>
        <v>-5.3196159948408317</v>
      </c>
    </row>
    <row r="94" spans="1:91" s="475" customFormat="1" ht="12.75" customHeight="1" collapsed="1" x14ac:dyDescent="0.2">
      <c r="A94" s="865" t="str">
        <f>+INPUT!B936</f>
        <v>Capital to Gen Policy Liab (%)</v>
      </c>
      <c r="B94" s="502">
        <f>+INPUT!C936</f>
        <v>18.66464971276239</v>
      </c>
      <c r="C94" s="491" t="str">
        <f>+INPUT!D936</f>
        <v>NA</v>
      </c>
      <c r="D94" s="502">
        <f>+INPUT!E936</f>
        <v>18.34780994351382</v>
      </c>
      <c r="E94" s="478" t="str">
        <f>+INPUT!F936</f>
        <v>NA</v>
      </c>
      <c r="F94" s="502">
        <f>+INPUT!G936</f>
        <v>18.297774746847264</v>
      </c>
      <c r="G94" s="478" t="str">
        <f>+INPUT!H936</f>
        <v>NA</v>
      </c>
      <c r="H94" s="502">
        <f>+INPUT!I936</f>
        <v>18.918170644144531</v>
      </c>
      <c r="I94" s="478" t="str">
        <f>+INPUT!J936</f>
        <v>NA</v>
      </c>
      <c r="J94" s="502">
        <f>+INPUT!K936</f>
        <v>19.247572889379736</v>
      </c>
      <c r="K94" s="478">
        <f>+INPUT!L936</f>
        <v>3.1231401906179883</v>
      </c>
      <c r="L94" s="502">
        <f>+INPUT!M936</f>
        <v>19.771595280744318</v>
      </c>
      <c r="M94" s="478">
        <f>+INPUT!N936</f>
        <v>7.7599743054555859</v>
      </c>
      <c r="N94" s="502">
        <f>+INPUT!O936</f>
        <v>19.909537681377415</v>
      </c>
      <c r="O94" s="478">
        <f>+INPUT!P936</f>
        <v>8.8085188326403596</v>
      </c>
      <c r="P94" s="502">
        <f>+INPUT!Q936</f>
        <v>19.228923661933578</v>
      </c>
      <c r="Q94" s="478">
        <f>+INPUT!R936</f>
        <v>1.6426166336819108</v>
      </c>
      <c r="R94" s="502">
        <f>+INPUT!S936</f>
        <v>19.63550336007561</v>
      </c>
      <c r="S94" s="478">
        <f>+INPUT!T936</f>
        <v>2.0154773431715398</v>
      </c>
      <c r="T94" s="502">
        <f>+INPUT!U936</f>
        <v>19.679444212967155</v>
      </c>
      <c r="U94" s="478">
        <f>+INPUT!V936</f>
        <v>-0.466078060311645</v>
      </c>
      <c r="V94" s="502">
        <f>+INPUT!W936</f>
        <v>19.251638031663731</v>
      </c>
      <c r="W94" s="478">
        <f>+INPUT!X936</f>
        <v>-3.3044446347393404</v>
      </c>
      <c r="X94" s="502">
        <f>+INPUT!Y936</f>
        <v>18.547374988211569</v>
      </c>
      <c r="Y94" s="478">
        <f>+INPUT!Z936</f>
        <v>-3.5443932572847672</v>
      </c>
      <c r="Z94" s="502">
        <f>+INPUT!AA936</f>
        <v>18.706517682576994</v>
      </c>
      <c r="AA94" s="478">
        <f>+INPUT!AB936</f>
        <v>-4.731152853394633</v>
      </c>
      <c r="AB94" s="502">
        <f>+INPUT!AC936</f>
        <v>18.507319324304021</v>
      </c>
      <c r="AC94" s="478">
        <f>+INPUT!AD936</f>
        <v>-5.9560873568309347</v>
      </c>
      <c r="AD94" s="502">
        <f>+INPUT!AE936</f>
        <v>18.783223707852301</v>
      </c>
      <c r="AE94" s="478">
        <f>+INPUT!AF936</f>
        <v>-2.4331141227620066</v>
      </c>
      <c r="AF94" s="502">
        <f>+INPUT!AG936</f>
        <v>17.925760892677324</v>
      </c>
      <c r="AG94" s="478">
        <f>+INPUT!AH936</f>
        <v>-3.3514936530335575</v>
      </c>
      <c r="AH94" s="502">
        <f>+INPUT!AI936</f>
        <v>18.324338318762081</v>
      </c>
      <c r="AI94" s="478">
        <f>+INPUT!AJ936</f>
        <v>-2.0430278382110032</v>
      </c>
      <c r="AJ94" s="502">
        <f>+INPUT!AK936</f>
        <v>18.748618723118227</v>
      </c>
      <c r="AK94" s="478">
        <f>+INPUT!AL936</f>
        <v>1.3038052382731138</v>
      </c>
      <c r="AL94" s="502">
        <f>+INPUT!AM936</f>
        <v>19.373138922702566</v>
      </c>
      <c r="AM94" s="478">
        <f>+INPUT!AN936</f>
        <v>3.1406494647862502</v>
      </c>
      <c r="AN94" s="502">
        <f>+INPUT!AO936</f>
        <v>20.441392190714396</v>
      </c>
      <c r="AO94" s="478">
        <f>+INPUT!AP936</f>
        <v>14.033609580638256</v>
      </c>
      <c r="AP94" s="502">
        <f>+INPUT!AQ936</f>
        <v>20.254520995577106</v>
      </c>
      <c r="AQ94" s="478">
        <f>+INPUT!AR936</f>
        <v>10.533437241980707</v>
      </c>
      <c r="AR94" s="502">
        <f>+INPUT!AS936</f>
        <v>20.100459732593674</v>
      </c>
      <c r="AS94" s="478">
        <f>+INPUT!AT936</f>
        <v>7.2103498899817282</v>
      </c>
      <c r="AT94" s="502">
        <f>+INPUT!AU936</f>
        <v>19.958480238581821</v>
      </c>
      <c r="AU94" s="478">
        <f>+INPUT!AV936</f>
        <v>3.0214066920942741</v>
      </c>
      <c r="AV94" s="502">
        <f>+INPUT!AW936</f>
        <v>19.870267033197987</v>
      </c>
      <c r="AW94" s="478">
        <f>+INPUT!AX936</f>
        <v>-2.7939640910360595</v>
      </c>
      <c r="AX94" s="490"/>
      <c r="AY94" s="502"/>
      <c r="AZ94" s="491"/>
      <c r="BA94" s="502"/>
      <c r="BB94" s="491"/>
      <c r="BC94" s="502"/>
      <c r="BD94" s="491"/>
      <c r="BE94" s="502"/>
      <c r="BF94" s="478"/>
      <c r="BG94" s="502"/>
      <c r="BH94" s="478"/>
      <c r="BI94" s="502"/>
      <c r="BJ94" s="478"/>
      <c r="BK94" s="502"/>
      <c r="BL94" s="478"/>
      <c r="BM94" s="502"/>
      <c r="BN94" s="478"/>
      <c r="BO94" s="502"/>
      <c r="BP94" s="478"/>
      <c r="BQ94" s="502"/>
      <c r="BR94" s="478"/>
      <c r="BS94" s="502">
        <f>+INPUT!BB936</f>
        <v>19.679444212967155</v>
      </c>
      <c r="BT94" s="478" t="str">
        <f>+INPUT!BC936</f>
        <v>NA</v>
      </c>
      <c r="BU94" s="502">
        <f>+INPUT!BD936</f>
        <v>19.251638031663731</v>
      </c>
      <c r="BV94" s="478">
        <f>+INPUT!BE936</f>
        <v>-2.1738732896812962</v>
      </c>
      <c r="BW94" s="502">
        <f>+INPUT!BF936</f>
        <v>18.547374988211569</v>
      </c>
      <c r="BX94" s="478">
        <f>+INPUT!BG936</f>
        <v>-3.6581980312212323</v>
      </c>
      <c r="BY94" s="502">
        <f>+INPUT!BH936</f>
        <v>17.925760892677324</v>
      </c>
      <c r="BZ94" s="478">
        <f>+INPUT!BI936</f>
        <v>-3.3514936530335575</v>
      </c>
      <c r="CA94" s="502">
        <f>+INPUT!BJ936</f>
        <v>20.441392190714396</v>
      </c>
      <c r="CB94" s="478">
        <f>+INPUT!BK936</f>
        <v>14.033609580638256</v>
      </c>
      <c r="CC94" s="502">
        <f>+INPUT!BL936</f>
        <v>19.870267033197987</v>
      </c>
      <c r="CD94" s="478">
        <f>+INPUT!BM936</f>
        <v>-2.7939640910360595</v>
      </c>
      <c r="CE94" s="502">
        <f>+INPUT!BN936</f>
        <v>19.318760895460624</v>
      </c>
      <c r="CF94" s="478">
        <f>+INPUT!BO936</f>
        <v>-2.7755346056293178</v>
      </c>
      <c r="CG94" s="502">
        <f>+INPUT!BP936</f>
        <v>18.748013018435795</v>
      </c>
      <c r="CH94" s="478">
        <f>+INPUT!BQ936</f>
        <v>-2.9543710391847071</v>
      </c>
      <c r="CI94" s="502">
        <f>+INPUT!BR936</f>
        <v>18.160355828622126</v>
      </c>
      <c r="CJ94" s="478">
        <f>+INPUT!BS936</f>
        <v>-3.1345038497455562</v>
      </c>
      <c r="CK94" s="502">
        <f>+INPUT!BT936</f>
        <v>17.569493332235293</v>
      </c>
      <c r="CL94" s="478">
        <f>+INPUT!BU936</f>
        <v>-3.2535843568416709</v>
      </c>
      <c r="CM94" s="871">
        <f>+INPUT!BV936</f>
        <v>-2.9825728114165173</v>
      </c>
    </row>
    <row r="95" spans="1:91" s="475" customFormat="1" ht="12.75" customHeight="1" x14ac:dyDescent="0.2">
      <c r="A95" s="865" t="str">
        <f>+INPUT!B937</f>
        <v>Equity to Assets (%)</v>
      </c>
      <c r="B95" s="502">
        <f>+INPUT!C937</f>
        <v>4.8433251362677074</v>
      </c>
      <c r="C95" s="491" t="str">
        <f>+INPUT!D937</f>
        <v>NA</v>
      </c>
      <c r="D95" s="502">
        <f>+INPUT!E937</f>
        <v>4.7342487279448093</v>
      </c>
      <c r="E95" s="478" t="str">
        <f>+INPUT!F937</f>
        <v>NA</v>
      </c>
      <c r="F95" s="502">
        <f>+INPUT!G937</f>
        <v>4.6003865387723772</v>
      </c>
      <c r="G95" s="478" t="str">
        <f>+INPUT!H937</f>
        <v>NA</v>
      </c>
      <c r="H95" s="502">
        <f>+INPUT!I937</f>
        <v>4.6515850318504999</v>
      </c>
      <c r="I95" s="478" t="str">
        <f>+INPUT!J937</f>
        <v>NA</v>
      </c>
      <c r="J95" s="502">
        <f>+INPUT!K937</f>
        <v>4.7292559112739525</v>
      </c>
      <c r="K95" s="478">
        <f>+INPUT!L937</f>
        <v>-2.3551841304145285</v>
      </c>
      <c r="L95" s="502">
        <f>+INPUT!M937</f>
        <v>4.7644239731809348</v>
      </c>
      <c r="M95" s="478">
        <f>+INPUT!N937</f>
        <v>0.63738191569891001</v>
      </c>
      <c r="N95" s="502">
        <f>+INPUT!O937</f>
        <v>4.7667805794953217</v>
      </c>
      <c r="O95" s="478">
        <f>+INPUT!P937</f>
        <v>3.6169578212735871</v>
      </c>
      <c r="P95" s="502">
        <f>+INPUT!Q937</f>
        <v>4.6483816931173463</v>
      </c>
      <c r="Q95" s="478">
        <f>+INPUT!R937</f>
        <v>-6.8865531022638038E-2</v>
      </c>
      <c r="R95" s="502">
        <f>+INPUT!S937</f>
        <v>4.6844219800094296</v>
      </c>
      <c r="S95" s="478">
        <f>+INPUT!T937</f>
        <v>-0.94801237458189291</v>
      </c>
      <c r="T95" s="502">
        <f>+INPUT!U937</f>
        <v>4.3610786306967135</v>
      </c>
      <c r="U95" s="478">
        <f>+INPUT!V937</f>
        <v>-8.4657735070317557</v>
      </c>
      <c r="V95" s="502">
        <f>+INPUT!W937</f>
        <v>4.4669663743572547</v>
      </c>
      <c r="W95" s="478">
        <f>+INPUT!X937</f>
        <v>-6.2896581904302735</v>
      </c>
      <c r="X95" s="502">
        <f>+INPUT!Y937</f>
        <v>4.2579791381154433</v>
      </c>
      <c r="Y95" s="478">
        <f>+INPUT!Z937</f>
        <v>-8.3986768035842374</v>
      </c>
      <c r="Z95" s="502">
        <f>+INPUT!AA937</f>
        <v>4.6153421887208719</v>
      </c>
      <c r="AA95" s="478">
        <f>+INPUT!AB937</f>
        <v>-1.4746705481135791</v>
      </c>
      <c r="AB95" s="502">
        <f>+INPUT!AC937</f>
        <v>4.7068195246245423</v>
      </c>
      <c r="AC95" s="478">
        <f>+INPUT!AD937</f>
        <v>7.927875720796024</v>
      </c>
      <c r="AD95" s="502">
        <f>+INPUT!AE937</f>
        <v>4.6858151927614822</v>
      </c>
      <c r="AE95" s="478">
        <f>+INPUT!AF937</f>
        <v>4.8992716770946743</v>
      </c>
      <c r="AF95" s="502">
        <f>+INPUT!AG937</f>
        <v>4.4853765750656871</v>
      </c>
      <c r="AG95" s="478">
        <f>+INPUT!AH937</f>
        <v>5.3405014344642439</v>
      </c>
      <c r="AH95" s="502">
        <f>+INPUT!AI937</f>
        <v>4.5079746577436559</v>
      </c>
      <c r="AI95" s="478">
        <f>+INPUT!AJ937</f>
        <v>-2.3263178890528309</v>
      </c>
      <c r="AJ95" s="502">
        <f>+INPUT!AK937</f>
        <v>4.6503929355300917</v>
      </c>
      <c r="AK95" s="478">
        <f>+INPUT!AL937</f>
        <v>-1.1988262732243129</v>
      </c>
      <c r="AL95" s="502">
        <f>+INPUT!AM937</f>
        <v>4.8385535482080684</v>
      </c>
      <c r="AM95" s="478">
        <f>+INPUT!AN937</f>
        <v>3.2595898293755283</v>
      </c>
      <c r="AN95" s="502">
        <f>+INPUT!AO937</f>
        <v>5.059950886268159</v>
      </c>
      <c r="AO95" s="478">
        <f>+INPUT!AP937</f>
        <v>12.809945867121698</v>
      </c>
      <c r="AP95" s="502">
        <f>+INPUT!AQ937</f>
        <v>5.098939639515562</v>
      </c>
      <c r="AQ95" s="478">
        <f>+INPUT!AR937</f>
        <v>13.109323513093955</v>
      </c>
      <c r="AR95" s="502">
        <f>+INPUT!AS937</f>
        <v>5.0962355803183108</v>
      </c>
      <c r="AS95" s="478">
        <f>+INPUT!AT937</f>
        <v>9.5872037259878908</v>
      </c>
      <c r="AT95" s="502">
        <f>+INPUT!AU937</f>
        <v>5.0971578093094356</v>
      </c>
      <c r="AU95" s="478">
        <f>+INPUT!AV937</f>
        <v>5.3446605173387098</v>
      </c>
      <c r="AV95" s="502">
        <f>+INPUT!AW937</f>
        <v>5.1158711519540381</v>
      </c>
      <c r="AW95" s="478">
        <f>+INPUT!AX937</f>
        <v>1.1051543175574494</v>
      </c>
      <c r="AX95" s="492"/>
      <c r="AY95" s="502"/>
      <c r="AZ95" s="491"/>
      <c r="BA95" s="502"/>
      <c r="BB95" s="491"/>
      <c r="BC95" s="502"/>
      <c r="BD95" s="491"/>
      <c r="BE95" s="502"/>
      <c r="BF95" s="478"/>
      <c r="BG95" s="502"/>
      <c r="BH95" s="478"/>
      <c r="BI95" s="502"/>
      <c r="BJ95" s="478"/>
      <c r="BK95" s="502"/>
      <c r="BL95" s="478"/>
      <c r="BM95" s="502"/>
      <c r="BN95" s="478"/>
      <c r="BO95" s="502"/>
      <c r="BP95" s="478"/>
      <c r="BQ95" s="502"/>
      <c r="BR95" s="478"/>
      <c r="BS95" s="502">
        <f>+INPUT!BB937</f>
        <v>4.3610786306967135</v>
      </c>
      <c r="BT95" s="478" t="str">
        <f>+INPUT!BC937</f>
        <v>NA</v>
      </c>
      <c r="BU95" s="502">
        <f>+INPUT!BD937</f>
        <v>4.4669663743572547</v>
      </c>
      <c r="BV95" s="478">
        <f>+INPUT!BE937</f>
        <v>2.4280173009314723</v>
      </c>
      <c r="BW95" s="502">
        <f>+INPUT!BF937</f>
        <v>4.2579791381154433</v>
      </c>
      <c r="BX95" s="478">
        <f>+INPUT!BG937</f>
        <v>-4.6785048000698737</v>
      </c>
      <c r="BY95" s="502">
        <f>+INPUT!BH937</f>
        <v>4.4853765750656871</v>
      </c>
      <c r="BZ95" s="478">
        <f>+INPUT!BI937</f>
        <v>5.3405014344642439</v>
      </c>
      <c r="CA95" s="502">
        <f>+INPUT!BJ937</f>
        <v>5.059950886268159</v>
      </c>
      <c r="CB95" s="478">
        <f>+INPUT!BK937</f>
        <v>12.809945867121698</v>
      </c>
      <c r="CC95" s="502">
        <f>+INPUT!BL937</f>
        <v>5.1158711519540381</v>
      </c>
      <c r="CD95" s="478">
        <f>+INPUT!BM937</f>
        <v>1.1051543175574494</v>
      </c>
      <c r="CE95" s="502">
        <f>+INPUT!BN937</f>
        <v>5.2757632047157976</v>
      </c>
      <c r="CF95" s="478">
        <f>+INPUT!BO937</f>
        <v>3.1254120366320848</v>
      </c>
      <c r="CG95" s="502">
        <f>+INPUT!BP937</f>
        <v>5.4385507293574804</v>
      </c>
      <c r="CH95" s="478">
        <f>+INPUT!BQ937</f>
        <v>3.0855729934234688</v>
      </c>
      <c r="CI95" s="502">
        <f>+INPUT!BR937</f>
        <v>5.6032280508872754</v>
      </c>
      <c r="CJ95" s="478">
        <f>+INPUT!BS937</f>
        <v>3.0279633256128591</v>
      </c>
      <c r="CK95" s="502">
        <f>+INPUT!BT937</f>
        <v>5.7728625918601653</v>
      </c>
      <c r="CL95" s="478">
        <f>+INPUT!BU937</f>
        <v>3.0274430994474528</v>
      </c>
      <c r="CM95" s="871">
        <f>+INPUT!BV937</f>
        <v>2.6712817472644756</v>
      </c>
    </row>
    <row r="96" spans="1:91" s="475" customFormat="1" ht="12.75" customHeight="1" x14ac:dyDescent="0.2">
      <c r="A96" s="865" t="str">
        <f>+INPUT!B938</f>
        <v>Equity to Gen Policy Liab (%)</v>
      </c>
      <c r="B96" s="502">
        <f>+INPUT!C938</f>
        <v>14.448958485025903</v>
      </c>
      <c r="C96" s="491" t="str">
        <f>+INPUT!D938</f>
        <v>NA</v>
      </c>
      <c r="D96" s="502">
        <f>+INPUT!E938</f>
        <v>14.157150857031548</v>
      </c>
      <c r="E96" s="478" t="str">
        <f>+INPUT!F938</f>
        <v>NA</v>
      </c>
      <c r="F96" s="502">
        <f>+INPUT!G938</f>
        <v>14.092409291050837</v>
      </c>
      <c r="G96" s="478" t="str">
        <f>+INPUT!H938</f>
        <v>NA</v>
      </c>
      <c r="H96" s="502">
        <f>+INPUT!I938</f>
        <v>14.731778851419605</v>
      </c>
      <c r="I96" s="478" t="str">
        <f>+INPUT!J938</f>
        <v>NA</v>
      </c>
      <c r="J96" s="502">
        <f>+INPUT!K938</f>
        <v>15.193818968428543</v>
      </c>
      <c r="K96" s="478">
        <f>+INPUT!L938</f>
        <v>5.1551153958575782</v>
      </c>
      <c r="L96" s="502">
        <f>+INPUT!M938</f>
        <v>15.723495756146594</v>
      </c>
      <c r="M96" s="478">
        <f>+INPUT!N938</f>
        <v>11.063983953643302</v>
      </c>
      <c r="N96" s="502">
        <f>+INPUT!O938</f>
        <v>15.833821917850271</v>
      </c>
      <c r="O96" s="478">
        <f>+INPUT!P938</f>
        <v>12.357096581812257</v>
      </c>
      <c r="P96" s="502">
        <f>+INPUT!Q938</f>
        <v>15.367204357863923</v>
      </c>
      <c r="Q96" s="478">
        <f>+INPUT!R938</f>
        <v>4.3132978905876342</v>
      </c>
      <c r="R96" s="502">
        <f>+INPUT!S938</f>
        <v>15.785766971145913</v>
      </c>
      <c r="S96" s="478">
        <f>+INPUT!T938</f>
        <v>3.8959790421841092</v>
      </c>
      <c r="T96" s="502">
        <f>+INPUT!U938</f>
        <v>14.633490939173804</v>
      </c>
      <c r="U96" s="478">
        <f>+INPUT!V938</f>
        <v>-6.9323312950091776</v>
      </c>
      <c r="V96" s="502">
        <f>+INPUT!W938</f>
        <v>14.107749341561135</v>
      </c>
      <c r="W96" s="478">
        <f>+INPUT!X938</f>
        <v>-10.901174620028073</v>
      </c>
      <c r="X96" s="502">
        <f>+INPUT!Y938</f>
        <v>13.510050998570881</v>
      </c>
      <c r="Y96" s="478">
        <f>+INPUT!Z938</f>
        <v>-12.085173828918812</v>
      </c>
      <c r="Z96" s="502">
        <f>+INPUT!AA938</f>
        <v>13.983411965888143</v>
      </c>
      <c r="AA96" s="478">
        <f>+INPUT!AB938</f>
        <v>-11.417595410804012</v>
      </c>
      <c r="AB96" s="502">
        <f>+INPUT!AC938</f>
        <v>14.085540578248088</v>
      </c>
      <c r="AC96" s="478">
        <f>+INPUT!AD938</f>
        <v>-3.744495166623949</v>
      </c>
      <c r="AD96" s="502">
        <f>+INPUT!AE938</f>
        <v>14.367015995293771</v>
      </c>
      <c r="AE96" s="478">
        <f>+INPUT!AF938</f>
        <v>1.8377605630463165</v>
      </c>
      <c r="AF96" s="502">
        <f>+INPUT!AG938</f>
        <v>13.677011606463459</v>
      </c>
      <c r="AG96" s="478">
        <f>+INPUT!AH938</f>
        <v>1.2358251490704077</v>
      </c>
      <c r="AH96" s="502">
        <f>+INPUT!AI938</f>
        <v>14.094756338000124</v>
      </c>
      <c r="AI96" s="478">
        <f>+INPUT!AJ938</f>
        <v>0.79626040042015234</v>
      </c>
      <c r="AJ96" s="502">
        <f>+INPUT!AK938</f>
        <v>14.604722691910849</v>
      </c>
      <c r="AK96" s="478">
        <f>+INPUT!AL938</f>
        <v>3.6859225301194272</v>
      </c>
      <c r="AL96" s="502">
        <f>+INPUT!AM938</f>
        <v>15.259275653769979</v>
      </c>
      <c r="AM96" s="478">
        <f>+INPUT!AN938</f>
        <v>6.2104730639158845</v>
      </c>
      <c r="AN96" s="502">
        <f>+INPUT!AO938</f>
        <v>16.347439546165262</v>
      </c>
      <c r="AO96" s="478">
        <f>+INPUT!AP938</f>
        <v>19.524937292879201</v>
      </c>
      <c r="AP96" s="502">
        <f>+INPUT!AQ938</f>
        <v>16.237501706010114</v>
      </c>
      <c r="AQ96" s="478">
        <f>+INPUT!AR938</f>
        <v>15.202429305095876</v>
      </c>
      <c r="AR96" s="502">
        <f>+INPUT!AS938</f>
        <v>16.15796110971981</v>
      </c>
      <c r="AS96" s="478">
        <f>+INPUT!AT938</f>
        <v>10.635179116884274</v>
      </c>
      <c r="AT96" s="502">
        <f>+INPUT!AU938</f>
        <v>16.08883601889077</v>
      </c>
      <c r="AU96" s="478">
        <f>+INPUT!AV938</f>
        <v>5.4364334450950196</v>
      </c>
      <c r="AV96" s="502">
        <f>+INPUT!AW938</f>
        <v>16.070524635199202</v>
      </c>
      <c r="AW96" s="478">
        <f>+INPUT!AX938</f>
        <v>-1.6939344548976578</v>
      </c>
      <c r="AX96" s="490"/>
      <c r="AY96" s="502"/>
      <c r="AZ96" s="491"/>
      <c r="BA96" s="502"/>
      <c r="BB96" s="491"/>
      <c r="BC96" s="502"/>
      <c r="BD96" s="491"/>
      <c r="BE96" s="502"/>
      <c r="BF96" s="478"/>
      <c r="BG96" s="502"/>
      <c r="BH96" s="478"/>
      <c r="BI96" s="502"/>
      <c r="BJ96" s="478"/>
      <c r="BK96" s="502"/>
      <c r="BL96" s="478"/>
      <c r="BM96" s="502"/>
      <c r="BN96" s="478"/>
      <c r="BO96" s="502"/>
      <c r="BP96" s="478"/>
      <c r="BQ96" s="502"/>
      <c r="BR96" s="478"/>
      <c r="BS96" s="502">
        <f>+INPUT!BB938</f>
        <v>14.633490939173804</v>
      </c>
      <c r="BT96" s="478" t="str">
        <f>+INPUT!BC938</f>
        <v>NA</v>
      </c>
      <c r="BU96" s="502">
        <f>+INPUT!BD938</f>
        <v>14.107749341561135</v>
      </c>
      <c r="BV96" s="478">
        <f>+INPUT!BE938</f>
        <v>-3.5927284869891167</v>
      </c>
      <c r="BW96" s="502">
        <f>+INPUT!BF938</f>
        <v>13.510050998570881</v>
      </c>
      <c r="BX96" s="478">
        <f>+INPUT!BG938</f>
        <v>-4.2366668737829514</v>
      </c>
      <c r="BY96" s="502">
        <f>+INPUT!BH938</f>
        <v>13.677011606463459</v>
      </c>
      <c r="BZ96" s="478">
        <f>+INPUT!BI938</f>
        <v>1.2358251490704077</v>
      </c>
      <c r="CA96" s="502">
        <f>+INPUT!BJ938</f>
        <v>16.347439546165262</v>
      </c>
      <c r="CB96" s="478">
        <f>+INPUT!BK938</f>
        <v>19.524937292879201</v>
      </c>
      <c r="CC96" s="502">
        <f>+INPUT!BL938</f>
        <v>16.070524635199202</v>
      </c>
      <c r="CD96" s="478">
        <f>+INPUT!BM938</f>
        <v>-1.6939344548976578</v>
      </c>
      <c r="CE96" s="502">
        <f>+INPUT!BN938</f>
        <v>15.791714151363795</v>
      </c>
      <c r="CF96" s="478">
        <f>+INPUT!BO938</f>
        <v>-1.7349183686556842</v>
      </c>
      <c r="CG96" s="502">
        <f>+INPUT!BP938</f>
        <v>15.475951398535445</v>
      </c>
      <c r="CH96" s="478">
        <f>+INPUT!BQ938</f>
        <v>-1.9995470396801664</v>
      </c>
      <c r="CI96" s="502">
        <f>+INPUT!BR938</f>
        <v>15.1264583461878</v>
      </c>
      <c r="CJ96" s="478">
        <f>+INPUT!BS938</f>
        <v>-2.2582976861811517</v>
      </c>
      <c r="CK96" s="502">
        <f>+INPUT!BT938</f>
        <v>14.757545501284422</v>
      </c>
      <c r="CL96" s="478">
        <f>+INPUT!BU938</f>
        <v>-2.438858035769826</v>
      </c>
      <c r="CM96" s="871">
        <f>+INPUT!BV938</f>
        <v>-2.0255400659813905</v>
      </c>
    </row>
    <row r="97" spans="1:91" s="475" customFormat="1" ht="12.75" customHeight="1" x14ac:dyDescent="0.2">
      <c r="A97" s="865" t="str">
        <f>+INPUT!B939</f>
        <v>Return on Average Assets (%)</v>
      </c>
      <c r="B97" s="502" t="e">
        <f>+INPUT!C939</f>
        <v>#REF!</v>
      </c>
      <c r="C97" s="491" t="str">
        <f>+INPUT!D939</f>
        <v>NA</v>
      </c>
      <c r="D97" s="502">
        <f>+INPUT!E939</f>
        <v>0.4476489369092892</v>
      </c>
      <c r="E97" s="478" t="str">
        <f>+INPUT!F939</f>
        <v>NA</v>
      </c>
      <c r="F97" s="502">
        <f>+INPUT!G939</f>
        <v>0.49362117186811355</v>
      </c>
      <c r="G97" s="478" t="str">
        <f>+INPUT!H939</f>
        <v>NA</v>
      </c>
      <c r="H97" s="502">
        <f>+INPUT!I939</f>
        <v>0.45554929896349844</v>
      </c>
      <c r="I97" s="478" t="str">
        <f>+INPUT!J939</f>
        <v>NA</v>
      </c>
      <c r="J97" s="502">
        <f>+INPUT!K939</f>
        <v>0.56005777980296401</v>
      </c>
      <c r="K97" s="478" t="str">
        <f>+INPUT!L939</f>
        <v>NA</v>
      </c>
      <c r="L97" s="502">
        <f>+INPUT!M939</f>
        <v>0.57031609052231336</v>
      </c>
      <c r="M97" s="478">
        <f>+INPUT!N939</f>
        <v>27.402534329681913</v>
      </c>
      <c r="N97" s="502">
        <f>+INPUT!O939</f>
        <v>0.49385614343103229</v>
      </c>
      <c r="O97" s="478">
        <f>+INPUT!P939</f>
        <v>4.760159740099823E-2</v>
      </c>
      <c r="P97" s="502">
        <f>+INPUT!Q939</f>
        <v>0.50263992999609974</v>
      </c>
      <c r="Q97" s="478">
        <f>+INPUT!R939</f>
        <v>10.337109757329358</v>
      </c>
      <c r="R97" s="502">
        <f>+INPUT!S939</f>
        <v>0.76209924086388225</v>
      </c>
      <c r="S97" s="478">
        <f>+INPUT!T939</f>
        <v>36.075110166668736</v>
      </c>
      <c r="T97" s="502">
        <f>+INPUT!U939</f>
        <v>0.43076103976497343</v>
      </c>
      <c r="U97" s="478">
        <f>+INPUT!V939</f>
        <v>-24.469772653535173</v>
      </c>
      <c r="V97" s="502">
        <f>+INPUT!W939</f>
        <v>0.55425043774953675</v>
      </c>
      <c r="W97" s="478">
        <f>+INPUT!X939</f>
        <v>12.229126866564656</v>
      </c>
      <c r="X97" s="502">
        <f>+INPUT!Y939</f>
        <v>0.4674101886113462</v>
      </c>
      <c r="Y97" s="478">
        <f>+INPUT!Z939</f>
        <v>-7.0089420442635486</v>
      </c>
      <c r="Z97" s="502">
        <f>+INPUT!AA939</f>
        <v>0.67483328019174049</v>
      </c>
      <c r="AA97" s="478">
        <f>+INPUT!AB939</f>
        <v>-11.450734496628144</v>
      </c>
      <c r="AB97" s="502">
        <f>+INPUT!AC939</f>
        <v>0.58514329701832002</v>
      </c>
      <c r="AC97" s="478">
        <f>+INPUT!AD939</f>
        <v>35.839419771476713</v>
      </c>
      <c r="AD97" s="502">
        <f>+INPUT!AE939</f>
        <v>0.54375225221847656</v>
      </c>
      <c r="AE97" s="478">
        <f>+INPUT!AF939</f>
        <v>-1.8941230923852288</v>
      </c>
      <c r="AF97" s="502">
        <f>+INPUT!AG939</f>
        <v>0.55499573608818331</v>
      </c>
      <c r="AG97" s="478">
        <f>+INPUT!AH939</f>
        <v>18.738476312861224</v>
      </c>
      <c r="AH97" s="502">
        <f>+INPUT!AI939</f>
        <v>0.60218726530996181</v>
      </c>
      <c r="AI97" s="478">
        <f>+INPUT!AJ939</f>
        <v>-10.765031455048842</v>
      </c>
      <c r="AJ97" s="502">
        <f>+INPUT!AK939</f>
        <v>0.52055093462649726</v>
      </c>
      <c r="AK97" s="478">
        <f>+INPUT!AL939</f>
        <v>-11.038725508941525</v>
      </c>
      <c r="AL97" s="502">
        <f>+INPUT!AM939</f>
        <v>1.3279586139780264</v>
      </c>
      <c r="AM97" s="478" t="str">
        <f>+INPUT!AN939</f>
        <v>NM</v>
      </c>
      <c r="AN97" s="502">
        <f>+INPUT!AO939</f>
        <v>1.3418486044726694</v>
      </c>
      <c r="AO97" s="478" t="str">
        <f>+INPUT!AP939</f>
        <v>NM</v>
      </c>
      <c r="AP97" s="502">
        <f>+INPUT!AQ939</f>
        <v>0.60558182135047767</v>
      </c>
      <c r="AQ97" s="478">
        <f>+INPUT!AR939</f>
        <v>0.56370438832986736</v>
      </c>
      <c r="AR97" s="502">
        <f>+INPUT!AS939</f>
        <v>0.61091042214955737</v>
      </c>
      <c r="AS97" s="478">
        <f>+INPUT!AT939</f>
        <v>17.358433442808874</v>
      </c>
      <c r="AT97" s="502">
        <f>+INPUT!AU939</f>
        <v>0.62494180218765261</v>
      </c>
      <c r="AU97" s="478" t="str">
        <f>+INPUT!AV939</f>
        <v>NM</v>
      </c>
      <c r="AV97" s="502">
        <f>+INPUT!AW939</f>
        <v>0.63781583456461077</v>
      </c>
      <c r="AW97" s="478" t="str">
        <f>+INPUT!AX939</f>
        <v>NM</v>
      </c>
      <c r="AX97" s="490"/>
      <c r="AY97" s="502"/>
      <c r="AZ97" s="491"/>
      <c r="BA97" s="502"/>
      <c r="BB97" s="491"/>
      <c r="BC97" s="502"/>
      <c r="BD97" s="491"/>
      <c r="BE97" s="502"/>
      <c r="BF97" s="478"/>
      <c r="BG97" s="502"/>
      <c r="BH97" s="478"/>
      <c r="BI97" s="502"/>
      <c r="BJ97" s="478"/>
      <c r="BK97" s="502"/>
      <c r="BL97" s="478"/>
      <c r="BM97" s="502"/>
      <c r="BN97" s="478"/>
      <c r="BO97" s="502"/>
      <c r="BP97" s="478"/>
      <c r="BQ97" s="502"/>
      <c r="BR97" s="478"/>
      <c r="BS97" s="502" t="e">
        <f>+INPUT!BB939</f>
        <v>#REF!</v>
      </c>
      <c r="BT97" s="478" t="str">
        <f>+INPUT!BC939</f>
        <v>NA</v>
      </c>
      <c r="BU97" s="502">
        <f>+INPUT!BD939</f>
        <v>0.52180690409575092</v>
      </c>
      <c r="BV97" s="478" t="str">
        <f>+INPUT!BE939</f>
        <v>NA</v>
      </c>
      <c r="BW97" s="502">
        <f>+INPUT!BF939</f>
        <v>0.56073839836266093</v>
      </c>
      <c r="BX97" s="478">
        <f>+INPUT!BG939</f>
        <v>7.4609005671121054</v>
      </c>
      <c r="BY97" s="502">
        <f>+INPUT!BH939</f>
        <v>0.58943336045070094</v>
      </c>
      <c r="BZ97" s="478">
        <f>+INPUT!BI939</f>
        <v>5.1173527926441977</v>
      </c>
      <c r="CA97" s="502">
        <f>+INPUT!BJ939</f>
        <v>0.95876071546024499</v>
      </c>
      <c r="CB97" s="478">
        <f>+INPUT!BK939</f>
        <v>62.658033934004635</v>
      </c>
      <c r="CC97" s="502">
        <f>+INPUT!BL939</f>
        <v>0.61785007094630617</v>
      </c>
      <c r="CD97" s="478">
        <f>+INPUT!BM939</f>
        <v>-35.557427313893172</v>
      </c>
      <c r="CE97" s="502">
        <f>+INPUT!BN939</f>
        <v>0.62506684531179202</v>
      </c>
      <c r="CF97" s="478">
        <f>+INPUT!BO939</f>
        <v>1.1680462145828585</v>
      </c>
      <c r="CG97" s="502">
        <f>+INPUT!BP939</f>
        <v>0.63985338524891056</v>
      </c>
      <c r="CH97" s="478">
        <f>+INPUT!BQ939</f>
        <v>2.3655933838152521</v>
      </c>
      <c r="CI97" s="502">
        <f>+INPUT!BR939</f>
        <v>0.65250223812186059</v>
      </c>
      <c r="CJ97" s="478">
        <f>+INPUT!BS939</f>
        <v>1.9768361259868072</v>
      </c>
      <c r="CK97" s="502">
        <f>+INPUT!BT939</f>
        <v>0.66584628157312475</v>
      </c>
      <c r="CL97" s="478">
        <f>+INPUT!BU939</f>
        <v>2.0450571157691684</v>
      </c>
      <c r="CM97" s="871">
        <f>+INPUT!BV939</f>
        <v>-7.0321581072081081</v>
      </c>
    </row>
    <row r="98" spans="1:91" s="475" customFormat="1" ht="12.75" customHeight="1" x14ac:dyDescent="0.2">
      <c r="A98" s="890" t="str">
        <f>+INPUT!B940</f>
        <v>Book Value per Share</v>
      </c>
      <c r="B98" s="897">
        <f>+INPUT!C940</f>
        <v>31.304466416638256</v>
      </c>
      <c r="C98" s="892" t="str">
        <f>+INPUT!D940</f>
        <v>NA</v>
      </c>
      <c r="D98" s="897">
        <f>+INPUT!E940</f>
        <v>29.811160258591361</v>
      </c>
      <c r="E98" s="893" t="str">
        <f>+INPUT!F940</f>
        <v>NA</v>
      </c>
      <c r="F98" s="897">
        <f>+INPUT!G940</f>
        <v>29.726097312010889</v>
      </c>
      <c r="G98" s="893" t="str">
        <f>+INPUT!H940</f>
        <v>NA</v>
      </c>
      <c r="H98" s="897">
        <f>+INPUT!I940</f>
        <v>30.969512195121954</v>
      </c>
      <c r="I98" s="893" t="str">
        <f>+INPUT!J940</f>
        <v>NA</v>
      </c>
      <c r="J98" s="897">
        <f>+INPUT!K940</f>
        <v>32.041723202170964</v>
      </c>
      <c r="K98" s="893">
        <f>+INPUT!L940</f>
        <v>2.3551169207626401</v>
      </c>
      <c r="L98" s="897">
        <f>+INPUT!M940</f>
        <v>33.559564329475833</v>
      </c>
      <c r="M98" s="893">
        <f>+INPUT!N940</f>
        <v>12.573828185047617</v>
      </c>
      <c r="N98" s="897">
        <f>+INPUT!O940</f>
        <v>33.291553133514981</v>
      </c>
      <c r="O98" s="893">
        <f>+INPUT!P940</f>
        <v>11.994362341212764</v>
      </c>
      <c r="P98" s="897">
        <f>+INPUT!Q940</f>
        <v>32.807077237155497</v>
      </c>
      <c r="Q98" s="893">
        <f>+INPUT!R940</f>
        <v>5.9334645972337228</v>
      </c>
      <c r="R98" s="897">
        <f>+INPUT!S940</f>
        <v>33.561820652173914</v>
      </c>
      <c r="S98" s="893">
        <f>+INPUT!T940</f>
        <v>4.7441189114946241</v>
      </c>
      <c r="T98" s="897">
        <f>+INPUT!U940</f>
        <v>32.892432982694267</v>
      </c>
      <c r="U98" s="893">
        <f>+INPUT!V940</f>
        <v>-1.9879022869066745</v>
      </c>
      <c r="V98" s="897">
        <f>+INPUT!W940</f>
        <v>32.777853492333897</v>
      </c>
      <c r="W98" s="893">
        <f>+INPUT!X940</f>
        <v>-1.5430329703180377</v>
      </c>
      <c r="X98" s="897">
        <f>+INPUT!Y940</f>
        <v>31.954701441317781</v>
      </c>
      <c r="Y98" s="893">
        <f>+INPUT!Z940</f>
        <v>-2.5981460941371495</v>
      </c>
      <c r="Z98" s="897">
        <f>+INPUT!AA940</f>
        <v>34.578512396694222</v>
      </c>
      <c r="AA98" s="893">
        <f>+INPUT!AB940</f>
        <v>3.0293104627935321</v>
      </c>
      <c r="AB98" s="897">
        <f>+INPUT!AC940</f>
        <v>36.45729166666667</v>
      </c>
      <c r="AC98" s="893">
        <f>+INPUT!AD940</f>
        <v>10.837929458875806</v>
      </c>
      <c r="AD98" s="897">
        <f>+INPUT!AE940</f>
        <v>37.520333680917624</v>
      </c>
      <c r="AE98" s="893">
        <f>+INPUT!AF940</f>
        <v>14.468550204768292</v>
      </c>
      <c r="AF98" s="897">
        <f>+INPUT!AG940</f>
        <v>35.548488008342019</v>
      </c>
      <c r="AG98" s="893">
        <f>+INPUT!AH940</f>
        <v>11.246503346695121</v>
      </c>
      <c r="AH98" s="897">
        <f>+INPUT!AI940</f>
        <v>36.848663658451926</v>
      </c>
      <c r="AI98" s="893">
        <f>+INPUT!AJ940</f>
        <v>6.5652079988690843</v>
      </c>
      <c r="AJ98" s="897">
        <f>+INPUT!AK940</f>
        <v>38.697505197505194</v>
      </c>
      <c r="AK98" s="893">
        <f>+INPUT!AL940</f>
        <v>6.1447612491927828</v>
      </c>
      <c r="AL98" s="897">
        <f>+INPUT!AM940</f>
        <v>41.581975736568459</v>
      </c>
      <c r="AM98" s="893">
        <f>+INPUT!AN940</f>
        <v>10.825175730557362</v>
      </c>
      <c r="AN98" s="897">
        <f>+INPUT!AO940</f>
        <v>44.461245674740482</v>
      </c>
      <c r="AO98" s="893">
        <f>+INPUT!AP940</f>
        <v>25.072114640450934</v>
      </c>
      <c r="AP98" s="897">
        <f>+INPUT!AQ940</f>
        <v>45.171795630900888</v>
      </c>
      <c r="AQ98" s="893">
        <f>+INPUT!AR940</f>
        <v>22.587337357999132</v>
      </c>
      <c r="AR98" s="897">
        <f>+INPUT!AS940</f>
        <v>45.927988341807634</v>
      </c>
      <c r="AS98" s="893">
        <f>+INPUT!AT940</f>
        <v>18.684623485155811</v>
      </c>
      <c r="AT98" s="897">
        <f>+INPUT!AU940</f>
        <v>46.71997958291518</v>
      </c>
      <c r="AU98" s="893">
        <f>+INPUT!AV940</f>
        <v>12.356324477935289</v>
      </c>
      <c r="AV98" s="897">
        <f>+INPUT!AW940</f>
        <v>47.5916698266795</v>
      </c>
      <c r="AW98" s="893">
        <f>+INPUT!AX940</f>
        <v>7.0407927273110431</v>
      </c>
      <c r="AX98" s="898"/>
      <c r="AY98" s="897"/>
      <c r="AZ98" s="892"/>
      <c r="BA98" s="897"/>
      <c r="BB98" s="892"/>
      <c r="BC98" s="897"/>
      <c r="BD98" s="892"/>
      <c r="BE98" s="897"/>
      <c r="BF98" s="893"/>
      <c r="BG98" s="897"/>
      <c r="BH98" s="893"/>
      <c r="BI98" s="897"/>
      <c r="BJ98" s="893"/>
      <c r="BK98" s="897"/>
      <c r="BL98" s="893"/>
      <c r="BM98" s="897"/>
      <c r="BN98" s="893"/>
      <c r="BO98" s="897"/>
      <c r="BP98" s="893"/>
      <c r="BQ98" s="897"/>
      <c r="BR98" s="893"/>
      <c r="BS98" s="897">
        <f>+INPUT!BB940</f>
        <v>33.015667574931875</v>
      </c>
      <c r="BT98" s="893" t="str">
        <f>+INPUT!BC940</f>
        <v>NA</v>
      </c>
      <c r="BU98" s="897">
        <f>+INPUT!BD940</f>
        <v>32.733242599523649</v>
      </c>
      <c r="BV98" s="893">
        <f>+INPUT!BE940</f>
        <v>-0.85542712340206606</v>
      </c>
      <c r="BW98" s="897">
        <f>+INPUT!BF940</f>
        <v>31.954701441317781</v>
      </c>
      <c r="BX98" s="893">
        <f>+INPUT!BG940</f>
        <v>-2.3784419030249069</v>
      </c>
      <c r="BY98" s="897">
        <f>+INPUT!BH940</f>
        <v>35.548488008342019</v>
      </c>
      <c r="BZ98" s="893">
        <f>+INPUT!BI940</f>
        <v>11.246503346695121</v>
      </c>
      <c r="CA98" s="897">
        <f>+INPUT!BJ940</f>
        <v>44.461245674740482</v>
      </c>
      <c r="CB98" s="893">
        <f>+INPUT!BK940</f>
        <v>25.072114640450934</v>
      </c>
      <c r="CC98" s="897">
        <f>+INPUT!BL940</f>
        <v>47.5916698266795</v>
      </c>
      <c r="CD98" s="893">
        <f>+INPUT!BM940</f>
        <v>7.0407927273110431</v>
      </c>
      <c r="CE98" s="897">
        <f>+INPUT!BN940</f>
        <v>50.8482814127347</v>
      </c>
      <c r="CF98" s="893">
        <f>+INPUT!BO940</f>
        <v>6.8428184972605663</v>
      </c>
      <c r="CG98" s="897">
        <f>+INPUT!BP940</f>
        <v>54.199745791307762</v>
      </c>
      <c r="CH98" s="893">
        <f>+INPUT!BQ940</f>
        <v>6.5911064945721023</v>
      </c>
      <c r="CI98" s="897">
        <f>+INPUT!BR940</f>
        <v>57.611351636794687</v>
      </c>
      <c r="CJ98" s="893">
        <f>+INPUT!BS940</f>
        <v>6.2945052521520495</v>
      </c>
      <c r="CK98" s="897">
        <f>+INPUT!BT940</f>
        <v>61.069245190533543</v>
      </c>
      <c r="CL98" s="893">
        <f>+INPUT!BU940</f>
        <v>6.0021045427623818</v>
      </c>
      <c r="CM98" s="895">
        <f>+INPUT!BV940</f>
        <v>6.5536142077744497</v>
      </c>
    </row>
    <row r="99" spans="1:91" s="475" customFormat="1" ht="12" customHeight="1" x14ac:dyDescent="0.2">
      <c r="A99" s="481"/>
      <c r="B99" s="524"/>
      <c r="C99" s="522"/>
      <c r="D99" s="524"/>
      <c r="E99" s="474"/>
      <c r="F99" s="524"/>
      <c r="G99" s="474"/>
      <c r="H99" s="524"/>
      <c r="I99" s="474"/>
      <c r="J99" s="524"/>
      <c r="K99" s="474"/>
      <c r="L99" s="524"/>
      <c r="M99" s="474"/>
      <c r="N99" s="524"/>
      <c r="O99" s="474"/>
      <c r="P99" s="524"/>
      <c r="Q99" s="474"/>
      <c r="R99" s="524"/>
      <c r="S99" s="474"/>
      <c r="T99" s="524"/>
      <c r="U99" s="474"/>
      <c r="V99" s="524"/>
      <c r="W99" s="474"/>
      <c r="X99" s="524"/>
      <c r="Y99" s="474"/>
      <c r="Z99" s="524"/>
      <c r="AA99" s="474"/>
      <c r="AB99" s="524"/>
      <c r="AC99" s="474"/>
      <c r="AD99" s="524"/>
      <c r="AE99" s="474"/>
      <c r="AF99" s="524"/>
      <c r="AG99" s="474"/>
      <c r="AH99" s="524"/>
      <c r="AI99" s="474"/>
      <c r="AJ99" s="524"/>
      <c r="AK99" s="474"/>
      <c r="AL99" s="524"/>
      <c r="AM99" s="474"/>
      <c r="AN99" s="524"/>
      <c r="AO99" s="474"/>
      <c r="AP99" s="524"/>
      <c r="AQ99" s="474"/>
      <c r="AR99" s="524"/>
      <c r="AS99" s="474"/>
      <c r="AT99" s="524"/>
      <c r="AU99" s="474"/>
      <c r="AV99" s="524"/>
      <c r="AW99" s="474"/>
      <c r="AX99" s="490"/>
      <c r="AY99" s="524"/>
      <c r="AZ99" s="522"/>
      <c r="BA99" s="524"/>
      <c r="BB99" s="522"/>
      <c r="BC99" s="524"/>
      <c r="BD99" s="522"/>
      <c r="BE99" s="524"/>
      <c r="BF99" s="474"/>
      <c r="BG99" s="524"/>
      <c r="BH99" s="474"/>
      <c r="BI99" s="524"/>
      <c r="BJ99" s="474"/>
      <c r="BK99" s="524"/>
      <c r="BL99" s="474"/>
      <c r="BM99" s="524"/>
      <c r="BN99" s="474"/>
      <c r="BO99" s="524"/>
      <c r="BP99" s="474"/>
      <c r="BQ99" s="524"/>
      <c r="BR99" s="474"/>
      <c r="BS99" s="524"/>
      <c r="BT99" s="474"/>
      <c r="BU99" s="524"/>
      <c r="BV99" s="474"/>
      <c r="BW99" s="524"/>
      <c r="BX99" s="474"/>
      <c r="BY99" s="524"/>
      <c r="BZ99" s="474"/>
      <c r="CA99" s="524"/>
      <c r="CB99" s="474"/>
      <c r="CC99" s="524"/>
      <c r="CD99" s="474"/>
      <c r="CE99" s="524"/>
      <c r="CF99" s="474"/>
      <c r="CG99" s="524"/>
      <c r="CH99" s="474"/>
      <c r="CI99" s="524"/>
      <c r="CJ99" s="474"/>
      <c r="CK99" s="524"/>
      <c r="CL99" s="474"/>
      <c r="CM99" s="522"/>
    </row>
    <row r="100" spans="1:91" s="475" customFormat="1" ht="12" customHeight="1" x14ac:dyDescent="0.2">
      <c r="A100" s="523" t="s">
        <v>309</v>
      </c>
      <c r="B100" s="479"/>
      <c r="C100" s="522"/>
      <c r="D100" s="479"/>
      <c r="E100" s="474"/>
      <c r="F100" s="479"/>
      <c r="G100" s="474"/>
      <c r="H100" s="479"/>
      <c r="I100" s="474"/>
      <c r="J100" s="479"/>
      <c r="K100" s="474"/>
      <c r="L100" s="479"/>
      <c r="M100" s="474"/>
      <c r="N100" s="479"/>
      <c r="O100" s="474"/>
      <c r="P100" s="479"/>
      <c r="Q100" s="474"/>
      <c r="R100" s="479"/>
      <c r="S100" s="474"/>
      <c r="T100" s="479"/>
      <c r="U100" s="474"/>
      <c r="V100" s="479"/>
      <c r="W100" s="474"/>
      <c r="X100" s="479"/>
      <c r="Y100" s="474"/>
      <c r="Z100" s="479"/>
      <c r="AA100" s="474"/>
      <c r="AB100" s="479"/>
      <c r="AC100" s="474"/>
      <c r="AD100" s="479"/>
      <c r="AE100" s="474"/>
      <c r="AF100" s="479"/>
      <c r="AG100" s="474"/>
      <c r="AH100" s="479"/>
      <c r="AI100" s="474"/>
      <c r="AJ100" s="479"/>
      <c r="AK100" s="474"/>
      <c r="AL100" s="479"/>
      <c r="AM100" s="474"/>
      <c r="AN100" s="479"/>
      <c r="AO100" s="474"/>
      <c r="AP100" s="479"/>
      <c r="AQ100" s="474"/>
      <c r="AR100" s="479"/>
      <c r="AS100" s="474"/>
      <c r="AT100" s="479"/>
      <c r="AU100" s="474"/>
      <c r="AV100" s="479"/>
      <c r="AW100" s="474"/>
      <c r="AX100" s="479"/>
      <c r="AY100" s="479"/>
      <c r="AZ100" s="522"/>
      <c r="BA100" s="479"/>
      <c r="BB100" s="522"/>
      <c r="BC100" s="479"/>
      <c r="BD100" s="522"/>
      <c r="BE100" s="479"/>
      <c r="BF100" s="474"/>
      <c r="BG100" s="479"/>
      <c r="BH100" s="474"/>
      <c r="BI100" s="479"/>
      <c r="BJ100" s="474"/>
      <c r="BK100" s="479"/>
      <c r="BL100" s="474"/>
      <c r="BM100" s="479"/>
      <c r="BN100" s="474"/>
      <c r="BO100" s="479"/>
      <c r="BP100" s="474"/>
      <c r="BQ100" s="479"/>
      <c r="BR100" s="474"/>
      <c r="BS100" s="479"/>
      <c r="BT100" s="474"/>
      <c r="BU100" s="479"/>
      <c r="BV100" s="474"/>
      <c r="BW100" s="479"/>
      <c r="BX100" s="474"/>
      <c r="BY100" s="479"/>
      <c r="BZ100" s="474"/>
      <c r="CA100" s="479"/>
      <c r="CB100" s="474"/>
      <c r="CC100" s="479"/>
      <c r="CD100" s="474"/>
      <c r="CE100" s="479"/>
      <c r="CF100" s="474"/>
      <c r="CG100" s="479"/>
      <c r="CH100" s="474"/>
      <c r="CI100" s="479"/>
      <c r="CJ100" s="474"/>
      <c r="CK100" s="479"/>
      <c r="CL100" s="474"/>
      <c r="CM100" s="522"/>
    </row>
    <row r="101" spans="1:91" s="475" customFormat="1" ht="12" customHeight="1" x14ac:dyDescent="0.2">
      <c r="A101" s="523" t="s">
        <v>310</v>
      </c>
      <c r="B101" s="479"/>
      <c r="C101" s="520"/>
      <c r="D101" s="479"/>
      <c r="E101" s="478"/>
      <c r="F101" s="479"/>
      <c r="G101" s="478"/>
      <c r="H101" s="479"/>
      <c r="I101" s="478"/>
      <c r="J101" s="479"/>
      <c r="K101" s="478"/>
      <c r="L101" s="479"/>
      <c r="M101" s="478"/>
      <c r="N101" s="479"/>
      <c r="O101" s="478"/>
      <c r="P101" s="479"/>
      <c r="Q101" s="478"/>
      <c r="R101" s="479"/>
      <c r="S101" s="478"/>
      <c r="T101" s="479"/>
      <c r="U101" s="478"/>
      <c r="V101" s="479"/>
      <c r="W101" s="478"/>
      <c r="X101" s="479"/>
      <c r="Y101" s="478"/>
      <c r="Z101" s="479"/>
      <c r="AA101" s="478"/>
      <c r="AB101" s="479"/>
      <c r="AC101" s="478"/>
      <c r="AD101" s="479"/>
      <c r="AE101" s="478"/>
      <c r="AF101" s="479"/>
      <c r="AG101" s="478"/>
      <c r="AH101" s="479"/>
      <c r="AI101" s="478"/>
      <c r="AJ101" s="479"/>
      <c r="AK101" s="478"/>
      <c r="AL101" s="479"/>
      <c r="AM101" s="478"/>
      <c r="AN101" s="479"/>
      <c r="AO101" s="478"/>
      <c r="AP101" s="479"/>
      <c r="AQ101" s="478"/>
      <c r="AR101" s="479"/>
      <c r="AS101" s="478"/>
      <c r="AT101" s="479"/>
      <c r="AU101" s="478"/>
      <c r="AV101" s="479"/>
      <c r="AW101" s="478"/>
      <c r="AX101" s="479"/>
      <c r="AY101" s="479"/>
      <c r="AZ101" s="520"/>
      <c r="BA101" s="479"/>
      <c r="BB101" s="520"/>
      <c r="BC101" s="479"/>
      <c r="BD101" s="520"/>
      <c r="BE101" s="479"/>
      <c r="BF101" s="478"/>
      <c r="BG101" s="479"/>
      <c r="BH101" s="478"/>
      <c r="BI101" s="479"/>
      <c r="BJ101" s="478"/>
      <c r="BK101" s="479"/>
      <c r="BL101" s="478"/>
      <c r="BM101" s="479"/>
      <c r="BN101" s="478"/>
      <c r="BO101" s="479"/>
      <c r="BP101" s="478"/>
      <c r="BQ101" s="479"/>
      <c r="BR101" s="478"/>
      <c r="BS101" s="479"/>
      <c r="BT101" s="478"/>
      <c r="BU101" s="479"/>
      <c r="BV101" s="478"/>
      <c r="BW101" s="479"/>
      <c r="BX101" s="478"/>
      <c r="BY101" s="479"/>
      <c r="BZ101" s="478"/>
      <c r="CA101" s="479"/>
      <c r="CB101" s="478"/>
      <c r="CC101" s="479"/>
      <c r="CD101" s="478"/>
      <c r="CE101" s="479"/>
      <c r="CF101" s="478"/>
      <c r="CG101" s="479"/>
      <c r="CH101" s="478"/>
      <c r="CI101" s="479"/>
      <c r="CJ101" s="478"/>
      <c r="CK101" s="479"/>
      <c r="CL101" s="478"/>
      <c r="CM101" s="520"/>
    </row>
    <row r="102" spans="1:91" s="475" customFormat="1" ht="12" customHeight="1" x14ac:dyDescent="0.2">
      <c r="A102" s="481"/>
      <c r="B102" s="524"/>
      <c r="C102" s="522"/>
      <c r="D102" s="524"/>
      <c r="E102" s="474"/>
      <c r="F102" s="524"/>
      <c r="G102" s="474"/>
      <c r="H102" s="524"/>
      <c r="I102" s="474"/>
      <c r="J102" s="524"/>
      <c r="K102" s="474"/>
      <c r="L102" s="524"/>
      <c r="M102" s="474"/>
      <c r="N102" s="524"/>
      <c r="O102" s="474"/>
      <c r="P102" s="524"/>
      <c r="Q102" s="474"/>
      <c r="R102" s="524"/>
      <c r="S102" s="474"/>
      <c r="T102" s="524"/>
      <c r="U102" s="474"/>
      <c r="V102" s="524"/>
      <c r="W102" s="474"/>
      <c r="X102" s="524"/>
      <c r="Y102" s="474"/>
      <c r="Z102" s="524"/>
      <c r="AA102" s="474"/>
      <c r="AB102" s="524"/>
      <c r="AC102" s="474"/>
      <c r="AD102" s="524"/>
      <c r="AE102" s="474"/>
      <c r="AF102" s="524"/>
      <c r="AG102" s="474"/>
      <c r="AH102" s="524"/>
      <c r="AI102" s="474"/>
      <c r="AJ102" s="524"/>
      <c r="AK102" s="474"/>
      <c r="AL102" s="524"/>
      <c r="AM102" s="474"/>
      <c r="AN102" s="524"/>
      <c r="AO102" s="474"/>
      <c r="AP102" s="524"/>
      <c r="AQ102" s="474"/>
      <c r="AR102" s="524"/>
      <c r="AS102" s="474"/>
      <c r="AT102" s="524"/>
      <c r="AU102" s="474"/>
      <c r="AV102" s="524"/>
      <c r="AW102" s="474"/>
      <c r="AX102" s="490"/>
      <c r="AY102" s="524"/>
      <c r="AZ102" s="522"/>
      <c r="BA102" s="524"/>
      <c r="BB102" s="522"/>
      <c r="BC102" s="524"/>
      <c r="BD102" s="522"/>
      <c r="BE102" s="524"/>
      <c r="BF102" s="474"/>
      <c r="BG102" s="524"/>
      <c r="BH102" s="474"/>
      <c r="BI102" s="524"/>
      <c r="BJ102" s="474"/>
      <c r="BK102" s="524"/>
      <c r="BL102" s="474"/>
      <c r="BM102" s="524"/>
      <c r="BN102" s="474"/>
      <c r="BO102" s="524"/>
      <c r="BP102" s="474"/>
      <c r="BQ102" s="524"/>
      <c r="BR102" s="474"/>
      <c r="BS102" s="524"/>
      <c r="BT102" s="474"/>
      <c r="BU102" s="524"/>
      <c r="BV102" s="474"/>
      <c r="BW102" s="524"/>
      <c r="BX102" s="474"/>
      <c r="BY102" s="524"/>
      <c r="BZ102" s="474"/>
      <c r="CA102" s="524"/>
      <c r="CB102" s="474"/>
      <c r="CC102" s="524"/>
      <c r="CD102" s="474"/>
      <c r="CE102" s="524"/>
      <c r="CF102" s="474"/>
      <c r="CG102" s="524"/>
      <c r="CH102" s="474"/>
      <c r="CI102" s="524"/>
      <c r="CJ102" s="474"/>
      <c r="CK102" s="524"/>
      <c r="CL102" s="474"/>
      <c r="CM102" s="522"/>
    </row>
    <row r="103" spans="1:91" s="475" customFormat="1" ht="19.5" hidden="1" customHeight="1" outlineLevel="1" x14ac:dyDescent="0.25">
      <c r="A103" s="472" t="str">
        <f>+$A$1</f>
        <v>Principal Financial Group</v>
      </c>
      <c r="B103" s="473"/>
      <c r="C103" s="474"/>
      <c r="D103" s="473"/>
      <c r="E103" s="474"/>
      <c r="F103" s="473"/>
      <c r="G103" s="474"/>
      <c r="H103" s="473"/>
      <c r="I103" s="474"/>
      <c r="J103" s="473"/>
      <c r="K103" s="474"/>
      <c r="L103" s="473"/>
      <c r="M103" s="474"/>
      <c r="N103" s="473"/>
      <c r="O103" s="474"/>
      <c r="P103" s="473"/>
      <c r="Q103" s="474"/>
      <c r="R103" s="473"/>
      <c r="S103" s="474"/>
      <c r="T103" s="473"/>
      <c r="U103" s="474"/>
      <c r="V103" s="473"/>
      <c r="W103" s="474"/>
      <c r="X103" s="473"/>
      <c r="Y103" s="474"/>
      <c r="Z103" s="473"/>
      <c r="AA103" s="474"/>
      <c r="AB103" s="473"/>
      <c r="AC103" s="474"/>
      <c r="AD103" s="473"/>
      <c r="AE103" s="474"/>
      <c r="AF103" s="473"/>
      <c r="AG103" s="474"/>
      <c r="AH103" s="473"/>
      <c r="AI103" s="474"/>
      <c r="AJ103" s="473"/>
      <c r="AK103" s="474"/>
      <c r="AL103" s="473"/>
      <c r="AM103" s="474"/>
      <c r="AN103" s="473"/>
      <c r="AO103" s="474"/>
      <c r="AP103" s="473"/>
      <c r="AQ103" s="474"/>
      <c r="AR103" s="473"/>
      <c r="AS103" s="474"/>
      <c r="AT103" s="473"/>
      <c r="AU103" s="474"/>
      <c r="AV103" s="473"/>
      <c r="AW103" s="474"/>
      <c r="AX103" s="474"/>
      <c r="AY103" s="473"/>
      <c r="AZ103" s="474"/>
      <c r="BA103" s="473"/>
      <c r="BB103" s="474"/>
      <c r="BC103" s="473"/>
      <c r="BD103" s="474"/>
      <c r="BE103" s="473"/>
      <c r="BF103" s="474"/>
      <c r="BG103" s="473"/>
      <c r="BH103" s="474"/>
      <c r="BI103" s="473"/>
      <c r="BJ103" s="474"/>
      <c r="BK103" s="473"/>
      <c r="BL103" s="474"/>
      <c r="BM103" s="473"/>
      <c r="BN103" s="474"/>
      <c r="BO103" s="473"/>
      <c r="BP103" s="474"/>
      <c r="BQ103" s="473"/>
      <c r="BR103" s="474"/>
      <c r="BS103" s="473"/>
      <c r="BT103" s="474"/>
      <c r="BU103" s="473"/>
      <c r="BV103" s="474"/>
      <c r="BW103" s="473"/>
      <c r="BX103" s="474"/>
      <c r="BY103" s="473"/>
      <c r="BZ103" s="474"/>
      <c r="CA103" s="473"/>
      <c r="CB103" s="474"/>
      <c r="CC103" s="473"/>
      <c r="CD103" s="474"/>
      <c r="CE103" s="473"/>
      <c r="CF103" s="474"/>
      <c r="CG103" s="473"/>
      <c r="CH103" s="474"/>
      <c r="CI103" s="473"/>
      <c r="CJ103" s="474"/>
      <c r="CK103" s="473"/>
      <c r="CL103" s="474"/>
      <c r="CM103" s="474"/>
    </row>
    <row r="104" spans="1:91" s="475" customFormat="1" ht="12" hidden="1" customHeight="1" outlineLevel="1" x14ac:dyDescent="0.2">
      <c r="A104" s="476" t="s">
        <v>605</v>
      </c>
      <c r="B104" s="477"/>
      <c r="C104" s="478"/>
      <c r="D104" s="477"/>
      <c r="E104" s="478"/>
      <c r="F104" s="477"/>
      <c r="G104" s="478"/>
      <c r="H104" s="477"/>
      <c r="I104" s="478"/>
      <c r="J104" s="477"/>
      <c r="K104" s="478"/>
      <c r="L104" s="477"/>
      <c r="M104" s="478"/>
      <c r="N104" s="477"/>
      <c r="O104" s="478"/>
      <c r="P104" s="477"/>
      <c r="Q104" s="478"/>
      <c r="R104" s="477"/>
      <c r="S104" s="478"/>
      <c r="T104" s="477"/>
      <c r="U104" s="478"/>
      <c r="V104" s="477"/>
      <c r="W104" s="478"/>
      <c r="X104" s="477"/>
      <c r="Y104" s="478"/>
      <c r="Z104" s="477"/>
      <c r="AA104" s="478"/>
      <c r="AB104" s="477"/>
      <c r="AC104" s="478"/>
      <c r="AD104" s="477"/>
      <c r="AE104" s="478"/>
      <c r="AF104" s="477"/>
      <c r="AG104" s="478"/>
      <c r="AH104" s="477"/>
      <c r="AI104" s="478"/>
      <c r="AJ104" s="477"/>
      <c r="AK104" s="478"/>
      <c r="AL104" s="477"/>
      <c r="AM104" s="478"/>
      <c r="AN104" s="477"/>
      <c r="AO104" s="478"/>
      <c r="AP104" s="477"/>
      <c r="AQ104" s="478"/>
      <c r="AR104" s="477"/>
      <c r="AS104" s="478"/>
      <c r="AT104" s="477"/>
      <c r="AU104" s="478"/>
      <c r="AV104" s="477"/>
      <c r="AW104" s="478"/>
      <c r="AX104" s="478"/>
      <c r="AY104" s="477"/>
      <c r="AZ104" s="478"/>
      <c r="BA104" s="477"/>
      <c r="BB104" s="478"/>
      <c r="BC104" s="477"/>
      <c r="BD104" s="478"/>
      <c r="BE104" s="477"/>
      <c r="BF104" s="478"/>
      <c r="BG104" s="477"/>
      <c r="BH104" s="478"/>
      <c r="BI104" s="477"/>
      <c r="BJ104" s="478"/>
      <c r="BK104" s="477"/>
      <c r="BL104" s="478"/>
      <c r="BM104" s="477"/>
      <c r="BN104" s="478"/>
      <c r="BO104" s="477"/>
      <c r="BP104" s="478"/>
      <c r="BQ104" s="477"/>
      <c r="BR104" s="478"/>
      <c r="BS104" s="477"/>
      <c r="BT104" s="478"/>
      <c r="BU104" s="477"/>
      <c r="BV104" s="478"/>
      <c r="BW104" s="477"/>
      <c r="BX104" s="478"/>
      <c r="BY104" s="477"/>
      <c r="BZ104" s="478"/>
      <c r="CA104" s="477"/>
      <c r="CB104" s="478"/>
      <c r="CC104" s="477"/>
      <c r="CD104" s="478"/>
      <c r="CE104" s="477"/>
      <c r="CF104" s="478"/>
      <c r="CG104" s="477"/>
      <c r="CH104" s="478"/>
      <c r="CI104" s="477"/>
      <c r="CJ104" s="478"/>
      <c r="CK104" s="477"/>
      <c r="CL104" s="478"/>
      <c r="CM104" s="478"/>
    </row>
    <row r="105" spans="1:91" s="480" customFormat="1" ht="12" hidden="1" customHeight="1" outlineLevel="1" x14ac:dyDescent="0.2">
      <c r="A105" s="527" t="s">
        <v>243</v>
      </c>
      <c r="B105" s="528"/>
      <c r="C105" s="529" t="str">
        <f>INPUT!D$4</f>
        <v>1Q13/</v>
      </c>
      <c r="D105" s="528"/>
      <c r="E105" s="529" t="str">
        <f>INPUT!F$4</f>
        <v>2Q13/</v>
      </c>
      <c r="F105" s="528"/>
      <c r="G105" s="529" t="str">
        <f>INPUT!H$4</f>
        <v>3Q13/</v>
      </c>
      <c r="H105" s="528"/>
      <c r="I105" s="529" t="str">
        <f>INPUT!J$4</f>
        <v>4Q13/</v>
      </c>
      <c r="J105" s="528"/>
      <c r="K105" s="529" t="str">
        <f>INPUT!L$4</f>
        <v>1Q14/</v>
      </c>
      <c r="L105" s="528"/>
      <c r="M105" s="529" t="str">
        <f>INPUT!N$4</f>
        <v>2Q14/</v>
      </c>
      <c r="N105" s="528"/>
      <c r="O105" s="529" t="str">
        <f>INPUT!P$4</f>
        <v>3Q14/</v>
      </c>
      <c r="P105" s="528"/>
      <c r="Q105" s="529" t="str">
        <f>INPUT!R$4</f>
        <v>4Q14/</v>
      </c>
      <c r="R105" s="528"/>
      <c r="S105" s="529" t="str">
        <f>INPUT!T$4</f>
        <v>1Q15/</v>
      </c>
      <c r="T105" s="528"/>
      <c r="U105" s="529" t="str">
        <f>INPUT!V$4</f>
        <v>2Q15/</v>
      </c>
      <c r="V105" s="528"/>
      <c r="W105" s="529" t="str">
        <f>INPUT!X$4</f>
        <v>3Q15/</v>
      </c>
      <c r="X105" s="528"/>
      <c r="Y105" s="529" t="str">
        <f>INPUT!Z$4</f>
        <v>4Q15/</v>
      </c>
      <c r="Z105" s="528"/>
      <c r="AA105" s="529" t="str">
        <f>INPUT!AB$4</f>
        <v>1Q16/</v>
      </c>
      <c r="AB105" s="528"/>
      <c r="AC105" s="529" t="str">
        <f>INPUT!AD$4</f>
        <v>2Q16/</v>
      </c>
      <c r="AD105" s="528"/>
      <c r="AE105" s="529" t="str">
        <f>INPUT!AF$4</f>
        <v>3Q16/</v>
      </c>
      <c r="AF105" s="528"/>
      <c r="AG105" s="529" t="str">
        <f>INPUT!AH$4</f>
        <v>4Q16/</v>
      </c>
      <c r="AH105" s="528"/>
      <c r="AI105" s="529" t="str">
        <f>INPUT!AJ$4</f>
        <v>1Q17/</v>
      </c>
      <c r="AJ105" s="528"/>
      <c r="AK105" s="529" t="str">
        <f>INPUT!AL$4</f>
        <v>2Q17/</v>
      </c>
      <c r="AL105" s="528"/>
      <c r="AM105" s="529" t="str">
        <f>INPUT!AN$4</f>
        <v>3Q17/</v>
      </c>
      <c r="AN105" s="528"/>
      <c r="AO105" s="529" t="str">
        <f>INPUT!AP$4</f>
        <v>4Q17/</v>
      </c>
      <c r="AP105" s="528"/>
      <c r="AQ105" s="529" t="str">
        <f>INPUT!AR$4</f>
        <v>1Q18E/</v>
      </c>
      <c r="AR105" s="528"/>
      <c r="AS105" s="529" t="str">
        <f>INPUT!AT$4</f>
        <v>2Q18E/</v>
      </c>
      <c r="AT105" s="528"/>
      <c r="AU105" s="529" t="str">
        <f>INPUT!AV$4</f>
        <v>3Q18E/</v>
      </c>
      <c r="AV105" s="528"/>
      <c r="AW105" s="529" t="str">
        <f>INPUT!AX$4</f>
        <v>4Q18E/</v>
      </c>
      <c r="AX105" s="528"/>
      <c r="AY105" s="528"/>
      <c r="AZ105" s="529"/>
      <c r="BA105" s="528"/>
      <c r="BB105" s="529"/>
      <c r="BC105" s="528"/>
      <c r="BD105" s="529"/>
      <c r="BE105" s="528"/>
      <c r="BF105" s="529"/>
      <c r="BG105" s="528"/>
      <c r="BH105" s="529"/>
      <c r="BI105" s="528"/>
      <c r="BJ105" s="529"/>
      <c r="BK105" s="528"/>
      <c r="BL105" s="529"/>
      <c r="BM105" s="528"/>
      <c r="BN105" s="529"/>
      <c r="BO105" s="528"/>
      <c r="BP105" s="529"/>
      <c r="BQ105" s="528"/>
      <c r="BR105" s="529"/>
      <c r="BS105" s="528"/>
      <c r="BT105" s="529" t="str">
        <f>INPUT!BC$4</f>
        <v>2013/</v>
      </c>
      <c r="BU105" s="528"/>
      <c r="BV105" s="529" t="str">
        <f>INPUT!BE$4</f>
        <v>2014/</v>
      </c>
      <c r="BW105" s="528"/>
      <c r="BX105" s="529" t="str">
        <f>INPUT!BG$4</f>
        <v>2015/</v>
      </c>
      <c r="BY105" s="528"/>
      <c r="BZ105" s="529" t="str">
        <f>INPUT!BI$4</f>
        <v>2016/</v>
      </c>
      <c r="CA105" s="528"/>
      <c r="CB105" s="529" t="str">
        <f>INPUT!BK$4</f>
        <v>2017/</v>
      </c>
      <c r="CC105" s="528"/>
      <c r="CD105" s="529" t="str">
        <f>INPUT!BM$4</f>
        <v>2018E/</v>
      </c>
      <c r="CE105" s="528"/>
      <c r="CF105" s="529" t="str">
        <f>INPUT!BO$4</f>
        <v>2019E/</v>
      </c>
      <c r="CG105" s="528"/>
      <c r="CH105" s="529" t="str">
        <f>INPUT!BQ$4</f>
        <v>2020E/</v>
      </c>
      <c r="CI105" s="528"/>
      <c r="CJ105" s="529" t="str">
        <f>INPUT!BS$4</f>
        <v>2021E/</v>
      </c>
      <c r="CK105" s="528"/>
      <c r="CL105" s="529" t="str">
        <f>INPUT!BU$4</f>
        <v>2022E/</v>
      </c>
      <c r="CM105" s="529" t="str">
        <f>INPUT!BV$4</f>
        <v>5-Yr</v>
      </c>
    </row>
    <row r="106" spans="1:91" s="480" customFormat="1" ht="12" hidden="1" customHeight="1" outlineLevel="1" x14ac:dyDescent="0.2">
      <c r="A106" s="481"/>
      <c r="B106" s="479"/>
      <c r="C106" s="478">
        <f>INPUT!D$5</f>
        <v>0</v>
      </c>
      <c r="D106" s="479"/>
      <c r="E106" s="478">
        <f>INPUT!F$5</f>
        <v>0</v>
      </c>
      <c r="F106" s="479"/>
      <c r="G106" s="478">
        <f>INPUT!H$5</f>
        <v>0</v>
      </c>
      <c r="H106" s="479"/>
      <c r="I106" s="478">
        <f>INPUT!J$5</f>
        <v>0</v>
      </c>
      <c r="J106" s="479"/>
      <c r="K106" s="478" t="str">
        <f>INPUT!L$5</f>
        <v>1Q13</v>
      </c>
      <c r="L106" s="479"/>
      <c r="M106" s="478" t="str">
        <f>INPUT!N$5</f>
        <v>2Q13</v>
      </c>
      <c r="N106" s="479"/>
      <c r="O106" s="478" t="str">
        <f>INPUT!P$5</f>
        <v>3Q13</v>
      </c>
      <c r="P106" s="479"/>
      <c r="Q106" s="478" t="str">
        <f>INPUT!R$5</f>
        <v>4Q13</v>
      </c>
      <c r="R106" s="479"/>
      <c r="S106" s="478" t="str">
        <f>INPUT!T$5</f>
        <v>1Q14</v>
      </c>
      <c r="T106" s="479"/>
      <c r="U106" s="478" t="str">
        <f>INPUT!V$5</f>
        <v>2Q14</v>
      </c>
      <c r="V106" s="479"/>
      <c r="W106" s="478" t="str">
        <f>INPUT!X$5</f>
        <v>3Q14</v>
      </c>
      <c r="X106" s="479"/>
      <c r="Y106" s="478" t="str">
        <f>INPUT!Z$5</f>
        <v>4Q14</v>
      </c>
      <c r="Z106" s="479"/>
      <c r="AA106" s="478" t="str">
        <f>INPUT!AB$5</f>
        <v>1Q15</v>
      </c>
      <c r="AB106" s="479"/>
      <c r="AC106" s="478" t="str">
        <f>INPUT!AD$5</f>
        <v>2Q15</v>
      </c>
      <c r="AD106" s="479"/>
      <c r="AE106" s="478" t="str">
        <f>INPUT!AF$5</f>
        <v>3Q15</v>
      </c>
      <c r="AF106" s="479"/>
      <c r="AG106" s="478" t="str">
        <f>INPUT!AH$5</f>
        <v>4Q15</v>
      </c>
      <c r="AH106" s="479"/>
      <c r="AI106" s="478" t="str">
        <f>INPUT!AJ$5</f>
        <v>1Q16</v>
      </c>
      <c r="AJ106" s="479"/>
      <c r="AK106" s="478" t="str">
        <f>INPUT!AL$5</f>
        <v>2Q16</v>
      </c>
      <c r="AL106" s="479"/>
      <c r="AM106" s="478" t="str">
        <f>INPUT!AN$5</f>
        <v>3Q16</v>
      </c>
      <c r="AN106" s="479"/>
      <c r="AO106" s="478" t="str">
        <f>INPUT!AP$5</f>
        <v>4Q16</v>
      </c>
      <c r="AP106" s="479"/>
      <c r="AQ106" s="478" t="str">
        <f>INPUT!AR$5</f>
        <v>1Q17</v>
      </c>
      <c r="AR106" s="479"/>
      <c r="AS106" s="478" t="str">
        <f>INPUT!AT$5</f>
        <v>2Q17</v>
      </c>
      <c r="AT106" s="479"/>
      <c r="AU106" s="478" t="str">
        <f>INPUT!AV$5</f>
        <v>3Q17</v>
      </c>
      <c r="AV106" s="479"/>
      <c r="AW106" s="478" t="str">
        <f>INPUT!AX$5</f>
        <v>4Q17</v>
      </c>
      <c r="AX106" s="479"/>
      <c r="AY106" s="479"/>
      <c r="AZ106" s="478"/>
      <c r="BA106" s="482"/>
      <c r="BB106" s="478"/>
      <c r="BC106" s="479"/>
      <c r="BD106" s="478"/>
      <c r="BE106" s="479"/>
      <c r="BF106" s="478"/>
      <c r="BG106" s="479"/>
      <c r="BH106" s="478"/>
      <c r="BI106" s="479"/>
      <c r="BJ106" s="478"/>
      <c r="BK106" s="479"/>
      <c r="BL106" s="478"/>
      <c r="BM106" s="479"/>
      <c r="BN106" s="478"/>
      <c r="BO106" s="479"/>
      <c r="BP106" s="478"/>
      <c r="BQ106" s="479"/>
      <c r="BR106" s="478"/>
      <c r="BS106" s="479"/>
      <c r="BT106" s="478">
        <f>INPUT!BC$5</f>
        <v>0</v>
      </c>
      <c r="BU106" s="479"/>
      <c r="BV106" s="478" t="str">
        <f>INPUT!BE$5</f>
        <v>2013</v>
      </c>
      <c r="BW106" s="479"/>
      <c r="BX106" s="478" t="str">
        <f>INPUT!BG$5</f>
        <v>2014</v>
      </c>
      <c r="BY106" s="479"/>
      <c r="BZ106" s="478" t="str">
        <f>INPUT!BI$5</f>
        <v>2015</v>
      </c>
      <c r="CA106" s="479"/>
      <c r="CB106" s="478" t="str">
        <f>INPUT!BK$5</f>
        <v>2016</v>
      </c>
      <c r="CC106" s="479"/>
      <c r="CD106" s="478" t="str">
        <f>INPUT!BM$5</f>
        <v>2017</v>
      </c>
      <c r="CE106" s="479"/>
      <c r="CF106" s="478" t="str">
        <f>INPUT!BO$5</f>
        <v>2018E</v>
      </c>
      <c r="CG106" s="479"/>
      <c r="CH106" s="478" t="str">
        <f>INPUT!BQ$5</f>
        <v>2019E</v>
      </c>
      <c r="CI106" s="479"/>
      <c r="CJ106" s="478" t="str">
        <f>INPUT!BS$5</f>
        <v>2020E</v>
      </c>
      <c r="CK106" s="479"/>
      <c r="CL106" s="478" t="str">
        <f>INPUT!BU$5</f>
        <v>2021E</v>
      </c>
      <c r="CM106" s="478" t="str">
        <f>INPUT!BV$5</f>
        <v>CAGR</v>
      </c>
    </row>
    <row r="107" spans="1:91" s="480" customFormat="1" ht="12" hidden="1" customHeight="1" outlineLevel="1" x14ac:dyDescent="0.2">
      <c r="A107" s="483"/>
      <c r="B107" s="484" t="str">
        <f>INPUT!C$6</f>
        <v>1Q13</v>
      </c>
      <c r="C107" s="485" t="str">
        <f>INPUT!D$6</f>
        <v>% Chg</v>
      </c>
      <c r="D107" s="484" t="str">
        <f>INPUT!E$6</f>
        <v>2Q13</v>
      </c>
      <c r="E107" s="485" t="str">
        <f>INPUT!F$6</f>
        <v>% Chg</v>
      </c>
      <c r="F107" s="484" t="str">
        <f>INPUT!G$6</f>
        <v>3Q13</v>
      </c>
      <c r="G107" s="485" t="str">
        <f>INPUT!H$6</f>
        <v>% Chg</v>
      </c>
      <c r="H107" s="484" t="str">
        <f>INPUT!I$6</f>
        <v>4Q13</v>
      </c>
      <c r="I107" s="485" t="str">
        <f>INPUT!J$6</f>
        <v>% Chg</v>
      </c>
      <c r="J107" s="484" t="str">
        <f>INPUT!K$6</f>
        <v>1Q14</v>
      </c>
      <c r="K107" s="485" t="str">
        <f>INPUT!L$6</f>
        <v>% Chg</v>
      </c>
      <c r="L107" s="484" t="str">
        <f>INPUT!M$6</f>
        <v>2Q14</v>
      </c>
      <c r="M107" s="485" t="str">
        <f>INPUT!N$6</f>
        <v>% Chg</v>
      </c>
      <c r="N107" s="484" t="str">
        <f>INPUT!O$6</f>
        <v>3Q14</v>
      </c>
      <c r="O107" s="485" t="str">
        <f>INPUT!P$6</f>
        <v>% Chg</v>
      </c>
      <c r="P107" s="484" t="str">
        <f>INPUT!Q$6</f>
        <v>4Q14</v>
      </c>
      <c r="Q107" s="485" t="str">
        <f>INPUT!R$6</f>
        <v>% Chg</v>
      </c>
      <c r="R107" s="484" t="str">
        <f>INPUT!S$6</f>
        <v>1Q15</v>
      </c>
      <c r="S107" s="485" t="str">
        <f>INPUT!T$6</f>
        <v>% Chg</v>
      </c>
      <c r="T107" s="484" t="str">
        <f>INPUT!U$6</f>
        <v>2Q15</v>
      </c>
      <c r="U107" s="485" t="str">
        <f>INPUT!V$6</f>
        <v>% Chg</v>
      </c>
      <c r="V107" s="484" t="str">
        <f>INPUT!W$6</f>
        <v>3Q15</v>
      </c>
      <c r="W107" s="485" t="str">
        <f>INPUT!X$6</f>
        <v>% Chg</v>
      </c>
      <c r="X107" s="484" t="str">
        <f>INPUT!Y$6</f>
        <v>4Q15</v>
      </c>
      <c r="Y107" s="485" t="str">
        <f>INPUT!Z$6</f>
        <v>% Chg</v>
      </c>
      <c r="Z107" s="484" t="str">
        <f>INPUT!AA$6</f>
        <v>1Q16</v>
      </c>
      <c r="AA107" s="485" t="str">
        <f>INPUT!AB$6</f>
        <v>% Chg</v>
      </c>
      <c r="AB107" s="484" t="str">
        <f>INPUT!AC$6</f>
        <v>2Q16</v>
      </c>
      <c r="AC107" s="485" t="str">
        <f>INPUT!AD$6</f>
        <v>% Chg</v>
      </c>
      <c r="AD107" s="484" t="str">
        <f>INPUT!AE$6</f>
        <v>3Q16</v>
      </c>
      <c r="AE107" s="485" t="str">
        <f>INPUT!AF$6</f>
        <v>% Chg</v>
      </c>
      <c r="AF107" s="484" t="str">
        <f>INPUT!AG$6</f>
        <v>4Q16</v>
      </c>
      <c r="AG107" s="485" t="str">
        <f>INPUT!AH$6</f>
        <v>% Chg</v>
      </c>
      <c r="AH107" s="484" t="str">
        <f>INPUT!AI$6</f>
        <v>1Q17</v>
      </c>
      <c r="AI107" s="485" t="str">
        <f>INPUT!AJ$6</f>
        <v>% Chg</v>
      </c>
      <c r="AJ107" s="484" t="str">
        <f>INPUT!AK$6</f>
        <v>2Q17</v>
      </c>
      <c r="AK107" s="485" t="str">
        <f>INPUT!AL$6</f>
        <v>% Chg</v>
      </c>
      <c r="AL107" s="484" t="str">
        <f>INPUT!AM$6</f>
        <v>3Q17</v>
      </c>
      <c r="AM107" s="485" t="str">
        <f>INPUT!AN$6</f>
        <v>% Chg</v>
      </c>
      <c r="AN107" s="484" t="str">
        <f>INPUT!AO$6</f>
        <v>4Q17</v>
      </c>
      <c r="AO107" s="485" t="str">
        <f>INPUT!AP$6</f>
        <v>% Chg</v>
      </c>
      <c r="AP107" s="484" t="str">
        <f>INPUT!AQ$6</f>
        <v>1Q18E</v>
      </c>
      <c r="AQ107" s="485" t="str">
        <f>INPUT!AR$6</f>
        <v>% Chg</v>
      </c>
      <c r="AR107" s="484" t="str">
        <f>INPUT!AS$6</f>
        <v>2Q18E</v>
      </c>
      <c r="AS107" s="485" t="str">
        <f>INPUT!AT$6</f>
        <v>% Chg</v>
      </c>
      <c r="AT107" s="484" t="str">
        <f>INPUT!AU$6</f>
        <v>3Q18E</v>
      </c>
      <c r="AU107" s="485" t="str">
        <f>INPUT!AV$6</f>
        <v>% Chg</v>
      </c>
      <c r="AV107" s="484" t="str">
        <f>INPUT!AW$6</f>
        <v>4Q18E</v>
      </c>
      <c r="AW107" s="485" t="str">
        <f>INPUT!AX$6</f>
        <v>% Chg</v>
      </c>
      <c r="AX107" s="484"/>
      <c r="AY107" s="486"/>
      <c r="AZ107" s="485"/>
      <c r="BA107" s="486"/>
      <c r="BB107" s="485"/>
      <c r="BC107" s="486"/>
      <c r="BD107" s="485"/>
      <c r="BE107" s="487"/>
      <c r="BF107" s="485"/>
      <c r="BG107" s="487"/>
      <c r="BH107" s="485"/>
      <c r="BI107" s="487"/>
      <c r="BJ107" s="485"/>
      <c r="BK107" s="487"/>
      <c r="BL107" s="485"/>
      <c r="BM107" s="484"/>
      <c r="BN107" s="485"/>
      <c r="BO107" s="484"/>
      <c r="BP107" s="485"/>
      <c r="BQ107" s="484"/>
      <c r="BR107" s="485"/>
      <c r="BS107" s="484" t="str">
        <f>INPUT!BB$6</f>
        <v>2013</v>
      </c>
      <c r="BT107" s="485" t="str">
        <f>INPUT!BC$6</f>
        <v>% Chg</v>
      </c>
      <c r="BU107" s="484" t="str">
        <f>INPUT!BD$6</f>
        <v>2014</v>
      </c>
      <c r="BV107" s="485" t="str">
        <f>INPUT!BE$6</f>
        <v>% Chg</v>
      </c>
      <c r="BW107" s="484" t="str">
        <f>INPUT!BF$6</f>
        <v>2015</v>
      </c>
      <c r="BX107" s="485" t="str">
        <f>INPUT!BG$6</f>
        <v>% Chg</v>
      </c>
      <c r="BY107" s="484" t="str">
        <f>INPUT!BH$6</f>
        <v>2016</v>
      </c>
      <c r="BZ107" s="485" t="str">
        <f>INPUT!BI$6</f>
        <v>% Chg</v>
      </c>
      <c r="CA107" s="484" t="str">
        <f>INPUT!BJ$6</f>
        <v>2017</v>
      </c>
      <c r="CB107" s="485" t="str">
        <f>INPUT!BK$6</f>
        <v>% Chg</v>
      </c>
      <c r="CC107" s="484" t="str">
        <f>INPUT!BL$6</f>
        <v>2018E</v>
      </c>
      <c r="CD107" s="485" t="str">
        <f>INPUT!BM$6</f>
        <v>% Chg</v>
      </c>
      <c r="CE107" s="484" t="str">
        <f>INPUT!BN$6</f>
        <v>2019E</v>
      </c>
      <c r="CF107" s="485" t="str">
        <f>INPUT!BO$6</f>
        <v>% Chg</v>
      </c>
      <c r="CG107" s="484" t="str">
        <f>INPUT!BP$6</f>
        <v>2020E</v>
      </c>
      <c r="CH107" s="485" t="str">
        <f>INPUT!BQ$6</f>
        <v>% Chg</v>
      </c>
      <c r="CI107" s="484" t="str">
        <f>INPUT!BR$6</f>
        <v>2021E</v>
      </c>
      <c r="CJ107" s="485" t="str">
        <f>INPUT!BS$6</f>
        <v>% Chg</v>
      </c>
      <c r="CK107" s="484" t="str">
        <f>INPUT!BT$6</f>
        <v>2022E</v>
      </c>
      <c r="CL107" s="485" t="str">
        <f>INPUT!BU$6</f>
        <v>% Chg</v>
      </c>
      <c r="CM107" s="485" t="str">
        <f>INPUT!BV$6</f>
        <v>(%)</v>
      </c>
    </row>
    <row r="108" spans="1:91" s="475" customFormat="1" ht="12" hidden="1" customHeight="1" outlineLevel="1" x14ac:dyDescent="0.2">
      <c r="A108" s="489"/>
      <c r="B108" s="479"/>
      <c r="C108" s="520"/>
      <c r="D108" s="479"/>
      <c r="E108" s="478"/>
      <c r="F108" s="479"/>
      <c r="G108" s="478"/>
      <c r="H108" s="479"/>
      <c r="I108" s="478"/>
      <c r="J108" s="479"/>
      <c r="K108" s="478"/>
      <c r="L108" s="479"/>
      <c r="M108" s="478"/>
      <c r="N108" s="479"/>
      <c r="O108" s="478"/>
      <c r="P108" s="479"/>
      <c r="Q108" s="478"/>
      <c r="R108" s="479"/>
      <c r="S108" s="478"/>
      <c r="T108" s="479"/>
      <c r="U108" s="478"/>
      <c r="V108" s="479"/>
      <c r="W108" s="478"/>
      <c r="X108" s="479"/>
      <c r="Y108" s="478"/>
      <c r="Z108" s="479"/>
      <c r="AA108" s="478"/>
      <c r="AB108" s="479"/>
      <c r="AC108" s="478"/>
      <c r="AD108" s="479"/>
      <c r="AE108" s="478"/>
      <c r="AF108" s="479"/>
      <c r="AG108" s="478"/>
      <c r="AH108" s="479"/>
      <c r="AI108" s="478"/>
      <c r="AJ108" s="479"/>
      <c r="AK108" s="478"/>
      <c r="AL108" s="479"/>
      <c r="AM108" s="478"/>
      <c r="AN108" s="479"/>
      <c r="AO108" s="478"/>
      <c r="AP108" s="479"/>
      <c r="AQ108" s="478"/>
      <c r="AR108" s="479"/>
      <c r="AS108" s="478"/>
      <c r="AT108" s="479"/>
      <c r="AU108" s="478"/>
      <c r="AV108" s="479"/>
      <c r="AW108" s="478"/>
      <c r="AX108" s="479"/>
      <c r="AY108" s="479"/>
      <c r="AZ108" s="520"/>
      <c r="BA108" s="479"/>
      <c r="BB108" s="520"/>
      <c r="BC108" s="479"/>
      <c r="BD108" s="520"/>
      <c r="BE108" s="479"/>
      <c r="BF108" s="478"/>
      <c r="BG108" s="479"/>
      <c r="BH108" s="478"/>
      <c r="BI108" s="479"/>
      <c r="BJ108" s="478"/>
      <c r="BK108" s="479"/>
      <c r="BL108" s="478"/>
      <c r="BM108" s="479"/>
      <c r="BN108" s="478"/>
      <c r="BO108" s="479"/>
      <c r="BP108" s="478"/>
      <c r="BQ108" s="479"/>
      <c r="BR108" s="478"/>
      <c r="BS108" s="479"/>
      <c r="BT108" s="478"/>
      <c r="BU108" s="479"/>
      <c r="BV108" s="478"/>
      <c r="BW108" s="479"/>
      <c r="BX108" s="478"/>
      <c r="BY108" s="479"/>
      <c r="BZ108" s="478"/>
      <c r="CA108" s="479"/>
      <c r="CB108" s="478"/>
      <c r="CC108" s="479"/>
      <c r="CD108" s="478"/>
      <c r="CE108" s="479"/>
      <c r="CF108" s="478"/>
      <c r="CG108" s="479"/>
      <c r="CH108" s="478"/>
      <c r="CI108" s="479"/>
      <c r="CJ108" s="478"/>
      <c r="CK108" s="479"/>
      <c r="CL108" s="478"/>
      <c r="CM108" s="520"/>
    </row>
    <row r="109" spans="1:91" s="475" customFormat="1" ht="12" hidden="1" customHeight="1" outlineLevel="1" x14ac:dyDescent="0.2">
      <c r="A109" s="519" t="s">
        <v>492</v>
      </c>
      <c r="B109" s="490"/>
      <c r="C109" s="491"/>
      <c r="D109" s="490"/>
      <c r="E109" s="478"/>
      <c r="F109" s="490"/>
      <c r="G109" s="478"/>
      <c r="H109" s="490"/>
      <c r="I109" s="478"/>
      <c r="J109" s="490"/>
      <c r="K109" s="478"/>
      <c r="L109" s="490"/>
      <c r="M109" s="478"/>
      <c r="N109" s="490"/>
      <c r="O109" s="478"/>
      <c r="P109" s="490"/>
      <c r="Q109" s="478"/>
      <c r="R109" s="490"/>
      <c r="S109" s="478"/>
      <c r="T109" s="490"/>
      <c r="U109" s="478"/>
      <c r="V109" s="490"/>
      <c r="W109" s="478"/>
      <c r="X109" s="490"/>
      <c r="Y109" s="478"/>
      <c r="Z109" s="490"/>
      <c r="AA109" s="478"/>
      <c r="AB109" s="490"/>
      <c r="AC109" s="478"/>
      <c r="AD109" s="490"/>
      <c r="AE109" s="478"/>
      <c r="AF109" s="490"/>
      <c r="AG109" s="478"/>
      <c r="AH109" s="490"/>
      <c r="AI109" s="478"/>
      <c r="AJ109" s="490"/>
      <c r="AK109" s="478"/>
      <c r="AL109" s="490"/>
      <c r="AM109" s="478"/>
      <c r="AN109" s="490"/>
      <c r="AO109" s="478"/>
      <c r="AP109" s="490"/>
      <c r="AQ109" s="478"/>
      <c r="AR109" s="490"/>
      <c r="AS109" s="478"/>
      <c r="AT109" s="490"/>
      <c r="AU109" s="478"/>
      <c r="AV109" s="490"/>
      <c r="AW109" s="478"/>
      <c r="AX109" s="490"/>
      <c r="AY109" s="490"/>
      <c r="AZ109" s="491"/>
      <c r="BA109" s="490"/>
      <c r="BB109" s="491"/>
      <c r="BC109" s="490"/>
      <c r="BD109" s="491"/>
      <c r="BE109" s="490"/>
      <c r="BF109" s="478"/>
      <c r="BG109" s="490"/>
      <c r="BH109" s="478"/>
      <c r="BI109" s="490"/>
      <c r="BJ109" s="478"/>
      <c r="BK109" s="490"/>
      <c r="BL109" s="478"/>
      <c r="BM109" s="490"/>
      <c r="BN109" s="478"/>
      <c r="BO109" s="490"/>
      <c r="BP109" s="478"/>
      <c r="BQ109" s="490"/>
      <c r="BR109" s="478"/>
      <c r="BS109" s="490"/>
      <c r="BT109" s="478"/>
      <c r="BU109" s="490"/>
      <c r="BV109" s="478"/>
      <c r="BW109" s="490"/>
      <c r="BX109" s="478"/>
      <c r="BY109" s="490"/>
      <c r="BZ109" s="478"/>
      <c r="CA109" s="490"/>
      <c r="CB109" s="478"/>
      <c r="CC109" s="490"/>
      <c r="CD109" s="478"/>
      <c r="CE109" s="490"/>
      <c r="CF109" s="478"/>
      <c r="CG109" s="490"/>
      <c r="CH109" s="478"/>
      <c r="CI109" s="490"/>
      <c r="CJ109" s="478"/>
      <c r="CK109" s="490"/>
      <c r="CL109" s="478"/>
      <c r="CM109" s="491"/>
    </row>
    <row r="110" spans="1:91" s="475" customFormat="1" ht="12" hidden="1" customHeight="1" outlineLevel="1" x14ac:dyDescent="0.2">
      <c r="A110" s="517" t="s">
        <v>271</v>
      </c>
      <c r="B110" s="524">
        <f>+INPUT!C52</f>
        <v>267.10000000000002</v>
      </c>
      <c r="C110" s="522" t="str">
        <f>+INPUT!D52</f>
        <v>NA</v>
      </c>
      <c r="D110" s="524">
        <f>+INPUT!E52</f>
        <v>285.39999999999998</v>
      </c>
      <c r="E110" s="474" t="str">
        <f>+INPUT!F52</f>
        <v>NA</v>
      </c>
      <c r="F110" s="524">
        <f>+INPUT!G52</f>
        <v>295.60000000000002</v>
      </c>
      <c r="G110" s="474" t="str">
        <f>+INPUT!H52</f>
        <v>NA</v>
      </c>
      <c r="H110" s="524">
        <f>+INPUT!I52</f>
        <v>308.39999999999998</v>
      </c>
      <c r="I110" s="474" t="str">
        <f>+INPUT!J52</f>
        <v>NA</v>
      </c>
      <c r="J110" s="524">
        <f>+INPUT!K52</f>
        <v>311.39999999999998</v>
      </c>
      <c r="K110" s="474">
        <f>+INPUT!L52</f>
        <v>16.585548483713936</v>
      </c>
      <c r="L110" s="524">
        <f>+INPUT!M52</f>
        <v>320.8</v>
      </c>
      <c r="M110" s="474">
        <f>+INPUT!N52</f>
        <v>12.403644008409259</v>
      </c>
      <c r="N110" s="524">
        <f>+INPUT!O52</f>
        <v>329.7</v>
      </c>
      <c r="O110" s="474">
        <f>+INPUT!P52</f>
        <v>11.535859269282795</v>
      </c>
      <c r="P110" s="524">
        <f>+INPUT!Q52</f>
        <v>329.1</v>
      </c>
      <c r="Q110" s="474">
        <f>+INPUT!R52</f>
        <v>6.7120622568093609</v>
      </c>
      <c r="R110" s="524">
        <f>+INPUT!S52</f>
        <v>329.8</v>
      </c>
      <c r="S110" s="474">
        <f>+INPUT!T52</f>
        <v>5.9087989723827832</v>
      </c>
      <c r="T110" s="524">
        <f>+INPUT!U52</f>
        <v>334.5</v>
      </c>
      <c r="U110" s="474">
        <f>+INPUT!V52</f>
        <v>4.2705735660847779</v>
      </c>
      <c r="V110" s="524">
        <f>+INPUT!W52</f>
        <v>327.8</v>
      </c>
      <c r="W110" s="474">
        <f>+INPUT!X52</f>
        <v>-0.5762814680011985</v>
      </c>
      <c r="X110" s="524">
        <f>+INPUT!Y52</f>
        <v>327.5</v>
      </c>
      <c r="Y110" s="474">
        <f>+INPUT!Z52</f>
        <v>-0.48617441507141734</v>
      </c>
      <c r="Z110" s="524">
        <f>+INPUT!AA52</f>
        <v>305.2</v>
      </c>
      <c r="AA110" s="474">
        <f>+INPUT!AB52</f>
        <v>-7.4590661006670729</v>
      </c>
      <c r="AB110" s="524">
        <f>+INPUT!AC52</f>
        <v>318.8</v>
      </c>
      <c r="AC110" s="474">
        <f>+INPUT!AD52</f>
        <v>-4.6935724962630729</v>
      </c>
      <c r="AD110" s="524">
        <f>+INPUT!AE52</f>
        <v>329.2</v>
      </c>
      <c r="AE110" s="474">
        <f>+INPUT!AF52</f>
        <v>0.42708968883464138</v>
      </c>
      <c r="AF110" s="524">
        <f>+INPUT!AG52</f>
        <v>327.7</v>
      </c>
      <c r="AG110" s="474">
        <f>+INPUT!AH52</f>
        <v>6.1068702290071997E-2</v>
      </c>
      <c r="AH110" s="524">
        <f>+INPUT!AI52</f>
        <v>330.8</v>
      </c>
      <c r="AI110" s="474">
        <f>+INPUT!AJ52</f>
        <v>8.3879423328964577</v>
      </c>
      <c r="AJ110" s="524">
        <f>+INPUT!AK52</f>
        <v>337.7</v>
      </c>
      <c r="AK110" s="474">
        <f>+INPUT!AL52</f>
        <v>5.9284818067754088</v>
      </c>
      <c r="AL110" s="524">
        <f>+INPUT!AM52</f>
        <v>346.7</v>
      </c>
      <c r="AM110" s="474">
        <f>+INPUT!AN52</f>
        <v>5.3159173754556548</v>
      </c>
      <c r="AN110" s="524">
        <f>+INPUT!AO52</f>
        <v>357.8</v>
      </c>
      <c r="AO110" s="474">
        <f>+INPUT!AP52</f>
        <v>9.1852303936527306</v>
      </c>
      <c r="AP110" s="524">
        <f>+INPUT!AQ52</f>
        <v>361.53833719981878</v>
      </c>
      <c r="AQ110" s="474">
        <f>+INPUT!AR52</f>
        <v>9.292121281686434</v>
      </c>
      <c r="AR110" s="524">
        <f>+INPUT!AS52</f>
        <v>361.88370603544854</v>
      </c>
      <c r="AS110" s="474">
        <f>+INPUT!AT52</f>
        <v>7.1612987964017094</v>
      </c>
      <c r="AT110" s="524">
        <f>+INPUT!AU52</f>
        <v>365.54611144986484</v>
      </c>
      <c r="AU110" s="474">
        <f>+INPUT!AV52</f>
        <v>5.4358556244201992</v>
      </c>
      <c r="AV110" s="524">
        <f>+INPUT!AW52</f>
        <v>368.56038144431079</v>
      </c>
      <c r="AW110" s="474">
        <f>+INPUT!AX52</f>
        <v>3.0073732376497446</v>
      </c>
      <c r="AX110" s="524"/>
      <c r="AY110" s="524"/>
      <c r="AZ110" s="522"/>
      <c r="BA110" s="524"/>
      <c r="BB110" s="522"/>
      <c r="BC110" s="524"/>
      <c r="BD110" s="522"/>
      <c r="BE110" s="524"/>
      <c r="BF110" s="474"/>
      <c r="BG110" s="524"/>
      <c r="BH110" s="474"/>
      <c r="BI110" s="524"/>
      <c r="BJ110" s="474"/>
      <c r="BK110" s="524"/>
      <c r="BL110" s="474"/>
      <c r="BM110" s="524"/>
      <c r="BN110" s="474"/>
      <c r="BO110" s="524"/>
      <c r="BP110" s="474"/>
      <c r="BQ110" s="524"/>
      <c r="BR110" s="474"/>
      <c r="BS110" s="524">
        <f>+INPUT!BB52</f>
        <v>1156.5</v>
      </c>
      <c r="BT110" s="474" t="str">
        <f>+INPUT!BC52</f>
        <v>NA</v>
      </c>
      <c r="BU110" s="524">
        <f>+INPUT!BD52</f>
        <v>1291</v>
      </c>
      <c r="BV110" s="474">
        <f>+INPUT!BE52</f>
        <v>11.629917855598791</v>
      </c>
      <c r="BW110" s="524">
        <f>+INPUT!BF52</f>
        <v>1319.6</v>
      </c>
      <c r="BX110" s="474">
        <f>+INPUT!BG52</f>
        <v>2.2153369481022338</v>
      </c>
      <c r="BY110" s="524">
        <f>+INPUT!BH52</f>
        <v>1280.9000000000001</v>
      </c>
      <c r="BZ110" s="474">
        <f>+INPUT!BI52</f>
        <v>-2.9327068808729848</v>
      </c>
      <c r="CA110" s="524">
        <f>+INPUT!BJ52</f>
        <v>1373</v>
      </c>
      <c r="CB110" s="474">
        <f>+INPUT!BK52</f>
        <v>7.1902568506518918</v>
      </c>
      <c r="CC110" s="524">
        <f>+INPUT!BL52</f>
        <v>1457.5285361294427</v>
      </c>
      <c r="CD110" s="474">
        <f>+INPUT!BM52</f>
        <v>6.1564847872864306</v>
      </c>
      <c r="CE110" s="524">
        <f>+INPUT!BN52</f>
        <v>1509.8029801100784</v>
      </c>
      <c r="CF110" s="474">
        <f>+INPUT!BO52</f>
        <v>3.5865125577200416</v>
      </c>
      <c r="CG110" s="524">
        <f>+INPUT!BP52</f>
        <v>1570.5581401395373</v>
      </c>
      <c r="CH110" s="474">
        <f>+INPUT!BQ52</f>
        <v>4.0240455761340002</v>
      </c>
      <c r="CI110" s="524">
        <f>+INPUT!BR52</f>
        <v>1631.6096043494122</v>
      </c>
      <c r="CJ110" s="474">
        <f>+INPUT!BS52</f>
        <v>3.8872463648146578</v>
      </c>
      <c r="CK110" s="524">
        <f>+INPUT!BT52</f>
        <v>1693.1303906373348</v>
      </c>
      <c r="CL110" s="474">
        <f>+INPUT!BU52</f>
        <v>3.770557989112433</v>
      </c>
      <c r="CM110" s="522">
        <f>+INPUT!BV52</f>
        <v>4.2807085958365354</v>
      </c>
    </row>
    <row r="111" spans="1:91" s="475" customFormat="1" ht="12" hidden="1" customHeight="1" outlineLevel="1" x14ac:dyDescent="0.2">
      <c r="A111" s="517" t="s">
        <v>416</v>
      </c>
      <c r="B111" s="524">
        <f>+INPUT!C53</f>
        <v>122.9</v>
      </c>
      <c r="C111" s="522" t="str">
        <f>+INPUT!D53</f>
        <v>NA</v>
      </c>
      <c r="D111" s="524">
        <f>+INPUT!E53</f>
        <v>122.3</v>
      </c>
      <c r="E111" s="474" t="str">
        <f>+INPUT!F53</f>
        <v>NA</v>
      </c>
      <c r="F111" s="524">
        <f>+INPUT!G53</f>
        <v>120.5</v>
      </c>
      <c r="G111" s="474" t="str">
        <f>+INPUT!H53</f>
        <v>NA</v>
      </c>
      <c r="H111" s="524">
        <f>+INPUT!I53</f>
        <v>123.6</v>
      </c>
      <c r="I111" s="474" t="str">
        <f>+INPUT!J53</f>
        <v>NA</v>
      </c>
      <c r="J111" s="524">
        <f>+INPUT!K53</f>
        <v>124.9</v>
      </c>
      <c r="K111" s="474">
        <f>+INPUT!L53</f>
        <v>1.6273393002441026</v>
      </c>
      <c r="L111" s="524">
        <f>+INPUT!M53</f>
        <v>124.7</v>
      </c>
      <c r="M111" s="474">
        <f>+INPUT!N53</f>
        <v>1.962387571545392</v>
      </c>
      <c r="N111" s="524">
        <f>+INPUT!O53</f>
        <v>118.4</v>
      </c>
      <c r="O111" s="474">
        <f>+INPUT!P53</f>
        <v>-1.7427385892116121</v>
      </c>
      <c r="P111" s="524">
        <f>+INPUT!Q53</f>
        <v>119.9</v>
      </c>
      <c r="Q111" s="474">
        <f>+INPUT!R53</f>
        <v>-2.9935275080906081</v>
      </c>
      <c r="R111" s="524">
        <f>+INPUT!S53</f>
        <v>107.9</v>
      </c>
      <c r="S111" s="474">
        <f>+INPUT!T53</f>
        <v>-13.610888710968766</v>
      </c>
      <c r="T111" s="524">
        <f>+INPUT!U53</f>
        <v>119.8</v>
      </c>
      <c r="U111" s="474">
        <f>+INPUT!V53</f>
        <v>-3.9294306335204539</v>
      </c>
      <c r="V111" s="524">
        <f>+INPUT!W53</f>
        <v>114.1</v>
      </c>
      <c r="W111" s="474">
        <f>+INPUT!X53</f>
        <v>-3.6317567567567721</v>
      </c>
      <c r="X111" s="524">
        <f>+INPUT!Y53</f>
        <v>112.6</v>
      </c>
      <c r="Y111" s="474">
        <f>+INPUT!Z53</f>
        <v>-6.0884070058382065</v>
      </c>
      <c r="Z111" s="524">
        <f>+INPUT!AA53</f>
        <v>108.1</v>
      </c>
      <c r="AA111" s="474">
        <f>+INPUT!AB53</f>
        <v>0.18535681186281749</v>
      </c>
      <c r="AB111" s="524">
        <f>+INPUT!AC53</f>
        <v>110</v>
      </c>
      <c r="AC111" s="474">
        <f>+INPUT!AD53</f>
        <v>-8.1803005008347185</v>
      </c>
      <c r="AD111" s="524">
        <f>+INPUT!AE53</f>
        <v>123.3</v>
      </c>
      <c r="AE111" s="474">
        <f>+INPUT!AF53</f>
        <v>8.0631025416301583</v>
      </c>
      <c r="AF111" s="524">
        <f>+INPUT!AG53</f>
        <v>120.9</v>
      </c>
      <c r="AG111" s="474">
        <f>+INPUT!AH53</f>
        <v>7.3712255772646671</v>
      </c>
      <c r="AH111" s="524">
        <f>+INPUT!AI53</f>
        <v>119.6</v>
      </c>
      <c r="AI111" s="474">
        <f>+INPUT!AJ53</f>
        <v>10.638297872340431</v>
      </c>
      <c r="AJ111" s="524">
        <f>+INPUT!AK53</f>
        <v>113.8</v>
      </c>
      <c r="AK111" s="474">
        <f>+INPUT!AL53</f>
        <v>3.454545454545439</v>
      </c>
      <c r="AL111" s="524">
        <f>+INPUT!AM53</f>
        <v>108.6</v>
      </c>
      <c r="AM111" s="474">
        <f>+INPUT!AN53</f>
        <v>-11.922141119221422</v>
      </c>
      <c r="AN111" s="524">
        <f>+INPUT!AO53</f>
        <v>106</v>
      </c>
      <c r="AO111" s="474">
        <f>+INPUT!AP53</f>
        <v>-12.324234904880072</v>
      </c>
      <c r="AP111" s="524">
        <f>+INPUT!AQ53</f>
        <v>111.50295</v>
      </c>
      <c r="AQ111" s="474">
        <f>+INPUT!AR53</f>
        <v>-6.7701086956521692</v>
      </c>
      <c r="AR111" s="524">
        <f>+INPUT!AS53</f>
        <v>111.6094660732581</v>
      </c>
      <c r="AS111" s="474">
        <f>+INPUT!AT53</f>
        <v>-1.9248980024093925</v>
      </c>
      <c r="AT111" s="524">
        <f>+INPUT!AU53</f>
        <v>112.73899775990103</v>
      </c>
      <c r="AU111" s="474">
        <f>+INPUT!AV53</f>
        <v>3.8112318231132889</v>
      </c>
      <c r="AV111" s="524">
        <f>+INPUT!AW53</f>
        <v>113.6686363677465</v>
      </c>
      <c r="AW111" s="474">
        <f>+INPUT!AX53</f>
        <v>7.2345626110815999</v>
      </c>
      <c r="AX111" s="524"/>
      <c r="AY111" s="524"/>
      <c r="AZ111" s="522"/>
      <c r="BA111" s="524"/>
      <c r="BB111" s="522"/>
      <c r="BC111" s="524"/>
      <c r="BD111" s="522"/>
      <c r="BE111" s="524"/>
      <c r="BF111" s="474"/>
      <c r="BG111" s="524"/>
      <c r="BH111" s="474"/>
      <c r="BI111" s="524"/>
      <c r="BJ111" s="474"/>
      <c r="BK111" s="524"/>
      <c r="BL111" s="474"/>
      <c r="BM111" s="524"/>
      <c r="BN111" s="474"/>
      <c r="BO111" s="524"/>
      <c r="BP111" s="474"/>
      <c r="BQ111" s="524"/>
      <c r="BR111" s="474"/>
      <c r="BS111" s="524">
        <f>+INPUT!BB53</f>
        <v>489.29999999999995</v>
      </c>
      <c r="BT111" s="474" t="str">
        <f>+INPUT!BC53</f>
        <v>NA</v>
      </c>
      <c r="BU111" s="524">
        <f>+INPUT!BD53</f>
        <v>487.9</v>
      </c>
      <c r="BV111" s="474">
        <f>+INPUT!BE53</f>
        <v>-0.28612303290414332</v>
      </c>
      <c r="BW111" s="524">
        <f>+INPUT!BF53</f>
        <v>454.4</v>
      </c>
      <c r="BX111" s="474">
        <f>+INPUT!BG53</f>
        <v>-6.8661610985857777</v>
      </c>
      <c r="BY111" s="524">
        <f>+INPUT!BH53</f>
        <v>462.29999999999995</v>
      </c>
      <c r="BZ111" s="474">
        <f>+INPUT!BI53</f>
        <v>1.7385563380281752</v>
      </c>
      <c r="CA111" s="524">
        <f>+INPUT!BJ53</f>
        <v>448</v>
      </c>
      <c r="CB111" s="474">
        <f>+INPUT!BK53</f>
        <v>-3.0932295046506511</v>
      </c>
      <c r="CC111" s="524">
        <f>+INPUT!BL53</f>
        <v>449.52005020090559</v>
      </c>
      <c r="CD111" s="474">
        <f>+INPUT!BM53</f>
        <v>0.33929691984499755</v>
      </c>
      <c r="CE111" s="524">
        <f>+INPUT!BN53</f>
        <v>442.36003608828889</v>
      </c>
      <c r="CF111" s="474">
        <f>+INPUT!BO53</f>
        <v>-1.592813070165974</v>
      </c>
      <c r="CG111" s="524">
        <f>+INPUT!BP53</f>
        <v>435.94181578523791</v>
      </c>
      <c r="CH111" s="474">
        <f>+INPUT!BQ53</f>
        <v>-1.4509041910309435</v>
      </c>
      <c r="CI111" s="524">
        <f>+INPUT!BR53</f>
        <v>427.72750660694226</v>
      </c>
      <c r="CJ111" s="474">
        <f>+INPUT!BS53</f>
        <v>-1.8842673221194985</v>
      </c>
      <c r="CK111" s="524">
        <f>+INPUT!BT53</f>
        <v>417.7460896742981</v>
      </c>
      <c r="CL111" s="474">
        <f>+INPUT!BU53</f>
        <v>-2.3335924808353496</v>
      </c>
      <c r="CM111" s="522">
        <f>+INPUT!BV53</f>
        <v>-1.3886564731546036</v>
      </c>
    </row>
    <row r="112" spans="1:91" s="501" customFormat="1" ht="12" hidden="1" customHeight="1" outlineLevel="1" x14ac:dyDescent="0.2">
      <c r="A112" s="489" t="s">
        <v>417</v>
      </c>
      <c r="B112" s="531">
        <f>+INPUT!C54</f>
        <v>390</v>
      </c>
      <c r="C112" s="755" t="str">
        <f>+INPUT!D54</f>
        <v>NA</v>
      </c>
      <c r="D112" s="531">
        <f>+INPUT!E54</f>
        <v>407.7</v>
      </c>
      <c r="E112" s="756" t="str">
        <f>+INPUT!F54</f>
        <v>NA</v>
      </c>
      <c r="F112" s="531">
        <f>+INPUT!G54</f>
        <v>416.1</v>
      </c>
      <c r="G112" s="756" t="str">
        <f>+INPUT!H54</f>
        <v>NA</v>
      </c>
      <c r="H112" s="531">
        <f>+INPUT!I54</f>
        <v>432</v>
      </c>
      <c r="I112" s="756" t="str">
        <f>+INPUT!J54</f>
        <v>NA</v>
      </c>
      <c r="J112" s="531">
        <f>+INPUT!K54</f>
        <v>436.29999999999995</v>
      </c>
      <c r="K112" s="756">
        <f>+INPUT!L54</f>
        <v>11.871794871794862</v>
      </c>
      <c r="L112" s="531">
        <f>+INPUT!M54</f>
        <v>445.5</v>
      </c>
      <c r="M112" s="756">
        <f>+INPUT!N54</f>
        <v>9.2715231788079535</v>
      </c>
      <c r="N112" s="531">
        <f>+INPUT!O54</f>
        <v>448.1</v>
      </c>
      <c r="O112" s="756">
        <f>+INPUT!P54</f>
        <v>7.6904590242730109</v>
      </c>
      <c r="P112" s="531">
        <f>+INPUT!Q54</f>
        <v>449</v>
      </c>
      <c r="Q112" s="756">
        <f>+INPUT!R54</f>
        <v>3.9351851851851904</v>
      </c>
      <c r="R112" s="531">
        <f>+INPUT!S54</f>
        <v>437.70000000000005</v>
      </c>
      <c r="S112" s="756">
        <f>+INPUT!T54</f>
        <v>0.3208801283520728</v>
      </c>
      <c r="T112" s="531">
        <f>+INPUT!U54</f>
        <v>454.3</v>
      </c>
      <c r="U112" s="756">
        <f>+INPUT!V54</f>
        <v>1.9753086419753032</v>
      </c>
      <c r="V112" s="531">
        <f>+INPUT!W54</f>
        <v>441.9</v>
      </c>
      <c r="W112" s="756">
        <f>+INPUT!X54</f>
        <v>-1.3836197277393438</v>
      </c>
      <c r="X112" s="531">
        <f>+INPUT!Y54</f>
        <v>440.1</v>
      </c>
      <c r="Y112" s="756">
        <f>+INPUT!Z54</f>
        <v>-1.9821826280623611</v>
      </c>
      <c r="Z112" s="531">
        <f>+INPUT!AA54</f>
        <v>413.29999999999995</v>
      </c>
      <c r="AA112" s="756">
        <f>+INPUT!AB54</f>
        <v>-5.5745944710989477</v>
      </c>
      <c r="AB112" s="531">
        <f>+INPUT!AC54</f>
        <v>428.8</v>
      </c>
      <c r="AC112" s="756">
        <f>+INPUT!AD54</f>
        <v>-5.6130310367598497</v>
      </c>
      <c r="AD112" s="531">
        <f>+INPUT!AE54</f>
        <v>452.5</v>
      </c>
      <c r="AE112" s="756">
        <f>+INPUT!AF54</f>
        <v>2.3987327449649314</v>
      </c>
      <c r="AF112" s="531">
        <f>+INPUT!AG54</f>
        <v>448.6</v>
      </c>
      <c r="AG112" s="756">
        <f>+INPUT!AH54</f>
        <v>1.9313792319927359</v>
      </c>
      <c r="AH112" s="531">
        <f>+INPUT!AI54</f>
        <v>450.4</v>
      </c>
      <c r="AI112" s="756">
        <f>+INPUT!AJ54</f>
        <v>8.9765303653520476</v>
      </c>
      <c r="AJ112" s="531">
        <f>+INPUT!AK54</f>
        <v>451.5</v>
      </c>
      <c r="AK112" s="756">
        <f>+INPUT!AL54</f>
        <v>5.2938432835820919</v>
      </c>
      <c r="AL112" s="531">
        <f>+INPUT!AM54</f>
        <v>455.29999999999995</v>
      </c>
      <c r="AM112" s="756">
        <f>+INPUT!AN54</f>
        <v>0.61878453038673342</v>
      </c>
      <c r="AN112" s="531">
        <f>+INPUT!AO54</f>
        <v>463.8</v>
      </c>
      <c r="AO112" s="756">
        <f>+INPUT!AP54</f>
        <v>3.388319215336594</v>
      </c>
      <c r="AP112" s="531">
        <f>+INPUT!AQ54</f>
        <v>473.04128719981878</v>
      </c>
      <c r="AQ112" s="756">
        <f>+INPUT!AR54</f>
        <v>5.0269287743825117</v>
      </c>
      <c r="AR112" s="531">
        <f>+INPUT!AS54</f>
        <v>473.49317210870663</v>
      </c>
      <c r="AS112" s="756">
        <f>+INPUT!AT54</f>
        <v>4.8711344648298223</v>
      </c>
      <c r="AT112" s="531">
        <f>+INPUT!AU54</f>
        <v>478.28510920976589</v>
      </c>
      <c r="AU112" s="756">
        <f>+INPUT!AV54</f>
        <v>5.0483437754812002</v>
      </c>
      <c r="AV112" s="531">
        <f>+INPUT!AW54</f>
        <v>482.22901781205729</v>
      </c>
      <c r="AW112" s="756">
        <f>+INPUT!AX54</f>
        <v>3.9734837887143897</v>
      </c>
      <c r="AX112" s="532"/>
      <c r="AY112" s="757"/>
      <c r="AZ112" s="758"/>
      <c r="BA112" s="757"/>
      <c r="BB112" s="758"/>
      <c r="BC112" s="757"/>
      <c r="BD112" s="758"/>
      <c r="BE112" s="757"/>
      <c r="BF112" s="756"/>
      <c r="BG112" s="757"/>
      <c r="BH112" s="756"/>
      <c r="BI112" s="757"/>
      <c r="BJ112" s="756"/>
      <c r="BK112" s="531"/>
      <c r="BL112" s="756"/>
      <c r="BM112" s="531"/>
      <c r="BN112" s="756"/>
      <c r="BO112" s="531"/>
      <c r="BP112" s="756"/>
      <c r="BQ112" s="531"/>
      <c r="BR112" s="756"/>
      <c r="BS112" s="531">
        <f>+INPUT!BB54</f>
        <v>1645.8</v>
      </c>
      <c r="BT112" s="756" t="str">
        <f>+INPUT!BC54</f>
        <v>NA</v>
      </c>
      <c r="BU112" s="531">
        <f>+INPUT!BD54</f>
        <v>1778.9</v>
      </c>
      <c r="BV112" s="756">
        <f>+INPUT!BE54</f>
        <v>8.0872524000486123</v>
      </c>
      <c r="BW112" s="531">
        <f>+INPUT!BF54</f>
        <v>1774</v>
      </c>
      <c r="BX112" s="756">
        <f>+INPUT!BG54</f>
        <v>-0.27545112147957695</v>
      </c>
      <c r="BY112" s="531">
        <f>+INPUT!BH54</f>
        <v>1743.2</v>
      </c>
      <c r="BZ112" s="756">
        <f>+INPUT!BI54</f>
        <v>-1.7361894024802638</v>
      </c>
      <c r="CA112" s="531">
        <f>+INPUT!BJ54</f>
        <v>1821</v>
      </c>
      <c r="CB112" s="756">
        <f>+INPUT!BK54</f>
        <v>4.4630564479118675</v>
      </c>
      <c r="CC112" s="531">
        <f>+INPUT!BL54</f>
        <v>1907.0485863303484</v>
      </c>
      <c r="CD112" s="756">
        <f>+INPUT!BM54</f>
        <v>4.7253479588329697</v>
      </c>
      <c r="CE112" s="531">
        <f>+INPUT!BN54</f>
        <v>1952.1630161983671</v>
      </c>
      <c r="CF112" s="756">
        <f>+INPUT!BO54</f>
        <v>2.3656675656507815</v>
      </c>
      <c r="CG112" s="531">
        <f>+INPUT!BP54</f>
        <v>2006.4999559247751</v>
      </c>
      <c r="CH112" s="756">
        <f>+INPUT!BQ54</f>
        <v>2.7834222488357199</v>
      </c>
      <c r="CI112" s="531">
        <f>+INPUT!BR54</f>
        <v>2059.3371109563545</v>
      </c>
      <c r="CJ112" s="756">
        <f>+INPUT!BS54</f>
        <v>2.6332995859562374</v>
      </c>
      <c r="CK112" s="531">
        <f>+INPUT!BT54</f>
        <v>2110.8764803116328</v>
      </c>
      <c r="CL112" s="756">
        <f>+INPUT!BU54</f>
        <v>2.5027164848859371</v>
      </c>
      <c r="CM112" s="755">
        <f>+INPUT!BV54</f>
        <v>2.9984229336589285</v>
      </c>
    </row>
    <row r="113" spans="1:91" s="475" customFormat="1" ht="12" hidden="1" customHeight="1" outlineLevel="1" x14ac:dyDescent="0.2">
      <c r="A113" s="517"/>
      <c r="B113" s="492"/>
      <c r="C113" s="534"/>
      <c r="D113" s="492"/>
      <c r="E113" s="535"/>
      <c r="F113" s="492"/>
      <c r="G113" s="535"/>
      <c r="H113" s="492"/>
      <c r="I113" s="535"/>
      <c r="J113" s="492"/>
      <c r="K113" s="535"/>
      <c r="L113" s="492"/>
      <c r="M113" s="535"/>
      <c r="N113" s="492"/>
      <c r="O113" s="535"/>
      <c r="P113" s="492"/>
      <c r="Q113" s="535"/>
      <c r="R113" s="492"/>
      <c r="S113" s="535"/>
      <c r="T113" s="492"/>
      <c r="U113" s="535"/>
      <c r="V113" s="492"/>
      <c r="W113" s="535"/>
      <c r="X113" s="492"/>
      <c r="Y113" s="535"/>
      <c r="Z113" s="492"/>
      <c r="AA113" s="535"/>
      <c r="AB113" s="492"/>
      <c r="AC113" s="535"/>
      <c r="AD113" s="492"/>
      <c r="AE113" s="535"/>
      <c r="AF113" s="492"/>
      <c r="AG113" s="535"/>
      <c r="AH113" s="492"/>
      <c r="AI113" s="535"/>
      <c r="AJ113" s="492"/>
      <c r="AK113" s="535"/>
      <c r="AL113" s="492"/>
      <c r="AM113" s="535"/>
      <c r="AN113" s="492"/>
      <c r="AO113" s="535"/>
      <c r="AP113" s="492"/>
      <c r="AQ113" s="535"/>
      <c r="AR113" s="492"/>
      <c r="AS113" s="535"/>
      <c r="AT113" s="492"/>
      <c r="AU113" s="535"/>
      <c r="AV113" s="492"/>
      <c r="AW113" s="535"/>
      <c r="AX113" s="492"/>
      <c r="AY113" s="492"/>
      <c r="AZ113" s="534"/>
      <c r="BA113" s="492"/>
      <c r="BB113" s="534"/>
      <c r="BC113" s="492"/>
      <c r="BD113" s="534"/>
      <c r="BE113" s="492"/>
      <c r="BF113" s="535"/>
      <c r="BG113" s="492"/>
      <c r="BH113" s="535"/>
      <c r="BI113" s="492"/>
      <c r="BJ113" s="535"/>
      <c r="BK113" s="492"/>
      <c r="BL113" s="535"/>
      <c r="BM113" s="492"/>
      <c r="BN113" s="535"/>
      <c r="BO113" s="492"/>
      <c r="BP113" s="535"/>
      <c r="BQ113" s="492"/>
      <c r="BR113" s="535"/>
      <c r="BS113" s="492"/>
      <c r="BT113" s="535"/>
      <c r="BU113" s="492"/>
      <c r="BV113" s="535"/>
      <c r="BW113" s="492"/>
      <c r="BX113" s="535"/>
      <c r="BY113" s="492"/>
      <c r="BZ113" s="535"/>
      <c r="CA113" s="492"/>
      <c r="CB113" s="535"/>
      <c r="CC113" s="492"/>
      <c r="CD113" s="535"/>
      <c r="CE113" s="492"/>
      <c r="CF113" s="535"/>
      <c r="CG113" s="492"/>
      <c r="CH113" s="535"/>
      <c r="CI113" s="492"/>
      <c r="CJ113" s="535"/>
      <c r="CK113" s="492"/>
      <c r="CL113" s="535"/>
      <c r="CM113" s="522"/>
    </row>
    <row r="114" spans="1:91" s="475" customFormat="1" ht="12" hidden="1" customHeight="1" outlineLevel="1" x14ac:dyDescent="0.2">
      <c r="A114" s="519" t="s">
        <v>418</v>
      </c>
      <c r="B114" s="492"/>
      <c r="C114" s="534"/>
      <c r="D114" s="492"/>
      <c r="E114" s="535"/>
      <c r="F114" s="492"/>
      <c r="G114" s="535"/>
      <c r="H114" s="492"/>
      <c r="I114" s="535"/>
      <c r="J114" s="492"/>
      <c r="K114" s="535"/>
      <c r="L114" s="492"/>
      <c r="M114" s="535"/>
      <c r="N114" s="492"/>
      <c r="O114" s="535"/>
      <c r="P114" s="492"/>
      <c r="Q114" s="535"/>
      <c r="R114" s="492"/>
      <c r="S114" s="535"/>
      <c r="T114" s="492"/>
      <c r="U114" s="535"/>
      <c r="V114" s="492"/>
      <c r="W114" s="535"/>
      <c r="X114" s="492"/>
      <c r="Y114" s="535"/>
      <c r="Z114" s="492"/>
      <c r="AA114" s="535"/>
      <c r="AB114" s="492"/>
      <c r="AC114" s="535"/>
      <c r="AD114" s="492"/>
      <c r="AE114" s="535"/>
      <c r="AF114" s="492"/>
      <c r="AG114" s="535"/>
      <c r="AH114" s="492"/>
      <c r="AI114" s="535"/>
      <c r="AJ114" s="492"/>
      <c r="AK114" s="535"/>
      <c r="AL114" s="492"/>
      <c r="AM114" s="535"/>
      <c r="AN114" s="492"/>
      <c r="AO114" s="535"/>
      <c r="AP114" s="492"/>
      <c r="AQ114" s="535"/>
      <c r="AR114" s="492"/>
      <c r="AS114" s="535"/>
      <c r="AT114" s="492"/>
      <c r="AU114" s="535"/>
      <c r="AV114" s="492"/>
      <c r="AW114" s="535"/>
      <c r="AX114" s="492"/>
      <c r="AY114" s="492"/>
      <c r="AZ114" s="534"/>
      <c r="BA114" s="492"/>
      <c r="BB114" s="534"/>
      <c r="BC114" s="492"/>
      <c r="BD114" s="534"/>
      <c r="BE114" s="492"/>
      <c r="BF114" s="535"/>
      <c r="BG114" s="492"/>
      <c r="BH114" s="535"/>
      <c r="BI114" s="492"/>
      <c r="BJ114" s="535"/>
      <c r="BK114" s="492"/>
      <c r="BL114" s="535"/>
      <c r="BM114" s="492"/>
      <c r="BN114" s="535"/>
      <c r="BO114" s="492"/>
      <c r="BP114" s="535"/>
      <c r="BQ114" s="492"/>
      <c r="BR114" s="535"/>
      <c r="BS114" s="492"/>
      <c r="BT114" s="535"/>
      <c r="BU114" s="492"/>
      <c r="BV114" s="535"/>
      <c r="BW114" s="492"/>
      <c r="BX114" s="535"/>
      <c r="BY114" s="492"/>
      <c r="BZ114" s="535"/>
      <c r="CA114" s="492"/>
      <c r="CB114" s="535"/>
      <c r="CC114" s="492"/>
      <c r="CD114" s="535"/>
      <c r="CE114" s="492"/>
      <c r="CF114" s="535"/>
      <c r="CG114" s="492"/>
      <c r="CH114" s="535"/>
      <c r="CI114" s="492"/>
      <c r="CJ114" s="535"/>
      <c r="CK114" s="492"/>
      <c r="CL114" s="535"/>
      <c r="CM114" s="522"/>
    </row>
    <row r="115" spans="1:91" s="475" customFormat="1" ht="12" hidden="1" customHeight="1" outlineLevel="1" x14ac:dyDescent="0.2">
      <c r="A115" s="517" t="s">
        <v>434</v>
      </c>
      <c r="B115" s="536">
        <f>+INPUT!C57</f>
        <v>59.9</v>
      </c>
      <c r="C115" s="522" t="str">
        <f>+INPUT!D57</f>
        <v>NA</v>
      </c>
      <c r="D115" s="536">
        <f>+INPUT!E57</f>
        <v>60.3</v>
      </c>
      <c r="E115" s="474" t="str">
        <f>+INPUT!F57</f>
        <v>NA</v>
      </c>
      <c r="F115" s="536">
        <f>+INPUT!G57</f>
        <v>77.599999999999994</v>
      </c>
      <c r="G115" s="474" t="str">
        <f>+INPUT!H57</f>
        <v>NA</v>
      </c>
      <c r="H115" s="536">
        <f>+INPUT!I57</f>
        <v>59.199999999999996</v>
      </c>
      <c r="I115" s="474" t="str">
        <f>+INPUT!J57</f>
        <v>NA</v>
      </c>
      <c r="J115" s="536">
        <f>+INPUT!K57</f>
        <v>56.099999999999994</v>
      </c>
      <c r="K115" s="474">
        <f>+INPUT!L57</f>
        <v>-6.3439065108514257</v>
      </c>
      <c r="L115" s="536">
        <f>+INPUT!M57</f>
        <v>54.9</v>
      </c>
      <c r="M115" s="474">
        <f>+INPUT!N57</f>
        <v>-8.9552238805970035</v>
      </c>
      <c r="N115" s="536">
        <f>+INPUT!O57</f>
        <v>52.199999999999996</v>
      </c>
      <c r="O115" s="474">
        <f>+INPUT!P57</f>
        <v>-32.731958762886606</v>
      </c>
      <c r="P115" s="536">
        <f>+INPUT!Q57</f>
        <v>52</v>
      </c>
      <c r="Q115" s="474">
        <f>+INPUT!R57</f>
        <v>-12.162162162162161</v>
      </c>
      <c r="R115" s="536">
        <f>+INPUT!S57</f>
        <v>47.2</v>
      </c>
      <c r="S115" s="474">
        <f>+INPUT!T57</f>
        <v>-15.864527629233493</v>
      </c>
      <c r="T115" s="536">
        <f>+INPUT!U57</f>
        <v>52.400000000000006</v>
      </c>
      <c r="U115" s="474">
        <f>+INPUT!V57</f>
        <v>-4.5537340619307685</v>
      </c>
      <c r="V115" s="536">
        <f>+INPUT!W57</f>
        <v>50.4</v>
      </c>
      <c r="W115" s="474">
        <f>+INPUT!X57</f>
        <v>-3.448275862068968</v>
      </c>
      <c r="X115" s="536">
        <f>+INPUT!Y57</f>
        <v>50.5</v>
      </c>
      <c r="Y115" s="474">
        <f>+INPUT!Z57</f>
        <v>-2.8846153846153868</v>
      </c>
      <c r="Z115" s="536">
        <f>+INPUT!AA57</f>
        <v>49.6</v>
      </c>
      <c r="AA115" s="474">
        <f>+INPUT!AB57</f>
        <v>5.0847457627118473</v>
      </c>
      <c r="AB115" s="536">
        <f>+INPUT!AC57</f>
        <v>47.300000000000004</v>
      </c>
      <c r="AC115" s="474">
        <f>+INPUT!AD57</f>
        <v>-9.7328244274809066</v>
      </c>
      <c r="AD115" s="536">
        <f>+INPUT!AE57</f>
        <v>87.699999999999989</v>
      </c>
      <c r="AE115" s="474">
        <f>+INPUT!AF57</f>
        <v>74.007936507936478</v>
      </c>
      <c r="AF115" s="536">
        <f>+INPUT!AG57</f>
        <v>47.5</v>
      </c>
      <c r="AG115" s="474">
        <f>+INPUT!AH57</f>
        <v>-5.940594059405953</v>
      </c>
      <c r="AH115" s="536">
        <f>+INPUT!AI57</f>
        <v>46.9</v>
      </c>
      <c r="AI115" s="474">
        <f>+INPUT!AJ57</f>
        <v>-5.4435483870967687</v>
      </c>
      <c r="AJ115" s="536">
        <f>+INPUT!AK57</f>
        <v>45.4</v>
      </c>
      <c r="AK115" s="474">
        <f>+INPUT!AL57</f>
        <v>-4.0169133192389097</v>
      </c>
      <c r="AL115" s="536">
        <f>+INPUT!AM57</f>
        <v>83.2</v>
      </c>
      <c r="AM115" s="474">
        <f>+INPUT!AN57</f>
        <v>-5.13112884834662</v>
      </c>
      <c r="AN115" s="536">
        <f>+INPUT!AO57</f>
        <v>51.2</v>
      </c>
      <c r="AO115" s="474">
        <f>+INPUT!AP57</f>
        <v>7.7894736842105203</v>
      </c>
      <c r="AP115" s="536">
        <f>+INPUT!AQ57</f>
        <v>50.555245544857286</v>
      </c>
      <c r="AQ115" s="474">
        <f>+INPUT!AR57</f>
        <v>7.7937005220837676</v>
      </c>
      <c r="AR115" s="536">
        <f>+INPUT!AS57</f>
        <v>50.603539749073747</v>
      </c>
      <c r="AS115" s="474">
        <f>+INPUT!AT57</f>
        <v>11.461541297519261</v>
      </c>
      <c r="AT115" s="536">
        <f>+INPUT!AU57</f>
        <v>51.11566747097644</v>
      </c>
      <c r="AU115" s="474">
        <f>+INPUT!AV57</f>
        <v>-38.562899674307161</v>
      </c>
      <c r="AV115" s="536">
        <f>+INPUT!AW57</f>
        <v>43.012016287546139</v>
      </c>
      <c r="AW115" s="474">
        <f>+INPUT!AX57</f>
        <v>-15.992155688386461</v>
      </c>
      <c r="AX115" s="524"/>
      <c r="AY115" s="524"/>
      <c r="AZ115" s="522"/>
      <c r="BA115" s="524"/>
      <c r="BB115" s="522"/>
      <c r="BC115" s="524"/>
      <c r="BD115" s="522"/>
      <c r="BE115" s="524"/>
      <c r="BF115" s="474"/>
      <c r="BG115" s="524"/>
      <c r="BH115" s="474"/>
      <c r="BI115" s="524"/>
      <c r="BJ115" s="474"/>
      <c r="BK115" s="524"/>
      <c r="BL115" s="474"/>
      <c r="BM115" s="524"/>
      <c r="BN115" s="474"/>
      <c r="BO115" s="524"/>
      <c r="BP115" s="474"/>
      <c r="BQ115" s="524"/>
      <c r="BR115" s="474"/>
      <c r="BS115" s="524">
        <f>+INPUT!BB57</f>
        <v>257</v>
      </c>
      <c r="BT115" s="474" t="str">
        <f>+INPUT!BC57</f>
        <v>NA</v>
      </c>
      <c r="BU115" s="524">
        <f>+INPUT!BD57</f>
        <v>215.2</v>
      </c>
      <c r="BV115" s="474">
        <f>+INPUT!BE57</f>
        <v>-16.264591439688729</v>
      </c>
      <c r="BW115" s="524">
        <f>+INPUT!BF57</f>
        <v>200.5</v>
      </c>
      <c r="BX115" s="474">
        <f>+INPUT!BG57</f>
        <v>-6.8308550185873571</v>
      </c>
      <c r="BY115" s="524">
        <f>+INPUT!BH57</f>
        <v>232.1</v>
      </c>
      <c r="BZ115" s="474">
        <f>+INPUT!BI57</f>
        <v>15.760598503740653</v>
      </c>
      <c r="CA115" s="524">
        <f>+INPUT!BJ57</f>
        <v>226.7</v>
      </c>
      <c r="CB115" s="474">
        <f>+INPUT!BK57</f>
        <v>-2.3265833692373974</v>
      </c>
      <c r="CC115" s="524">
        <f>+INPUT!BL57</f>
        <v>195.28646905245361</v>
      </c>
      <c r="CD115" s="474">
        <f>+INPUT!BM57</f>
        <v>-13.856872936720947</v>
      </c>
      <c r="CE115" s="524">
        <f>+INPUT!BN57</f>
        <v>176.68012490975224</v>
      </c>
      <c r="CF115" s="474">
        <f>+INPUT!BO57</f>
        <v>-9.5277180405692832</v>
      </c>
      <c r="CG115" s="524">
        <f>+INPUT!BP57</f>
        <v>159.57082389424457</v>
      </c>
      <c r="CH115" s="474">
        <f>+INPUT!BQ57</f>
        <v>-9.6837723112585934</v>
      </c>
      <c r="CI115" s="524">
        <f>+INPUT!BR57</f>
        <v>140.61329338026408</v>
      </c>
      <c r="CJ115" s="474">
        <f>+INPUT!BS57</f>
        <v>-11.880323765542869</v>
      </c>
      <c r="CK115" s="524">
        <f>+INPUT!BT57</f>
        <v>119.80606854292409</v>
      </c>
      <c r="CL115" s="474">
        <f>+INPUT!BU57</f>
        <v>-14.797480620178987</v>
      </c>
      <c r="CM115" s="522">
        <f>+INPUT!BV57</f>
        <v>-11.975116417618247</v>
      </c>
    </row>
    <row r="116" spans="1:91" s="475" customFormat="1" ht="12" hidden="1" customHeight="1" outlineLevel="1" x14ac:dyDescent="0.2">
      <c r="A116" s="517" t="s">
        <v>421</v>
      </c>
      <c r="B116" s="536">
        <f>+INPUT!C58</f>
        <v>48.6</v>
      </c>
      <c r="C116" s="522" t="str">
        <f>+INPUT!D58</f>
        <v>NA</v>
      </c>
      <c r="D116" s="536">
        <f>+INPUT!E58</f>
        <v>50.1</v>
      </c>
      <c r="E116" s="474" t="str">
        <f>+INPUT!F58</f>
        <v>NA</v>
      </c>
      <c r="F116" s="536">
        <f>+INPUT!G58</f>
        <v>52.3</v>
      </c>
      <c r="G116" s="474" t="str">
        <f>+INPUT!H58</f>
        <v>NA</v>
      </c>
      <c r="H116" s="536">
        <f>+INPUT!I58</f>
        <v>51.9</v>
      </c>
      <c r="I116" s="474" t="str">
        <f>+INPUT!J58</f>
        <v>NA</v>
      </c>
      <c r="J116" s="536">
        <f>+INPUT!K58</f>
        <v>54.7</v>
      </c>
      <c r="K116" s="474">
        <f>+INPUT!L58</f>
        <v>12.55144032921811</v>
      </c>
      <c r="L116" s="536">
        <f>+INPUT!M58</f>
        <v>54.2</v>
      </c>
      <c r="M116" s="474">
        <f>+INPUT!N58</f>
        <v>8.1836327345309314</v>
      </c>
      <c r="N116" s="536">
        <f>+INPUT!O58</f>
        <v>52.5</v>
      </c>
      <c r="O116" s="474">
        <f>+INPUT!P58</f>
        <v>0.38240917782026429</v>
      </c>
      <c r="P116" s="536">
        <f>+INPUT!Q58</f>
        <v>53.8</v>
      </c>
      <c r="Q116" s="474">
        <f>+INPUT!R58</f>
        <v>3.6608863198458437</v>
      </c>
      <c r="R116" s="536">
        <f>+INPUT!S58</f>
        <v>56.1</v>
      </c>
      <c r="S116" s="474">
        <f>+INPUT!T58</f>
        <v>2.5594149908592385</v>
      </c>
      <c r="T116" s="536">
        <f>+INPUT!U58</f>
        <v>56.1</v>
      </c>
      <c r="U116" s="474">
        <f>+INPUT!V58</f>
        <v>3.5055350553505633</v>
      </c>
      <c r="V116" s="536">
        <f>+INPUT!W58</f>
        <v>52.3</v>
      </c>
      <c r="W116" s="474">
        <f>+INPUT!X58</f>
        <v>-0.3809523809523796</v>
      </c>
      <c r="X116" s="536">
        <f>+INPUT!Y58</f>
        <v>50.8</v>
      </c>
      <c r="Y116" s="474">
        <f>+INPUT!Z58</f>
        <v>-5.5762081784386623</v>
      </c>
      <c r="Z116" s="536">
        <f>+INPUT!AA58</f>
        <v>51.9</v>
      </c>
      <c r="AA116" s="474">
        <f>+INPUT!AB58</f>
        <v>-7.4866310160427929</v>
      </c>
      <c r="AB116" s="536">
        <f>+INPUT!AC58</f>
        <v>51.1</v>
      </c>
      <c r="AC116" s="474">
        <f>+INPUT!AD58</f>
        <v>-8.9126559714794951</v>
      </c>
      <c r="AD116" s="536">
        <f>+INPUT!AE58</f>
        <v>52.6</v>
      </c>
      <c r="AE116" s="474">
        <f>+INPUT!AF58</f>
        <v>0.57361376673041775</v>
      </c>
      <c r="AF116" s="536">
        <f>+INPUT!AG58</f>
        <v>53.7</v>
      </c>
      <c r="AG116" s="474">
        <f>+INPUT!AH58</f>
        <v>5.708661417322844</v>
      </c>
      <c r="AH116" s="536">
        <f>+INPUT!AI58</f>
        <v>63.8</v>
      </c>
      <c r="AI116" s="474">
        <f>+INPUT!AJ58</f>
        <v>22.928709055876695</v>
      </c>
      <c r="AJ116" s="536">
        <f>+INPUT!AK58</f>
        <v>53.2</v>
      </c>
      <c r="AK116" s="474">
        <f>+INPUT!AL58</f>
        <v>4.1095890410958873</v>
      </c>
      <c r="AL116" s="536">
        <f>+INPUT!AM58</f>
        <v>53.5</v>
      </c>
      <c r="AM116" s="474">
        <f>+INPUT!AN58</f>
        <v>1.7110266159695868</v>
      </c>
      <c r="AN116" s="536">
        <f>+INPUT!AO58</f>
        <v>53.9</v>
      </c>
      <c r="AO116" s="474">
        <f>+INPUT!AP58</f>
        <v>0.37243947858472382</v>
      </c>
      <c r="AP116" s="536">
        <f>+INPUT!AQ58</f>
        <v>54.463153647485271</v>
      </c>
      <c r="AQ116" s="474">
        <f>+INPUT!AR58</f>
        <v>-14.634555411465087</v>
      </c>
      <c r="AR116" s="536">
        <f>+INPUT!AS58</f>
        <v>54.51518098186326</v>
      </c>
      <c r="AS116" s="474">
        <f>+INPUT!AT58</f>
        <v>2.4721447027504837</v>
      </c>
      <c r="AT116" s="536">
        <f>+INPUT!AU58</f>
        <v>55.066896051279244</v>
      </c>
      <c r="AU116" s="474">
        <f>+INPUT!AV58</f>
        <v>2.9287776659425049</v>
      </c>
      <c r="AV116" s="536">
        <f>+INPUT!AW58</f>
        <v>55.520974175093208</v>
      </c>
      <c r="AW116" s="474">
        <f>+INPUT!AX58</f>
        <v>3.0073732376497446</v>
      </c>
      <c r="AX116" s="524"/>
      <c r="AY116" s="524"/>
      <c r="AZ116" s="522"/>
      <c r="BA116" s="524"/>
      <c r="BB116" s="522"/>
      <c r="BC116" s="524"/>
      <c r="BD116" s="522"/>
      <c r="BE116" s="524"/>
      <c r="BF116" s="474"/>
      <c r="BG116" s="524"/>
      <c r="BH116" s="474"/>
      <c r="BI116" s="524"/>
      <c r="BJ116" s="474"/>
      <c r="BK116" s="524"/>
      <c r="BL116" s="474"/>
      <c r="BM116" s="524"/>
      <c r="BN116" s="474"/>
      <c r="BO116" s="524"/>
      <c r="BP116" s="474"/>
      <c r="BQ116" s="524"/>
      <c r="BR116" s="474"/>
      <c r="BS116" s="524">
        <f>+INPUT!BB58</f>
        <v>202.9</v>
      </c>
      <c r="BT116" s="474" t="str">
        <f>+INPUT!BC58</f>
        <v>NA</v>
      </c>
      <c r="BU116" s="524">
        <f>+INPUT!BD58</f>
        <v>215.2</v>
      </c>
      <c r="BV116" s="474">
        <f>+INPUT!BE58</f>
        <v>6.0620995564317326</v>
      </c>
      <c r="BW116" s="524">
        <f>+INPUT!BF58</f>
        <v>215.3</v>
      </c>
      <c r="BX116" s="474">
        <f>+INPUT!BG58</f>
        <v>4.6468401487004485E-2</v>
      </c>
      <c r="BY116" s="524">
        <f>+INPUT!BH58</f>
        <v>209.3</v>
      </c>
      <c r="BZ116" s="474">
        <f>+INPUT!BI58</f>
        <v>-2.7868091035764024</v>
      </c>
      <c r="CA116" s="524">
        <f>+INPUT!BJ58</f>
        <v>224.4</v>
      </c>
      <c r="CB116" s="474">
        <f>+INPUT!BK58</f>
        <v>7.2145246058289416</v>
      </c>
      <c r="CC116" s="524">
        <f>+INPUT!BL58</f>
        <v>219.56620485572097</v>
      </c>
      <c r="CD116" s="474">
        <f>+INPUT!BM58</f>
        <v>-2.154097657878367</v>
      </c>
      <c r="CE116" s="524">
        <f>+INPUT!BN58</f>
        <v>227.44097436538067</v>
      </c>
      <c r="CF116" s="474">
        <f>+INPUT!BO58</f>
        <v>3.5865125577200274</v>
      </c>
      <c r="CG116" s="524">
        <f>+INPUT!BP58</f>
        <v>236.59330283264688</v>
      </c>
      <c r="CH116" s="474">
        <f>+INPUT!BQ58</f>
        <v>4.0240455761340286</v>
      </c>
      <c r="CI116" s="524">
        <f>+INPUT!BR58</f>
        <v>245.79026739640386</v>
      </c>
      <c r="CJ116" s="474">
        <f>+INPUT!BS58</f>
        <v>3.8872463648146578</v>
      </c>
      <c r="CK116" s="524">
        <f>+INPUT!BT58</f>
        <v>255.05793196017981</v>
      </c>
      <c r="CL116" s="474">
        <f>+INPUT!BU58</f>
        <v>3.7705579891124614</v>
      </c>
      <c r="CM116" s="522">
        <f>+INPUT!BV58</f>
        <v>2.5942914152430552</v>
      </c>
    </row>
    <row r="117" spans="1:91" s="475" customFormat="1" ht="12" hidden="1" customHeight="1" outlineLevel="1" x14ac:dyDescent="0.2">
      <c r="A117" s="481" t="s">
        <v>391</v>
      </c>
      <c r="B117" s="536">
        <f>+INPUT!C59</f>
        <v>-17.299999999999997</v>
      </c>
      <c r="C117" s="522" t="str">
        <f>+INPUT!D59</f>
        <v>NA</v>
      </c>
      <c r="D117" s="536">
        <f>+INPUT!E59</f>
        <v>-12.500000000000002</v>
      </c>
      <c r="E117" s="474" t="str">
        <f>+INPUT!F59</f>
        <v>NA</v>
      </c>
      <c r="F117" s="536">
        <f>+INPUT!G59</f>
        <v>-11.600000000000001</v>
      </c>
      <c r="G117" s="474" t="str">
        <f>+INPUT!H59</f>
        <v>NA</v>
      </c>
      <c r="H117" s="536">
        <f>+INPUT!I59</f>
        <v>-14</v>
      </c>
      <c r="I117" s="474" t="str">
        <f>+INPUT!J59</f>
        <v>NA</v>
      </c>
      <c r="J117" s="536">
        <f>+INPUT!K59</f>
        <v>-9.1999999999999993</v>
      </c>
      <c r="K117" s="474">
        <f>+INPUT!L59</f>
        <v>-46.820809248554909</v>
      </c>
      <c r="L117" s="536">
        <f>+INPUT!M59</f>
        <v>-10.900000000000002</v>
      </c>
      <c r="M117" s="474">
        <f>+INPUT!N59</f>
        <v>-12.799999999999997</v>
      </c>
      <c r="N117" s="536">
        <f>+INPUT!O59</f>
        <v>-5.2999999999999972</v>
      </c>
      <c r="O117" s="474" t="str">
        <f>+INPUT!P59</f>
        <v>NM</v>
      </c>
      <c r="P117" s="536">
        <f>+INPUT!Q59</f>
        <v>-9.1000000000000014</v>
      </c>
      <c r="Q117" s="474">
        <f>+INPUT!R59</f>
        <v>-34.999999999999986</v>
      </c>
      <c r="R117" s="536">
        <f>+INPUT!S59</f>
        <v>-16.299999999999997</v>
      </c>
      <c r="S117" s="474">
        <f>+INPUT!T59</f>
        <v>77.173913043478251</v>
      </c>
      <c r="T117" s="536">
        <f>+INPUT!U59</f>
        <v>-9.5</v>
      </c>
      <c r="U117" s="474">
        <f>+INPUT!V59</f>
        <v>-12.844036697247716</v>
      </c>
      <c r="V117" s="536">
        <f>+INPUT!W59</f>
        <v>49</v>
      </c>
      <c r="W117" s="474" t="str">
        <f>+INPUT!X59</f>
        <v>NM</v>
      </c>
      <c r="X117" s="536">
        <f>+INPUT!Y59</f>
        <v>-4.5999999999999979</v>
      </c>
      <c r="Y117" s="474">
        <f>+INPUT!Z59</f>
        <v>-49.450549450549488</v>
      </c>
      <c r="Z117" s="536">
        <f>+INPUT!AA59</f>
        <v>-10.8</v>
      </c>
      <c r="AA117" s="474">
        <f>+INPUT!AB59</f>
        <v>-33.742331288343536</v>
      </c>
      <c r="AB117" s="536">
        <f>+INPUT!AC59</f>
        <v>1.3999999999999986</v>
      </c>
      <c r="AC117" s="474" t="str">
        <f>+INPUT!AD59</f>
        <v>NM</v>
      </c>
      <c r="AD117" s="536">
        <f>+INPUT!AE59</f>
        <v>-21.5</v>
      </c>
      <c r="AE117" s="474" t="str">
        <f>+INPUT!AF59</f>
        <v>NM</v>
      </c>
      <c r="AF117" s="536">
        <f>+INPUT!AG59</f>
        <v>4</v>
      </c>
      <c r="AG117" s="474" t="str">
        <f>+INPUT!AH59</f>
        <v>NM</v>
      </c>
      <c r="AH117" s="536">
        <f>+INPUT!AI59</f>
        <v>-9.8000000000000007</v>
      </c>
      <c r="AI117" s="474">
        <f>+INPUT!AJ59</f>
        <v>-9.2592592592592524</v>
      </c>
      <c r="AJ117" s="536">
        <f>+INPUT!AK59</f>
        <v>-4.9000000000000004</v>
      </c>
      <c r="AK117" s="474" t="str">
        <f>+INPUT!AL59</f>
        <v>NM</v>
      </c>
      <c r="AL117" s="536">
        <f>+INPUT!AM59</f>
        <v>0.19999999999999929</v>
      </c>
      <c r="AM117" s="474" t="str">
        <f>+INPUT!AN59</f>
        <v>NM</v>
      </c>
      <c r="AN117" s="536">
        <f>+INPUT!AO59</f>
        <v>-2.3999999999999986</v>
      </c>
      <c r="AO117" s="474" t="str">
        <f>+INPUT!AP59</f>
        <v>NM</v>
      </c>
      <c r="AP117" s="536">
        <f>+INPUT!AQ59</f>
        <v>2.2300589999999998</v>
      </c>
      <c r="AQ117" s="474" t="str">
        <f>+INPUT!AR59</f>
        <v>NM</v>
      </c>
      <c r="AR117" s="536">
        <f>+INPUT!AS59</f>
        <v>2.232189321465162</v>
      </c>
      <c r="AS117" s="474" t="str">
        <f>+INPUT!AT59</f>
        <v>NM</v>
      </c>
      <c r="AT117" s="536">
        <f>+INPUT!AU59</f>
        <v>2.2547799551980203</v>
      </c>
      <c r="AU117" s="474" t="str">
        <f>+INPUT!AV59</f>
        <v>NM</v>
      </c>
      <c r="AV117" s="536">
        <f>+INPUT!AW59</f>
        <v>2.2733727273549298</v>
      </c>
      <c r="AW117" s="474" t="str">
        <f>+INPUT!AX59</f>
        <v>NM</v>
      </c>
      <c r="AX117" s="498"/>
      <c r="AY117" s="496"/>
      <c r="AZ117" s="533"/>
      <c r="BA117" s="496"/>
      <c r="BB117" s="533"/>
      <c r="BC117" s="496"/>
      <c r="BD117" s="533"/>
      <c r="BE117" s="496"/>
      <c r="BF117" s="474"/>
      <c r="BG117" s="496"/>
      <c r="BH117" s="474"/>
      <c r="BI117" s="496"/>
      <c r="BJ117" s="474"/>
      <c r="BK117" s="536"/>
      <c r="BL117" s="474"/>
      <c r="BM117" s="536"/>
      <c r="BN117" s="474"/>
      <c r="BO117" s="536"/>
      <c r="BP117" s="474"/>
      <c r="BQ117" s="536"/>
      <c r="BR117" s="474"/>
      <c r="BS117" s="536">
        <f>+INPUT!BB59</f>
        <v>-55.4</v>
      </c>
      <c r="BT117" s="474" t="str">
        <f>+INPUT!BC59</f>
        <v>NA</v>
      </c>
      <c r="BU117" s="536">
        <f>+INPUT!BD59</f>
        <v>-34.5</v>
      </c>
      <c r="BV117" s="474">
        <f>+INPUT!BE59</f>
        <v>-37.725631768953072</v>
      </c>
      <c r="BW117" s="536">
        <f>+INPUT!BF59</f>
        <v>18.600000000000005</v>
      </c>
      <c r="BX117" s="474" t="str">
        <f>+INPUT!BG59</f>
        <v>NM</v>
      </c>
      <c r="BY117" s="536">
        <f>+INPUT!BH59</f>
        <v>-26.900000000000002</v>
      </c>
      <c r="BZ117" s="474" t="str">
        <f>+INPUT!BI59</f>
        <v>NM</v>
      </c>
      <c r="CA117" s="536">
        <f>+INPUT!BJ59</f>
        <v>-16.899999999999999</v>
      </c>
      <c r="CB117" s="474">
        <f>+INPUT!BK59</f>
        <v>-37.174721189591089</v>
      </c>
      <c r="CC117" s="536">
        <f>+INPUT!BL59</f>
        <v>8.9904010040181124</v>
      </c>
      <c r="CD117" s="474" t="str">
        <f>+INPUT!BM59</f>
        <v>NM</v>
      </c>
      <c r="CE117" s="536">
        <f>+INPUT!BN59</f>
        <v>9.3128428650166128</v>
      </c>
      <c r="CF117" s="474">
        <f>+INPUT!BO59</f>
        <v>3.58651255772007</v>
      </c>
      <c r="CG117" s="536">
        <f>+INPUT!BP59</f>
        <v>9.6875959063386237</v>
      </c>
      <c r="CH117" s="474">
        <f>+INPUT!BQ59</f>
        <v>4.0240455761339859</v>
      </c>
      <c r="CI117" s="536">
        <f>+INPUT!BR59</f>
        <v>10.064176626045706</v>
      </c>
      <c r="CJ117" s="474">
        <f>+INPUT!BS59</f>
        <v>3.8872463648146578</v>
      </c>
      <c r="CK117" s="536">
        <f>+INPUT!BT59</f>
        <v>10.44365224185746</v>
      </c>
      <c r="CL117" s="474">
        <f>+INPUT!BU59</f>
        <v>3.7705579891124614</v>
      </c>
      <c r="CM117" s="522" t="str">
        <f>+INPUT!BV59</f>
        <v>NM</v>
      </c>
    </row>
    <row r="118" spans="1:91" s="475" customFormat="1" ht="12" hidden="1" customHeight="1" outlineLevel="1" x14ac:dyDescent="0.2">
      <c r="A118" s="517" t="s">
        <v>481</v>
      </c>
      <c r="B118" s="536">
        <f>+INPUT!C60</f>
        <v>193.5</v>
      </c>
      <c r="C118" s="522" t="str">
        <f>+INPUT!D60</f>
        <v>NA</v>
      </c>
      <c r="D118" s="536">
        <f>+INPUT!E60</f>
        <v>190</v>
      </c>
      <c r="E118" s="474" t="str">
        <f>+INPUT!F60</f>
        <v>NA</v>
      </c>
      <c r="F118" s="536">
        <f>+INPUT!G60</f>
        <v>194.9</v>
      </c>
      <c r="G118" s="474" t="str">
        <f>+INPUT!H60</f>
        <v>NA</v>
      </c>
      <c r="H118" s="536">
        <f>+INPUT!I60</f>
        <v>211.9</v>
      </c>
      <c r="I118" s="474" t="str">
        <f>+INPUT!J60</f>
        <v>NA</v>
      </c>
      <c r="J118" s="536">
        <f>+INPUT!K60</f>
        <v>193.7</v>
      </c>
      <c r="K118" s="474">
        <f>+INPUT!L60</f>
        <v>0.1033591731266057</v>
      </c>
      <c r="L118" s="536">
        <f>+INPUT!M60</f>
        <v>194</v>
      </c>
      <c r="M118" s="474">
        <f>+INPUT!N60</f>
        <v>2.1052631578947398</v>
      </c>
      <c r="N118" s="536">
        <f>+INPUT!O60</f>
        <v>203.20000000000002</v>
      </c>
      <c r="O118" s="474">
        <f>+INPUT!P60</f>
        <v>4.2585941508465908</v>
      </c>
      <c r="P118" s="536">
        <f>+INPUT!Q60</f>
        <v>213.60000000000002</v>
      </c>
      <c r="Q118" s="474">
        <f>+INPUT!R60</f>
        <v>0.80226521944312879</v>
      </c>
      <c r="R118" s="536">
        <f>+INPUT!S60</f>
        <v>208.9</v>
      </c>
      <c r="S118" s="474">
        <f>+INPUT!T60</f>
        <v>7.8471863706763116</v>
      </c>
      <c r="T118" s="536">
        <f>+INPUT!U60</f>
        <v>211.9</v>
      </c>
      <c r="U118" s="474">
        <f>+INPUT!V60</f>
        <v>9.2268041237113465</v>
      </c>
      <c r="V118" s="536">
        <f>+INPUT!W60</f>
        <v>206.6</v>
      </c>
      <c r="W118" s="474">
        <f>+INPUT!X60</f>
        <v>1.6732283464566962</v>
      </c>
      <c r="X118" s="536">
        <f>+INPUT!Y60</f>
        <v>218.70000000000002</v>
      </c>
      <c r="Y118" s="474">
        <f>+INPUT!Z60</f>
        <v>2.3876404494381944</v>
      </c>
      <c r="Z118" s="536">
        <f>+INPUT!AA60</f>
        <v>208.6</v>
      </c>
      <c r="AA118" s="474">
        <f>+INPUT!AB60</f>
        <v>-0.14360938247965294</v>
      </c>
      <c r="AB118" s="536">
        <f>+INPUT!AC60</f>
        <v>204.5</v>
      </c>
      <c r="AC118" s="474">
        <f>+INPUT!AD60</f>
        <v>-3.4922133081642244</v>
      </c>
      <c r="AD118" s="536">
        <f>+INPUT!AE60</f>
        <v>202.8</v>
      </c>
      <c r="AE118" s="474">
        <f>+INPUT!AF60</f>
        <v>-1.8393030009680444</v>
      </c>
      <c r="AF118" s="536">
        <f>+INPUT!AG60</f>
        <v>219.4</v>
      </c>
      <c r="AG118" s="474">
        <f>+INPUT!AH60</f>
        <v>0.32007315957933713</v>
      </c>
      <c r="AH118" s="536">
        <f>+INPUT!AI60</f>
        <v>204.79999999999998</v>
      </c>
      <c r="AI118" s="474">
        <f>+INPUT!AJ60</f>
        <v>-1.8216682646212945</v>
      </c>
      <c r="AJ118" s="536">
        <f>+INPUT!AK60</f>
        <v>210.29999999999998</v>
      </c>
      <c r="AK118" s="474">
        <f>+INPUT!AL60</f>
        <v>2.8361858190709057</v>
      </c>
      <c r="AL118" s="536">
        <f>+INPUT!AM60</f>
        <v>210.39999999999998</v>
      </c>
      <c r="AM118" s="474">
        <f>+INPUT!AN60</f>
        <v>3.7475345167652563</v>
      </c>
      <c r="AN118" s="536">
        <f>+INPUT!AO60</f>
        <v>234.5</v>
      </c>
      <c r="AO118" s="474">
        <f>+INPUT!AP60</f>
        <v>6.8824065633545928</v>
      </c>
      <c r="AP118" s="536">
        <f>+INPUT!AQ60</f>
        <v>223.73670660251472</v>
      </c>
      <c r="AQ118" s="474">
        <f>+INPUT!AR60</f>
        <v>9.2464387707591413</v>
      </c>
      <c r="AR118" s="536">
        <f>+INPUT!AS60</f>
        <v>223.95043687091569</v>
      </c>
      <c r="AS118" s="474">
        <f>+INPUT!AT60</f>
        <v>6.4909352690992534</v>
      </c>
      <c r="AT118" s="536">
        <f>+INPUT!AU60</f>
        <v>226.21690335967378</v>
      </c>
      <c r="AU118" s="474">
        <f>+INPUT!AV60</f>
        <v>7.5175396196168265</v>
      </c>
      <c r="AV118" s="536">
        <f>+INPUT!AW60</f>
        <v>228.08227356243427</v>
      </c>
      <c r="AW118" s="474">
        <f>+INPUT!AX60</f>
        <v>-2.7367703358489308</v>
      </c>
      <c r="AX118" s="524"/>
      <c r="AY118" s="524"/>
      <c r="AZ118" s="522"/>
      <c r="BA118" s="524"/>
      <c r="BB118" s="522"/>
      <c r="BC118" s="524"/>
      <c r="BD118" s="522"/>
      <c r="BE118" s="524"/>
      <c r="BF118" s="474"/>
      <c r="BG118" s="524"/>
      <c r="BH118" s="474"/>
      <c r="BI118" s="524"/>
      <c r="BJ118" s="474"/>
      <c r="BK118" s="524"/>
      <c r="BL118" s="474"/>
      <c r="BM118" s="524"/>
      <c r="BN118" s="474"/>
      <c r="BO118" s="524"/>
      <c r="BP118" s="474"/>
      <c r="BQ118" s="524"/>
      <c r="BR118" s="474"/>
      <c r="BS118" s="524">
        <f>+INPUT!BB60</f>
        <v>790.3</v>
      </c>
      <c r="BT118" s="474" t="str">
        <f>+INPUT!BC60</f>
        <v>NA</v>
      </c>
      <c r="BU118" s="524">
        <f>+INPUT!BD60</f>
        <v>804.5</v>
      </c>
      <c r="BV118" s="474">
        <f>+INPUT!BE60</f>
        <v>1.7967860306212771</v>
      </c>
      <c r="BW118" s="524">
        <f>+INPUT!BF60</f>
        <v>846.1</v>
      </c>
      <c r="BX118" s="474">
        <f>+INPUT!BG60</f>
        <v>5.1709136109384701</v>
      </c>
      <c r="BY118" s="524">
        <f>+INPUT!BH60</f>
        <v>835.30000000000007</v>
      </c>
      <c r="BZ118" s="474">
        <f>+INPUT!BI60</f>
        <v>-1.276444864673195</v>
      </c>
      <c r="CA118" s="524">
        <f>+INPUT!BJ60</f>
        <v>860</v>
      </c>
      <c r="CB118" s="474">
        <f>+INPUT!BK60</f>
        <v>2.9570214294265611</v>
      </c>
      <c r="CC118" s="524">
        <f>+INPUT!BL60</f>
        <v>901.98632039553843</v>
      </c>
      <c r="CD118" s="474">
        <f>+INPUT!BM60</f>
        <v>4.8821302785509744</v>
      </c>
      <c r="CE118" s="524">
        <f>+INPUT!BN60</f>
        <v>936.6643837616956</v>
      </c>
      <c r="CF118" s="474">
        <f>+INPUT!BO60</f>
        <v>3.8446329597271642</v>
      </c>
      <c r="CG118" s="524">
        <f>+INPUT!BP60</f>
        <v>976.77808443626566</v>
      </c>
      <c r="CH118" s="474">
        <f>+INPUT!BQ60</f>
        <v>4.2826119333662689</v>
      </c>
      <c r="CI118" s="524">
        <f>+INPUT!BR60</f>
        <v>1014.7478550158205</v>
      </c>
      <c r="CJ118" s="474">
        <f>+INPUT!BS60</f>
        <v>3.8872463648146294</v>
      </c>
      <c r="CK118" s="524">
        <f>+INPUT!BT60</f>
        <v>1053.0095113324669</v>
      </c>
      <c r="CL118" s="474">
        <f>+INPUT!BU60</f>
        <v>3.7705579891124614</v>
      </c>
      <c r="CM118" s="522">
        <f>+INPUT!BV60</f>
        <v>4.1326135433827238</v>
      </c>
    </row>
    <row r="119" spans="1:91" s="475" customFormat="1" ht="12" hidden="1" customHeight="1" outlineLevel="1" x14ac:dyDescent="0.2">
      <c r="A119" s="519" t="s">
        <v>484</v>
      </c>
      <c r="B119" s="548">
        <f>+INPUT!C61</f>
        <v>284.7</v>
      </c>
      <c r="C119" s="522" t="str">
        <f>+INPUT!D61</f>
        <v>NA</v>
      </c>
      <c r="D119" s="548">
        <f>+INPUT!E61</f>
        <v>287.90000000000003</v>
      </c>
      <c r="E119" s="474" t="str">
        <f>+INPUT!F61</f>
        <v>NA</v>
      </c>
      <c r="F119" s="548">
        <f>+INPUT!G61</f>
        <v>313.2</v>
      </c>
      <c r="G119" s="474" t="str">
        <f>+INPUT!H61</f>
        <v>NA</v>
      </c>
      <c r="H119" s="548">
        <f>+INPUT!I61</f>
        <v>309</v>
      </c>
      <c r="I119" s="474" t="str">
        <f>+INPUT!J61</f>
        <v>NA</v>
      </c>
      <c r="J119" s="548">
        <f>+INPUT!K61</f>
        <v>295.3</v>
      </c>
      <c r="K119" s="474">
        <f>+INPUT!L61</f>
        <v>3.7232174218475507</v>
      </c>
      <c r="L119" s="548">
        <f>+INPUT!M61</f>
        <v>292.2</v>
      </c>
      <c r="M119" s="474">
        <f>+INPUT!N61</f>
        <v>1.4935741576936152</v>
      </c>
      <c r="N119" s="548">
        <f>+INPUT!O61</f>
        <v>302.60000000000002</v>
      </c>
      <c r="O119" s="474">
        <f>+INPUT!P61</f>
        <v>-3.3844189016602684</v>
      </c>
      <c r="P119" s="548">
        <f>+INPUT!Q61</f>
        <v>310.3</v>
      </c>
      <c r="Q119" s="474">
        <f>+INPUT!R61</f>
        <v>0.42071197411004846</v>
      </c>
      <c r="R119" s="548">
        <f>+INPUT!S61</f>
        <v>295.90000000000003</v>
      </c>
      <c r="S119" s="474">
        <f>+INPUT!T61</f>
        <v>0.20318320352184571</v>
      </c>
      <c r="T119" s="548">
        <f>+INPUT!U61</f>
        <v>310.90000000000003</v>
      </c>
      <c r="U119" s="474">
        <f>+INPUT!V61</f>
        <v>6.3997262149213157</v>
      </c>
      <c r="V119" s="548">
        <f>+INPUT!W61</f>
        <v>358.3</v>
      </c>
      <c r="W119" s="474">
        <f>+INPUT!X61</f>
        <v>18.407138136153335</v>
      </c>
      <c r="X119" s="548">
        <f>+INPUT!Y61</f>
        <v>315.40000000000003</v>
      </c>
      <c r="Y119" s="474">
        <f>+INPUT!Z61</f>
        <v>1.6435707379955034</v>
      </c>
      <c r="Z119" s="548">
        <f>+INPUT!AA61</f>
        <v>299.29999999999995</v>
      </c>
      <c r="AA119" s="474">
        <f>+INPUT!AB61</f>
        <v>1.1490368367691417</v>
      </c>
      <c r="AB119" s="548">
        <f>+INPUT!AC61</f>
        <v>304.3</v>
      </c>
      <c r="AC119" s="474">
        <f>+INPUT!AD61</f>
        <v>-2.1228690897394813</v>
      </c>
      <c r="AD119" s="548">
        <f>+INPUT!AE61</f>
        <v>321.60000000000002</v>
      </c>
      <c r="AE119" s="474">
        <f>+INPUT!AF61</f>
        <v>-10.242813284956739</v>
      </c>
      <c r="AF119" s="548">
        <f>+INPUT!AG61</f>
        <v>324.59999999999997</v>
      </c>
      <c r="AG119" s="474">
        <f>+INPUT!AH61</f>
        <v>2.9169308814203987</v>
      </c>
      <c r="AH119" s="548">
        <f>+INPUT!AI61</f>
        <v>305.7</v>
      </c>
      <c r="AI119" s="474">
        <f>+INPUT!AJ61</f>
        <v>2.1383227530905629</v>
      </c>
      <c r="AJ119" s="548">
        <f>+INPUT!AK61</f>
        <v>304</v>
      </c>
      <c r="AK119" s="474">
        <f>+INPUT!AL61</f>
        <v>-9.8586920801849942E-2</v>
      </c>
      <c r="AL119" s="548">
        <f>+INPUT!AM61</f>
        <v>347.29999999999995</v>
      </c>
      <c r="AM119" s="474">
        <f>+INPUT!AN61</f>
        <v>7.9912935323382897</v>
      </c>
      <c r="AN119" s="548">
        <f>+INPUT!AO61</f>
        <v>337.2</v>
      </c>
      <c r="AO119" s="474">
        <f>+INPUT!AP61</f>
        <v>3.8817005545286491</v>
      </c>
      <c r="AP119" s="548">
        <f>+INPUT!AQ61</f>
        <v>330.98516479485727</v>
      </c>
      <c r="AQ119" s="474">
        <f>+INPUT!AR61</f>
        <v>8.2712348036824608</v>
      </c>
      <c r="AR119" s="548">
        <f>+INPUT!AS61</f>
        <v>331.30134692331785</v>
      </c>
      <c r="AS119" s="474">
        <f>+INPUT!AT61</f>
        <v>8.9807062247756022</v>
      </c>
      <c r="AT119" s="548">
        <f>+INPUT!AU61</f>
        <v>334.65424683712752</v>
      </c>
      <c r="AU119" s="474">
        <f>+INPUT!AV61</f>
        <v>-3.641161290778129</v>
      </c>
      <c r="AV119" s="548">
        <f>+INPUT!AW61</f>
        <v>328.88863675242851</v>
      </c>
      <c r="AW119" s="474">
        <f>+INPUT!AX61</f>
        <v>-2.464817095958324</v>
      </c>
      <c r="AX119" s="531"/>
      <c r="AY119" s="524"/>
      <c r="AZ119" s="522"/>
      <c r="BA119" s="524"/>
      <c r="BB119" s="522"/>
      <c r="BC119" s="524"/>
      <c r="BD119" s="522"/>
      <c r="BE119" s="524"/>
      <c r="BF119" s="474"/>
      <c r="BG119" s="524"/>
      <c r="BH119" s="474"/>
      <c r="BI119" s="524"/>
      <c r="BJ119" s="474"/>
      <c r="BK119" s="524"/>
      <c r="BL119" s="474"/>
      <c r="BM119" s="524"/>
      <c r="BN119" s="474"/>
      <c r="BO119" s="524"/>
      <c r="BP119" s="474"/>
      <c r="BQ119" s="524"/>
      <c r="BR119" s="474"/>
      <c r="BS119" s="524">
        <f>+INPUT!BB61</f>
        <v>1194.8</v>
      </c>
      <c r="BT119" s="474" t="str">
        <f>+INPUT!BC61</f>
        <v>NA</v>
      </c>
      <c r="BU119" s="524">
        <f>+INPUT!BD61</f>
        <v>1200.4000000000001</v>
      </c>
      <c r="BV119" s="474">
        <f>+INPUT!BE61</f>
        <v>0.46869768998996619</v>
      </c>
      <c r="BW119" s="524">
        <f>+INPUT!BF61</f>
        <v>1280.5</v>
      </c>
      <c r="BX119" s="474">
        <f>+INPUT!BG61</f>
        <v>6.6727757414195139</v>
      </c>
      <c r="BY119" s="524">
        <f>+INPUT!BH61</f>
        <v>1249.8000000000002</v>
      </c>
      <c r="BZ119" s="474">
        <f>+INPUT!BI61</f>
        <v>-2.3975009761811634</v>
      </c>
      <c r="CA119" s="524">
        <f>+INPUT!BJ61</f>
        <v>1294.2</v>
      </c>
      <c r="CB119" s="474">
        <f>+INPUT!BK61</f>
        <v>3.5525684109457387</v>
      </c>
      <c r="CC119" s="524">
        <f>+INPUT!BL61</f>
        <v>1325.8293953077311</v>
      </c>
      <c r="CD119" s="474">
        <f>+INPUT!BM61</f>
        <v>2.4439341143355904</v>
      </c>
      <c r="CE119" s="524">
        <f>+INPUT!BN61</f>
        <v>1350.0983259018451</v>
      </c>
      <c r="CF119" s="474">
        <f>+INPUT!BO61</f>
        <v>1.8304716036621613</v>
      </c>
      <c r="CG119" s="524">
        <f>+INPUT!BP61</f>
        <v>1382.6298070694957</v>
      </c>
      <c r="CH119" s="474">
        <f>+INPUT!BQ61</f>
        <v>2.4095638475753418</v>
      </c>
      <c r="CI119" s="524">
        <f>+INPUT!BR61</f>
        <v>1411.2155924185342</v>
      </c>
      <c r="CJ119" s="474">
        <f>+INPUT!BS61</f>
        <v>2.0674937863249596</v>
      </c>
      <c r="CK119" s="524">
        <f>+INPUT!BT61</f>
        <v>1438.3171640774283</v>
      </c>
      <c r="CL119" s="474">
        <f>+INPUT!BU61</f>
        <v>1.9204416252549805</v>
      </c>
      <c r="CM119" s="522">
        <f>+INPUT!BV61</f>
        <v>2.1340734850630261</v>
      </c>
    </row>
    <row r="120" spans="1:91" s="475" customFormat="1" ht="12" hidden="1" customHeight="1" outlineLevel="1" x14ac:dyDescent="0.2">
      <c r="A120" s="517"/>
      <c r="B120" s="492"/>
      <c r="C120" s="534"/>
      <c r="D120" s="492"/>
      <c r="E120" s="535"/>
      <c r="F120" s="492"/>
      <c r="G120" s="535"/>
      <c r="H120" s="492"/>
      <c r="I120" s="535"/>
      <c r="J120" s="492"/>
      <c r="K120" s="535"/>
      <c r="L120" s="492"/>
      <c r="M120" s="535"/>
      <c r="N120" s="492"/>
      <c r="O120" s="535"/>
      <c r="P120" s="492"/>
      <c r="Q120" s="535"/>
      <c r="R120" s="492"/>
      <c r="S120" s="535"/>
      <c r="T120" s="492"/>
      <c r="U120" s="535"/>
      <c r="V120" s="492"/>
      <c r="W120" s="535"/>
      <c r="X120" s="492"/>
      <c r="Y120" s="535"/>
      <c r="Z120" s="492"/>
      <c r="AA120" s="535"/>
      <c r="AB120" s="492"/>
      <c r="AC120" s="535"/>
      <c r="AD120" s="492"/>
      <c r="AE120" s="535"/>
      <c r="AF120" s="492"/>
      <c r="AG120" s="535"/>
      <c r="AH120" s="492"/>
      <c r="AI120" s="535"/>
      <c r="AJ120" s="492"/>
      <c r="AK120" s="535"/>
      <c r="AL120" s="492"/>
      <c r="AM120" s="535"/>
      <c r="AN120" s="492"/>
      <c r="AO120" s="535"/>
      <c r="AP120" s="492"/>
      <c r="AQ120" s="535"/>
      <c r="AR120" s="492"/>
      <c r="AS120" s="535"/>
      <c r="AT120" s="492"/>
      <c r="AU120" s="535"/>
      <c r="AV120" s="492"/>
      <c r="AW120" s="535"/>
      <c r="AX120" s="492"/>
      <c r="AY120" s="492"/>
      <c r="AZ120" s="534"/>
      <c r="BA120" s="492"/>
      <c r="BB120" s="534"/>
      <c r="BC120" s="492"/>
      <c r="BD120" s="534"/>
      <c r="BE120" s="492"/>
      <c r="BF120" s="535"/>
      <c r="BG120" s="492"/>
      <c r="BH120" s="535"/>
      <c r="BI120" s="492"/>
      <c r="BJ120" s="535"/>
      <c r="BK120" s="492"/>
      <c r="BL120" s="535"/>
      <c r="BM120" s="492"/>
      <c r="BN120" s="535"/>
      <c r="BO120" s="492"/>
      <c r="BP120" s="535"/>
      <c r="BQ120" s="492"/>
      <c r="BR120" s="535"/>
      <c r="BS120" s="492"/>
      <c r="BT120" s="535"/>
      <c r="BU120" s="492"/>
      <c r="BV120" s="535"/>
      <c r="BW120" s="492"/>
      <c r="BX120" s="535"/>
      <c r="BY120" s="492"/>
      <c r="BZ120" s="535"/>
      <c r="CA120" s="492"/>
      <c r="CB120" s="535"/>
      <c r="CC120" s="492"/>
      <c r="CD120" s="535"/>
      <c r="CE120" s="492"/>
      <c r="CF120" s="535"/>
      <c r="CG120" s="492"/>
      <c r="CH120" s="535"/>
      <c r="CI120" s="492"/>
      <c r="CJ120" s="535"/>
      <c r="CK120" s="492"/>
      <c r="CL120" s="535"/>
      <c r="CM120" s="522"/>
    </row>
    <row r="121" spans="1:91" s="501" customFormat="1" ht="12" hidden="1" customHeight="1" outlineLevel="1" x14ac:dyDescent="0.2">
      <c r="A121" s="489" t="s">
        <v>485</v>
      </c>
      <c r="B121" s="531">
        <f>+INPUT!C62</f>
        <v>105.30000000000001</v>
      </c>
      <c r="C121" s="755" t="str">
        <f>+INPUT!D62</f>
        <v>NA</v>
      </c>
      <c r="D121" s="531">
        <f>+INPUT!E62</f>
        <v>119.79999999999995</v>
      </c>
      <c r="E121" s="756" t="str">
        <f>+INPUT!F62</f>
        <v>NA</v>
      </c>
      <c r="F121" s="531">
        <f>+INPUT!G62</f>
        <v>102.90000000000003</v>
      </c>
      <c r="G121" s="756" t="str">
        <f>+INPUT!H62</f>
        <v>NA</v>
      </c>
      <c r="H121" s="531">
        <f>+INPUT!I62</f>
        <v>123</v>
      </c>
      <c r="I121" s="756" t="str">
        <f>+INPUT!J62</f>
        <v>NA</v>
      </c>
      <c r="J121" s="531">
        <f>+INPUT!K62</f>
        <v>140.99999999999994</v>
      </c>
      <c r="K121" s="756">
        <f>+INPUT!L62</f>
        <v>33.903133903133835</v>
      </c>
      <c r="L121" s="531">
        <f>+INPUT!M62</f>
        <v>153.30000000000001</v>
      </c>
      <c r="M121" s="756">
        <f>+INPUT!N62</f>
        <v>27.963272120200401</v>
      </c>
      <c r="N121" s="531">
        <f>+INPUT!O62</f>
        <v>145.5</v>
      </c>
      <c r="O121" s="756">
        <f>+INPUT!P62</f>
        <v>41.399416909620953</v>
      </c>
      <c r="P121" s="531">
        <f>+INPUT!Q62</f>
        <v>138.69999999999999</v>
      </c>
      <c r="Q121" s="756">
        <f>+INPUT!R62</f>
        <v>12.76422764227641</v>
      </c>
      <c r="R121" s="531">
        <f>+INPUT!S62</f>
        <v>141.80000000000001</v>
      </c>
      <c r="S121" s="756">
        <f>+INPUT!T62</f>
        <v>0.56737588652487148</v>
      </c>
      <c r="T121" s="531">
        <f>+INPUT!U62</f>
        <v>143.39999999999998</v>
      </c>
      <c r="U121" s="756">
        <f>+INPUT!V62</f>
        <v>-6.4579256360078432</v>
      </c>
      <c r="V121" s="531">
        <f>+INPUT!W62</f>
        <v>83.599999999999966</v>
      </c>
      <c r="W121" s="756">
        <f>+INPUT!X62</f>
        <v>-42.542955326460508</v>
      </c>
      <c r="X121" s="531">
        <f>+INPUT!Y62</f>
        <v>124.69999999999999</v>
      </c>
      <c r="Y121" s="756">
        <f>+INPUT!Z62</f>
        <v>-10.093727469358328</v>
      </c>
      <c r="Z121" s="531">
        <f>+INPUT!AA62</f>
        <v>114</v>
      </c>
      <c r="AA121" s="756">
        <f>+INPUT!AB62</f>
        <v>-19.605077574047954</v>
      </c>
      <c r="AB121" s="531">
        <f>+INPUT!AC62</f>
        <v>124.5</v>
      </c>
      <c r="AC121" s="756">
        <f>+INPUT!AD62</f>
        <v>-13.179916317991612</v>
      </c>
      <c r="AD121" s="531">
        <f>+INPUT!AE62</f>
        <v>130.89999999999998</v>
      </c>
      <c r="AE121" s="756">
        <f>+INPUT!AF62</f>
        <v>56.578947368421098</v>
      </c>
      <c r="AF121" s="531">
        <f>+INPUT!AG62</f>
        <v>124.00000000000006</v>
      </c>
      <c r="AG121" s="756">
        <f>+INPUT!AH62</f>
        <v>-0.56134723336001002</v>
      </c>
      <c r="AH121" s="531">
        <f>+INPUT!AI62</f>
        <v>144.69999999999999</v>
      </c>
      <c r="AI121" s="756">
        <f>+INPUT!AJ62</f>
        <v>26.929824561403493</v>
      </c>
      <c r="AJ121" s="531">
        <f>+INPUT!AK62</f>
        <v>147.5</v>
      </c>
      <c r="AK121" s="756">
        <f>+INPUT!AL62</f>
        <v>18.47389558232932</v>
      </c>
      <c r="AL121" s="531">
        <f>+INPUT!AM62</f>
        <v>108</v>
      </c>
      <c r="AM121" s="756">
        <f>+INPUT!AN62</f>
        <v>-17.494270435446893</v>
      </c>
      <c r="AN121" s="531">
        <f>+INPUT!AO62</f>
        <v>126.60000000000002</v>
      </c>
      <c r="AO121" s="756">
        <f>+INPUT!AP62</f>
        <v>2.0967741935483701</v>
      </c>
      <c r="AP121" s="531">
        <f>+INPUT!AQ62</f>
        <v>142.05612240496151</v>
      </c>
      <c r="AQ121" s="756">
        <f>+INPUT!AR62</f>
        <v>-1.8271441569028752</v>
      </c>
      <c r="AR121" s="531">
        <f>+INPUT!AS62</f>
        <v>142.19182518538878</v>
      </c>
      <c r="AS121" s="756">
        <f>+INPUT!AT62</f>
        <v>-3.5987625861771022</v>
      </c>
      <c r="AT121" s="531">
        <f>+INPUT!AU62</f>
        <v>143.63086237263838</v>
      </c>
      <c r="AU121" s="756">
        <f>+INPUT!AV62</f>
        <v>32.991539233924414</v>
      </c>
      <c r="AV121" s="531">
        <f>+INPUT!AW62</f>
        <v>153.34038105962878</v>
      </c>
      <c r="AW121" s="756">
        <f>+INPUT!AX62</f>
        <v>21.121943964951612</v>
      </c>
      <c r="AX121" s="531"/>
      <c r="AY121" s="531"/>
      <c r="AZ121" s="755"/>
      <c r="BA121" s="531"/>
      <c r="BB121" s="755"/>
      <c r="BC121" s="531"/>
      <c r="BD121" s="755"/>
      <c r="BE121" s="531"/>
      <c r="BF121" s="756"/>
      <c r="BG121" s="531"/>
      <c r="BH121" s="756"/>
      <c r="BI121" s="531"/>
      <c r="BJ121" s="756"/>
      <c r="BK121" s="531"/>
      <c r="BL121" s="756"/>
      <c r="BM121" s="531"/>
      <c r="BN121" s="756"/>
      <c r="BO121" s="531"/>
      <c r="BP121" s="756"/>
      <c r="BQ121" s="531"/>
      <c r="BR121" s="756"/>
      <c r="BS121" s="531">
        <f>+INPUT!BB62</f>
        <v>451</v>
      </c>
      <c r="BT121" s="756" t="str">
        <f>+INPUT!BC62</f>
        <v>NA</v>
      </c>
      <c r="BU121" s="531">
        <f>+INPUT!BD62</f>
        <v>578.5</v>
      </c>
      <c r="BV121" s="756">
        <f>+INPUT!BE62</f>
        <v>28.270509977827061</v>
      </c>
      <c r="BW121" s="531">
        <f>+INPUT!BF62</f>
        <v>493.5</v>
      </c>
      <c r="BX121" s="756">
        <f>+INPUT!BG62</f>
        <v>-14.693171996542787</v>
      </c>
      <c r="BY121" s="531">
        <f>+INPUT!BH62</f>
        <v>493.39999999999986</v>
      </c>
      <c r="BZ121" s="756">
        <f>+INPUT!BI62</f>
        <v>-2.0263424518773832E-2</v>
      </c>
      <c r="CA121" s="531">
        <f>+INPUT!BJ62</f>
        <v>526.79999999999995</v>
      </c>
      <c r="CB121" s="756">
        <f>+INPUT!BK62</f>
        <v>6.7693554925010346</v>
      </c>
      <c r="CC121" s="531">
        <f>+INPUT!BL62</f>
        <v>581.21919102261722</v>
      </c>
      <c r="CD121" s="756">
        <f>+INPUT!BM62</f>
        <v>10.330142563139205</v>
      </c>
      <c r="CE121" s="531">
        <f>+INPUT!BN62</f>
        <v>602.06469029652203</v>
      </c>
      <c r="CF121" s="756">
        <f>+INPUT!BO62</f>
        <v>3.586512557719999</v>
      </c>
      <c r="CG121" s="531">
        <f>+INPUT!BP62</f>
        <v>623.87014885527947</v>
      </c>
      <c r="CH121" s="756">
        <f>+INPUT!BQ62</f>
        <v>3.6217800030787544</v>
      </c>
      <c r="CI121" s="531">
        <f>+INPUT!BR62</f>
        <v>648.12151853782029</v>
      </c>
      <c r="CJ121" s="756">
        <f>+INPUT!BS62</f>
        <v>3.887246364814672</v>
      </c>
      <c r="CK121" s="531">
        <f>+INPUT!BT62</f>
        <v>672.55931623420452</v>
      </c>
      <c r="CL121" s="756">
        <f>+INPUT!BU62</f>
        <v>3.770557989112362</v>
      </c>
      <c r="CM121" s="755">
        <f>+INPUT!BV62</f>
        <v>5.006689121484742</v>
      </c>
    </row>
    <row r="122" spans="1:91" s="475" customFormat="1" ht="12" hidden="1" customHeight="1" outlineLevel="1" x14ac:dyDescent="0.2">
      <c r="A122" s="481" t="s">
        <v>59</v>
      </c>
      <c r="B122" s="524">
        <f>+INPUT!C64</f>
        <v>12.307692307692307</v>
      </c>
      <c r="C122" s="522" t="str">
        <f>+INPUT!D64</f>
        <v>NA</v>
      </c>
      <c r="D122" s="524">
        <f>+INPUT!E64</f>
        <v>0</v>
      </c>
      <c r="E122" s="474" t="str">
        <f>+INPUT!F64</f>
        <v>NA</v>
      </c>
      <c r="F122" s="524">
        <f>+INPUT!G64</f>
        <v>0</v>
      </c>
      <c r="G122" s="474" t="str">
        <f>+INPUT!H64</f>
        <v>NA</v>
      </c>
      <c r="H122" s="524">
        <f>+INPUT!I64</f>
        <v>4.615384615384615</v>
      </c>
      <c r="I122" s="474" t="str">
        <f>+INPUT!J64</f>
        <v>NA</v>
      </c>
      <c r="J122" s="524">
        <f>+INPUT!K64</f>
        <v>23.076923076923077</v>
      </c>
      <c r="K122" s="474">
        <f>+INPUT!L64</f>
        <v>87.500000000000028</v>
      </c>
      <c r="L122" s="524">
        <f>+INPUT!M64</f>
        <v>9.2307692307692299</v>
      </c>
      <c r="M122" s="474" t="str">
        <f>+INPUT!N64</f>
        <v>NA</v>
      </c>
      <c r="N122" s="524">
        <f>+INPUT!O64</f>
        <v>0</v>
      </c>
      <c r="O122" s="474" t="str">
        <f>+INPUT!P64</f>
        <v>NA</v>
      </c>
      <c r="P122" s="524">
        <f>+INPUT!Q64</f>
        <v>0</v>
      </c>
      <c r="Q122" s="474" t="str">
        <f>+INPUT!R64</f>
        <v>NM</v>
      </c>
      <c r="R122" s="524">
        <f>+INPUT!S64</f>
        <v>9.2307692307692299</v>
      </c>
      <c r="S122" s="474" t="str">
        <f>+INPUT!T64</f>
        <v>NM</v>
      </c>
      <c r="T122" s="524">
        <f>+INPUT!U64</f>
        <v>4.615384615384615</v>
      </c>
      <c r="U122" s="474">
        <f>+INPUT!V64</f>
        <v>-50</v>
      </c>
      <c r="V122" s="524">
        <f>+INPUT!W64</f>
        <v>-45.53846153846154</v>
      </c>
      <c r="W122" s="474" t="str">
        <f>+INPUT!X64</f>
        <v>NA</v>
      </c>
      <c r="X122" s="524">
        <f>+INPUT!Y64</f>
        <v>0</v>
      </c>
      <c r="Y122" s="474" t="str">
        <f>+INPUT!Z64</f>
        <v>NA</v>
      </c>
      <c r="Z122" s="524">
        <f>+INPUT!AA64</f>
        <v>0</v>
      </c>
      <c r="AA122" s="474" t="str">
        <f>+INPUT!AB64</f>
        <v>NM</v>
      </c>
      <c r="AB122" s="524">
        <f>+INPUT!AC64</f>
        <v>0</v>
      </c>
      <c r="AC122" s="474" t="str">
        <f>+INPUT!AD64</f>
        <v>NM</v>
      </c>
      <c r="AD122" s="524">
        <f>+INPUT!AE64</f>
        <v>-14.399999999999999</v>
      </c>
      <c r="AE122" s="474" t="str">
        <f>+INPUT!AF64</f>
        <v>NM</v>
      </c>
      <c r="AF122" s="524">
        <f>+INPUT!AG64</f>
        <v>0</v>
      </c>
      <c r="AG122" s="474" t="str">
        <f>+INPUT!AH64</f>
        <v>NA</v>
      </c>
      <c r="AH122" s="524">
        <f>+INPUT!AI64</f>
        <v>6</v>
      </c>
      <c r="AI122" s="474" t="str">
        <f>+INPUT!AJ64</f>
        <v>NA</v>
      </c>
      <c r="AJ122" s="524">
        <f>+INPUT!AK64</f>
        <v>0</v>
      </c>
      <c r="AK122" s="474" t="str">
        <f>+INPUT!AL64</f>
        <v>NA</v>
      </c>
      <c r="AL122" s="524">
        <f>+INPUT!AM64</f>
        <v>-41</v>
      </c>
      <c r="AM122" s="474" t="str">
        <f>+INPUT!AN64</f>
        <v>NM</v>
      </c>
      <c r="AN122" s="524">
        <f>+INPUT!AO64</f>
        <v>0</v>
      </c>
      <c r="AO122" s="474" t="str">
        <f>+INPUT!AP64</f>
        <v>NA</v>
      </c>
      <c r="AP122" s="524">
        <f>+INPUT!AQ64</f>
        <v>0</v>
      </c>
      <c r="AQ122" s="474" t="str">
        <f>+INPUT!AR64</f>
        <v>NM</v>
      </c>
      <c r="AR122" s="524">
        <f>+INPUT!AS64</f>
        <v>0</v>
      </c>
      <c r="AS122" s="474" t="str">
        <f>+INPUT!AT64</f>
        <v>NA</v>
      </c>
      <c r="AT122" s="524">
        <f>+INPUT!AU64</f>
        <v>0</v>
      </c>
      <c r="AU122" s="474" t="str">
        <f>+INPUT!AV64</f>
        <v>NM</v>
      </c>
      <c r="AV122" s="524">
        <f>+INPUT!AW64</f>
        <v>0</v>
      </c>
      <c r="AW122" s="474" t="str">
        <f>+INPUT!AX64</f>
        <v>NA</v>
      </c>
      <c r="AX122" s="524"/>
      <c r="AY122" s="524"/>
      <c r="AZ122" s="522"/>
      <c r="BA122" s="524"/>
      <c r="BB122" s="522"/>
      <c r="BC122" s="524"/>
      <c r="BD122" s="522"/>
      <c r="BE122" s="524"/>
      <c r="BF122" s="474"/>
      <c r="BG122" s="524"/>
      <c r="BH122" s="474"/>
      <c r="BI122" s="524"/>
      <c r="BJ122" s="474"/>
      <c r="BK122" s="524"/>
      <c r="BL122" s="474"/>
      <c r="BM122" s="524"/>
      <c r="BN122" s="474"/>
      <c r="BO122" s="524"/>
      <c r="BP122" s="474"/>
      <c r="BQ122" s="524"/>
      <c r="BR122" s="474"/>
      <c r="BS122" s="524">
        <f>+INPUT!BB64</f>
        <v>16.92307692307692</v>
      </c>
      <c r="BT122" s="474" t="str">
        <f>+INPUT!BC64</f>
        <v>NA</v>
      </c>
      <c r="BU122" s="524">
        <f>+INPUT!BD64</f>
        <v>32.307692307692307</v>
      </c>
      <c r="BV122" s="474">
        <f>+INPUT!BE64</f>
        <v>90.909090909090935</v>
      </c>
      <c r="BW122" s="524">
        <f>+INPUT!BF64</f>
        <v>-31.692307692307693</v>
      </c>
      <c r="BX122" s="474" t="str">
        <f>+INPUT!BG64</f>
        <v>NM</v>
      </c>
      <c r="BY122" s="524">
        <f>+INPUT!BH64</f>
        <v>-14.399999999999999</v>
      </c>
      <c r="BZ122" s="474" t="str">
        <f>+INPUT!BI64</f>
        <v>NM</v>
      </c>
      <c r="CA122" s="524">
        <f>+INPUT!BJ64</f>
        <v>-35</v>
      </c>
      <c r="CB122" s="474" t="str">
        <f>+INPUT!BK64</f>
        <v>NM</v>
      </c>
      <c r="CC122" s="524">
        <f>+INPUT!BL64</f>
        <v>0</v>
      </c>
      <c r="CD122" s="474" t="str">
        <f>+INPUT!BM64</f>
        <v>NM</v>
      </c>
      <c r="CE122" s="524">
        <f>+INPUT!BN64</f>
        <v>0</v>
      </c>
      <c r="CF122" s="474" t="str">
        <f>+INPUT!BO64</f>
        <v>NA</v>
      </c>
      <c r="CG122" s="524">
        <f>+INPUT!BP64</f>
        <v>0</v>
      </c>
      <c r="CH122" s="474" t="str">
        <f>+INPUT!BQ64</f>
        <v>NA</v>
      </c>
      <c r="CI122" s="524">
        <f>+INPUT!BR64</f>
        <v>0</v>
      </c>
      <c r="CJ122" s="474" t="str">
        <f>+INPUT!BS64</f>
        <v>NA</v>
      </c>
      <c r="CK122" s="524">
        <f>+INPUT!BT64</f>
        <v>0</v>
      </c>
      <c r="CL122" s="474" t="str">
        <f>+INPUT!BU64</f>
        <v>NA</v>
      </c>
      <c r="CM122" s="522" t="str">
        <f>+INPUT!BV64</f>
        <v>NM</v>
      </c>
    </row>
    <row r="123" spans="1:91" ht="12" hidden="1" customHeight="1" outlineLevel="1" x14ac:dyDescent="0.2">
      <c r="A123" s="437" t="s">
        <v>466</v>
      </c>
      <c r="B123" s="438">
        <f>+INPUT!C65</f>
        <v>92.992307692307705</v>
      </c>
      <c r="C123" s="439" t="str">
        <f>+INPUT!D65</f>
        <v>NA</v>
      </c>
      <c r="D123" s="438">
        <f>+INPUT!E65</f>
        <v>119.79999999999995</v>
      </c>
      <c r="E123" s="440" t="str">
        <f>+INPUT!F65</f>
        <v>NA</v>
      </c>
      <c r="F123" s="438">
        <f>+INPUT!G65</f>
        <v>102.90000000000003</v>
      </c>
      <c r="G123" s="440" t="str">
        <f>+INPUT!H65</f>
        <v>NA</v>
      </c>
      <c r="H123" s="438">
        <f>+INPUT!I65</f>
        <v>118.38461538461539</v>
      </c>
      <c r="I123" s="440" t="str">
        <f>+INPUT!J65</f>
        <v>NA</v>
      </c>
      <c r="J123" s="438">
        <f>+INPUT!K65</f>
        <v>117.92307692307686</v>
      </c>
      <c r="K123" s="440">
        <f>+INPUT!L65</f>
        <v>26.809496236247753</v>
      </c>
      <c r="L123" s="438">
        <f>+INPUT!M65</f>
        <v>144.06923076923078</v>
      </c>
      <c r="M123" s="440">
        <f>+INPUT!N65</f>
        <v>20.258122511878838</v>
      </c>
      <c r="N123" s="438">
        <f>+INPUT!O65</f>
        <v>145.5</v>
      </c>
      <c r="O123" s="440">
        <f>+INPUT!P65</f>
        <v>41.399416909620953</v>
      </c>
      <c r="P123" s="438">
        <f>+INPUT!Q65</f>
        <v>138.69999999999999</v>
      </c>
      <c r="Q123" s="440">
        <f>+INPUT!R65</f>
        <v>17.160493827160479</v>
      </c>
      <c r="R123" s="438">
        <f>+INPUT!S65</f>
        <v>132.56923076923078</v>
      </c>
      <c r="S123" s="440">
        <f>+INPUT!T65</f>
        <v>12.420091324200982</v>
      </c>
      <c r="T123" s="438">
        <f>+INPUT!U65</f>
        <v>138.78461538461536</v>
      </c>
      <c r="U123" s="440">
        <f>+INPUT!V65</f>
        <v>-3.6681082812750532</v>
      </c>
      <c r="V123" s="438">
        <f>+INPUT!W65</f>
        <v>129.13846153846151</v>
      </c>
      <c r="W123" s="440">
        <f>+INPUT!X65</f>
        <v>-11.245043616177654</v>
      </c>
      <c r="X123" s="438">
        <f>+INPUT!Y65</f>
        <v>124.69999999999999</v>
      </c>
      <c r="Y123" s="440">
        <f>+INPUT!Z65</f>
        <v>-10.093727469358328</v>
      </c>
      <c r="Z123" s="438">
        <f>+INPUT!AA65</f>
        <v>114</v>
      </c>
      <c r="AA123" s="440">
        <f>+INPUT!AB65</f>
        <v>-14.007195079494039</v>
      </c>
      <c r="AB123" s="438">
        <f>+INPUT!AC65</f>
        <v>124.5</v>
      </c>
      <c r="AC123" s="440">
        <f>+INPUT!AD65</f>
        <v>-10.29265048220816</v>
      </c>
      <c r="AD123" s="438">
        <f>+INPUT!AE65</f>
        <v>145.29999999999998</v>
      </c>
      <c r="AE123" s="440">
        <f>+INPUT!AF65</f>
        <v>12.514891589230402</v>
      </c>
      <c r="AF123" s="438">
        <f>+INPUT!AG65</f>
        <v>124.00000000000006</v>
      </c>
      <c r="AG123" s="440">
        <f>+INPUT!AH65</f>
        <v>-0.56134723336001002</v>
      </c>
      <c r="AH123" s="438">
        <f>+INPUT!AI65</f>
        <v>138.69999999999999</v>
      </c>
      <c r="AI123" s="440">
        <f>+INPUT!AJ65</f>
        <v>21.666666666666657</v>
      </c>
      <c r="AJ123" s="438">
        <f>+INPUT!AK65</f>
        <v>147.5</v>
      </c>
      <c r="AK123" s="440">
        <f>+INPUT!AL65</f>
        <v>18.47389558232932</v>
      </c>
      <c r="AL123" s="438">
        <f>+INPUT!AM65</f>
        <v>149</v>
      </c>
      <c r="AM123" s="440">
        <f>+INPUT!AN65</f>
        <v>2.54645560908466</v>
      </c>
      <c r="AN123" s="438">
        <f>+INPUT!AO65</f>
        <v>126.60000000000002</v>
      </c>
      <c r="AO123" s="440">
        <f>+INPUT!AP65</f>
        <v>2.0967741935483701</v>
      </c>
      <c r="AP123" s="438">
        <f>+INPUT!AQ65</f>
        <v>142.05612240496151</v>
      </c>
      <c r="AQ123" s="440">
        <f>+INPUT!AR65</f>
        <v>2.4196989221063632</v>
      </c>
      <c r="AR123" s="438">
        <f>+INPUT!AS65</f>
        <v>142.19182518538878</v>
      </c>
      <c r="AS123" s="440">
        <f>+INPUT!AT65</f>
        <v>-3.5987625861771022</v>
      </c>
      <c r="AT123" s="438">
        <f>+INPUT!AU65</f>
        <v>143.63086237263838</v>
      </c>
      <c r="AU123" s="440">
        <f>+INPUT!AV65</f>
        <v>-3.603448072054789</v>
      </c>
      <c r="AV123" s="438">
        <f>+INPUT!AW65</f>
        <v>153.34038105962878</v>
      </c>
      <c r="AW123" s="440">
        <f>+INPUT!AX65</f>
        <v>21.121943964951612</v>
      </c>
      <c r="AX123" s="438"/>
      <c r="AY123" s="438"/>
      <c r="AZ123" s="439"/>
      <c r="BA123" s="438"/>
      <c r="BB123" s="439"/>
      <c r="BC123" s="438"/>
      <c r="BD123" s="439"/>
      <c r="BE123" s="438"/>
      <c r="BF123" s="440"/>
      <c r="BG123" s="438"/>
      <c r="BH123" s="440"/>
      <c r="BI123" s="438"/>
      <c r="BJ123" s="440"/>
      <c r="BK123" s="438"/>
      <c r="BL123" s="440"/>
      <c r="BM123" s="438"/>
      <c r="BN123" s="440"/>
      <c r="BO123" s="438"/>
      <c r="BP123" s="440"/>
      <c r="BQ123" s="438"/>
      <c r="BR123" s="440"/>
      <c r="BS123" s="438">
        <f>+INPUT!BB65</f>
        <v>434.07692307692309</v>
      </c>
      <c r="BT123" s="440" t="str">
        <f>+INPUT!BC65</f>
        <v>NA</v>
      </c>
      <c r="BU123" s="438">
        <f>+INPUT!BD65</f>
        <v>546.19230769230774</v>
      </c>
      <c r="BV123" s="440">
        <f>+INPUT!BE65</f>
        <v>25.82846003898635</v>
      </c>
      <c r="BW123" s="438">
        <f>+INPUT!BF65</f>
        <v>525.19230769230774</v>
      </c>
      <c r="BX123" s="440">
        <f>+INPUT!BG65</f>
        <v>-3.8447996619956371</v>
      </c>
      <c r="BY123" s="438">
        <f>+INPUT!BH65</f>
        <v>507.79999999999984</v>
      </c>
      <c r="BZ123" s="440">
        <f>+INPUT!BI65</f>
        <v>-3.3116074697913263</v>
      </c>
      <c r="CA123" s="438">
        <f>+INPUT!BJ65</f>
        <v>561.79999999999995</v>
      </c>
      <c r="CB123" s="440">
        <f>+INPUT!BK65</f>
        <v>10.634107916502586</v>
      </c>
      <c r="CC123" s="438">
        <f>+INPUT!BL65</f>
        <v>581.21919102261722</v>
      </c>
      <c r="CD123" s="440">
        <f>+INPUT!BM65</f>
        <v>3.4566021756171637</v>
      </c>
      <c r="CE123" s="438">
        <f>+INPUT!BN65</f>
        <v>602.06469029652203</v>
      </c>
      <c r="CF123" s="440">
        <f>+INPUT!BO65</f>
        <v>3.586512557719999</v>
      </c>
      <c r="CG123" s="438">
        <f>+INPUT!BP65</f>
        <v>623.87014885527947</v>
      </c>
      <c r="CH123" s="440">
        <f>+INPUT!BQ65</f>
        <v>3.6217800030787544</v>
      </c>
      <c r="CI123" s="438">
        <f>+INPUT!BR65</f>
        <v>648.12151853782029</v>
      </c>
      <c r="CJ123" s="440">
        <f>+INPUT!BS65</f>
        <v>3.887246364814672</v>
      </c>
      <c r="CK123" s="438">
        <f>+INPUT!BT65</f>
        <v>672.55931623420452</v>
      </c>
      <c r="CL123" s="440">
        <f>+INPUT!BU65</f>
        <v>3.770557989112362</v>
      </c>
      <c r="CM123" s="439">
        <f>+INPUT!BV65</f>
        <v>3.6644318007982291</v>
      </c>
    </row>
    <row r="124" spans="1:91" ht="12" hidden="1" customHeight="1" outlineLevel="2" x14ac:dyDescent="0.2">
      <c r="A124" s="405" t="s">
        <v>167</v>
      </c>
      <c r="B124" s="441">
        <f>(B110+B111-B115-B116-B117-B118-B122)-B123</f>
        <v>0</v>
      </c>
      <c r="C124" s="442"/>
      <c r="D124" s="441">
        <f>(D110+D111-D115-D116-D117-D118-D122)-D123</f>
        <v>0</v>
      </c>
      <c r="E124" s="442"/>
      <c r="F124" s="441">
        <f>(F110+F111-F115-F116-F117-F118-F122)-F123</f>
        <v>0</v>
      </c>
      <c r="G124" s="442"/>
      <c r="H124" s="441">
        <f>(H110+H111-H115-H116-H117-H118-H122)-H123</f>
        <v>0</v>
      </c>
      <c r="I124" s="442"/>
      <c r="J124" s="441">
        <f>(J110+J111-J115-J116-J117-J118-J122)-J123</f>
        <v>0</v>
      </c>
      <c r="K124" s="442"/>
      <c r="L124" s="441">
        <f>(L110+L111-L115-L116-L117-L118-L122)-L123</f>
        <v>0</v>
      </c>
      <c r="M124" s="442"/>
      <c r="N124" s="441">
        <f>(N110+N111-N115-N116-N117-N118-N122)-N123</f>
        <v>0</v>
      </c>
      <c r="O124" s="442"/>
      <c r="P124" s="441">
        <f>(P110+P111-P115-P116-P117-P118-P122)-P123</f>
        <v>0</v>
      </c>
      <c r="Q124" s="442"/>
      <c r="R124" s="441">
        <f>(R110+R111-R115-R116-R117-R118-R122)-R123</f>
        <v>0</v>
      </c>
      <c r="S124" s="442"/>
      <c r="T124" s="441">
        <f>(T110+T111-T115-T116-T117-T118-T122)-T123</f>
        <v>0</v>
      </c>
      <c r="U124" s="442"/>
      <c r="V124" s="441">
        <f>(V110+V111-V115-V116-V117-V118-V122)-V123</f>
        <v>0</v>
      </c>
      <c r="W124" s="442"/>
      <c r="X124" s="441">
        <f>(X110+X111-X115-X116-X117-X118-X122)-X123</f>
        <v>0</v>
      </c>
      <c r="Y124" s="442"/>
      <c r="Z124" s="441">
        <f>(Z110+Z111-Z115-Z116-Z117-Z118-Z122)-Z123</f>
        <v>0</v>
      </c>
      <c r="AA124" s="442"/>
      <c r="AB124" s="441">
        <f>(AB110+AB111-AB115-AB116-AB117-AB118-AB122)-AB123</f>
        <v>0</v>
      </c>
      <c r="AC124" s="442"/>
      <c r="AD124" s="441">
        <f>(AD110+AD111-AD115-AD116-AD117-AD118-AD122)-AD123</f>
        <v>0</v>
      </c>
      <c r="AE124" s="442"/>
      <c r="AF124" s="441">
        <f>(AF110+AF111-AF115-AF116-AF117-AF118-AF122)-AF123</f>
        <v>0</v>
      </c>
      <c r="AG124" s="442"/>
      <c r="AH124" s="441">
        <f t="shared" ref="AH124" si="91">(AH110+AH111-AH115-AH116-AH117-AH118-AH122)-AH123</f>
        <v>0</v>
      </c>
      <c r="AI124" s="442"/>
      <c r="AJ124" s="441">
        <f t="shared" ref="AJ124" si="92">(AJ110+AJ111-AJ115-AJ116-AJ117-AJ118-AJ122)-AJ123</f>
        <v>0</v>
      </c>
      <c r="AK124" s="442"/>
      <c r="AL124" s="441">
        <f t="shared" ref="AL124" si="93">(AL110+AL111-AL115-AL116-AL117-AL118-AL122)-AL123</f>
        <v>0</v>
      </c>
      <c r="AM124" s="442"/>
      <c r="AN124" s="441">
        <f t="shared" ref="AN124" si="94">(AN110+AN111-AN115-AN116-AN117-AN118-AN122)-AN123</f>
        <v>0</v>
      </c>
      <c r="AO124" s="442"/>
      <c r="AP124" s="441">
        <f t="shared" ref="AP124" si="95">(AP110+AP111-AP115-AP116-AP117-AP118-AP122)-AP123</f>
        <v>0</v>
      </c>
      <c r="AQ124" s="442"/>
      <c r="AR124" s="441">
        <f t="shared" ref="AR124" si="96">(AR110+AR111-AR115-AR116-AR117-AR118-AR122)-AR123</f>
        <v>0</v>
      </c>
      <c r="AS124" s="442"/>
      <c r="AT124" s="441">
        <f t="shared" ref="AT124" si="97">(AT110+AT111-AT115-AT116-AT117-AT118-AT122)-AT123</f>
        <v>0</v>
      </c>
      <c r="AU124" s="442"/>
      <c r="AV124" s="441">
        <f t="shared" ref="AV124" si="98">(AV110+AV111-AV115-AV116-AV117-AV118-AV122)-AV123</f>
        <v>0</v>
      </c>
      <c r="AW124" s="442"/>
      <c r="AX124" s="409"/>
      <c r="AY124" s="441"/>
      <c r="AZ124" s="442"/>
      <c r="BA124" s="441"/>
      <c r="BB124" s="442"/>
      <c r="BC124" s="441"/>
      <c r="BD124" s="442"/>
      <c r="BE124" s="441"/>
      <c r="BF124" s="442"/>
      <c r="BG124" s="441"/>
      <c r="BH124" s="442"/>
      <c r="BI124" s="441"/>
      <c r="BJ124" s="442"/>
      <c r="BK124" s="441"/>
      <c r="BL124" s="442"/>
      <c r="BM124" s="441"/>
      <c r="BN124" s="442"/>
      <c r="BO124" s="441"/>
      <c r="BP124" s="442"/>
      <c r="BQ124" s="441"/>
      <c r="BR124" s="442"/>
      <c r="BS124" s="441">
        <f>(BS110+BS111-BS115-BS116-BS117-BS118-BS122)-BS123</f>
        <v>0</v>
      </c>
      <c r="BT124" s="442"/>
      <c r="BU124" s="441">
        <f>(BU110+BU111-BU115-BU116-BU117-BU118-BU122)-BU123</f>
        <v>0</v>
      </c>
      <c r="BV124" s="442"/>
      <c r="BW124" s="441">
        <f>(BW110+BW111-BW115-BW116-BW117-BW118-BW122)-BW123</f>
        <v>0</v>
      </c>
      <c r="BX124" s="442"/>
      <c r="BY124" s="441">
        <f>(BY110+BY111-BY115-BY116-BY117-BY118-BY122)-BY123</f>
        <v>0</v>
      </c>
      <c r="BZ124" s="442"/>
      <c r="CA124" s="441">
        <f>(CA110+CA111-CA115-CA116-CA117-CA118-CA122)-CA123</f>
        <v>0</v>
      </c>
      <c r="CB124" s="442"/>
      <c r="CC124" s="441">
        <f>(CC110+CC111-CC115-CC116-CC117-CC118-CC122)-CC123</f>
        <v>0</v>
      </c>
      <c r="CD124" s="442"/>
      <c r="CE124" s="441">
        <f>(CE110+CE111-CE115-CE116-CE117-CE118-CE122)-CE123</f>
        <v>0</v>
      </c>
      <c r="CF124" s="442"/>
      <c r="CG124" s="441">
        <f>(CG110+CG111-CG115-CG116-CG117-CG118-CG122)-CG123</f>
        <v>0</v>
      </c>
      <c r="CH124" s="442"/>
      <c r="CI124" s="441">
        <f>(CI110+CI111-CI115-CI116-CI117-CI118-CI122)-CI123</f>
        <v>0</v>
      </c>
      <c r="CJ124" s="442"/>
      <c r="CK124" s="441">
        <f>(CK110+CK111-CK115-CK116-CK117-CK118-CK122)-CK123</f>
        <v>0</v>
      </c>
      <c r="CL124" s="442"/>
      <c r="CM124" s="442"/>
    </row>
    <row r="125" spans="1:91" s="475" customFormat="1" ht="12" hidden="1" customHeight="1" outlineLevel="1" x14ac:dyDescent="0.2">
      <c r="A125" s="517"/>
      <c r="B125" s="524"/>
      <c r="C125" s="522"/>
      <c r="D125" s="524"/>
      <c r="E125" s="474"/>
      <c r="F125" s="524"/>
      <c r="G125" s="474"/>
      <c r="H125" s="524"/>
      <c r="I125" s="474"/>
      <c r="J125" s="524"/>
      <c r="K125" s="474"/>
      <c r="L125" s="524"/>
      <c r="M125" s="474"/>
      <c r="N125" s="524"/>
      <c r="O125" s="474"/>
      <c r="P125" s="524"/>
      <c r="Q125" s="474"/>
      <c r="R125" s="524"/>
      <c r="S125" s="474"/>
      <c r="T125" s="524"/>
      <c r="U125" s="474"/>
      <c r="V125" s="524"/>
      <c r="W125" s="474"/>
      <c r="X125" s="524"/>
      <c r="Y125" s="474"/>
      <c r="Z125" s="524"/>
      <c r="AA125" s="474"/>
      <c r="AB125" s="524"/>
      <c r="AC125" s="474"/>
      <c r="AD125" s="524"/>
      <c r="AE125" s="474"/>
      <c r="AF125" s="524"/>
      <c r="AG125" s="474"/>
      <c r="AH125" s="524"/>
      <c r="AI125" s="474"/>
      <c r="AJ125" s="524"/>
      <c r="AK125" s="474"/>
      <c r="AL125" s="524"/>
      <c r="AM125" s="474"/>
      <c r="AN125" s="524"/>
      <c r="AO125" s="474"/>
      <c r="AP125" s="524"/>
      <c r="AQ125" s="474"/>
      <c r="AR125" s="524"/>
      <c r="AS125" s="474"/>
      <c r="AT125" s="524"/>
      <c r="AU125" s="474"/>
      <c r="AV125" s="524"/>
      <c r="AW125" s="474"/>
      <c r="AX125" s="524"/>
      <c r="AY125" s="524"/>
      <c r="AZ125" s="522"/>
      <c r="BA125" s="524"/>
      <c r="BB125" s="522"/>
      <c r="BC125" s="524"/>
      <c r="BD125" s="522"/>
      <c r="BE125" s="524"/>
      <c r="BF125" s="474"/>
      <c r="BG125" s="524"/>
      <c r="BH125" s="474"/>
      <c r="BI125" s="524"/>
      <c r="BJ125" s="474"/>
      <c r="BK125" s="524"/>
      <c r="BL125" s="474"/>
      <c r="BM125" s="524"/>
      <c r="BN125" s="474"/>
      <c r="BO125" s="524"/>
      <c r="BP125" s="474"/>
      <c r="BQ125" s="524"/>
      <c r="BR125" s="474"/>
      <c r="BS125" s="524"/>
      <c r="BT125" s="474"/>
      <c r="BU125" s="524"/>
      <c r="BV125" s="474"/>
      <c r="BW125" s="524"/>
      <c r="BX125" s="474"/>
      <c r="BY125" s="524"/>
      <c r="BZ125" s="474"/>
      <c r="CA125" s="524"/>
      <c r="CB125" s="474"/>
      <c r="CC125" s="524"/>
      <c r="CD125" s="474"/>
      <c r="CE125" s="524"/>
      <c r="CF125" s="474"/>
      <c r="CG125" s="524"/>
      <c r="CH125" s="474"/>
      <c r="CI125" s="524"/>
      <c r="CJ125" s="474"/>
      <c r="CK125" s="524"/>
      <c r="CL125" s="474"/>
      <c r="CM125" s="522"/>
    </row>
    <row r="126" spans="1:91" s="475" customFormat="1" ht="12" hidden="1" customHeight="1" outlineLevel="1" x14ac:dyDescent="0.2">
      <c r="A126" s="489" t="s">
        <v>606</v>
      </c>
      <c r="B126" s="490"/>
      <c r="C126" s="491"/>
      <c r="D126" s="490"/>
      <c r="E126" s="478"/>
      <c r="F126" s="490"/>
      <c r="G126" s="478"/>
      <c r="H126" s="490"/>
      <c r="I126" s="478"/>
      <c r="J126" s="490"/>
      <c r="K126" s="478"/>
      <c r="L126" s="490"/>
      <c r="M126" s="478"/>
      <c r="N126" s="490"/>
      <c r="O126" s="478"/>
      <c r="P126" s="490"/>
      <c r="Q126" s="478"/>
      <c r="R126" s="490"/>
      <c r="S126" s="478"/>
      <c r="T126" s="490"/>
      <c r="U126" s="478"/>
      <c r="V126" s="490"/>
      <c r="W126" s="478"/>
      <c r="X126" s="490"/>
      <c r="Y126" s="478"/>
      <c r="Z126" s="490"/>
      <c r="AA126" s="478"/>
      <c r="AB126" s="490"/>
      <c r="AC126" s="478"/>
      <c r="AD126" s="490"/>
      <c r="AE126" s="478"/>
      <c r="AF126" s="490"/>
      <c r="AG126" s="478"/>
      <c r="AH126" s="490"/>
      <c r="AI126" s="478"/>
      <c r="AJ126" s="490"/>
      <c r="AK126" s="478"/>
      <c r="AL126" s="490"/>
      <c r="AM126" s="478"/>
      <c r="AN126" s="490"/>
      <c r="AO126" s="478"/>
      <c r="AP126" s="490"/>
      <c r="AQ126" s="478"/>
      <c r="AR126" s="490"/>
      <c r="AS126" s="478"/>
      <c r="AT126" s="490"/>
      <c r="AU126" s="478"/>
      <c r="AV126" s="490"/>
      <c r="AW126" s="478"/>
      <c r="AX126" s="490"/>
      <c r="AY126" s="490"/>
      <c r="AZ126" s="491"/>
      <c r="BA126" s="490"/>
      <c r="BB126" s="491"/>
      <c r="BC126" s="490"/>
      <c r="BD126" s="491"/>
      <c r="BE126" s="490"/>
      <c r="BF126" s="478"/>
      <c r="BG126" s="490"/>
      <c r="BH126" s="478"/>
      <c r="BI126" s="490"/>
      <c r="BJ126" s="478"/>
      <c r="BK126" s="490"/>
      <c r="BL126" s="478"/>
      <c r="BM126" s="490"/>
      <c r="BN126" s="478"/>
      <c r="BO126" s="490"/>
      <c r="BP126" s="478"/>
      <c r="BQ126" s="490"/>
      <c r="BR126" s="478"/>
      <c r="BS126" s="490"/>
      <c r="BT126" s="478"/>
      <c r="BU126" s="490"/>
      <c r="BV126" s="478"/>
      <c r="BW126" s="490"/>
      <c r="BX126" s="478"/>
      <c r="BY126" s="490"/>
      <c r="BZ126" s="478"/>
      <c r="CA126" s="490"/>
      <c r="CB126" s="478"/>
      <c r="CC126" s="490"/>
      <c r="CD126" s="478"/>
      <c r="CE126" s="490"/>
      <c r="CF126" s="478"/>
      <c r="CG126" s="490"/>
      <c r="CH126" s="478"/>
      <c r="CI126" s="490"/>
      <c r="CJ126" s="478"/>
      <c r="CK126" s="490"/>
      <c r="CL126" s="478"/>
      <c r="CM126" s="491"/>
    </row>
    <row r="127" spans="1:91" s="475" customFormat="1" ht="12" hidden="1" customHeight="1" outlineLevel="1" x14ac:dyDescent="0.2">
      <c r="A127" s="481" t="s">
        <v>250</v>
      </c>
      <c r="B127" s="502">
        <f>INPUT!C715</f>
        <v>30.847154886450618</v>
      </c>
      <c r="C127" s="491" t="str">
        <f>INPUT!D715</f>
        <v>NA</v>
      </c>
      <c r="D127" s="502">
        <f>INPUT!E715</f>
        <v>32.298471556855169</v>
      </c>
      <c r="E127" s="478" t="str">
        <f>INPUT!F715</f>
        <v>NA</v>
      </c>
      <c r="F127" s="502">
        <f>INPUT!G715</f>
        <v>27.404584844201334</v>
      </c>
      <c r="G127" s="478" t="str">
        <f>INPUT!H715</f>
        <v>NA</v>
      </c>
      <c r="H127" s="502">
        <f>INPUT!I715</f>
        <v>30.036301182715956</v>
      </c>
      <c r="I127" s="478" t="str">
        <f>INPUT!J715</f>
        <v>NA</v>
      </c>
      <c r="J127" s="502">
        <f>INPUT!K715</f>
        <v>32.347914160916602</v>
      </c>
      <c r="K127" s="478">
        <f>INPUT!L715</f>
        <v>4.865146494029446</v>
      </c>
      <c r="L127" s="502">
        <f>INPUT!M715</f>
        <v>34.909599254426851</v>
      </c>
      <c r="M127" s="478">
        <f>INPUT!N715</f>
        <v>8.0843692339289248</v>
      </c>
      <c r="N127" s="502">
        <f>INPUT!O715</f>
        <v>36.509805435453977</v>
      </c>
      <c r="O127" s="478">
        <f>INPUT!P715</f>
        <v>33.225172514077542</v>
      </c>
      <c r="P127" s="502">
        <f>INPUT!Q715</f>
        <v>34.608445297504787</v>
      </c>
      <c r="Q127" s="478">
        <f>INPUT!R715</f>
        <v>15.22206108859973</v>
      </c>
      <c r="R127" s="502">
        <f>INPUT!S715</f>
        <v>32.941491293461027</v>
      </c>
      <c r="S127" s="478">
        <f>INPUT!T715</f>
        <v>1.8349780749127689</v>
      </c>
      <c r="T127" s="502">
        <f>INPUT!U715</f>
        <v>31.969522459466642</v>
      </c>
      <c r="U127" s="478">
        <f>INPUT!V715</f>
        <v>-8.4219723450058837</v>
      </c>
      <c r="V127" s="502">
        <f>INPUT!W715</f>
        <v>33.044642154161082</v>
      </c>
      <c r="W127" s="478">
        <f>INPUT!X715</f>
        <v>-9.4910483360942379</v>
      </c>
      <c r="X127" s="502">
        <f>INPUT!Y715</f>
        <v>32.147460685743745</v>
      </c>
      <c r="Y127" s="478">
        <f>INPUT!Z715</f>
        <v>-7.1109366242998391</v>
      </c>
      <c r="Z127" s="502">
        <f>INPUT!AA715</f>
        <v>31.995509402189171</v>
      </c>
      <c r="AA127" s="478">
        <f>INPUT!AB715</f>
        <v>-2.8717032961396001</v>
      </c>
      <c r="AB127" s="502">
        <f>INPUT!AC715</f>
        <v>28.872912801484237</v>
      </c>
      <c r="AC127" s="478">
        <f>INPUT!AD715</f>
        <v>-9.6861304760135738</v>
      </c>
      <c r="AD127" s="502">
        <f>INPUT!AE715</f>
        <v>32.476531068395154</v>
      </c>
      <c r="AE127" s="478">
        <f>INPUT!AF715</f>
        <v>-1.7192229926883584</v>
      </c>
      <c r="AF127" s="502">
        <f>INPUT!AG715</f>
        <v>27.027027027027046</v>
      </c>
      <c r="AG127" s="478">
        <f>INPUT!AH715</f>
        <v>-15.927956826112336</v>
      </c>
      <c r="AH127" s="502">
        <f>INPUT!AI715</f>
        <v>30.835927078701641</v>
      </c>
      <c r="AI127" s="478">
        <f>INPUT!AJ715</f>
        <v>-3.6242033496369004</v>
      </c>
      <c r="AJ127" s="502">
        <f>INPUT!AK715</f>
        <v>30.132788559754847</v>
      </c>
      <c r="AK127" s="478">
        <f>INPUT!AL715</f>
        <v>4.3635215017372389</v>
      </c>
      <c r="AL127" s="502">
        <f>INPUT!AM715</f>
        <v>28.659357568763216</v>
      </c>
      <c r="AM127" s="478">
        <f>INPUT!AN715</f>
        <v>-11.753636777256233</v>
      </c>
      <c r="AN127" s="502">
        <f>INPUT!AO715</f>
        <v>27.916207276736515</v>
      </c>
      <c r="AO127" s="478">
        <f>INPUT!AP715</f>
        <v>3.2899669239250215</v>
      </c>
      <c r="AP127" s="502">
        <f>INPUT!AQ715</f>
        <v>28.873474702156365</v>
      </c>
      <c r="AQ127" s="478">
        <f>INPUT!AR715</f>
        <v>-6.3641750466479152</v>
      </c>
      <c r="AR127" s="502">
        <f>INPUT!AS715</f>
        <v>28.377982085565822</v>
      </c>
      <c r="AS127" s="478">
        <f>INPUT!AT715</f>
        <v>-5.8235780956984939</v>
      </c>
      <c r="AT127" s="502">
        <f>INPUT!AU715</f>
        <v>27.640772826093574</v>
      </c>
      <c r="AU127" s="478">
        <f>INPUT!AV715</f>
        <v>-3.5541087766036696</v>
      </c>
      <c r="AV127" s="502">
        <f>INPUT!AW715</f>
        <v>28.531090394926633</v>
      </c>
      <c r="AW127" s="478">
        <f>INPUT!AX715</f>
        <v>2.2026026390143727</v>
      </c>
      <c r="AX127" s="490"/>
      <c r="AY127" s="502"/>
      <c r="AZ127" s="491"/>
      <c r="BA127" s="502"/>
      <c r="BB127" s="491"/>
      <c r="BC127" s="502"/>
      <c r="BD127" s="491"/>
      <c r="BE127" s="502"/>
      <c r="BF127" s="478"/>
      <c r="BG127" s="502"/>
      <c r="BH127" s="478"/>
      <c r="BI127" s="502"/>
      <c r="BJ127" s="478"/>
      <c r="BK127" s="502"/>
      <c r="BL127" s="478"/>
      <c r="BM127" s="502"/>
      <c r="BN127" s="478"/>
      <c r="BO127" s="502"/>
      <c r="BP127" s="478"/>
      <c r="BQ127" s="502"/>
      <c r="BR127" s="478"/>
      <c r="BS127" s="502">
        <f>INPUT!BB715</f>
        <v>30.102421849994677</v>
      </c>
      <c r="BT127" s="478" t="str">
        <f>INPUT!BC715</f>
        <v>NA</v>
      </c>
      <c r="BU127" s="502">
        <f>INPUT!BD715</f>
        <v>34.645204416708559</v>
      </c>
      <c r="BV127" s="478">
        <f>INPUT!BE715</f>
        <v>15.091086655257556</v>
      </c>
      <c r="BW127" s="502">
        <f>INPUT!BF715</f>
        <v>32.514536891081654</v>
      </c>
      <c r="BX127" s="478">
        <f>INPUT!BG715</f>
        <v>-6.1499637871939825</v>
      </c>
      <c r="BY127" s="502">
        <f>INPUT!BH715</f>
        <v>29.981696876660539</v>
      </c>
      <c r="BZ127" s="478">
        <f>INPUT!BI715</f>
        <v>-7.7898695678973127</v>
      </c>
      <c r="CA127" s="502">
        <f>INPUT!BJ715</f>
        <v>29.372091807392675</v>
      </c>
      <c r="CB127" s="478">
        <f>INPUT!BK715</f>
        <v>-2.0332573962563742</v>
      </c>
      <c r="CC127" s="502">
        <f>INPUT!BL715</f>
        <v>28.350173820211289</v>
      </c>
      <c r="CD127" s="478">
        <f>INPUT!BM715</f>
        <v>-3.4792141938089003</v>
      </c>
      <c r="CE127" s="502">
        <f>INPUT!BN715</f>
        <v>27.969926473042161</v>
      </c>
      <c r="CF127" s="478">
        <f>INPUT!BO715</f>
        <v>-1.3412522603231594</v>
      </c>
      <c r="CG127" s="502">
        <f>INPUT!BP715</f>
        <v>27.578989203187721</v>
      </c>
      <c r="CH127" s="478">
        <f>INPUT!BQ715</f>
        <v>-1.3977057473898924</v>
      </c>
      <c r="CI127" s="502">
        <f>INPUT!BR715</f>
        <v>27.406141083093864</v>
      </c>
      <c r="CJ127" s="478">
        <f>INPUT!BS715</f>
        <v>-0.62673841604708969</v>
      </c>
      <c r="CK127" s="502">
        <f>INPUT!BT715</f>
        <v>27.224459407106043</v>
      </c>
      <c r="CL127" s="478">
        <f>INPUT!BU715</f>
        <v>-0.66292323109982476</v>
      </c>
      <c r="CM127" s="522">
        <f>INPUT!BV715</f>
        <v>-1.5071107356599778</v>
      </c>
    </row>
    <row r="128" spans="1:91" s="475" customFormat="1" ht="12" hidden="1" customHeight="1" outlineLevel="1" x14ac:dyDescent="0.2">
      <c r="A128" s="489"/>
      <c r="B128" s="490"/>
      <c r="C128" s="491"/>
      <c r="D128" s="490"/>
      <c r="E128" s="478"/>
      <c r="F128" s="490"/>
      <c r="G128" s="478"/>
      <c r="H128" s="490"/>
      <c r="I128" s="478"/>
      <c r="J128" s="490"/>
      <c r="K128" s="478"/>
      <c r="L128" s="490"/>
      <c r="M128" s="478"/>
      <c r="N128" s="490"/>
      <c r="O128" s="478"/>
      <c r="P128" s="490"/>
      <c r="Q128" s="478"/>
      <c r="R128" s="490"/>
      <c r="S128" s="478"/>
      <c r="T128" s="490"/>
      <c r="U128" s="478"/>
      <c r="V128" s="490"/>
      <c r="W128" s="478"/>
      <c r="X128" s="490"/>
      <c r="Y128" s="478"/>
      <c r="Z128" s="490"/>
      <c r="AA128" s="478"/>
      <c r="AB128" s="490"/>
      <c r="AC128" s="478"/>
      <c r="AD128" s="490"/>
      <c r="AE128" s="478"/>
      <c r="AF128" s="490"/>
      <c r="AG128" s="478"/>
      <c r="AH128" s="490"/>
      <c r="AI128" s="478"/>
      <c r="AJ128" s="490"/>
      <c r="AK128" s="478"/>
      <c r="AL128" s="490"/>
      <c r="AM128" s="478"/>
      <c r="AN128" s="490"/>
      <c r="AO128" s="478"/>
      <c r="AP128" s="490"/>
      <c r="AQ128" s="478"/>
      <c r="AR128" s="490"/>
      <c r="AS128" s="478"/>
      <c r="AT128" s="490"/>
      <c r="AU128" s="478"/>
      <c r="AV128" s="490"/>
      <c r="AW128" s="478"/>
      <c r="AX128" s="490"/>
      <c r="AY128" s="490"/>
      <c r="AZ128" s="491"/>
      <c r="BA128" s="490"/>
      <c r="BB128" s="491"/>
      <c r="BC128" s="490"/>
      <c r="BD128" s="491"/>
      <c r="BE128" s="490"/>
      <c r="BF128" s="478"/>
      <c r="BG128" s="490"/>
      <c r="BH128" s="478"/>
      <c r="BI128" s="490"/>
      <c r="BJ128" s="478"/>
      <c r="BK128" s="490"/>
      <c r="BL128" s="478"/>
      <c r="BM128" s="490"/>
      <c r="BN128" s="478"/>
      <c r="BO128" s="490"/>
      <c r="BP128" s="478"/>
      <c r="BQ128" s="490"/>
      <c r="BR128" s="478"/>
      <c r="BS128" s="490"/>
      <c r="BT128" s="478"/>
      <c r="BU128" s="490"/>
      <c r="BV128" s="478"/>
      <c r="BW128" s="490"/>
      <c r="BX128" s="478"/>
      <c r="BY128" s="490"/>
      <c r="BZ128" s="478"/>
      <c r="CA128" s="490"/>
      <c r="CB128" s="478"/>
      <c r="CC128" s="490"/>
      <c r="CD128" s="478"/>
      <c r="CE128" s="490"/>
      <c r="CF128" s="478"/>
      <c r="CG128" s="490"/>
      <c r="CH128" s="478"/>
      <c r="CI128" s="490"/>
      <c r="CJ128" s="478"/>
      <c r="CK128" s="490"/>
      <c r="CL128" s="478"/>
      <c r="CM128" s="522"/>
    </row>
    <row r="129" spans="1:91" s="475" customFormat="1" ht="12" hidden="1" customHeight="1" outlineLevel="1" x14ac:dyDescent="0.2">
      <c r="A129" s="489" t="s">
        <v>412</v>
      </c>
      <c r="B129" s="490"/>
      <c r="C129" s="491"/>
      <c r="D129" s="490"/>
      <c r="E129" s="478"/>
      <c r="F129" s="490"/>
      <c r="G129" s="478"/>
      <c r="H129" s="490"/>
      <c r="I129" s="478"/>
      <c r="J129" s="490"/>
      <c r="K129" s="478"/>
      <c r="L129" s="490"/>
      <c r="M129" s="478"/>
      <c r="N129" s="490"/>
      <c r="O129" s="478"/>
      <c r="P129" s="490"/>
      <c r="Q129" s="478"/>
      <c r="R129" s="490"/>
      <c r="S129" s="478"/>
      <c r="T129" s="490"/>
      <c r="U129" s="478"/>
      <c r="V129" s="490"/>
      <c r="W129" s="478"/>
      <c r="X129" s="490"/>
      <c r="Y129" s="478"/>
      <c r="Z129" s="490"/>
      <c r="AA129" s="478"/>
      <c r="AB129" s="490"/>
      <c r="AC129" s="478"/>
      <c r="AD129" s="490"/>
      <c r="AE129" s="478"/>
      <c r="AF129" s="490"/>
      <c r="AG129" s="478"/>
      <c r="AH129" s="490"/>
      <c r="AI129" s="478"/>
      <c r="AJ129" s="490"/>
      <c r="AK129" s="478"/>
      <c r="AL129" s="490"/>
      <c r="AM129" s="478"/>
      <c r="AN129" s="490"/>
      <c r="AO129" s="478"/>
      <c r="AP129" s="490"/>
      <c r="AQ129" s="478"/>
      <c r="AR129" s="490"/>
      <c r="AS129" s="478"/>
      <c r="AT129" s="490"/>
      <c r="AU129" s="478"/>
      <c r="AV129" s="490"/>
      <c r="AW129" s="478"/>
      <c r="AX129" s="490"/>
      <c r="AY129" s="490"/>
      <c r="AZ129" s="491"/>
      <c r="BA129" s="490"/>
      <c r="BB129" s="491"/>
      <c r="BC129" s="490"/>
      <c r="BD129" s="491"/>
      <c r="BE129" s="490"/>
      <c r="BF129" s="478"/>
      <c r="BG129" s="490"/>
      <c r="BH129" s="478"/>
      <c r="BI129" s="490"/>
      <c r="BJ129" s="478"/>
      <c r="BK129" s="490"/>
      <c r="BL129" s="478"/>
      <c r="BM129" s="490"/>
      <c r="BN129" s="478"/>
      <c r="BO129" s="490"/>
      <c r="BP129" s="478"/>
      <c r="BQ129" s="490"/>
      <c r="BR129" s="478"/>
      <c r="BS129" s="490"/>
      <c r="BT129" s="478"/>
      <c r="BU129" s="490"/>
      <c r="BV129" s="478"/>
      <c r="BW129" s="490"/>
      <c r="BX129" s="478"/>
      <c r="BY129" s="490"/>
      <c r="BZ129" s="478"/>
      <c r="CA129" s="490"/>
      <c r="CB129" s="478"/>
      <c r="CC129" s="490"/>
      <c r="CD129" s="478"/>
      <c r="CE129" s="490"/>
      <c r="CF129" s="478"/>
      <c r="CG129" s="490"/>
      <c r="CH129" s="478"/>
      <c r="CI129" s="490"/>
      <c r="CJ129" s="478"/>
      <c r="CK129" s="490"/>
      <c r="CL129" s="478"/>
      <c r="CM129" s="522"/>
    </row>
    <row r="130" spans="1:91" s="761" customFormat="1" ht="12" hidden="1" customHeight="1" outlineLevel="1" x14ac:dyDescent="0.2">
      <c r="A130" s="400" t="s">
        <v>607</v>
      </c>
      <c r="B130" s="401"/>
      <c r="C130" s="759"/>
      <c r="D130" s="401"/>
      <c r="E130" s="760"/>
      <c r="F130" s="401"/>
      <c r="G130" s="760"/>
      <c r="H130" s="401"/>
      <c r="I130" s="760"/>
      <c r="J130" s="401"/>
      <c r="K130" s="760"/>
      <c r="L130" s="401"/>
      <c r="M130" s="760"/>
      <c r="N130" s="401">
        <f>INPUT!O78</f>
        <v>0.33429063756461808</v>
      </c>
      <c r="O130" s="760" t="str">
        <f>INPUT!P78</f>
        <v>NA</v>
      </c>
      <c r="P130" s="401">
        <f>INPUT!Q78</f>
        <v>0.31739130434782603</v>
      </c>
      <c r="Q130" s="760" t="str">
        <f>INPUT!R78</f>
        <v>NA</v>
      </c>
      <c r="R130" s="401">
        <f>INPUT!S78</f>
        <v>0.316076901643912</v>
      </c>
      <c r="S130" s="760" t="str">
        <f>INPUT!T78</f>
        <v>NA</v>
      </c>
      <c r="T130" s="401">
        <f>INPUT!U78</f>
        <v>0.31421528348397693</v>
      </c>
      <c r="U130" s="760" t="str">
        <f>INPUT!V78</f>
        <v>NA</v>
      </c>
      <c r="V130" s="401">
        <f>INPUT!W78</f>
        <v>0.18775968556990447</v>
      </c>
      <c r="W130" s="760">
        <f>INPUT!X78</f>
        <v>-43.833399900824119</v>
      </c>
      <c r="X130" s="401">
        <f>INPUT!Y78</f>
        <v>0.28502857142857141</v>
      </c>
      <c r="Y130" s="760">
        <f>INPUT!Z78</f>
        <v>-10.196477495107629</v>
      </c>
      <c r="Z130" s="401">
        <f>INPUT!AA78</f>
        <v>0.25489100055897151</v>
      </c>
      <c r="AA130" s="760">
        <f>INPUT!AB78</f>
        <v>-19.357915990290138</v>
      </c>
      <c r="AB130" s="401">
        <f>INPUT!AC78</f>
        <v>0.2724288840262582</v>
      </c>
      <c r="AC130" s="760">
        <f>INPUT!AD78</f>
        <v>-13.298652756287581</v>
      </c>
      <c r="AD130" s="401">
        <f>INPUT!AE78</f>
        <v>0.27799309795593308</v>
      </c>
      <c r="AE130" s="760">
        <f>INPUT!AF78</f>
        <v>48.057926871865135</v>
      </c>
      <c r="AF130" s="401">
        <f>INPUT!AG78</f>
        <v>0.25699481865284984</v>
      </c>
      <c r="AG130" s="760">
        <f>INPUT!AH78</f>
        <v>-9.8354184758445768</v>
      </c>
      <c r="AH130" s="401">
        <f>INPUT!AI78</f>
        <v>0.29114688128772631</v>
      </c>
      <c r="AI130" s="760">
        <f>INPUT!AJ78</f>
        <v>14.224072505206649</v>
      </c>
      <c r="AJ130" s="401">
        <f>INPUT!AK78</f>
        <v>0.28509301763711042</v>
      </c>
      <c r="AK130" s="760">
        <f>INPUT!AL78</f>
        <v>4.6486016547465709</v>
      </c>
      <c r="AL130" s="401">
        <f>INPUT!AM78</f>
        <v>0.20210526315789473</v>
      </c>
      <c r="AM130" s="760">
        <f>INPUT!AN78</f>
        <v>-27.298460053878003</v>
      </c>
      <c r="AN130" s="401">
        <f>INPUT!AO78</f>
        <v>0.22945174444947897</v>
      </c>
      <c r="AO130" s="760">
        <f>INPUT!AP78</f>
        <v>-10.717365567037447</v>
      </c>
      <c r="AP130" s="401">
        <f>INPUT!AQ78</f>
        <v>0.25480244676030817</v>
      </c>
      <c r="AQ130" s="760">
        <f>INPUT!AR78</f>
        <v>-12.483195549500223</v>
      </c>
      <c r="AR130" s="401">
        <f>INPUT!AS78</f>
        <v>0.25480244676030805</v>
      </c>
      <c r="AS130" s="760">
        <f>INPUT!AT78</f>
        <v>-10.624802784668219</v>
      </c>
      <c r="AT130" s="401">
        <f>INPUT!AU78</f>
        <v>0.25480244676030811</v>
      </c>
      <c r="AU130" s="760">
        <f>INPUT!AV78</f>
        <v>26.07412730327745</v>
      </c>
      <c r="AV130" s="401">
        <f>INPUT!AW78</f>
        <v>0.26980244676030823</v>
      </c>
      <c r="AW130" s="760">
        <f>INPUT!AX78</f>
        <v>17.585703001579816</v>
      </c>
      <c r="AX130" s="398"/>
      <c r="AY130" s="401"/>
      <c r="AZ130" s="759"/>
      <c r="BA130" s="401"/>
      <c r="BB130" s="759"/>
      <c r="BC130" s="401"/>
      <c r="BD130" s="759"/>
      <c r="BE130" s="401"/>
      <c r="BF130" s="760"/>
      <c r="BG130" s="401"/>
      <c r="BH130" s="760"/>
      <c r="BI130" s="401"/>
      <c r="BJ130" s="760"/>
      <c r="BK130" s="401"/>
      <c r="BL130" s="760"/>
      <c r="BM130" s="401"/>
      <c r="BN130" s="760"/>
      <c r="BO130" s="401"/>
      <c r="BP130" s="760"/>
      <c r="BQ130" s="401"/>
      <c r="BR130" s="760"/>
      <c r="BS130" s="401">
        <f>INPUT!BB78</f>
        <v>0</v>
      </c>
      <c r="BT130" s="760" t="str">
        <f>INPUT!BC78</f>
        <v>NA</v>
      </c>
      <c r="BU130" s="401">
        <f>INPUT!BD78</f>
        <v>0</v>
      </c>
      <c r="BV130" s="760" t="str">
        <f>INPUT!BE78</f>
        <v>NA</v>
      </c>
      <c r="BW130" s="401">
        <f>INPUT!BF78</f>
        <v>0.27604530834848273</v>
      </c>
      <c r="BX130" s="760" t="str">
        <f>INPUT!BG78</f>
        <v>NA</v>
      </c>
      <c r="BY130" s="401">
        <f>INPUT!BH78</f>
        <v>0.26560796716237123</v>
      </c>
      <c r="BZ130" s="760">
        <f>INPUT!BI78</f>
        <v>-3.7810246616962218</v>
      </c>
      <c r="CA130" s="401">
        <f>INPUT!BJ78</f>
        <v>0.25079742918352771</v>
      </c>
      <c r="CB130" s="760">
        <f>INPUT!BK78</f>
        <v>-5.5760895040432104</v>
      </c>
      <c r="CC130" s="401">
        <f>INPUT!BL78</f>
        <v>0.25859544674941676</v>
      </c>
      <c r="CD130" s="760">
        <f>INPUT!BM78</f>
        <v>3.1092892743261018</v>
      </c>
      <c r="CE130" s="401">
        <f>INPUT!BN78</f>
        <v>0.2585954467494167</v>
      </c>
      <c r="CF130" s="760">
        <f>INPUT!BO78</f>
        <v>-2.8421709430404007E-14</v>
      </c>
      <c r="CG130" s="401">
        <f>INPUT!BP78</f>
        <v>0.2575954467494167</v>
      </c>
      <c r="CH130" s="760">
        <f>INPUT!BQ78</f>
        <v>-0.38670441129964672</v>
      </c>
      <c r="CI130" s="401">
        <f>INPUT!BR78</f>
        <v>0.25759544674941676</v>
      </c>
      <c r="CJ130" s="760">
        <f>INPUT!BS78</f>
        <v>2.8421709430404007E-14</v>
      </c>
      <c r="CK130" s="401">
        <f>INPUT!BT78</f>
        <v>0.25759544674941653</v>
      </c>
      <c r="CL130" s="760">
        <f>INPUT!BU78</f>
        <v>-8.5265128291212022E-14</v>
      </c>
      <c r="CM130" s="759">
        <f>INPUT!BV78</f>
        <v>0.53632832188010848</v>
      </c>
    </row>
    <row r="131" spans="1:91" s="475" customFormat="1" ht="12" hidden="1" customHeight="1" outlineLevel="1" x14ac:dyDescent="0.2">
      <c r="A131" s="489"/>
      <c r="B131" s="490"/>
      <c r="C131" s="522"/>
      <c r="D131" s="490"/>
      <c r="E131" s="474"/>
      <c r="F131" s="490"/>
      <c r="G131" s="474"/>
      <c r="H131" s="490"/>
      <c r="I131" s="474"/>
      <c r="J131" s="490"/>
      <c r="K131" s="474"/>
      <c r="L131" s="490"/>
      <c r="M131" s="474"/>
      <c r="N131" s="490"/>
      <c r="O131" s="474"/>
      <c r="P131" s="490"/>
      <c r="Q131" s="474"/>
      <c r="R131" s="490"/>
      <c r="S131" s="474"/>
      <c r="T131" s="490"/>
      <c r="U131" s="474"/>
      <c r="V131" s="490"/>
      <c r="W131" s="474"/>
      <c r="X131" s="490"/>
      <c r="Y131" s="474"/>
      <c r="Z131" s="490"/>
      <c r="AA131" s="474"/>
      <c r="AB131" s="490"/>
      <c r="AC131" s="474"/>
      <c r="AD131" s="490"/>
      <c r="AE131" s="474"/>
      <c r="AF131" s="490"/>
      <c r="AG131" s="474"/>
      <c r="AH131" s="490"/>
      <c r="AI131" s="474"/>
      <c r="AJ131" s="490"/>
      <c r="AK131" s="474"/>
      <c r="AL131" s="490"/>
      <c r="AM131" s="474"/>
      <c r="AN131" s="490"/>
      <c r="AO131" s="474"/>
      <c r="AP131" s="490"/>
      <c r="AQ131" s="474"/>
      <c r="AR131" s="490"/>
      <c r="AS131" s="474"/>
      <c r="AT131" s="490"/>
      <c r="AU131" s="474"/>
      <c r="AV131" s="490"/>
      <c r="AW131" s="474"/>
      <c r="AX131" s="490"/>
      <c r="AY131" s="490"/>
      <c r="AZ131" s="522"/>
      <c r="BA131" s="490"/>
      <c r="BB131" s="522"/>
      <c r="BC131" s="490"/>
      <c r="BD131" s="522"/>
      <c r="BE131" s="490"/>
      <c r="BF131" s="474"/>
      <c r="BG131" s="490"/>
      <c r="BH131" s="474"/>
      <c r="BI131" s="490"/>
      <c r="BJ131" s="474"/>
      <c r="BK131" s="490"/>
      <c r="BL131" s="474"/>
      <c r="BM131" s="490"/>
      <c r="BN131" s="474"/>
      <c r="BO131" s="490"/>
      <c r="BP131" s="474"/>
      <c r="BQ131" s="490"/>
      <c r="BR131" s="474"/>
      <c r="BS131" s="490"/>
      <c r="BT131" s="474"/>
      <c r="BU131" s="490"/>
      <c r="BV131" s="474"/>
      <c r="BW131" s="490"/>
      <c r="BX131" s="474"/>
      <c r="BY131" s="490"/>
      <c r="BZ131" s="474"/>
      <c r="CA131" s="490"/>
      <c r="CB131" s="474"/>
      <c r="CC131" s="490"/>
      <c r="CD131" s="474"/>
      <c r="CE131" s="490"/>
      <c r="CF131" s="474"/>
      <c r="CG131" s="490"/>
      <c r="CH131" s="474"/>
      <c r="CI131" s="490"/>
      <c r="CJ131" s="474"/>
      <c r="CK131" s="490"/>
      <c r="CL131" s="474"/>
      <c r="CM131" s="522"/>
    </row>
    <row r="132" spans="1:91" s="475" customFormat="1" ht="19.5" hidden="1" customHeight="1" outlineLevel="1" x14ac:dyDescent="0.25">
      <c r="A132" s="472" t="str">
        <f>+$A$1</f>
        <v>Principal Financial Group</v>
      </c>
      <c r="B132" s="473"/>
      <c r="C132" s="474"/>
      <c r="D132" s="473"/>
      <c r="E132" s="474"/>
      <c r="F132" s="473"/>
      <c r="G132" s="474"/>
      <c r="H132" s="473"/>
      <c r="I132" s="474"/>
      <c r="J132" s="473"/>
      <c r="K132" s="474"/>
      <c r="L132" s="473"/>
      <c r="M132" s="474"/>
      <c r="N132" s="473"/>
      <c r="O132" s="474"/>
      <c r="P132" s="473"/>
      <c r="Q132" s="474"/>
      <c r="R132" s="473"/>
      <c r="S132" s="474"/>
      <c r="T132" s="473"/>
      <c r="U132" s="474"/>
      <c r="V132" s="473"/>
      <c r="W132" s="474"/>
      <c r="X132" s="473"/>
      <c r="Y132" s="474"/>
      <c r="Z132" s="473"/>
      <c r="AA132" s="474"/>
      <c r="AB132" s="473"/>
      <c r="AC132" s="474"/>
      <c r="AD132" s="473"/>
      <c r="AE132" s="474"/>
      <c r="AF132" s="473"/>
      <c r="AG132" s="474"/>
      <c r="AH132" s="473"/>
      <c r="AI132" s="474"/>
      <c r="AJ132" s="473"/>
      <c r="AK132" s="474"/>
      <c r="AL132" s="473"/>
      <c r="AM132" s="474"/>
      <c r="AN132" s="473"/>
      <c r="AO132" s="474"/>
      <c r="AP132" s="473"/>
      <c r="AQ132" s="474"/>
      <c r="AR132" s="473"/>
      <c r="AS132" s="474"/>
      <c r="AT132" s="473"/>
      <c r="AU132" s="474"/>
      <c r="AV132" s="473"/>
      <c r="AW132" s="474"/>
      <c r="AX132" s="474"/>
      <c r="AY132" s="473"/>
      <c r="AZ132" s="474"/>
      <c r="BA132" s="473"/>
      <c r="BB132" s="474"/>
      <c r="BC132" s="473"/>
      <c r="BD132" s="474"/>
      <c r="BE132" s="473"/>
      <c r="BF132" s="474"/>
      <c r="BG132" s="473"/>
      <c r="BH132" s="474"/>
      <c r="BI132" s="473"/>
      <c r="BJ132" s="474"/>
      <c r="BK132" s="473"/>
      <c r="BL132" s="474"/>
      <c r="BM132" s="473"/>
      <c r="BN132" s="474"/>
      <c r="BO132" s="473"/>
      <c r="BP132" s="474"/>
      <c r="BQ132" s="473"/>
      <c r="BR132" s="474"/>
      <c r="BS132" s="473"/>
      <c r="BT132" s="474"/>
      <c r="BU132" s="473"/>
      <c r="BV132" s="474"/>
      <c r="BW132" s="473"/>
      <c r="BX132" s="474"/>
      <c r="BY132" s="473"/>
      <c r="BZ132" s="474"/>
      <c r="CA132" s="473"/>
      <c r="CB132" s="474"/>
      <c r="CC132" s="473"/>
      <c r="CD132" s="474"/>
      <c r="CE132" s="473"/>
      <c r="CF132" s="474"/>
      <c r="CG132" s="473"/>
      <c r="CH132" s="474"/>
      <c r="CI132" s="473"/>
      <c r="CJ132" s="474"/>
      <c r="CK132" s="473"/>
      <c r="CL132" s="474"/>
      <c r="CM132" s="474"/>
    </row>
    <row r="133" spans="1:91" s="475" customFormat="1" ht="12" hidden="1" customHeight="1" outlineLevel="1" x14ac:dyDescent="0.2">
      <c r="A133" s="476" t="s">
        <v>608</v>
      </c>
      <c r="B133" s="477"/>
      <c r="C133" s="478"/>
      <c r="D133" s="477"/>
      <c r="E133" s="478"/>
      <c r="F133" s="477"/>
      <c r="G133" s="478"/>
      <c r="H133" s="477"/>
      <c r="I133" s="478"/>
      <c r="J133" s="477"/>
      <c r="K133" s="478"/>
      <c r="L133" s="477"/>
      <c r="M133" s="478"/>
      <c r="N133" s="477"/>
      <c r="O133" s="478"/>
      <c r="P133" s="477"/>
      <c r="Q133" s="478"/>
      <c r="R133" s="477"/>
      <c r="S133" s="478"/>
      <c r="T133" s="477"/>
      <c r="U133" s="478"/>
      <c r="V133" s="477"/>
      <c r="W133" s="478"/>
      <c r="X133" s="477"/>
      <c r="Y133" s="478"/>
      <c r="Z133" s="477"/>
      <c r="AA133" s="478"/>
      <c r="AB133" s="477"/>
      <c r="AC133" s="478"/>
      <c r="AD133" s="477"/>
      <c r="AE133" s="478"/>
      <c r="AF133" s="477"/>
      <c r="AG133" s="478"/>
      <c r="AH133" s="477"/>
      <c r="AI133" s="478"/>
      <c r="AJ133" s="477"/>
      <c r="AK133" s="478"/>
      <c r="AL133" s="477"/>
      <c r="AM133" s="478"/>
      <c r="AN133" s="477"/>
      <c r="AO133" s="478"/>
      <c r="AP133" s="477"/>
      <c r="AQ133" s="478"/>
      <c r="AR133" s="477"/>
      <c r="AS133" s="478"/>
      <c r="AT133" s="477"/>
      <c r="AU133" s="478"/>
      <c r="AV133" s="477"/>
      <c r="AW133" s="478"/>
      <c r="AX133" s="478"/>
      <c r="AY133" s="477"/>
      <c r="AZ133" s="478"/>
      <c r="BA133" s="477"/>
      <c r="BB133" s="478"/>
      <c r="BC133" s="477"/>
      <c r="BD133" s="478"/>
      <c r="BE133" s="477"/>
      <c r="BF133" s="478"/>
      <c r="BG133" s="477"/>
      <c r="BH133" s="478"/>
      <c r="BI133" s="477"/>
      <c r="BJ133" s="478"/>
      <c r="BK133" s="477"/>
      <c r="BL133" s="478"/>
      <c r="BM133" s="477"/>
      <c r="BN133" s="478"/>
      <c r="BO133" s="477"/>
      <c r="BP133" s="478"/>
      <c r="BQ133" s="477"/>
      <c r="BR133" s="478"/>
      <c r="BS133" s="477"/>
      <c r="BT133" s="478"/>
      <c r="BU133" s="477"/>
      <c r="BV133" s="478"/>
      <c r="BW133" s="477"/>
      <c r="BX133" s="478"/>
      <c r="BY133" s="477"/>
      <c r="BZ133" s="478"/>
      <c r="CA133" s="477"/>
      <c r="CB133" s="478"/>
      <c r="CC133" s="477"/>
      <c r="CD133" s="478"/>
      <c r="CE133" s="477"/>
      <c r="CF133" s="478"/>
      <c r="CG133" s="477"/>
      <c r="CH133" s="478"/>
      <c r="CI133" s="477"/>
      <c r="CJ133" s="478"/>
      <c r="CK133" s="477"/>
      <c r="CL133" s="478"/>
      <c r="CM133" s="478"/>
    </row>
    <row r="134" spans="1:91" s="480" customFormat="1" ht="12" hidden="1" customHeight="1" outlineLevel="1" x14ac:dyDescent="0.2">
      <c r="A134" s="527" t="s">
        <v>243</v>
      </c>
      <c r="B134" s="528"/>
      <c r="C134" s="529" t="str">
        <f>INPUT!D$4</f>
        <v>1Q13/</v>
      </c>
      <c r="D134" s="528"/>
      <c r="E134" s="529" t="str">
        <f>INPUT!F$4</f>
        <v>2Q13/</v>
      </c>
      <c r="F134" s="528"/>
      <c r="G134" s="529" t="str">
        <f>INPUT!H$4</f>
        <v>3Q13/</v>
      </c>
      <c r="H134" s="528"/>
      <c r="I134" s="529" t="str">
        <f>INPUT!J$4</f>
        <v>4Q13/</v>
      </c>
      <c r="J134" s="528"/>
      <c r="K134" s="529" t="str">
        <f>INPUT!L$4</f>
        <v>1Q14/</v>
      </c>
      <c r="L134" s="528"/>
      <c r="M134" s="529" t="str">
        <f>INPUT!N$4</f>
        <v>2Q14/</v>
      </c>
      <c r="N134" s="528"/>
      <c r="O134" s="529" t="str">
        <f>INPUT!P$4</f>
        <v>3Q14/</v>
      </c>
      <c r="P134" s="528"/>
      <c r="Q134" s="529" t="str">
        <f>INPUT!R$4</f>
        <v>4Q14/</v>
      </c>
      <c r="R134" s="528"/>
      <c r="S134" s="529" t="str">
        <f>INPUT!T$4</f>
        <v>1Q15/</v>
      </c>
      <c r="T134" s="528"/>
      <c r="U134" s="529" t="str">
        <f>INPUT!V$4</f>
        <v>2Q15/</v>
      </c>
      <c r="V134" s="528"/>
      <c r="W134" s="529" t="str">
        <f>INPUT!X$4</f>
        <v>3Q15/</v>
      </c>
      <c r="X134" s="528"/>
      <c r="Y134" s="529" t="str">
        <f>INPUT!Z$4</f>
        <v>4Q15/</v>
      </c>
      <c r="Z134" s="528"/>
      <c r="AA134" s="529" t="str">
        <f>INPUT!AB$4</f>
        <v>1Q16/</v>
      </c>
      <c r="AB134" s="528"/>
      <c r="AC134" s="529" t="str">
        <f>INPUT!AD$4</f>
        <v>2Q16/</v>
      </c>
      <c r="AD134" s="528"/>
      <c r="AE134" s="529" t="str">
        <f>INPUT!AF$4</f>
        <v>3Q16/</v>
      </c>
      <c r="AF134" s="528"/>
      <c r="AG134" s="529" t="str">
        <f>INPUT!AH$4</f>
        <v>4Q16/</v>
      </c>
      <c r="AH134" s="528"/>
      <c r="AI134" s="529" t="str">
        <f>INPUT!AJ$4</f>
        <v>1Q17/</v>
      </c>
      <c r="AJ134" s="528"/>
      <c r="AK134" s="529" t="str">
        <f>INPUT!AL$4</f>
        <v>2Q17/</v>
      </c>
      <c r="AL134" s="528"/>
      <c r="AM134" s="529" t="str">
        <f>INPUT!AN$4</f>
        <v>3Q17/</v>
      </c>
      <c r="AN134" s="528"/>
      <c r="AO134" s="529" t="str">
        <f>INPUT!AP$4</f>
        <v>4Q17/</v>
      </c>
      <c r="AP134" s="528"/>
      <c r="AQ134" s="529" t="str">
        <f>INPUT!AR$4</f>
        <v>1Q18E/</v>
      </c>
      <c r="AR134" s="528"/>
      <c r="AS134" s="529" t="str">
        <f>INPUT!AT$4</f>
        <v>2Q18E/</v>
      </c>
      <c r="AT134" s="528"/>
      <c r="AU134" s="529" t="str">
        <f>INPUT!AV$4</f>
        <v>3Q18E/</v>
      </c>
      <c r="AV134" s="528"/>
      <c r="AW134" s="529" t="str">
        <f>INPUT!AX$4</f>
        <v>4Q18E/</v>
      </c>
      <c r="AX134" s="528"/>
      <c r="AY134" s="528"/>
      <c r="AZ134" s="529"/>
      <c r="BA134" s="528"/>
      <c r="BB134" s="529"/>
      <c r="BC134" s="528"/>
      <c r="BD134" s="529"/>
      <c r="BE134" s="528"/>
      <c r="BF134" s="529"/>
      <c r="BG134" s="528"/>
      <c r="BH134" s="529"/>
      <c r="BI134" s="528"/>
      <c r="BJ134" s="529"/>
      <c r="BK134" s="528"/>
      <c r="BL134" s="529"/>
      <c r="BM134" s="528"/>
      <c r="BN134" s="529"/>
      <c r="BO134" s="528"/>
      <c r="BP134" s="529"/>
      <c r="BQ134" s="528"/>
      <c r="BR134" s="529"/>
      <c r="BS134" s="528"/>
      <c r="BT134" s="529" t="str">
        <f>INPUT!BC$4</f>
        <v>2013/</v>
      </c>
      <c r="BU134" s="528"/>
      <c r="BV134" s="529" t="str">
        <f>INPUT!BE$4</f>
        <v>2014/</v>
      </c>
      <c r="BW134" s="528"/>
      <c r="BX134" s="529" t="str">
        <f>INPUT!BG$4</f>
        <v>2015/</v>
      </c>
      <c r="BY134" s="528"/>
      <c r="BZ134" s="529" t="str">
        <f>INPUT!BI$4</f>
        <v>2016/</v>
      </c>
      <c r="CA134" s="528"/>
      <c r="CB134" s="529" t="str">
        <f>INPUT!BK$4</f>
        <v>2017/</v>
      </c>
      <c r="CC134" s="528"/>
      <c r="CD134" s="529" t="str">
        <f>INPUT!BM$4</f>
        <v>2018E/</v>
      </c>
      <c r="CE134" s="528"/>
      <c r="CF134" s="529" t="str">
        <f>INPUT!BO$4</f>
        <v>2019E/</v>
      </c>
      <c r="CG134" s="528"/>
      <c r="CH134" s="529" t="str">
        <f>INPUT!BQ$4</f>
        <v>2020E/</v>
      </c>
      <c r="CI134" s="528"/>
      <c r="CJ134" s="529" t="str">
        <f>INPUT!BS$4</f>
        <v>2021E/</v>
      </c>
      <c r="CK134" s="528"/>
      <c r="CL134" s="529" t="str">
        <f>INPUT!BU$4</f>
        <v>2022E/</v>
      </c>
      <c r="CM134" s="529" t="str">
        <f>INPUT!BV$4</f>
        <v>5-Yr</v>
      </c>
    </row>
    <row r="135" spans="1:91" s="480" customFormat="1" ht="12" hidden="1" customHeight="1" outlineLevel="1" x14ac:dyDescent="0.2">
      <c r="A135" s="481"/>
      <c r="B135" s="479"/>
      <c r="C135" s="478">
        <f>INPUT!D$5</f>
        <v>0</v>
      </c>
      <c r="D135" s="479"/>
      <c r="E135" s="478">
        <f>INPUT!F$5</f>
        <v>0</v>
      </c>
      <c r="F135" s="479"/>
      <c r="G135" s="478">
        <f>INPUT!H$5</f>
        <v>0</v>
      </c>
      <c r="H135" s="479"/>
      <c r="I135" s="478">
        <f>INPUT!J$5</f>
        <v>0</v>
      </c>
      <c r="J135" s="479"/>
      <c r="K135" s="478" t="str">
        <f>INPUT!L$5</f>
        <v>1Q13</v>
      </c>
      <c r="L135" s="479"/>
      <c r="M135" s="478" t="str">
        <f>INPUT!N$5</f>
        <v>2Q13</v>
      </c>
      <c r="N135" s="479"/>
      <c r="O135" s="478" t="str">
        <f>INPUT!P$5</f>
        <v>3Q13</v>
      </c>
      <c r="P135" s="479"/>
      <c r="Q135" s="478" t="str">
        <f>INPUT!R$5</f>
        <v>4Q13</v>
      </c>
      <c r="R135" s="479"/>
      <c r="S135" s="478" t="str">
        <f>INPUT!T$5</f>
        <v>1Q14</v>
      </c>
      <c r="T135" s="479"/>
      <c r="U135" s="478" t="str">
        <f>INPUT!V$5</f>
        <v>2Q14</v>
      </c>
      <c r="V135" s="479"/>
      <c r="W135" s="478" t="str">
        <f>INPUT!X$5</f>
        <v>3Q14</v>
      </c>
      <c r="X135" s="479"/>
      <c r="Y135" s="478" t="str">
        <f>INPUT!Z$5</f>
        <v>4Q14</v>
      </c>
      <c r="Z135" s="479"/>
      <c r="AA135" s="478" t="str">
        <f>INPUT!AB$5</f>
        <v>1Q15</v>
      </c>
      <c r="AB135" s="479"/>
      <c r="AC135" s="478" t="str">
        <f>INPUT!AD$5</f>
        <v>2Q15</v>
      </c>
      <c r="AD135" s="479"/>
      <c r="AE135" s="478" t="str">
        <f>INPUT!AF$5</f>
        <v>3Q15</v>
      </c>
      <c r="AF135" s="479"/>
      <c r="AG135" s="478" t="str">
        <f>INPUT!AH$5</f>
        <v>4Q15</v>
      </c>
      <c r="AH135" s="479"/>
      <c r="AI135" s="478" t="str">
        <f>INPUT!AJ$5</f>
        <v>1Q16</v>
      </c>
      <c r="AJ135" s="479"/>
      <c r="AK135" s="478" t="str">
        <f>INPUT!AL$5</f>
        <v>2Q16</v>
      </c>
      <c r="AL135" s="479"/>
      <c r="AM135" s="478" t="str">
        <f>INPUT!AN$5</f>
        <v>3Q16</v>
      </c>
      <c r="AN135" s="479"/>
      <c r="AO135" s="478" t="str">
        <f>INPUT!AP$5</f>
        <v>4Q16</v>
      </c>
      <c r="AP135" s="479"/>
      <c r="AQ135" s="478" t="str">
        <f>INPUT!AR$5</f>
        <v>1Q17</v>
      </c>
      <c r="AR135" s="479"/>
      <c r="AS135" s="478" t="str">
        <f>INPUT!AT$5</f>
        <v>2Q17</v>
      </c>
      <c r="AT135" s="479"/>
      <c r="AU135" s="478" t="str">
        <f>INPUT!AV$5</f>
        <v>3Q17</v>
      </c>
      <c r="AV135" s="479"/>
      <c r="AW135" s="478" t="str">
        <f>INPUT!AX$5</f>
        <v>4Q17</v>
      </c>
      <c r="AX135" s="479"/>
      <c r="AY135" s="479"/>
      <c r="AZ135" s="478"/>
      <c r="BA135" s="482"/>
      <c r="BB135" s="478"/>
      <c r="BC135" s="479"/>
      <c r="BD135" s="478"/>
      <c r="BE135" s="479"/>
      <c r="BF135" s="478"/>
      <c r="BG135" s="479"/>
      <c r="BH135" s="478"/>
      <c r="BI135" s="479"/>
      <c r="BJ135" s="478"/>
      <c r="BK135" s="479"/>
      <c r="BL135" s="478"/>
      <c r="BM135" s="479"/>
      <c r="BN135" s="478"/>
      <c r="BO135" s="479"/>
      <c r="BP135" s="478"/>
      <c r="BQ135" s="479"/>
      <c r="BR135" s="478"/>
      <c r="BS135" s="479"/>
      <c r="BT135" s="478">
        <f>INPUT!BC$5</f>
        <v>0</v>
      </c>
      <c r="BU135" s="479"/>
      <c r="BV135" s="478" t="str">
        <f>INPUT!BE$5</f>
        <v>2013</v>
      </c>
      <c r="BW135" s="479"/>
      <c r="BX135" s="478" t="str">
        <f>INPUT!BG$5</f>
        <v>2014</v>
      </c>
      <c r="BY135" s="479"/>
      <c r="BZ135" s="478" t="str">
        <f>INPUT!BI$5</f>
        <v>2015</v>
      </c>
      <c r="CA135" s="479"/>
      <c r="CB135" s="478" t="str">
        <f>INPUT!BK$5</f>
        <v>2016</v>
      </c>
      <c r="CC135" s="479"/>
      <c r="CD135" s="478" t="str">
        <f>INPUT!BM$5</f>
        <v>2017</v>
      </c>
      <c r="CE135" s="479"/>
      <c r="CF135" s="478" t="str">
        <f>INPUT!BO$5</f>
        <v>2018E</v>
      </c>
      <c r="CG135" s="479"/>
      <c r="CH135" s="478" t="str">
        <f>INPUT!BQ$5</f>
        <v>2019E</v>
      </c>
      <c r="CI135" s="479"/>
      <c r="CJ135" s="478" t="str">
        <f>INPUT!BS$5</f>
        <v>2020E</v>
      </c>
      <c r="CK135" s="479"/>
      <c r="CL135" s="478" t="str">
        <f>INPUT!BU$5</f>
        <v>2021E</v>
      </c>
      <c r="CM135" s="478" t="str">
        <f>INPUT!BV$5</f>
        <v>CAGR</v>
      </c>
    </row>
    <row r="136" spans="1:91" s="480" customFormat="1" ht="12" hidden="1" customHeight="1" outlineLevel="1" x14ac:dyDescent="0.2">
      <c r="A136" s="483"/>
      <c r="B136" s="484" t="str">
        <f>INPUT!C$6</f>
        <v>1Q13</v>
      </c>
      <c r="C136" s="485" t="str">
        <f>INPUT!D$6</f>
        <v>% Chg</v>
      </c>
      <c r="D136" s="484" t="str">
        <f>INPUT!E$6</f>
        <v>2Q13</v>
      </c>
      <c r="E136" s="485" t="str">
        <f>INPUT!F$6</f>
        <v>% Chg</v>
      </c>
      <c r="F136" s="484" t="str">
        <f>INPUT!G$6</f>
        <v>3Q13</v>
      </c>
      <c r="G136" s="485" t="str">
        <f>INPUT!H$6</f>
        <v>% Chg</v>
      </c>
      <c r="H136" s="484" t="str">
        <f>INPUT!I$6</f>
        <v>4Q13</v>
      </c>
      <c r="I136" s="485" t="str">
        <f>INPUT!J$6</f>
        <v>% Chg</v>
      </c>
      <c r="J136" s="484" t="str">
        <f>INPUT!K$6</f>
        <v>1Q14</v>
      </c>
      <c r="K136" s="485" t="str">
        <f>INPUT!L$6</f>
        <v>% Chg</v>
      </c>
      <c r="L136" s="484" t="str">
        <f>INPUT!M$6</f>
        <v>2Q14</v>
      </c>
      <c r="M136" s="485" t="str">
        <f>INPUT!N$6</f>
        <v>% Chg</v>
      </c>
      <c r="N136" s="484" t="str">
        <f>INPUT!O$6</f>
        <v>3Q14</v>
      </c>
      <c r="O136" s="485" t="str">
        <f>INPUT!P$6</f>
        <v>% Chg</v>
      </c>
      <c r="P136" s="484" t="str">
        <f>INPUT!Q$6</f>
        <v>4Q14</v>
      </c>
      <c r="Q136" s="485" t="str">
        <f>INPUT!R$6</f>
        <v>% Chg</v>
      </c>
      <c r="R136" s="484" t="str">
        <f>INPUT!S$6</f>
        <v>1Q15</v>
      </c>
      <c r="S136" s="485" t="str">
        <f>INPUT!T$6</f>
        <v>% Chg</v>
      </c>
      <c r="T136" s="484" t="str">
        <f>INPUT!U$6</f>
        <v>2Q15</v>
      </c>
      <c r="U136" s="485" t="str">
        <f>INPUT!V$6</f>
        <v>% Chg</v>
      </c>
      <c r="V136" s="484" t="str">
        <f>INPUT!W$6</f>
        <v>3Q15</v>
      </c>
      <c r="W136" s="485" t="str">
        <f>INPUT!X$6</f>
        <v>% Chg</v>
      </c>
      <c r="X136" s="484" t="str">
        <f>INPUT!Y$6</f>
        <v>4Q15</v>
      </c>
      <c r="Y136" s="485" t="str">
        <f>INPUT!Z$6</f>
        <v>% Chg</v>
      </c>
      <c r="Z136" s="484" t="str">
        <f>INPUT!AA$6</f>
        <v>1Q16</v>
      </c>
      <c r="AA136" s="485" t="str">
        <f>INPUT!AB$6</f>
        <v>% Chg</v>
      </c>
      <c r="AB136" s="484" t="str">
        <f>INPUT!AC$6</f>
        <v>2Q16</v>
      </c>
      <c r="AC136" s="485" t="str">
        <f>INPUT!AD$6</f>
        <v>% Chg</v>
      </c>
      <c r="AD136" s="484" t="str">
        <f>INPUT!AE$6</f>
        <v>3Q16</v>
      </c>
      <c r="AE136" s="485" t="str">
        <f>INPUT!AF$6</f>
        <v>% Chg</v>
      </c>
      <c r="AF136" s="484" t="str">
        <f>INPUT!AG$6</f>
        <v>4Q16</v>
      </c>
      <c r="AG136" s="485" t="str">
        <f>INPUT!AH$6</f>
        <v>% Chg</v>
      </c>
      <c r="AH136" s="484" t="str">
        <f>INPUT!AI$6</f>
        <v>1Q17</v>
      </c>
      <c r="AI136" s="485" t="str">
        <f>INPUT!AJ$6</f>
        <v>% Chg</v>
      </c>
      <c r="AJ136" s="484" t="str">
        <f>INPUT!AK$6</f>
        <v>2Q17</v>
      </c>
      <c r="AK136" s="485" t="str">
        <f>INPUT!AL$6</f>
        <v>% Chg</v>
      </c>
      <c r="AL136" s="484" t="str">
        <f>INPUT!AM$6</f>
        <v>3Q17</v>
      </c>
      <c r="AM136" s="485" t="str">
        <f>INPUT!AN$6</f>
        <v>% Chg</v>
      </c>
      <c r="AN136" s="484" t="str">
        <f>INPUT!AO$6</f>
        <v>4Q17</v>
      </c>
      <c r="AO136" s="485" t="str">
        <f>INPUT!AP$6</f>
        <v>% Chg</v>
      </c>
      <c r="AP136" s="484" t="str">
        <f>INPUT!AQ$6</f>
        <v>1Q18E</v>
      </c>
      <c r="AQ136" s="485" t="str">
        <f>INPUT!AR$6</f>
        <v>% Chg</v>
      </c>
      <c r="AR136" s="484" t="str">
        <f>INPUT!AS$6</f>
        <v>2Q18E</v>
      </c>
      <c r="AS136" s="485" t="str">
        <f>INPUT!AT$6</f>
        <v>% Chg</v>
      </c>
      <c r="AT136" s="484" t="str">
        <f>INPUT!AU$6</f>
        <v>3Q18E</v>
      </c>
      <c r="AU136" s="485" t="str">
        <f>INPUT!AV$6</f>
        <v>% Chg</v>
      </c>
      <c r="AV136" s="484" t="str">
        <f>INPUT!AW$6</f>
        <v>4Q18E</v>
      </c>
      <c r="AW136" s="485" t="str">
        <f>INPUT!AX$6</f>
        <v>% Chg</v>
      </c>
      <c r="AX136" s="484"/>
      <c r="AY136" s="486"/>
      <c r="AZ136" s="485"/>
      <c r="BA136" s="486"/>
      <c r="BB136" s="485"/>
      <c r="BC136" s="486"/>
      <c r="BD136" s="485"/>
      <c r="BE136" s="487"/>
      <c r="BF136" s="485"/>
      <c r="BG136" s="487"/>
      <c r="BH136" s="485"/>
      <c r="BI136" s="487"/>
      <c r="BJ136" s="485"/>
      <c r="BK136" s="487"/>
      <c r="BL136" s="485"/>
      <c r="BM136" s="484"/>
      <c r="BN136" s="485"/>
      <c r="BO136" s="484"/>
      <c r="BP136" s="485"/>
      <c r="BQ136" s="484"/>
      <c r="BR136" s="485"/>
      <c r="BS136" s="484" t="str">
        <f>INPUT!BB$6</f>
        <v>2013</v>
      </c>
      <c r="BT136" s="485" t="str">
        <f>INPUT!BC$6</f>
        <v>% Chg</v>
      </c>
      <c r="BU136" s="484" t="str">
        <f>INPUT!BD$6</f>
        <v>2014</v>
      </c>
      <c r="BV136" s="485" t="str">
        <f>INPUT!BE$6</f>
        <v>% Chg</v>
      </c>
      <c r="BW136" s="484" t="str">
        <f>INPUT!BF$6</f>
        <v>2015</v>
      </c>
      <c r="BX136" s="485" t="str">
        <f>INPUT!BG$6</f>
        <v>% Chg</v>
      </c>
      <c r="BY136" s="484" t="str">
        <f>INPUT!BH$6</f>
        <v>2016</v>
      </c>
      <c r="BZ136" s="485" t="str">
        <f>INPUT!BI$6</f>
        <v>% Chg</v>
      </c>
      <c r="CA136" s="484" t="str">
        <f>INPUT!BJ$6</f>
        <v>2017</v>
      </c>
      <c r="CB136" s="485" t="str">
        <f>INPUT!BK$6</f>
        <v>% Chg</v>
      </c>
      <c r="CC136" s="484" t="str">
        <f>INPUT!BL$6</f>
        <v>2018E</v>
      </c>
      <c r="CD136" s="485" t="str">
        <f>INPUT!BM$6</f>
        <v>% Chg</v>
      </c>
      <c r="CE136" s="484" t="str">
        <f>INPUT!BN$6</f>
        <v>2019E</v>
      </c>
      <c r="CF136" s="485" t="str">
        <f>INPUT!BO$6</f>
        <v>% Chg</v>
      </c>
      <c r="CG136" s="484" t="str">
        <f>INPUT!BP$6</f>
        <v>2020E</v>
      </c>
      <c r="CH136" s="485" t="str">
        <f>INPUT!BQ$6</f>
        <v>% Chg</v>
      </c>
      <c r="CI136" s="484" t="str">
        <f>INPUT!BR$6</f>
        <v>2021E</v>
      </c>
      <c r="CJ136" s="485" t="str">
        <f>INPUT!BS$6</f>
        <v>% Chg</v>
      </c>
      <c r="CK136" s="484" t="str">
        <f>INPUT!BT$6</f>
        <v>2022E</v>
      </c>
      <c r="CL136" s="485" t="str">
        <f>INPUT!BU$6</f>
        <v>% Chg</v>
      </c>
      <c r="CM136" s="485" t="str">
        <f>INPUT!BV$6</f>
        <v>(%)</v>
      </c>
    </row>
    <row r="137" spans="1:91" s="475" customFormat="1" ht="12" hidden="1" customHeight="1" outlineLevel="1" x14ac:dyDescent="0.2">
      <c r="A137" s="489"/>
      <c r="B137" s="490"/>
      <c r="C137" s="491"/>
      <c r="D137" s="490"/>
      <c r="E137" s="478"/>
      <c r="F137" s="490"/>
      <c r="G137" s="478"/>
      <c r="H137" s="490"/>
      <c r="I137" s="478"/>
      <c r="J137" s="490"/>
      <c r="K137" s="478"/>
      <c r="L137" s="490"/>
      <c r="M137" s="478"/>
      <c r="N137" s="490"/>
      <c r="O137" s="478"/>
      <c r="P137" s="490"/>
      <c r="Q137" s="478"/>
      <c r="R137" s="490"/>
      <c r="S137" s="478"/>
      <c r="T137" s="490"/>
      <c r="U137" s="478"/>
      <c r="V137" s="490"/>
      <c r="W137" s="478"/>
      <c r="X137" s="490"/>
      <c r="Y137" s="478"/>
      <c r="Z137" s="490"/>
      <c r="AA137" s="478"/>
      <c r="AB137" s="490"/>
      <c r="AC137" s="478"/>
      <c r="AD137" s="490"/>
      <c r="AE137" s="478"/>
      <c r="AF137" s="490"/>
      <c r="AG137" s="478"/>
      <c r="AH137" s="490"/>
      <c r="AI137" s="478"/>
      <c r="AJ137" s="490"/>
      <c r="AK137" s="478"/>
      <c r="AL137" s="490"/>
      <c r="AM137" s="478"/>
      <c r="AN137" s="490"/>
      <c r="AO137" s="478"/>
      <c r="AP137" s="490"/>
      <c r="AQ137" s="478"/>
      <c r="AR137" s="490"/>
      <c r="AS137" s="478"/>
      <c r="AT137" s="490"/>
      <c r="AU137" s="478"/>
      <c r="AV137" s="490"/>
      <c r="AW137" s="478"/>
      <c r="AX137" s="490"/>
      <c r="AY137" s="490"/>
      <c r="AZ137" s="491"/>
      <c r="BA137" s="490"/>
      <c r="BB137" s="491"/>
      <c r="BC137" s="490"/>
      <c r="BD137" s="491"/>
      <c r="BE137" s="490"/>
      <c r="BF137" s="478"/>
      <c r="BG137" s="490"/>
      <c r="BH137" s="478"/>
      <c r="BI137" s="490"/>
      <c r="BJ137" s="478"/>
      <c r="BK137" s="490"/>
      <c r="BL137" s="478"/>
      <c r="BM137" s="490"/>
      <c r="BN137" s="478"/>
      <c r="BO137" s="490"/>
      <c r="BP137" s="478"/>
      <c r="BQ137" s="490"/>
      <c r="BR137" s="478"/>
      <c r="BS137" s="490"/>
      <c r="BT137" s="478"/>
      <c r="BU137" s="490"/>
      <c r="BV137" s="478"/>
      <c r="BW137" s="490"/>
      <c r="BX137" s="478"/>
      <c r="BY137" s="490"/>
      <c r="BZ137" s="478"/>
      <c r="CA137" s="490"/>
      <c r="CB137" s="478"/>
      <c r="CC137" s="490"/>
      <c r="CD137" s="478"/>
      <c r="CE137" s="490"/>
      <c r="CF137" s="478"/>
      <c r="CG137" s="490"/>
      <c r="CH137" s="478"/>
      <c r="CI137" s="490"/>
      <c r="CJ137" s="478"/>
      <c r="CK137" s="490"/>
      <c r="CL137" s="478"/>
      <c r="CM137" s="491"/>
    </row>
    <row r="138" spans="1:91" s="475" customFormat="1" ht="12" hidden="1" customHeight="1" outlineLevel="1" x14ac:dyDescent="0.2">
      <c r="A138" s="489" t="s">
        <v>156</v>
      </c>
      <c r="B138" s="490"/>
      <c r="C138" s="491"/>
      <c r="D138" s="490"/>
      <c r="E138" s="478"/>
      <c r="F138" s="490"/>
      <c r="G138" s="478"/>
      <c r="H138" s="490"/>
      <c r="I138" s="478"/>
      <c r="J138" s="490"/>
      <c r="K138" s="478"/>
      <c r="L138" s="490"/>
      <c r="M138" s="478"/>
      <c r="N138" s="490"/>
      <c r="O138" s="478"/>
      <c r="P138" s="490"/>
      <c r="Q138" s="478"/>
      <c r="R138" s="490"/>
      <c r="S138" s="478"/>
      <c r="T138" s="490"/>
      <c r="U138" s="478"/>
      <c r="V138" s="490"/>
      <c r="W138" s="478"/>
      <c r="X138" s="490"/>
      <c r="Y138" s="478"/>
      <c r="Z138" s="490"/>
      <c r="AA138" s="478"/>
      <c r="AB138" s="490"/>
      <c r="AC138" s="478"/>
      <c r="AD138" s="490"/>
      <c r="AE138" s="478"/>
      <c r="AF138" s="490"/>
      <c r="AG138" s="478"/>
      <c r="AH138" s="490"/>
      <c r="AI138" s="478"/>
      <c r="AJ138" s="490"/>
      <c r="AK138" s="478"/>
      <c r="AL138" s="490"/>
      <c r="AM138" s="478"/>
      <c r="AN138" s="490"/>
      <c r="AO138" s="478"/>
      <c r="AP138" s="490"/>
      <c r="AQ138" s="478"/>
      <c r="AR138" s="490"/>
      <c r="AS138" s="478"/>
      <c r="AT138" s="490"/>
      <c r="AU138" s="478"/>
      <c r="AV138" s="490"/>
      <c r="AW138" s="478"/>
      <c r="AX138" s="490"/>
      <c r="AY138" s="490"/>
      <c r="AZ138" s="491"/>
      <c r="BA138" s="490"/>
      <c r="BB138" s="491"/>
      <c r="BC138" s="490"/>
      <c r="BD138" s="491"/>
      <c r="BE138" s="490"/>
      <c r="BF138" s="478"/>
      <c r="BG138" s="490"/>
      <c r="BH138" s="478"/>
      <c r="BI138" s="490"/>
      <c r="BJ138" s="478"/>
      <c r="BK138" s="490"/>
      <c r="BL138" s="478"/>
      <c r="BM138" s="490"/>
      <c r="BN138" s="478"/>
      <c r="BO138" s="490"/>
      <c r="BP138" s="478"/>
      <c r="BQ138" s="490"/>
      <c r="BR138" s="478"/>
      <c r="BS138" s="490"/>
      <c r="BT138" s="478"/>
      <c r="BU138" s="490"/>
      <c r="BV138" s="478"/>
      <c r="BW138" s="490"/>
      <c r="BX138" s="478"/>
      <c r="BY138" s="490"/>
      <c r="BZ138" s="478"/>
      <c r="CA138" s="490"/>
      <c r="CB138" s="478"/>
      <c r="CC138" s="490"/>
      <c r="CD138" s="478"/>
      <c r="CE138" s="490"/>
      <c r="CF138" s="478"/>
      <c r="CG138" s="490"/>
      <c r="CH138" s="478"/>
      <c r="CI138" s="490"/>
      <c r="CJ138" s="478"/>
      <c r="CK138" s="490"/>
      <c r="CL138" s="478"/>
      <c r="CM138" s="491"/>
    </row>
    <row r="139" spans="1:91" s="475" customFormat="1" ht="12" hidden="1" customHeight="1" outlineLevel="1" x14ac:dyDescent="0.2">
      <c r="A139" s="481" t="s">
        <v>463</v>
      </c>
      <c r="B139" s="524"/>
      <c r="C139" s="522"/>
      <c r="D139" s="536"/>
      <c r="E139" s="474"/>
      <c r="F139" s="536"/>
      <c r="G139" s="474"/>
      <c r="H139" s="536"/>
      <c r="I139" s="474"/>
      <c r="J139" s="536"/>
      <c r="K139" s="474"/>
      <c r="L139" s="536"/>
      <c r="M139" s="474"/>
      <c r="N139" s="536">
        <f>+INPUT!O34</f>
        <v>175300</v>
      </c>
      <c r="O139" s="474" t="str">
        <f>+INPUT!P34</f>
        <v>NA</v>
      </c>
      <c r="P139" s="536">
        <f>+INPUT!Q34</f>
        <v>172900</v>
      </c>
      <c r="Q139" s="474" t="str">
        <f>+INPUT!R34</f>
        <v>NA</v>
      </c>
      <c r="R139" s="536">
        <f>+INPUT!S34</f>
        <v>176700</v>
      </c>
      <c r="S139" s="474" t="str">
        <f>+INPUT!T34</f>
        <v>NA</v>
      </c>
      <c r="T139" s="536">
        <f>+INPUT!U34</f>
        <v>182200</v>
      </c>
      <c r="U139" s="474" t="str">
        <f>+INPUT!V34</f>
        <v>NA</v>
      </c>
      <c r="V139" s="536">
        <f>+INPUT!W34</f>
        <v>182900</v>
      </c>
      <c r="W139" s="474">
        <f>+INPUT!X34</f>
        <v>4.3354249857387401</v>
      </c>
      <c r="X139" s="536">
        <f>+INPUT!Y34</f>
        <v>173300</v>
      </c>
      <c r="Y139" s="474">
        <f>+INPUT!Z34</f>
        <v>0.23134759976866803</v>
      </c>
      <c r="Z139" s="536">
        <f>+INPUT!AA34</f>
        <v>176700</v>
      </c>
      <c r="AA139" s="474">
        <f>+INPUT!AB34</f>
        <v>0</v>
      </c>
      <c r="AB139" s="536">
        <f>+INPUT!AC34</f>
        <v>181100</v>
      </c>
      <c r="AC139" s="474">
        <f>+INPUT!AD34</f>
        <v>-0.60373216245884009</v>
      </c>
      <c r="AD139" s="536">
        <f>+INPUT!AE34</f>
        <v>184500</v>
      </c>
      <c r="AE139" s="474">
        <f>+INPUT!AF34</f>
        <v>0.87479496992892791</v>
      </c>
      <c r="AF139" s="536">
        <f>+INPUT!AG34</f>
        <v>192200</v>
      </c>
      <c r="AG139" s="474">
        <f>+INPUT!AH34</f>
        <v>10.905943450663585</v>
      </c>
      <c r="AH139" s="536">
        <f>+INPUT!AI34</f>
        <v>193800</v>
      </c>
      <c r="AI139" s="474">
        <f>+INPUT!AJ34</f>
        <v>9.6774193548387046</v>
      </c>
      <c r="AJ139" s="536">
        <f>+INPUT!AK34</f>
        <v>203800</v>
      </c>
      <c r="AK139" s="474">
        <f>+INPUT!AL34</f>
        <v>12.534511319712863</v>
      </c>
      <c r="AL139" s="536">
        <f>+INPUT!AM34</f>
        <v>210100</v>
      </c>
      <c r="AM139" s="474">
        <f>+INPUT!AN34</f>
        <v>13.875338753387538</v>
      </c>
      <c r="AN139" s="536">
        <f>+INPUT!AO34</f>
        <v>217400</v>
      </c>
      <c r="AO139" s="474">
        <f>+INPUT!AP34</f>
        <v>13.111342351716957</v>
      </c>
      <c r="AP139" s="536">
        <f>+INPUT!AQ34</f>
        <v>224000</v>
      </c>
      <c r="AQ139" s="474">
        <f>+INPUT!AR34</f>
        <v>15.583075335397311</v>
      </c>
      <c r="AR139" s="536">
        <f>+INPUT!AS34</f>
        <v>222011.8</v>
      </c>
      <c r="AS139" s="474">
        <f>+INPUT!AT34</f>
        <v>8.9361138370951778</v>
      </c>
      <c r="AT139" s="536">
        <f>+INPUT!AU34</f>
        <v>224426.0642930324</v>
      </c>
      <c r="AU139" s="474">
        <f>+INPUT!AV34</f>
        <v>6.8186883831663039</v>
      </c>
      <c r="AV139" s="536">
        <f>+INPUT!AW34</f>
        <v>226529.92674657167</v>
      </c>
      <c r="AW139" s="474">
        <f>+INPUT!AX34</f>
        <v>4.1995983194901925</v>
      </c>
      <c r="AX139" s="498"/>
      <c r="AY139" s="496"/>
      <c r="AZ139" s="533"/>
      <c r="BA139" s="496"/>
      <c r="BB139" s="533"/>
      <c r="BC139" s="496"/>
      <c r="BD139" s="533"/>
      <c r="BE139" s="496"/>
      <c r="BF139" s="474"/>
      <c r="BG139" s="496"/>
      <c r="BH139" s="474"/>
      <c r="BI139" s="496"/>
      <c r="BJ139" s="474"/>
      <c r="BK139" s="536"/>
      <c r="BL139" s="474"/>
      <c r="BM139" s="536"/>
      <c r="BN139" s="474"/>
      <c r="BO139" s="536"/>
      <c r="BP139" s="474"/>
      <c r="BQ139" s="536"/>
      <c r="BR139" s="474"/>
      <c r="BS139" s="536">
        <f>+INPUT!BB34</f>
        <v>0</v>
      </c>
      <c r="BT139" s="474" t="str">
        <f>+INPUT!BC34</f>
        <v>NA</v>
      </c>
      <c r="BU139" s="536">
        <f>+INPUT!BD34</f>
        <v>0</v>
      </c>
      <c r="BV139" s="474" t="str">
        <f>+INPUT!BE34</f>
        <v>NA</v>
      </c>
      <c r="BW139" s="536">
        <f>+INPUT!BF34</f>
        <v>176700</v>
      </c>
      <c r="BX139" s="474" t="str">
        <f>+INPUT!BG34</f>
        <v>NA</v>
      </c>
      <c r="BY139" s="536">
        <f>+INPUT!BH34</f>
        <v>176700</v>
      </c>
      <c r="BZ139" s="474">
        <f>+INPUT!BI34</f>
        <v>0</v>
      </c>
      <c r="CA139" s="536">
        <f>+INPUT!BJ34</f>
        <v>193800</v>
      </c>
      <c r="CB139" s="474">
        <f>+INPUT!BK34</f>
        <v>9.6774193548387046</v>
      </c>
      <c r="CC139" s="536">
        <f>+INPUT!BL34</f>
        <v>224000</v>
      </c>
      <c r="CD139" s="474">
        <f>+INPUT!BM34</f>
        <v>15.583075335397311</v>
      </c>
      <c r="CE139" s="536">
        <f>+INPUT!BN34</f>
        <v>228144.61872441421</v>
      </c>
      <c r="CF139" s="474">
        <f>+INPUT!BO34</f>
        <v>1.8502762162563471</v>
      </c>
      <c r="CG139" s="536">
        <f>+INPUT!BP34</f>
        <v>237497.52452641641</v>
      </c>
      <c r="CH139" s="474">
        <f>+INPUT!BQ34</f>
        <v>4.0995513522499465</v>
      </c>
      <c r="CI139" s="536">
        <f>+INPUT!BR34</f>
        <v>246882.27079051477</v>
      </c>
      <c r="CJ139" s="474">
        <f>+INPUT!BS34</f>
        <v>3.9515132980068302</v>
      </c>
      <c r="CK139" s="536">
        <f>+INPUT!BT34</f>
        <v>256326.56051177048</v>
      </c>
      <c r="CL139" s="474">
        <f>+INPUT!BU34</f>
        <v>3.8254224132884076</v>
      </c>
      <c r="CM139" s="474">
        <f>+INPUT!BV34</f>
        <v>5.7518485136699216</v>
      </c>
    </row>
    <row r="140" spans="1:91" s="475" customFormat="1" ht="12" hidden="1" customHeight="1" outlineLevel="1" x14ac:dyDescent="0.2">
      <c r="A140" s="481" t="s">
        <v>361</v>
      </c>
      <c r="B140" s="524"/>
      <c r="C140" s="522"/>
      <c r="D140" s="536"/>
      <c r="E140" s="474"/>
      <c r="F140" s="536"/>
      <c r="G140" s="474"/>
      <c r="H140" s="536"/>
      <c r="I140" s="474"/>
      <c r="J140" s="536"/>
      <c r="K140" s="474"/>
      <c r="L140" s="536"/>
      <c r="M140" s="474"/>
      <c r="N140" s="536">
        <f>+INPUT!O35</f>
        <v>6000</v>
      </c>
      <c r="O140" s="474" t="str">
        <f>+INPUT!P35</f>
        <v>NA</v>
      </c>
      <c r="P140" s="536">
        <f>+INPUT!Q35</f>
        <v>6300</v>
      </c>
      <c r="Q140" s="474" t="str">
        <f>+INPUT!R35</f>
        <v>NA</v>
      </c>
      <c r="R140" s="536">
        <f>+INPUT!S35</f>
        <v>8400</v>
      </c>
      <c r="S140" s="474" t="str">
        <f>+INPUT!T35</f>
        <v>NA</v>
      </c>
      <c r="T140" s="536">
        <f>+INPUT!U35</f>
        <v>6500</v>
      </c>
      <c r="U140" s="474" t="str">
        <f>+INPUT!V35</f>
        <v>NA</v>
      </c>
      <c r="V140" s="536">
        <f>+INPUT!W35</f>
        <v>6200</v>
      </c>
      <c r="W140" s="474">
        <f>+INPUT!X35</f>
        <v>3.3333333333333428</v>
      </c>
      <c r="X140" s="536">
        <f>+INPUT!Y35</f>
        <v>6700</v>
      </c>
      <c r="Y140" s="474">
        <f>+INPUT!Z35</f>
        <v>6.3492063492063551</v>
      </c>
      <c r="Z140" s="536">
        <f>+INPUT!AA35</f>
        <v>9200</v>
      </c>
      <c r="AA140" s="474">
        <f>+INPUT!AB35</f>
        <v>9.5238095238095326</v>
      </c>
      <c r="AB140" s="536">
        <f>+INPUT!AC35</f>
        <v>7200</v>
      </c>
      <c r="AC140" s="474">
        <f>+INPUT!AD35</f>
        <v>10.769230769230774</v>
      </c>
      <c r="AD140" s="536">
        <f>+INPUT!AE35</f>
        <v>7200</v>
      </c>
      <c r="AE140" s="474">
        <f>+INPUT!AF35</f>
        <v>16.129032258064527</v>
      </c>
      <c r="AF140" s="536">
        <f>+INPUT!AG35</f>
        <v>7800</v>
      </c>
      <c r="AG140" s="474">
        <f>+INPUT!AH35</f>
        <v>16.417910447761201</v>
      </c>
      <c r="AH140" s="536">
        <f>+INPUT!AI35</f>
        <v>9300</v>
      </c>
      <c r="AI140" s="474">
        <f>+INPUT!AJ35</f>
        <v>1.0869565217391397</v>
      </c>
      <c r="AJ140" s="536">
        <f>+INPUT!AK35</f>
        <v>8100</v>
      </c>
      <c r="AK140" s="474">
        <f>+INPUT!AL35</f>
        <v>12.5</v>
      </c>
      <c r="AL140" s="536">
        <f>+INPUT!AM35</f>
        <v>7500</v>
      </c>
      <c r="AM140" s="474">
        <f>+INPUT!AN35</f>
        <v>4.1666666666666714</v>
      </c>
      <c r="AN140" s="536">
        <f>+INPUT!AO35</f>
        <v>7700</v>
      </c>
      <c r="AO140" s="474">
        <f>+INPUT!AP35</f>
        <v>-1.2820512820512704</v>
      </c>
      <c r="AP140" s="536">
        <f>+INPUT!AQ35</f>
        <v>9579</v>
      </c>
      <c r="AQ140" s="474">
        <f>+INPUT!AR35</f>
        <v>3</v>
      </c>
      <c r="AR140" s="536">
        <f>+INPUT!AS35</f>
        <v>8343</v>
      </c>
      <c r="AS140" s="474">
        <f>+INPUT!AT35</f>
        <v>3</v>
      </c>
      <c r="AT140" s="536">
        <f>+INPUT!AU35</f>
        <v>7725</v>
      </c>
      <c r="AU140" s="474">
        <f>+INPUT!AV35</f>
        <v>3</v>
      </c>
      <c r="AV140" s="536">
        <f>+INPUT!AW35</f>
        <v>7931</v>
      </c>
      <c r="AW140" s="474">
        <f>+INPUT!AX35</f>
        <v>3</v>
      </c>
      <c r="AX140" s="498"/>
      <c r="AY140" s="496"/>
      <c r="AZ140" s="533"/>
      <c r="BA140" s="496"/>
      <c r="BB140" s="533"/>
      <c r="BC140" s="496"/>
      <c r="BD140" s="533"/>
      <c r="BE140" s="496"/>
      <c r="BF140" s="474"/>
      <c r="BG140" s="496"/>
      <c r="BH140" s="474"/>
      <c r="BI140" s="496"/>
      <c r="BJ140" s="474"/>
      <c r="BK140" s="536"/>
      <c r="BL140" s="474"/>
      <c r="BM140" s="536"/>
      <c r="BN140" s="474"/>
      <c r="BO140" s="536"/>
      <c r="BP140" s="474"/>
      <c r="BQ140" s="536"/>
      <c r="BR140" s="474"/>
      <c r="BS140" s="536">
        <f>+INPUT!BB35</f>
        <v>0</v>
      </c>
      <c r="BT140" s="474" t="str">
        <f>+INPUT!BC35</f>
        <v>NA</v>
      </c>
      <c r="BU140" s="536">
        <f>+INPUT!BD35</f>
        <v>0</v>
      </c>
      <c r="BV140" s="474" t="str">
        <f>+INPUT!BE35</f>
        <v>NA</v>
      </c>
      <c r="BW140" s="536">
        <f>+INPUT!BF35</f>
        <v>27800</v>
      </c>
      <c r="BX140" s="474" t="str">
        <f>+INPUT!BG35</f>
        <v>NA</v>
      </c>
      <c r="BY140" s="536">
        <f>+INPUT!BH35</f>
        <v>31400</v>
      </c>
      <c r="BZ140" s="474">
        <f>+INPUT!BI35</f>
        <v>12.949640287769796</v>
      </c>
      <c r="CA140" s="536">
        <f>+INPUT!BJ35</f>
        <v>32600</v>
      </c>
      <c r="CB140" s="474">
        <f>+INPUT!BK35</f>
        <v>3.8216560509554114</v>
      </c>
      <c r="CC140" s="536">
        <f>+INPUT!BL35</f>
        <v>33578</v>
      </c>
      <c r="CD140" s="474">
        <f>+INPUT!BM35</f>
        <v>3</v>
      </c>
      <c r="CE140" s="536">
        <f>+INPUT!BN35</f>
        <v>34585.340000000004</v>
      </c>
      <c r="CF140" s="474">
        <f>+INPUT!BO35</f>
        <v>3</v>
      </c>
      <c r="CG140" s="536">
        <f>+INPUT!BP35</f>
        <v>35622.900200000004</v>
      </c>
      <c r="CH140" s="474">
        <f>+INPUT!BQ35</f>
        <v>3</v>
      </c>
      <c r="CI140" s="536">
        <f>+INPUT!BR35</f>
        <v>36691.587206000004</v>
      </c>
      <c r="CJ140" s="474">
        <f>+INPUT!BS35</f>
        <v>3</v>
      </c>
      <c r="CK140" s="536">
        <f>+INPUT!BT35</f>
        <v>37792.334822180004</v>
      </c>
      <c r="CL140" s="474">
        <f>+INPUT!BU35</f>
        <v>3</v>
      </c>
      <c r="CM140" s="474">
        <f>+INPUT!BV35</f>
        <v>3.0000000000000027</v>
      </c>
    </row>
    <row r="141" spans="1:91" s="475" customFormat="1" ht="12" hidden="1" customHeight="1" outlineLevel="1" x14ac:dyDescent="0.2">
      <c r="A141" s="481" t="s">
        <v>245</v>
      </c>
      <c r="B141" s="524"/>
      <c r="C141" s="522"/>
      <c r="D141" s="536"/>
      <c r="E141" s="474"/>
      <c r="F141" s="536"/>
      <c r="G141" s="474"/>
      <c r="H141" s="536"/>
      <c r="I141" s="474"/>
      <c r="J141" s="536"/>
      <c r="K141" s="474"/>
      <c r="L141" s="536"/>
      <c r="M141" s="474"/>
      <c r="N141" s="536">
        <f>+INPUT!O37</f>
        <v>-6100</v>
      </c>
      <c r="O141" s="474" t="str">
        <f>+INPUT!P37</f>
        <v>NA</v>
      </c>
      <c r="P141" s="536">
        <f>+INPUT!Q37</f>
        <v>-7000</v>
      </c>
      <c r="Q141" s="474" t="str">
        <f>+INPUT!R37</f>
        <v>NA</v>
      </c>
      <c r="R141" s="536">
        <f>+INPUT!S37</f>
        <v>-6600</v>
      </c>
      <c r="S141" s="474" t="str">
        <f>+INPUT!T37</f>
        <v>NA</v>
      </c>
      <c r="T141" s="536">
        <f>+INPUT!U37</f>
        <v>-6000</v>
      </c>
      <c r="U141" s="474" t="str">
        <f>+INPUT!V37</f>
        <v>NA</v>
      </c>
      <c r="V141" s="536">
        <f>+INPUT!W37</f>
        <v>-6400</v>
      </c>
      <c r="W141" s="474">
        <f>+INPUT!X37</f>
        <v>4.9180327868852487</v>
      </c>
      <c r="X141" s="536">
        <f>+INPUT!Y37</f>
        <v>-8300</v>
      </c>
      <c r="Y141" s="474">
        <f>+INPUT!Z37</f>
        <v>18.571428571428569</v>
      </c>
      <c r="Z141" s="536">
        <f>+INPUT!AA37</f>
        <v>-6200</v>
      </c>
      <c r="AA141" s="474">
        <f>+INPUT!AB37</f>
        <v>-6.0606060606060623</v>
      </c>
      <c r="AB141" s="536">
        <f>+INPUT!AC37</f>
        <v>-7200</v>
      </c>
      <c r="AC141" s="474">
        <f>+INPUT!AD37</f>
        <v>20</v>
      </c>
      <c r="AD141" s="536">
        <f>+INPUT!AE37</f>
        <v>-5800</v>
      </c>
      <c r="AE141" s="474">
        <f>+INPUT!AF37</f>
        <v>-9.375</v>
      </c>
      <c r="AF141" s="536">
        <f>+INPUT!AG37</f>
        <v>-8000</v>
      </c>
      <c r="AG141" s="474">
        <f>+INPUT!AH37</f>
        <v>-3.6144578313252964</v>
      </c>
      <c r="AH141" s="536">
        <f>+INPUT!AI37</f>
        <v>-7100</v>
      </c>
      <c r="AI141" s="474">
        <f>+INPUT!AJ37</f>
        <v>14.516129032258078</v>
      </c>
      <c r="AJ141" s="536">
        <f>+INPUT!AK37</f>
        <v>-8000</v>
      </c>
      <c r="AK141" s="474">
        <f>+INPUT!AL37</f>
        <v>11.111111111111114</v>
      </c>
      <c r="AL141" s="536">
        <f>+INPUT!AM37</f>
        <v>-7900</v>
      </c>
      <c r="AM141" s="474">
        <f>+INPUT!AN37</f>
        <v>36.206896551724128</v>
      </c>
      <c r="AN141" s="536">
        <f>+INPUT!AO37</f>
        <v>-9000</v>
      </c>
      <c r="AO141" s="474">
        <f>+INPUT!AP37</f>
        <v>12.5</v>
      </c>
      <c r="AP141" s="536">
        <f>+INPUT!AQ37</f>
        <v>-9520</v>
      </c>
      <c r="AQ141" s="474">
        <f>+INPUT!AR37</f>
        <v>34.084507042253506</v>
      </c>
      <c r="AR141" s="536">
        <f>+INPUT!AS37</f>
        <v>-8714.8891069676156</v>
      </c>
      <c r="AS141" s="474">
        <f>+INPUT!AT37</f>
        <v>8.9361138370952062</v>
      </c>
      <c r="AT141" s="536">
        <f>+INPUT!AU37</f>
        <v>-8438.6763822701378</v>
      </c>
      <c r="AU141" s="474">
        <f>+INPUT!AV37</f>
        <v>6.8186883831663039</v>
      </c>
      <c r="AV141" s="536">
        <f>+INPUT!AW37</f>
        <v>-9061.1970698628666</v>
      </c>
      <c r="AW141" s="474">
        <f>+INPUT!AX37</f>
        <v>0.67996744292074141</v>
      </c>
      <c r="AX141" s="498"/>
      <c r="AY141" s="496"/>
      <c r="AZ141" s="533"/>
      <c r="BA141" s="496"/>
      <c r="BB141" s="533"/>
      <c r="BC141" s="496"/>
      <c r="BD141" s="533"/>
      <c r="BE141" s="496"/>
      <c r="BF141" s="474"/>
      <c r="BG141" s="496"/>
      <c r="BH141" s="474"/>
      <c r="BI141" s="496"/>
      <c r="BJ141" s="474"/>
      <c r="BK141" s="536"/>
      <c r="BL141" s="474"/>
      <c r="BM141" s="536"/>
      <c r="BN141" s="474"/>
      <c r="BO141" s="536"/>
      <c r="BP141" s="474"/>
      <c r="BQ141" s="536"/>
      <c r="BR141" s="474"/>
      <c r="BS141" s="536">
        <f>+INPUT!BB37</f>
        <v>0</v>
      </c>
      <c r="BT141" s="474" t="str">
        <f>+INPUT!BC37</f>
        <v>NA</v>
      </c>
      <c r="BU141" s="536">
        <f>+INPUT!BD37</f>
        <v>0</v>
      </c>
      <c r="BV141" s="474" t="str">
        <f>+INPUT!BE37</f>
        <v>NA</v>
      </c>
      <c r="BW141" s="536">
        <f>+INPUT!BF37</f>
        <v>-27300</v>
      </c>
      <c r="BX141" s="474" t="str">
        <f>+INPUT!BG37</f>
        <v>NA</v>
      </c>
      <c r="BY141" s="536">
        <f>+INPUT!BH37</f>
        <v>-27200</v>
      </c>
      <c r="BZ141" s="474">
        <f>+INPUT!BI37</f>
        <v>-0.366300366300365</v>
      </c>
      <c r="CA141" s="536">
        <f>+INPUT!BJ37</f>
        <v>-32000</v>
      </c>
      <c r="CB141" s="474">
        <f>+INPUT!BK37</f>
        <v>17.64705882352942</v>
      </c>
      <c r="CC141" s="536">
        <f>+INPUT!BL37</f>
        <v>-35734.762559100622</v>
      </c>
      <c r="CD141" s="474">
        <f>+INPUT!BM37</f>
        <v>11.671132997189446</v>
      </c>
      <c r="CE141" s="536">
        <f>+INPUT!BN37</f>
        <v>-36395.954371667336</v>
      </c>
      <c r="CF141" s="474">
        <f>+INPUT!BO37</f>
        <v>1.8502762162563329</v>
      </c>
      <c r="CG141" s="536">
        <f>+INPUT!BP37</f>
        <v>-37888.025211275301</v>
      </c>
      <c r="CH141" s="474">
        <f>+INPUT!BQ37</f>
        <v>4.0995513522499465</v>
      </c>
      <c r="CI141" s="536">
        <f>+INPUT!BR37</f>
        <v>-39385.175565851023</v>
      </c>
      <c r="CJ141" s="474">
        <f>+INPUT!BS37</f>
        <v>3.9515132980068302</v>
      </c>
      <c r="CK141" s="536">
        <f>+INPUT!BT37</f>
        <v>-40891.824899460073</v>
      </c>
      <c r="CL141" s="474">
        <f>+INPUT!BU37</f>
        <v>3.8254224132884076</v>
      </c>
      <c r="CM141" s="474">
        <f>+INPUT!BV37</f>
        <v>5.0261154706669586</v>
      </c>
    </row>
    <row r="142" spans="1:91" s="475" customFormat="1" ht="12" hidden="1" customHeight="1" outlineLevel="1" x14ac:dyDescent="0.2">
      <c r="A142" s="481" t="s">
        <v>246</v>
      </c>
      <c r="B142" s="524"/>
      <c r="C142" s="522"/>
      <c r="D142" s="536"/>
      <c r="E142" s="474"/>
      <c r="F142" s="536"/>
      <c r="G142" s="474"/>
      <c r="H142" s="536"/>
      <c r="I142" s="474"/>
      <c r="J142" s="536"/>
      <c r="K142" s="474"/>
      <c r="L142" s="536"/>
      <c r="M142" s="474"/>
      <c r="N142" s="536">
        <f>+INPUT!O38</f>
        <v>-2100</v>
      </c>
      <c r="O142" s="474" t="str">
        <f>+INPUT!P38</f>
        <v>NA</v>
      </c>
      <c r="P142" s="536">
        <f>+INPUT!Q38</f>
        <v>4500</v>
      </c>
      <c r="Q142" s="474" t="str">
        <f>+INPUT!R38</f>
        <v>NA</v>
      </c>
      <c r="R142" s="536">
        <f>+INPUT!S38</f>
        <v>4000</v>
      </c>
      <c r="S142" s="474" t="str">
        <f>+INPUT!T38</f>
        <v>NA</v>
      </c>
      <c r="T142" s="536">
        <f>+INPUT!U38</f>
        <v>200</v>
      </c>
      <c r="U142" s="474" t="str">
        <f>+INPUT!V38</f>
        <v>NA</v>
      </c>
      <c r="V142" s="536">
        <f>+INPUT!W38</f>
        <v>-9200</v>
      </c>
      <c r="W142" s="474" t="str">
        <f>+INPUT!X38</f>
        <v>NM</v>
      </c>
      <c r="X142" s="536">
        <f>+INPUT!Y38</f>
        <v>5200</v>
      </c>
      <c r="Y142" s="474">
        <f>+INPUT!Z38</f>
        <v>15.555555555555543</v>
      </c>
      <c r="Z142" s="536">
        <f>+INPUT!AA38</f>
        <v>1500</v>
      </c>
      <c r="AA142" s="474" t="str">
        <f>+INPUT!AB38</f>
        <v>NM</v>
      </c>
      <c r="AB142" s="536">
        <f>+INPUT!AC38</f>
        <v>3600</v>
      </c>
      <c r="AC142" s="474" t="str">
        <f>+INPUT!AD38</f>
        <v>NM</v>
      </c>
      <c r="AD142" s="536">
        <f>+INPUT!AE38</f>
        <v>6500</v>
      </c>
      <c r="AE142" s="474" t="str">
        <f>+INPUT!AF38</f>
        <v>NM</v>
      </c>
      <c r="AF142" s="536">
        <f>+INPUT!AG38</f>
        <v>2000</v>
      </c>
      <c r="AG142" s="474" t="str">
        <f>+INPUT!AH38</f>
        <v>NM</v>
      </c>
      <c r="AH142" s="536">
        <f>+INPUT!AI38</f>
        <v>8100</v>
      </c>
      <c r="AI142" s="474" t="str">
        <f>+INPUT!AJ38</f>
        <v>NM</v>
      </c>
      <c r="AJ142" s="536">
        <f>+INPUT!AK38</f>
        <v>6300</v>
      </c>
      <c r="AK142" s="474">
        <f>+INPUT!AL38</f>
        <v>75</v>
      </c>
      <c r="AL142" s="536">
        <f>+INPUT!AM38</f>
        <v>7800</v>
      </c>
      <c r="AM142" s="474">
        <f>+INPUT!AN38</f>
        <v>20</v>
      </c>
      <c r="AN142" s="536">
        <f>+INPUT!AO38</f>
        <v>8100</v>
      </c>
      <c r="AO142" s="474" t="str">
        <f>+INPUT!AP38</f>
        <v>NM</v>
      </c>
      <c r="AP142" s="536">
        <f>+INPUT!AQ38</f>
        <v>-1747.2</v>
      </c>
      <c r="AQ142" s="474" t="str">
        <f>+INPUT!AR38</f>
        <v>NM</v>
      </c>
      <c r="AR142" s="536">
        <f>+INPUT!AS38</f>
        <v>2886.1534000000001</v>
      </c>
      <c r="AS142" s="474" t="str">
        <f>+INPUT!AT38</f>
        <v>NM</v>
      </c>
      <c r="AT142" s="536">
        <f>+INPUT!AU38</f>
        <v>2917.5388358094215</v>
      </c>
      <c r="AU142" s="474" t="str">
        <f>+INPUT!AV38</f>
        <v>NM</v>
      </c>
      <c r="AV142" s="536">
        <f>+INPUT!AW38</f>
        <v>2944.8890477054319</v>
      </c>
      <c r="AW142" s="474" t="str">
        <f>+INPUT!AX38</f>
        <v>NM</v>
      </c>
      <c r="AX142" s="498"/>
      <c r="AY142" s="496"/>
      <c r="AZ142" s="533"/>
      <c r="BA142" s="496"/>
      <c r="BB142" s="533"/>
      <c r="BC142" s="496"/>
      <c r="BD142" s="533"/>
      <c r="BE142" s="496"/>
      <c r="BF142" s="474"/>
      <c r="BG142" s="496"/>
      <c r="BH142" s="474"/>
      <c r="BI142" s="496"/>
      <c r="BJ142" s="474"/>
      <c r="BK142" s="536"/>
      <c r="BL142" s="474"/>
      <c r="BM142" s="536"/>
      <c r="BN142" s="474"/>
      <c r="BO142" s="536"/>
      <c r="BP142" s="474"/>
      <c r="BQ142" s="536"/>
      <c r="BR142" s="474"/>
      <c r="BS142" s="536">
        <f>+INPUT!BB38</f>
        <v>0</v>
      </c>
      <c r="BT142" s="474" t="str">
        <f>+INPUT!BC38</f>
        <v>NA</v>
      </c>
      <c r="BU142" s="536">
        <f>+INPUT!BD38</f>
        <v>0</v>
      </c>
      <c r="BV142" s="474" t="str">
        <f>+INPUT!BE38</f>
        <v>NA</v>
      </c>
      <c r="BW142" s="536">
        <f>+INPUT!BF38</f>
        <v>200</v>
      </c>
      <c r="BX142" s="474" t="str">
        <f>+INPUT!BG38</f>
        <v>NA</v>
      </c>
      <c r="BY142" s="536">
        <f>+INPUT!BH38</f>
        <v>13600</v>
      </c>
      <c r="BZ142" s="474" t="str">
        <f>+INPUT!BI38</f>
        <v>NM</v>
      </c>
      <c r="CA142" s="536">
        <f>+INPUT!BJ38</f>
        <v>30300</v>
      </c>
      <c r="CB142" s="474" t="str">
        <f>+INPUT!BK38</f>
        <v>NM</v>
      </c>
      <c r="CC142" s="536">
        <f>+INPUT!BL38</f>
        <v>7001.3812835148537</v>
      </c>
      <c r="CD142" s="474" t="str">
        <f>+INPUT!BM38</f>
        <v>NM</v>
      </c>
      <c r="CE142" s="536">
        <f>+INPUT!BN38</f>
        <v>11863.520173669538</v>
      </c>
      <c r="CF142" s="474">
        <f>+INPUT!BO38</f>
        <v>69.445423599524048</v>
      </c>
      <c r="CG142" s="536">
        <f>+INPUT!BP38</f>
        <v>12349.871275373653</v>
      </c>
      <c r="CH142" s="474">
        <f>+INPUT!BQ38</f>
        <v>4.0995513522499465</v>
      </c>
      <c r="CI142" s="536">
        <f>+INPUT!BR38</f>
        <v>12837.878081106766</v>
      </c>
      <c r="CJ142" s="474">
        <f>+INPUT!BS38</f>
        <v>3.9515132980068017</v>
      </c>
      <c r="CK142" s="536">
        <f>+INPUT!BT38</f>
        <v>13328.981146612066</v>
      </c>
      <c r="CL142" s="474">
        <f>+INPUT!BU38</f>
        <v>3.8254224132884218</v>
      </c>
      <c r="CM142" s="474">
        <f>+INPUT!BV38</f>
        <v>-15.146284215278538</v>
      </c>
    </row>
    <row r="143" spans="1:91" s="475" customFormat="1" ht="12" hidden="1" customHeight="1" outlineLevel="1" x14ac:dyDescent="0.2">
      <c r="A143" s="481" t="s">
        <v>247</v>
      </c>
      <c r="B143" s="524"/>
      <c r="C143" s="522"/>
      <c r="D143" s="536"/>
      <c r="E143" s="474"/>
      <c r="F143" s="536"/>
      <c r="G143" s="474"/>
      <c r="H143" s="536"/>
      <c r="I143" s="474"/>
      <c r="J143" s="536"/>
      <c r="K143" s="474"/>
      <c r="L143" s="536"/>
      <c r="M143" s="474"/>
      <c r="N143" s="536">
        <f>+INPUT!O39</f>
        <v>-200</v>
      </c>
      <c r="O143" s="474" t="str">
        <f>+INPUT!P39</f>
        <v>NA</v>
      </c>
      <c r="P143" s="536">
        <f>+INPUT!Q39</f>
        <v>0</v>
      </c>
      <c r="Q143" s="474" t="str">
        <f>+INPUT!R39</f>
        <v>NA</v>
      </c>
      <c r="R143" s="536">
        <f>+INPUT!S39</f>
        <v>-300</v>
      </c>
      <c r="S143" s="474" t="str">
        <f>+INPUT!T39</f>
        <v>NA</v>
      </c>
      <c r="T143" s="536">
        <f>+INPUT!U39</f>
        <v>0</v>
      </c>
      <c r="U143" s="474" t="str">
        <f>+INPUT!V39</f>
        <v>NA</v>
      </c>
      <c r="V143" s="536">
        <f>+INPUT!W39</f>
        <v>-200</v>
      </c>
      <c r="W143" s="474">
        <f>+INPUT!X39</f>
        <v>0</v>
      </c>
      <c r="X143" s="536">
        <f>+INPUT!Y39</f>
        <v>-200</v>
      </c>
      <c r="Y143" s="474" t="str">
        <f>+INPUT!Z39</f>
        <v>NA</v>
      </c>
      <c r="Z143" s="536">
        <f>+INPUT!AA39</f>
        <v>-100</v>
      </c>
      <c r="AA143" s="474" t="str">
        <f>+INPUT!AB39</f>
        <v>NM</v>
      </c>
      <c r="AB143" s="536">
        <f>+INPUT!AC39</f>
        <v>-200</v>
      </c>
      <c r="AC143" s="474" t="str">
        <f>+INPUT!AD39</f>
        <v>NA</v>
      </c>
      <c r="AD143" s="536">
        <f>+INPUT!AE39</f>
        <v>-200</v>
      </c>
      <c r="AE143" s="474">
        <f>+INPUT!AF39</f>
        <v>0</v>
      </c>
      <c r="AF143" s="536">
        <f>+INPUT!AG39</f>
        <v>-200</v>
      </c>
      <c r="AG143" s="474">
        <f>+INPUT!AH39</f>
        <v>0</v>
      </c>
      <c r="AH143" s="536">
        <f>+INPUT!AI39</f>
        <v>-300</v>
      </c>
      <c r="AI143" s="474" t="str">
        <f>+INPUT!AJ39</f>
        <v>NM</v>
      </c>
      <c r="AJ143" s="536">
        <f>+INPUT!AK39</f>
        <v>-100</v>
      </c>
      <c r="AK143" s="474">
        <f>+INPUT!AL39</f>
        <v>-50</v>
      </c>
      <c r="AL143" s="536">
        <f>+INPUT!AM39</f>
        <v>-100</v>
      </c>
      <c r="AM143" s="474">
        <f>+INPUT!AN39</f>
        <v>-50</v>
      </c>
      <c r="AN143" s="536">
        <f>+INPUT!AO39</f>
        <v>-200</v>
      </c>
      <c r="AO143" s="474">
        <f>+INPUT!AP39</f>
        <v>0</v>
      </c>
      <c r="AP143" s="536">
        <f>+INPUT!AQ39</f>
        <v>-300</v>
      </c>
      <c r="AQ143" s="474">
        <f>+INPUT!AR39</f>
        <v>0</v>
      </c>
      <c r="AR143" s="536">
        <f>+INPUT!AS39</f>
        <v>-100</v>
      </c>
      <c r="AS143" s="474">
        <f>+INPUT!AT39</f>
        <v>0</v>
      </c>
      <c r="AT143" s="536">
        <f>+INPUT!AU39</f>
        <v>-100</v>
      </c>
      <c r="AU143" s="474">
        <f>+INPUT!AV39</f>
        <v>0</v>
      </c>
      <c r="AV143" s="536">
        <f>+INPUT!AW39</f>
        <v>-200</v>
      </c>
      <c r="AW143" s="474">
        <f>+INPUT!AX39</f>
        <v>0</v>
      </c>
      <c r="AX143" s="498"/>
      <c r="AY143" s="496"/>
      <c r="AZ143" s="533"/>
      <c r="BA143" s="496"/>
      <c r="BB143" s="533"/>
      <c r="BC143" s="496"/>
      <c r="BD143" s="533"/>
      <c r="BE143" s="496"/>
      <c r="BF143" s="474"/>
      <c r="BG143" s="496"/>
      <c r="BH143" s="474"/>
      <c r="BI143" s="496"/>
      <c r="BJ143" s="474"/>
      <c r="BK143" s="536"/>
      <c r="BL143" s="474"/>
      <c r="BM143" s="536"/>
      <c r="BN143" s="474"/>
      <c r="BO143" s="536"/>
      <c r="BP143" s="474"/>
      <c r="BQ143" s="536"/>
      <c r="BR143" s="474"/>
      <c r="BS143" s="536">
        <f>+INPUT!BB39</f>
        <v>0</v>
      </c>
      <c r="BT143" s="474" t="str">
        <f>+INPUT!BC39</f>
        <v>NA</v>
      </c>
      <c r="BU143" s="536">
        <f>+INPUT!BD39</f>
        <v>0</v>
      </c>
      <c r="BV143" s="474" t="str">
        <f>+INPUT!BE39</f>
        <v>NA</v>
      </c>
      <c r="BW143" s="536">
        <f>+INPUT!BF39</f>
        <v>-700</v>
      </c>
      <c r="BX143" s="474" t="str">
        <f>+INPUT!BG39</f>
        <v>NA</v>
      </c>
      <c r="BY143" s="536">
        <f>+INPUT!BH39</f>
        <v>-700</v>
      </c>
      <c r="BZ143" s="474">
        <f>+INPUT!BI39</f>
        <v>0</v>
      </c>
      <c r="CA143" s="536">
        <f>+INPUT!BJ39</f>
        <v>-700</v>
      </c>
      <c r="CB143" s="474">
        <f>+INPUT!BK39</f>
        <v>0</v>
      </c>
      <c r="CC143" s="536">
        <f>+INPUT!BL39</f>
        <v>-700</v>
      </c>
      <c r="CD143" s="474">
        <f>+INPUT!BM39</f>
        <v>0</v>
      </c>
      <c r="CE143" s="536">
        <f>+INPUT!BN39</f>
        <v>-700</v>
      </c>
      <c r="CF143" s="474">
        <f>+INPUT!BO39</f>
        <v>0</v>
      </c>
      <c r="CG143" s="536">
        <f>+INPUT!BP39</f>
        <v>-700</v>
      </c>
      <c r="CH143" s="474">
        <f>+INPUT!BQ39</f>
        <v>0</v>
      </c>
      <c r="CI143" s="536">
        <f>+INPUT!BR39</f>
        <v>-700</v>
      </c>
      <c r="CJ143" s="474">
        <f>+INPUT!BS39</f>
        <v>0</v>
      </c>
      <c r="CK143" s="536">
        <f>+INPUT!BT39</f>
        <v>-700</v>
      </c>
      <c r="CL143" s="474">
        <f>+INPUT!BU39</f>
        <v>0</v>
      </c>
      <c r="CM143" s="474">
        <f>+INPUT!BV39</f>
        <v>0</v>
      </c>
    </row>
    <row r="144" spans="1:91" s="475" customFormat="1" ht="12" hidden="1" customHeight="1" outlineLevel="1" x14ac:dyDescent="0.2">
      <c r="A144" s="481" t="s">
        <v>70</v>
      </c>
      <c r="B144" s="524"/>
      <c r="C144" s="522"/>
      <c r="D144" s="536"/>
      <c r="E144" s="474"/>
      <c r="F144" s="536"/>
      <c r="G144" s="474"/>
      <c r="H144" s="536"/>
      <c r="I144" s="474"/>
      <c r="J144" s="536"/>
      <c r="K144" s="474"/>
      <c r="L144" s="536"/>
      <c r="M144" s="474"/>
      <c r="N144" s="536">
        <f>+INPUT!O40</f>
        <v>172900</v>
      </c>
      <c r="O144" s="474" t="str">
        <f>+INPUT!P40</f>
        <v>NA</v>
      </c>
      <c r="P144" s="536">
        <f>+INPUT!Q40</f>
        <v>176700</v>
      </c>
      <c r="Q144" s="474" t="str">
        <f>+INPUT!R40</f>
        <v>NA</v>
      </c>
      <c r="R144" s="536">
        <f>+INPUT!S40</f>
        <v>182200</v>
      </c>
      <c r="S144" s="474" t="str">
        <f>+INPUT!T40</f>
        <v>NA</v>
      </c>
      <c r="T144" s="536">
        <f>+INPUT!U40</f>
        <v>182900</v>
      </c>
      <c r="U144" s="474" t="str">
        <f>+INPUT!V40</f>
        <v>NA</v>
      </c>
      <c r="V144" s="536">
        <f>+INPUT!W40</f>
        <v>173300</v>
      </c>
      <c r="W144" s="474">
        <f>+INPUT!X40</f>
        <v>0.23134759976866803</v>
      </c>
      <c r="X144" s="536">
        <f>+INPUT!Y40</f>
        <v>176700</v>
      </c>
      <c r="Y144" s="474">
        <f>+INPUT!Z40</f>
        <v>0</v>
      </c>
      <c r="Z144" s="536">
        <f>+INPUT!AA40</f>
        <v>181100</v>
      </c>
      <c r="AA144" s="474">
        <f>+INPUT!AB40</f>
        <v>-0.60373216245884009</v>
      </c>
      <c r="AB144" s="536">
        <f>+INPUT!AC40</f>
        <v>184500</v>
      </c>
      <c r="AC144" s="474">
        <f>+INPUT!AD40</f>
        <v>0.87479496992892791</v>
      </c>
      <c r="AD144" s="536">
        <f>+INPUT!AE40</f>
        <v>192200</v>
      </c>
      <c r="AE144" s="474">
        <f>+INPUT!AF40</f>
        <v>10.905943450663585</v>
      </c>
      <c r="AF144" s="536">
        <f>+INPUT!AG40</f>
        <v>193800</v>
      </c>
      <c r="AG144" s="474">
        <f>+INPUT!AH40</f>
        <v>9.6774193548387046</v>
      </c>
      <c r="AH144" s="536">
        <f>+INPUT!AI40</f>
        <v>203800</v>
      </c>
      <c r="AI144" s="474">
        <f>+INPUT!AJ40</f>
        <v>12.534511319712863</v>
      </c>
      <c r="AJ144" s="536">
        <f>+INPUT!AK40</f>
        <v>210100</v>
      </c>
      <c r="AK144" s="474">
        <f>+INPUT!AL40</f>
        <v>13.875338753387538</v>
      </c>
      <c r="AL144" s="536">
        <f>+INPUT!AM40</f>
        <v>217400</v>
      </c>
      <c r="AM144" s="474">
        <f>+INPUT!AN40</f>
        <v>13.111342351716957</v>
      </c>
      <c r="AN144" s="536">
        <f>+INPUT!AO40</f>
        <v>224000</v>
      </c>
      <c r="AO144" s="474">
        <f>+INPUT!AP40</f>
        <v>15.583075335397311</v>
      </c>
      <c r="AP144" s="536">
        <f>+INPUT!AQ40</f>
        <v>222011.8</v>
      </c>
      <c r="AQ144" s="474">
        <f>+INPUT!AR40</f>
        <v>8.9361138370951778</v>
      </c>
      <c r="AR144" s="536">
        <f>+INPUT!AS40</f>
        <v>224426.0642930324</v>
      </c>
      <c r="AS144" s="474">
        <f>+INPUT!AT40</f>
        <v>6.8186883831663039</v>
      </c>
      <c r="AT144" s="536">
        <f>+INPUT!AU40</f>
        <v>226529.92674657167</v>
      </c>
      <c r="AU144" s="474">
        <f>+INPUT!AV40</f>
        <v>4.1995983194901925</v>
      </c>
      <c r="AV144" s="536">
        <f>+INPUT!AW40</f>
        <v>228144.61872441423</v>
      </c>
      <c r="AW144" s="474">
        <f>+INPUT!AX40</f>
        <v>1.8502762162563471</v>
      </c>
      <c r="AX144" s="498"/>
      <c r="AY144" s="496"/>
      <c r="AZ144" s="533"/>
      <c r="BA144" s="496"/>
      <c r="BB144" s="533"/>
      <c r="BC144" s="496"/>
      <c r="BD144" s="533"/>
      <c r="BE144" s="496"/>
      <c r="BF144" s="474"/>
      <c r="BG144" s="496"/>
      <c r="BH144" s="474"/>
      <c r="BI144" s="496"/>
      <c r="BJ144" s="474"/>
      <c r="BK144" s="536"/>
      <c r="BL144" s="474"/>
      <c r="BM144" s="536"/>
      <c r="BN144" s="474"/>
      <c r="BO144" s="536"/>
      <c r="BP144" s="474"/>
      <c r="BQ144" s="536"/>
      <c r="BR144" s="474"/>
      <c r="BS144" s="536">
        <f>+INPUT!BB40</f>
        <v>0</v>
      </c>
      <c r="BT144" s="474" t="str">
        <f>+INPUT!BC40</f>
        <v>NA</v>
      </c>
      <c r="BU144" s="536">
        <f>+INPUT!BD40</f>
        <v>176700</v>
      </c>
      <c r="BV144" s="474" t="str">
        <f>+INPUT!BE40</f>
        <v>NA</v>
      </c>
      <c r="BW144" s="536">
        <f>+INPUT!BF40</f>
        <v>176700</v>
      </c>
      <c r="BX144" s="474">
        <f>+INPUT!BG40</f>
        <v>0</v>
      </c>
      <c r="BY144" s="536">
        <f>+INPUT!BH40</f>
        <v>193800</v>
      </c>
      <c r="BZ144" s="474">
        <f>+INPUT!BI40</f>
        <v>9.6774193548387046</v>
      </c>
      <c r="CA144" s="536">
        <f>+INPUT!BJ40</f>
        <v>224000</v>
      </c>
      <c r="CB144" s="474">
        <f>+INPUT!BK40</f>
        <v>15.583075335397311</v>
      </c>
      <c r="CC144" s="536">
        <f>+INPUT!BL40</f>
        <v>228144.61872441421</v>
      </c>
      <c r="CD144" s="474">
        <f>+INPUT!BM40</f>
        <v>1.8502762162563471</v>
      </c>
      <c r="CE144" s="536">
        <f>+INPUT!BN40</f>
        <v>237497.52452641641</v>
      </c>
      <c r="CF144" s="474">
        <f>+INPUT!BO40</f>
        <v>4.0995513522499465</v>
      </c>
      <c r="CG144" s="536">
        <f>+INPUT!BP40</f>
        <v>246882.27079051477</v>
      </c>
      <c r="CH144" s="474">
        <f>+INPUT!BQ40</f>
        <v>3.9515132980068302</v>
      </c>
      <c r="CI144" s="536">
        <f>+INPUT!BR40</f>
        <v>256326.56051177048</v>
      </c>
      <c r="CJ144" s="474">
        <f>+INPUT!BS40</f>
        <v>3.8254224132884076</v>
      </c>
      <c r="CK144" s="536">
        <f>+INPUT!BT40</f>
        <v>265856.05158110248</v>
      </c>
      <c r="CL144" s="474">
        <f>+INPUT!BU40</f>
        <v>3.7177150312889324</v>
      </c>
      <c r="CM144" s="474">
        <f>+INPUT!BV40</f>
        <v>3.4855486289831372</v>
      </c>
    </row>
    <row r="145" spans="1:91" s="475" customFormat="1" ht="12" hidden="1" customHeight="1" outlineLevel="1" x14ac:dyDescent="0.2">
      <c r="A145" s="481"/>
      <c r="B145" s="524"/>
      <c r="C145" s="522"/>
      <c r="D145" s="536"/>
      <c r="E145" s="474"/>
      <c r="F145" s="536"/>
      <c r="G145" s="474"/>
      <c r="H145" s="536"/>
      <c r="I145" s="474"/>
      <c r="J145" s="536"/>
      <c r="K145" s="474"/>
      <c r="L145" s="536"/>
      <c r="M145" s="474"/>
      <c r="N145" s="536"/>
      <c r="O145" s="474"/>
      <c r="P145" s="536"/>
      <c r="Q145" s="474"/>
      <c r="R145" s="536"/>
      <c r="S145" s="474"/>
      <c r="T145" s="536"/>
      <c r="U145" s="474"/>
      <c r="V145" s="536"/>
      <c r="W145" s="474"/>
      <c r="X145" s="536"/>
      <c r="Y145" s="474"/>
      <c r="Z145" s="536"/>
      <c r="AA145" s="474"/>
      <c r="AB145" s="536"/>
      <c r="AC145" s="474"/>
      <c r="AD145" s="536"/>
      <c r="AE145" s="474"/>
      <c r="AF145" s="536"/>
      <c r="AG145" s="474"/>
      <c r="AH145" s="536"/>
      <c r="AI145" s="474"/>
      <c r="AJ145" s="536"/>
      <c r="AK145" s="474"/>
      <c r="AL145" s="536"/>
      <c r="AM145" s="474"/>
      <c r="AN145" s="536"/>
      <c r="AO145" s="474"/>
      <c r="AP145" s="536"/>
      <c r="AQ145" s="474"/>
      <c r="AR145" s="536"/>
      <c r="AS145" s="474"/>
      <c r="AT145" s="536"/>
      <c r="AU145" s="474"/>
      <c r="AV145" s="536"/>
      <c r="AW145" s="474"/>
      <c r="AX145" s="498"/>
      <c r="AY145" s="496"/>
      <c r="AZ145" s="533"/>
      <c r="BA145" s="496"/>
      <c r="BB145" s="533"/>
      <c r="BC145" s="496"/>
      <c r="BD145" s="533"/>
      <c r="BE145" s="496"/>
      <c r="BF145" s="474"/>
      <c r="BG145" s="496"/>
      <c r="BH145" s="474"/>
      <c r="BI145" s="496"/>
      <c r="BJ145" s="474"/>
      <c r="BK145" s="536"/>
      <c r="BL145" s="474"/>
      <c r="BM145" s="536"/>
      <c r="BN145" s="474"/>
      <c r="BO145" s="536"/>
      <c r="BP145" s="474"/>
      <c r="BQ145" s="536"/>
      <c r="BR145" s="474"/>
      <c r="BS145" s="536"/>
      <c r="BT145" s="474"/>
      <c r="BU145" s="536"/>
      <c r="BV145" s="474"/>
      <c r="BW145" s="536"/>
      <c r="BX145" s="474"/>
      <c r="BY145" s="536"/>
      <c r="BZ145" s="474"/>
      <c r="CA145" s="536"/>
      <c r="CB145" s="474"/>
      <c r="CC145" s="536"/>
      <c r="CD145" s="474"/>
      <c r="CE145" s="536"/>
      <c r="CF145" s="474"/>
      <c r="CG145" s="536"/>
      <c r="CH145" s="474"/>
      <c r="CI145" s="536"/>
      <c r="CJ145" s="474"/>
      <c r="CK145" s="536"/>
      <c r="CL145" s="474"/>
      <c r="CM145" s="474"/>
    </row>
    <row r="146" spans="1:91" s="475" customFormat="1" ht="12" hidden="1" customHeight="1" outlineLevel="1" x14ac:dyDescent="0.2">
      <c r="A146" s="481" t="s">
        <v>71</v>
      </c>
      <c r="B146" s="524"/>
      <c r="C146" s="522"/>
      <c r="D146" s="536"/>
      <c r="E146" s="474"/>
      <c r="F146" s="536"/>
      <c r="G146" s="474"/>
      <c r="H146" s="536"/>
      <c r="I146" s="474"/>
      <c r="J146" s="536"/>
      <c r="K146" s="474"/>
      <c r="L146" s="536"/>
      <c r="M146" s="474"/>
      <c r="N146" s="536">
        <f>+INPUT!O42</f>
        <v>174100</v>
      </c>
      <c r="O146" s="474" t="str">
        <f>+INPUT!P42</f>
        <v>NA</v>
      </c>
      <c r="P146" s="536">
        <f>+INPUT!Q42</f>
        <v>174800</v>
      </c>
      <c r="Q146" s="474" t="str">
        <f>+INPUT!R42</f>
        <v>NA</v>
      </c>
      <c r="R146" s="536">
        <f>+INPUT!S42</f>
        <v>179450</v>
      </c>
      <c r="S146" s="474" t="str">
        <f>+INPUT!T42</f>
        <v>NA</v>
      </c>
      <c r="T146" s="536">
        <f>+INPUT!U42</f>
        <v>182550</v>
      </c>
      <c r="U146" s="474" t="str">
        <f>+INPUT!V42</f>
        <v>NA</v>
      </c>
      <c r="V146" s="536">
        <f>+INPUT!W42</f>
        <v>178100</v>
      </c>
      <c r="W146" s="474">
        <f>+INPUT!X42</f>
        <v>2.2975301550832938</v>
      </c>
      <c r="X146" s="536">
        <f>+INPUT!Y42</f>
        <v>175000</v>
      </c>
      <c r="Y146" s="474">
        <f>+INPUT!Z42</f>
        <v>0.114416475972547</v>
      </c>
      <c r="Z146" s="536">
        <f>+INPUT!AA42</f>
        <v>178900</v>
      </c>
      <c r="AA146" s="474">
        <f>+INPUT!AB42</f>
        <v>-0.30649205906937027</v>
      </c>
      <c r="AB146" s="536">
        <f>+INPUT!AC42</f>
        <v>182800</v>
      </c>
      <c r="AC146" s="474">
        <f>+INPUT!AD42</f>
        <v>0.1369487811558372</v>
      </c>
      <c r="AD146" s="536">
        <f>+INPUT!AE42</f>
        <v>188350</v>
      </c>
      <c r="AE146" s="474">
        <f>+INPUT!AF42</f>
        <v>5.7551937113980927</v>
      </c>
      <c r="AF146" s="536">
        <f>+INPUT!AG42</f>
        <v>193000</v>
      </c>
      <c r="AG146" s="474">
        <f>+INPUT!AH42</f>
        <v>10.285714285714278</v>
      </c>
      <c r="AH146" s="536">
        <f>+INPUT!AI42</f>
        <v>198800</v>
      </c>
      <c r="AI146" s="474">
        <f>+INPUT!AJ42</f>
        <v>11.12353269983231</v>
      </c>
      <c r="AJ146" s="536">
        <f>+INPUT!AK42</f>
        <v>206950</v>
      </c>
      <c r="AK146" s="474">
        <f>+INPUT!AL42</f>
        <v>13.21115973741793</v>
      </c>
      <c r="AL146" s="536">
        <f>+INPUT!AM42</f>
        <v>213750</v>
      </c>
      <c r="AM146" s="474">
        <f>+INPUT!AN42</f>
        <v>13.485532253782864</v>
      </c>
      <c r="AN146" s="536">
        <f>+INPUT!AO42</f>
        <v>220700</v>
      </c>
      <c r="AO146" s="474">
        <f>+INPUT!AP42</f>
        <v>14.352331606217632</v>
      </c>
      <c r="AP146" s="536">
        <f>+INPUT!AQ42</f>
        <v>223005.9</v>
      </c>
      <c r="AQ146" s="474">
        <f>+INPUT!AR42</f>
        <v>12.176006036217288</v>
      </c>
      <c r="AR146" s="536">
        <f>+INPUT!AS42</f>
        <v>223218.93214651619</v>
      </c>
      <c r="AS146" s="474">
        <f>+INPUT!AT42</f>
        <v>7.8612863718367691</v>
      </c>
      <c r="AT146" s="536">
        <f>+INPUT!AU42</f>
        <v>225477.99551980203</v>
      </c>
      <c r="AU146" s="474">
        <f>+INPUT!AV42</f>
        <v>5.4867815297319424</v>
      </c>
      <c r="AV146" s="536">
        <f>+INPUT!AW42</f>
        <v>227337.27273549297</v>
      </c>
      <c r="AW146" s="474">
        <f>+INPUT!AX42</f>
        <v>3.0073732376497446</v>
      </c>
      <c r="AX146" s="498"/>
      <c r="AY146" s="496"/>
      <c r="AZ146" s="533"/>
      <c r="BA146" s="496"/>
      <c r="BB146" s="533"/>
      <c r="BC146" s="496"/>
      <c r="BD146" s="533"/>
      <c r="BE146" s="496"/>
      <c r="BF146" s="474"/>
      <c r="BG146" s="496"/>
      <c r="BH146" s="474"/>
      <c r="BI146" s="496"/>
      <c r="BJ146" s="474"/>
      <c r="BK146" s="536"/>
      <c r="BL146" s="474"/>
      <c r="BM146" s="536"/>
      <c r="BN146" s="474"/>
      <c r="BO146" s="536"/>
      <c r="BP146" s="474"/>
      <c r="BQ146" s="536"/>
      <c r="BR146" s="474"/>
      <c r="BS146" s="536">
        <f>+INPUT!BB42</f>
        <v>0</v>
      </c>
      <c r="BT146" s="474" t="str">
        <f>+INPUT!BC42</f>
        <v>NA</v>
      </c>
      <c r="BU146" s="536">
        <f>+INPUT!BD42</f>
        <v>0</v>
      </c>
      <c r="BV146" s="474" t="str">
        <f>+INPUT!BE42</f>
        <v>NA</v>
      </c>
      <c r="BW146" s="536">
        <f>+INPUT!BF42</f>
        <v>178775</v>
      </c>
      <c r="BX146" s="474" t="str">
        <f>+INPUT!BG42</f>
        <v>NA</v>
      </c>
      <c r="BY146" s="536">
        <f>+INPUT!BH42</f>
        <v>185762.5</v>
      </c>
      <c r="BZ146" s="474">
        <f>+INPUT!BI42</f>
        <v>3.9085442595441293</v>
      </c>
      <c r="CA146" s="536">
        <f>+INPUT!BJ42</f>
        <v>210050</v>
      </c>
      <c r="CB146" s="474">
        <f>+INPUT!BK42</f>
        <v>13.074490276562827</v>
      </c>
      <c r="CC146" s="536">
        <f>+INPUT!BL42</f>
        <v>224760.02510045283</v>
      </c>
      <c r="CD146" s="474">
        <f>+INPUT!BM42</f>
        <v>7.0031064510606171</v>
      </c>
      <c r="CE146" s="536">
        <f>+INPUT!BN42</f>
        <v>232821.07162541529</v>
      </c>
      <c r="CF146" s="474">
        <f>+INPUT!BO42</f>
        <v>3.5865125577200416</v>
      </c>
      <c r="CG146" s="536">
        <f>+INPUT!BP42</f>
        <v>242189.8976584656</v>
      </c>
      <c r="CH146" s="474">
        <f>+INPUT!BQ42</f>
        <v>4.0240455761340002</v>
      </c>
      <c r="CI146" s="536">
        <f>+INPUT!BR42</f>
        <v>251604.41565114263</v>
      </c>
      <c r="CJ146" s="474">
        <f>+INPUT!BS42</f>
        <v>3.8872463648146578</v>
      </c>
      <c r="CK146" s="536">
        <f>+INPUT!BT42</f>
        <v>261091.30604643648</v>
      </c>
      <c r="CL146" s="474">
        <f>+INPUT!BU42</f>
        <v>3.7705579891124614</v>
      </c>
      <c r="CM146" s="474">
        <f>+INPUT!BV42</f>
        <v>4.4465128916307606</v>
      </c>
    </row>
    <row r="147" spans="1:91" s="475" customFormat="1" ht="12" hidden="1" customHeight="1" outlineLevel="1" x14ac:dyDescent="0.2">
      <c r="A147" s="489"/>
      <c r="B147" s="490"/>
      <c r="C147" s="491"/>
      <c r="D147" s="490"/>
      <c r="E147" s="478"/>
      <c r="F147" s="490"/>
      <c r="G147" s="478"/>
      <c r="H147" s="490"/>
      <c r="I147" s="478"/>
      <c r="J147" s="490"/>
      <c r="K147" s="478"/>
      <c r="L147" s="490"/>
      <c r="M147" s="478"/>
      <c r="N147" s="490"/>
      <c r="O147" s="478"/>
      <c r="P147" s="490"/>
      <c r="Q147" s="478"/>
      <c r="R147" s="490"/>
      <c r="S147" s="478"/>
      <c r="T147" s="490"/>
      <c r="U147" s="478"/>
      <c r="V147" s="490"/>
      <c r="W147" s="478"/>
      <c r="X147" s="490"/>
      <c r="Y147" s="478"/>
      <c r="Z147" s="490"/>
      <c r="AA147" s="478"/>
      <c r="AB147" s="490"/>
      <c r="AC147" s="478"/>
      <c r="AD147" s="490"/>
      <c r="AE147" s="478"/>
      <c r="AF147" s="490"/>
      <c r="AG147" s="478"/>
      <c r="AH147" s="490"/>
      <c r="AI147" s="478"/>
      <c r="AJ147" s="490"/>
      <c r="AK147" s="478"/>
      <c r="AL147" s="490"/>
      <c r="AM147" s="478"/>
      <c r="AN147" s="490"/>
      <c r="AO147" s="478"/>
      <c r="AP147" s="490"/>
      <c r="AQ147" s="478"/>
      <c r="AR147" s="490"/>
      <c r="AS147" s="478"/>
      <c r="AT147" s="490"/>
      <c r="AU147" s="478"/>
      <c r="AV147" s="490"/>
      <c r="AW147" s="478"/>
      <c r="AX147" s="490"/>
      <c r="AY147" s="490"/>
      <c r="AZ147" s="491"/>
      <c r="BA147" s="490"/>
      <c r="BB147" s="491"/>
      <c r="BC147" s="490"/>
      <c r="BD147" s="491"/>
      <c r="BE147" s="490"/>
      <c r="BF147" s="478"/>
      <c r="BG147" s="490"/>
      <c r="BH147" s="478"/>
      <c r="BI147" s="490"/>
      <c r="BJ147" s="478"/>
      <c r="BK147" s="490"/>
      <c r="BL147" s="478"/>
      <c r="BM147" s="490"/>
      <c r="BN147" s="478"/>
      <c r="BO147" s="490"/>
      <c r="BP147" s="478"/>
      <c r="BQ147" s="490"/>
      <c r="BR147" s="478"/>
      <c r="BS147" s="490"/>
      <c r="BT147" s="478"/>
      <c r="BU147" s="490"/>
      <c r="BV147" s="478"/>
      <c r="BW147" s="490"/>
      <c r="BX147" s="478"/>
      <c r="BY147" s="490"/>
      <c r="BZ147" s="478"/>
      <c r="CA147" s="490"/>
      <c r="CB147" s="478"/>
      <c r="CC147" s="490"/>
      <c r="CD147" s="478"/>
      <c r="CE147" s="490"/>
      <c r="CF147" s="478"/>
      <c r="CG147" s="490"/>
      <c r="CH147" s="478"/>
      <c r="CI147" s="490"/>
      <c r="CJ147" s="478"/>
      <c r="CK147" s="490"/>
      <c r="CL147" s="478"/>
      <c r="CM147" s="478"/>
    </row>
    <row r="148" spans="1:91" s="475" customFormat="1" ht="12" hidden="1" customHeight="1" outlineLevel="1" x14ac:dyDescent="0.2">
      <c r="A148" s="489" t="s">
        <v>157</v>
      </c>
      <c r="B148" s="490"/>
      <c r="C148" s="491"/>
      <c r="D148" s="490"/>
      <c r="E148" s="478"/>
      <c r="F148" s="490"/>
      <c r="G148" s="478"/>
      <c r="H148" s="490"/>
      <c r="I148" s="478"/>
      <c r="J148" s="490"/>
      <c r="K148" s="478"/>
      <c r="L148" s="490"/>
      <c r="M148" s="478"/>
      <c r="N148" s="490"/>
      <c r="O148" s="478"/>
      <c r="P148" s="490"/>
      <c r="Q148" s="478"/>
      <c r="R148" s="490"/>
      <c r="S148" s="478"/>
      <c r="T148" s="490"/>
      <c r="U148" s="478"/>
      <c r="V148" s="490"/>
      <c r="W148" s="478"/>
      <c r="X148" s="490"/>
      <c r="Y148" s="478"/>
      <c r="Z148" s="490"/>
      <c r="AA148" s="478"/>
      <c r="AB148" s="490"/>
      <c r="AC148" s="478"/>
      <c r="AD148" s="490"/>
      <c r="AE148" s="478"/>
      <c r="AF148" s="490"/>
      <c r="AG148" s="478"/>
      <c r="AH148" s="490"/>
      <c r="AI148" s="478"/>
      <c r="AJ148" s="490"/>
      <c r="AK148" s="478"/>
      <c r="AL148" s="490"/>
      <c r="AM148" s="478"/>
      <c r="AN148" s="490"/>
      <c r="AO148" s="478"/>
      <c r="AP148" s="490"/>
      <c r="AQ148" s="478"/>
      <c r="AR148" s="490"/>
      <c r="AS148" s="478"/>
      <c r="AT148" s="490"/>
      <c r="AU148" s="478"/>
      <c r="AV148" s="490"/>
      <c r="AW148" s="478"/>
      <c r="AX148" s="490"/>
      <c r="AY148" s="490"/>
      <c r="AZ148" s="491"/>
      <c r="BA148" s="490"/>
      <c r="BB148" s="491"/>
      <c r="BC148" s="490"/>
      <c r="BD148" s="491"/>
      <c r="BE148" s="490"/>
      <c r="BF148" s="478"/>
      <c r="BG148" s="490"/>
      <c r="BH148" s="478"/>
      <c r="BI148" s="490"/>
      <c r="BJ148" s="478"/>
      <c r="BK148" s="490"/>
      <c r="BL148" s="478"/>
      <c r="BM148" s="490"/>
      <c r="BN148" s="478"/>
      <c r="BO148" s="490"/>
      <c r="BP148" s="478"/>
      <c r="BQ148" s="490"/>
      <c r="BR148" s="478"/>
      <c r="BS148" s="490"/>
      <c r="BT148" s="478"/>
      <c r="BU148" s="490"/>
      <c r="BV148" s="478"/>
      <c r="BW148" s="490"/>
      <c r="BX148" s="478"/>
      <c r="BY148" s="490"/>
      <c r="BZ148" s="478"/>
      <c r="CA148" s="490"/>
      <c r="CB148" s="478"/>
      <c r="CC148" s="490"/>
      <c r="CD148" s="478"/>
      <c r="CE148" s="490"/>
      <c r="CF148" s="478"/>
      <c r="CG148" s="490"/>
      <c r="CH148" s="478"/>
      <c r="CI148" s="490"/>
      <c r="CJ148" s="478"/>
      <c r="CK148" s="490"/>
      <c r="CL148" s="478"/>
      <c r="CM148" s="478"/>
    </row>
    <row r="149" spans="1:91" s="475" customFormat="1" ht="12" hidden="1" customHeight="1" outlineLevel="1" x14ac:dyDescent="0.2">
      <c r="A149" s="481" t="s">
        <v>72</v>
      </c>
      <c r="B149" s="490"/>
      <c r="C149" s="491"/>
      <c r="D149" s="490"/>
      <c r="E149" s="478"/>
      <c r="F149" s="490"/>
      <c r="G149" s="478"/>
      <c r="H149" s="490"/>
      <c r="I149" s="478"/>
      <c r="J149" s="490"/>
      <c r="K149" s="478"/>
      <c r="L149" s="490"/>
      <c r="M149" s="478"/>
      <c r="N149" s="490">
        <f>+INPUT!O44</f>
        <v>-100</v>
      </c>
      <c r="O149" s="478" t="str">
        <f>+INPUT!P44</f>
        <v>NA</v>
      </c>
      <c r="P149" s="490">
        <f>+INPUT!Q44</f>
        <v>-700</v>
      </c>
      <c r="Q149" s="478" t="str">
        <f>+INPUT!R44</f>
        <v>NA</v>
      </c>
      <c r="R149" s="490">
        <f>+INPUT!S44</f>
        <v>1800</v>
      </c>
      <c r="S149" s="478" t="str">
        <f>+INPUT!T44</f>
        <v>NA</v>
      </c>
      <c r="T149" s="490">
        <f>+INPUT!U44</f>
        <v>500</v>
      </c>
      <c r="U149" s="478" t="str">
        <f>+INPUT!V44</f>
        <v>NA</v>
      </c>
      <c r="V149" s="490">
        <f>+INPUT!W44</f>
        <v>-200</v>
      </c>
      <c r="W149" s="478">
        <f>+INPUT!X44</f>
        <v>100</v>
      </c>
      <c r="X149" s="490">
        <f>+INPUT!Y44</f>
        <v>-1600</v>
      </c>
      <c r="Y149" s="478" t="str">
        <f>+INPUT!Z44</f>
        <v>NM</v>
      </c>
      <c r="Z149" s="490">
        <f>+INPUT!AA44</f>
        <v>3000</v>
      </c>
      <c r="AA149" s="478">
        <f>+INPUT!AB44</f>
        <v>66.666666666666686</v>
      </c>
      <c r="AB149" s="490">
        <f>+INPUT!AC44</f>
        <v>0</v>
      </c>
      <c r="AC149" s="478" t="str">
        <f>+INPUT!AD44</f>
        <v>NM</v>
      </c>
      <c r="AD149" s="490">
        <f>+INPUT!AE44</f>
        <v>1400</v>
      </c>
      <c r="AE149" s="478" t="str">
        <f>+INPUT!AF44</f>
        <v>NM</v>
      </c>
      <c r="AF149" s="490">
        <f>+INPUT!AG44</f>
        <v>-200</v>
      </c>
      <c r="AG149" s="478" t="str">
        <f>+INPUT!AH44</f>
        <v>NM</v>
      </c>
      <c r="AH149" s="490">
        <f>+INPUT!AI44</f>
        <v>2200</v>
      </c>
      <c r="AI149" s="478">
        <f>+INPUT!AJ44</f>
        <v>-26.666666666666671</v>
      </c>
      <c r="AJ149" s="490">
        <f>+INPUT!AK44</f>
        <v>100</v>
      </c>
      <c r="AK149" s="478" t="str">
        <f>+INPUT!AL44</f>
        <v>NA</v>
      </c>
      <c r="AL149" s="490">
        <f>+INPUT!AM44</f>
        <v>-400</v>
      </c>
      <c r="AM149" s="478" t="str">
        <f>+INPUT!AN44</f>
        <v>NM</v>
      </c>
      <c r="AN149" s="490">
        <f>+INPUT!AO44</f>
        <v>-1300</v>
      </c>
      <c r="AO149" s="478" t="str">
        <f>+INPUT!AP44</f>
        <v>NM</v>
      </c>
      <c r="AP149" s="490">
        <f>+INPUT!AQ44</f>
        <v>59</v>
      </c>
      <c r="AQ149" s="478" t="str">
        <f>+INPUT!AR44</f>
        <v>NM</v>
      </c>
      <c r="AR149" s="490">
        <f>+INPUT!AS44</f>
        <v>-371.88910696761559</v>
      </c>
      <c r="AS149" s="478" t="str">
        <f>+INPUT!AT44</f>
        <v>NM</v>
      </c>
      <c r="AT149" s="490">
        <f>+INPUT!AU44</f>
        <v>-713.67638227013776</v>
      </c>
      <c r="AU149" s="478">
        <f>+INPUT!AV44</f>
        <v>78.419095567534441</v>
      </c>
      <c r="AV149" s="490">
        <f>+INPUT!AW44</f>
        <v>-1130.1970698628666</v>
      </c>
      <c r="AW149" s="478">
        <f>+INPUT!AX44</f>
        <v>-13.061763856702569</v>
      </c>
      <c r="AX149" s="490"/>
      <c r="AY149" s="490"/>
      <c r="AZ149" s="491"/>
      <c r="BA149" s="490"/>
      <c r="BB149" s="491"/>
      <c r="BC149" s="490"/>
      <c r="BD149" s="491"/>
      <c r="BE149" s="490"/>
      <c r="BF149" s="478"/>
      <c r="BG149" s="490"/>
      <c r="BH149" s="478"/>
      <c r="BI149" s="490"/>
      <c r="BJ149" s="478"/>
      <c r="BK149" s="490"/>
      <c r="BL149" s="478"/>
      <c r="BM149" s="490"/>
      <c r="BN149" s="478"/>
      <c r="BO149" s="490"/>
      <c r="BP149" s="478"/>
      <c r="BQ149" s="490"/>
      <c r="BR149" s="478"/>
      <c r="BS149" s="536">
        <f>+INPUT!BB44</f>
        <v>0</v>
      </c>
      <c r="BT149" s="478" t="str">
        <f>+INPUT!BC44</f>
        <v>NA</v>
      </c>
      <c r="BU149" s="536">
        <f>+INPUT!BD44</f>
        <v>0</v>
      </c>
      <c r="BV149" s="478" t="str">
        <f>+INPUT!BE44</f>
        <v>NA</v>
      </c>
      <c r="BW149" s="536">
        <f>+INPUT!BF44</f>
        <v>500</v>
      </c>
      <c r="BX149" s="478" t="str">
        <f>+INPUT!BG44</f>
        <v>NA</v>
      </c>
      <c r="BY149" s="536">
        <f>+INPUT!BH44</f>
        <v>4200</v>
      </c>
      <c r="BZ149" s="478" t="str">
        <f>+INPUT!BI44</f>
        <v>NM</v>
      </c>
      <c r="CA149" s="536">
        <f>+INPUT!BJ44</f>
        <v>600</v>
      </c>
      <c r="CB149" s="478" t="str">
        <f>+INPUT!BK44</f>
        <v>NM</v>
      </c>
      <c r="CC149" s="536">
        <f>+INPUT!BL44</f>
        <v>-2156.7625591006217</v>
      </c>
      <c r="CD149" s="478" t="str">
        <f>+INPUT!BM44</f>
        <v>NM</v>
      </c>
      <c r="CE149" s="536">
        <f>+INPUT!BN44</f>
        <v>-1810.6143716673323</v>
      </c>
      <c r="CF149" s="478">
        <f>+INPUT!BO44</f>
        <v>-16.049434184244859</v>
      </c>
      <c r="CG149" s="536">
        <f>+INPUT!BP44</f>
        <v>-2265.1250112752969</v>
      </c>
      <c r="CH149" s="478">
        <f>+INPUT!BQ44</f>
        <v>25.102564451060957</v>
      </c>
      <c r="CI149" s="536">
        <f>+INPUT!BR44</f>
        <v>-2693.588359851019</v>
      </c>
      <c r="CJ149" s="478">
        <f>+INPUT!BS44</f>
        <v>18.915660126612238</v>
      </c>
      <c r="CK149" s="536">
        <f>+INPUT!BT44</f>
        <v>-3099.4900772800684</v>
      </c>
      <c r="CL149" s="478">
        <f>+INPUT!BU44</f>
        <v>15.069181448775623</v>
      </c>
      <c r="CM149" s="478" t="str">
        <f>+INPUT!BV44</f>
        <v>NM</v>
      </c>
    </row>
    <row r="150" spans="1:91" s="475" customFormat="1" ht="12" hidden="1" customHeight="1" outlineLevel="1" x14ac:dyDescent="0.2">
      <c r="A150" s="481" t="s">
        <v>74</v>
      </c>
      <c r="B150" s="524"/>
      <c r="C150" s="522"/>
      <c r="D150" s="530"/>
      <c r="E150" s="474"/>
      <c r="F150" s="530"/>
      <c r="G150" s="474"/>
      <c r="H150" s="530"/>
      <c r="I150" s="474"/>
      <c r="J150" s="530"/>
      <c r="K150" s="474"/>
      <c r="L150" s="530"/>
      <c r="M150" s="474"/>
      <c r="N150" s="530">
        <f>+INPUT!O47</f>
        <v>-13.918996006845408</v>
      </c>
      <c r="O150" s="474" t="str">
        <f>+INPUT!P47</f>
        <v>NA</v>
      </c>
      <c r="P150" s="530">
        <f>+INPUT!Q47</f>
        <v>-16.194331983805668</v>
      </c>
      <c r="Q150" s="474" t="str">
        <f>+INPUT!R47</f>
        <v>NA</v>
      </c>
      <c r="R150" s="530">
        <f>+INPUT!S47</f>
        <v>-14.940577249575551</v>
      </c>
      <c r="S150" s="474" t="str">
        <f>+INPUT!T47</f>
        <v>NA</v>
      </c>
      <c r="T150" s="530">
        <f>+INPUT!U47</f>
        <v>-13.172338090010976</v>
      </c>
      <c r="U150" s="474" t="str">
        <f>+INPUT!V47</f>
        <v>NA</v>
      </c>
      <c r="V150" s="530">
        <f>+INPUT!W47</f>
        <v>-13.996719518862765</v>
      </c>
      <c r="W150" s="474">
        <f>+INPUT!X47</f>
        <v>0.55839883838699222</v>
      </c>
      <c r="X150" s="530">
        <f>+INPUT!Y47</f>
        <v>-19.157530294287366</v>
      </c>
      <c r="Y150" s="474">
        <f>+INPUT!Z47</f>
        <v>18.297749567224471</v>
      </c>
      <c r="Z150" s="530">
        <f>+INPUT!AA47</f>
        <v>-14.035087719298245</v>
      </c>
      <c r="AA150" s="474">
        <f>+INPUT!AB47</f>
        <v>-6.0606060606060623</v>
      </c>
      <c r="AB150" s="530">
        <f>+INPUT!AC47</f>
        <v>-15.90281612368857</v>
      </c>
      <c r="AC150" s="474">
        <f>+INPUT!AD47</f>
        <v>20.728879072335744</v>
      </c>
      <c r="AD150" s="530">
        <f>+INPUT!AE47</f>
        <v>-12.574525745257453</v>
      </c>
      <c r="AE150" s="474">
        <f>+INPUT!AF47</f>
        <v>-10.160907859078577</v>
      </c>
      <c r="AF150" s="530">
        <f>+INPUT!AG47</f>
        <v>-16.649323621227889</v>
      </c>
      <c r="AG150" s="474">
        <f>+INPUT!AH47</f>
        <v>-13.092536639795398</v>
      </c>
      <c r="AH150" s="530">
        <f>+INPUT!AI47</f>
        <v>-14.654282765737875</v>
      </c>
      <c r="AI150" s="474">
        <f>+INPUT!AJ47</f>
        <v>4.4117647058823621</v>
      </c>
      <c r="AJ150" s="530">
        <f>+INPUT!AK47</f>
        <v>-15.701668302257115</v>
      </c>
      <c r="AK150" s="474">
        <f>+INPUT!AL47</f>
        <v>-1.2648566132373702</v>
      </c>
      <c r="AL150" s="530">
        <f>+INPUT!AM47</f>
        <v>-15.040456925273679</v>
      </c>
      <c r="AM150" s="474">
        <f>+INPUT!AN47</f>
        <v>19.610530289353179</v>
      </c>
      <c r="AN150" s="530">
        <f>+INPUT!AO47</f>
        <v>-16.559337626494941</v>
      </c>
      <c r="AO150" s="474">
        <f>+INPUT!AP47</f>
        <v>-0.54047838086476929</v>
      </c>
      <c r="AP150" s="530">
        <f>+INPUT!AQ47</f>
        <v>-17</v>
      </c>
      <c r="AQ150" s="474">
        <f>+INPUT!AR47</f>
        <v>16.007042253521121</v>
      </c>
      <c r="AR150" s="530">
        <f>+INPUT!AS47</f>
        <v>-15.701668302257115</v>
      </c>
      <c r="AS150" s="474">
        <f>+INPUT!AT47</f>
        <v>0</v>
      </c>
      <c r="AT150" s="530">
        <f>+INPUT!AU47</f>
        <v>-15.040456925273679</v>
      </c>
      <c r="AU150" s="474">
        <f>+INPUT!AV47</f>
        <v>0</v>
      </c>
      <c r="AV150" s="530">
        <f>+INPUT!AW47</f>
        <v>-16</v>
      </c>
      <c r="AW150" s="474">
        <f>+INPUT!AX47</f>
        <v>-3.37777777777778</v>
      </c>
      <c r="AX150" s="498"/>
      <c r="AY150" s="496"/>
      <c r="AZ150" s="533"/>
      <c r="BA150" s="496"/>
      <c r="BB150" s="533"/>
      <c r="BC150" s="496"/>
      <c r="BD150" s="533"/>
      <c r="BE150" s="496"/>
      <c r="BF150" s="474"/>
      <c r="BG150" s="496"/>
      <c r="BH150" s="474"/>
      <c r="BI150" s="496"/>
      <c r="BJ150" s="474"/>
      <c r="BK150" s="530"/>
      <c r="BL150" s="474"/>
      <c r="BM150" s="530"/>
      <c r="BN150" s="474"/>
      <c r="BO150" s="530"/>
      <c r="BP150" s="474"/>
      <c r="BQ150" s="530"/>
      <c r="BR150" s="474"/>
      <c r="BS150" s="530">
        <f>+INPUT!BB47</f>
        <v>0</v>
      </c>
      <c r="BT150" s="474" t="str">
        <f>+INPUT!BC47</f>
        <v>NA</v>
      </c>
      <c r="BU150" s="530">
        <f>+INPUT!BD47</f>
        <v>0</v>
      </c>
      <c r="BV150" s="474" t="str">
        <f>+INPUT!BE47</f>
        <v>NA</v>
      </c>
      <c r="BW150" s="530">
        <f>+INPUT!BF47</f>
        <v>-15.449915110356535</v>
      </c>
      <c r="BX150" s="474" t="str">
        <f>+INPUT!BG47</f>
        <v>NA</v>
      </c>
      <c r="BY150" s="530">
        <f>+INPUT!BH47</f>
        <v>-15.393322014714206</v>
      </c>
      <c r="BZ150" s="474">
        <f>+INPUT!BI47</f>
        <v>-0.36630036630035079</v>
      </c>
      <c r="CA150" s="530">
        <f>+INPUT!BJ47</f>
        <v>-16.511867905056761</v>
      </c>
      <c r="CB150" s="474">
        <f>+INPUT!BK47</f>
        <v>7.2664359861591663</v>
      </c>
      <c r="CC150" s="530">
        <f>+INPUT!BL47</f>
        <v>-15.953018999598493</v>
      </c>
      <c r="CD150" s="474">
        <f>+INPUT!BM47</f>
        <v>-3.3845286836816371</v>
      </c>
      <c r="CE150" s="530">
        <f>+INPUT!BN47</f>
        <v>-15.953018999598493</v>
      </c>
      <c r="CF150" s="474">
        <f>+INPUT!BO47</f>
        <v>0</v>
      </c>
      <c r="CG150" s="530">
        <f>+INPUT!BP47</f>
        <v>-15.953018999598493</v>
      </c>
      <c r="CH150" s="474">
        <f>+INPUT!BQ47</f>
        <v>0</v>
      </c>
      <c r="CI150" s="530">
        <f>+INPUT!BR47</f>
        <v>-15.953018999598493</v>
      </c>
      <c r="CJ150" s="474">
        <f>+INPUT!BS47</f>
        <v>0</v>
      </c>
      <c r="CK150" s="530">
        <f>+INPUT!BT47</f>
        <v>-15.953018999598493</v>
      </c>
      <c r="CL150" s="474">
        <f>+INPUT!BU47</f>
        <v>0</v>
      </c>
      <c r="CM150" s="474">
        <f>+INPUT!BV47</f>
        <v>-0.68626038523492694</v>
      </c>
    </row>
    <row r="151" spans="1:91" s="475" customFormat="1" ht="12" hidden="1" customHeight="1" outlineLevel="1" x14ac:dyDescent="0.2">
      <c r="A151" s="481" t="s">
        <v>75</v>
      </c>
      <c r="B151" s="524"/>
      <c r="C151" s="522"/>
      <c r="D151" s="530"/>
      <c r="E151" s="474"/>
      <c r="F151" s="530"/>
      <c r="G151" s="474"/>
      <c r="H151" s="530"/>
      <c r="I151" s="474"/>
      <c r="J151" s="530"/>
      <c r="K151" s="474"/>
      <c r="L151" s="530"/>
      <c r="M151" s="474"/>
      <c r="N151" s="530">
        <f>+INPUT!O49</f>
        <v>-4.7917855105533373</v>
      </c>
      <c r="O151" s="474" t="str">
        <f>+INPUT!P49</f>
        <v>NA</v>
      </c>
      <c r="P151" s="530">
        <f>+INPUT!Q49</f>
        <v>10.410641989589358</v>
      </c>
      <c r="Q151" s="474" t="str">
        <f>+INPUT!R49</f>
        <v>NA</v>
      </c>
      <c r="R151" s="530">
        <f>+INPUT!S49</f>
        <v>9.0548953027730619</v>
      </c>
      <c r="S151" s="474" t="str">
        <f>+INPUT!T49</f>
        <v>NA</v>
      </c>
      <c r="T151" s="530">
        <f>+INPUT!U49</f>
        <v>0.43907793633369924</v>
      </c>
      <c r="U151" s="474" t="str">
        <f>+INPUT!V49</f>
        <v>NA</v>
      </c>
      <c r="V151" s="530">
        <f>+INPUT!W49</f>
        <v>-20.120284308365228</v>
      </c>
      <c r="W151" s="474" t="str">
        <f>+INPUT!X49</f>
        <v>NM</v>
      </c>
      <c r="X151" s="530">
        <f>+INPUT!Y49</f>
        <v>12.002308136180034</v>
      </c>
      <c r="Y151" s="474">
        <f>+INPUT!Z49</f>
        <v>15.288837596973764</v>
      </c>
      <c r="Z151" s="530">
        <f>+INPUT!AA49</f>
        <v>3.3955857385398982</v>
      </c>
      <c r="AA151" s="474" t="str">
        <f>+INPUT!AB49</f>
        <v>NM</v>
      </c>
      <c r="AB151" s="530">
        <f>+INPUT!AC49</f>
        <v>7.9514080618442851</v>
      </c>
      <c r="AC151" s="474" t="str">
        <f>+INPUT!AD49</f>
        <v>NM</v>
      </c>
      <c r="AD151" s="530">
        <f>+INPUT!AE49</f>
        <v>14.092140921409213</v>
      </c>
      <c r="AE151" s="474" t="str">
        <f>+INPUT!AF49</f>
        <v>NM</v>
      </c>
      <c r="AF151" s="530">
        <f>+INPUT!AG49</f>
        <v>4.1623309053069724</v>
      </c>
      <c r="AG151" s="474" t="str">
        <f>+INPUT!AH49</f>
        <v>NM</v>
      </c>
      <c r="AH151" s="530">
        <f>+INPUT!AI49</f>
        <v>16.718266253869967</v>
      </c>
      <c r="AI151" s="474" t="str">
        <f>+INPUT!AJ49</f>
        <v>NM</v>
      </c>
      <c r="AJ151" s="530">
        <f>+INPUT!AK49</f>
        <v>12.365063788027477</v>
      </c>
      <c r="AK151" s="474">
        <f>+INPUT!AL49</f>
        <v>55.5078508341511</v>
      </c>
      <c r="AL151" s="530">
        <f>+INPUT!AM49</f>
        <v>14.850071394574012</v>
      </c>
      <c r="AM151" s="474">
        <f>+INPUT!AN49</f>
        <v>5.3783912422656073</v>
      </c>
      <c r="AN151" s="530">
        <f>+INPUT!AO49</f>
        <v>14.903403863845446</v>
      </c>
      <c r="AO151" s="474" t="str">
        <f>+INPUT!AP49</f>
        <v>NM</v>
      </c>
      <c r="AP151" s="530">
        <f>+INPUT!AQ49</f>
        <v>-3.12</v>
      </c>
      <c r="AQ151" s="474" t="str">
        <f>+INPUT!AR49</f>
        <v>NM</v>
      </c>
      <c r="AR151" s="530">
        <f>+INPUT!AS49</f>
        <v>5.2</v>
      </c>
      <c r="AS151" s="474" t="str">
        <f>+INPUT!AT49</f>
        <v>NM</v>
      </c>
      <c r="AT151" s="530">
        <f>+INPUT!AU49</f>
        <v>5.2</v>
      </c>
      <c r="AU151" s="474" t="str">
        <f>+INPUT!AV49</f>
        <v>NM</v>
      </c>
      <c r="AV151" s="530">
        <f>+INPUT!AW49</f>
        <v>5.2</v>
      </c>
      <c r="AW151" s="474" t="str">
        <f>+INPUT!AX49</f>
        <v>NM</v>
      </c>
      <c r="AX151" s="498"/>
      <c r="AY151" s="496"/>
      <c r="AZ151" s="533"/>
      <c r="BA151" s="496"/>
      <c r="BB151" s="533"/>
      <c r="BC151" s="496"/>
      <c r="BD151" s="533"/>
      <c r="BE151" s="496"/>
      <c r="BF151" s="474"/>
      <c r="BG151" s="496"/>
      <c r="BH151" s="474"/>
      <c r="BI151" s="496"/>
      <c r="BJ151" s="474"/>
      <c r="BK151" s="530"/>
      <c r="BL151" s="474"/>
      <c r="BM151" s="530"/>
      <c r="BN151" s="474"/>
      <c r="BO151" s="530"/>
      <c r="BP151" s="474"/>
      <c r="BQ151" s="530"/>
      <c r="BR151" s="474"/>
      <c r="BS151" s="530">
        <f>+INPUT!BB49</f>
        <v>0</v>
      </c>
      <c r="BT151" s="474" t="str">
        <f>+INPUT!BC49</f>
        <v>NA</v>
      </c>
      <c r="BU151" s="530">
        <f>+INPUT!BD49</f>
        <v>0</v>
      </c>
      <c r="BV151" s="474" t="str">
        <f>+INPUT!BE49</f>
        <v>NA</v>
      </c>
      <c r="BW151" s="530">
        <f>+INPUT!BF49</f>
        <v>0.11318619128466327</v>
      </c>
      <c r="BX151" s="474" t="str">
        <f>+INPUT!BG49</f>
        <v>NA</v>
      </c>
      <c r="BY151" s="530">
        <f>+INPUT!BH49</f>
        <v>7.6966610073571031</v>
      </c>
      <c r="BZ151" s="474" t="str">
        <f>+INPUT!BI49</f>
        <v>NM</v>
      </c>
      <c r="CA151" s="530">
        <f>+INPUT!BJ49</f>
        <v>15.634674922600619</v>
      </c>
      <c r="CB151" s="474" t="str">
        <f>+INPUT!BK49</f>
        <v>NM</v>
      </c>
      <c r="CC151" s="530">
        <f>+INPUT!BL49</f>
        <v>3.1256166444262741</v>
      </c>
      <c r="CD151" s="474" t="str">
        <f>+INPUT!BM49</f>
        <v>NM</v>
      </c>
      <c r="CE151" s="530">
        <f>+INPUT!BN49</f>
        <v>5.2</v>
      </c>
      <c r="CF151" s="474">
        <f>+INPUT!BO49</f>
        <v>66.367171395534086</v>
      </c>
      <c r="CG151" s="530">
        <f>+INPUT!BP49</f>
        <v>5.2</v>
      </c>
      <c r="CH151" s="474">
        <f>+INPUT!BQ49</f>
        <v>0</v>
      </c>
      <c r="CI151" s="530">
        <f>+INPUT!BR49</f>
        <v>5.1999999999999993</v>
      </c>
      <c r="CJ151" s="474">
        <f>+INPUT!BS49</f>
        <v>-2.8421709430404007E-14</v>
      </c>
      <c r="CK151" s="530">
        <f>+INPUT!BT49</f>
        <v>5.2</v>
      </c>
      <c r="CL151" s="474">
        <f>+INPUT!BU49</f>
        <v>2.8421709430404007E-14</v>
      </c>
      <c r="CM151" s="474">
        <f>+INPUT!BV49</f>
        <v>-19.761482208272785</v>
      </c>
    </row>
    <row r="152" spans="1:91" s="475" customFormat="1" ht="12" hidden="1" customHeight="1" outlineLevel="1" x14ac:dyDescent="0.2">
      <c r="A152" s="489"/>
      <c r="B152" s="490"/>
      <c r="C152" s="491"/>
      <c r="D152" s="490"/>
      <c r="E152" s="478"/>
      <c r="F152" s="490"/>
      <c r="G152" s="478"/>
      <c r="H152" s="490"/>
      <c r="I152" s="478"/>
      <c r="J152" s="490"/>
      <c r="K152" s="478"/>
      <c r="L152" s="490"/>
      <c r="M152" s="478"/>
      <c r="N152" s="490"/>
      <c r="O152" s="478"/>
      <c r="P152" s="490"/>
      <c r="Q152" s="478"/>
      <c r="R152" s="490"/>
      <c r="S152" s="478"/>
      <c r="T152" s="490"/>
      <c r="U152" s="478"/>
      <c r="V152" s="490"/>
      <c r="W152" s="478"/>
      <c r="X152" s="490"/>
      <c r="Y152" s="478"/>
      <c r="Z152" s="490"/>
      <c r="AA152" s="478"/>
      <c r="AB152" s="490"/>
      <c r="AC152" s="478"/>
      <c r="AD152" s="490"/>
      <c r="AE152" s="478"/>
      <c r="AF152" s="490"/>
      <c r="AG152" s="478"/>
      <c r="AH152" s="490"/>
      <c r="AI152" s="478"/>
      <c r="AJ152" s="490"/>
      <c r="AK152" s="478"/>
      <c r="AL152" s="490"/>
      <c r="AM152" s="478"/>
      <c r="AN152" s="490"/>
      <c r="AO152" s="478"/>
      <c r="AP152" s="490"/>
      <c r="AQ152" s="478"/>
      <c r="AR152" s="490"/>
      <c r="AS152" s="478"/>
      <c r="AT152" s="490"/>
      <c r="AU152" s="478"/>
      <c r="AV152" s="490"/>
      <c r="AW152" s="478"/>
      <c r="AX152" s="490"/>
      <c r="AY152" s="490"/>
      <c r="AZ152" s="491"/>
      <c r="BA152" s="490"/>
      <c r="BB152" s="491"/>
      <c r="BC152" s="490"/>
      <c r="BD152" s="491"/>
      <c r="BE152" s="490"/>
      <c r="BF152" s="478"/>
      <c r="BG152" s="490"/>
      <c r="BH152" s="478"/>
      <c r="BI152" s="490"/>
      <c r="BJ152" s="478"/>
      <c r="BK152" s="490"/>
      <c r="BL152" s="478"/>
      <c r="BM152" s="490"/>
      <c r="BN152" s="478"/>
      <c r="BO152" s="490"/>
      <c r="BP152" s="478"/>
      <c r="BQ152" s="490"/>
      <c r="BR152" s="478"/>
      <c r="BS152" s="490"/>
      <c r="BT152" s="478"/>
      <c r="BU152" s="490"/>
      <c r="BV152" s="478"/>
      <c r="BW152" s="490"/>
      <c r="BX152" s="478"/>
      <c r="BY152" s="490"/>
      <c r="BZ152" s="478"/>
      <c r="CA152" s="490"/>
      <c r="CB152" s="478"/>
      <c r="CC152" s="490"/>
      <c r="CD152" s="478"/>
      <c r="CE152" s="490"/>
      <c r="CF152" s="478"/>
      <c r="CG152" s="490"/>
      <c r="CH152" s="478"/>
      <c r="CI152" s="490"/>
      <c r="CJ152" s="478"/>
      <c r="CK152" s="490"/>
      <c r="CL152" s="478"/>
      <c r="CM152" s="478"/>
    </row>
    <row r="153" spans="1:91" s="475" customFormat="1" ht="12" hidden="1" customHeight="1" outlineLevel="1" x14ac:dyDescent="0.2">
      <c r="A153" s="489" t="s">
        <v>295</v>
      </c>
      <c r="B153" s="490"/>
      <c r="C153" s="491"/>
      <c r="D153" s="490"/>
      <c r="E153" s="478"/>
      <c r="F153" s="490"/>
      <c r="G153" s="478"/>
      <c r="H153" s="490"/>
      <c r="I153" s="478"/>
      <c r="J153" s="490"/>
      <c r="K153" s="478"/>
      <c r="L153" s="490"/>
      <c r="M153" s="478"/>
      <c r="N153" s="490"/>
      <c r="O153" s="478"/>
      <c r="P153" s="490"/>
      <c r="Q153" s="478"/>
      <c r="R153" s="490"/>
      <c r="S153" s="478"/>
      <c r="T153" s="490"/>
      <c r="U153" s="478"/>
      <c r="V153" s="490"/>
      <c r="W153" s="478"/>
      <c r="X153" s="490"/>
      <c r="Y153" s="478"/>
      <c r="Z153" s="490"/>
      <c r="AA153" s="478"/>
      <c r="AB153" s="490"/>
      <c r="AC153" s="478"/>
      <c r="AD153" s="490"/>
      <c r="AE153" s="478"/>
      <c r="AF153" s="490"/>
      <c r="AG153" s="478"/>
      <c r="AH153" s="490"/>
      <c r="AI153" s="478"/>
      <c r="AJ153" s="490"/>
      <c r="AK153" s="478"/>
      <c r="AL153" s="490"/>
      <c r="AM153" s="478"/>
      <c r="AN153" s="490"/>
      <c r="AO153" s="478"/>
      <c r="AP153" s="490"/>
      <c r="AQ153" s="478"/>
      <c r="AR153" s="490"/>
      <c r="AS153" s="478"/>
      <c r="AT153" s="490"/>
      <c r="AU153" s="478"/>
      <c r="AV153" s="490"/>
      <c r="AW153" s="478"/>
      <c r="AX153" s="490"/>
      <c r="AY153" s="490"/>
      <c r="AZ153" s="491"/>
      <c r="BA153" s="490"/>
      <c r="BB153" s="491"/>
      <c r="BC153" s="490"/>
      <c r="BD153" s="491"/>
      <c r="BE153" s="490"/>
      <c r="BF153" s="478"/>
      <c r="BG153" s="490"/>
      <c r="BH153" s="478"/>
      <c r="BI153" s="490"/>
      <c r="BJ153" s="478"/>
      <c r="BK153" s="490"/>
      <c r="BL153" s="478"/>
      <c r="BM153" s="490"/>
      <c r="BN153" s="478"/>
      <c r="BO153" s="490"/>
      <c r="BP153" s="478"/>
      <c r="BQ153" s="490"/>
      <c r="BR153" s="478"/>
      <c r="BS153" s="490"/>
      <c r="BT153" s="478"/>
      <c r="BU153" s="490"/>
      <c r="BV153" s="478"/>
      <c r="BW153" s="490"/>
      <c r="BX153" s="478"/>
      <c r="BY153" s="490"/>
      <c r="BZ153" s="478"/>
      <c r="CA153" s="490"/>
      <c r="CB153" s="478"/>
      <c r="CC153" s="490"/>
      <c r="CD153" s="478"/>
      <c r="CE153" s="490"/>
      <c r="CF153" s="478"/>
      <c r="CG153" s="490"/>
      <c r="CH153" s="478"/>
      <c r="CI153" s="490"/>
      <c r="CJ153" s="478"/>
      <c r="CK153" s="490"/>
      <c r="CL153" s="478"/>
      <c r="CM153" s="478"/>
    </row>
    <row r="154" spans="1:91" s="475" customFormat="1" ht="12" hidden="1" customHeight="1" outlineLevel="1" x14ac:dyDescent="0.2">
      <c r="A154" s="481" t="s">
        <v>375</v>
      </c>
      <c r="B154" s="495"/>
      <c r="C154" s="491"/>
      <c r="D154" s="495"/>
      <c r="E154" s="478"/>
      <c r="F154" s="495"/>
      <c r="G154" s="478"/>
      <c r="H154" s="495"/>
      <c r="I154" s="478"/>
      <c r="J154" s="495"/>
      <c r="K154" s="478"/>
      <c r="L154" s="495"/>
      <c r="M154" s="478"/>
      <c r="N154" s="495">
        <f>+INPUT!O67</f>
        <v>0.75749569213095924</v>
      </c>
      <c r="O154" s="478" t="str">
        <f>+INPUT!P67</f>
        <v>NA</v>
      </c>
      <c r="P154" s="495">
        <f>+INPUT!Q67</f>
        <v>0.75308924485125861</v>
      </c>
      <c r="Q154" s="478" t="str">
        <f>+INPUT!R67</f>
        <v>NA</v>
      </c>
      <c r="R154" s="495">
        <f>+INPUT!S67</f>
        <v>0.73513513513513518</v>
      </c>
      <c r="S154" s="478" t="str">
        <f>+INPUT!T67</f>
        <v>NA</v>
      </c>
      <c r="T154" s="495">
        <f>+INPUT!U67</f>
        <v>0.73294987674609691</v>
      </c>
      <c r="U154" s="478" t="str">
        <f>+INPUT!V67</f>
        <v>NA</v>
      </c>
      <c r="V154" s="495">
        <f>+INPUT!W67</f>
        <v>0.73621560920830997</v>
      </c>
      <c r="W154" s="478">
        <f>+INPUT!X67</f>
        <v>-2.8092678471589636</v>
      </c>
      <c r="X154" s="495">
        <f>+INPUT!Y67</f>
        <v>0.74857142857142855</v>
      </c>
      <c r="Y154" s="478">
        <f>+INPUT!Z67</f>
        <v>-0.59990450145419061</v>
      </c>
      <c r="Z154" s="495">
        <f>+INPUT!AA67</f>
        <v>0.68239239798770257</v>
      </c>
      <c r="AA154" s="478">
        <f>+INPUT!AB67</f>
        <v>-7.1745635090257593</v>
      </c>
      <c r="AB154" s="495">
        <f>+INPUT!AC67</f>
        <v>0.69759299781181627</v>
      </c>
      <c r="AC154" s="478">
        <f>+INPUT!AD67</f>
        <v>-4.8239149846434373</v>
      </c>
      <c r="AD154" s="495">
        <f>+INPUT!AE67</f>
        <v>0.69912397132997084</v>
      </c>
      <c r="AE154" s="478">
        <f>+INPUT!AF67</f>
        <v>-5.0381487996737349</v>
      </c>
      <c r="AF154" s="495">
        <f>+INPUT!AG67</f>
        <v>0.67917098445595858</v>
      </c>
      <c r="AG154" s="478">
        <f>+INPUT!AH67</f>
        <v>-9.2710516948146875</v>
      </c>
      <c r="AH154" s="495">
        <f>+INPUT!AI67</f>
        <v>0.66559356136820935</v>
      </c>
      <c r="AI154" s="478">
        <f>+INPUT!AJ67</f>
        <v>-2.4617561199437574</v>
      </c>
      <c r="AJ154" s="495">
        <f>+INPUT!AK67</f>
        <v>0.65271804783764187</v>
      </c>
      <c r="AK154" s="478">
        <f>+INPUT!AL67</f>
        <v>-6.4328268940394366</v>
      </c>
      <c r="AL154" s="495">
        <f>+INPUT!AM67</f>
        <v>0.64879532163742681</v>
      </c>
      <c r="AM154" s="478">
        <f>+INPUT!AN67</f>
        <v>-7.198816198048803</v>
      </c>
      <c r="AN154" s="495">
        <f>+INPUT!AO67</f>
        <v>0.64848210240144999</v>
      </c>
      <c r="AO154" s="478">
        <f>+INPUT!AP67</f>
        <v>-4.5185796738786621</v>
      </c>
      <c r="AP154" s="495">
        <f>+INPUT!AQ67</f>
        <v>0.64848210240144999</v>
      </c>
      <c r="AQ154" s="478">
        <f>+INPUT!AR67</f>
        <v>-2.5708570454895323</v>
      </c>
      <c r="AR154" s="495">
        <f>+INPUT!AS67</f>
        <v>0.64848210240144999</v>
      </c>
      <c r="AS154" s="478">
        <f>+INPUT!AT67</f>
        <v>-0.64897017176481597</v>
      </c>
      <c r="AT154" s="495">
        <f>+INPUT!AU67</f>
        <v>0.64848210240144999</v>
      </c>
      <c r="AU154" s="478">
        <f>+INPUT!AV67</f>
        <v>-4.8277049098672364E-2</v>
      </c>
      <c r="AV154" s="495">
        <f>+INPUT!AW67</f>
        <v>0.64848210240144999</v>
      </c>
      <c r="AW154" s="478">
        <f>+INPUT!AX67</f>
        <v>0</v>
      </c>
      <c r="AX154" s="490"/>
      <c r="AY154" s="495"/>
      <c r="AZ154" s="491"/>
      <c r="BA154" s="495"/>
      <c r="BB154" s="491"/>
      <c r="BC154" s="495"/>
      <c r="BD154" s="491"/>
      <c r="BE154" s="495"/>
      <c r="BF154" s="478"/>
      <c r="BG154" s="495"/>
      <c r="BH154" s="478"/>
      <c r="BI154" s="495"/>
      <c r="BJ154" s="478"/>
      <c r="BK154" s="495"/>
      <c r="BL154" s="478"/>
      <c r="BM154" s="495"/>
      <c r="BN154" s="478"/>
      <c r="BO154" s="495"/>
      <c r="BP154" s="478"/>
      <c r="BQ154" s="495"/>
      <c r="BR154" s="478"/>
      <c r="BS154" s="495">
        <f>+INPUT!BB67</f>
        <v>0</v>
      </c>
      <c r="BT154" s="478" t="str">
        <f>+INPUT!BC67</f>
        <v>NA</v>
      </c>
      <c r="BU154" s="495">
        <f>+INPUT!BD67</f>
        <v>0</v>
      </c>
      <c r="BV154" s="478" t="str">
        <f>+INPUT!BE67</f>
        <v>NA</v>
      </c>
      <c r="BW154" s="495">
        <f>+INPUT!BF67</f>
        <v>0.73813452663963075</v>
      </c>
      <c r="BX154" s="478" t="str">
        <f>+INPUT!BG67</f>
        <v>NA</v>
      </c>
      <c r="BY154" s="495">
        <f>+INPUT!BH67</f>
        <v>0.68953637036538595</v>
      </c>
      <c r="BZ154" s="478">
        <f>+INPUT!BI67</f>
        <v>-6.5839158744529556</v>
      </c>
      <c r="CA154" s="495">
        <f>+INPUT!BJ67</f>
        <v>0.65365389193049273</v>
      </c>
      <c r="CB154" s="478">
        <f>+INPUT!BK67</f>
        <v>-5.2038558047168806</v>
      </c>
      <c r="CC154" s="495">
        <f>+INPUT!BL67</f>
        <v>0.64848210240144977</v>
      </c>
      <c r="CD154" s="478">
        <f>+INPUT!BM67</f>
        <v>-0.79121222911541622</v>
      </c>
      <c r="CE154" s="495">
        <f>+INPUT!BN67</f>
        <v>0.64848210240144977</v>
      </c>
      <c r="CF154" s="478">
        <f>+INPUT!BO67</f>
        <v>0</v>
      </c>
      <c r="CG154" s="495">
        <f>+INPUT!BP67</f>
        <v>0.64848210240144977</v>
      </c>
      <c r="CH154" s="478">
        <f>+INPUT!BQ67</f>
        <v>0</v>
      </c>
      <c r="CI154" s="495">
        <f>+INPUT!BR67</f>
        <v>0.64848210240144977</v>
      </c>
      <c r="CJ154" s="478">
        <f>+INPUT!BS67</f>
        <v>0</v>
      </c>
      <c r="CK154" s="495">
        <f>+INPUT!BT67</f>
        <v>0.64848210240144977</v>
      </c>
      <c r="CL154" s="478">
        <f>+INPUT!BU67</f>
        <v>0</v>
      </c>
      <c r="CM154" s="478">
        <f>+INPUT!BV67</f>
        <v>-0.15874565000199015</v>
      </c>
    </row>
    <row r="155" spans="1:91" s="475" customFormat="1" ht="12" hidden="1" customHeight="1" outlineLevel="1" x14ac:dyDescent="0.2">
      <c r="A155" s="481" t="s">
        <v>198</v>
      </c>
      <c r="B155" s="495"/>
      <c r="C155" s="491"/>
      <c r="D155" s="495"/>
      <c r="E155" s="478"/>
      <c r="F155" s="495"/>
      <c r="G155" s="478"/>
      <c r="H155" s="495"/>
      <c r="I155" s="478"/>
      <c r="J155" s="495"/>
      <c r="K155" s="478"/>
      <c r="L155" s="495"/>
      <c r="M155" s="478"/>
      <c r="N155" s="495">
        <f>+INPUT!O68</f>
        <v>0.27202757036186104</v>
      </c>
      <c r="O155" s="478" t="str">
        <f>+INPUT!P68</f>
        <v>NA</v>
      </c>
      <c r="P155" s="495">
        <f>+INPUT!Q68</f>
        <v>0.27437070938215108</v>
      </c>
      <c r="Q155" s="478" t="str">
        <f>+INPUT!R68</f>
        <v>NA</v>
      </c>
      <c r="R155" s="495">
        <f>+INPUT!S68</f>
        <v>0.2405126776260797</v>
      </c>
      <c r="S155" s="478" t="str">
        <f>+INPUT!T68</f>
        <v>NA</v>
      </c>
      <c r="T155" s="495">
        <f>+INPUT!U68</f>
        <v>0.26250342371952889</v>
      </c>
      <c r="U155" s="478" t="str">
        <f>+INPUT!V68</f>
        <v>NA</v>
      </c>
      <c r="V155" s="495">
        <f>+INPUT!W68</f>
        <v>0.25626052779337449</v>
      </c>
      <c r="W155" s="478">
        <f>+INPUT!X68</f>
        <v>-5.7961193225792016</v>
      </c>
      <c r="X155" s="495">
        <f>+INPUT!Y68</f>
        <v>0.25737142857142853</v>
      </c>
      <c r="Y155" s="478">
        <f>+INPUT!Z68</f>
        <v>-6.1957345406887043</v>
      </c>
      <c r="Z155" s="495">
        <f>+INPUT!AA68</f>
        <v>0.24169927333705979</v>
      </c>
      <c r="AA155" s="478">
        <f>+INPUT!AB68</f>
        <v>0.49336098316817356</v>
      </c>
      <c r="AB155" s="495">
        <f>+INPUT!AC68</f>
        <v>0.24070021881838077</v>
      </c>
      <c r="AC155" s="478">
        <f>+INPUT!AD68</f>
        <v>-8.3058744881147533</v>
      </c>
      <c r="AD155" s="495">
        <f>+INPUT!AE68</f>
        <v>0.26185293336872839</v>
      </c>
      <c r="AE155" s="478">
        <f>+INPUT!AF68</f>
        <v>2.1823125174638989</v>
      </c>
      <c r="AF155" s="495">
        <f>+INPUT!AG68</f>
        <v>0.2505699481865285</v>
      </c>
      <c r="AG155" s="478">
        <f>+INPUT!AH68</f>
        <v>-2.6426711086978401</v>
      </c>
      <c r="AH155" s="495">
        <f>+INPUT!AI68</f>
        <v>0.24064386317907441</v>
      </c>
      <c r="AI155" s="478">
        <f>+INPUT!AJ68</f>
        <v>-0.43666252836166564</v>
      </c>
      <c r="AJ155" s="495">
        <f>+INPUT!AK68</f>
        <v>0.21995651123459772</v>
      </c>
      <c r="AK155" s="478">
        <f>+INPUT!AL68</f>
        <v>-8.6180676052625955</v>
      </c>
      <c r="AL155" s="495">
        <f>+INPUT!AM68</f>
        <v>0.20322807017543859</v>
      </c>
      <c r="AM155" s="478">
        <f>+INPUT!AN68</f>
        <v>-22.388469145288198</v>
      </c>
      <c r="AN155" s="495">
        <f>+INPUT!AO68</f>
        <v>0.19211599456275485</v>
      </c>
      <c r="AO155" s="478">
        <f>+INPUT!AP68</f>
        <v>-23.328397538023808</v>
      </c>
      <c r="AP155" s="495">
        <f>+INPUT!AQ68</f>
        <v>0.2</v>
      </c>
      <c r="AQ155" s="478">
        <f>+INPUT!AR68</f>
        <v>-16.889632107023388</v>
      </c>
      <c r="AR155" s="495">
        <f>+INPUT!AS68</f>
        <v>0.2</v>
      </c>
      <c r="AS155" s="478">
        <f>+INPUT!AT68</f>
        <v>-9.0729349736379561</v>
      </c>
      <c r="AT155" s="495">
        <f>+INPUT!AU68</f>
        <v>0.2</v>
      </c>
      <c r="AU155" s="478">
        <f>+INPUT!AV68</f>
        <v>-1.5883977900552395</v>
      </c>
      <c r="AV155" s="495">
        <f>+INPUT!AW68</f>
        <v>0.2</v>
      </c>
      <c r="AW155" s="478">
        <f>+INPUT!AX68</f>
        <v>4.1037735849056816</v>
      </c>
      <c r="AX155" s="490"/>
      <c r="AY155" s="495"/>
      <c r="AZ155" s="491"/>
      <c r="BA155" s="495"/>
      <c r="BB155" s="491"/>
      <c r="BC155" s="495"/>
      <c r="BD155" s="491"/>
      <c r="BE155" s="495"/>
      <c r="BF155" s="478"/>
      <c r="BG155" s="495"/>
      <c r="BH155" s="478"/>
      <c r="BI155" s="495"/>
      <c r="BJ155" s="478"/>
      <c r="BK155" s="495"/>
      <c r="BL155" s="478"/>
      <c r="BM155" s="495"/>
      <c r="BN155" s="478"/>
      <c r="BO155" s="495"/>
      <c r="BP155" s="478"/>
      <c r="BQ155" s="495"/>
      <c r="BR155" s="478"/>
      <c r="BS155" s="495">
        <f>+INPUT!BB68</f>
        <v>0</v>
      </c>
      <c r="BT155" s="478" t="str">
        <f>+INPUT!BC68</f>
        <v>NA</v>
      </c>
      <c r="BU155" s="495">
        <f>+INPUT!BD68</f>
        <v>0</v>
      </c>
      <c r="BV155" s="478" t="str">
        <f>+INPUT!BE68</f>
        <v>NA</v>
      </c>
      <c r="BW155" s="495">
        <f>+INPUT!BF68</f>
        <v>0.25417424136484407</v>
      </c>
      <c r="BX155" s="478" t="str">
        <f>+INPUT!BG68</f>
        <v>NA</v>
      </c>
      <c r="BY155" s="495">
        <f>+INPUT!BH68</f>
        <v>0.24886615974698875</v>
      </c>
      <c r="BZ155" s="478">
        <f>+INPUT!BI68</f>
        <v>-2.0883633169720213</v>
      </c>
      <c r="CA155" s="495">
        <f>+INPUT!BJ68</f>
        <v>0.21328255177338729</v>
      </c>
      <c r="CB155" s="478">
        <f>+INPUT!BK68</f>
        <v>-14.298291101440924</v>
      </c>
      <c r="CC155" s="495">
        <f>+INPUT!BL68</f>
        <v>0.19999999999999996</v>
      </c>
      <c r="CD155" s="478">
        <f>+INPUT!BM68</f>
        <v>-6.2276785714285836</v>
      </c>
      <c r="CE155" s="495">
        <f>+INPUT!BN68</f>
        <v>0.18999999999999995</v>
      </c>
      <c r="CF155" s="478">
        <f>+INPUT!BO68</f>
        <v>-5</v>
      </c>
      <c r="CG155" s="495">
        <f>+INPUT!BP68</f>
        <v>0.17999999999999994</v>
      </c>
      <c r="CH155" s="478">
        <f>+INPUT!BQ68</f>
        <v>-5.2631578947368496</v>
      </c>
      <c r="CI155" s="495">
        <f>+INPUT!BR68</f>
        <v>0.16999999999999993</v>
      </c>
      <c r="CJ155" s="478">
        <f>+INPUT!BS68</f>
        <v>-5.5555555555555571</v>
      </c>
      <c r="CK155" s="495">
        <f>+INPUT!BT68</f>
        <v>0.15999999999999992</v>
      </c>
      <c r="CL155" s="478">
        <f>+INPUT!BU68</f>
        <v>-5.8823529411764781</v>
      </c>
      <c r="CM155" s="478">
        <f>+INPUT!BV68</f>
        <v>-5.5867536437905656</v>
      </c>
    </row>
    <row r="156" spans="1:91" s="475" customFormat="1" ht="12" hidden="1" customHeight="1" outlineLevel="1" x14ac:dyDescent="0.2">
      <c r="A156" s="481"/>
      <c r="B156" s="495"/>
      <c r="C156" s="491"/>
      <c r="D156" s="495"/>
      <c r="E156" s="478"/>
      <c r="F156" s="495"/>
      <c r="G156" s="478"/>
      <c r="H156" s="495"/>
      <c r="I156" s="478"/>
      <c r="J156" s="495"/>
      <c r="K156" s="478"/>
      <c r="L156" s="495"/>
      <c r="M156" s="478"/>
      <c r="N156" s="495"/>
      <c r="O156" s="478"/>
      <c r="P156" s="495"/>
      <c r="Q156" s="478"/>
      <c r="R156" s="495"/>
      <c r="S156" s="478"/>
      <c r="T156" s="495"/>
      <c r="U156" s="478"/>
      <c r="V156" s="495"/>
      <c r="W156" s="478"/>
      <c r="X156" s="495"/>
      <c r="Y156" s="478"/>
      <c r="Z156" s="495"/>
      <c r="AA156" s="478"/>
      <c r="AB156" s="495"/>
      <c r="AC156" s="478"/>
      <c r="AD156" s="495"/>
      <c r="AE156" s="478"/>
      <c r="AF156" s="495"/>
      <c r="AG156" s="478"/>
      <c r="AH156" s="495"/>
      <c r="AI156" s="478"/>
      <c r="AJ156" s="495"/>
      <c r="AK156" s="478"/>
      <c r="AL156" s="495"/>
      <c r="AM156" s="478"/>
      <c r="AN156" s="495"/>
      <c r="AO156" s="478"/>
      <c r="AP156" s="495"/>
      <c r="AQ156" s="478"/>
      <c r="AR156" s="495"/>
      <c r="AS156" s="478"/>
      <c r="AT156" s="495"/>
      <c r="AU156" s="478"/>
      <c r="AV156" s="495"/>
      <c r="AW156" s="478"/>
      <c r="AX156" s="490"/>
      <c r="AY156" s="495"/>
      <c r="AZ156" s="491"/>
      <c r="BA156" s="495"/>
      <c r="BB156" s="491"/>
      <c r="BC156" s="495"/>
      <c r="BD156" s="491"/>
      <c r="BE156" s="495"/>
      <c r="BF156" s="478"/>
      <c r="BG156" s="495"/>
      <c r="BH156" s="478"/>
      <c r="BI156" s="495"/>
      <c r="BJ156" s="478"/>
      <c r="BK156" s="495"/>
      <c r="BL156" s="478"/>
      <c r="BM156" s="495"/>
      <c r="BN156" s="478"/>
      <c r="BO156" s="495"/>
      <c r="BP156" s="478"/>
      <c r="BQ156" s="495"/>
      <c r="BR156" s="478"/>
      <c r="BS156" s="495"/>
      <c r="BT156" s="478"/>
      <c r="BU156" s="495"/>
      <c r="BV156" s="478"/>
      <c r="BW156" s="495"/>
      <c r="BX156" s="478"/>
      <c r="BY156" s="495"/>
      <c r="BZ156" s="478"/>
      <c r="CA156" s="495"/>
      <c r="CB156" s="478"/>
      <c r="CC156" s="495"/>
      <c r="CD156" s="478"/>
      <c r="CE156" s="495"/>
      <c r="CF156" s="478"/>
      <c r="CG156" s="495"/>
      <c r="CH156" s="478"/>
      <c r="CI156" s="495"/>
      <c r="CJ156" s="478"/>
      <c r="CK156" s="495"/>
      <c r="CL156" s="478"/>
      <c r="CM156" s="478"/>
    </row>
    <row r="157" spans="1:91" s="475" customFormat="1" ht="12" hidden="1" customHeight="1" outlineLevel="1" x14ac:dyDescent="0.2">
      <c r="A157" s="489" t="s">
        <v>219</v>
      </c>
      <c r="B157" s="495"/>
      <c r="C157" s="491"/>
      <c r="D157" s="537"/>
      <c r="E157" s="478"/>
      <c r="F157" s="537"/>
      <c r="G157" s="478"/>
      <c r="H157" s="537"/>
      <c r="I157" s="478"/>
      <c r="J157" s="537"/>
      <c r="K157" s="478"/>
      <c r="L157" s="537"/>
      <c r="M157" s="478"/>
      <c r="N157" s="537"/>
      <c r="O157" s="478"/>
      <c r="P157" s="537"/>
      <c r="Q157" s="478"/>
      <c r="R157" s="537"/>
      <c r="S157" s="478"/>
      <c r="T157" s="537"/>
      <c r="U157" s="478"/>
      <c r="V157" s="537"/>
      <c r="W157" s="478"/>
      <c r="X157" s="537"/>
      <c r="Y157" s="478"/>
      <c r="Z157" s="537"/>
      <c r="AA157" s="478"/>
      <c r="AB157" s="537"/>
      <c r="AC157" s="478"/>
      <c r="AD157" s="537"/>
      <c r="AE157" s="478"/>
      <c r="AF157" s="537"/>
      <c r="AG157" s="478"/>
      <c r="AH157" s="537"/>
      <c r="AI157" s="478"/>
      <c r="AJ157" s="537"/>
      <c r="AK157" s="478"/>
      <c r="AL157" s="537"/>
      <c r="AM157" s="478"/>
      <c r="AN157" s="537"/>
      <c r="AO157" s="478"/>
      <c r="AP157" s="537"/>
      <c r="AQ157" s="478"/>
      <c r="AR157" s="537"/>
      <c r="AS157" s="478"/>
      <c r="AT157" s="537"/>
      <c r="AU157" s="478"/>
      <c r="AV157" s="537"/>
      <c r="AW157" s="478"/>
      <c r="AX157" s="490"/>
      <c r="AY157" s="495"/>
      <c r="AZ157" s="491"/>
      <c r="BA157" s="495"/>
      <c r="BB157" s="491"/>
      <c r="BC157" s="495"/>
      <c r="BD157" s="491"/>
      <c r="BE157" s="495"/>
      <c r="BF157" s="478"/>
      <c r="BG157" s="495"/>
      <c r="BH157" s="478"/>
      <c r="BI157" s="495"/>
      <c r="BJ157" s="478"/>
      <c r="BK157" s="537"/>
      <c r="BL157" s="478"/>
      <c r="BM157" s="537"/>
      <c r="BN157" s="478"/>
      <c r="BO157" s="537"/>
      <c r="BP157" s="478"/>
      <c r="BQ157" s="537"/>
      <c r="BR157" s="478"/>
      <c r="BS157" s="537"/>
      <c r="BT157" s="478"/>
      <c r="BU157" s="537"/>
      <c r="BV157" s="478"/>
      <c r="BW157" s="537"/>
      <c r="BX157" s="478"/>
      <c r="BY157" s="537"/>
      <c r="BZ157" s="478"/>
      <c r="CA157" s="537"/>
      <c r="CB157" s="478"/>
      <c r="CC157" s="537"/>
      <c r="CD157" s="478"/>
      <c r="CE157" s="537"/>
      <c r="CF157" s="478"/>
      <c r="CG157" s="537"/>
      <c r="CH157" s="478"/>
      <c r="CI157" s="537"/>
      <c r="CJ157" s="478"/>
      <c r="CK157" s="537"/>
      <c r="CL157" s="478"/>
      <c r="CM157" s="478"/>
    </row>
    <row r="158" spans="1:91" s="475" customFormat="1" ht="12" hidden="1" customHeight="1" outlineLevel="1" x14ac:dyDescent="0.2">
      <c r="A158" s="481" t="s">
        <v>433</v>
      </c>
      <c r="B158" s="524"/>
      <c r="C158" s="522"/>
      <c r="D158" s="538"/>
      <c r="E158" s="474"/>
      <c r="F158" s="538"/>
      <c r="G158" s="474"/>
      <c r="H158" s="538"/>
      <c r="I158" s="474"/>
      <c r="J158" s="538"/>
      <c r="K158" s="474"/>
      <c r="L158" s="538"/>
      <c r="M158" s="474"/>
      <c r="N158" s="538">
        <f>+INPUT!O69</f>
        <v>0.11993107409534749</v>
      </c>
      <c r="O158" s="474" t="str">
        <f>+INPUT!P69</f>
        <v>NA</v>
      </c>
      <c r="P158" s="538">
        <f>+INPUT!Q69</f>
        <v>0.11899313501144164</v>
      </c>
      <c r="Q158" s="474" t="str">
        <f>+INPUT!R69</f>
        <v>NA</v>
      </c>
      <c r="R158" s="538">
        <f>+INPUT!S69</f>
        <v>0.10521036500417945</v>
      </c>
      <c r="S158" s="474" t="str">
        <f>+INPUT!T69</f>
        <v>NA</v>
      </c>
      <c r="T158" s="538">
        <f>+INPUT!U69</f>
        <v>0.11481785812106272</v>
      </c>
      <c r="U158" s="474" t="str">
        <f>+INPUT!V69</f>
        <v>NA</v>
      </c>
      <c r="V158" s="538">
        <f>+INPUT!W69</f>
        <v>0.11319483436271757</v>
      </c>
      <c r="W158" s="474">
        <f>+INPUT!X69</f>
        <v>-5.6167592789792593</v>
      </c>
      <c r="X158" s="538">
        <f>+INPUT!Y69</f>
        <v>0.11542857142857142</v>
      </c>
      <c r="Y158" s="474">
        <f>+INPUT!Z69</f>
        <v>-2.9956043956043885</v>
      </c>
      <c r="Z158" s="538">
        <f>+INPUT!AA69</f>
        <v>0.11089994410285076</v>
      </c>
      <c r="AA158" s="474">
        <f>+INPUT!AB69</f>
        <v>5.4078123371640032</v>
      </c>
      <c r="AB158" s="538">
        <f>+INPUT!AC69</f>
        <v>0.10350109409190374</v>
      </c>
      <c r="AC158" s="474">
        <f>+INPUT!AD69</f>
        <v>-9.8562751599378373</v>
      </c>
      <c r="AD158" s="538">
        <f>+INPUT!AE69</f>
        <v>0.18624900451287493</v>
      </c>
      <c r="AE158" s="474">
        <f>+INPUT!AF69</f>
        <v>64.538431070153877</v>
      </c>
      <c r="AF158" s="538">
        <f>+INPUT!AG69</f>
        <v>9.8445595854922283E-2</v>
      </c>
      <c r="AG158" s="474">
        <f>+INPUT!AH69</f>
        <v>-14.712973888062379</v>
      </c>
      <c r="AH158" s="538">
        <f>+INPUT!AI69</f>
        <v>9.4366197183098591E-2</v>
      </c>
      <c r="AI158" s="474">
        <f>+INPUT!AJ69</f>
        <v>-14.908706269877328</v>
      </c>
      <c r="AJ158" s="538">
        <f>+INPUT!AK69</f>
        <v>8.7750664411693644E-2</v>
      </c>
      <c r="AK158" s="474">
        <f>+INPUT!AL69</f>
        <v>-15.217645589547587</v>
      </c>
      <c r="AL158" s="538">
        <f>+INPUT!AM69</f>
        <v>0.15569590643274855</v>
      </c>
      <c r="AM158" s="474">
        <f>+INPUT!AN69</f>
        <v>-16.404435642507991</v>
      </c>
      <c r="AN158" s="538">
        <f>+INPUT!AO69</f>
        <v>9.2795650203896698E-2</v>
      </c>
      <c r="AO158" s="474">
        <f>+INPUT!AP69</f>
        <v>-5.7391553191996678</v>
      </c>
      <c r="AP158" s="538">
        <f>+INPUT!AQ69</f>
        <v>9.067965564114186E-2</v>
      </c>
      <c r="AQ158" s="474">
        <f>+INPUT!AR69</f>
        <v>-3.9066335743123517</v>
      </c>
      <c r="AR158" s="538">
        <f>+INPUT!AS69</f>
        <v>9.067965564114186E-2</v>
      </c>
      <c r="AS158" s="474">
        <f>+INPUT!AT69</f>
        <v>3.3378564699025901</v>
      </c>
      <c r="AT158" s="538">
        <f>+INPUT!AU69</f>
        <v>9.067965564114186E-2</v>
      </c>
      <c r="AU158" s="474">
        <f>+INPUT!AV69</f>
        <v>-41.758484395150028</v>
      </c>
      <c r="AV158" s="538">
        <f>+INPUT!AW69</f>
        <v>7.567965564114186E-2</v>
      </c>
      <c r="AW158" s="474">
        <f>+INPUT!AX69</f>
        <v>-18.444824218749972</v>
      </c>
      <c r="AX158" s="498"/>
      <c r="AY158" s="496"/>
      <c r="AZ158" s="533"/>
      <c r="BA158" s="496"/>
      <c r="BB158" s="533"/>
      <c r="BC158" s="496"/>
      <c r="BD158" s="533"/>
      <c r="BE158" s="496"/>
      <c r="BF158" s="474"/>
      <c r="BG158" s="496"/>
      <c r="BH158" s="474"/>
      <c r="BI158" s="496"/>
      <c r="BJ158" s="474"/>
      <c r="BK158" s="538"/>
      <c r="BL158" s="474"/>
      <c r="BM158" s="538"/>
      <c r="BN158" s="474"/>
      <c r="BO158" s="538"/>
      <c r="BP158" s="474"/>
      <c r="BQ158" s="538"/>
      <c r="BR158" s="474"/>
      <c r="BS158" s="538">
        <f>+INPUT!BB69</f>
        <v>0</v>
      </c>
      <c r="BT158" s="474" t="str">
        <f>+INPUT!BC69</f>
        <v>NA</v>
      </c>
      <c r="BU158" s="538">
        <f>+INPUT!BD69</f>
        <v>0</v>
      </c>
      <c r="BV158" s="474" t="str">
        <f>+INPUT!BE69</f>
        <v>NA</v>
      </c>
      <c r="BW158" s="538">
        <f>+INPUT!BF69</f>
        <v>0.11215214655292967</v>
      </c>
      <c r="BX158" s="474" t="str">
        <f>+INPUT!BG69</f>
        <v>NA</v>
      </c>
      <c r="BY158" s="538">
        <f>+INPUT!BH69</f>
        <v>0.12494448556624722</v>
      </c>
      <c r="BZ158" s="474">
        <f>+INPUT!BI69</f>
        <v>11.406236444418184</v>
      </c>
      <c r="CA158" s="538">
        <f>+INPUT!BJ69</f>
        <v>0.10792668412282788</v>
      </c>
      <c r="CB158" s="474">
        <f>+INPUT!BK69</f>
        <v>-13.620290136291189</v>
      </c>
      <c r="CC158" s="538">
        <f>+INPUT!BL69</f>
        <v>8.6886655652033101E-2</v>
      </c>
      <c r="CD158" s="474">
        <f>+INPUT!BM69</f>
        <v>-19.494741862772131</v>
      </c>
      <c r="CE158" s="538">
        <f>+INPUT!BN69</f>
        <v>7.5886655652033091E-2</v>
      </c>
      <c r="CF158" s="474">
        <f>+INPUT!BO69</f>
        <v>-12.660171941768851</v>
      </c>
      <c r="CG158" s="538">
        <f>+INPUT!BP69</f>
        <v>6.5886655652033083E-2</v>
      </c>
      <c r="CH158" s="474">
        <f>+INPUT!BQ69</f>
        <v>-13.177547375197975</v>
      </c>
      <c r="CI158" s="538">
        <f>+INPUT!BR69</f>
        <v>5.5886655652033074E-2</v>
      </c>
      <c r="CJ158" s="474">
        <f>+INPUT!BS69</f>
        <v>-15.177580195924605</v>
      </c>
      <c r="CK158" s="538">
        <f>+INPUT!BT69</f>
        <v>4.5886655652033065E-2</v>
      </c>
      <c r="CL158" s="474">
        <f>+INPUT!BU69</f>
        <v>-17.893359127200199</v>
      </c>
      <c r="CM158" s="474">
        <f>+INPUT!BV69</f>
        <v>-15.722525199369164</v>
      </c>
    </row>
    <row r="159" spans="1:91" s="475" customFormat="1" ht="12" hidden="1" customHeight="1" outlineLevel="1" x14ac:dyDescent="0.2">
      <c r="A159" s="481" t="s">
        <v>384</v>
      </c>
      <c r="B159" s="524"/>
      <c r="C159" s="522"/>
      <c r="D159" s="538"/>
      <c r="E159" s="474"/>
      <c r="F159" s="538"/>
      <c r="G159" s="474"/>
      <c r="H159" s="538"/>
      <c r="I159" s="474"/>
      <c r="J159" s="538"/>
      <c r="K159" s="474"/>
      <c r="L159" s="538"/>
      <c r="M159" s="474"/>
      <c r="N159" s="538">
        <f>+INPUT!O72</f>
        <v>0.12062033314187248</v>
      </c>
      <c r="O159" s="474" t="str">
        <f>+INPUT!P72</f>
        <v>NA</v>
      </c>
      <c r="P159" s="538">
        <f>+INPUT!Q72</f>
        <v>0.12311212814645309</v>
      </c>
      <c r="Q159" s="474" t="str">
        <f>+INPUT!R72</f>
        <v>NA</v>
      </c>
      <c r="R159" s="538">
        <f>+INPUT!S72</f>
        <v>0.12504876010030649</v>
      </c>
      <c r="S159" s="474" t="str">
        <f>+INPUT!T72</f>
        <v>NA</v>
      </c>
      <c r="T159" s="538">
        <f>+INPUT!U72</f>
        <v>0.12292522596548891</v>
      </c>
      <c r="U159" s="474" t="str">
        <f>+INPUT!V72</f>
        <v>NA</v>
      </c>
      <c r="V159" s="538">
        <f>+INPUT!W72</f>
        <v>0.11746209994385176</v>
      </c>
      <c r="W159" s="474">
        <f>+INPUT!X72</f>
        <v>-2.6183257132162225</v>
      </c>
      <c r="X159" s="538">
        <f>+INPUT!Y72</f>
        <v>0.11611428571428571</v>
      </c>
      <c r="Y159" s="474">
        <f>+INPUT!Z72</f>
        <v>-5.6841210833775904</v>
      </c>
      <c r="Z159" s="538">
        <f>+INPUT!AA72</f>
        <v>0.11604248183342648</v>
      </c>
      <c r="AA159" s="474">
        <f>+INPUT!AB72</f>
        <v>-7.2022131684118449</v>
      </c>
      <c r="AB159" s="538">
        <f>+INPUT!AC72</f>
        <v>0.11181619256017505</v>
      </c>
      <c r="AC159" s="474">
        <f>+INPUT!AD72</f>
        <v>-9.0372283785206946</v>
      </c>
      <c r="AD159" s="538">
        <f>+INPUT!AE72</f>
        <v>0.11170692859039023</v>
      </c>
      <c r="AE159" s="474">
        <f>+INPUT!AF72</f>
        <v>-4.8995985566515117</v>
      </c>
      <c r="AF159" s="538">
        <f>+INPUT!AG72</f>
        <v>0.11129533678756477</v>
      </c>
      <c r="AG159" s="474">
        <f>+INPUT!AH72</f>
        <v>-4.15017747133939</v>
      </c>
      <c r="AH159" s="538">
        <f>+INPUT!AI72</f>
        <v>0.1283702213279678</v>
      </c>
      <c r="AI159" s="474">
        <f>+INPUT!AJ72</f>
        <v>10.623471076943375</v>
      </c>
      <c r="AJ159" s="538">
        <f>+INPUT!AK72</f>
        <v>0.10282676975114763</v>
      </c>
      <c r="AK159" s="474">
        <f>+INPUT!AL72</f>
        <v>-8.0394642342965454</v>
      </c>
      <c r="AL159" s="538">
        <f>+INPUT!AM72</f>
        <v>0.10011695906432748</v>
      </c>
      <c r="AM159" s="474">
        <f>+INPUT!AN72</f>
        <v>-10.375336312898852</v>
      </c>
      <c r="AN159" s="538">
        <f>+INPUT!AO72</f>
        <v>9.7689170820117799E-2</v>
      </c>
      <c r="AO159" s="474">
        <f>+INPUT!AP72</f>
        <v>-12.225279477268458</v>
      </c>
      <c r="AP159" s="538">
        <f>+INPUT!AQ72</f>
        <v>9.7689170820117799E-2</v>
      </c>
      <c r="AQ159" s="474">
        <f>+INPUT!AR72</f>
        <v>-23.900442166773445</v>
      </c>
      <c r="AR159" s="538">
        <f>+INPUT!AS72</f>
        <v>9.7689170820117799E-2</v>
      </c>
      <c r="AS159" s="474">
        <f>+INPUT!AT72</f>
        <v>-4.9963632461307554</v>
      </c>
      <c r="AT159" s="538">
        <f>+INPUT!AU72</f>
        <v>9.7689170820117799E-2</v>
      </c>
      <c r="AU159" s="474">
        <f>+INPUT!AV72</f>
        <v>-2.4249520429898155</v>
      </c>
      <c r="AV159" s="538">
        <f>+INPUT!AW72</f>
        <v>9.7689170820117799E-2</v>
      </c>
      <c r="AW159" s="474">
        <f>+INPUT!AX72</f>
        <v>0</v>
      </c>
      <c r="AX159" s="498"/>
      <c r="AY159" s="496"/>
      <c r="AZ159" s="533"/>
      <c r="BA159" s="496"/>
      <c r="BB159" s="533"/>
      <c r="BC159" s="496"/>
      <c r="BD159" s="533"/>
      <c r="BE159" s="496"/>
      <c r="BF159" s="474"/>
      <c r="BG159" s="496"/>
      <c r="BH159" s="474"/>
      <c r="BI159" s="496"/>
      <c r="BJ159" s="474"/>
      <c r="BK159" s="538"/>
      <c r="BL159" s="474"/>
      <c r="BM159" s="538"/>
      <c r="BN159" s="474"/>
      <c r="BO159" s="538"/>
      <c r="BP159" s="474"/>
      <c r="BQ159" s="538"/>
      <c r="BR159" s="474"/>
      <c r="BS159" s="538">
        <f>+INPUT!BB72</f>
        <v>0</v>
      </c>
      <c r="BT159" s="474" t="str">
        <f>+INPUT!BC72</f>
        <v>NA</v>
      </c>
      <c r="BU159" s="538">
        <f>+INPUT!BD72</f>
        <v>0</v>
      </c>
      <c r="BV159" s="474" t="str">
        <f>+INPUT!BE72</f>
        <v>NA</v>
      </c>
      <c r="BW159" s="538">
        <f>+INPUT!BF72</f>
        <v>0.12043070899174942</v>
      </c>
      <c r="BX159" s="474" t="str">
        <f>+INPUT!BG72</f>
        <v>NA</v>
      </c>
      <c r="BY159" s="538">
        <f>+INPUT!BH72</f>
        <v>0.11267074894017899</v>
      </c>
      <c r="BZ159" s="474">
        <f>+INPUT!BI72</f>
        <v>-6.4435060762633611</v>
      </c>
      <c r="CA159" s="538">
        <f>+INPUT!BJ72</f>
        <v>0.10683170673649131</v>
      </c>
      <c r="CB159" s="474">
        <f>+INPUT!BK72</f>
        <v>-5.1823940628883491</v>
      </c>
      <c r="CC159" s="538">
        <f>+INPUT!BL72</f>
        <v>9.7689170820117771E-2</v>
      </c>
      <c r="CD159" s="474">
        <f>+INPUT!BM72</f>
        <v>-8.5578862265341371</v>
      </c>
      <c r="CE159" s="538">
        <f>+INPUT!BN72</f>
        <v>9.7689170820117771E-2</v>
      </c>
      <c r="CF159" s="474">
        <f>+INPUT!BO72</f>
        <v>0</v>
      </c>
      <c r="CG159" s="538">
        <f>+INPUT!BP72</f>
        <v>9.7689170820117771E-2</v>
      </c>
      <c r="CH159" s="474">
        <f>+INPUT!BQ72</f>
        <v>0</v>
      </c>
      <c r="CI159" s="538">
        <f>+INPUT!BR72</f>
        <v>9.7689170820117771E-2</v>
      </c>
      <c r="CJ159" s="474">
        <f>+INPUT!BS72</f>
        <v>0</v>
      </c>
      <c r="CK159" s="538">
        <f>+INPUT!BT72</f>
        <v>9.7689170820117771E-2</v>
      </c>
      <c r="CL159" s="474">
        <f>+INPUT!BU72</f>
        <v>0</v>
      </c>
      <c r="CM159" s="474">
        <f>+INPUT!BV72</f>
        <v>-1.77336842093474</v>
      </c>
    </row>
    <row r="160" spans="1:91" s="475" customFormat="1" ht="12" hidden="1" customHeight="1" outlineLevel="1" x14ac:dyDescent="0.2">
      <c r="A160" s="481" t="s">
        <v>385</v>
      </c>
      <c r="B160" s="524"/>
      <c r="C160" s="522"/>
      <c r="D160" s="538"/>
      <c r="E160" s="474"/>
      <c r="F160" s="538"/>
      <c r="G160" s="474"/>
      <c r="H160" s="538"/>
      <c r="I160" s="474"/>
      <c r="J160" s="538"/>
      <c r="K160" s="474"/>
      <c r="L160" s="538"/>
      <c r="M160" s="474"/>
      <c r="N160" s="538">
        <f>+INPUT!O73</f>
        <v>-1.2176909821941407E-2</v>
      </c>
      <c r="O160" s="474" t="str">
        <f>+INPUT!P73</f>
        <v>NA</v>
      </c>
      <c r="P160" s="538">
        <f>+INPUT!Q73</f>
        <v>-2.0823798627002291E-2</v>
      </c>
      <c r="Q160" s="474" t="str">
        <f>+INPUT!R73</f>
        <v>NA</v>
      </c>
      <c r="R160" s="538">
        <f>+INPUT!S73</f>
        <v>-3.6333240456951792E-2</v>
      </c>
      <c r="S160" s="474" t="str">
        <f>+INPUT!T73</f>
        <v>NA</v>
      </c>
      <c r="T160" s="538">
        <f>+INPUT!U73</f>
        <v>-2.0816214735688853E-2</v>
      </c>
      <c r="U160" s="474" t="str">
        <f>+INPUT!V73</f>
        <v>NA</v>
      </c>
      <c r="V160" s="538">
        <f>+INPUT!W73</f>
        <v>0.11005053340819763</v>
      </c>
      <c r="W160" s="474" t="str">
        <f>+INPUT!X73</f>
        <v>NM</v>
      </c>
      <c r="X160" s="538">
        <f>+INPUT!Y73</f>
        <v>-1.0514285714285709E-2</v>
      </c>
      <c r="Y160" s="474">
        <f>+INPUT!Z73</f>
        <v>-49.50832025117743</v>
      </c>
      <c r="Z160" s="538">
        <f>+INPUT!AA73</f>
        <v>-2.4147568474007827E-2</v>
      </c>
      <c r="AA160" s="474">
        <f>+INPUT!AB73</f>
        <v>-33.538632474529066</v>
      </c>
      <c r="AB160" s="538">
        <f>+INPUT!AC73</f>
        <v>3.0634573304157515E-3</v>
      </c>
      <c r="AC160" s="474" t="str">
        <f>+INPUT!AD73</f>
        <v>NM</v>
      </c>
      <c r="AD160" s="538">
        <f>+INPUT!AE73</f>
        <v>-4.5659676134855325E-2</v>
      </c>
      <c r="AE160" s="474" t="str">
        <f>+INPUT!AF73</f>
        <v>NM</v>
      </c>
      <c r="AF160" s="538">
        <f>+INPUT!AG73</f>
        <v>8.2901554404145074E-3</v>
      </c>
      <c r="AG160" s="474" t="str">
        <f>+INPUT!AH73</f>
        <v>NM</v>
      </c>
      <c r="AH160" s="538">
        <f>+INPUT!AI73</f>
        <v>-1.9718309859154931E-2</v>
      </c>
      <c r="AI160" s="474">
        <f>+INPUT!AJ73</f>
        <v>-18.342462180490344</v>
      </c>
      <c r="AJ160" s="538">
        <f>+INPUT!AK73</f>
        <v>-9.4708866876057028E-3</v>
      </c>
      <c r="AK160" s="474" t="str">
        <f>+INPUT!AL73</f>
        <v>NM</v>
      </c>
      <c r="AL160" s="538">
        <f>+INPUT!AM73</f>
        <v>3.7426900584795189E-4</v>
      </c>
      <c r="AM160" s="474" t="str">
        <f>+INPUT!AN73</f>
        <v>NM</v>
      </c>
      <c r="AN160" s="538">
        <f>+INPUT!AO73</f>
        <v>-4.3497961033076554E-3</v>
      </c>
      <c r="AO160" s="474" t="str">
        <f>+INPUT!AP73</f>
        <v>NM</v>
      </c>
      <c r="AP160" s="538">
        <f>+INPUT!AQ73</f>
        <v>4.0000000000000001E-3</v>
      </c>
      <c r="AQ160" s="474" t="str">
        <f>+INPUT!AR73</f>
        <v>NM</v>
      </c>
      <c r="AR160" s="538">
        <f>+INPUT!AS73</f>
        <v>4.0000000000000001E-3</v>
      </c>
      <c r="AS160" s="474" t="str">
        <f>+INPUT!AT73</f>
        <v>NM</v>
      </c>
      <c r="AT160" s="538">
        <f>+INPUT!AU73</f>
        <v>4.0000000000000001E-3</v>
      </c>
      <c r="AU160" s="474" t="str">
        <f>+INPUT!AV73</f>
        <v>NM</v>
      </c>
      <c r="AV160" s="538">
        <f>+INPUT!AW73</f>
        <v>4.0000000000000001E-3</v>
      </c>
      <c r="AW160" s="474" t="str">
        <f>+INPUT!AX73</f>
        <v>NM</v>
      </c>
      <c r="AX160" s="498"/>
      <c r="AY160" s="496"/>
      <c r="AZ160" s="533"/>
      <c r="BA160" s="496"/>
      <c r="BB160" s="533"/>
      <c r="BC160" s="496"/>
      <c r="BD160" s="533"/>
      <c r="BE160" s="496"/>
      <c r="BF160" s="474"/>
      <c r="BG160" s="496"/>
      <c r="BH160" s="474"/>
      <c r="BI160" s="496"/>
      <c r="BJ160" s="474"/>
      <c r="BK160" s="538"/>
      <c r="BL160" s="474"/>
      <c r="BM160" s="538"/>
      <c r="BN160" s="474"/>
      <c r="BO160" s="538"/>
      <c r="BP160" s="474"/>
      <c r="BQ160" s="538"/>
      <c r="BR160" s="474"/>
      <c r="BS160" s="538">
        <f>+INPUT!BB73</f>
        <v>0</v>
      </c>
      <c r="BT160" s="474" t="str">
        <f>+INPUT!BC73</f>
        <v>NA</v>
      </c>
      <c r="BU160" s="538">
        <f>+INPUT!BD73</f>
        <v>0</v>
      </c>
      <c r="BV160" s="474" t="str">
        <f>+INPUT!BE73</f>
        <v>NA</v>
      </c>
      <c r="BW160" s="538">
        <f>+INPUT!BF73</f>
        <v>1.0404139281219412E-2</v>
      </c>
      <c r="BX160" s="474" t="str">
        <f>+INPUT!BG73</f>
        <v>NA</v>
      </c>
      <c r="BY160" s="538">
        <f>+INPUT!BH73</f>
        <v>-1.4480855931633136E-2</v>
      </c>
      <c r="BZ160" s="474" t="str">
        <f>+INPUT!BI73</f>
        <v>NM</v>
      </c>
      <c r="CA160" s="538">
        <f>+INPUT!BJ73</f>
        <v>-8.0457034039514395E-3</v>
      </c>
      <c r="CB160" s="474">
        <f>+INPUT!BK73</f>
        <v>-44.439034253660623</v>
      </c>
      <c r="CC160" s="538">
        <f>+INPUT!BL73</f>
        <v>4.0000000000000001E-3</v>
      </c>
      <c r="CD160" s="474" t="str">
        <f>+INPUT!BM73</f>
        <v>NM</v>
      </c>
      <c r="CE160" s="538">
        <f>+INPUT!BN73</f>
        <v>4.0000000000000001E-3</v>
      </c>
      <c r="CF160" s="474">
        <f>+INPUT!BO73</f>
        <v>0</v>
      </c>
      <c r="CG160" s="538">
        <f>+INPUT!BP73</f>
        <v>4.0000000000000001E-3</v>
      </c>
      <c r="CH160" s="474">
        <f>+INPUT!BQ73</f>
        <v>0</v>
      </c>
      <c r="CI160" s="538">
        <f>+INPUT!BR73</f>
        <v>4.0000000000000001E-3</v>
      </c>
      <c r="CJ160" s="474">
        <f>+INPUT!BS73</f>
        <v>0</v>
      </c>
      <c r="CK160" s="538">
        <f>+INPUT!BT73</f>
        <v>4.0000000000000001E-3</v>
      </c>
      <c r="CL160" s="474">
        <f>+INPUT!BU73</f>
        <v>0</v>
      </c>
      <c r="CM160" s="474" t="str">
        <f>+INPUT!BV73</f>
        <v>NM</v>
      </c>
    </row>
    <row r="161" spans="1:91" s="475" customFormat="1" ht="12" hidden="1" customHeight="1" outlineLevel="1" x14ac:dyDescent="0.2">
      <c r="A161" s="481" t="s">
        <v>264</v>
      </c>
      <c r="B161" s="524"/>
      <c r="C161" s="522"/>
      <c r="D161" s="538"/>
      <c r="E161" s="474"/>
      <c r="F161" s="538"/>
      <c r="G161" s="474"/>
      <c r="H161" s="538"/>
      <c r="I161" s="474"/>
      <c r="J161" s="538"/>
      <c r="K161" s="474"/>
      <c r="L161" s="538"/>
      <c r="M161" s="474"/>
      <c r="N161" s="538">
        <f>+INPUT!O74</f>
        <v>0.46685812751292366</v>
      </c>
      <c r="O161" s="474" t="str">
        <f>+INPUT!P74</f>
        <v>NA</v>
      </c>
      <c r="P161" s="538">
        <f>+INPUT!Q74</f>
        <v>0.48878718535469112</v>
      </c>
      <c r="Q161" s="474" t="str">
        <f>+INPUT!R74</f>
        <v>NA</v>
      </c>
      <c r="R161" s="538">
        <f>+INPUT!S74</f>
        <v>0.4656450264697688</v>
      </c>
      <c r="S161" s="474" t="str">
        <f>+INPUT!T74</f>
        <v>NA</v>
      </c>
      <c r="T161" s="538">
        <f>+INPUT!U74</f>
        <v>0.46431114763078613</v>
      </c>
      <c r="U161" s="474" t="str">
        <f>+INPUT!V74</f>
        <v>NA</v>
      </c>
      <c r="V161" s="538">
        <f>+INPUT!W74</f>
        <v>0.46400898371701293</v>
      </c>
      <c r="W161" s="474">
        <f>+INPUT!X74</f>
        <v>-0.61028043167821977</v>
      </c>
      <c r="X161" s="538">
        <f>+INPUT!Y74</f>
        <v>0.49988571428571432</v>
      </c>
      <c r="Y161" s="474">
        <f>+INPUT!Z74</f>
        <v>2.2706260032102676</v>
      </c>
      <c r="Z161" s="538">
        <f>+INPUT!AA74</f>
        <v>0.46640581330352154</v>
      </c>
      <c r="AA161" s="474">
        <f>+INPUT!AB74</f>
        <v>0.16338343384028065</v>
      </c>
      <c r="AB161" s="538">
        <f>+INPUT!AC74</f>
        <v>0.44748358862144422</v>
      </c>
      <c r="AC161" s="474">
        <f>+INPUT!AD74</f>
        <v>-3.624198793246066</v>
      </c>
      <c r="AD161" s="538">
        <f>+INPUT!AE74</f>
        <v>0.43068754977435625</v>
      </c>
      <c r="AE161" s="474">
        <f>+INPUT!AF74</f>
        <v>-7.1812044835275373</v>
      </c>
      <c r="AF161" s="538">
        <f>+INPUT!AG74</f>
        <v>0.45471502590673574</v>
      </c>
      <c r="AG161" s="474">
        <f>+INPUT!AH74</f>
        <v>-9.0362030936456961</v>
      </c>
      <c r="AH161" s="538">
        <f>+INPUT!AI74</f>
        <v>0.41207243460764587</v>
      </c>
      <c r="AI161" s="474">
        <f>+INPUT!AJ74</f>
        <v>-11.649378533907182</v>
      </c>
      <c r="AJ161" s="538">
        <f>+INPUT!AK74</f>
        <v>0.40647499395989362</v>
      </c>
      <c r="AK161" s="474">
        <f>+INPUT!AL74</f>
        <v>-9.1642678534614248</v>
      </c>
      <c r="AL161" s="538">
        <f>+INPUT!AM74</f>
        <v>0.39373099415204676</v>
      </c>
      <c r="AM161" s="474">
        <f>+INPUT!AN74</f>
        <v>-8.5808274796129069</v>
      </c>
      <c r="AN161" s="538">
        <f>+INPUT!AO74</f>
        <v>0.42501132759401905</v>
      </c>
      <c r="AO161" s="474">
        <f>+INPUT!AP74</f>
        <v>-6.5323766799844094</v>
      </c>
      <c r="AP161" s="538">
        <f>+INPUT!AQ74</f>
        <v>0.4013108291798822</v>
      </c>
      <c r="AQ161" s="474">
        <f>+INPUT!AR74</f>
        <v>-2.6115810046867978</v>
      </c>
      <c r="AR161" s="538">
        <f>+INPUT!AS74</f>
        <v>0.4013108291798822</v>
      </c>
      <c r="AS161" s="474">
        <f>+INPUT!AT74</f>
        <v>-1.2704753937510276</v>
      </c>
      <c r="AT161" s="538">
        <f>+INPUT!AU74</f>
        <v>0.4013108291798822</v>
      </c>
      <c r="AU161" s="474">
        <f>+INPUT!AV74</f>
        <v>1.9251303911594846</v>
      </c>
      <c r="AV161" s="538">
        <f>+INPUT!AW74</f>
        <v>0.4013108291798822</v>
      </c>
      <c r="AW161" s="474">
        <f>+INPUT!AX74</f>
        <v>-5.5764392324093848</v>
      </c>
      <c r="AX161" s="498"/>
      <c r="AY161" s="496"/>
      <c r="AZ161" s="533"/>
      <c r="BA161" s="496"/>
      <c r="BB161" s="533"/>
      <c r="BC161" s="496"/>
      <c r="BD161" s="533"/>
      <c r="BE161" s="496"/>
      <c r="BF161" s="474"/>
      <c r="BG161" s="496"/>
      <c r="BH161" s="474"/>
      <c r="BI161" s="496"/>
      <c r="BJ161" s="474"/>
      <c r="BK161" s="538"/>
      <c r="BL161" s="474"/>
      <c r="BM161" s="538"/>
      <c r="BN161" s="474"/>
      <c r="BO161" s="538"/>
      <c r="BP161" s="474"/>
      <c r="BQ161" s="538"/>
      <c r="BR161" s="474"/>
      <c r="BS161" s="538">
        <f>+INPUT!BB74</f>
        <v>0</v>
      </c>
      <c r="BT161" s="474" t="str">
        <f>+INPUT!BC74</f>
        <v>NA</v>
      </c>
      <c r="BU161" s="538">
        <f>+INPUT!BD74</f>
        <v>0</v>
      </c>
      <c r="BV161" s="474" t="str">
        <f>+INPUT!BE74</f>
        <v>NA</v>
      </c>
      <c r="BW161" s="538">
        <f>+INPUT!BF74</f>
        <v>0.47327646483009367</v>
      </c>
      <c r="BX161" s="474" t="str">
        <f>+INPUT!BG74</f>
        <v>NA</v>
      </c>
      <c r="BY161" s="538">
        <f>+INPUT!BH74</f>
        <v>0.44966018437521033</v>
      </c>
      <c r="BZ161" s="474">
        <f>+INPUT!BI74</f>
        <v>-4.9899545423966174</v>
      </c>
      <c r="CA161" s="538">
        <f>+INPUT!BJ74</f>
        <v>0.40942632706498455</v>
      </c>
      <c r="CB161" s="474">
        <f>+INPUT!BK74</f>
        <v>-8.9476139334260836</v>
      </c>
      <c r="CC161" s="538">
        <f>+INPUT!BL74</f>
        <v>0.40131082917988214</v>
      </c>
      <c r="CD161" s="474">
        <f>+INPUT!BM74</f>
        <v>-1.9821631753090259</v>
      </c>
      <c r="CE161" s="538">
        <f>+INPUT!BN74</f>
        <v>0.40231082917988215</v>
      </c>
      <c r="CF161" s="474">
        <f>+INPUT!BO74</f>
        <v>0.24918340779480275</v>
      </c>
      <c r="CG161" s="538">
        <f>+INPUT!BP74</f>
        <v>0.40331082917988215</v>
      </c>
      <c r="CH161" s="474">
        <f>+INPUT!BQ74</f>
        <v>0.24856402748056894</v>
      </c>
      <c r="CI161" s="538">
        <f>+INPUT!BR74</f>
        <v>0.40331082917988215</v>
      </c>
      <c r="CJ161" s="474">
        <f>+INPUT!BS74</f>
        <v>0</v>
      </c>
      <c r="CK161" s="538">
        <f>+INPUT!BT74</f>
        <v>0.40331082917988215</v>
      </c>
      <c r="CL161" s="474">
        <f>+INPUT!BU74</f>
        <v>0</v>
      </c>
      <c r="CM161" s="474">
        <f>+INPUT!BV74</f>
        <v>-0.30053597727455195</v>
      </c>
    </row>
    <row r="162" spans="1:91" s="475" customFormat="1" ht="12" hidden="1" customHeight="1" outlineLevel="1" x14ac:dyDescent="0.2">
      <c r="A162" s="481"/>
      <c r="B162" s="524"/>
      <c r="C162" s="522"/>
      <c r="D162" s="538"/>
      <c r="E162" s="474"/>
      <c r="F162" s="538"/>
      <c r="G162" s="474"/>
      <c r="H162" s="538"/>
      <c r="I162" s="474"/>
      <c r="J162" s="538"/>
      <c r="K162" s="474"/>
      <c r="L162" s="538"/>
      <c r="M162" s="474"/>
      <c r="N162" s="538"/>
      <c r="O162" s="474"/>
      <c r="P162" s="538"/>
      <c r="Q162" s="474"/>
      <c r="R162" s="538"/>
      <c r="S162" s="474"/>
      <c r="T162" s="538"/>
      <c r="U162" s="474"/>
      <c r="V162" s="538"/>
      <c r="W162" s="474"/>
      <c r="X162" s="538"/>
      <c r="Y162" s="474"/>
      <c r="Z162" s="538"/>
      <c r="AA162" s="474"/>
      <c r="AB162" s="538"/>
      <c r="AC162" s="474"/>
      <c r="AD162" s="538"/>
      <c r="AE162" s="474"/>
      <c r="AF162" s="538"/>
      <c r="AG162" s="474"/>
      <c r="AH162" s="538"/>
      <c r="AI162" s="474"/>
      <c r="AJ162" s="538"/>
      <c r="AK162" s="474"/>
      <c r="AL162" s="538"/>
      <c r="AM162" s="474"/>
      <c r="AN162" s="538"/>
      <c r="AO162" s="474"/>
      <c r="AP162" s="538"/>
      <c r="AQ162" s="474"/>
      <c r="AR162" s="538"/>
      <c r="AS162" s="474"/>
      <c r="AT162" s="538"/>
      <c r="AU162" s="474"/>
      <c r="AV162" s="538"/>
      <c r="AW162" s="474"/>
      <c r="AX162" s="498"/>
      <c r="AY162" s="496"/>
      <c r="AZ162" s="533"/>
      <c r="BA162" s="496"/>
      <c r="BB162" s="533"/>
      <c r="BC162" s="496"/>
      <c r="BD162" s="533"/>
      <c r="BE162" s="496"/>
      <c r="BF162" s="474"/>
      <c r="BG162" s="496"/>
      <c r="BH162" s="474"/>
      <c r="BI162" s="496"/>
      <c r="BJ162" s="474"/>
      <c r="BK162" s="538"/>
      <c r="BL162" s="474"/>
      <c r="BM162" s="538"/>
      <c r="BN162" s="474"/>
      <c r="BO162" s="538"/>
      <c r="BP162" s="474"/>
      <c r="BQ162" s="538"/>
      <c r="BR162" s="474"/>
      <c r="BS162" s="538"/>
      <c r="BT162" s="474"/>
      <c r="BU162" s="538"/>
      <c r="BV162" s="474"/>
      <c r="BW162" s="538"/>
      <c r="BX162" s="474"/>
      <c r="BY162" s="538"/>
      <c r="BZ162" s="474"/>
      <c r="CA162" s="538"/>
      <c r="CB162" s="474"/>
      <c r="CC162" s="538"/>
      <c r="CD162" s="474"/>
      <c r="CE162" s="538"/>
      <c r="CF162" s="474"/>
      <c r="CG162" s="538"/>
      <c r="CH162" s="474"/>
      <c r="CI162" s="538"/>
      <c r="CJ162" s="474"/>
      <c r="CK162" s="538"/>
      <c r="CL162" s="474"/>
      <c r="CM162" s="522"/>
    </row>
    <row r="163" spans="1:91" s="475" customFormat="1" ht="19.5" hidden="1" customHeight="1" outlineLevel="1" x14ac:dyDescent="0.25">
      <c r="A163" s="472" t="str">
        <f>+$A$1</f>
        <v>Principal Financial Group</v>
      </c>
      <c r="B163" s="473"/>
      <c r="C163" s="474"/>
      <c r="D163" s="473"/>
      <c r="E163" s="474"/>
      <c r="F163" s="473"/>
      <c r="G163" s="474"/>
      <c r="H163" s="473"/>
      <c r="I163" s="474"/>
      <c r="J163" s="473"/>
      <c r="K163" s="474"/>
      <c r="L163" s="473"/>
      <c r="M163" s="474"/>
      <c r="N163" s="473"/>
      <c r="O163" s="474"/>
      <c r="P163" s="473"/>
      <c r="Q163" s="474"/>
      <c r="R163" s="473"/>
      <c r="S163" s="474"/>
      <c r="T163" s="473"/>
      <c r="U163" s="474"/>
      <c r="V163" s="473"/>
      <c r="W163" s="474"/>
      <c r="X163" s="473"/>
      <c r="Y163" s="474"/>
      <c r="Z163" s="473"/>
      <c r="AA163" s="474"/>
      <c r="AB163" s="473"/>
      <c r="AC163" s="474"/>
      <c r="AD163" s="473"/>
      <c r="AE163" s="474"/>
      <c r="AF163" s="473"/>
      <c r="AG163" s="474"/>
      <c r="AH163" s="473"/>
      <c r="AI163" s="474"/>
      <c r="AJ163" s="473"/>
      <c r="AK163" s="474"/>
      <c r="AL163" s="473"/>
      <c r="AM163" s="474"/>
      <c r="AN163" s="473"/>
      <c r="AO163" s="474"/>
      <c r="AP163" s="473"/>
      <c r="AQ163" s="474"/>
      <c r="AR163" s="473"/>
      <c r="AS163" s="474"/>
      <c r="AT163" s="473"/>
      <c r="AU163" s="474"/>
      <c r="AV163" s="473"/>
      <c r="AW163" s="474"/>
      <c r="AX163" s="474"/>
      <c r="AY163" s="473"/>
      <c r="AZ163" s="474"/>
      <c r="BA163" s="473"/>
      <c r="BB163" s="474"/>
      <c r="BC163" s="473"/>
      <c r="BD163" s="474"/>
      <c r="BE163" s="473"/>
      <c r="BF163" s="474"/>
      <c r="BG163" s="473"/>
      <c r="BH163" s="474"/>
      <c r="BI163" s="473"/>
      <c r="BJ163" s="474"/>
      <c r="BK163" s="473"/>
      <c r="BL163" s="474"/>
      <c r="BM163" s="473"/>
      <c r="BN163" s="474"/>
      <c r="BO163" s="473"/>
      <c r="BP163" s="474"/>
      <c r="BQ163" s="473"/>
      <c r="BR163" s="474"/>
      <c r="BS163" s="473"/>
      <c r="BT163" s="474"/>
      <c r="BU163" s="473"/>
      <c r="BV163" s="474"/>
      <c r="BW163" s="473"/>
      <c r="BX163" s="474"/>
      <c r="BY163" s="473"/>
      <c r="BZ163" s="474"/>
      <c r="CA163" s="473"/>
      <c r="CB163" s="474"/>
      <c r="CC163" s="473"/>
      <c r="CD163" s="474"/>
      <c r="CE163" s="473"/>
      <c r="CF163" s="474"/>
      <c r="CG163" s="473"/>
      <c r="CH163" s="474"/>
      <c r="CI163" s="473"/>
      <c r="CJ163" s="474"/>
      <c r="CK163" s="473"/>
      <c r="CL163" s="474"/>
      <c r="CM163" s="474"/>
    </row>
    <row r="164" spans="1:91" s="475" customFormat="1" ht="12" hidden="1" customHeight="1" outlineLevel="1" x14ac:dyDescent="0.2">
      <c r="A164" s="476" t="s">
        <v>609</v>
      </c>
      <c r="B164" s="477"/>
      <c r="C164" s="478"/>
      <c r="D164" s="477"/>
      <c r="E164" s="478"/>
      <c r="F164" s="477"/>
      <c r="G164" s="478"/>
      <c r="H164" s="477"/>
      <c r="I164" s="478"/>
      <c r="J164" s="477"/>
      <c r="K164" s="478"/>
      <c r="L164" s="477"/>
      <c r="M164" s="478"/>
      <c r="N164" s="477"/>
      <c r="O164" s="478"/>
      <c r="P164" s="477"/>
      <c r="Q164" s="478"/>
      <c r="R164" s="477"/>
      <c r="S164" s="478"/>
      <c r="T164" s="477"/>
      <c r="U164" s="478"/>
      <c r="V164" s="477"/>
      <c r="W164" s="478"/>
      <c r="X164" s="477"/>
      <c r="Y164" s="478"/>
      <c r="Z164" s="477"/>
      <c r="AA164" s="478"/>
      <c r="AB164" s="477"/>
      <c r="AC164" s="478"/>
      <c r="AD164" s="477"/>
      <c r="AE164" s="478"/>
      <c r="AF164" s="477"/>
      <c r="AG164" s="478"/>
      <c r="AH164" s="477"/>
      <c r="AI164" s="478"/>
      <c r="AJ164" s="477"/>
      <c r="AK164" s="478"/>
      <c r="AL164" s="477"/>
      <c r="AM164" s="478"/>
      <c r="AN164" s="477"/>
      <c r="AO164" s="478"/>
      <c r="AP164" s="477"/>
      <c r="AQ164" s="478"/>
      <c r="AR164" s="477"/>
      <c r="AS164" s="478"/>
      <c r="AT164" s="477"/>
      <c r="AU164" s="478"/>
      <c r="AV164" s="477"/>
      <c r="AW164" s="478"/>
      <c r="AX164" s="478"/>
      <c r="AY164" s="477"/>
      <c r="AZ164" s="478"/>
      <c r="BA164" s="477"/>
      <c r="BB164" s="478"/>
      <c r="BC164" s="477"/>
      <c r="BD164" s="478"/>
      <c r="BE164" s="477"/>
      <c r="BF164" s="478"/>
      <c r="BG164" s="477"/>
      <c r="BH164" s="478"/>
      <c r="BI164" s="477"/>
      <c r="BJ164" s="478"/>
      <c r="BK164" s="477"/>
      <c r="BL164" s="478"/>
      <c r="BM164" s="477"/>
      <c r="BN164" s="478"/>
      <c r="BO164" s="477"/>
      <c r="BP164" s="478"/>
      <c r="BQ164" s="477"/>
      <c r="BR164" s="478"/>
      <c r="BS164" s="477"/>
      <c r="BT164" s="478"/>
      <c r="BU164" s="477"/>
      <c r="BV164" s="478"/>
      <c r="BW164" s="477"/>
      <c r="BX164" s="478"/>
      <c r="BY164" s="477"/>
      <c r="BZ164" s="478"/>
      <c r="CA164" s="477"/>
      <c r="CB164" s="478"/>
      <c r="CC164" s="477"/>
      <c r="CD164" s="478"/>
      <c r="CE164" s="477"/>
      <c r="CF164" s="478"/>
      <c r="CG164" s="477"/>
      <c r="CH164" s="478"/>
      <c r="CI164" s="477"/>
      <c r="CJ164" s="478"/>
      <c r="CK164" s="477"/>
      <c r="CL164" s="478"/>
      <c r="CM164" s="478"/>
    </row>
    <row r="165" spans="1:91" s="480" customFormat="1" ht="12" hidden="1" customHeight="1" outlineLevel="1" x14ac:dyDescent="0.2">
      <c r="A165" s="527" t="s">
        <v>243</v>
      </c>
      <c r="B165" s="528"/>
      <c r="C165" s="529" t="str">
        <f>INPUT!D$4</f>
        <v>1Q13/</v>
      </c>
      <c r="D165" s="528"/>
      <c r="E165" s="529" t="str">
        <f>INPUT!F$4</f>
        <v>2Q13/</v>
      </c>
      <c r="F165" s="528"/>
      <c r="G165" s="529" t="str">
        <f>INPUT!H$4</f>
        <v>3Q13/</v>
      </c>
      <c r="H165" s="528"/>
      <c r="I165" s="529" t="str">
        <f>INPUT!J$4</f>
        <v>4Q13/</v>
      </c>
      <c r="J165" s="528"/>
      <c r="K165" s="529" t="str">
        <f>INPUT!L$4</f>
        <v>1Q14/</v>
      </c>
      <c r="L165" s="528"/>
      <c r="M165" s="529" t="str">
        <f>INPUT!N$4</f>
        <v>2Q14/</v>
      </c>
      <c r="N165" s="528"/>
      <c r="O165" s="529" t="str">
        <f>INPUT!P$4</f>
        <v>3Q14/</v>
      </c>
      <c r="P165" s="528"/>
      <c r="Q165" s="529" t="str">
        <f>INPUT!R$4</f>
        <v>4Q14/</v>
      </c>
      <c r="R165" s="528"/>
      <c r="S165" s="529" t="str">
        <f>INPUT!T$4</f>
        <v>1Q15/</v>
      </c>
      <c r="T165" s="528"/>
      <c r="U165" s="529" t="str">
        <f>INPUT!V$4</f>
        <v>2Q15/</v>
      </c>
      <c r="V165" s="528"/>
      <c r="W165" s="529" t="str">
        <f>INPUT!X$4</f>
        <v>3Q15/</v>
      </c>
      <c r="X165" s="528"/>
      <c r="Y165" s="529" t="str">
        <f>INPUT!Z$4</f>
        <v>4Q15/</v>
      </c>
      <c r="Z165" s="528"/>
      <c r="AA165" s="529" t="str">
        <f>INPUT!AB$4</f>
        <v>1Q16/</v>
      </c>
      <c r="AB165" s="528"/>
      <c r="AC165" s="529" t="str">
        <f>INPUT!AD$4</f>
        <v>2Q16/</v>
      </c>
      <c r="AD165" s="528"/>
      <c r="AE165" s="529" t="str">
        <f>INPUT!AF$4</f>
        <v>3Q16/</v>
      </c>
      <c r="AF165" s="528"/>
      <c r="AG165" s="529" t="str">
        <f>INPUT!AH$4</f>
        <v>4Q16/</v>
      </c>
      <c r="AH165" s="528"/>
      <c r="AI165" s="529" t="str">
        <f>INPUT!AJ$4</f>
        <v>1Q17/</v>
      </c>
      <c r="AJ165" s="528"/>
      <c r="AK165" s="529" t="str">
        <f>INPUT!AL$4</f>
        <v>2Q17/</v>
      </c>
      <c r="AL165" s="528"/>
      <c r="AM165" s="529" t="str">
        <f>INPUT!AN$4</f>
        <v>3Q17/</v>
      </c>
      <c r="AN165" s="528"/>
      <c r="AO165" s="529" t="str">
        <f>INPUT!AP$4</f>
        <v>4Q17/</v>
      </c>
      <c r="AP165" s="528"/>
      <c r="AQ165" s="529" t="str">
        <f>INPUT!AR$4</f>
        <v>1Q18E/</v>
      </c>
      <c r="AR165" s="528"/>
      <c r="AS165" s="529" t="str">
        <f>INPUT!AT$4</f>
        <v>2Q18E/</v>
      </c>
      <c r="AT165" s="528"/>
      <c r="AU165" s="529" t="str">
        <f>INPUT!AV$4</f>
        <v>3Q18E/</v>
      </c>
      <c r="AV165" s="528"/>
      <c r="AW165" s="529" t="str">
        <f>INPUT!AX$4</f>
        <v>4Q18E/</v>
      </c>
      <c r="AX165" s="528"/>
      <c r="AY165" s="528"/>
      <c r="AZ165" s="529"/>
      <c r="BA165" s="528"/>
      <c r="BB165" s="529"/>
      <c r="BC165" s="528"/>
      <c r="BD165" s="529"/>
      <c r="BE165" s="528"/>
      <c r="BF165" s="529"/>
      <c r="BG165" s="528"/>
      <c r="BH165" s="529"/>
      <c r="BI165" s="528"/>
      <c r="BJ165" s="529"/>
      <c r="BK165" s="528"/>
      <c r="BL165" s="529"/>
      <c r="BM165" s="528"/>
      <c r="BN165" s="529"/>
      <c r="BO165" s="528"/>
      <c r="BP165" s="529"/>
      <c r="BQ165" s="528"/>
      <c r="BR165" s="529"/>
      <c r="BS165" s="528"/>
      <c r="BT165" s="529" t="str">
        <f>INPUT!BC$4</f>
        <v>2013/</v>
      </c>
      <c r="BU165" s="528"/>
      <c r="BV165" s="529" t="str">
        <f>INPUT!BE$4</f>
        <v>2014/</v>
      </c>
      <c r="BW165" s="528"/>
      <c r="BX165" s="529" t="str">
        <f>INPUT!BG$4</f>
        <v>2015/</v>
      </c>
      <c r="BY165" s="528"/>
      <c r="BZ165" s="529" t="str">
        <f>INPUT!BI$4</f>
        <v>2016/</v>
      </c>
      <c r="CA165" s="528"/>
      <c r="CB165" s="529" t="str">
        <f>INPUT!BK$4</f>
        <v>2017/</v>
      </c>
      <c r="CC165" s="528"/>
      <c r="CD165" s="529" t="str">
        <f>INPUT!BM$4</f>
        <v>2018E/</v>
      </c>
      <c r="CE165" s="528"/>
      <c r="CF165" s="529" t="str">
        <f>INPUT!BO$4</f>
        <v>2019E/</v>
      </c>
      <c r="CG165" s="528"/>
      <c r="CH165" s="529" t="str">
        <f>INPUT!BQ$4</f>
        <v>2020E/</v>
      </c>
      <c r="CI165" s="528"/>
      <c r="CJ165" s="529" t="str">
        <f>INPUT!BS$4</f>
        <v>2021E/</v>
      </c>
      <c r="CK165" s="528"/>
      <c r="CL165" s="529" t="str">
        <f>INPUT!BU$4</f>
        <v>2022E/</v>
      </c>
      <c r="CM165" s="529" t="str">
        <f>INPUT!BV$4</f>
        <v>5-Yr</v>
      </c>
    </row>
    <row r="166" spans="1:91" s="480" customFormat="1" ht="12" hidden="1" customHeight="1" outlineLevel="1" x14ac:dyDescent="0.2">
      <c r="A166" s="481"/>
      <c r="B166" s="479"/>
      <c r="C166" s="478">
        <f>INPUT!D$5</f>
        <v>0</v>
      </c>
      <c r="D166" s="479"/>
      <c r="E166" s="478">
        <f>INPUT!F$5</f>
        <v>0</v>
      </c>
      <c r="F166" s="479"/>
      <c r="G166" s="478">
        <f>INPUT!H$5</f>
        <v>0</v>
      </c>
      <c r="H166" s="479"/>
      <c r="I166" s="478">
        <f>INPUT!J$5</f>
        <v>0</v>
      </c>
      <c r="J166" s="479"/>
      <c r="K166" s="478" t="str">
        <f>INPUT!L$5</f>
        <v>1Q13</v>
      </c>
      <c r="L166" s="479"/>
      <c r="M166" s="478" t="str">
        <f>INPUT!N$5</f>
        <v>2Q13</v>
      </c>
      <c r="N166" s="479"/>
      <c r="O166" s="478" t="str">
        <f>INPUT!P$5</f>
        <v>3Q13</v>
      </c>
      <c r="P166" s="479"/>
      <c r="Q166" s="478" t="str">
        <f>INPUT!R$5</f>
        <v>4Q13</v>
      </c>
      <c r="R166" s="479"/>
      <c r="S166" s="478" t="str">
        <f>INPUT!T$5</f>
        <v>1Q14</v>
      </c>
      <c r="T166" s="479"/>
      <c r="U166" s="478" t="str">
        <f>INPUT!V$5</f>
        <v>2Q14</v>
      </c>
      <c r="V166" s="479"/>
      <c r="W166" s="478" t="str">
        <f>INPUT!X$5</f>
        <v>3Q14</v>
      </c>
      <c r="X166" s="479"/>
      <c r="Y166" s="478" t="str">
        <f>INPUT!Z$5</f>
        <v>4Q14</v>
      </c>
      <c r="Z166" s="479"/>
      <c r="AA166" s="478" t="str">
        <f>INPUT!AB$5</f>
        <v>1Q15</v>
      </c>
      <c r="AB166" s="479"/>
      <c r="AC166" s="478" t="str">
        <f>INPUT!AD$5</f>
        <v>2Q15</v>
      </c>
      <c r="AD166" s="479"/>
      <c r="AE166" s="478" t="str">
        <f>INPUT!AF$5</f>
        <v>3Q15</v>
      </c>
      <c r="AF166" s="479"/>
      <c r="AG166" s="478" t="str">
        <f>INPUT!AH$5</f>
        <v>4Q15</v>
      </c>
      <c r="AH166" s="479"/>
      <c r="AI166" s="478" t="str">
        <f>INPUT!AJ$5</f>
        <v>1Q16</v>
      </c>
      <c r="AJ166" s="479"/>
      <c r="AK166" s="478" t="str">
        <f>INPUT!AL$5</f>
        <v>2Q16</v>
      </c>
      <c r="AL166" s="479"/>
      <c r="AM166" s="478" t="str">
        <f>INPUT!AN$5</f>
        <v>3Q16</v>
      </c>
      <c r="AN166" s="479"/>
      <c r="AO166" s="478" t="str">
        <f>INPUT!AP$5</f>
        <v>4Q16</v>
      </c>
      <c r="AP166" s="479"/>
      <c r="AQ166" s="478" t="str">
        <f>INPUT!AR$5</f>
        <v>1Q17</v>
      </c>
      <c r="AR166" s="479"/>
      <c r="AS166" s="478" t="str">
        <f>INPUT!AT$5</f>
        <v>2Q17</v>
      </c>
      <c r="AT166" s="479"/>
      <c r="AU166" s="478" t="str">
        <f>INPUT!AV$5</f>
        <v>3Q17</v>
      </c>
      <c r="AV166" s="479"/>
      <c r="AW166" s="478" t="str">
        <f>INPUT!AX$5</f>
        <v>4Q17</v>
      </c>
      <c r="AX166" s="479"/>
      <c r="AY166" s="479"/>
      <c r="AZ166" s="478"/>
      <c r="BA166" s="482"/>
      <c r="BB166" s="478"/>
      <c r="BC166" s="479"/>
      <c r="BD166" s="478"/>
      <c r="BE166" s="479"/>
      <c r="BF166" s="478"/>
      <c r="BG166" s="479"/>
      <c r="BH166" s="478"/>
      <c r="BI166" s="479"/>
      <c r="BJ166" s="478"/>
      <c r="BK166" s="479"/>
      <c r="BL166" s="478"/>
      <c r="BM166" s="479"/>
      <c r="BN166" s="478"/>
      <c r="BO166" s="479"/>
      <c r="BP166" s="478"/>
      <c r="BQ166" s="479"/>
      <c r="BR166" s="478"/>
      <c r="BS166" s="479"/>
      <c r="BT166" s="478">
        <f>INPUT!BC$5</f>
        <v>0</v>
      </c>
      <c r="BU166" s="479"/>
      <c r="BV166" s="478" t="str">
        <f>INPUT!BE$5</f>
        <v>2013</v>
      </c>
      <c r="BW166" s="479"/>
      <c r="BX166" s="478" t="str">
        <f>INPUT!BG$5</f>
        <v>2014</v>
      </c>
      <c r="BY166" s="479"/>
      <c r="BZ166" s="478" t="str">
        <f>INPUT!BI$5</f>
        <v>2015</v>
      </c>
      <c r="CA166" s="479"/>
      <c r="CB166" s="478" t="str">
        <f>INPUT!BK$5</f>
        <v>2016</v>
      </c>
      <c r="CC166" s="479"/>
      <c r="CD166" s="478" t="str">
        <f>INPUT!BM$5</f>
        <v>2017</v>
      </c>
      <c r="CE166" s="479"/>
      <c r="CF166" s="478" t="str">
        <f>INPUT!BO$5</f>
        <v>2018E</v>
      </c>
      <c r="CG166" s="479"/>
      <c r="CH166" s="478" t="str">
        <f>INPUT!BQ$5</f>
        <v>2019E</v>
      </c>
      <c r="CI166" s="479"/>
      <c r="CJ166" s="478" t="str">
        <f>INPUT!BS$5</f>
        <v>2020E</v>
      </c>
      <c r="CK166" s="479"/>
      <c r="CL166" s="478" t="str">
        <f>INPUT!BU$5</f>
        <v>2021E</v>
      </c>
      <c r="CM166" s="478" t="str">
        <f>INPUT!BV$5</f>
        <v>CAGR</v>
      </c>
    </row>
    <row r="167" spans="1:91" s="480" customFormat="1" ht="12" hidden="1" customHeight="1" outlineLevel="1" x14ac:dyDescent="0.2">
      <c r="A167" s="483"/>
      <c r="B167" s="484" t="str">
        <f>INPUT!C$6</f>
        <v>1Q13</v>
      </c>
      <c r="C167" s="485" t="str">
        <f>INPUT!D$6</f>
        <v>% Chg</v>
      </c>
      <c r="D167" s="484" t="str">
        <f>INPUT!E$6</f>
        <v>2Q13</v>
      </c>
      <c r="E167" s="485" t="str">
        <f>INPUT!F$6</f>
        <v>% Chg</v>
      </c>
      <c r="F167" s="484" t="str">
        <f>INPUT!G$6</f>
        <v>3Q13</v>
      </c>
      <c r="G167" s="485" t="str">
        <f>INPUT!H$6</f>
        <v>% Chg</v>
      </c>
      <c r="H167" s="484" t="str">
        <f>INPUT!I$6</f>
        <v>4Q13</v>
      </c>
      <c r="I167" s="485" t="str">
        <f>INPUT!J$6</f>
        <v>% Chg</v>
      </c>
      <c r="J167" s="484" t="str">
        <f>INPUT!K$6</f>
        <v>1Q14</v>
      </c>
      <c r="K167" s="485" t="str">
        <f>INPUT!L$6</f>
        <v>% Chg</v>
      </c>
      <c r="L167" s="484" t="str">
        <f>INPUT!M$6</f>
        <v>2Q14</v>
      </c>
      <c r="M167" s="485" t="str">
        <f>INPUT!N$6</f>
        <v>% Chg</v>
      </c>
      <c r="N167" s="484" t="str">
        <f>INPUT!O$6</f>
        <v>3Q14</v>
      </c>
      <c r="O167" s="485" t="str">
        <f>INPUT!P$6</f>
        <v>% Chg</v>
      </c>
      <c r="P167" s="484" t="str">
        <f>INPUT!Q$6</f>
        <v>4Q14</v>
      </c>
      <c r="Q167" s="485" t="str">
        <f>INPUT!R$6</f>
        <v>% Chg</v>
      </c>
      <c r="R167" s="484" t="str">
        <f>INPUT!S$6</f>
        <v>1Q15</v>
      </c>
      <c r="S167" s="485" t="str">
        <f>INPUT!T$6</f>
        <v>% Chg</v>
      </c>
      <c r="T167" s="484" t="str">
        <f>INPUT!U$6</f>
        <v>2Q15</v>
      </c>
      <c r="U167" s="485" t="str">
        <f>INPUT!V$6</f>
        <v>% Chg</v>
      </c>
      <c r="V167" s="484" t="str">
        <f>INPUT!W$6</f>
        <v>3Q15</v>
      </c>
      <c r="W167" s="485" t="str">
        <f>INPUT!X$6</f>
        <v>% Chg</v>
      </c>
      <c r="X167" s="484" t="str">
        <f>INPUT!Y$6</f>
        <v>4Q15</v>
      </c>
      <c r="Y167" s="485" t="str">
        <f>INPUT!Z$6</f>
        <v>% Chg</v>
      </c>
      <c r="Z167" s="484" t="str">
        <f>INPUT!AA$6</f>
        <v>1Q16</v>
      </c>
      <c r="AA167" s="485" t="str">
        <f>INPUT!AB$6</f>
        <v>% Chg</v>
      </c>
      <c r="AB167" s="484" t="str">
        <f>INPUT!AC$6</f>
        <v>2Q16</v>
      </c>
      <c r="AC167" s="485" t="str">
        <f>INPUT!AD$6</f>
        <v>% Chg</v>
      </c>
      <c r="AD167" s="484" t="str">
        <f>INPUT!AE$6</f>
        <v>3Q16</v>
      </c>
      <c r="AE167" s="485" t="str">
        <f>INPUT!AF$6</f>
        <v>% Chg</v>
      </c>
      <c r="AF167" s="484" t="str">
        <f>INPUT!AG$6</f>
        <v>4Q16</v>
      </c>
      <c r="AG167" s="485" t="str">
        <f>INPUT!AH$6</f>
        <v>% Chg</v>
      </c>
      <c r="AH167" s="484" t="str">
        <f>INPUT!AI$6</f>
        <v>1Q17</v>
      </c>
      <c r="AI167" s="485" t="str">
        <f>INPUT!AJ$6</f>
        <v>% Chg</v>
      </c>
      <c r="AJ167" s="484" t="str">
        <f>INPUT!AK$6</f>
        <v>2Q17</v>
      </c>
      <c r="AK167" s="485" t="str">
        <f>INPUT!AL$6</f>
        <v>% Chg</v>
      </c>
      <c r="AL167" s="484" t="str">
        <f>INPUT!AM$6</f>
        <v>3Q17</v>
      </c>
      <c r="AM167" s="485" t="str">
        <f>INPUT!AN$6</f>
        <v>% Chg</v>
      </c>
      <c r="AN167" s="484" t="str">
        <f>INPUT!AO$6</f>
        <v>4Q17</v>
      </c>
      <c r="AO167" s="485" t="str">
        <f>INPUT!AP$6</f>
        <v>% Chg</v>
      </c>
      <c r="AP167" s="484" t="str">
        <f>INPUT!AQ$6</f>
        <v>1Q18E</v>
      </c>
      <c r="AQ167" s="485" t="str">
        <f>INPUT!AR$6</f>
        <v>% Chg</v>
      </c>
      <c r="AR167" s="484" t="str">
        <f>INPUT!AS$6</f>
        <v>2Q18E</v>
      </c>
      <c r="AS167" s="485" t="str">
        <f>INPUT!AT$6</f>
        <v>% Chg</v>
      </c>
      <c r="AT167" s="484" t="str">
        <f>INPUT!AU$6</f>
        <v>3Q18E</v>
      </c>
      <c r="AU167" s="485" t="str">
        <f>INPUT!AV$6</f>
        <v>% Chg</v>
      </c>
      <c r="AV167" s="484" t="str">
        <f>INPUT!AW$6</f>
        <v>4Q18E</v>
      </c>
      <c r="AW167" s="485" t="str">
        <f>INPUT!AX$6</f>
        <v>% Chg</v>
      </c>
      <c r="AX167" s="484"/>
      <c r="AY167" s="486"/>
      <c r="AZ167" s="485"/>
      <c r="BA167" s="486"/>
      <c r="BB167" s="485"/>
      <c r="BC167" s="486"/>
      <c r="BD167" s="485"/>
      <c r="BE167" s="487"/>
      <c r="BF167" s="485"/>
      <c r="BG167" s="487"/>
      <c r="BH167" s="485"/>
      <c r="BI167" s="487"/>
      <c r="BJ167" s="485"/>
      <c r="BK167" s="487"/>
      <c r="BL167" s="485"/>
      <c r="BM167" s="484"/>
      <c r="BN167" s="485"/>
      <c r="BO167" s="484"/>
      <c r="BP167" s="485"/>
      <c r="BQ167" s="484"/>
      <c r="BR167" s="485"/>
      <c r="BS167" s="484" t="str">
        <f>INPUT!BB$6</f>
        <v>2013</v>
      </c>
      <c r="BT167" s="485" t="str">
        <f>INPUT!BC$6</f>
        <v>% Chg</v>
      </c>
      <c r="BU167" s="484" t="str">
        <f>INPUT!BD$6</f>
        <v>2014</v>
      </c>
      <c r="BV167" s="485" t="str">
        <f>INPUT!BE$6</f>
        <v>% Chg</v>
      </c>
      <c r="BW167" s="484" t="str">
        <f>INPUT!BF$6</f>
        <v>2015</v>
      </c>
      <c r="BX167" s="485" t="str">
        <f>INPUT!BG$6</f>
        <v>% Chg</v>
      </c>
      <c r="BY167" s="484" t="str">
        <f>INPUT!BH$6</f>
        <v>2016</v>
      </c>
      <c r="BZ167" s="485" t="str">
        <f>INPUT!BI$6</f>
        <v>% Chg</v>
      </c>
      <c r="CA167" s="484" t="str">
        <f>INPUT!BJ$6</f>
        <v>2017</v>
      </c>
      <c r="CB167" s="485" t="str">
        <f>INPUT!BK$6</f>
        <v>% Chg</v>
      </c>
      <c r="CC167" s="484" t="str">
        <f>INPUT!BL$6</f>
        <v>2018E</v>
      </c>
      <c r="CD167" s="485" t="str">
        <f>INPUT!BM$6</f>
        <v>% Chg</v>
      </c>
      <c r="CE167" s="484" t="str">
        <f>INPUT!BN$6</f>
        <v>2019E</v>
      </c>
      <c r="CF167" s="485" t="str">
        <f>INPUT!BO$6</f>
        <v>% Chg</v>
      </c>
      <c r="CG167" s="484" t="str">
        <f>INPUT!BP$6</f>
        <v>2020E</v>
      </c>
      <c r="CH167" s="485" t="str">
        <f>INPUT!BQ$6</f>
        <v>% Chg</v>
      </c>
      <c r="CI167" s="484" t="str">
        <f>INPUT!BR$6</f>
        <v>2021E</v>
      </c>
      <c r="CJ167" s="485" t="str">
        <f>INPUT!BS$6</f>
        <v>% Chg</v>
      </c>
      <c r="CK167" s="484" t="str">
        <f>INPUT!BT$6</f>
        <v>2022E</v>
      </c>
      <c r="CL167" s="485" t="str">
        <f>INPUT!BU$6</f>
        <v>% Chg</v>
      </c>
      <c r="CM167" s="485" t="str">
        <f>INPUT!BV$6</f>
        <v>(%)</v>
      </c>
    </row>
    <row r="168" spans="1:91" s="475" customFormat="1" ht="12" hidden="1" customHeight="1" outlineLevel="1" x14ac:dyDescent="0.2">
      <c r="A168" s="489"/>
      <c r="B168" s="479"/>
      <c r="C168" s="520"/>
      <c r="D168" s="479"/>
      <c r="E168" s="478"/>
      <c r="F168" s="479"/>
      <c r="G168" s="478"/>
      <c r="H168" s="479"/>
      <c r="I168" s="478"/>
      <c r="J168" s="479"/>
      <c r="K168" s="478"/>
      <c r="L168" s="479"/>
      <c r="M168" s="478"/>
      <c r="N168" s="479"/>
      <c r="O168" s="478"/>
      <c r="P168" s="479"/>
      <c r="Q168" s="478"/>
      <c r="R168" s="479"/>
      <c r="S168" s="478"/>
      <c r="T168" s="479"/>
      <c r="U168" s="478"/>
      <c r="V168" s="479"/>
      <c r="W168" s="478"/>
      <c r="X168" s="479"/>
      <c r="Y168" s="478"/>
      <c r="Z168" s="479"/>
      <c r="AA168" s="478"/>
      <c r="AB168" s="479"/>
      <c r="AC168" s="478"/>
      <c r="AD168" s="479"/>
      <c r="AE168" s="478"/>
      <c r="AF168" s="479"/>
      <c r="AG168" s="478"/>
      <c r="AH168" s="479"/>
      <c r="AI168" s="478"/>
      <c r="AJ168" s="479"/>
      <c r="AK168" s="478"/>
      <c r="AL168" s="479"/>
      <c r="AM168" s="478"/>
      <c r="AN168" s="479"/>
      <c r="AO168" s="478"/>
      <c r="AP168" s="479"/>
      <c r="AQ168" s="478"/>
      <c r="AR168" s="479"/>
      <c r="AS168" s="478"/>
      <c r="AT168" s="479"/>
      <c r="AU168" s="478"/>
      <c r="AV168" s="479"/>
      <c r="AW168" s="478"/>
      <c r="AX168" s="479"/>
      <c r="AY168" s="479"/>
      <c r="AZ168" s="520"/>
      <c r="BA168" s="479"/>
      <c r="BB168" s="520"/>
      <c r="BC168" s="479"/>
      <c r="BD168" s="520"/>
      <c r="BE168" s="479"/>
      <c r="BF168" s="478"/>
      <c r="BG168" s="479"/>
      <c r="BH168" s="478"/>
      <c r="BI168" s="479"/>
      <c r="BJ168" s="478"/>
      <c r="BK168" s="479"/>
      <c r="BL168" s="478"/>
      <c r="BM168" s="479"/>
      <c r="BN168" s="478"/>
      <c r="BO168" s="479"/>
      <c r="BP168" s="478"/>
      <c r="BQ168" s="479"/>
      <c r="BR168" s="478"/>
      <c r="BS168" s="479"/>
      <c r="BT168" s="478"/>
      <c r="BU168" s="479"/>
      <c r="BV168" s="478"/>
      <c r="BW168" s="479"/>
      <c r="BX168" s="478"/>
      <c r="BY168" s="479"/>
      <c r="BZ168" s="478"/>
      <c r="CA168" s="479"/>
      <c r="CB168" s="478"/>
      <c r="CC168" s="479"/>
      <c r="CD168" s="478"/>
      <c r="CE168" s="479"/>
      <c r="CF168" s="478"/>
      <c r="CG168" s="479"/>
      <c r="CH168" s="478"/>
      <c r="CI168" s="479"/>
      <c r="CJ168" s="478"/>
      <c r="CK168" s="479"/>
      <c r="CL168" s="478"/>
      <c r="CM168" s="520"/>
    </row>
    <row r="169" spans="1:91" s="475" customFormat="1" ht="12" hidden="1" customHeight="1" outlineLevel="1" x14ac:dyDescent="0.2">
      <c r="A169" s="519" t="s">
        <v>492</v>
      </c>
      <c r="B169" s="490"/>
      <c r="C169" s="491"/>
      <c r="D169" s="490"/>
      <c r="E169" s="478"/>
      <c r="F169" s="490"/>
      <c r="G169" s="478"/>
      <c r="H169" s="490"/>
      <c r="I169" s="478"/>
      <c r="J169" s="490"/>
      <c r="K169" s="478"/>
      <c r="L169" s="490"/>
      <c r="M169" s="478"/>
      <c r="N169" s="490"/>
      <c r="O169" s="478"/>
      <c r="P169" s="490"/>
      <c r="Q169" s="478"/>
      <c r="R169" s="490"/>
      <c r="S169" s="478"/>
      <c r="T169" s="490"/>
      <c r="U169" s="478"/>
      <c r="V169" s="490"/>
      <c r="W169" s="478"/>
      <c r="X169" s="490"/>
      <c r="Y169" s="478"/>
      <c r="Z169" s="490"/>
      <c r="AA169" s="478"/>
      <c r="AB169" s="490"/>
      <c r="AC169" s="478"/>
      <c r="AD169" s="490"/>
      <c r="AE169" s="478"/>
      <c r="AF169" s="490"/>
      <c r="AG169" s="478"/>
      <c r="AH169" s="490"/>
      <c r="AI169" s="478"/>
      <c r="AJ169" s="490"/>
      <c r="AK169" s="478"/>
      <c r="AL169" s="490"/>
      <c r="AM169" s="478"/>
      <c r="AN169" s="490"/>
      <c r="AO169" s="478"/>
      <c r="AP169" s="490"/>
      <c r="AQ169" s="478"/>
      <c r="AR169" s="490"/>
      <c r="AS169" s="478"/>
      <c r="AT169" s="490"/>
      <c r="AU169" s="478"/>
      <c r="AV169" s="490"/>
      <c r="AW169" s="478"/>
      <c r="AX169" s="490"/>
      <c r="AY169" s="490"/>
      <c r="AZ169" s="491"/>
      <c r="BA169" s="490"/>
      <c r="BB169" s="491"/>
      <c r="BC169" s="490"/>
      <c r="BD169" s="491"/>
      <c r="BE169" s="490"/>
      <c r="BF169" s="478"/>
      <c r="BG169" s="490"/>
      <c r="BH169" s="478"/>
      <c r="BI169" s="490"/>
      <c r="BJ169" s="478"/>
      <c r="BK169" s="490"/>
      <c r="BL169" s="478"/>
      <c r="BM169" s="490"/>
      <c r="BN169" s="478"/>
      <c r="BO169" s="490"/>
      <c r="BP169" s="478"/>
      <c r="BQ169" s="490"/>
      <c r="BR169" s="478"/>
      <c r="BS169" s="490"/>
      <c r="BT169" s="478"/>
      <c r="BU169" s="490"/>
      <c r="BV169" s="478"/>
      <c r="BW169" s="490"/>
      <c r="BX169" s="478"/>
      <c r="BY169" s="490"/>
      <c r="BZ169" s="478"/>
      <c r="CA169" s="490"/>
      <c r="CB169" s="478"/>
      <c r="CC169" s="490"/>
      <c r="CD169" s="478"/>
      <c r="CE169" s="490"/>
      <c r="CF169" s="478"/>
      <c r="CG169" s="490"/>
      <c r="CH169" s="478"/>
      <c r="CI169" s="490"/>
      <c r="CJ169" s="478"/>
      <c r="CK169" s="490"/>
      <c r="CL169" s="478"/>
      <c r="CM169" s="491"/>
    </row>
    <row r="170" spans="1:91" s="475" customFormat="1" ht="12" hidden="1" customHeight="1" outlineLevel="1" x14ac:dyDescent="0.2">
      <c r="A170" s="517" t="s">
        <v>271</v>
      </c>
      <c r="B170" s="524">
        <f>+INPUT!C101</f>
        <v>169.4</v>
      </c>
      <c r="C170" s="522" t="str">
        <f>+INPUT!D101</f>
        <v>NA</v>
      </c>
      <c r="D170" s="524">
        <f>+INPUT!E101</f>
        <v>207.5</v>
      </c>
      <c r="E170" s="522" t="str">
        <f>+INPUT!F101</f>
        <v>NA</v>
      </c>
      <c r="F170" s="524">
        <f>+INPUT!G101</f>
        <v>185.3</v>
      </c>
      <c r="G170" s="522" t="str">
        <f>+INPUT!H101</f>
        <v>NA</v>
      </c>
      <c r="H170" s="524">
        <f>+INPUT!I101</f>
        <v>497.9</v>
      </c>
      <c r="I170" s="522" t="str">
        <f>+INPUT!J101</f>
        <v>NA</v>
      </c>
      <c r="J170" s="524">
        <f>+INPUT!K101</f>
        <v>289</v>
      </c>
      <c r="K170" s="522">
        <f>+INPUT!L101</f>
        <v>70.602125147579699</v>
      </c>
      <c r="L170" s="524">
        <f>+INPUT!M101</f>
        <v>279.8</v>
      </c>
      <c r="M170" s="522">
        <f>+INPUT!N101</f>
        <v>34.843373493975918</v>
      </c>
      <c r="N170" s="524">
        <f>+INPUT!O101</f>
        <v>347.70000000000005</v>
      </c>
      <c r="O170" s="522">
        <f>+INPUT!P101</f>
        <v>87.641662169454946</v>
      </c>
      <c r="P170" s="524">
        <f>+INPUT!Q101</f>
        <v>686.7</v>
      </c>
      <c r="Q170" s="522">
        <f>+INPUT!R101</f>
        <v>37.919260895762221</v>
      </c>
      <c r="R170" s="524">
        <f>+INPUT!S101</f>
        <v>356.4</v>
      </c>
      <c r="S170" s="522">
        <f>+INPUT!T101</f>
        <v>23.321799307958486</v>
      </c>
      <c r="T170" s="524">
        <f>+INPUT!U101</f>
        <v>1106.8</v>
      </c>
      <c r="U170" s="522" t="str">
        <f>+INPUT!V101</f>
        <v>NM</v>
      </c>
      <c r="V170" s="524">
        <f>+INPUT!W101</f>
        <v>980.5</v>
      </c>
      <c r="W170" s="522" t="str">
        <f>+INPUT!X101</f>
        <v>NM</v>
      </c>
      <c r="X170" s="524">
        <f>+INPUT!Y101</f>
        <v>586.9</v>
      </c>
      <c r="Y170" s="522">
        <f>+INPUT!Z101</f>
        <v>-14.533275083733812</v>
      </c>
      <c r="Z170" s="524">
        <f>+INPUT!AA101</f>
        <v>700.4</v>
      </c>
      <c r="AA170" s="522">
        <f>+INPUT!AB101</f>
        <v>96.52076318742985</v>
      </c>
      <c r="AB170" s="524">
        <f>+INPUT!AC101</f>
        <v>669.1</v>
      </c>
      <c r="AC170" s="522">
        <f>+INPUT!AD101</f>
        <v>-39.546440187929164</v>
      </c>
      <c r="AD170" s="524">
        <f>+INPUT!AE101</f>
        <v>397.2</v>
      </c>
      <c r="AE170" s="522" t="str">
        <f>+INPUT!AF101</f>
        <v>NM</v>
      </c>
      <c r="AF170" s="524">
        <f>+INPUT!AG101</f>
        <v>1118</v>
      </c>
      <c r="AG170" s="522">
        <f>+INPUT!AH101</f>
        <v>90.492417788379612</v>
      </c>
      <c r="AH170" s="524">
        <f>+INPUT!AI101</f>
        <v>629.9</v>
      </c>
      <c r="AI170" s="522">
        <f>+INPUT!AJ101</f>
        <v>-10.065676756139354</v>
      </c>
      <c r="AJ170" s="524">
        <f>+INPUT!AK101</f>
        <v>820.7</v>
      </c>
      <c r="AK170" s="522">
        <f>+INPUT!AL101</f>
        <v>22.657300851890597</v>
      </c>
      <c r="AL170" s="524">
        <f>+INPUT!AM101</f>
        <v>1501.7</v>
      </c>
      <c r="AM170" s="522" t="str">
        <f>+INPUT!AN101</f>
        <v>NM</v>
      </c>
      <c r="AN170" s="524">
        <f>+INPUT!AO101</f>
        <v>740.19999999999993</v>
      </c>
      <c r="AO170" s="522">
        <f>+INPUT!AP101</f>
        <v>-33.792486583184271</v>
      </c>
      <c r="AP170" s="524">
        <f>+INPUT!AQ101</f>
        <v>746.71550000000002</v>
      </c>
      <c r="AQ170" s="522">
        <f>+INPUT!AR101</f>
        <v>18.5450865216701</v>
      </c>
      <c r="AR170" s="524">
        <f>+INPUT!AS101</f>
        <v>755.8541899999999</v>
      </c>
      <c r="AS170" s="522">
        <f>+INPUT!AT101</f>
        <v>-7.9012806141099219</v>
      </c>
      <c r="AT170" s="524">
        <f>+INPUT!AU101</f>
        <v>764.81010619999984</v>
      </c>
      <c r="AU170" s="522">
        <f>+INPUT!AV101</f>
        <v>-49.07037982286743</v>
      </c>
      <c r="AV170" s="524">
        <f>+INPUT!AW101</f>
        <v>771.44992367799989</v>
      </c>
      <c r="AW170" s="522">
        <f>+INPUT!AX101</f>
        <v>4.2218216263172081</v>
      </c>
      <c r="AX170" s="524"/>
      <c r="AY170" s="524"/>
      <c r="AZ170" s="522"/>
      <c r="BA170" s="524"/>
      <c r="BB170" s="522"/>
      <c r="BC170" s="524"/>
      <c r="BD170" s="522"/>
      <c r="BE170" s="524"/>
      <c r="BF170" s="474"/>
      <c r="BG170" s="524"/>
      <c r="BH170" s="474"/>
      <c r="BI170" s="524"/>
      <c r="BJ170" s="474"/>
      <c r="BK170" s="524"/>
      <c r="BL170" s="474"/>
      <c r="BM170" s="524"/>
      <c r="BN170" s="474"/>
      <c r="BO170" s="524"/>
      <c r="BP170" s="474"/>
      <c r="BQ170" s="524"/>
      <c r="BR170" s="474"/>
      <c r="BS170" s="524">
        <f>+INPUT!BB101</f>
        <v>1060.0999999999999</v>
      </c>
      <c r="BT170" s="474" t="str">
        <f>+INPUT!BC101</f>
        <v>NA</v>
      </c>
      <c r="BU170" s="524">
        <f>+INPUT!BD101</f>
        <v>1603.2</v>
      </c>
      <c r="BV170" s="474">
        <f>+INPUT!BE101</f>
        <v>51.231015941892309</v>
      </c>
      <c r="BW170" s="524">
        <f>+INPUT!BF101</f>
        <v>3030.6</v>
      </c>
      <c r="BX170" s="474">
        <f>+INPUT!BG101</f>
        <v>89.034431137724539</v>
      </c>
      <c r="BY170" s="524">
        <f>+INPUT!BH101</f>
        <v>2884.7</v>
      </c>
      <c r="BZ170" s="474">
        <f>+INPUT!BI101</f>
        <v>-4.8142282056358567</v>
      </c>
      <c r="CA170" s="524">
        <f>+INPUT!BJ101</f>
        <v>3692.5</v>
      </c>
      <c r="CB170" s="474">
        <f>+INPUT!BK101</f>
        <v>28.002911914583848</v>
      </c>
      <c r="CC170" s="524">
        <f>+INPUT!BL101</f>
        <v>3038.8297198779997</v>
      </c>
      <c r="CD170" s="474">
        <f>+INPUT!BM101</f>
        <v>-17.702648073717015</v>
      </c>
      <c r="CE170" s="524">
        <f>+INPUT!BN101</f>
        <v>3184.3381302661669</v>
      </c>
      <c r="CF170" s="474">
        <f>+INPUT!BO101</f>
        <v>4.7883041763198548</v>
      </c>
      <c r="CG170" s="524">
        <f>+INPUT!BP101</f>
        <v>3325.5029516598374</v>
      </c>
      <c r="CH170" s="474">
        <f>+INPUT!BQ101</f>
        <v>4.4330977307950263</v>
      </c>
      <c r="CI170" s="524">
        <f>+INPUT!BR101</f>
        <v>3467.1511218908008</v>
      </c>
      <c r="CJ170" s="474">
        <f>+INPUT!BS101</f>
        <v>4.2594510451498167</v>
      </c>
      <c r="CK170" s="524">
        <f>+INPUT!BT101</f>
        <v>3609.6055575641803</v>
      </c>
      <c r="CL170" s="474">
        <f>+INPUT!BU101</f>
        <v>4.1086883918602553</v>
      </c>
      <c r="CM170" s="522">
        <f>+INPUT!BV101</f>
        <v>-0.45307516133881176</v>
      </c>
    </row>
    <row r="171" spans="1:91" s="475" customFormat="1" ht="12" hidden="1" customHeight="1" outlineLevel="1" x14ac:dyDescent="0.2">
      <c r="A171" s="517" t="s">
        <v>416</v>
      </c>
      <c r="B171" s="524">
        <f>+INPUT!C102</f>
        <v>392.8</v>
      </c>
      <c r="C171" s="522" t="str">
        <f>+INPUT!D102</f>
        <v>NA</v>
      </c>
      <c r="D171" s="524">
        <f>+INPUT!E102</f>
        <v>375.7</v>
      </c>
      <c r="E171" s="522" t="str">
        <f>+INPUT!F102</f>
        <v>NA</v>
      </c>
      <c r="F171" s="524">
        <f>+INPUT!G102</f>
        <v>374.4</v>
      </c>
      <c r="G171" s="522" t="str">
        <f>+INPUT!H102</f>
        <v>NA</v>
      </c>
      <c r="H171" s="524">
        <f>+INPUT!I102</f>
        <v>363.7</v>
      </c>
      <c r="I171" s="522" t="str">
        <f>+INPUT!J102</f>
        <v>NA</v>
      </c>
      <c r="J171" s="524">
        <f>+INPUT!K102</f>
        <v>365.5</v>
      </c>
      <c r="K171" s="522">
        <f>+INPUT!L102</f>
        <v>-6.9501018329938944</v>
      </c>
      <c r="L171" s="524">
        <f>+INPUT!M102</f>
        <v>361.2</v>
      </c>
      <c r="M171" s="522">
        <f>+INPUT!N102</f>
        <v>-3.8594623369709922</v>
      </c>
      <c r="N171" s="524">
        <f>+INPUT!O102</f>
        <v>343.7</v>
      </c>
      <c r="O171" s="522">
        <f>+INPUT!P102</f>
        <v>-8.1997863247863165</v>
      </c>
      <c r="P171" s="524">
        <f>+INPUT!Q102</f>
        <v>347.2</v>
      </c>
      <c r="Q171" s="522">
        <f>+INPUT!R102</f>
        <v>-4.53670607643663</v>
      </c>
      <c r="R171" s="524">
        <f>+INPUT!S102</f>
        <v>330.4</v>
      </c>
      <c r="S171" s="522">
        <f>+INPUT!T102</f>
        <v>-9.60328317373461</v>
      </c>
      <c r="T171" s="524">
        <f>+INPUT!U102</f>
        <v>344.1</v>
      </c>
      <c r="U171" s="522">
        <f>+INPUT!V102</f>
        <v>-4.7342192691029794</v>
      </c>
      <c r="V171" s="524">
        <f>+INPUT!W102</f>
        <v>335.9</v>
      </c>
      <c r="W171" s="522">
        <f>+INPUT!X102</f>
        <v>-2.2694210066918856</v>
      </c>
      <c r="X171" s="524">
        <f>+INPUT!Y102</f>
        <v>351.9</v>
      </c>
      <c r="Y171" s="522">
        <f>+INPUT!Z102</f>
        <v>1.3536866359447117</v>
      </c>
      <c r="Z171" s="524">
        <f>+INPUT!AA102</f>
        <v>350.3</v>
      </c>
      <c r="AA171" s="522">
        <f>+INPUT!AB102</f>
        <v>6.0230024213075097</v>
      </c>
      <c r="AB171" s="524">
        <f>+INPUT!AC102</f>
        <v>376.7</v>
      </c>
      <c r="AC171" s="522">
        <f>+INPUT!AD102</f>
        <v>9.4739901191513951</v>
      </c>
      <c r="AD171" s="524">
        <f>+INPUT!AE102</f>
        <v>394.7</v>
      </c>
      <c r="AE171" s="522">
        <f>+INPUT!AF102</f>
        <v>17.505209883894011</v>
      </c>
      <c r="AF171" s="524">
        <f>+INPUT!AG102</f>
        <v>401.1</v>
      </c>
      <c r="AG171" s="522">
        <f>+INPUT!AH102</f>
        <v>13.981244671781766</v>
      </c>
      <c r="AH171" s="524">
        <f>+INPUT!AI102</f>
        <v>402.3</v>
      </c>
      <c r="AI171" s="522">
        <f>+INPUT!AJ102</f>
        <v>14.84441906936911</v>
      </c>
      <c r="AJ171" s="524">
        <f>+INPUT!AK102</f>
        <v>411.6</v>
      </c>
      <c r="AK171" s="522">
        <f>+INPUT!AL102</f>
        <v>9.2646668436421606</v>
      </c>
      <c r="AL171" s="524">
        <f>+INPUT!AM102</f>
        <v>413.8</v>
      </c>
      <c r="AM171" s="522">
        <f>+INPUT!AN102</f>
        <v>4.8391183177096622</v>
      </c>
      <c r="AN171" s="524">
        <f>+INPUT!AO102</f>
        <v>424.4</v>
      </c>
      <c r="AO171" s="522">
        <f>+INPUT!AP102</f>
        <v>5.8090251807529256</v>
      </c>
      <c r="AP171" s="524">
        <f>+INPUT!AQ102</f>
        <v>427.59668558282209</v>
      </c>
      <c r="AQ171" s="522">
        <f>+INPUT!AR102</f>
        <v>6.2880153076863223</v>
      </c>
      <c r="AR171" s="524">
        <f>+INPUT!AS102</f>
        <v>432.82983469325148</v>
      </c>
      <c r="AS171" s="522">
        <f>+INPUT!AT102</f>
        <v>5.1578801489921062</v>
      </c>
      <c r="AT171" s="524">
        <f>+INPUT!AU102</f>
        <v>437.95832082147228</v>
      </c>
      <c r="AU171" s="522">
        <f>+INPUT!AV102</f>
        <v>5.8381635624630945</v>
      </c>
      <c r="AV171" s="524">
        <f>+INPUT!AW102</f>
        <v>442.98423722712874</v>
      </c>
      <c r="AW171" s="522">
        <f>+INPUT!AX102</f>
        <v>4.3789437387202526</v>
      </c>
      <c r="AX171" s="524"/>
      <c r="AY171" s="524"/>
      <c r="AZ171" s="522"/>
      <c r="BA171" s="524"/>
      <c r="BB171" s="522"/>
      <c r="BC171" s="524"/>
      <c r="BD171" s="522"/>
      <c r="BE171" s="524"/>
      <c r="BF171" s="474"/>
      <c r="BG171" s="524"/>
      <c r="BH171" s="474"/>
      <c r="BI171" s="524"/>
      <c r="BJ171" s="474"/>
      <c r="BK171" s="524"/>
      <c r="BL171" s="474"/>
      <c r="BM171" s="524"/>
      <c r="BN171" s="474"/>
      <c r="BO171" s="524"/>
      <c r="BP171" s="474"/>
      <c r="BQ171" s="524"/>
      <c r="BR171" s="474"/>
      <c r="BS171" s="524">
        <f>+INPUT!BB102</f>
        <v>1506.6000000000001</v>
      </c>
      <c r="BT171" s="474" t="str">
        <f>+INPUT!BC102</f>
        <v>NA</v>
      </c>
      <c r="BU171" s="524">
        <f>+INPUT!BD102</f>
        <v>1417.6000000000001</v>
      </c>
      <c r="BV171" s="474">
        <f>+INPUT!BE102</f>
        <v>-5.9073410327890628</v>
      </c>
      <c r="BW171" s="524">
        <f>+INPUT!BF102</f>
        <v>1362.3</v>
      </c>
      <c r="BX171" s="474">
        <f>+INPUT!BG102</f>
        <v>-3.9009593679458305</v>
      </c>
      <c r="BY171" s="524">
        <f>+INPUT!BH102</f>
        <v>1522.8000000000002</v>
      </c>
      <c r="BZ171" s="474">
        <f>+INPUT!BI102</f>
        <v>11.781545914996713</v>
      </c>
      <c r="CA171" s="524">
        <f>+INPUT!BJ102</f>
        <v>1652.1</v>
      </c>
      <c r="CB171" s="474">
        <f>+INPUT!BK102</f>
        <v>8.4909377462568614</v>
      </c>
      <c r="CC171" s="524">
        <f>+INPUT!BL102</f>
        <v>1741.3690783246745</v>
      </c>
      <c r="CD171" s="474">
        <f>+INPUT!BM102</f>
        <v>5.4033701546319719</v>
      </c>
      <c r="CE171" s="524">
        <f>+INPUT!BN102</f>
        <v>1817.8371860609068</v>
      </c>
      <c r="CF171" s="474">
        <f>+INPUT!BO102</f>
        <v>4.3912636722480443</v>
      </c>
      <c r="CG171" s="524">
        <f>+INPUT!BP102</f>
        <v>1893.8335633127633</v>
      </c>
      <c r="CH171" s="474">
        <f>+INPUT!BQ102</f>
        <v>4.1805931705321626</v>
      </c>
      <c r="CI171" s="524">
        <f>+INPUT!BR102</f>
        <v>1969.714841035046</v>
      </c>
      <c r="CJ171" s="474">
        <f>+INPUT!BS102</f>
        <v>4.0067553554995641</v>
      </c>
      <c r="CK171" s="524">
        <f>+INPUT!BT102</f>
        <v>2045.6620234158408</v>
      </c>
      <c r="CL171" s="474">
        <f>+INPUT!BU102</f>
        <v>3.8557450448454915</v>
      </c>
      <c r="CM171" s="522">
        <f>+INPUT!BV102</f>
        <v>4.3661133286476472</v>
      </c>
    </row>
    <row r="172" spans="1:91" s="501" customFormat="1" ht="12" hidden="1" customHeight="1" outlineLevel="1" x14ac:dyDescent="0.2">
      <c r="A172" s="489" t="s">
        <v>417</v>
      </c>
      <c r="B172" s="531">
        <f>+INPUT!C103</f>
        <v>562.20000000000005</v>
      </c>
      <c r="C172" s="755" t="str">
        <f>+INPUT!D103</f>
        <v>NA</v>
      </c>
      <c r="D172" s="531">
        <f>+INPUT!E103</f>
        <v>583.20000000000005</v>
      </c>
      <c r="E172" s="755" t="str">
        <f>+INPUT!F103</f>
        <v>NA</v>
      </c>
      <c r="F172" s="531">
        <f>+INPUT!G103</f>
        <v>559.70000000000005</v>
      </c>
      <c r="G172" s="755" t="str">
        <f>+INPUT!H103</f>
        <v>NA</v>
      </c>
      <c r="H172" s="531">
        <f>+INPUT!I103</f>
        <v>861.59999999999991</v>
      </c>
      <c r="I172" s="755" t="str">
        <f>+INPUT!J103</f>
        <v>NA</v>
      </c>
      <c r="J172" s="531">
        <f>+INPUT!K103</f>
        <v>654.5</v>
      </c>
      <c r="K172" s="755">
        <f>+INPUT!L103</f>
        <v>16.417644966204193</v>
      </c>
      <c r="L172" s="531">
        <f>+INPUT!M103</f>
        <v>641</v>
      </c>
      <c r="M172" s="755">
        <f>+INPUT!N103</f>
        <v>9.9108367626886036</v>
      </c>
      <c r="N172" s="531">
        <f>+INPUT!O103</f>
        <v>691.40000000000009</v>
      </c>
      <c r="O172" s="755">
        <f>+INPUT!P103</f>
        <v>23.530462747900671</v>
      </c>
      <c r="P172" s="531">
        <f>+INPUT!Q103</f>
        <v>1033.9000000000001</v>
      </c>
      <c r="Q172" s="755">
        <f>+INPUT!R103</f>
        <v>19.997678737233088</v>
      </c>
      <c r="R172" s="531">
        <f>+INPUT!S103</f>
        <v>686.8</v>
      </c>
      <c r="S172" s="755">
        <f>+INPUT!T103</f>
        <v>4.9350649350649292</v>
      </c>
      <c r="T172" s="531">
        <f>+INPUT!U103</f>
        <v>1450.9</v>
      </c>
      <c r="U172" s="755" t="str">
        <f>+INPUT!V103</f>
        <v>NM</v>
      </c>
      <c r="V172" s="531">
        <f>+INPUT!W103</f>
        <v>1316.4</v>
      </c>
      <c r="W172" s="755">
        <f>+INPUT!X103</f>
        <v>90.396297367659827</v>
      </c>
      <c r="X172" s="531">
        <f>+INPUT!Y103</f>
        <v>938.8</v>
      </c>
      <c r="Y172" s="755">
        <f>+INPUT!Z103</f>
        <v>-9.1981816423251814</v>
      </c>
      <c r="Z172" s="531">
        <f>+INPUT!AA103</f>
        <v>1050.7</v>
      </c>
      <c r="AA172" s="755">
        <f>+INPUT!AB103</f>
        <v>52.984857309260349</v>
      </c>
      <c r="AB172" s="531">
        <f>+INPUT!AC103</f>
        <v>1045.8</v>
      </c>
      <c r="AC172" s="755">
        <f>+INPUT!AD103</f>
        <v>-27.920601006271966</v>
      </c>
      <c r="AD172" s="531">
        <f>+INPUT!AE103</f>
        <v>791.9</v>
      </c>
      <c r="AE172" s="755">
        <f>+INPUT!AF103</f>
        <v>-39.843512610148899</v>
      </c>
      <c r="AF172" s="531">
        <f>+INPUT!AG103</f>
        <v>1519.1</v>
      </c>
      <c r="AG172" s="755">
        <f>+INPUT!AH103</f>
        <v>61.81295270558158</v>
      </c>
      <c r="AH172" s="531">
        <f>+INPUT!AI103</f>
        <v>1032.2</v>
      </c>
      <c r="AI172" s="755">
        <f>+INPUT!AJ103</f>
        <v>-1.7607309412772452</v>
      </c>
      <c r="AJ172" s="531">
        <f>+INPUT!AK103</f>
        <v>1232.3000000000002</v>
      </c>
      <c r="AK172" s="755">
        <f>+INPUT!AL103</f>
        <v>17.833237712755803</v>
      </c>
      <c r="AL172" s="531">
        <f>+INPUT!AM103</f>
        <v>1915.5</v>
      </c>
      <c r="AM172" s="755" t="str">
        <f>+INPUT!AN103</f>
        <v>NM</v>
      </c>
      <c r="AN172" s="531">
        <f>+INPUT!AO103</f>
        <v>1164.5999999999999</v>
      </c>
      <c r="AO172" s="755">
        <f>+INPUT!AP103</f>
        <v>-23.336185899545782</v>
      </c>
      <c r="AP172" s="531">
        <f>+INPUT!AQ103</f>
        <v>1174.3121855828222</v>
      </c>
      <c r="AQ172" s="755">
        <f>+INPUT!AR103</f>
        <v>13.767892422284646</v>
      </c>
      <c r="AR172" s="531">
        <f>+INPUT!AS103</f>
        <v>1188.6840246932513</v>
      </c>
      <c r="AS172" s="755">
        <f>+INPUT!AT103</f>
        <v>-3.5393958700599626</v>
      </c>
      <c r="AT172" s="531">
        <f>+INPUT!AU103</f>
        <v>1202.7684270214722</v>
      </c>
      <c r="AU172" s="755">
        <f>+INPUT!AV103</f>
        <v>-37.208643851658984</v>
      </c>
      <c r="AV172" s="531">
        <f>+INPUT!AW103</f>
        <v>1214.4341609051287</v>
      </c>
      <c r="AW172" s="755">
        <f>+INPUT!AX103</f>
        <v>4.2790795899990428</v>
      </c>
      <c r="AX172" s="532"/>
      <c r="AY172" s="757"/>
      <c r="AZ172" s="758"/>
      <c r="BA172" s="757"/>
      <c r="BB172" s="758"/>
      <c r="BC172" s="757"/>
      <c r="BD172" s="758"/>
      <c r="BE172" s="757"/>
      <c r="BF172" s="756"/>
      <c r="BG172" s="757"/>
      <c r="BH172" s="756"/>
      <c r="BI172" s="757"/>
      <c r="BJ172" s="756"/>
      <c r="BK172" s="531"/>
      <c r="BL172" s="756"/>
      <c r="BM172" s="531"/>
      <c r="BN172" s="756"/>
      <c r="BO172" s="531"/>
      <c r="BP172" s="756"/>
      <c r="BQ172" s="531"/>
      <c r="BR172" s="756"/>
      <c r="BS172" s="531">
        <f>+INPUT!BB103</f>
        <v>2566.6999999999998</v>
      </c>
      <c r="BT172" s="756" t="str">
        <f>+INPUT!BC103</f>
        <v>NA</v>
      </c>
      <c r="BU172" s="531">
        <f>+INPUT!BD103</f>
        <v>3020.8</v>
      </c>
      <c r="BV172" s="756">
        <f>+INPUT!BE103</f>
        <v>17.69197802625942</v>
      </c>
      <c r="BW172" s="531">
        <f>+INPUT!BF103</f>
        <v>4392.8999999999996</v>
      </c>
      <c r="BX172" s="756">
        <f>+INPUT!BG103</f>
        <v>45.421742584745743</v>
      </c>
      <c r="BY172" s="531">
        <f>+INPUT!BH103</f>
        <v>4407.5</v>
      </c>
      <c r="BZ172" s="756">
        <f>+INPUT!BI103</f>
        <v>0.33235448109449806</v>
      </c>
      <c r="CA172" s="531">
        <f>+INPUT!BJ103</f>
        <v>5344.6</v>
      </c>
      <c r="CB172" s="756">
        <f>+INPUT!BK103</f>
        <v>21.261486103233125</v>
      </c>
      <c r="CC172" s="531">
        <f>+INPUT!BL103</f>
        <v>4780.198798202674</v>
      </c>
      <c r="CD172" s="756">
        <f>+INPUT!BM103</f>
        <v>-10.560214081452798</v>
      </c>
      <c r="CE172" s="531">
        <f>+INPUT!BN103</f>
        <v>5002.1753163270732</v>
      </c>
      <c r="CF172" s="756">
        <f>+INPUT!BO103</f>
        <v>4.6436670836338578</v>
      </c>
      <c r="CG172" s="531">
        <f>+INPUT!BP103</f>
        <v>5219.3365149726005</v>
      </c>
      <c r="CH172" s="756">
        <f>+INPUT!BQ103</f>
        <v>4.3413352174345903</v>
      </c>
      <c r="CI172" s="531">
        <f>+INPUT!BR103</f>
        <v>5436.8659629258473</v>
      </c>
      <c r="CJ172" s="756">
        <f>+INPUT!BS103</f>
        <v>4.1677605444528183</v>
      </c>
      <c r="CK172" s="531">
        <f>+INPUT!BT103</f>
        <v>5655.2675809800212</v>
      </c>
      <c r="CL172" s="756">
        <f>+INPUT!BU103</f>
        <v>4.0170498876275644</v>
      </c>
      <c r="CM172" s="755">
        <f>+INPUT!BV103</f>
        <v>1.1364231933498115</v>
      </c>
    </row>
    <row r="173" spans="1:91" s="475" customFormat="1" ht="12" hidden="1" customHeight="1" outlineLevel="1" x14ac:dyDescent="0.2">
      <c r="A173" s="517"/>
      <c r="B173" s="492"/>
      <c r="C173" s="534"/>
      <c r="D173" s="492"/>
      <c r="E173" s="534"/>
      <c r="F173" s="492"/>
      <c r="G173" s="534"/>
      <c r="H173" s="492"/>
      <c r="I173" s="534"/>
      <c r="J173" s="492"/>
      <c r="K173" s="534"/>
      <c r="L173" s="492"/>
      <c r="M173" s="534"/>
      <c r="N173" s="492"/>
      <c r="O173" s="534"/>
      <c r="P173" s="492"/>
      <c r="Q173" s="534"/>
      <c r="R173" s="492"/>
      <c r="S173" s="534"/>
      <c r="T173" s="492"/>
      <c r="U173" s="534"/>
      <c r="V173" s="492"/>
      <c r="W173" s="534"/>
      <c r="X173" s="492"/>
      <c r="Y173" s="534"/>
      <c r="Z173" s="492"/>
      <c r="AA173" s="534"/>
      <c r="AB173" s="492"/>
      <c r="AC173" s="534"/>
      <c r="AD173" s="492"/>
      <c r="AE173" s="534"/>
      <c r="AF173" s="492"/>
      <c r="AG173" s="534"/>
      <c r="AH173" s="492"/>
      <c r="AI173" s="534"/>
      <c r="AJ173" s="492"/>
      <c r="AK173" s="534"/>
      <c r="AL173" s="492"/>
      <c r="AM173" s="534"/>
      <c r="AN173" s="492"/>
      <c r="AO173" s="534"/>
      <c r="AP173" s="492"/>
      <c r="AQ173" s="534"/>
      <c r="AR173" s="492"/>
      <c r="AS173" s="534"/>
      <c r="AT173" s="492"/>
      <c r="AU173" s="534"/>
      <c r="AV173" s="492"/>
      <c r="AW173" s="534"/>
      <c r="AX173" s="492"/>
      <c r="AY173" s="492"/>
      <c r="AZ173" s="534"/>
      <c r="BA173" s="492"/>
      <c r="BB173" s="534"/>
      <c r="BC173" s="492"/>
      <c r="BD173" s="534"/>
      <c r="BE173" s="492"/>
      <c r="BF173" s="535"/>
      <c r="BG173" s="492"/>
      <c r="BH173" s="535"/>
      <c r="BI173" s="492"/>
      <c r="BJ173" s="535"/>
      <c r="BK173" s="492"/>
      <c r="BL173" s="535"/>
      <c r="BM173" s="492"/>
      <c r="BN173" s="535"/>
      <c r="BO173" s="492"/>
      <c r="BP173" s="535"/>
      <c r="BQ173" s="492"/>
      <c r="BR173" s="535"/>
      <c r="BS173" s="492"/>
      <c r="BT173" s="535"/>
      <c r="BU173" s="492"/>
      <c r="BV173" s="535"/>
      <c r="BW173" s="492"/>
      <c r="BX173" s="535"/>
      <c r="BY173" s="492"/>
      <c r="BZ173" s="535"/>
      <c r="CA173" s="492"/>
      <c r="CB173" s="535"/>
      <c r="CC173" s="492"/>
      <c r="CD173" s="535"/>
      <c r="CE173" s="492"/>
      <c r="CF173" s="535"/>
      <c r="CG173" s="492"/>
      <c r="CH173" s="535"/>
      <c r="CI173" s="492"/>
      <c r="CJ173" s="535"/>
      <c r="CK173" s="492"/>
      <c r="CL173" s="535"/>
      <c r="CM173" s="522"/>
    </row>
    <row r="174" spans="1:91" s="475" customFormat="1" ht="12" hidden="1" customHeight="1" outlineLevel="1" x14ac:dyDescent="0.2">
      <c r="A174" s="519" t="s">
        <v>418</v>
      </c>
      <c r="B174" s="492"/>
      <c r="C174" s="534"/>
      <c r="D174" s="492"/>
      <c r="E174" s="534"/>
      <c r="F174" s="492"/>
      <c r="G174" s="534"/>
      <c r="H174" s="492"/>
      <c r="I174" s="534"/>
      <c r="J174" s="492"/>
      <c r="K174" s="534"/>
      <c r="L174" s="492"/>
      <c r="M174" s="534"/>
      <c r="N174" s="492"/>
      <c r="O174" s="534"/>
      <c r="P174" s="492"/>
      <c r="Q174" s="534"/>
      <c r="R174" s="492"/>
      <c r="S174" s="534"/>
      <c r="T174" s="492"/>
      <c r="U174" s="534"/>
      <c r="V174" s="492"/>
      <c r="W174" s="534"/>
      <c r="X174" s="492"/>
      <c r="Y174" s="534"/>
      <c r="Z174" s="492"/>
      <c r="AA174" s="534"/>
      <c r="AB174" s="492"/>
      <c r="AC174" s="534"/>
      <c r="AD174" s="492"/>
      <c r="AE174" s="534"/>
      <c r="AF174" s="492"/>
      <c r="AG174" s="534"/>
      <c r="AH174" s="492"/>
      <c r="AI174" s="534"/>
      <c r="AJ174" s="492"/>
      <c r="AK174" s="534"/>
      <c r="AL174" s="492"/>
      <c r="AM174" s="534"/>
      <c r="AN174" s="492"/>
      <c r="AO174" s="534"/>
      <c r="AP174" s="492"/>
      <c r="AQ174" s="534"/>
      <c r="AR174" s="492"/>
      <c r="AS174" s="534"/>
      <c r="AT174" s="492"/>
      <c r="AU174" s="534"/>
      <c r="AV174" s="492"/>
      <c r="AW174" s="534"/>
      <c r="AX174" s="492"/>
      <c r="AY174" s="492"/>
      <c r="AZ174" s="534"/>
      <c r="BA174" s="492"/>
      <c r="BB174" s="534"/>
      <c r="BC174" s="492"/>
      <c r="BD174" s="534"/>
      <c r="BE174" s="492"/>
      <c r="BF174" s="535"/>
      <c r="BG174" s="492"/>
      <c r="BH174" s="535"/>
      <c r="BI174" s="492"/>
      <c r="BJ174" s="535"/>
      <c r="BK174" s="492"/>
      <c r="BL174" s="535"/>
      <c r="BM174" s="492"/>
      <c r="BN174" s="535"/>
      <c r="BO174" s="492"/>
      <c r="BP174" s="535"/>
      <c r="BQ174" s="492"/>
      <c r="BR174" s="535"/>
      <c r="BS174" s="492"/>
      <c r="BT174" s="535"/>
      <c r="BU174" s="492"/>
      <c r="BV174" s="535"/>
      <c r="BW174" s="492"/>
      <c r="BX174" s="535"/>
      <c r="BY174" s="492"/>
      <c r="BZ174" s="535"/>
      <c r="CA174" s="492"/>
      <c r="CB174" s="535"/>
      <c r="CC174" s="492"/>
      <c r="CD174" s="535"/>
      <c r="CE174" s="492"/>
      <c r="CF174" s="535"/>
      <c r="CG174" s="492"/>
      <c r="CH174" s="535"/>
      <c r="CI174" s="492"/>
      <c r="CJ174" s="535"/>
      <c r="CK174" s="492"/>
      <c r="CL174" s="535"/>
      <c r="CM174" s="522"/>
    </row>
    <row r="175" spans="1:91" s="475" customFormat="1" ht="12" hidden="1" customHeight="1" outlineLevel="1" x14ac:dyDescent="0.2">
      <c r="A175" s="517" t="s">
        <v>434</v>
      </c>
      <c r="B175" s="492">
        <f>+INPUT!C106</f>
        <v>433.8</v>
      </c>
      <c r="C175" s="534" t="str">
        <f>+INPUT!D106</f>
        <v>NA</v>
      </c>
      <c r="D175" s="492">
        <f>+INPUT!E106</f>
        <v>461.4</v>
      </c>
      <c r="E175" s="534" t="str">
        <f>+INPUT!F106</f>
        <v>NA</v>
      </c>
      <c r="F175" s="492">
        <f>+INPUT!G106</f>
        <v>437.8</v>
      </c>
      <c r="G175" s="534" t="str">
        <f>+INPUT!H106</f>
        <v>NA</v>
      </c>
      <c r="H175" s="492">
        <f>+INPUT!I106</f>
        <v>737.3</v>
      </c>
      <c r="I175" s="534" t="str">
        <f>+INPUT!J106</f>
        <v>NA</v>
      </c>
      <c r="J175" s="492">
        <f>+INPUT!K106</f>
        <v>522.29999999999995</v>
      </c>
      <c r="K175" s="534">
        <f>+INPUT!L106</f>
        <v>20.401106500691554</v>
      </c>
      <c r="L175" s="492">
        <f>+INPUT!M106</f>
        <v>520</v>
      </c>
      <c r="M175" s="534">
        <f>+INPUT!N106</f>
        <v>12.700476809709585</v>
      </c>
      <c r="N175" s="492">
        <f>+INPUT!O106</f>
        <v>585.9</v>
      </c>
      <c r="O175" s="534">
        <f>+INPUT!P106</f>
        <v>33.828232069438087</v>
      </c>
      <c r="P175" s="492">
        <f>+INPUT!Q106</f>
        <v>922.4</v>
      </c>
      <c r="Q175" s="534">
        <f>+INPUT!R106</f>
        <v>25.105113251051137</v>
      </c>
      <c r="R175" s="492">
        <f>+INPUT!S106</f>
        <v>580.1</v>
      </c>
      <c r="S175" s="534">
        <f>+INPUT!T106</f>
        <v>11.066436913651174</v>
      </c>
      <c r="T175" s="492">
        <f>+INPUT!U106</f>
        <v>1325.6</v>
      </c>
      <c r="U175" s="534" t="str">
        <f>+INPUT!V106</f>
        <v>NM</v>
      </c>
      <c r="V175" s="492">
        <f>+INPUT!W106</f>
        <v>1219.2</v>
      </c>
      <c r="W175" s="534" t="str">
        <f>+INPUT!X106</f>
        <v>NM</v>
      </c>
      <c r="X175" s="492">
        <f>+INPUT!Y106</f>
        <v>830.4</v>
      </c>
      <c r="Y175" s="534">
        <f>+INPUT!Z106</f>
        <v>-9.9739809193408462</v>
      </c>
      <c r="Z175" s="492">
        <f>+INPUT!AA106</f>
        <v>936</v>
      </c>
      <c r="AA175" s="534">
        <f>+INPUT!AB106</f>
        <v>61.351491122220295</v>
      </c>
      <c r="AB175" s="492">
        <f>+INPUT!AC106</f>
        <v>924.1</v>
      </c>
      <c r="AC175" s="534">
        <f>+INPUT!AD106</f>
        <v>-30.288171394085694</v>
      </c>
      <c r="AD175" s="492">
        <f>+INPUT!AE106</f>
        <v>669.9</v>
      </c>
      <c r="AE175" s="534">
        <f>+INPUT!AF106</f>
        <v>-45.054133858267718</v>
      </c>
      <c r="AF175" s="492">
        <f>+INPUT!AG106</f>
        <v>1386</v>
      </c>
      <c r="AG175" s="534">
        <f>+INPUT!AH106</f>
        <v>66.907514450867069</v>
      </c>
      <c r="AH175" s="492">
        <f>+INPUT!AI106</f>
        <v>888.3</v>
      </c>
      <c r="AI175" s="534">
        <f>+INPUT!AJ106</f>
        <v>-5.0961538461538538</v>
      </c>
      <c r="AJ175" s="492">
        <f>+INPUT!AK106</f>
        <v>1087.2</v>
      </c>
      <c r="AK175" s="534">
        <f>+INPUT!AL106</f>
        <v>17.649605021101621</v>
      </c>
      <c r="AL175" s="492">
        <f>+INPUT!AM106</f>
        <v>1784.5</v>
      </c>
      <c r="AM175" s="534" t="str">
        <f>+INPUT!AN106</f>
        <v>NM</v>
      </c>
      <c r="AN175" s="492">
        <f>+INPUT!AO106</f>
        <v>1040.4000000000001</v>
      </c>
      <c r="AO175" s="534">
        <f>+INPUT!AP106</f>
        <v>-24.935064935064929</v>
      </c>
      <c r="AP175" s="492">
        <f>+INPUT!AQ106</f>
        <v>1036.1079355828222</v>
      </c>
      <c r="AQ175" s="534">
        <f>+INPUT!AR106</f>
        <v>16.639416366410245</v>
      </c>
      <c r="AR175" s="492">
        <f>+INPUT!AS106</f>
        <v>1054.0083471932514</v>
      </c>
      <c r="AS175" s="534">
        <f>+INPUT!AT106</f>
        <v>-3.0529481978245627</v>
      </c>
      <c r="AT175" s="492">
        <f>+INPUT!AU106</f>
        <v>1066.4970130714721</v>
      </c>
      <c r="AU175" s="534">
        <f>+INPUT!AV106</f>
        <v>-40.235527426647678</v>
      </c>
      <c r="AV175" s="492">
        <f>+INPUT!AW106</f>
        <v>1078.7359056321286</v>
      </c>
      <c r="AW175" s="534">
        <f>+INPUT!AX106</f>
        <v>3.6847275694087358</v>
      </c>
      <c r="AX175" s="492"/>
      <c r="AY175" s="492"/>
      <c r="AZ175" s="534"/>
      <c r="BA175" s="492"/>
      <c r="BB175" s="534"/>
      <c r="BC175" s="492"/>
      <c r="BD175" s="534"/>
      <c r="BE175" s="492"/>
      <c r="BF175" s="535"/>
      <c r="BG175" s="492"/>
      <c r="BH175" s="535"/>
      <c r="BI175" s="492"/>
      <c r="BJ175" s="535"/>
      <c r="BK175" s="492"/>
      <c r="BL175" s="535"/>
      <c r="BM175" s="492"/>
      <c r="BN175" s="535"/>
      <c r="BO175" s="492"/>
      <c r="BP175" s="535"/>
      <c r="BQ175" s="492"/>
      <c r="BR175" s="535"/>
      <c r="BS175" s="492">
        <f>+INPUT!BB106</f>
        <v>2070.3000000000002</v>
      </c>
      <c r="BT175" s="535" t="str">
        <f>+INPUT!BC106</f>
        <v>NA</v>
      </c>
      <c r="BU175" s="492">
        <f>+INPUT!BD106</f>
        <v>2550.6</v>
      </c>
      <c r="BV175" s="535">
        <f>+INPUT!BE106</f>
        <v>23.199536299087072</v>
      </c>
      <c r="BW175" s="492">
        <f>+INPUT!BF106</f>
        <v>3955.2999999999997</v>
      </c>
      <c r="BX175" s="535">
        <f>+INPUT!BG106</f>
        <v>55.073316082490408</v>
      </c>
      <c r="BY175" s="492">
        <f>+INPUT!BH106</f>
        <v>3916</v>
      </c>
      <c r="BZ175" s="535">
        <f>+INPUT!BI106</f>
        <v>-0.99360351932848801</v>
      </c>
      <c r="CA175" s="492">
        <f>+INPUT!BJ106</f>
        <v>4800.3999999999996</v>
      </c>
      <c r="CB175" s="535">
        <f>+INPUT!BK106</f>
        <v>22.584269662921329</v>
      </c>
      <c r="CC175" s="492">
        <f>+INPUT!BL106</f>
        <v>4235.3492014796739</v>
      </c>
      <c r="CD175" s="535">
        <f>+INPUT!BM106</f>
        <v>-11.770910726612911</v>
      </c>
      <c r="CE175" s="492">
        <f>+INPUT!BN106</f>
        <v>4436.419993184245</v>
      </c>
      <c r="CF175" s="535">
        <f>+INPUT!BO106</f>
        <v>4.7474430593426433</v>
      </c>
      <c r="CG175" s="492">
        <f>+INPUT!BP106</f>
        <v>4628.5007054376756</v>
      </c>
      <c r="CH175" s="535">
        <f>+INPUT!BQ106</f>
        <v>4.3296331850575029</v>
      </c>
      <c r="CI175" s="492">
        <f>+INPUT!BR106</f>
        <v>4820.8637913265666</v>
      </c>
      <c r="CJ175" s="535">
        <f>+INPUT!BS106</f>
        <v>4.1560560996112201</v>
      </c>
      <c r="CK175" s="492">
        <f>+INPUT!BT106</f>
        <v>5013.9557996626336</v>
      </c>
      <c r="CL175" s="535">
        <f>+INPUT!BU106</f>
        <v>4.0053404678943139</v>
      </c>
      <c r="CM175" s="522">
        <f>+INPUT!BV106</f>
        <v>0.8743187637194838</v>
      </c>
    </row>
    <row r="176" spans="1:91" s="475" customFormat="1" ht="12" hidden="1" customHeight="1" outlineLevel="1" x14ac:dyDescent="0.2">
      <c r="A176" s="517" t="s">
        <v>421</v>
      </c>
      <c r="B176" s="492">
        <f>+INPUT!C107</f>
        <v>6.4</v>
      </c>
      <c r="C176" s="522" t="str">
        <f>+INPUT!D107</f>
        <v>NA</v>
      </c>
      <c r="D176" s="492">
        <f>+INPUT!E107</f>
        <v>8.3000000000000007</v>
      </c>
      <c r="E176" s="522" t="str">
        <f>+INPUT!F107</f>
        <v>NA</v>
      </c>
      <c r="F176" s="492">
        <f>+INPUT!G107</f>
        <v>12.4</v>
      </c>
      <c r="G176" s="522" t="str">
        <f>+INPUT!H107</f>
        <v>NA</v>
      </c>
      <c r="H176" s="492">
        <f>+INPUT!I107</f>
        <v>18.3</v>
      </c>
      <c r="I176" s="522" t="str">
        <f>+INPUT!J107</f>
        <v>NA</v>
      </c>
      <c r="J176" s="492">
        <f>+INPUT!K107</f>
        <v>11.9</v>
      </c>
      <c r="K176" s="522">
        <f>+INPUT!L107</f>
        <v>85.9375</v>
      </c>
      <c r="L176" s="492">
        <f>+INPUT!M107</f>
        <v>8.9</v>
      </c>
      <c r="M176" s="522">
        <f>+INPUT!N107</f>
        <v>7.228915662650607</v>
      </c>
      <c r="N176" s="492">
        <f>+INPUT!O107</f>
        <v>10.1</v>
      </c>
      <c r="O176" s="522">
        <f>+INPUT!P107</f>
        <v>-18.548387096774206</v>
      </c>
      <c r="P176" s="492">
        <f>+INPUT!Q107</f>
        <v>12.5</v>
      </c>
      <c r="Q176" s="522">
        <f>+INPUT!R107</f>
        <v>-31.69398907103826</v>
      </c>
      <c r="R176" s="492">
        <f>+INPUT!S107</f>
        <v>13.4</v>
      </c>
      <c r="S176" s="522">
        <f>+INPUT!T107</f>
        <v>12.605042016806721</v>
      </c>
      <c r="T176" s="492">
        <f>+INPUT!U107</f>
        <v>19.399999999999999</v>
      </c>
      <c r="U176" s="522" t="str">
        <f>+INPUT!V107</f>
        <v>NM</v>
      </c>
      <c r="V176" s="492">
        <f>+INPUT!W107</f>
        <v>22.1</v>
      </c>
      <c r="W176" s="522" t="str">
        <f>+INPUT!X107</f>
        <v>NM</v>
      </c>
      <c r="X176" s="492">
        <f>+INPUT!Y107</f>
        <v>20.399999999999999</v>
      </c>
      <c r="Y176" s="522">
        <f>+INPUT!Z107</f>
        <v>63.199999999999989</v>
      </c>
      <c r="Z176" s="492">
        <f>+INPUT!AA107</f>
        <v>26.7</v>
      </c>
      <c r="AA176" s="522">
        <f>+INPUT!AB107</f>
        <v>99.253731343283562</v>
      </c>
      <c r="AB176" s="492">
        <f>+INPUT!AC107</f>
        <v>21.1</v>
      </c>
      <c r="AC176" s="522">
        <f>+INPUT!AD107</f>
        <v>8.7628865979381629</v>
      </c>
      <c r="AD176" s="492">
        <f>+INPUT!AE107</f>
        <v>11.6</v>
      </c>
      <c r="AE176" s="522">
        <f>+INPUT!AF107</f>
        <v>-47.511312217194579</v>
      </c>
      <c r="AF176" s="492">
        <f>+INPUT!AG107</f>
        <v>17.7</v>
      </c>
      <c r="AG176" s="522">
        <f>+INPUT!AH107</f>
        <v>-13.235294117647058</v>
      </c>
      <c r="AH176" s="492">
        <f>+INPUT!AI107</f>
        <v>17.899999999999999</v>
      </c>
      <c r="AI176" s="522">
        <f>+INPUT!AJ107</f>
        <v>-32.958801498127343</v>
      </c>
      <c r="AJ176" s="492">
        <f>+INPUT!AK107</f>
        <v>21.6</v>
      </c>
      <c r="AK176" s="522">
        <f>+INPUT!AL107</f>
        <v>2.3696682464454852</v>
      </c>
      <c r="AL176" s="492">
        <f>+INPUT!AM107</f>
        <v>14.1</v>
      </c>
      <c r="AM176" s="522">
        <f>+INPUT!AN107</f>
        <v>21.551724137931032</v>
      </c>
      <c r="AN176" s="492">
        <f>+INPUT!AO107</f>
        <v>14.2</v>
      </c>
      <c r="AO176" s="522">
        <f>+INPUT!AP107</f>
        <v>-19.774011299435017</v>
      </c>
      <c r="AP176" s="492">
        <f>+INPUT!AQ107</f>
        <v>14.375975460122698</v>
      </c>
      <c r="AQ176" s="522">
        <f>+INPUT!AR107</f>
        <v>-19.687287932275424</v>
      </c>
      <c r="AR176" s="492">
        <f>+INPUT!AS107</f>
        <v>14.55191607361963</v>
      </c>
      <c r="AS176" s="522">
        <f>+INPUT!AT107</f>
        <v>-32.630018177686907</v>
      </c>
      <c r="AT176" s="492">
        <f>+INPUT!AU107</f>
        <v>14.724337874846622</v>
      </c>
      <c r="AU176" s="522">
        <f>+INPUT!AV107</f>
        <v>4.4279281904015875</v>
      </c>
      <c r="AV176" s="492">
        <f>+INPUT!AW107</f>
        <v>14.893311240049076</v>
      </c>
      <c r="AW176" s="522">
        <f>+INPUT!AX107</f>
        <v>4.8824735214723773</v>
      </c>
      <c r="AX176" s="524"/>
      <c r="AY176" s="524"/>
      <c r="AZ176" s="522"/>
      <c r="BA176" s="524"/>
      <c r="BB176" s="522"/>
      <c r="BC176" s="524"/>
      <c r="BD176" s="522"/>
      <c r="BE176" s="524"/>
      <c r="BF176" s="474"/>
      <c r="BG176" s="524"/>
      <c r="BH176" s="474"/>
      <c r="BI176" s="524"/>
      <c r="BJ176" s="474"/>
      <c r="BK176" s="524"/>
      <c r="BL176" s="474"/>
      <c r="BM176" s="524"/>
      <c r="BN176" s="474"/>
      <c r="BO176" s="524"/>
      <c r="BP176" s="474"/>
      <c r="BQ176" s="524"/>
      <c r="BR176" s="474"/>
      <c r="BS176" s="524">
        <f>+INPUT!BB107</f>
        <v>45.400000000000006</v>
      </c>
      <c r="BT176" s="474" t="str">
        <f>+INPUT!BC107</f>
        <v>NA</v>
      </c>
      <c r="BU176" s="524">
        <f>+INPUT!BD107</f>
        <v>43.4</v>
      </c>
      <c r="BV176" s="474">
        <f>+INPUT!BE107</f>
        <v>-4.4052863436123459</v>
      </c>
      <c r="BW176" s="524">
        <f>+INPUT!BF107</f>
        <v>75.3</v>
      </c>
      <c r="BX176" s="474">
        <f>+INPUT!BG107</f>
        <v>73.502304147465424</v>
      </c>
      <c r="BY176" s="524">
        <f>+INPUT!BH107</f>
        <v>77.099999999999994</v>
      </c>
      <c r="BZ176" s="474">
        <f>+INPUT!BI107</f>
        <v>2.3904382470119572</v>
      </c>
      <c r="CA176" s="524">
        <f>+INPUT!BJ107</f>
        <v>67.8</v>
      </c>
      <c r="CB176" s="474">
        <f>+INPUT!BK107</f>
        <v>-12.062256809338521</v>
      </c>
      <c r="CC176" s="524">
        <f>+INPUT!BL107</f>
        <v>58.545540648638024</v>
      </c>
      <c r="CD176" s="474">
        <f>+INPUT!BM107</f>
        <v>-13.649645061005856</v>
      </c>
      <c r="CE176" s="524">
        <f>+INPUT!BN107</f>
        <v>61.264200648674311</v>
      </c>
      <c r="CF176" s="474">
        <f>+INPUT!BO107</f>
        <v>4.6436670836338578</v>
      </c>
      <c r="CG176" s="524">
        <f>+INPUT!BP107</f>
        <v>63.980102537420414</v>
      </c>
      <c r="CH176" s="474">
        <f>+INPUT!BQ107</f>
        <v>4.4330977307950263</v>
      </c>
      <c r="CI176" s="524">
        <f>+INPUT!BR107</f>
        <v>66.705303683638505</v>
      </c>
      <c r="CJ176" s="474">
        <f>+INPUT!BS107</f>
        <v>4.2594510451498451</v>
      </c>
      <c r="CK176" s="524">
        <f>+INPUT!BT107</f>
        <v>69.446016752843263</v>
      </c>
      <c r="CL176" s="474">
        <f>+INPUT!BU107</f>
        <v>4.1086883918601984</v>
      </c>
      <c r="CM176" s="522">
        <f>+INPUT!BV107</f>
        <v>0.48090301338610253</v>
      </c>
    </row>
    <row r="177" spans="1:91" s="475" customFormat="1" ht="12" hidden="1" customHeight="1" outlineLevel="1" x14ac:dyDescent="0.2">
      <c r="A177" s="517" t="s">
        <v>391</v>
      </c>
      <c r="B177" s="492">
        <f>+INPUT!C108</f>
        <v>18.8</v>
      </c>
      <c r="C177" s="522" t="str">
        <f>+INPUT!D108</f>
        <v>NA</v>
      </c>
      <c r="D177" s="492">
        <f>+INPUT!E108</f>
        <v>9</v>
      </c>
      <c r="E177" s="522" t="str">
        <f>+INPUT!F108</f>
        <v>NA</v>
      </c>
      <c r="F177" s="492">
        <f>+INPUT!G108</f>
        <v>1.2000000000000002</v>
      </c>
      <c r="G177" s="522" t="str">
        <f>+INPUT!H108</f>
        <v>NA</v>
      </c>
      <c r="H177" s="492">
        <f>+INPUT!I108</f>
        <v>9.8000000000000007</v>
      </c>
      <c r="I177" s="522" t="str">
        <f>+INPUT!J108</f>
        <v>NA</v>
      </c>
      <c r="J177" s="492">
        <f>+INPUT!K108</f>
        <v>18.899999999999999</v>
      </c>
      <c r="K177" s="522">
        <f>+INPUT!L108</f>
        <v>0.53191489361701372</v>
      </c>
      <c r="L177" s="492">
        <f>+INPUT!M108</f>
        <v>14.000000000000002</v>
      </c>
      <c r="M177" s="522">
        <f>+INPUT!N108</f>
        <v>55.555555555555571</v>
      </c>
      <c r="N177" s="492">
        <f>+INPUT!O108</f>
        <v>8.6</v>
      </c>
      <c r="O177" s="522" t="str">
        <f>+INPUT!P108</f>
        <v>NM</v>
      </c>
      <c r="P177" s="492">
        <f>+INPUT!Q108</f>
        <v>12.799999999999999</v>
      </c>
      <c r="Q177" s="522">
        <f>+INPUT!R108</f>
        <v>30.612244897959187</v>
      </c>
      <c r="R177" s="492">
        <f>+INPUT!S108</f>
        <v>6.1</v>
      </c>
      <c r="S177" s="522" t="str">
        <f>+INPUT!T108</f>
        <v>NM</v>
      </c>
      <c r="T177" s="492">
        <f>+INPUT!U108</f>
        <v>5.2999999999999989</v>
      </c>
      <c r="U177" s="522" t="str">
        <f>+INPUT!V108</f>
        <v>NM</v>
      </c>
      <c r="V177" s="492">
        <f>+INPUT!W108</f>
        <v>-2.5</v>
      </c>
      <c r="W177" s="522" t="str">
        <f>+INPUT!X108</f>
        <v>NM</v>
      </c>
      <c r="X177" s="492">
        <f>+INPUT!Y108</f>
        <v>-3.5999999999999996</v>
      </c>
      <c r="Y177" s="522" t="str">
        <f>+INPUT!Z108</f>
        <v>NM</v>
      </c>
      <c r="Z177" s="492">
        <f>+INPUT!AA108</f>
        <v>-7.1</v>
      </c>
      <c r="AA177" s="522" t="str">
        <f>+INPUT!AB108</f>
        <v>NM</v>
      </c>
      <c r="AB177" s="492">
        <f>+INPUT!AC108</f>
        <v>0.40000000000000036</v>
      </c>
      <c r="AC177" s="522" t="str">
        <f>+INPUT!AD108</f>
        <v>NM</v>
      </c>
      <c r="AD177" s="492">
        <f>+INPUT!AE108</f>
        <v>7.1999999999999993</v>
      </c>
      <c r="AE177" s="522" t="str">
        <f>+INPUT!AF108</f>
        <v>NM</v>
      </c>
      <c r="AF177" s="492">
        <f>+INPUT!AG108</f>
        <v>-1.2000000000000011</v>
      </c>
      <c r="AG177" s="522" t="str">
        <f>+INPUT!AH108</f>
        <v>NM</v>
      </c>
      <c r="AH177" s="492">
        <f>+INPUT!AI108</f>
        <v>-1</v>
      </c>
      <c r="AI177" s="522" t="str">
        <f>+INPUT!AJ108</f>
        <v>NM</v>
      </c>
      <c r="AJ177" s="492">
        <f>+INPUT!AK108</f>
        <v>-0.90000000000000036</v>
      </c>
      <c r="AK177" s="522" t="str">
        <f>+INPUT!AL108</f>
        <v>NM</v>
      </c>
      <c r="AL177" s="492">
        <f>+INPUT!AM108</f>
        <v>-12.5</v>
      </c>
      <c r="AM177" s="522" t="str">
        <f>+INPUT!AN108</f>
        <v>NM</v>
      </c>
      <c r="AN177" s="492">
        <f>+INPUT!AO108</f>
        <v>2.7</v>
      </c>
      <c r="AO177" s="522" t="str">
        <f>+INPUT!AP108</f>
        <v>NM</v>
      </c>
      <c r="AP177" s="492">
        <f>+INPUT!AQ108</f>
        <v>2.7334601226993862</v>
      </c>
      <c r="AQ177" s="522" t="str">
        <f>+INPUT!AR108</f>
        <v>NM</v>
      </c>
      <c r="AR177" s="492">
        <f>+INPUT!AS108</f>
        <v>2.7669136196319015</v>
      </c>
      <c r="AS177" s="522" t="str">
        <f>+INPUT!AT108</f>
        <v>NM</v>
      </c>
      <c r="AT177" s="492">
        <f>+INPUT!AU108</f>
        <v>2.7996980466257662</v>
      </c>
      <c r="AU177" s="522" t="str">
        <f>+INPUT!AV108</f>
        <v>NM</v>
      </c>
      <c r="AV177" s="492">
        <f>+INPUT!AW108</f>
        <v>2.831826785079754</v>
      </c>
      <c r="AW177" s="522">
        <f>+INPUT!AX108</f>
        <v>4.8824735214723773</v>
      </c>
      <c r="AX177" s="524"/>
      <c r="AY177" s="524"/>
      <c r="AZ177" s="522"/>
      <c r="BA177" s="524"/>
      <c r="BB177" s="522"/>
      <c r="BC177" s="524"/>
      <c r="BD177" s="522"/>
      <c r="BE177" s="524"/>
      <c r="BF177" s="474"/>
      <c r="BG177" s="524"/>
      <c r="BH177" s="474"/>
      <c r="BI177" s="524"/>
      <c r="BJ177" s="474"/>
      <c r="BK177" s="524"/>
      <c r="BL177" s="474"/>
      <c r="BM177" s="524"/>
      <c r="BN177" s="474"/>
      <c r="BO177" s="524"/>
      <c r="BP177" s="474"/>
      <c r="BQ177" s="524"/>
      <c r="BR177" s="474"/>
      <c r="BS177" s="524">
        <f>+INPUT!BB108</f>
        <v>38.799999999999997</v>
      </c>
      <c r="BT177" s="474" t="str">
        <f>+INPUT!BC108</f>
        <v>NA</v>
      </c>
      <c r="BU177" s="524">
        <f>+INPUT!BD108</f>
        <v>54.3</v>
      </c>
      <c r="BV177" s="474">
        <f>+INPUT!BE108</f>
        <v>39.948453608247434</v>
      </c>
      <c r="BW177" s="524">
        <f>+INPUT!BF108</f>
        <v>5.2999999999999989</v>
      </c>
      <c r="BX177" s="474" t="str">
        <f>+INPUT!BG108</f>
        <v>NM</v>
      </c>
      <c r="BY177" s="524">
        <f>+INPUT!BH108</f>
        <v>-0.70000000000000107</v>
      </c>
      <c r="BZ177" s="474" t="str">
        <f>+INPUT!BI108</f>
        <v>NM</v>
      </c>
      <c r="CA177" s="524">
        <f>+INPUT!BJ108</f>
        <v>-11.7</v>
      </c>
      <c r="CB177" s="474" t="str">
        <f>+INPUT!BK108</f>
        <v>NM</v>
      </c>
      <c r="CC177" s="524">
        <f>+INPUT!BL108</f>
        <v>11.131898574036807</v>
      </c>
      <c r="CD177" s="474" t="str">
        <f>+INPUT!BM108</f>
        <v>NM</v>
      </c>
      <c r="CE177" s="524">
        <f>+INPUT!BN108</f>
        <v>11.648826883902862</v>
      </c>
      <c r="CF177" s="474">
        <f>+INPUT!BO108</f>
        <v>4.6436670836338578</v>
      </c>
      <c r="CG177" s="524">
        <f>+INPUT!BP108</f>
        <v>12.165230764157402</v>
      </c>
      <c r="CH177" s="474">
        <f>+INPUT!BQ108</f>
        <v>4.4330977307950263</v>
      </c>
      <c r="CI177" s="524">
        <f>+INPUT!BR108</f>
        <v>12.683402813086193</v>
      </c>
      <c r="CJ177" s="474">
        <f>+INPUT!BS108</f>
        <v>4.2594510451498451</v>
      </c>
      <c r="CK177" s="524">
        <f>+INPUT!BT108</f>
        <v>13.20452431216034</v>
      </c>
      <c r="CL177" s="474">
        <f>+INPUT!BU108</f>
        <v>4.1086883918602268</v>
      </c>
      <c r="CM177" s="522" t="str">
        <f>+INPUT!BV108</f>
        <v>NM</v>
      </c>
    </row>
    <row r="178" spans="1:91" s="475" customFormat="1" ht="12" hidden="1" customHeight="1" outlineLevel="1" x14ac:dyDescent="0.2">
      <c r="A178" s="517" t="s">
        <v>481</v>
      </c>
      <c r="B178" s="492">
        <f>+INPUT!C109</f>
        <v>26.5</v>
      </c>
      <c r="C178" s="522" t="str">
        <f>+INPUT!D109</f>
        <v>NA</v>
      </c>
      <c r="D178" s="492">
        <f>+INPUT!E109</f>
        <v>27.8</v>
      </c>
      <c r="E178" s="522" t="str">
        <f>+INPUT!F109</f>
        <v>NA</v>
      </c>
      <c r="F178" s="492">
        <f>+INPUT!G109</f>
        <v>28.099999999999998</v>
      </c>
      <c r="G178" s="522" t="str">
        <f>+INPUT!H109</f>
        <v>NA</v>
      </c>
      <c r="H178" s="492">
        <f>+INPUT!I109</f>
        <v>28.299999999999997</v>
      </c>
      <c r="I178" s="522" t="str">
        <f>+INPUT!J109</f>
        <v>NA</v>
      </c>
      <c r="J178" s="492">
        <f>+INPUT!K109</f>
        <v>24.5</v>
      </c>
      <c r="K178" s="522">
        <f>+INPUT!L109</f>
        <v>-7.5471698113207566</v>
      </c>
      <c r="L178" s="492">
        <f>+INPUT!M109</f>
        <v>24.1</v>
      </c>
      <c r="M178" s="522">
        <f>+INPUT!N109</f>
        <v>-13.309352517985602</v>
      </c>
      <c r="N178" s="492">
        <f>+INPUT!O109</f>
        <v>24.700000000000003</v>
      </c>
      <c r="O178" s="522">
        <f>+INPUT!P109</f>
        <v>-12.099644128113866</v>
      </c>
      <c r="P178" s="492">
        <f>+INPUT!Q109</f>
        <v>26.5</v>
      </c>
      <c r="Q178" s="522">
        <f>+INPUT!R109</f>
        <v>-6.3604240282685396</v>
      </c>
      <c r="R178" s="492">
        <f>+INPUT!S109</f>
        <v>26.1</v>
      </c>
      <c r="S178" s="522">
        <f>+INPUT!T109</f>
        <v>6.5306122448979664</v>
      </c>
      <c r="T178" s="492">
        <f>+INPUT!U109</f>
        <v>27.1</v>
      </c>
      <c r="U178" s="522">
        <f>+INPUT!V109</f>
        <v>12.448132780082986</v>
      </c>
      <c r="V178" s="492">
        <f>+INPUT!W109</f>
        <v>27.700000000000003</v>
      </c>
      <c r="W178" s="522">
        <f>+INPUT!X109</f>
        <v>12.145748987854262</v>
      </c>
      <c r="X178" s="492">
        <f>+INPUT!Y109</f>
        <v>29.5</v>
      </c>
      <c r="Y178" s="522">
        <f>+INPUT!Z109</f>
        <v>11.320754716981128</v>
      </c>
      <c r="Z178" s="492">
        <f>+INPUT!AA109</f>
        <v>27.7</v>
      </c>
      <c r="AA178" s="522">
        <f>+INPUT!AB109</f>
        <v>6.1302681992336971</v>
      </c>
      <c r="AB178" s="492">
        <f>+INPUT!AC109</f>
        <v>30</v>
      </c>
      <c r="AC178" s="522">
        <f>+INPUT!AD109</f>
        <v>10.701107011070093</v>
      </c>
      <c r="AD178" s="492">
        <f>+INPUT!AE109</f>
        <v>27.2</v>
      </c>
      <c r="AE178" s="522">
        <f>+INPUT!AF109</f>
        <v>-1.8050541516245602</v>
      </c>
      <c r="AF178" s="492">
        <f>+INPUT!AG109</f>
        <v>29.099999999999998</v>
      </c>
      <c r="AG178" s="522">
        <f>+INPUT!AH109</f>
        <v>-1.3559322033898411</v>
      </c>
      <c r="AH178" s="492">
        <f>+INPUT!AI109</f>
        <v>27.5</v>
      </c>
      <c r="AI178" s="522">
        <f>+INPUT!AJ109</f>
        <v>-0.72202166064981554</v>
      </c>
      <c r="AJ178" s="492">
        <f>+INPUT!AK109</f>
        <v>28.1</v>
      </c>
      <c r="AK178" s="522">
        <f>+INPUT!AL109</f>
        <v>-6.3333333333333286</v>
      </c>
      <c r="AL178" s="492">
        <f>+INPUT!AM109</f>
        <v>27.3</v>
      </c>
      <c r="AM178" s="522">
        <f>+INPUT!AN109</f>
        <v>0.36764705882352189</v>
      </c>
      <c r="AN178" s="492">
        <f>+INPUT!AO109</f>
        <v>32.199999999999996</v>
      </c>
      <c r="AO178" s="522">
        <f>+INPUT!AP109</f>
        <v>10.652920962199303</v>
      </c>
      <c r="AP178" s="492">
        <f>+INPUT!AQ109</f>
        <v>31.567667944785264</v>
      </c>
      <c r="AQ178" s="522">
        <f>+INPUT!AR109</f>
        <v>14.791519799219131</v>
      </c>
      <c r="AR178" s="492">
        <f>+INPUT!AS109</f>
        <v>31.954009371165625</v>
      </c>
      <c r="AS178" s="522">
        <f>+INPUT!AT109</f>
        <v>13.715335840447068</v>
      </c>
      <c r="AT178" s="492">
        <f>+INPUT!AU109</f>
        <v>32.332623969018385</v>
      </c>
      <c r="AU178" s="522">
        <f>+INPUT!AV109</f>
        <v>18.434520033034389</v>
      </c>
      <c r="AV178" s="492">
        <f>+INPUT!AW109</f>
        <v>32.703666274914092</v>
      </c>
      <c r="AW178" s="522">
        <f>+INPUT!AX109</f>
        <v>1.5641809779940843</v>
      </c>
      <c r="AX178" s="524"/>
      <c r="AY178" s="524"/>
      <c r="AZ178" s="522"/>
      <c r="BA178" s="524"/>
      <c r="BB178" s="522"/>
      <c r="BC178" s="524"/>
      <c r="BD178" s="522"/>
      <c r="BE178" s="524"/>
      <c r="BF178" s="474"/>
      <c r="BG178" s="524"/>
      <c r="BH178" s="474"/>
      <c r="BI178" s="524"/>
      <c r="BJ178" s="474"/>
      <c r="BK178" s="524"/>
      <c r="BL178" s="474"/>
      <c r="BM178" s="524"/>
      <c r="BN178" s="474"/>
      <c r="BO178" s="524"/>
      <c r="BP178" s="474"/>
      <c r="BQ178" s="524"/>
      <c r="BR178" s="474"/>
      <c r="BS178" s="524">
        <f>+INPUT!BB109</f>
        <v>110.69999999999999</v>
      </c>
      <c r="BT178" s="474" t="str">
        <f>+INPUT!BC109</f>
        <v>NA</v>
      </c>
      <c r="BU178" s="524">
        <f>+INPUT!BD109</f>
        <v>99.800000000000011</v>
      </c>
      <c r="BV178" s="474">
        <f>+INPUT!BE109</f>
        <v>-9.8464317976512916</v>
      </c>
      <c r="BW178" s="524">
        <f>+INPUT!BF109</f>
        <v>110.4</v>
      </c>
      <c r="BX178" s="474">
        <f>+INPUT!BG109</f>
        <v>10.62124248496994</v>
      </c>
      <c r="BY178" s="524">
        <f>+INPUT!BH109</f>
        <v>114</v>
      </c>
      <c r="BZ178" s="474">
        <f>+INPUT!BI109</f>
        <v>3.2608695652173765</v>
      </c>
      <c r="CA178" s="524">
        <f>+INPUT!BJ109</f>
        <v>115.1</v>
      </c>
      <c r="CB178" s="474">
        <f>+INPUT!BK109</f>
        <v>0.96491228070175339</v>
      </c>
      <c r="CC178" s="524">
        <f>+INPUT!BL109</f>
        <v>128.55796755988337</v>
      </c>
      <c r="CD178" s="474">
        <f>+INPUT!BM109</f>
        <v>11.692413171054184</v>
      </c>
      <c r="CE178" s="524">
        <f>+INPUT!BN109</f>
        <v>134.52777158285039</v>
      </c>
      <c r="CF178" s="474">
        <f>+INPUT!BO109</f>
        <v>4.6436670836338863</v>
      </c>
      <c r="CG178" s="524">
        <f>+INPUT!BP109</f>
        <v>135.90139737922129</v>
      </c>
      <c r="CH178" s="474">
        <f>+INPUT!BQ109</f>
        <v>1.021072288798706</v>
      </c>
      <c r="CI178" s="524">
        <f>+INPUT!BR109</f>
        <v>136.90441508662244</v>
      </c>
      <c r="CJ178" s="474">
        <f>+INPUT!BS109</f>
        <v>0.73804811925685954</v>
      </c>
      <c r="CK178" s="524">
        <f>+INPUT!BT109</f>
        <v>137.54712825167016</v>
      </c>
      <c r="CL178" s="474">
        <f>+INPUT!BU109</f>
        <v>0.46946124026830205</v>
      </c>
      <c r="CM178" s="522">
        <f>+INPUT!BV109</f>
        <v>3.6275524444572049</v>
      </c>
    </row>
    <row r="179" spans="1:91" s="501" customFormat="1" ht="12" hidden="1" customHeight="1" outlineLevel="1" x14ac:dyDescent="0.2">
      <c r="A179" s="489" t="s">
        <v>484</v>
      </c>
      <c r="B179" s="762">
        <f>+INPUT!C110</f>
        <v>485.5</v>
      </c>
      <c r="C179" s="755" t="str">
        <f>+INPUT!D110</f>
        <v>NA</v>
      </c>
      <c r="D179" s="762">
        <f>+INPUT!E110</f>
        <v>506.5</v>
      </c>
      <c r="E179" s="755" t="str">
        <f>+INPUT!F110</f>
        <v>NA</v>
      </c>
      <c r="F179" s="762">
        <f>+INPUT!G110</f>
        <v>479.5</v>
      </c>
      <c r="G179" s="755" t="str">
        <f>+INPUT!H110</f>
        <v>NA</v>
      </c>
      <c r="H179" s="762">
        <f>+INPUT!I110</f>
        <v>793.69999999999993</v>
      </c>
      <c r="I179" s="755" t="str">
        <f>+INPUT!J110</f>
        <v>NA</v>
      </c>
      <c r="J179" s="762">
        <f>+INPUT!K110</f>
        <v>577.59999999999991</v>
      </c>
      <c r="K179" s="755">
        <f>+INPUT!L110</f>
        <v>18.970133882595249</v>
      </c>
      <c r="L179" s="762">
        <f>+INPUT!M110</f>
        <v>567</v>
      </c>
      <c r="M179" s="755">
        <f>+INPUT!N110</f>
        <v>11.944718657453109</v>
      </c>
      <c r="N179" s="762">
        <f>+INPUT!O110</f>
        <v>629.29999999999995</v>
      </c>
      <c r="O179" s="755">
        <f>+INPUT!P110</f>
        <v>31.24087591240874</v>
      </c>
      <c r="P179" s="762">
        <f>+INPUT!Q110</f>
        <v>974.19999999999993</v>
      </c>
      <c r="Q179" s="755">
        <f>+INPUT!R110</f>
        <v>22.741590021418673</v>
      </c>
      <c r="R179" s="762">
        <f>+INPUT!S110</f>
        <v>625.70000000000005</v>
      </c>
      <c r="S179" s="755">
        <f>+INPUT!T110</f>
        <v>8.3275623268698382</v>
      </c>
      <c r="T179" s="762">
        <f>+INPUT!U110</f>
        <v>1377.4</v>
      </c>
      <c r="U179" s="755" t="str">
        <f>+INPUT!V110</f>
        <v>NM</v>
      </c>
      <c r="V179" s="762">
        <f>+INPUT!W110</f>
        <v>1266.5</v>
      </c>
      <c r="W179" s="755" t="str">
        <f>+INPUT!X110</f>
        <v>NM</v>
      </c>
      <c r="X179" s="762">
        <f>+INPUT!Y110</f>
        <v>876.69999999999993</v>
      </c>
      <c r="Y179" s="755">
        <f>+INPUT!Z110</f>
        <v>-10.008211866146581</v>
      </c>
      <c r="Z179" s="762">
        <f>+INPUT!AA110</f>
        <v>983.30000000000007</v>
      </c>
      <c r="AA179" s="755">
        <f>+INPUT!AB110</f>
        <v>57.151989771455959</v>
      </c>
      <c r="AB179" s="762">
        <f>+INPUT!AC110</f>
        <v>975.6</v>
      </c>
      <c r="AC179" s="755">
        <f>+INPUT!AD110</f>
        <v>-29.170901698852916</v>
      </c>
      <c r="AD179" s="762">
        <f>+INPUT!AE110</f>
        <v>715.9</v>
      </c>
      <c r="AE179" s="755">
        <f>+INPUT!AF110</f>
        <v>-43.474141334386104</v>
      </c>
      <c r="AF179" s="762">
        <f>+INPUT!AG110</f>
        <v>1431.6000000000001</v>
      </c>
      <c r="AG179" s="755">
        <f>+INPUT!AH110</f>
        <v>63.294171324284264</v>
      </c>
      <c r="AH179" s="762">
        <f>+INPUT!AI110</f>
        <v>932.69999999999993</v>
      </c>
      <c r="AI179" s="755">
        <f>+INPUT!AJ110</f>
        <v>-5.1459371504118963</v>
      </c>
      <c r="AJ179" s="762">
        <f>+INPUT!AK110</f>
        <v>1136</v>
      </c>
      <c r="AK179" s="755">
        <f>+INPUT!AL110</f>
        <v>16.44116441164411</v>
      </c>
      <c r="AL179" s="762">
        <f>+INPUT!AM110</f>
        <v>1813.3999999999999</v>
      </c>
      <c r="AM179" s="755" t="str">
        <f>+INPUT!AN110</f>
        <v>NM</v>
      </c>
      <c r="AN179" s="762">
        <f>+INPUT!AO110</f>
        <v>1089.5000000000002</v>
      </c>
      <c r="AO179" s="755">
        <f>+INPUT!AP110</f>
        <v>-23.896339759709406</v>
      </c>
      <c r="AP179" s="762">
        <f>+INPUT!AQ110</f>
        <v>1084.7850391104294</v>
      </c>
      <c r="AQ179" s="755">
        <f>+INPUT!AR110</f>
        <v>16.305890330270117</v>
      </c>
      <c r="AR179" s="762">
        <f>+INPUT!AS110</f>
        <v>1103.2811862576687</v>
      </c>
      <c r="AS179" s="755">
        <f>+INPUT!AT110</f>
        <v>-2.8801772660502962</v>
      </c>
      <c r="AT179" s="762">
        <f>+INPUT!AU110</f>
        <v>1116.353672961963</v>
      </c>
      <c r="AU179" s="755">
        <f>+INPUT!AV110</f>
        <v>-38.43864161453827</v>
      </c>
      <c r="AV179" s="762">
        <f>+INPUT!AW110</f>
        <v>1129.1647099321715</v>
      </c>
      <c r="AW179" s="755">
        <f>+INPUT!AX110</f>
        <v>3.6406342296623393</v>
      </c>
      <c r="AX179" s="532"/>
      <c r="AY179" s="757"/>
      <c r="AZ179" s="758"/>
      <c r="BA179" s="757"/>
      <c r="BB179" s="758"/>
      <c r="BC179" s="757"/>
      <c r="BD179" s="758"/>
      <c r="BE179" s="757"/>
      <c r="BF179" s="756"/>
      <c r="BG179" s="757"/>
      <c r="BH179" s="756"/>
      <c r="BI179" s="757"/>
      <c r="BJ179" s="756"/>
      <c r="BK179" s="531"/>
      <c r="BL179" s="756"/>
      <c r="BM179" s="531"/>
      <c r="BN179" s="756"/>
      <c r="BO179" s="531"/>
      <c r="BP179" s="756"/>
      <c r="BQ179" s="531"/>
      <c r="BR179" s="756"/>
      <c r="BS179" s="531">
        <f>+INPUT!BB110</f>
        <v>2265.2000000000003</v>
      </c>
      <c r="BT179" s="756" t="str">
        <f>+INPUT!BC110</f>
        <v>NA</v>
      </c>
      <c r="BU179" s="531">
        <f>+INPUT!BD110</f>
        <v>2748.1000000000004</v>
      </c>
      <c r="BV179" s="756">
        <f>+INPUT!BE110</f>
        <v>21.318205897933964</v>
      </c>
      <c r="BW179" s="531">
        <f>+INPUT!BF110</f>
        <v>4146.3</v>
      </c>
      <c r="BX179" s="756">
        <f>+INPUT!BG110</f>
        <v>50.878788981478095</v>
      </c>
      <c r="BY179" s="531">
        <f>+INPUT!BH110</f>
        <v>4106.3999999999996</v>
      </c>
      <c r="BZ179" s="756">
        <f>+INPUT!BI110</f>
        <v>-0.96230374068447588</v>
      </c>
      <c r="CA179" s="531">
        <f>+INPUT!BJ110</f>
        <v>4971.6000000000004</v>
      </c>
      <c r="CB179" s="756">
        <f>+INPUT!BK110</f>
        <v>21.069549970777345</v>
      </c>
      <c r="CC179" s="531">
        <f>+INPUT!BL110</f>
        <v>4433.5846082622329</v>
      </c>
      <c r="CD179" s="756">
        <f>+INPUT!BM110</f>
        <v>-10.821775519707288</v>
      </c>
      <c r="CE179" s="531">
        <f>+INPUT!BN110</f>
        <v>4643.8607922996725</v>
      </c>
      <c r="CF179" s="756">
        <f>+INPUT!BO110</f>
        <v>4.7428030051705434</v>
      </c>
      <c r="CG179" s="531">
        <f>+INPUT!BP110</f>
        <v>4840.5474361184752</v>
      </c>
      <c r="CH179" s="756">
        <f>+INPUT!BQ110</f>
        <v>4.2354121412283376</v>
      </c>
      <c r="CI179" s="531">
        <f>+INPUT!BR110</f>
        <v>5037.1569129099134</v>
      </c>
      <c r="CJ179" s="756">
        <f>+INPUT!BS110</f>
        <v>4.0617198650798656</v>
      </c>
      <c r="CK179" s="531">
        <f>+INPUT!BT110</f>
        <v>5234.153468979307</v>
      </c>
      <c r="CL179" s="756">
        <f>+INPUT!BU110</f>
        <v>3.9108679653100324</v>
      </c>
      <c r="CM179" s="755">
        <f>+INPUT!BV110</f>
        <v>1.0345832910842123</v>
      </c>
    </row>
    <row r="180" spans="1:91" s="475" customFormat="1" ht="12" hidden="1" customHeight="1" outlineLevel="1" x14ac:dyDescent="0.2">
      <c r="A180" s="517"/>
      <c r="B180" s="492"/>
      <c r="C180" s="534"/>
      <c r="D180" s="492"/>
      <c r="E180" s="534"/>
      <c r="F180" s="492"/>
      <c r="G180" s="534"/>
      <c r="H180" s="492"/>
      <c r="I180" s="534"/>
      <c r="J180" s="492"/>
      <c r="K180" s="534"/>
      <c r="L180" s="492"/>
      <c r="M180" s="534"/>
      <c r="N180" s="492"/>
      <c r="O180" s="534"/>
      <c r="P180" s="492"/>
      <c r="Q180" s="534"/>
      <c r="R180" s="492"/>
      <c r="S180" s="534"/>
      <c r="T180" s="492"/>
      <c r="U180" s="534"/>
      <c r="V180" s="492"/>
      <c r="W180" s="534"/>
      <c r="X180" s="492"/>
      <c r="Y180" s="534"/>
      <c r="Z180" s="492"/>
      <c r="AA180" s="534"/>
      <c r="AB180" s="492"/>
      <c r="AC180" s="534"/>
      <c r="AD180" s="492"/>
      <c r="AE180" s="534"/>
      <c r="AF180" s="492"/>
      <c r="AG180" s="534"/>
      <c r="AH180" s="492"/>
      <c r="AI180" s="534"/>
      <c r="AJ180" s="492"/>
      <c r="AK180" s="534"/>
      <c r="AL180" s="492"/>
      <c r="AM180" s="534"/>
      <c r="AN180" s="492"/>
      <c r="AO180" s="534"/>
      <c r="AP180" s="492"/>
      <c r="AQ180" s="534"/>
      <c r="AR180" s="492"/>
      <c r="AS180" s="534"/>
      <c r="AT180" s="492"/>
      <c r="AU180" s="534"/>
      <c r="AV180" s="492"/>
      <c r="AW180" s="534"/>
      <c r="AX180" s="492"/>
      <c r="AY180" s="492"/>
      <c r="AZ180" s="534"/>
      <c r="BA180" s="492"/>
      <c r="BB180" s="534"/>
      <c r="BC180" s="492"/>
      <c r="BD180" s="534"/>
      <c r="BE180" s="492"/>
      <c r="BF180" s="535"/>
      <c r="BG180" s="492"/>
      <c r="BH180" s="535"/>
      <c r="BI180" s="492"/>
      <c r="BJ180" s="535"/>
      <c r="BK180" s="492"/>
      <c r="BL180" s="535"/>
      <c r="BM180" s="492"/>
      <c r="BN180" s="535"/>
      <c r="BO180" s="492"/>
      <c r="BP180" s="535"/>
      <c r="BQ180" s="492"/>
      <c r="BR180" s="535"/>
      <c r="BS180" s="492"/>
      <c r="BT180" s="535"/>
      <c r="BU180" s="492"/>
      <c r="BV180" s="535"/>
      <c r="BW180" s="492"/>
      <c r="BX180" s="535"/>
      <c r="BY180" s="492"/>
      <c r="BZ180" s="535"/>
      <c r="CA180" s="492"/>
      <c r="CB180" s="535"/>
      <c r="CC180" s="492"/>
      <c r="CD180" s="535"/>
      <c r="CE180" s="492"/>
      <c r="CF180" s="535"/>
      <c r="CG180" s="492"/>
      <c r="CH180" s="535"/>
      <c r="CI180" s="492"/>
      <c r="CJ180" s="535"/>
      <c r="CK180" s="492"/>
      <c r="CL180" s="535"/>
      <c r="CM180" s="522"/>
    </row>
    <row r="181" spans="1:91" s="475" customFormat="1" ht="12" hidden="1" customHeight="1" outlineLevel="1" x14ac:dyDescent="0.2">
      <c r="A181" s="481" t="s">
        <v>485</v>
      </c>
      <c r="B181" s="524">
        <f>+INPUT!C111</f>
        <v>76.700000000000045</v>
      </c>
      <c r="C181" s="522" t="str">
        <f>+INPUT!D111</f>
        <v>NA</v>
      </c>
      <c r="D181" s="524">
        <f>+INPUT!E111</f>
        <v>76.700000000000045</v>
      </c>
      <c r="E181" s="522" t="str">
        <f>+INPUT!F111</f>
        <v>NA</v>
      </c>
      <c r="F181" s="524">
        <f>+INPUT!G111</f>
        <v>80.200000000000045</v>
      </c>
      <c r="G181" s="522" t="str">
        <f>+INPUT!H111</f>
        <v>NA</v>
      </c>
      <c r="H181" s="524">
        <f>+INPUT!I111</f>
        <v>67.899999999999977</v>
      </c>
      <c r="I181" s="522" t="str">
        <f>+INPUT!J111</f>
        <v>NA</v>
      </c>
      <c r="J181" s="524">
        <f>+INPUT!K111</f>
        <v>76.900000000000091</v>
      </c>
      <c r="K181" s="522">
        <f>+INPUT!L111</f>
        <v>0.26075619295964714</v>
      </c>
      <c r="L181" s="524">
        <f>+INPUT!M111</f>
        <v>74</v>
      </c>
      <c r="M181" s="522">
        <f>+INPUT!N111</f>
        <v>-3.5202086049544192</v>
      </c>
      <c r="N181" s="524">
        <f>+INPUT!O111</f>
        <v>62.100000000000136</v>
      </c>
      <c r="O181" s="522">
        <f>+INPUT!P111</f>
        <v>-22.568578553615836</v>
      </c>
      <c r="P181" s="524">
        <f>+INPUT!Q111</f>
        <v>59.700000000000159</v>
      </c>
      <c r="Q181" s="522">
        <f>+INPUT!R111</f>
        <v>-12.076583210603559</v>
      </c>
      <c r="R181" s="524">
        <f>+INPUT!S111</f>
        <v>61.099999999999909</v>
      </c>
      <c r="S181" s="522">
        <f>+INPUT!T111</f>
        <v>-20.546163849154965</v>
      </c>
      <c r="T181" s="524">
        <f>+INPUT!U111</f>
        <v>73.5</v>
      </c>
      <c r="U181" s="522">
        <f>+INPUT!V111</f>
        <v>-0.67567567567567721</v>
      </c>
      <c r="V181" s="524">
        <f>+INPUT!W111</f>
        <v>49.900000000000091</v>
      </c>
      <c r="W181" s="522">
        <f>+INPUT!X111</f>
        <v>-19.645732689210988</v>
      </c>
      <c r="X181" s="524">
        <f>+INPUT!Y111</f>
        <v>62.100000000000023</v>
      </c>
      <c r="Y181" s="522">
        <f>+INPUT!Z111</f>
        <v>4.0201005025123209</v>
      </c>
      <c r="Z181" s="524">
        <f>+INPUT!AA111</f>
        <v>67.399999999999977</v>
      </c>
      <c r="AA181" s="522">
        <f>+INPUT!AB111</f>
        <v>10.310965630114694</v>
      </c>
      <c r="AB181" s="524">
        <f>+INPUT!AC111</f>
        <v>70.199999999999932</v>
      </c>
      <c r="AC181" s="522">
        <f>+INPUT!AD111</f>
        <v>-4.4897959183674487</v>
      </c>
      <c r="AD181" s="524">
        <f>+INPUT!AE111</f>
        <v>76</v>
      </c>
      <c r="AE181" s="522">
        <f>+INPUT!AF111</f>
        <v>52.30460921843661</v>
      </c>
      <c r="AF181" s="524">
        <f>+INPUT!AG111</f>
        <v>87.499999999999773</v>
      </c>
      <c r="AG181" s="522">
        <f>+INPUT!AH111</f>
        <v>40.901771336553537</v>
      </c>
      <c r="AH181" s="524">
        <f>+INPUT!AI111</f>
        <v>99.500000000000114</v>
      </c>
      <c r="AI181" s="522">
        <f>+INPUT!AJ111</f>
        <v>47.626112759644144</v>
      </c>
      <c r="AJ181" s="524">
        <f>+INPUT!AK111</f>
        <v>96.300000000000182</v>
      </c>
      <c r="AK181" s="522">
        <f>+INPUT!AL111</f>
        <v>37.17948717948758</v>
      </c>
      <c r="AL181" s="524">
        <f>+INPUT!AM111</f>
        <v>102.10000000000014</v>
      </c>
      <c r="AM181" s="522">
        <f>+INPUT!AN111</f>
        <v>34.342105263158089</v>
      </c>
      <c r="AN181" s="524">
        <f>+INPUT!AO111</f>
        <v>75.099999999999682</v>
      </c>
      <c r="AO181" s="522">
        <f>+INPUT!AP111</f>
        <v>-14.171428571428706</v>
      </c>
      <c r="AP181" s="524">
        <f>+INPUT!AQ111</f>
        <v>89.527146472392815</v>
      </c>
      <c r="AQ181" s="522">
        <f>+INPUT!AR111</f>
        <v>-10.02296836945456</v>
      </c>
      <c r="AR181" s="524">
        <f>+INPUT!AS111</f>
        <v>85.40283843558268</v>
      </c>
      <c r="AS181" s="522">
        <f>+INPUT!AT111</f>
        <v>-11.315847938128215</v>
      </c>
      <c r="AT181" s="524">
        <f>+INPUT!AU111</f>
        <v>86.414754059509278</v>
      </c>
      <c r="AU181" s="522">
        <f>+INPUT!AV111</f>
        <v>-15.362630695877414</v>
      </c>
      <c r="AV181" s="524">
        <f>+INPUT!AW111</f>
        <v>85.269450972957202</v>
      </c>
      <c r="AW181" s="522">
        <f>+INPUT!AX111</f>
        <v>13.541213013259082</v>
      </c>
      <c r="AX181" s="524"/>
      <c r="AY181" s="524"/>
      <c r="AZ181" s="522"/>
      <c r="BA181" s="524"/>
      <c r="BB181" s="522"/>
      <c r="BC181" s="524"/>
      <c r="BD181" s="522"/>
      <c r="BE181" s="524"/>
      <c r="BF181" s="474"/>
      <c r="BG181" s="524"/>
      <c r="BH181" s="474"/>
      <c r="BI181" s="524"/>
      <c r="BJ181" s="474"/>
      <c r="BK181" s="524"/>
      <c r="BL181" s="474"/>
      <c r="BM181" s="524"/>
      <c r="BN181" s="474"/>
      <c r="BO181" s="524"/>
      <c r="BP181" s="474"/>
      <c r="BQ181" s="524"/>
      <c r="BR181" s="474"/>
      <c r="BS181" s="524">
        <f>+INPUT!BB111</f>
        <v>301.49999999999955</v>
      </c>
      <c r="BT181" s="474" t="str">
        <f>+INPUT!BC111</f>
        <v>NA</v>
      </c>
      <c r="BU181" s="524">
        <f>+INPUT!BD111</f>
        <v>272.69999999999982</v>
      </c>
      <c r="BV181" s="474">
        <f>+INPUT!BE111</f>
        <v>-9.5522388059700631</v>
      </c>
      <c r="BW181" s="524">
        <f>+INPUT!BF111</f>
        <v>246.59999999999945</v>
      </c>
      <c r="BX181" s="474">
        <f>+INPUT!BG111</f>
        <v>-9.5709570957097156</v>
      </c>
      <c r="BY181" s="524">
        <f>+INPUT!BH111</f>
        <v>301.10000000000036</v>
      </c>
      <c r="BZ181" s="474">
        <f>+INPUT!BI111</f>
        <v>22.100567721006101</v>
      </c>
      <c r="CA181" s="524">
        <f>+INPUT!BJ111</f>
        <v>373</v>
      </c>
      <c r="CB181" s="474">
        <f>+INPUT!BK111</f>
        <v>23.879109930255566</v>
      </c>
      <c r="CC181" s="524">
        <f>+INPUT!BL111</f>
        <v>346.61418994044107</v>
      </c>
      <c r="CD181" s="474">
        <f>+INPUT!BM111</f>
        <v>-7.0739437156994427</v>
      </c>
      <c r="CE181" s="524">
        <f>+INPUT!BN111</f>
        <v>358.31452402740069</v>
      </c>
      <c r="CF181" s="474">
        <f>+INPUT!BO111</f>
        <v>3.3756073543815575</v>
      </c>
      <c r="CG181" s="524">
        <f>+INPUT!BP111</f>
        <v>378.78907885412536</v>
      </c>
      <c r="CH181" s="474">
        <f>+INPUT!BQ111</f>
        <v>5.7141291948185113</v>
      </c>
      <c r="CI181" s="524">
        <f>+INPUT!BR111</f>
        <v>399.70905001593383</v>
      </c>
      <c r="CJ181" s="474">
        <f>+INPUT!BS111</f>
        <v>5.5228548893472578</v>
      </c>
      <c r="CK181" s="524">
        <f>+INPUT!BT111</f>
        <v>421.11411200071416</v>
      </c>
      <c r="CL181" s="474">
        <f>+INPUT!BU111</f>
        <v>5.3551607060002766</v>
      </c>
      <c r="CM181" s="522">
        <f>+INPUT!BV111</f>
        <v>2.4561878330790599</v>
      </c>
    </row>
    <row r="182" spans="1:91" s="475" customFormat="1" ht="12" hidden="1" customHeight="1" outlineLevel="1" x14ac:dyDescent="0.2">
      <c r="A182" s="481" t="s">
        <v>59</v>
      </c>
      <c r="B182" s="524">
        <f>+INPUT!C113</f>
        <v>0</v>
      </c>
      <c r="C182" s="522" t="str">
        <f>+INPUT!D113</f>
        <v>NA</v>
      </c>
      <c r="D182" s="524">
        <f>+INPUT!E113</f>
        <v>0</v>
      </c>
      <c r="E182" s="522" t="str">
        <f>+INPUT!F113</f>
        <v>NA</v>
      </c>
      <c r="F182" s="524">
        <f>+INPUT!G113</f>
        <v>0</v>
      </c>
      <c r="G182" s="522" t="str">
        <f>+INPUT!H113</f>
        <v>NA</v>
      </c>
      <c r="H182" s="524">
        <f>+INPUT!I113</f>
        <v>0</v>
      </c>
      <c r="I182" s="522" t="str">
        <f>+INPUT!J113</f>
        <v>NA</v>
      </c>
      <c r="J182" s="524">
        <f>+INPUT!K113</f>
        <v>9.2307692307692299</v>
      </c>
      <c r="K182" s="522" t="str">
        <f>+INPUT!L113</f>
        <v>NA</v>
      </c>
      <c r="L182" s="524">
        <f>+INPUT!M113</f>
        <v>4.615384615384615</v>
      </c>
      <c r="M182" s="522" t="str">
        <f>+INPUT!N113</f>
        <v>NA</v>
      </c>
      <c r="N182" s="524">
        <f>+INPUT!O113</f>
        <v>0</v>
      </c>
      <c r="O182" s="522" t="str">
        <f>+INPUT!P113</f>
        <v>NA</v>
      </c>
      <c r="P182" s="524">
        <f>+INPUT!Q113</f>
        <v>0</v>
      </c>
      <c r="Q182" s="522" t="str">
        <f>+INPUT!R113</f>
        <v>NA</v>
      </c>
      <c r="R182" s="524">
        <f>+INPUT!S113</f>
        <v>4.615384615384615</v>
      </c>
      <c r="S182" s="522">
        <f>+INPUT!T113</f>
        <v>-50</v>
      </c>
      <c r="T182" s="524">
        <f>+INPUT!U113</f>
        <v>0</v>
      </c>
      <c r="U182" s="522" t="str">
        <f>+INPUT!V113</f>
        <v>NM</v>
      </c>
      <c r="V182" s="524">
        <f>+INPUT!W113</f>
        <v>-10.923076923076922</v>
      </c>
      <c r="W182" s="522" t="str">
        <f>+INPUT!X113</f>
        <v>NA</v>
      </c>
      <c r="X182" s="524">
        <f>+INPUT!Y113</f>
        <v>0</v>
      </c>
      <c r="Y182" s="522" t="str">
        <f>+INPUT!Z113</f>
        <v>NA</v>
      </c>
      <c r="Z182" s="524">
        <f>+INPUT!AA113</f>
        <v>0</v>
      </c>
      <c r="AA182" s="522" t="str">
        <f>+INPUT!AB113</f>
        <v>NM</v>
      </c>
      <c r="AB182" s="524">
        <f>+INPUT!AC113</f>
        <v>0</v>
      </c>
      <c r="AC182" s="522" t="str">
        <f>+INPUT!AD113</f>
        <v>NA</v>
      </c>
      <c r="AD182" s="524">
        <f>+INPUT!AE113</f>
        <v>9.6</v>
      </c>
      <c r="AE182" s="522" t="str">
        <f>+INPUT!AF113</f>
        <v>NM</v>
      </c>
      <c r="AF182" s="524">
        <f>+INPUT!AG113</f>
        <v>12</v>
      </c>
      <c r="AG182" s="522" t="str">
        <f>+INPUT!AH113</f>
        <v>NA</v>
      </c>
      <c r="AH182" s="524">
        <f>+INPUT!AI113</f>
        <v>5</v>
      </c>
      <c r="AI182" s="522" t="str">
        <f>+INPUT!AJ113</f>
        <v>NA</v>
      </c>
      <c r="AJ182" s="524">
        <f>+INPUT!AK113</f>
        <v>7</v>
      </c>
      <c r="AK182" s="522" t="str">
        <f>+INPUT!AL113</f>
        <v>NA</v>
      </c>
      <c r="AL182" s="524">
        <f>+INPUT!AM113</f>
        <v>19</v>
      </c>
      <c r="AM182" s="522">
        <f>+INPUT!AN113</f>
        <v>97.916666666666686</v>
      </c>
      <c r="AN182" s="524">
        <f>+INPUT!AO113</f>
        <v>0</v>
      </c>
      <c r="AO182" s="522" t="str">
        <f>+INPUT!AP113</f>
        <v>NM</v>
      </c>
      <c r="AP182" s="524">
        <f>+INPUT!AQ113</f>
        <v>0</v>
      </c>
      <c r="AQ182" s="522" t="str">
        <f>+INPUT!AR113</f>
        <v>NM</v>
      </c>
      <c r="AR182" s="524">
        <f>+INPUT!AS113</f>
        <v>0</v>
      </c>
      <c r="AS182" s="522" t="str">
        <f>+INPUT!AT113</f>
        <v>NM</v>
      </c>
      <c r="AT182" s="524">
        <f>+INPUT!AU113</f>
        <v>0</v>
      </c>
      <c r="AU182" s="522" t="str">
        <f>+INPUT!AV113</f>
        <v>NM</v>
      </c>
      <c r="AV182" s="524">
        <f>+INPUT!AW113</f>
        <v>0</v>
      </c>
      <c r="AW182" s="522" t="str">
        <f>+INPUT!AX113</f>
        <v>NA</v>
      </c>
      <c r="AX182" s="524"/>
      <c r="AY182" s="524"/>
      <c r="AZ182" s="522"/>
      <c r="BA182" s="524"/>
      <c r="BB182" s="522"/>
      <c r="BC182" s="524"/>
      <c r="BD182" s="522"/>
      <c r="BE182" s="524"/>
      <c r="BF182" s="474"/>
      <c r="BG182" s="524"/>
      <c r="BH182" s="474"/>
      <c r="BI182" s="524"/>
      <c r="BJ182" s="474"/>
      <c r="BK182" s="524"/>
      <c r="BL182" s="474"/>
      <c r="BM182" s="524"/>
      <c r="BN182" s="474"/>
      <c r="BO182" s="524"/>
      <c r="BP182" s="474"/>
      <c r="BQ182" s="524"/>
      <c r="BR182" s="474"/>
      <c r="BS182" s="524">
        <f>+INPUT!BB113</f>
        <v>0</v>
      </c>
      <c r="BT182" s="474" t="str">
        <f>+INPUT!BC113</f>
        <v>NA</v>
      </c>
      <c r="BU182" s="524">
        <f>+INPUT!BD113</f>
        <v>13.846153846153845</v>
      </c>
      <c r="BV182" s="474" t="str">
        <f>+INPUT!BE113</f>
        <v>NA</v>
      </c>
      <c r="BW182" s="524">
        <f>+INPUT!BF113</f>
        <v>-6.3076923076923066</v>
      </c>
      <c r="BX182" s="474" t="str">
        <f>+INPUT!BG113</f>
        <v>NM</v>
      </c>
      <c r="BY182" s="524">
        <f>+INPUT!BH113</f>
        <v>21.6</v>
      </c>
      <c r="BZ182" s="474" t="str">
        <f>+INPUT!BI113</f>
        <v>NM</v>
      </c>
      <c r="CA182" s="524">
        <f>+INPUT!BJ113</f>
        <v>31</v>
      </c>
      <c r="CB182" s="474">
        <f>+INPUT!BK113</f>
        <v>43.518518518518505</v>
      </c>
      <c r="CC182" s="524">
        <f>+INPUT!BL113</f>
        <v>0</v>
      </c>
      <c r="CD182" s="474" t="str">
        <f>+INPUT!BM113</f>
        <v>NM</v>
      </c>
      <c r="CE182" s="524">
        <f>+INPUT!BN113</f>
        <v>0</v>
      </c>
      <c r="CF182" s="474" t="str">
        <f>+INPUT!BO113</f>
        <v>NA</v>
      </c>
      <c r="CG182" s="524">
        <f>+INPUT!BP113</f>
        <v>0</v>
      </c>
      <c r="CH182" s="474" t="str">
        <f>+INPUT!BQ113</f>
        <v>NA</v>
      </c>
      <c r="CI182" s="524">
        <f>+INPUT!BR113</f>
        <v>0</v>
      </c>
      <c r="CJ182" s="474" t="str">
        <f>+INPUT!BS113</f>
        <v>NA</v>
      </c>
      <c r="CK182" s="524">
        <f>+INPUT!BT113</f>
        <v>0</v>
      </c>
      <c r="CL182" s="474" t="str">
        <f>+INPUT!BU113</f>
        <v>NA</v>
      </c>
      <c r="CM182" s="522" t="str">
        <f>+INPUT!BV113</f>
        <v>NM</v>
      </c>
    </row>
    <row r="183" spans="1:91" ht="12" hidden="1" customHeight="1" outlineLevel="1" x14ac:dyDescent="0.2">
      <c r="A183" s="437" t="s">
        <v>466</v>
      </c>
      <c r="B183" s="438">
        <f>+INPUT!C114</f>
        <v>76.700000000000045</v>
      </c>
      <c r="C183" s="439" t="str">
        <f>+INPUT!D114</f>
        <v>NA</v>
      </c>
      <c r="D183" s="438">
        <f>+INPUT!E114</f>
        <v>76.700000000000045</v>
      </c>
      <c r="E183" s="439" t="str">
        <f>+INPUT!F114</f>
        <v>NA</v>
      </c>
      <c r="F183" s="438">
        <f>+INPUT!G114</f>
        <v>80.200000000000045</v>
      </c>
      <c r="G183" s="439" t="str">
        <f>+INPUT!H114</f>
        <v>NA</v>
      </c>
      <c r="H183" s="438">
        <f>+INPUT!I114</f>
        <v>67.899999999999977</v>
      </c>
      <c r="I183" s="439" t="str">
        <f>+INPUT!J114</f>
        <v>NA</v>
      </c>
      <c r="J183" s="438">
        <f>+INPUT!K114</f>
        <v>67.669230769230865</v>
      </c>
      <c r="K183" s="439">
        <f>+INPUT!L114</f>
        <v>-11.774145020559544</v>
      </c>
      <c r="L183" s="438">
        <f>+INPUT!M114</f>
        <v>69.384615384615387</v>
      </c>
      <c r="M183" s="439">
        <f>+INPUT!N114</f>
        <v>-9.5376592117140291</v>
      </c>
      <c r="N183" s="438">
        <f>+INPUT!O114</f>
        <v>62.100000000000136</v>
      </c>
      <c r="O183" s="439">
        <f>+INPUT!P114</f>
        <v>-22.568578553615836</v>
      </c>
      <c r="P183" s="438">
        <f>+INPUT!Q114</f>
        <v>59.700000000000159</v>
      </c>
      <c r="Q183" s="439">
        <f>+INPUT!R114</f>
        <v>-12.076583210603559</v>
      </c>
      <c r="R183" s="438">
        <f>+INPUT!S114</f>
        <v>56.484615384615296</v>
      </c>
      <c r="S183" s="439">
        <f>+INPUT!T114</f>
        <v>-16.528361941571234</v>
      </c>
      <c r="T183" s="438">
        <f>+INPUT!U114</f>
        <v>73.5</v>
      </c>
      <c r="U183" s="439">
        <f>+INPUT!V114</f>
        <v>5.9312638580931321</v>
      </c>
      <c r="V183" s="438">
        <f>+INPUT!W114</f>
        <v>60.823076923077011</v>
      </c>
      <c r="W183" s="439">
        <f>+INPUT!X114</f>
        <v>-2.0562368388456065</v>
      </c>
      <c r="X183" s="438">
        <f>+INPUT!Y114</f>
        <v>62.100000000000023</v>
      </c>
      <c r="Y183" s="439">
        <f>+INPUT!Z114</f>
        <v>4.0201005025123209</v>
      </c>
      <c r="Z183" s="438">
        <f>+INPUT!AA114</f>
        <v>67.399999999999977</v>
      </c>
      <c r="AA183" s="439">
        <f>+INPUT!AB114</f>
        <v>19.324526760179907</v>
      </c>
      <c r="AB183" s="438">
        <f>+INPUT!AC114</f>
        <v>70.199999999999932</v>
      </c>
      <c r="AC183" s="439">
        <f>+INPUT!AD114</f>
        <v>-4.4897959183674487</v>
      </c>
      <c r="AD183" s="438">
        <f>+INPUT!AE114</f>
        <v>66.400000000000006</v>
      </c>
      <c r="AE183" s="439">
        <f>+INPUT!AF114</f>
        <v>9.1690906791449152</v>
      </c>
      <c r="AF183" s="438">
        <f>+INPUT!AG114</f>
        <v>75.499999999999773</v>
      </c>
      <c r="AG183" s="439">
        <f>+INPUT!AH114</f>
        <v>21.578099838968996</v>
      </c>
      <c r="AH183" s="438">
        <f>+INPUT!AI114</f>
        <v>94.500000000000114</v>
      </c>
      <c r="AI183" s="439">
        <f>+INPUT!AJ114</f>
        <v>40.207715133531366</v>
      </c>
      <c r="AJ183" s="438">
        <f>+INPUT!AK114</f>
        <v>89.300000000000182</v>
      </c>
      <c r="AK183" s="439">
        <f>+INPUT!AL114</f>
        <v>27.207977207977592</v>
      </c>
      <c r="AL183" s="438">
        <f>+INPUT!AM114</f>
        <v>83.100000000000136</v>
      </c>
      <c r="AM183" s="439">
        <f>+INPUT!AN114</f>
        <v>25.150602409638751</v>
      </c>
      <c r="AN183" s="438">
        <f>+INPUT!AO114</f>
        <v>75.099999999999682</v>
      </c>
      <c r="AO183" s="439">
        <f>+INPUT!AP114</f>
        <v>-0.52980132450343831</v>
      </c>
      <c r="AP183" s="438">
        <f>+INPUT!AQ114</f>
        <v>89.527146472392815</v>
      </c>
      <c r="AQ183" s="439">
        <f>+INPUT!AR114</f>
        <v>-5.2622788651929113</v>
      </c>
      <c r="AR183" s="438">
        <f>+INPUT!AS114</f>
        <v>85.40283843558268</v>
      </c>
      <c r="AS183" s="439">
        <f>+INPUT!AT114</f>
        <v>-4.3641226925167871</v>
      </c>
      <c r="AT183" s="438">
        <f>+INPUT!AU114</f>
        <v>86.414754059509278</v>
      </c>
      <c r="AU183" s="439">
        <f>+INPUT!AV114</f>
        <v>3.9888737178208657</v>
      </c>
      <c r="AV183" s="438">
        <f>+INPUT!AW114</f>
        <v>85.269450972957202</v>
      </c>
      <c r="AW183" s="439">
        <f>+INPUT!AX114</f>
        <v>13.541213013259082</v>
      </c>
      <c r="AX183" s="438"/>
      <c r="AY183" s="438"/>
      <c r="AZ183" s="439"/>
      <c r="BA183" s="438"/>
      <c r="BB183" s="439"/>
      <c r="BC183" s="438"/>
      <c r="BD183" s="439"/>
      <c r="BE183" s="438"/>
      <c r="BF183" s="440"/>
      <c r="BG183" s="438"/>
      <c r="BH183" s="440"/>
      <c r="BI183" s="438"/>
      <c r="BJ183" s="440"/>
      <c r="BK183" s="438"/>
      <c r="BL183" s="440"/>
      <c r="BM183" s="438"/>
      <c r="BN183" s="440"/>
      <c r="BO183" s="438"/>
      <c r="BP183" s="440"/>
      <c r="BQ183" s="438"/>
      <c r="BR183" s="440"/>
      <c r="BS183" s="438">
        <f>+INPUT!BB114</f>
        <v>301.49999999999955</v>
      </c>
      <c r="BT183" s="440" t="str">
        <f>+INPUT!BC114</f>
        <v>NA</v>
      </c>
      <c r="BU183" s="438">
        <f>+INPUT!BD114</f>
        <v>258.85384615384595</v>
      </c>
      <c r="BV183" s="440">
        <f>+INPUT!BE114</f>
        <v>-14.144661308840355</v>
      </c>
      <c r="BW183" s="438">
        <f>+INPUT!BF114</f>
        <v>252.90769230769178</v>
      </c>
      <c r="BX183" s="440">
        <f>+INPUT!BG114</f>
        <v>-2.2971085554665365</v>
      </c>
      <c r="BY183" s="438">
        <f>+INPUT!BH114</f>
        <v>279.50000000000034</v>
      </c>
      <c r="BZ183" s="440">
        <f>+INPUT!BI114</f>
        <v>10.514629843664821</v>
      </c>
      <c r="CA183" s="438">
        <f>+INPUT!BJ114</f>
        <v>342</v>
      </c>
      <c r="CB183" s="440">
        <f>+INPUT!BK114</f>
        <v>22.361359570661747</v>
      </c>
      <c r="CC183" s="438">
        <f>+INPUT!BL114</f>
        <v>346.61418994044107</v>
      </c>
      <c r="CD183" s="440">
        <f>+INPUT!BM114</f>
        <v>1.3491783451581938</v>
      </c>
      <c r="CE183" s="438">
        <f>+INPUT!BN114</f>
        <v>358.31452402740069</v>
      </c>
      <c r="CF183" s="440">
        <f>+INPUT!BO114</f>
        <v>3.3756073543815575</v>
      </c>
      <c r="CG183" s="438">
        <f>+INPUT!BP114</f>
        <v>378.78907885412536</v>
      </c>
      <c r="CH183" s="440">
        <f>+INPUT!BQ114</f>
        <v>5.7141291948185113</v>
      </c>
      <c r="CI183" s="438">
        <f>+INPUT!BR114</f>
        <v>399.70905001593383</v>
      </c>
      <c r="CJ183" s="440">
        <f>+INPUT!BS114</f>
        <v>5.5228548893472578</v>
      </c>
      <c r="CK183" s="438">
        <f>+INPUT!BT114</f>
        <v>421.11411200071416</v>
      </c>
      <c r="CL183" s="440">
        <f>+INPUT!BU114</f>
        <v>5.3551607060002766</v>
      </c>
      <c r="CM183" s="439">
        <f>+INPUT!BV114</f>
        <v>4.2496817527833519</v>
      </c>
    </row>
    <row r="184" spans="1:91" ht="12" hidden="1" customHeight="1" outlineLevel="2" x14ac:dyDescent="0.2">
      <c r="A184" s="405" t="s">
        <v>167</v>
      </c>
      <c r="B184" s="441">
        <f>(B170+B171-B175-B176-B177-B178-B182)-B183</f>
        <v>0</v>
      </c>
      <c r="C184" s="442"/>
      <c r="D184" s="441">
        <f t="shared" ref="D184" si="99">(D170+D171-D175-D176-D177-D178-D182)-D183</f>
        <v>0</v>
      </c>
      <c r="E184" s="442"/>
      <c r="F184" s="441">
        <f t="shared" ref="F184" si="100">(F170+F171-F175-F176-F177-F178-F182)-F183</f>
        <v>0</v>
      </c>
      <c r="G184" s="442"/>
      <c r="H184" s="441">
        <f t="shared" ref="H184" si="101">(H170+H171-H175-H176-H177-H178-H182)-H183</f>
        <v>0</v>
      </c>
      <c r="I184" s="442"/>
      <c r="J184" s="441">
        <f t="shared" ref="J184" si="102">(J170+J171-J175-J176-J177-J178-J182)-J183</f>
        <v>0</v>
      </c>
      <c r="K184" s="442"/>
      <c r="L184" s="441">
        <f t="shared" ref="L184" si="103">(L170+L171-L175-L176-L177-L178-L182)-L183</f>
        <v>0</v>
      </c>
      <c r="M184" s="442"/>
      <c r="N184" s="441">
        <f t="shared" ref="N184" si="104">(N170+N171-N175-N176-N177-N178-N182)-N183</f>
        <v>0</v>
      </c>
      <c r="O184" s="442"/>
      <c r="P184" s="441">
        <f t="shared" ref="P184:R184" si="105">(P170+P171-P175-P176-P177-P178-P182)-P183</f>
        <v>0</v>
      </c>
      <c r="Q184" s="442"/>
      <c r="R184" s="441">
        <f t="shared" si="105"/>
        <v>0</v>
      </c>
      <c r="S184" s="442"/>
      <c r="T184" s="441">
        <f t="shared" ref="T184" si="106">(T170+T171-T175-T176-T177-T178-T182)-T183</f>
        <v>1.7053025658242404E-13</v>
      </c>
      <c r="U184" s="442"/>
      <c r="V184" s="441">
        <f t="shared" ref="V184" si="107">(V170+V171-V175-V176-V177-V178-V182)-V183</f>
        <v>0</v>
      </c>
      <c r="W184" s="442"/>
      <c r="X184" s="441">
        <f t="shared" ref="X184" si="108">(X170+X171-X175-X176-X177-X178-X182)-X183</f>
        <v>-5.6843418860808015E-14</v>
      </c>
      <c r="Y184" s="442"/>
      <c r="Z184" s="441">
        <f t="shared" ref="Z184" si="109">(Z170+Z171-Z175-Z176-Z177-Z178-Z182)-Z183</f>
        <v>0</v>
      </c>
      <c r="AA184" s="442"/>
      <c r="AB184" s="441">
        <f t="shared" ref="AB184" si="110">(AB170+AB171-AB175-AB176-AB177-AB178-AB182)-AB183</f>
        <v>0</v>
      </c>
      <c r="AC184" s="442"/>
      <c r="AD184" s="441">
        <f t="shared" ref="AD184" si="111">(AD170+AD171-AD175-AD176-AD177-AD178-AD182)-AD183</f>
        <v>0</v>
      </c>
      <c r="AE184" s="442"/>
      <c r="AF184" s="441">
        <f t="shared" ref="AF184:AN184" si="112">(AF170+AF171-AF175-AF176-AF177-AF178-AF182)-AF183</f>
        <v>1.4210854715202004E-13</v>
      </c>
      <c r="AG184" s="442"/>
      <c r="AH184" s="441">
        <f t="shared" si="112"/>
        <v>0</v>
      </c>
      <c r="AI184" s="442"/>
      <c r="AJ184" s="441">
        <f t="shared" si="112"/>
        <v>0</v>
      </c>
      <c r="AK184" s="442"/>
      <c r="AL184" s="441">
        <f t="shared" si="112"/>
        <v>-1.2789769243681803E-13</v>
      </c>
      <c r="AM184" s="442"/>
      <c r="AN184" s="441">
        <f t="shared" si="112"/>
        <v>1.4210854715202004E-13</v>
      </c>
      <c r="AO184" s="442"/>
      <c r="AP184" s="441">
        <f t="shared" ref="AP184" si="113">(AP170+AP171-AP175-AP176-AP177-AP178-AP182)-AP183</f>
        <v>-1.7053025658242404E-13</v>
      </c>
      <c r="AQ184" s="442"/>
      <c r="AR184" s="441">
        <f t="shared" ref="AR184" si="114">(AR170+AR171-AR175-AR176-AR177-AR178-AR182)-AR183</f>
        <v>0</v>
      </c>
      <c r="AS184" s="442"/>
      <c r="AT184" s="441">
        <f t="shared" ref="AT184" si="115">(AT170+AT171-AT175-AT176-AT177-AT178-AT182)-AT183</f>
        <v>0</v>
      </c>
      <c r="AU184" s="442"/>
      <c r="AV184" s="441">
        <f t="shared" ref="AV184" si="116">(AV170+AV171-AV175-AV176-AV177-AV178-AV182)-AV183</f>
        <v>0</v>
      </c>
      <c r="AW184" s="442"/>
      <c r="AX184" s="409"/>
      <c r="AY184" s="441"/>
      <c r="AZ184" s="442"/>
      <c r="BA184" s="441"/>
      <c r="BB184" s="442"/>
      <c r="BC184" s="441"/>
      <c r="BD184" s="442"/>
      <c r="BE184" s="441"/>
      <c r="BF184" s="442"/>
      <c r="BG184" s="441"/>
      <c r="BH184" s="442"/>
      <c r="BI184" s="441"/>
      <c r="BJ184" s="442"/>
      <c r="BK184" s="441"/>
      <c r="BL184" s="442"/>
      <c r="BM184" s="441"/>
      <c r="BN184" s="442"/>
      <c r="BO184" s="441"/>
      <c r="BP184" s="442"/>
      <c r="BQ184" s="441"/>
      <c r="BR184" s="442"/>
      <c r="BS184" s="441">
        <f t="shared" ref="BS184" si="117">(BS170+BS171-BS175-BS176-BS177-BS178-BS182)-BS183</f>
        <v>0</v>
      </c>
      <c r="BT184" s="442"/>
      <c r="BU184" s="441">
        <f t="shared" ref="BU184" si="118">(BU170+BU171-BU175-BU176-BU177-BU178-BU182)-BU183</f>
        <v>4.5474735088646412E-13</v>
      </c>
      <c r="BV184" s="442"/>
      <c r="BW184" s="441">
        <f t="shared" ref="BW184" si="119">(BW170+BW171-BW175-BW176-BW177-BW178-BW182)-BW183</f>
        <v>3.979039320256561E-13</v>
      </c>
      <c r="BX184" s="442"/>
      <c r="BY184" s="441">
        <f t="shared" ref="BY184:CA184" si="120">(BY170+BY171-BY175-BY176-BY177-BY178-BY182)-BY183</f>
        <v>0</v>
      </c>
      <c r="BZ184" s="442"/>
      <c r="CA184" s="441">
        <f t="shared" si="120"/>
        <v>6.8212102632969618E-13</v>
      </c>
      <c r="CB184" s="442"/>
      <c r="CC184" s="441">
        <f t="shared" ref="CC184" si="121">(CC170+CC171-CC175-CC176-CC177-CC178-CC182)-CC183</f>
        <v>7.9580786405131221E-13</v>
      </c>
      <c r="CD184" s="442"/>
      <c r="CE184" s="441">
        <f t="shared" ref="CE184" si="122">(CE170+CE171-CE175-CE176-CE177-CE178-CE182)-CE183</f>
        <v>0</v>
      </c>
      <c r="CF184" s="442"/>
      <c r="CG184" s="441">
        <f t="shared" ref="CG184:CI184" si="123">(CG170+CG171-CG175-CG176-CG177-CG178-CG182)-CG183</f>
        <v>4.5474735088646412E-13</v>
      </c>
      <c r="CH184" s="442"/>
      <c r="CI184" s="441">
        <f t="shared" si="123"/>
        <v>0</v>
      </c>
      <c r="CJ184" s="442"/>
      <c r="CK184" s="441">
        <f t="shared" ref="CK184" si="124">(CK170+CK171-CK175-CK176-CK177-CK178-CK182)-CK183</f>
        <v>0</v>
      </c>
      <c r="CL184" s="442"/>
      <c r="CM184" s="442"/>
    </row>
    <row r="185" spans="1:91" ht="12" hidden="1" customHeight="1" outlineLevel="1" x14ac:dyDescent="0.2">
      <c r="A185" s="420"/>
      <c r="B185" s="425"/>
      <c r="C185" s="424"/>
      <c r="D185" s="425"/>
      <c r="E185" s="424"/>
      <c r="F185" s="425"/>
      <c r="G185" s="424"/>
      <c r="H185" s="425"/>
      <c r="I185" s="424"/>
      <c r="J185" s="425"/>
      <c r="K185" s="424"/>
      <c r="L185" s="425"/>
      <c r="M185" s="424"/>
      <c r="N185" s="425"/>
      <c r="O185" s="424"/>
      <c r="P185" s="425"/>
      <c r="Q185" s="424"/>
      <c r="R185" s="425"/>
      <c r="S185" s="424"/>
      <c r="T185" s="425"/>
      <c r="U185" s="424"/>
      <c r="V185" s="425"/>
      <c r="W185" s="424"/>
      <c r="X185" s="425"/>
      <c r="Y185" s="424"/>
      <c r="Z185" s="425"/>
      <c r="AA185" s="424"/>
      <c r="AB185" s="425"/>
      <c r="AC185" s="424"/>
      <c r="AD185" s="425"/>
      <c r="AE185" s="424"/>
      <c r="AF185" s="425"/>
      <c r="AG185" s="424"/>
      <c r="AH185" s="425"/>
      <c r="AI185" s="424"/>
      <c r="AJ185" s="425"/>
      <c r="AK185" s="424"/>
      <c r="AL185" s="425"/>
      <c r="AM185" s="424"/>
      <c r="AN185" s="425"/>
      <c r="AO185" s="424"/>
      <c r="AP185" s="425"/>
      <c r="AQ185" s="424"/>
      <c r="AR185" s="425"/>
      <c r="AS185" s="424"/>
      <c r="AT185" s="425"/>
      <c r="AU185" s="424"/>
      <c r="AV185" s="425"/>
      <c r="AW185" s="424"/>
      <c r="AX185" s="425"/>
      <c r="AY185" s="425"/>
      <c r="AZ185" s="424"/>
      <c r="BA185" s="425"/>
      <c r="BB185" s="424"/>
      <c r="BC185" s="425"/>
      <c r="BD185" s="424"/>
      <c r="BE185" s="425"/>
      <c r="BF185" s="382"/>
      <c r="BG185" s="425"/>
      <c r="BH185" s="382"/>
      <c r="BI185" s="425"/>
      <c r="BJ185" s="382"/>
      <c r="BK185" s="425"/>
      <c r="BL185" s="382"/>
      <c r="BM185" s="425"/>
      <c r="BN185" s="382"/>
      <c r="BO185" s="425"/>
      <c r="BP185" s="382"/>
      <c r="BQ185" s="425"/>
      <c r="BR185" s="382"/>
      <c r="BS185" s="425"/>
      <c r="BT185" s="382"/>
      <c r="BU185" s="425"/>
      <c r="BV185" s="382"/>
      <c r="BW185" s="425"/>
      <c r="BX185" s="382"/>
      <c r="BY185" s="425"/>
      <c r="BZ185" s="382"/>
      <c r="CA185" s="425"/>
      <c r="CB185" s="382"/>
      <c r="CC185" s="425"/>
      <c r="CD185" s="382"/>
      <c r="CE185" s="425"/>
      <c r="CF185" s="382"/>
      <c r="CG185" s="425"/>
      <c r="CH185" s="382"/>
      <c r="CI185" s="425"/>
      <c r="CJ185" s="382"/>
      <c r="CK185" s="425"/>
      <c r="CL185" s="382"/>
      <c r="CM185" s="424"/>
    </row>
    <row r="186" spans="1:91" ht="12" hidden="1" customHeight="1" outlineLevel="1" x14ac:dyDescent="0.2">
      <c r="A186" s="394" t="s">
        <v>606</v>
      </c>
      <c r="B186" s="398"/>
      <c r="C186" s="399"/>
      <c r="D186" s="398"/>
      <c r="E186" s="399"/>
      <c r="F186" s="398"/>
      <c r="G186" s="399"/>
      <c r="H186" s="398"/>
      <c r="I186" s="399"/>
      <c r="J186" s="398"/>
      <c r="K186" s="399"/>
      <c r="L186" s="398"/>
      <c r="M186" s="399"/>
      <c r="N186" s="398"/>
      <c r="O186" s="399"/>
      <c r="P186" s="398"/>
      <c r="Q186" s="399"/>
      <c r="R186" s="398"/>
      <c r="S186" s="399"/>
      <c r="T186" s="398"/>
      <c r="U186" s="399"/>
      <c r="V186" s="398"/>
      <c r="W186" s="399"/>
      <c r="X186" s="398"/>
      <c r="Y186" s="399"/>
      <c r="Z186" s="398"/>
      <c r="AA186" s="399"/>
      <c r="AB186" s="398"/>
      <c r="AC186" s="399"/>
      <c r="AD186" s="398"/>
      <c r="AE186" s="399"/>
      <c r="AF186" s="398"/>
      <c r="AG186" s="399"/>
      <c r="AH186" s="398"/>
      <c r="AI186" s="399"/>
      <c r="AJ186" s="398"/>
      <c r="AK186" s="399"/>
      <c r="AL186" s="398"/>
      <c r="AM186" s="399"/>
      <c r="AN186" s="398"/>
      <c r="AO186" s="399"/>
      <c r="AP186" s="398"/>
      <c r="AQ186" s="399"/>
      <c r="AR186" s="398"/>
      <c r="AS186" s="399"/>
      <c r="AT186" s="398"/>
      <c r="AU186" s="399"/>
      <c r="AV186" s="398"/>
      <c r="AW186" s="399"/>
      <c r="AX186" s="398"/>
      <c r="AY186" s="398"/>
      <c r="AZ186" s="399"/>
      <c r="BA186" s="398"/>
      <c r="BB186" s="399"/>
      <c r="BC186" s="398"/>
      <c r="BD186" s="399"/>
      <c r="BE186" s="398"/>
      <c r="BF186" s="396"/>
      <c r="BG186" s="398"/>
      <c r="BH186" s="396"/>
      <c r="BI186" s="398"/>
      <c r="BJ186" s="396"/>
      <c r="BK186" s="398"/>
      <c r="BL186" s="396"/>
      <c r="BM186" s="398"/>
      <c r="BN186" s="396"/>
      <c r="BO186" s="398"/>
      <c r="BP186" s="396"/>
      <c r="BQ186" s="398"/>
      <c r="BR186" s="396"/>
      <c r="BS186" s="398"/>
      <c r="BT186" s="396"/>
      <c r="BU186" s="398"/>
      <c r="BV186" s="396"/>
      <c r="BW186" s="398"/>
      <c r="BX186" s="396"/>
      <c r="BY186" s="398"/>
      <c r="BZ186" s="396"/>
      <c r="CA186" s="398"/>
      <c r="CB186" s="396"/>
      <c r="CC186" s="398"/>
      <c r="CD186" s="396"/>
      <c r="CE186" s="398"/>
      <c r="CF186" s="396"/>
      <c r="CG186" s="398"/>
      <c r="CH186" s="396"/>
      <c r="CI186" s="398"/>
      <c r="CJ186" s="396"/>
      <c r="CK186" s="398"/>
      <c r="CL186" s="396"/>
      <c r="CM186" s="399"/>
    </row>
    <row r="187" spans="1:91" ht="12" hidden="1" customHeight="1" outlineLevel="1" x14ac:dyDescent="0.2">
      <c r="A187" s="400" t="s">
        <v>250</v>
      </c>
      <c r="B187" s="404">
        <f>INPUT!C719</f>
        <v>25.4427149783108</v>
      </c>
      <c r="C187" s="399" t="str">
        <f>INPUT!D719</f>
        <v>NA</v>
      </c>
      <c r="D187" s="404">
        <f>INPUT!E719</f>
        <v>20.678570687903118</v>
      </c>
      <c r="E187" s="399" t="str">
        <f>INPUT!F719</f>
        <v>NA</v>
      </c>
      <c r="F187" s="404">
        <f>INPUT!G719</f>
        <v>21.35906418372155</v>
      </c>
      <c r="G187" s="399" t="str">
        <f>INPUT!H719</f>
        <v>NA</v>
      </c>
      <c r="H187" s="404">
        <f>INPUT!I719</f>
        <v>17.227448378156833</v>
      </c>
      <c r="I187" s="399" t="str">
        <f>INPUT!J719</f>
        <v>NA</v>
      </c>
      <c r="J187" s="404">
        <f>INPUT!K719</f>
        <v>18.562596273554067</v>
      </c>
      <c r="K187" s="399">
        <f>INPUT!L719</f>
        <v>-27.041605860938347</v>
      </c>
      <c r="L187" s="404">
        <f>INPUT!M719</f>
        <v>16.812674743709231</v>
      </c>
      <c r="M187" s="399">
        <f>INPUT!N719</f>
        <v>-18.695179674364155</v>
      </c>
      <c r="N187" s="404">
        <f>INPUT!O719</f>
        <v>15.582535515750493</v>
      </c>
      <c r="O187" s="399">
        <f>INPUT!P719</f>
        <v>-27.044858418345598</v>
      </c>
      <c r="P187" s="404">
        <f>INPUT!Q719</f>
        <v>14.8963531669866</v>
      </c>
      <c r="Q187" s="399">
        <f>INPUT!R719</f>
        <v>-13.531285423126818</v>
      </c>
      <c r="R187" s="404">
        <f>INPUT!S719</f>
        <v>14.035590725767896</v>
      </c>
      <c r="S187" s="399">
        <f>INPUT!T719</f>
        <v>-24.387782188829632</v>
      </c>
      <c r="T187" s="404">
        <f>INPUT!U719</f>
        <v>16.930982546292196</v>
      </c>
      <c r="U187" s="399">
        <f>INPUT!V719</f>
        <v>0.70368221824568877</v>
      </c>
      <c r="V187" s="404">
        <f>INPUT!W719</f>
        <v>15.563735138965457</v>
      </c>
      <c r="W187" s="399">
        <f>INPUT!X719</f>
        <v>-0.12065030601748106</v>
      </c>
      <c r="X187" s="404">
        <f>INPUT!Y719</f>
        <v>16.009280742459399</v>
      </c>
      <c r="Y187" s="399">
        <f>INPUT!Z719</f>
        <v>7.4711411779580885</v>
      </c>
      <c r="Z187" s="404">
        <f>INPUT!AA719</f>
        <v>18.916643278136398</v>
      </c>
      <c r="AA187" s="399">
        <f>INPUT!AB719</f>
        <v>34.776253082154852</v>
      </c>
      <c r="AB187" s="404">
        <f>INPUT!AC719</f>
        <v>16.280148423005553</v>
      </c>
      <c r="AC187" s="399">
        <f>INPUT!AD719</f>
        <v>-3.8440422551210673</v>
      </c>
      <c r="AD187" s="404">
        <f>INPUT!AE719</f>
        <v>14.841305319624492</v>
      </c>
      <c r="AE187" s="399">
        <f>INPUT!AF719</f>
        <v>-4.6417509221953139</v>
      </c>
      <c r="AF187" s="404">
        <f>INPUT!AG719</f>
        <v>16.455972101133344</v>
      </c>
      <c r="AG187" s="399">
        <f>INPUT!AH719</f>
        <v>2.7902025447604331</v>
      </c>
      <c r="AH187" s="404">
        <f>INPUT!AI719</f>
        <v>21.009337483325947</v>
      </c>
      <c r="AI187" s="399">
        <f>INPUT!AJ719</f>
        <v>11.062714322092532</v>
      </c>
      <c r="AJ187" s="404">
        <f>INPUT!AK719</f>
        <v>18.243105209397378</v>
      </c>
      <c r="AK187" s="399">
        <f>INPUT!AL719</f>
        <v>12.057364192195934</v>
      </c>
      <c r="AL187" s="404">
        <f>INPUT!AM719</f>
        <v>15.983843046739782</v>
      </c>
      <c r="AM187" s="399">
        <f>INPUT!AN719</f>
        <v>7.698364143243694</v>
      </c>
      <c r="AN187" s="404">
        <f>INPUT!AO719</f>
        <v>16.560088202866531</v>
      </c>
      <c r="AO187" s="399">
        <f>INPUT!AP719</f>
        <v>0.63269493344617445</v>
      </c>
      <c r="AP187" s="404">
        <f>INPUT!AQ719</f>
        <v>18.196750376290698</v>
      </c>
      <c r="AQ187" s="399">
        <f>INPUT!AR719</f>
        <v>-13.38731937295718</v>
      </c>
      <c r="AR187" s="404">
        <f>INPUT!AS719</f>
        <v>17.04430065527055</v>
      </c>
      <c r="AS187" s="399">
        <f>INPUT!AT719</f>
        <v>-6.5712746835955329</v>
      </c>
      <c r="AT187" s="404">
        <f>INPUT!AU719</f>
        <v>16.629925813469637</v>
      </c>
      <c r="AU187" s="399">
        <f>INPUT!AV719</f>
        <v>4.0420990423929197</v>
      </c>
      <c r="AV187" s="404">
        <f>INPUT!AW719</f>
        <v>15.865556070903223</v>
      </c>
      <c r="AW187" s="399">
        <f>INPUT!AX719</f>
        <v>-4.1940122749049493</v>
      </c>
      <c r="AX187" s="398"/>
      <c r="AY187" s="404"/>
      <c r="AZ187" s="399"/>
      <c r="BA187" s="404"/>
      <c r="BB187" s="399"/>
      <c r="BC187" s="404"/>
      <c r="BD187" s="399"/>
      <c r="BE187" s="404"/>
      <c r="BF187" s="396"/>
      <c r="BG187" s="404"/>
      <c r="BH187" s="396"/>
      <c r="BI187" s="404"/>
      <c r="BJ187" s="396"/>
      <c r="BK187" s="404"/>
      <c r="BL187" s="396"/>
      <c r="BM187" s="404"/>
      <c r="BN187" s="396"/>
      <c r="BO187" s="404"/>
      <c r="BP187" s="396"/>
      <c r="BQ187" s="404"/>
      <c r="BR187" s="396"/>
      <c r="BS187" s="404">
        <f>INPUT!BB719</f>
        <v>20.908460471567242</v>
      </c>
      <c r="BT187" s="396" t="str">
        <f>INPUT!BC719</f>
        <v>NA</v>
      </c>
      <c r="BU187" s="404">
        <f>INPUT!BD719</f>
        <v>16.419206729479033</v>
      </c>
      <c r="BV187" s="396">
        <f>INPUT!BE719</f>
        <v>-21.47099136348659</v>
      </c>
      <c r="BW187" s="404">
        <f>INPUT!BF719</f>
        <v>15.657457984693963</v>
      </c>
      <c r="BX187" s="396">
        <f>INPUT!BG719</f>
        <v>-4.6393760510818538</v>
      </c>
      <c r="BY187" s="404">
        <f>INPUT!BH719</f>
        <v>16.50233217216746</v>
      </c>
      <c r="BZ187" s="396">
        <f>INPUT!BI719</f>
        <v>5.3959856593542241</v>
      </c>
      <c r="CA187" s="404">
        <f>INPUT!BJ719</f>
        <v>17.880483086736021</v>
      </c>
      <c r="CB187" s="396">
        <f>INPUT!BK719</f>
        <v>8.3512493882102632</v>
      </c>
      <c r="CC187" s="404">
        <f>INPUT!BL719</f>
        <v>16.906827381377447</v>
      </c>
      <c r="CD187" s="396">
        <f>INPUT!BM719</f>
        <v>-5.4453545837407802</v>
      </c>
      <c r="CE187" s="404">
        <f>INPUT!BN719</f>
        <v>16.646103072966394</v>
      </c>
      <c r="CF187" s="396">
        <f>INPUT!BO719</f>
        <v>-1.5421243887438862</v>
      </c>
      <c r="CG187" s="404">
        <f>INPUT!BP719</f>
        <v>16.744862589068468</v>
      </c>
      <c r="CH187" s="396">
        <f>INPUT!BQ719</f>
        <v>0.59328910597977824</v>
      </c>
      <c r="CI187" s="404">
        <f>INPUT!BR719</f>
        <v>16.901896177802762</v>
      </c>
      <c r="CJ187" s="396">
        <f>INPUT!BS719</f>
        <v>0.93780159675247887</v>
      </c>
      <c r="CK187" s="404">
        <f>INPUT!BT719</f>
        <v>17.046234839353033</v>
      </c>
      <c r="CL187" s="396">
        <f>INPUT!BU719</f>
        <v>0.8539791040713709</v>
      </c>
      <c r="CM187" s="424">
        <f>INPUT!BV719</f>
        <v>-0.9510573457798599</v>
      </c>
    </row>
    <row r="188" spans="1:91" ht="12" hidden="1" customHeight="1" outlineLevel="1" x14ac:dyDescent="0.2">
      <c r="A188" s="394"/>
      <c r="B188" s="398"/>
      <c r="C188" s="399"/>
      <c r="D188" s="398"/>
      <c r="E188" s="396"/>
      <c r="F188" s="398"/>
      <c r="G188" s="396"/>
      <c r="H188" s="398"/>
      <c r="I188" s="396"/>
      <c r="J188" s="398"/>
      <c r="K188" s="396"/>
      <c r="L188" s="398"/>
      <c r="M188" s="396"/>
      <c r="N188" s="398"/>
      <c r="O188" s="396"/>
      <c r="P188" s="398"/>
      <c r="Q188" s="396"/>
      <c r="R188" s="398"/>
      <c r="S188" s="396"/>
      <c r="T188" s="398"/>
      <c r="U188" s="396"/>
      <c r="V188" s="398"/>
      <c r="W188" s="396"/>
      <c r="X188" s="398"/>
      <c r="Y188" s="396"/>
      <c r="Z188" s="398"/>
      <c r="AA188" s="396"/>
      <c r="AB188" s="398"/>
      <c r="AC188" s="396"/>
      <c r="AD188" s="398"/>
      <c r="AE188" s="396"/>
      <c r="AF188" s="398"/>
      <c r="AG188" s="396"/>
      <c r="AH188" s="398"/>
      <c r="AI188" s="396"/>
      <c r="AJ188" s="398"/>
      <c r="AK188" s="396"/>
      <c r="AL188" s="398"/>
      <c r="AM188" s="396"/>
      <c r="AN188" s="398"/>
      <c r="AO188" s="396"/>
      <c r="AP188" s="398"/>
      <c r="AQ188" s="396"/>
      <c r="AR188" s="398"/>
      <c r="AS188" s="396"/>
      <c r="AT188" s="398"/>
      <c r="AU188" s="396"/>
      <c r="AV188" s="398"/>
      <c r="AW188" s="396"/>
      <c r="AX188" s="398"/>
      <c r="AY188" s="398"/>
      <c r="AZ188" s="399"/>
      <c r="BA188" s="398"/>
      <c r="BB188" s="399"/>
      <c r="BC188" s="398"/>
      <c r="BD188" s="399"/>
      <c r="BE188" s="398"/>
      <c r="BF188" s="396"/>
      <c r="BG188" s="398"/>
      <c r="BH188" s="396"/>
      <c r="BI188" s="398"/>
      <c r="BJ188" s="396"/>
      <c r="BK188" s="398"/>
      <c r="BL188" s="396"/>
      <c r="BM188" s="398"/>
      <c r="BN188" s="396"/>
      <c r="BO188" s="398"/>
      <c r="BP188" s="396"/>
      <c r="BQ188" s="398"/>
      <c r="BR188" s="396"/>
      <c r="BS188" s="398"/>
      <c r="BT188" s="396"/>
      <c r="BU188" s="398"/>
      <c r="BV188" s="396"/>
      <c r="BW188" s="398"/>
      <c r="BX188" s="396"/>
      <c r="BY188" s="398"/>
      <c r="BZ188" s="396"/>
      <c r="CA188" s="398"/>
      <c r="CB188" s="396"/>
      <c r="CC188" s="398"/>
      <c r="CD188" s="396"/>
      <c r="CE188" s="398"/>
      <c r="CF188" s="396"/>
      <c r="CG188" s="398"/>
      <c r="CH188" s="396"/>
      <c r="CI188" s="398"/>
      <c r="CJ188" s="396"/>
      <c r="CK188" s="398"/>
      <c r="CL188" s="396"/>
      <c r="CM188" s="424"/>
    </row>
    <row r="189" spans="1:91" ht="12" hidden="1" customHeight="1" outlineLevel="1" x14ac:dyDescent="0.2">
      <c r="A189" s="394" t="s">
        <v>412</v>
      </c>
      <c r="B189" s="398"/>
      <c r="C189" s="399"/>
      <c r="D189" s="398"/>
      <c r="E189" s="396"/>
      <c r="F189" s="398"/>
      <c r="G189" s="396"/>
      <c r="H189" s="398"/>
      <c r="I189" s="396"/>
      <c r="J189" s="398"/>
      <c r="K189" s="396"/>
      <c r="L189" s="398"/>
      <c r="M189" s="396"/>
      <c r="N189" s="398"/>
      <c r="O189" s="396"/>
      <c r="P189" s="398"/>
      <c r="Q189" s="396"/>
      <c r="R189" s="398"/>
      <c r="S189" s="396"/>
      <c r="T189" s="398"/>
      <c r="U189" s="396"/>
      <c r="V189" s="398"/>
      <c r="W189" s="396"/>
      <c r="X189" s="398"/>
      <c r="Y189" s="396"/>
      <c r="Z189" s="398"/>
      <c r="AA189" s="396"/>
      <c r="AB189" s="398"/>
      <c r="AC189" s="396"/>
      <c r="AD189" s="398"/>
      <c r="AE189" s="396"/>
      <c r="AF189" s="398"/>
      <c r="AG189" s="396"/>
      <c r="AH189" s="398"/>
      <c r="AI189" s="396"/>
      <c r="AJ189" s="398"/>
      <c r="AK189" s="396"/>
      <c r="AL189" s="398"/>
      <c r="AM189" s="396"/>
      <c r="AN189" s="398"/>
      <c r="AO189" s="396"/>
      <c r="AP189" s="398"/>
      <c r="AQ189" s="396"/>
      <c r="AR189" s="398"/>
      <c r="AS189" s="396"/>
      <c r="AT189" s="398"/>
      <c r="AU189" s="396"/>
      <c r="AV189" s="398"/>
      <c r="AW189" s="396"/>
      <c r="AX189" s="398"/>
      <c r="AY189" s="398"/>
      <c r="AZ189" s="399"/>
      <c r="BA189" s="398"/>
      <c r="BB189" s="399"/>
      <c r="BC189" s="398"/>
      <c r="BD189" s="399"/>
      <c r="BE189" s="398"/>
      <c r="BF189" s="396"/>
      <c r="BG189" s="398"/>
      <c r="BH189" s="396"/>
      <c r="BI189" s="398"/>
      <c r="BJ189" s="396"/>
      <c r="BK189" s="398"/>
      <c r="BL189" s="396"/>
      <c r="BM189" s="398"/>
      <c r="BN189" s="396"/>
      <c r="BO189" s="398"/>
      <c r="BP189" s="396"/>
      <c r="BQ189" s="398"/>
      <c r="BR189" s="396"/>
      <c r="BS189" s="398"/>
      <c r="BT189" s="396"/>
      <c r="BU189" s="398"/>
      <c r="BV189" s="396"/>
      <c r="BW189" s="398"/>
      <c r="BX189" s="396"/>
      <c r="BY189" s="398"/>
      <c r="BZ189" s="396"/>
      <c r="CA189" s="398"/>
      <c r="CB189" s="396"/>
      <c r="CC189" s="398"/>
      <c r="CD189" s="396"/>
      <c r="CE189" s="398"/>
      <c r="CF189" s="396"/>
      <c r="CG189" s="398"/>
      <c r="CH189" s="396"/>
      <c r="CI189" s="398"/>
      <c r="CJ189" s="396"/>
      <c r="CK189" s="398"/>
      <c r="CL189" s="396"/>
      <c r="CM189" s="424"/>
    </row>
    <row r="190" spans="1:91" ht="12" hidden="1" customHeight="1" outlineLevel="1" x14ac:dyDescent="0.2">
      <c r="A190" s="400" t="s">
        <v>607</v>
      </c>
      <c r="B190" s="401"/>
      <c r="C190" s="424"/>
      <c r="D190" s="401"/>
      <c r="E190" s="382"/>
      <c r="F190" s="401"/>
      <c r="G190" s="382"/>
      <c r="H190" s="401"/>
      <c r="I190" s="382"/>
      <c r="J190" s="401"/>
      <c r="K190" s="382"/>
      <c r="L190" s="401"/>
      <c r="M190" s="382"/>
      <c r="N190" s="401">
        <f>+INPUT!O127</f>
        <v>0.80649350649350826</v>
      </c>
      <c r="O190" s="382" t="str">
        <f>+INPUT!P127</f>
        <v>NA</v>
      </c>
      <c r="P190" s="401">
        <f>+INPUT!Q127</f>
        <v>0.77406807131280597</v>
      </c>
      <c r="Q190" s="382" t="str">
        <f>+INPUT!R127</f>
        <v>NA</v>
      </c>
      <c r="R190" s="401">
        <f>+INPUT!S127</f>
        <v>0.78838709677419239</v>
      </c>
      <c r="S190" s="382" t="str">
        <f>+INPUT!T127</f>
        <v>NA</v>
      </c>
      <c r="T190" s="401">
        <f>+INPUT!U127</f>
        <v>0.93929712460063908</v>
      </c>
      <c r="U190" s="382" t="str">
        <f>+INPUT!V127</f>
        <v>NA</v>
      </c>
      <c r="V190" s="401">
        <f>+INPUT!W127</f>
        <v>0.62375000000000114</v>
      </c>
      <c r="W190" s="382">
        <f>+INPUT!X127</f>
        <v>-22.659017713365571</v>
      </c>
      <c r="X190" s="401">
        <f>+INPUT!Y127</f>
        <v>0.75731707317073194</v>
      </c>
      <c r="Y190" s="382">
        <f>+INPUT!Z127</f>
        <v>-2.1640213261431427</v>
      </c>
      <c r="Z190" s="401">
        <f>+INPUT!AA127</f>
        <v>0.79294117647058793</v>
      </c>
      <c r="AA190" s="382">
        <f>+INPUT!AB127</f>
        <v>0.57764513333987111</v>
      </c>
      <c r="AB190" s="401">
        <f>+INPUT!AC127</f>
        <v>0.7921015514809584</v>
      </c>
      <c r="AC190" s="382">
        <f>+INPUT!AD127</f>
        <v>-15.670821219884374</v>
      </c>
      <c r="AD190" s="401">
        <f>+INPUT!AE127</f>
        <v>0.83746556473829203</v>
      </c>
      <c r="AE190" s="382">
        <f>+INPUT!AF127</f>
        <v>34.263016390908291</v>
      </c>
      <c r="AF190" s="401">
        <f>+INPUT!AG127</f>
        <v>0.94594594594594361</v>
      </c>
      <c r="AG190" s="382">
        <f>+INPUT!AH127</f>
        <v>24.907516211863694</v>
      </c>
      <c r="AH190" s="401">
        <f>+INPUT!AI127</f>
        <v>1.0459921156373204</v>
      </c>
      <c r="AI190" s="382">
        <f>+INPUT!AJ127</f>
        <v>31.912952268801604</v>
      </c>
      <c r="AJ190" s="401">
        <f>+INPUT!AK127</f>
        <v>0.99150579150579332</v>
      </c>
      <c r="AK190" s="382">
        <f>+INPUT!AL127</f>
        <v>25.174075174075512</v>
      </c>
      <c r="AL190" s="401">
        <f>+INPUT!AM127</f>
        <v>1.0248431618569649</v>
      </c>
      <c r="AM190" s="382">
        <f>+INPUT!AN127</f>
        <v>22.374364392788905</v>
      </c>
      <c r="AN190" s="401">
        <f>+INPUT!AO127</f>
        <v>0.73717791411042632</v>
      </c>
      <c r="AO190" s="382">
        <f>+INPUT!AP127</f>
        <v>-22.069763365469015</v>
      </c>
      <c r="AP190" s="401">
        <f>+INPUT!AQ127</f>
        <v>0.86803680981595266</v>
      </c>
      <c r="AQ190" s="382">
        <f>+INPUT!AR127</f>
        <v>-17.013063785183519</v>
      </c>
      <c r="AR190" s="401">
        <f>+INPUT!AS127</f>
        <v>0.81803680981594962</v>
      </c>
      <c r="AS190" s="382">
        <f>+INPUT!AT127</f>
        <v>-17.495508667316756</v>
      </c>
      <c r="AT190" s="401">
        <f>+INPUT!AU127</f>
        <v>0.81803680981595195</v>
      </c>
      <c r="AU190" s="382">
        <f>+INPUT!AV127</f>
        <v>-20.179317161690392</v>
      </c>
      <c r="AV190" s="401">
        <f>+INPUT!AW127</f>
        <v>0.79803680981595237</v>
      </c>
      <c r="AW190" s="382">
        <f>+INPUT!AX127</f>
        <v>8.2556591211724282</v>
      </c>
      <c r="AX190" s="398"/>
      <c r="AY190" s="401"/>
      <c r="AZ190" s="424"/>
      <c r="BA190" s="401"/>
      <c r="BB190" s="424"/>
      <c r="BC190" s="401"/>
      <c r="BD190" s="424"/>
      <c r="BE190" s="401"/>
      <c r="BF190" s="382"/>
      <c r="BG190" s="401"/>
      <c r="BH190" s="382"/>
      <c r="BI190" s="401"/>
      <c r="BJ190" s="382"/>
      <c r="BK190" s="401"/>
      <c r="BL190" s="382"/>
      <c r="BM190" s="401"/>
      <c r="BN190" s="382"/>
      <c r="BO190" s="401"/>
      <c r="BP190" s="382"/>
      <c r="BQ190" s="401"/>
      <c r="BR190" s="382"/>
      <c r="BS190" s="401">
        <f>+INPUT!BB127</f>
        <v>0</v>
      </c>
      <c r="BT190" s="382" t="str">
        <f>+INPUT!BC127</f>
        <v>NA</v>
      </c>
      <c r="BU190" s="401">
        <f>+INPUT!BD127</f>
        <v>0</v>
      </c>
      <c r="BV190" s="382" t="str">
        <f>+INPUT!BE127</f>
        <v>NA</v>
      </c>
      <c r="BW190" s="401">
        <f>+INPUT!BF127</f>
        <v>0.77608182533438064</v>
      </c>
      <c r="BX190" s="382" t="str">
        <f>+INPUT!BG127</f>
        <v>NA</v>
      </c>
      <c r="BY190" s="401">
        <f>+INPUT!BH127</f>
        <v>0.84371278458844245</v>
      </c>
      <c r="BZ190" s="382">
        <f>+INPUT!BI127</f>
        <v>8.7144109095613089</v>
      </c>
      <c r="CA190" s="401">
        <f>+INPUT!BJ127</f>
        <v>0.94730158730158731</v>
      </c>
      <c r="CB190" s="382">
        <f>+INPUT!BK127</f>
        <v>12.277732968533229</v>
      </c>
      <c r="CC190" s="401">
        <f>+INPUT!BL127</f>
        <v>0.82522664090370712</v>
      </c>
      <c r="CD190" s="382">
        <f>+INPUT!BM127</f>
        <v>-12.886597893878104</v>
      </c>
      <c r="CE190" s="401">
        <f>+INPUT!BN127</f>
        <v>0.81522664090370889</v>
      </c>
      <c r="CF190" s="382">
        <f>+INPUT!BO127</f>
        <v>-1.2117883141832664</v>
      </c>
      <c r="CG190" s="401">
        <f>+INPUT!BP127</f>
        <v>0.82522664090370768</v>
      </c>
      <c r="CH190" s="382">
        <f>+INPUT!BQ127</f>
        <v>1.2266527488495029</v>
      </c>
      <c r="CI190" s="401">
        <f>+INPUT!BR127</f>
        <v>0.83522664090371124</v>
      </c>
      <c r="CJ190" s="382">
        <f>+INPUT!BS127</f>
        <v>1.2117883141839201</v>
      </c>
      <c r="CK190" s="401">
        <f>+INPUT!BT127</f>
        <v>0.8452266409037118</v>
      </c>
      <c r="CL190" s="382">
        <f>+INPUT!BU127</f>
        <v>1.1972798172697878</v>
      </c>
      <c r="CM190" s="424">
        <f>+INPUT!BV127</f>
        <v>-2.2544527510856671</v>
      </c>
    </row>
    <row r="191" spans="1:91" ht="12" hidden="1" customHeight="1" outlineLevel="1" x14ac:dyDescent="0.2">
      <c r="A191" s="394"/>
      <c r="B191" s="398"/>
      <c r="C191" s="424"/>
      <c r="D191" s="398"/>
      <c r="E191" s="382"/>
      <c r="F191" s="398"/>
      <c r="G191" s="382"/>
      <c r="H191" s="398"/>
      <c r="I191" s="382"/>
      <c r="J191" s="398"/>
      <c r="K191" s="382"/>
      <c r="L191" s="398"/>
      <c r="M191" s="382"/>
      <c r="N191" s="398"/>
      <c r="O191" s="382"/>
      <c r="P191" s="398"/>
      <c r="Q191" s="382"/>
      <c r="R191" s="398"/>
      <c r="S191" s="382"/>
      <c r="T191" s="398"/>
      <c r="U191" s="382"/>
      <c r="V191" s="398"/>
      <c r="W191" s="382"/>
      <c r="X191" s="398"/>
      <c r="Y191" s="382"/>
      <c r="Z191" s="398"/>
      <c r="AA191" s="382"/>
      <c r="AB191" s="398"/>
      <c r="AC191" s="382"/>
      <c r="AD191" s="398"/>
      <c r="AE191" s="382"/>
      <c r="AF191" s="398"/>
      <c r="AG191" s="382"/>
      <c r="AH191" s="398"/>
      <c r="AI191" s="382"/>
      <c r="AJ191" s="398"/>
      <c r="AK191" s="382"/>
      <c r="AL191" s="398"/>
      <c r="AM191" s="382"/>
      <c r="AN191" s="398"/>
      <c r="AO191" s="382"/>
      <c r="AP191" s="398"/>
      <c r="AQ191" s="382"/>
      <c r="AR191" s="398"/>
      <c r="AS191" s="382"/>
      <c r="AT191" s="398"/>
      <c r="AU191" s="382"/>
      <c r="AV191" s="398"/>
      <c r="AW191" s="382"/>
      <c r="AX191" s="398"/>
      <c r="AY191" s="398"/>
      <c r="AZ191" s="424"/>
      <c r="BA191" s="398"/>
      <c r="BB191" s="424"/>
      <c r="BC191" s="398"/>
      <c r="BD191" s="424"/>
      <c r="BE191" s="398"/>
      <c r="BF191" s="382"/>
      <c r="BG191" s="398"/>
      <c r="BH191" s="382"/>
      <c r="BI191" s="398"/>
      <c r="BJ191" s="382"/>
      <c r="BK191" s="398"/>
      <c r="BL191" s="382"/>
      <c r="BM191" s="398"/>
      <c r="BN191" s="382"/>
      <c r="BO191" s="398"/>
      <c r="BP191" s="382"/>
      <c r="BQ191" s="398"/>
      <c r="BR191" s="382"/>
      <c r="BS191" s="398"/>
      <c r="BT191" s="382"/>
      <c r="BU191" s="398"/>
      <c r="BV191" s="382"/>
      <c r="BW191" s="398"/>
      <c r="BX191" s="382"/>
      <c r="BY191" s="398"/>
      <c r="BZ191" s="382"/>
      <c r="CA191" s="398"/>
      <c r="CB191" s="382"/>
      <c r="CC191" s="398"/>
      <c r="CD191" s="382"/>
      <c r="CE191" s="398"/>
      <c r="CF191" s="382"/>
      <c r="CG191" s="398"/>
      <c r="CH191" s="382"/>
      <c r="CI191" s="398"/>
      <c r="CJ191" s="382"/>
      <c r="CK191" s="398"/>
      <c r="CL191" s="382"/>
      <c r="CM191" s="424" t="s">
        <v>200</v>
      </c>
    </row>
    <row r="192" spans="1:91" ht="19.5" hidden="1" customHeight="1" outlineLevel="1" x14ac:dyDescent="0.25">
      <c r="A192" s="471" t="str">
        <f>+$A$1</f>
        <v>Principal Financial Group</v>
      </c>
      <c r="B192" s="381"/>
      <c r="C192" s="382"/>
      <c r="D192" s="381"/>
      <c r="E192" s="382"/>
      <c r="F192" s="381"/>
      <c r="G192" s="382"/>
      <c r="H192" s="381"/>
      <c r="I192" s="382"/>
      <c r="J192" s="381"/>
      <c r="K192" s="382"/>
      <c r="L192" s="381"/>
      <c r="M192" s="382"/>
      <c r="N192" s="381"/>
      <c r="O192" s="382"/>
      <c r="P192" s="381"/>
      <c r="Q192" s="382"/>
      <c r="R192" s="381"/>
      <c r="S192" s="382"/>
      <c r="T192" s="381"/>
      <c r="U192" s="382"/>
      <c r="V192" s="381"/>
      <c r="W192" s="382"/>
      <c r="X192" s="381"/>
      <c r="Y192" s="382"/>
      <c r="Z192" s="381"/>
      <c r="AA192" s="382"/>
      <c r="AB192" s="381"/>
      <c r="AC192" s="382"/>
      <c r="AD192" s="381"/>
      <c r="AE192" s="382"/>
      <c r="AF192" s="381"/>
      <c r="AG192" s="382"/>
      <c r="AH192" s="381"/>
      <c r="AI192" s="382"/>
      <c r="AJ192" s="381"/>
      <c r="AK192" s="382"/>
      <c r="AL192" s="381"/>
      <c r="AM192" s="382"/>
      <c r="AN192" s="381"/>
      <c r="AO192" s="382"/>
      <c r="AP192" s="381"/>
      <c r="AQ192" s="382"/>
      <c r="AR192" s="381"/>
      <c r="AS192" s="382"/>
      <c r="AT192" s="381"/>
      <c r="AU192" s="382"/>
      <c r="AV192" s="381"/>
      <c r="AW192" s="382"/>
      <c r="AX192" s="382"/>
      <c r="AY192" s="381"/>
      <c r="AZ192" s="382"/>
      <c r="BA192" s="381"/>
      <c r="BB192" s="382"/>
      <c r="BC192" s="381"/>
      <c r="BD192" s="382"/>
      <c r="BE192" s="381"/>
      <c r="BF192" s="382"/>
      <c r="BG192" s="381"/>
      <c r="BH192" s="382"/>
      <c r="BI192" s="381"/>
      <c r="BJ192" s="382"/>
      <c r="BK192" s="381"/>
      <c r="BL192" s="382"/>
      <c r="BM192" s="381"/>
      <c r="BN192" s="382"/>
      <c r="BO192" s="381"/>
      <c r="BP192" s="382"/>
      <c r="BQ192" s="381"/>
      <c r="BR192" s="382"/>
      <c r="BS192" s="381"/>
      <c r="BT192" s="382"/>
      <c r="BU192" s="381"/>
      <c r="BV192" s="382"/>
      <c r="BW192" s="381"/>
      <c r="BX192" s="382"/>
      <c r="BY192" s="381"/>
      <c r="BZ192" s="382"/>
      <c r="CA192" s="381"/>
      <c r="CB192" s="382"/>
      <c r="CC192" s="381"/>
      <c r="CD192" s="382"/>
      <c r="CE192" s="381"/>
      <c r="CF192" s="382"/>
      <c r="CG192" s="381"/>
      <c r="CH192" s="382"/>
      <c r="CI192" s="381"/>
      <c r="CJ192" s="382"/>
      <c r="CK192" s="381"/>
      <c r="CL192" s="382"/>
      <c r="CM192" s="382"/>
    </row>
    <row r="193" spans="1:91" ht="12" hidden="1" customHeight="1" outlineLevel="1" x14ac:dyDescent="0.2">
      <c r="A193" s="383" t="s">
        <v>610</v>
      </c>
      <c r="B193" s="384"/>
      <c r="C193" s="385"/>
      <c r="D193" s="384"/>
      <c r="E193" s="385"/>
      <c r="F193" s="384"/>
      <c r="G193" s="385"/>
      <c r="H193" s="384"/>
      <c r="I193" s="385"/>
      <c r="J193" s="384"/>
      <c r="K193" s="385"/>
      <c r="L193" s="384"/>
      <c r="M193" s="385"/>
      <c r="N193" s="384"/>
      <c r="O193" s="385"/>
      <c r="P193" s="384"/>
      <c r="Q193" s="385"/>
      <c r="R193" s="384"/>
      <c r="S193" s="385"/>
      <c r="T193" s="384"/>
      <c r="U193" s="385"/>
      <c r="V193" s="384"/>
      <c r="W193" s="385"/>
      <c r="X193" s="384"/>
      <c r="Y193" s="385"/>
      <c r="Z193" s="384"/>
      <c r="AA193" s="385"/>
      <c r="AB193" s="384"/>
      <c r="AC193" s="385"/>
      <c r="AD193" s="384"/>
      <c r="AE193" s="385"/>
      <c r="AF193" s="384"/>
      <c r="AG193" s="385"/>
      <c r="AH193" s="384"/>
      <c r="AI193" s="385"/>
      <c r="AJ193" s="384"/>
      <c r="AK193" s="385"/>
      <c r="AL193" s="384"/>
      <c r="AM193" s="385"/>
      <c r="AN193" s="384"/>
      <c r="AO193" s="385"/>
      <c r="AP193" s="384"/>
      <c r="AQ193" s="385"/>
      <c r="AR193" s="384"/>
      <c r="AS193" s="385"/>
      <c r="AT193" s="384"/>
      <c r="AU193" s="385"/>
      <c r="AV193" s="384"/>
      <c r="AW193" s="385"/>
      <c r="AX193" s="385"/>
      <c r="AY193" s="384"/>
      <c r="AZ193" s="385"/>
      <c r="BA193" s="384"/>
      <c r="BB193" s="385"/>
      <c r="BC193" s="384"/>
      <c r="BD193" s="385"/>
      <c r="BE193" s="384"/>
      <c r="BF193" s="385"/>
      <c r="BG193" s="384"/>
      <c r="BH193" s="385"/>
      <c r="BI193" s="384"/>
      <c r="BJ193" s="385"/>
      <c r="BK193" s="384"/>
      <c r="BL193" s="385"/>
      <c r="BM193" s="384"/>
      <c r="BN193" s="385"/>
      <c r="BO193" s="384"/>
      <c r="BP193" s="385"/>
      <c r="BQ193" s="384"/>
      <c r="BR193" s="385"/>
      <c r="BS193" s="384"/>
      <c r="BT193" s="385"/>
      <c r="BU193" s="384"/>
      <c r="BV193" s="385"/>
      <c r="BW193" s="384"/>
      <c r="BX193" s="385"/>
      <c r="BY193" s="384"/>
      <c r="BZ193" s="385"/>
      <c r="CA193" s="384"/>
      <c r="CB193" s="385"/>
      <c r="CC193" s="384"/>
      <c r="CD193" s="385"/>
      <c r="CE193" s="384"/>
      <c r="CF193" s="385"/>
      <c r="CG193" s="384"/>
      <c r="CH193" s="385"/>
      <c r="CI193" s="384"/>
      <c r="CJ193" s="385"/>
      <c r="CK193" s="384"/>
      <c r="CL193" s="385"/>
      <c r="CM193" s="385"/>
    </row>
    <row r="194" spans="1:91" s="374" customFormat="1" ht="12" hidden="1" customHeight="1" outlineLevel="1" x14ac:dyDescent="0.2">
      <c r="A194" s="378" t="s">
        <v>243</v>
      </c>
      <c r="B194" s="427"/>
      <c r="C194" s="428" t="str">
        <f>INPUT!D$4</f>
        <v>1Q13/</v>
      </c>
      <c r="D194" s="427"/>
      <c r="E194" s="428" t="str">
        <f>INPUT!F$4</f>
        <v>2Q13/</v>
      </c>
      <c r="F194" s="427"/>
      <c r="G194" s="428" t="str">
        <f>INPUT!H$4</f>
        <v>3Q13/</v>
      </c>
      <c r="H194" s="427"/>
      <c r="I194" s="428" t="str">
        <f>INPUT!J$4</f>
        <v>4Q13/</v>
      </c>
      <c r="J194" s="427"/>
      <c r="K194" s="428" t="str">
        <f>INPUT!L$4</f>
        <v>1Q14/</v>
      </c>
      <c r="L194" s="427"/>
      <c r="M194" s="428" t="str">
        <f>INPUT!N$4</f>
        <v>2Q14/</v>
      </c>
      <c r="N194" s="427"/>
      <c r="O194" s="428" t="str">
        <f>INPUT!P$4</f>
        <v>3Q14/</v>
      </c>
      <c r="P194" s="427"/>
      <c r="Q194" s="428" t="str">
        <f>INPUT!R$4</f>
        <v>4Q14/</v>
      </c>
      <c r="R194" s="427"/>
      <c r="S194" s="428" t="str">
        <f>INPUT!T$4</f>
        <v>1Q15/</v>
      </c>
      <c r="T194" s="427"/>
      <c r="U194" s="428" t="str">
        <f>INPUT!V$4</f>
        <v>2Q15/</v>
      </c>
      <c r="V194" s="427"/>
      <c r="W194" s="428" t="str">
        <f>INPUT!X$4</f>
        <v>3Q15/</v>
      </c>
      <c r="X194" s="427"/>
      <c r="Y194" s="428" t="str">
        <f>INPUT!Z$4</f>
        <v>4Q15/</v>
      </c>
      <c r="Z194" s="427"/>
      <c r="AA194" s="428" t="str">
        <f>INPUT!AB$4</f>
        <v>1Q16/</v>
      </c>
      <c r="AB194" s="427"/>
      <c r="AC194" s="428" t="str">
        <f>INPUT!AD$4</f>
        <v>2Q16/</v>
      </c>
      <c r="AD194" s="427"/>
      <c r="AE194" s="428" t="str">
        <f>INPUT!AF$4</f>
        <v>3Q16/</v>
      </c>
      <c r="AF194" s="427"/>
      <c r="AG194" s="428" t="str">
        <f>INPUT!AH$4</f>
        <v>4Q16/</v>
      </c>
      <c r="AH194" s="427"/>
      <c r="AI194" s="428" t="str">
        <f>INPUT!AJ$4</f>
        <v>1Q17/</v>
      </c>
      <c r="AJ194" s="427"/>
      <c r="AK194" s="428" t="str">
        <f>INPUT!AL$4</f>
        <v>2Q17/</v>
      </c>
      <c r="AL194" s="427"/>
      <c r="AM194" s="428" t="str">
        <f>INPUT!AN$4</f>
        <v>3Q17/</v>
      </c>
      <c r="AN194" s="427"/>
      <c r="AO194" s="428" t="str">
        <f>INPUT!AP$4</f>
        <v>4Q17/</v>
      </c>
      <c r="AP194" s="427"/>
      <c r="AQ194" s="428" t="str">
        <f>INPUT!AR$4</f>
        <v>1Q18E/</v>
      </c>
      <c r="AR194" s="427"/>
      <c r="AS194" s="428" t="str">
        <f>INPUT!AT$4</f>
        <v>2Q18E/</v>
      </c>
      <c r="AT194" s="427"/>
      <c r="AU194" s="428" t="str">
        <f>INPUT!AV$4</f>
        <v>3Q18E/</v>
      </c>
      <c r="AV194" s="427"/>
      <c r="AW194" s="428" t="str">
        <f>INPUT!AX$4</f>
        <v>4Q18E/</v>
      </c>
      <c r="AX194" s="427"/>
      <c r="AY194" s="427"/>
      <c r="AZ194" s="428"/>
      <c r="BA194" s="427"/>
      <c r="BB194" s="428"/>
      <c r="BC194" s="427"/>
      <c r="BD194" s="428"/>
      <c r="BE194" s="427"/>
      <c r="BF194" s="428"/>
      <c r="BG194" s="427"/>
      <c r="BH194" s="428"/>
      <c r="BI194" s="427"/>
      <c r="BJ194" s="428"/>
      <c r="BK194" s="427"/>
      <c r="BL194" s="428"/>
      <c r="BM194" s="427"/>
      <c r="BN194" s="428"/>
      <c r="BO194" s="427"/>
      <c r="BP194" s="428"/>
      <c r="BQ194" s="427"/>
      <c r="BR194" s="428"/>
      <c r="BS194" s="427"/>
      <c r="BT194" s="428" t="str">
        <f>INPUT!BC$4</f>
        <v>2013/</v>
      </c>
      <c r="BU194" s="427"/>
      <c r="BV194" s="428" t="str">
        <f>INPUT!BE$4</f>
        <v>2014/</v>
      </c>
      <c r="BW194" s="427"/>
      <c r="BX194" s="428" t="str">
        <f>INPUT!BG$4</f>
        <v>2015/</v>
      </c>
      <c r="BY194" s="427"/>
      <c r="BZ194" s="428" t="str">
        <f>INPUT!BI$4</f>
        <v>2016/</v>
      </c>
      <c r="CA194" s="427"/>
      <c r="CB194" s="428" t="str">
        <f>INPUT!BK$4</f>
        <v>2017/</v>
      </c>
      <c r="CC194" s="427"/>
      <c r="CD194" s="428" t="str">
        <f>INPUT!BM$4</f>
        <v>2018E/</v>
      </c>
      <c r="CE194" s="427"/>
      <c r="CF194" s="428" t="str">
        <f>INPUT!BO$4</f>
        <v>2019E/</v>
      </c>
      <c r="CG194" s="427"/>
      <c r="CH194" s="428" t="str">
        <f>INPUT!BQ$4</f>
        <v>2020E/</v>
      </c>
      <c r="CI194" s="427"/>
      <c r="CJ194" s="428" t="str">
        <f>INPUT!BS$4</f>
        <v>2021E/</v>
      </c>
      <c r="CK194" s="427"/>
      <c r="CL194" s="428" t="str">
        <f>INPUT!BU$4</f>
        <v>2022E/</v>
      </c>
      <c r="CM194" s="428" t="str">
        <f>INPUT!BV$4</f>
        <v>5-Yr</v>
      </c>
    </row>
    <row r="195" spans="1:91" s="374" customFormat="1" ht="12" hidden="1" customHeight="1" outlineLevel="1" x14ac:dyDescent="0.2">
      <c r="A195" s="387"/>
      <c r="B195" s="386"/>
      <c r="C195" s="385">
        <f>INPUT!D$5</f>
        <v>0</v>
      </c>
      <c r="D195" s="386"/>
      <c r="E195" s="385">
        <f>INPUT!F$5</f>
        <v>0</v>
      </c>
      <c r="F195" s="386"/>
      <c r="G195" s="385">
        <f>INPUT!H$5</f>
        <v>0</v>
      </c>
      <c r="H195" s="386"/>
      <c r="I195" s="385">
        <f>INPUT!J$5</f>
        <v>0</v>
      </c>
      <c r="J195" s="386"/>
      <c r="K195" s="385" t="str">
        <f>INPUT!L$5</f>
        <v>1Q13</v>
      </c>
      <c r="L195" s="386"/>
      <c r="M195" s="385" t="str">
        <f>INPUT!N$5</f>
        <v>2Q13</v>
      </c>
      <c r="N195" s="386"/>
      <c r="O195" s="385" t="str">
        <f>INPUT!P$5</f>
        <v>3Q13</v>
      </c>
      <c r="P195" s="386"/>
      <c r="Q195" s="385" t="str">
        <f>INPUT!R$5</f>
        <v>4Q13</v>
      </c>
      <c r="R195" s="386"/>
      <c r="S195" s="385" t="str">
        <f>INPUT!T$5</f>
        <v>1Q14</v>
      </c>
      <c r="T195" s="386"/>
      <c r="U195" s="385" t="str">
        <f>INPUT!V$5</f>
        <v>2Q14</v>
      </c>
      <c r="V195" s="386"/>
      <c r="W195" s="385" t="str">
        <f>INPUT!X$5</f>
        <v>3Q14</v>
      </c>
      <c r="X195" s="386"/>
      <c r="Y195" s="385" t="str">
        <f>INPUT!Z$5</f>
        <v>4Q14</v>
      </c>
      <c r="Z195" s="386"/>
      <c r="AA195" s="385" t="str">
        <f>INPUT!AB$5</f>
        <v>1Q15</v>
      </c>
      <c r="AB195" s="386"/>
      <c r="AC195" s="385" t="str">
        <f>INPUT!AD$5</f>
        <v>2Q15</v>
      </c>
      <c r="AD195" s="386"/>
      <c r="AE195" s="385" t="str">
        <f>INPUT!AF$5</f>
        <v>3Q15</v>
      </c>
      <c r="AF195" s="386"/>
      <c r="AG195" s="385" t="str">
        <f>INPUT!AH$5</f>
        <v>4Q15</v>
      </c>
      <c r="AH195" s="386"/>
      <c r="AI195" s="385" t="str">
        <f>INPUT!AJ$5</f>
        <v>1Q16</v>
      </c>
      <c r="AJ195" s="386"/>
      <c r="AK195" s="385" t="str">
        <f>INPUT!AL$5</f>
        <v>2Q16</v>
      </c>
      <c r="AL195" s="386"/>
      <c r="AM195" s="385" t="str">
        <f>INPUT!AN$5</f>
        <v>3Q16</v>
      </c>
      <c r="AN195" s="386"/>
      <c r="AO195" s="385" t="str">
        <f>INPUT!AP$5</f>
        <v>4Q16</v>
      </c>
      <c r="AP195" s="386"/>
      <c r="AQ195" s="385" t="str">
        <f>INPUT!AR$5</f>
        <v>1Q17</v>
      </c>
      <c r="AR195" s="386"/>
      <c r="AS195" s="385" t="str">
        <f>INPUT!AT$5</f>
        <v>2Q17</v>
      </c>
      <c r="AT195" s="386"/>
      <c r="AU195" s="385" t="str">
        <f>INPUT!AV$5</f>
        <v>3Q17</v>
      </c>
      <c r="AV195" s="386"/>
      <c r="AW195" s="385" t="str">
        <f>INPUT!AX$5</f>
        <v>4Q17</v>
      </c>
      <c r="AX195" s="386"/>
      <c r="AY195" s="386"/>
      <c r="AZ195" s="385"/>
      <c r="BA195" s="388"/>
      <c r="BB195" s="385"/>
      <c r="BC195" s="386"/>
      <c r="BD195" s="385"/>
      <c r="BE195" s="386"/>
      <c r="BF195" s="385"/>
      <c r="BG195" s="386"/>
      <c r="BH195" s="385"/>
      <c r="BI195" s="386"/>
      <c r="BJ195" s="385"/>
      <c r="BK195" s="386"/>
      <c r="BL195" s="385"/>
      <c r="BM195" s="386"/>
      <c r="BN195" s="385"/>
      <c r="BO195" s="386"/>
      <c r="BP195" s="385"/>
      <c r="BQ195" s="386"/>
      <c r="BR195" s="385"/>
      <c r="BS195" s="386"/>
      <c r="BT195" s="385">
        <f>INPUT!BC$5</f>
        <v>0</v>
      </c>
      <c r="BU195" s="386"/>
      <c r="BV195" s="385" t="str">
        <f>INPUT!BE$5</f>
        <v>2013</v>
      </c>
      <c r="BW195" s="386"/>
      <c r="BX195" s="385" t="str">
        <f>INPUT!BG$5</f>
        <v>2014</v>
      </c>
      <c r="BY195" s="386"/>
      <c r="BZ195" s="385" t="str">
        <f>INPUT!BI$5</f>
        <v>2015</v>
      </c>
      <c r="CA195" s="386"/>
      <c r="CB195" s="385" t="str">
        <f>INPUT!BK$5</f>
        <v>2016</v>
      </c>
      <c r="CC195" s="386"/>
      <c r="CD195" s="385" t="str">
        <f>INPUT!BM$5</f>
        <v>2017</v>
      </c>
      <c r="CE195" s="386"/>
      <c r="CF195" s="385" t="str">
        <f>INPUT!BO$5</f>
        <v>2018E</v>
      </c>
      <c r="CG195" s="386"/>
      <c r="CH195" s="385" t="str">
        <f>INPUT!BQ$5</f>
        <v>2019E</v>
      </c>
      <c r="CI195" s="386"/>
      <c r="CJ195" s="385" t="str">
        <f>INPUT!BS$5</f>
        <v>2020E</v>
      </c>
      <c r="CK195" s="386"/>
      <c r="CL195" s="385" t="str">
        <f>INPUT!BU$5</f>
        <v>2021E</v>
      </c>
      <c r="CM195" s="385" t="str">
        <f>INPUT!BV$5</f>
        <v>CAGR</v>
      </c>
    </row>
    <row r="196" spans="1:91" s="374" customFormat="1" ht="12" hidden="1" customHeight="1" outlineLevel="1" x14ac:dyDescent="0.2">
      <c r="A196" s="389"/>
      <c r="B196" s="390" t="str">
        <f>INPUT!C$6</f>
        <v>1Q13</v>
      </c>
      <c r="C196" s="391" t="str">
        <f>INPUT!D$6</f>
        <v>% Chg</v>
      </c>
      <c r="D196" s="390" t="str">
        <f>INPUT!E$6</f>
        <v>2Q13</v>
      </c>
      <c r="E196" s="391" t="str">
        <f>INPUT!F$6</f>
        <v>% Chg</v>
      </c>
      <c r="F196" s="390" t="str">
        <f>INPUT!G$6</f>
        <v>3Q13</v>
      </c>
      <c r="G196" s="391" t="str">
        <f>INPUT!H$6</f>
        <v>% Chg</v>
      </c>
      <c r="H196" s="390" t="str">
        <f>INPUT!I$6</f>
        <v>4Q13</v>
      </c>
      <c r="I196" s="391" t="str">
        <f>INPUT!J$6</f>
        <v>% Chg</v>
      </c>
      <c r="J196" s="390" t="str">
        <f>INPUT!K$6</f>
        <v>1Q14</v>
      </c>
      <c r="K196" s="391" t="str">
        <f>INPUT!L$6</f>
        <v>% Chg</v>
      </c>
      <c r="L196" s="390" t="str">
        <f>INPUT!M$6</f>
        <v>2Q14</v>
      </c>
      <c r="M196" s="391" t="str">
        <f>INPUT!N$6</f>
        <v>% Chg</v>
      </c>
      <c r="N196" s="390" t="str">
        <f>INPUT!O$6</f>
        <v>3Q14</v>
      </c>
      <c r="O196" s="391" t="str">
        <f>INPUT!P$6</f>
        <v>% Chg</v>
      </c>
      <c r="P196" s="390" t="str">
        <f>INPUT!Q$6</f>
        <v>4Q14</v>
      </c>
      <c r="Q196" s="391" t="str">
        <f>INPUT!R$6</f>
        <v>% Chg</v>
      </c>
      <c r="R196" s="390" t="str">
        <f>INPUT!S$6</f>
        <v>1Q15</v>
      </c>
      <c r="S196" s="391" t="str">
        <f>INPUT!T$6</f>
        <v>% Chg</v>
      </c>
      <c r="T196" s="390" t="str">
        <f>INPUT!U$6</f>
        <v>2Q15</v>
      </c>
      <c r="U196" s="391" t="str">
        <f>INPUT!V$6</f>
        <v>% Chg</v>
      </c>
      <c r="V196" s="390" t="str">
        <f>INPUT!W$6</f>
        <v>3Q15</v>
      </c>
      <c r="W196" s="391" t="str">
        <f>INPUT!X$6</f>
        <v>% Chg</v>
      </c>
      <c r="X196" s="390" t="str">
        <f>INPUT!Y$6</f>
        <v>4Q15</v>
      </c>
      <c r="Y196" s="391" t="str">
        <f>INPUT!Z$6</f>
        <v>% Chg</v>
      </c>
      <c r="Z196" s="390" t="str">
        <f>INPUT!AA$6</f>
        <v>1Q16</v>
      </c>
      <c r="AA196" s="391" t="str">
        <f>INPUT!AB$6</f>
        <v>% Chg</v>
      </c>
      <c r="AB196" s="390" t="str">
        <f>INPUT!AC$6</f>
        <v>2Q16</v>
      </c>
      <c r="AC196" s="391" t="str">
        <f>INPUT!AD$6</f>
        <v>% Chg</v>
      </c>
      <c r="AD196" s="390" t="str">
        <f>INPUT!AE$6</f>
        <v>3Q16</v>
      </c>
      <c r="AE196" s="391" t="str">
        <f>INPUT!AF$6</f>
        <v>% Chg</v>
      </c>
      <c r="AF196" s="390" t="str">
        <f>INPUT!AG$6</f>
        <v>4Q16</v>
      </c>
      <c r="AG196" s="391" t="str">
        <f>INPUT!AH$6</f>
        <v>% Chg</v>
      </c>
      <c r="AH196" s="390" t="str">
        <f>INPUT!AI$6</f>
        <v>1Q17</v>
      </c>
      <c r="AI196" s="391" t="str">
        <f>INPUT!AJ$6</f>
        <v>% Chg</v>
      </c>
      <c r="AJ196" s="390" t="str">
        <f>INPUT!AK$6</f>
        <v>2Q17</v>
      </c>
      <c r="AK196" s="391" t="str">
        <f>INPUT!AL$6</f>
        <v>% Chg</v>
      </c>
      <c r="AL196" s="390" t="str">
        <f>INPUT!AM$6</f>
        <v>3Q17</v>
      </c>
      <c r="AM196" s="391" t="str">
        <f>INPUT!AN$6</f>
        <v>% Chg</v>
      </c>
      <c r="AN196" s="390" t="str">
        <f>INPUT!AO$6</f>
        <v>4Q17</v>
      </c>
      <c r="AO196" s="391" t="str">
        <f>INPUT!AP$6</f>
        <v>% Chg</v>
      </c>
      <c r="AP196" s="390" t="str">
        <f>INPUT!AQ$6</f>
        <v>1Q18E</v>
      </c>
      <c r="AQ196" s="391" t="str">
        <f>INPUT!AR$6</f>
        <v>% Chg</v>
      </c>
      <c r="AR196" s="390" t="str">
        <f>INPUT!AS$6</f>
        <v>2Q18E</v>
      </c>
      <c r="AS196" s="391" t="str">
        <f>INPUT!AT$6</f>
        <v>% Chg</v>
      </c>
      <c r="AT196" s="390" t="str">
        <f>INPUT!AU$6</f>
        <v>3Q18E</v>
      </c>
      <c r="AU196" s="391" t="str">
        <f>INPUT!AV$6</f>
        <v>% Chg</v>
      </c>
      <c r="AV196" s="390" t="str">
        <f>INPUT!AW$6</f>
        <v>4Q18E</v>
      </c>
      <c r="AW196" s="391" t="str">
        <f>INPUT!AX$6</f>
        <v>% Chg</v>
      </c>
      <c r="AX196" s="390"/>
      <c r="AY196" s="392"/>
      <c r="AZ196" s="391"/>
      <c r="BA196" s="392"/>
      <c r="BB196" s="391"/>
      <c r="BC196" s="392"/>
      <c r="BD196" s="391"/>
      <c r="BE196" s="393"/>
      <c r="BF196" s="391"/>
      <c r="BG196" s="393"/>
      <c r="BH196" s="391"/>
      <c r="BI196" s="393"/>
      <c r="BJ196" s="391"/>
      <c r="BK196" s="393"/>
      <c r="BL196" s="391"/>
      <c r="BM196" s="390"/>
      <c r="BN196" s="391"/>
      <c r="BO196" s="390"/>
      <c r="BP196" s="391"/>
      <c r="BQ196" s="390"/>
      <c r="BR196" s="391"/>
      <c r="BS196" s="390" t="str">
        <f>INPUT!BB$6</f>
        <v>2013</v>
      </c>
      <c r="BT196" s="391" t="str">
        <f>INPUT!BC$6</f>
        <v>% Chg</v>
      </c>
      <c r="BU196" s="390" t="str">
        <f>INPUT!BD$6</f>
        <v>2014</v>
      </c>
      <c r="BV196" s="391" t="str">
        <f>INPUT!BE$6</f>
        <v>% Chg</v>
      </c>
      <c r="BW196" s="390" t="str">
        <f>INPUT!BF$6</f>
        <v>2015</v>
      </c>
      <c r="BX196" s="391" t="str">
        <f>INPUT!BG$6</f>
        <v>% Chg</v>
      </c>
      <c r="BY196" s="390" t="str">
        <f>INPUT!BH$6</f>
        <v>2016</v>
      </c>
      <c r="BZ196" s="391" t="str">
        <f>INPUT!BI$6</f>
        <v>% Chg</v>
      </c>
      <c r="CA196" s="390" t="str">
        <f>INPUT!BJ$6</f>
        <v>2017</v>
      </c>
      <c r="CB196" s="391" t="str">
        <f>INPUT!BK$6</f>
        <v>% Chg</v>
      </c>
      <c r="CC196" s="390" t="str">
        <f>INPUT!BL$6</f>
        <v>2018E</v>
      </c>
      <c r="CD196" s="391" t="str">
        <f>INPUT!BM$6</f>
        <v>% Chg</v>
      </c>
      <c r="CE196" s="390" t="str">
        <f>INPUT!BN$6</f>
        <v>2019E</v>
      </c>
      <c r="CF196" s="391" t="str">
        <f>INPUT!BO$6</f>
        <v>% Chg</v>
      </c>
      <c r="CG196" s="390" t="str">
        <f>INPUT!BP$6</f>
        <v>2020E</v>
      </c>
      <c r="CH196" s="391" t="str">
        <f>INPUT!BQ$6</f>
        <v>% Chg</v>
      </c>
      <c r="CI196" s="390" t="str">
        <f>INPUT!BR$6</f>
        <v>2021E</v>
      </c>
      <c r="CJ196" s="391" t="str">
        <f>INPUT!BS$6</f>
        <v>% Chg</v>
      </c>
      <c r="CK196" s="390" t="str">
        <f>INPUT!BT$6</f>
        <v>2022E</v>
      </c>
      <c r="CL196" s="391" t="str">
        <f>INPUT!BU$6</f>
        <v>% Chg</v>
      </c>
      <c r="CM196" s="391" t="str">
        <f>INPUT!BV$6</f>
        <v>(%)</v>
      </c>
    </row>
    <row r="197" spans="1:91" ht="12" hidden="1" customHeight="1" outlineLevel="1" x14ac:dyDescent="0.2">
      <c r="A197" s="394"/>
      <c r="B197" s="398"/>
      <c r="C197" s="399"/>
      <c r="D197" s="398"/>
      <c r="E197" s="396"/>
      <c r="F197" s="398"/>
      <c r="G197" s="396"/>
      <c r="H197" s="398"/>
      <c r="I197" s="396"/>
      <c r="J197" s="398"/>
      <c r="K197" s="396"/>
      <c r="L197" s="398"/>
      <c r="M197" s="396"/>
      <c r="N197" s="398"/>
      <c r="O197" s="396"/>
      <c r="P197" s="398"/>
      <c r="Q197" s="396"/>
      <c r="R197" s="398"/>
      <c r="S197" s="396"/>
      <c r="T197" s="398"/>
      <c r="U197" s="396"/>
      <c r="V197" s="398"/>
      <c r="W197" s="396"/>
      <c r="X197" s="398"/>
      <c r="Y197" s="396"/>
      <c r="Z197" s="398"/>
      <c r="AA197" s="396"/>
      <c r="AB197" s="398"/>
      <c r="AC197" s="396"/>
      <c r="AD197" s="398"/>
      <c r="AE197" s="396"/>
      <c r="AF197" s="398"/>
      <c r="AG197" s="396"/>
      <c r="AH197" s="398"/>
      <c r="AI197" s="396"/>
      <c r="AJ197" s="398"/>
      <c r="AK197" s="396"/>
      <c r="AL197" s="398"/>
      <c r="AM197" s="396"/>
      <c r="AN197" s="398"/>
      <c r="AO197" s="396"/>
      <c r="AP197" s="398"/>
      <c r="AQ197" s="396"/>
      <c r="AR197" s="398"/>
      <c r="AS197" s="396"/>
      <c r="AT197" s="398"/>
      <c r="AU197" s="396"/>
      <c r="AV197" s="398"/>
      <c r="AW197" s="396"/>
      <c r="AX197" s="398"/>
      <c r="AY197" s="398"/>
      <c r="AZ197" s="399"/>
      <c r="BA197" s="398"/>
      <c r="BB197" s="399"/>
      <c r="BC197" s="398"/>
      <c r="BD197" s="399"/>
      <c r="BE197" s="398"/>
      <c r="BF197" s="396"/>
      <c r="BG197" s="398"/>
      <c r="BH197" s="396"/>
      <c r="BI197" s="398"/>
      <c r="BJ197" s="396"/>
      <c r="BK197" s="398"/>
      <c r="BL197" s="396"/>
      <c r="BM197" s="398"/>
      <c r="BN197" s="396"/>
      <c r="BO197" s="398"/>
      <c r="BP197" s="396"/>
      <c r="BQ197" s="398"/>
      <c r="BR197" s="396"/>
      <c r="BS197" s="398"/>
      <c r="BT197" s="396"/>
      <c r="BU197" s="398"/>
      <c r="BV197" s="396"/>
      <c r="BW197" s="398"/>
      <c r="BX197" s="396"/>
      <c r="BY197" s="398"/>
      <c r="BZ197" s="396"/>
      <c r="CA197" s="398"/>
      <c r="CB197" s="396"/>
      <c r="CC197" s="398"/>
      <c r="CD197" s="396"/>
      <c r="CE197" s="398"/>
      <c r="CF197" s="396"/>
      <c r="CG197" s="398"/>
      <c r="CH197" s="396"/>
      <c r="CI197" s="398"/>
      <c r="CJ197" s="396"/>
      <c r="CK197" s="398"/>
      <c r="CL197" s="396"/>
      <c r="CM197" s="399"/>
    </row>
    <row r="198" spans="1:91" ht="12" hidden="1" customHeight="1" outlineLevel="1" x14ac:dyDescent="0.2">
      <c r="A198" s="394" t="s">
        <v>156</v>
      </c>
      <c r="B198" s="398"/>
      <c r="C198" s="399"/>
      <c r="D198" s="398"/>
      <c r="E198" s="396"/>
      <c r="F198" s="398"/>
      <c r="G198" s="396"/>
      <c r="H198" s="398"/>
      <c r="I198" s="396"/>
      <c r="J198" s="398"/>
      <c r="K198" s="396"/>
      <c r="L198" s="398"/>
      <c r="M198" s="396"/>
      <c r="N198" s="398"/>
      <c r="O198" s="396"/>
      <c r="P198" s="398"/>
      <c r="Q198" s="396"/>
      <c r="R198" s="398"/>
      <c r="S198" s="396"/>
      <c r="T198" s="398"/>
      <c r="U198" s="396"/>
      <c r="V198" s="398"/>
      <c r="W198" s="396"/>
      <c r="X198" s="398"/>
      <c r="Y198" s="396"/>
      <c r="Z198" s="398"/>
      <c r="AA198" s="396"/>
      <c r="AB198" s="398"/>
      <c r="AC198" s="396"/>
      <c r="AD198" s="398"/>
      <c r="AE198" s="396"/>
      <c r="AF198" s="398"/>
      <c r="AG198" s="396"/>
      <c r="AH198" s="398"/>
      <c r="AI198" s="396"/>
      <c r="AJ198" s="398"/>
      <c r="AK198" s="396"/>
      <c r="AL198" s="398"/>
      <c r="AM198" s="396"/>
      <c r="AN198" s="398"/>
      <c r="AO198" s="396"/>
      <c r="AP198" s="398"/>
      <c r="AQ198" s="396"/>
      <c r="AR198" s="398"/>
      <c r="AS198" s="396"/>
      <c r="AT198" s="398"/>
      <c r="AU198" s="396"/>
      <c r="AV198" s="398"/>
      <c r="AW198" s="396"/>
      <c r="AX198" s="398"/>
      <c r="AY198" s="398"/>
      <c r="AZ198" s="399"/>
      <c r="BA198" s="398"/>
      <c r="BB198" s="399"/>
      <c r="BC198" s="398"/>
      <c r="BD198" s="399"/>
      <c r="BE198" s="398"/>
      <c r="BF198" s="396"/>
      <c r="BG198" s="398"/>
      <c r="BH198" s="396"/>
      <c r="BI198" s="398"/>
      <c r="BJ198" s="396"/>
      <c r="BK198" s="398"/>
      <c r="BL198" s="396"/>
      <c r="BM198" s="398"/>
      <c r="BN198" s="396"/>
      <c r="BO198" s="398"/>
      <c r="BP198" s="396"/>
      <c r="BQ198" s="398"/>
      <c r="BR198" s="396"/>
      <c r="BS198" s="398"/>
      <c r="BT198" s="396"/>
      <c r="BU198" s="398"/>
      <c r="BV198" s="396"/>
      <c r="BW198" s="398"/>
      <c r="BX198" s="396"/>
      <c r="BY198" s="398"/>
      <c r="BZ198" s="396"/>
      <c r="CA198" s="398"/>
      <c r="CB198" s="396"/>
      <c r="CC198" s="398"/>
      <c r="CD198" s="396"/>
      <c r="CE198" s="398"/>
      <c r="CF198" s="396"/>
      <c r="CG198" s="398"/>
      <c r="CH198" s="396"/>
      <c r="CI198" s="398"/>
      <c r="CJ198" s="396"/>
      <c r="CK198" s="398"/>
      <c r="CL198" s="396"/>
      <c r="CM198" s="399"/>
    </row>
    <row r="199" spans="1:91" ht="12" hidden="1" customHeight="1" outlineLevel="1" x14ac:dyDescent="0.2">
      <c r="A199" s="400" t="s">
        <v>463</v>
      </c>
      <c r="B199" s="425"/>
      <c r="C199" s="424"/>
      <c r="D199" s="436"/>
      <c r="E199" s="382"/>
      <c r="F199" s="436"/>
      <c r="G199" s="382"/>
      <c r="H199" s="436"/>
      <c r="I199" s="382"/>
      <c r="J199" s="436"/>
      <c r="K199" s="382"/>
      <c r="L199" s="436"/>
      <c r="M199" s="382"/>
      <c r="N199" s="436">
        <f>+INPUT!O84</f>
        <v>31000</v>
      </c>
      <c r="O199" s="382" t="str">
        <f>+INPUT!P84</f>
        <v>NA</v>
      </c>
      <c r="P199" s="436">
        <f>+INPUT!Q84</f>
        <v>30600</v>
      </c>
      <c r="Q199" s="382" t="str">
        <f>+INPUT!R84</f>
        <v>NA</v>
      </c>
      <c r="R199" s="436">
        <f>+INPUT!S84</f>
        <v>31100</v>
      </c>
      <c r="S199" s="382" t="str">
        <f>+INPUT!T84</f>
        <v>NA</v>
      </c>
      <c r="T199" s="436">
        <f>+INPUT!U84</f>
        <v>30900</v>
      </c>
      <c r="U199" s="382" t="str">
        <f>+INPUT!V84</f>
        <v>NA</v>
      </c>
      <c r="V199" s="436">
        <f>+INPUT!W84</f>
        <v>31700</v>
      </c>
      <c r="W199" s="382">
        <f>+INPUT!X84</f>
        <v>2.2580645161290249</v>
      </c>
      <c r="X199" s="436">
        <f>+INPUT!Y84</f>
        <v>32300</v>
      </c>
      <c r="Y199" s="382">
        <f>+INPUT!Z84</f>
        <v>5.5555555555555571</v>
      </c>
      <c r="Z199" s="436">
        <f>+INPUT!AA84</f>
        <v>33300</v>
      </c>
      <c r="AA199" s="382">
        <f>+INPUT!AB84</f>
        <v>7.0739549839228317</v>
      </c>
      <c r="AB199" s="436">
        <f>+INPUT!AC84</f>
        <v>34700</v>
      </c>
      <c r="AC199" s="382">
        <f>+INPUT!AD84</f>
        <v>12.29773462783173</v>
      </c>
      <c r="AD199" s="436">
        <f>+INPUT!AE84</f>
        <v>36200</v>
      </c>
      <c r="AE199" s="382">
        <f>+INPUT!AF84</f>
        <v>14.195583596214504</v>
      </c>
      <c r="AF199" s="436">
        <f>+INPUT!AG84</f>
        <v>36400</v>
      </c>
      <c r="AG199" s="382">
        <f>+INPUT!AH84</f>
        <v>12.693498452012378</v>
      </c>
      <c r="AH199" s="436">
        <f>+INPUT!AI84</f>
        <v>37600</v>
      </c>
      <c r="AI199" s="382">
        <f>+INPUT!AJ84</f>
        <v>12.912912912912915</v>
      </c>
      <c r="AJ199" s="436">
        <f>+INPUT!AK84</f>
        <v>38500</v>
      </c>
      <c r="AK199" s="382">
        <f>+INPUT!AL84</f>
        <v>10.951008645533136</v>
      </c>
      <c r="AL199" s="436">
        <f>+INPUT!AM84</f>
        <v>39200</v>
      </c>
      <c r="AM199" s="382">
        <f>+INPUT!AN84</f>
        <v>8.2872928176795426</v>
      </c>
      <c r="AN199" s="436">
        <f>+INPUT!AO84</f>
        <v>40500</v>
      </c>
      <c r="AO199" s="382">
        <f>+INPUT!AP84</f>
        <v>11.263736263736263</v>
      </c>
      <c r="AP199" s="436">
        <f>+INPUT!AQ84</f>
        <v>41000</v>
      </c>
      <c r="AQ199" s="382">
        <f>+INPUT!AR84</f>
        <v>9.0425531914893611</v>
      </c>
      <c r="AR199" s="436">
        <f>+INPUT!AS84</f>
        <v>41510</v>
      </c>
      <c r="AS199" s="382">
        <f>+INPUT!AT84</f>
        <v>7.818181818181813</v>
      </c>
      <c r="AT199" s="436">
        <f>+INPUT!AU84</f>
        <v>42009.799999999996</v>
      </c>
      <c r="AU199" s="382">
        <f>+INPUT!AV84</f>
        <v>7.1678571428571303</v>
      </c>
      <c r="AV199" s="436">
        <f>+INPUT!AW84</f>
        <v>42499.603999999992</v>
      </c>
      <c r="AW199" s="382">
        <f>+INPUT!AX84</f>
        <v>4.937293827160488</v>
      </c>
      <c r="AX199" s="403" t="e">
        <f>+INPUT!#REF!</f>
        <v>#REF!</v>
      </c>
      <c r="AY199" s="402">
        <f>+INPUT!AY84</f>
        <v>0</v>
      </c>
      <c r="AZ199" s="432">
        <f>+INPUT!AZ84</f>
        <v>0</v>
      </c>
      <c r="BA199" s="402" t="e">
        <f>+INPUT!#REF!</f>
        <v>#REF!</v>
      </c>
      <c r="BB199" s="432" t="e">
        <f>+INPUT!#REF!</f>
        <v>#REF!</v>
      </c>
      <c r="BC199" s="402" t="e">
        <f>+INPUT!#REF!</f>
        <v>#REF!</v>
      </c>
      <c r="BD199" s="432" t="e">
        <f>+INPUT!#REF!</f>
        <v>#REF!</v>
      </c>
      <c r="BE199" s="402" t="e">
        <f>+INPUT!#REF!</f>
        <v>#REF!</v>
      </c>
      <c r="BF199" s="382" t="e">
        <f>+INPUT!#REF!</f>
        <v>#REF!</v>
      </c>
      <c r="BG199" s="402" t="e">
        <f>+INPUT!#REF!</f>
        <v>#REF!</v>
      </c>
      <c r="BH199" s="382" t="e">
        <f>+INPUT!#REF!</f>
        <v>#REF!</v>
      </c>
      <c r="BI199" s="402" t="e">
        <f>+INPUT!#REF!</f>
        <v>#REF!</v>
      </c>
      <c r="BJ199" s="382" t="e">
        <f>+INPUT!#REF!</f>
        <v>#REF!</v>
      </c>
      <c r="BK199" s="436" t="e">
        <f>+INPUT!#REF!</f>
        <v>#REF!</v>
      </c>
      <c r="BL199" s="382" t="e">
        <f>+INPUT!#REF!</f>
        <v>#REF!</v>
      </c>
      <c r="BM199" s="436" t="e">
        <f>+INPUT!#REF!</f>
        <v>#REF!</v>
      </c>
      <c r="BN199" s="382" t="e">
        <f>+INPUT!#REF!</f>
        <v>#REF!</v>
      </c>
      <c r="BO199" s="436" t="e">
        <f>+INPUT!#REF!</f>
        <v>#REF!</v>
      </c>
      <c r="BP199" s="382" t="e">
        <f>+INPUT!#REF!</f>
        <v>#REF!</v>
      </c>
      <c r="BQ199" s="436" t="e">
        <f>+INPUT!#REF!</f>
        <v>#REF!</v>
      </c>
      <c r="BR199" s="382" t="e">
        <f>+INPUT!#REF!</f>
        <v>#REF!</v>
      </c>
      <c r="BS199" s="436">
        <f>+INPUT!BB84</f>
        <v>0</v>
      </c>
      <c r="BT199" s="382" t="str">
        <f>+INPUT!BC84</f>
        <v>NA</v>
      </c>
      <c r="BU199" s="436">
        <f>+INPUT!BD84</f>
        <v>0</v>
      </c>
      <c r="BV199" s="382" t="str">
        <f>+INPUT!BE84</f>
        <v>NA</v>
      </c>
      <c r="BW199" s="436">
        <f>+INPUT!BF84</f>
        <v>31100</v>
      </c>
      <c r="BX199" s="382" t="str">
        <f>+INPUT!BG84</f>
        <v>NA</v>
      </c>
      <c r="BY199" s="436">
        <f>+INPUT!BH84</f>
        <v>33300</v>
      </c>
      <c r="BZ199" s="382">
        <f>+INPUT!BI84</f>
        <v>7.0739549839228317</v>
      </c>
      <c r="CA199" s="436">
        <f>+INPUT!BJ84</f>
        <v>37600</v>
      </c>
      <c r="CB199" s="382">
        <f>+INPUT!BK84</f>
        <v>12.912912912912915</v>
      </c>
      <c r="CC199" s="436">
        <f>+INPUT!BL84</f>
        <v>41000</v>
      </c>
      <c r="CD199" s="382">
        <f>+INPUT!BM84</f>
        <v>9.0425531914893611</v>
      </c>
      <c r="CE199" s="436">
        <f>+INPUT!BN84</f>
        <v>42979.611920000003</v>
      </c>
      <c r="CF199" s="382">
        <f>+INPUT!BO84</f>
        <v>4.82832175609758</v>
      </c>
      <c r="CG199" s="436">
        <f>+INPUT!BP84</f>
        <v>44925.887250192907</v>
      </c>
      <c r="CH199" s="382">
        <f>+INPUT!BQ84</f>
        <v>4.5283687852175234</v>
      </c>
      <c r="CI199" s="436">
        <f>+INPUT!BR84</f>
        <v>46876.548608957877</v>
      </c>
      <c r="CJ199" s="382">
        <f>+INPUT!BS84</f>
        <v>4.3419540006003814</v>
      </c>
      <c r="CK199" s="436">
        <f>+INPUT!BT84</f>
        <v>48836.167063868503</v>
      </c>
      <c r="CL199" s="382">
        <f>+INPUT!BU84</f>
        <v>4.1803812632574164</v>
      </c>
      <c r="CM199" s="424">
        <f>+INPUT!BV84</f>
        <v>5.3684872812999274</v>
      </c>
    </row>
    <row r="200" spans="1:91" ht="12" hidden="1" customHeight="1" outlineLevel="1" x14ac:dyDescent="0.2">
      <c r="A200" s="400" t="s">
        <v>361</v>
      </c>
      <c r="B200" s="425"/>
      <c r="C200" s="424"/>
      <c r="D200" s="436"/>
      <c r="E200" s="382"/>
      <c r="F200" s="436"/>
      <c r="G200" s="382"/>
      <c r="H200" s="436"/>
      <c r="I200" s="382"/>
      <c r="J200" s="436"/>
      <c r="K200" s="382"/>
      <c r="L200" s="436"/>
      <c r="M200" s="382"/>
      <c r="N200" s="436">
        <f>+INPUT!O85</f>
        <v>1100</v>
      </c>
      <c r="O200" s="382" t="str">
        <f>+INPUT!P85</f>
        <v>NA</v>
      </c>
      <c r="P200" s="436">
        <f>+INPUT!Q85</f>
        <v>1300</v>
      </c>
      <c r="Q200" s="382" t="str">
        <f>+INPUT!R85</f>
        <v>NA</v>
      </c>
      <c r="R200" s="436">
        <f>+INPUT!S85</f>
        <v>800</v>
      </c>
      <c r="S200" s="382" t="str">
        <f>+INPUT!T85</f>
        <v>NA</v>
      </c>
      <c r="T200" s="436">
        <f>+INPUT!U85</f>
        <v>1900</v>
      </c>
      <c r="U200" s="382" t="str">
        <f>+INPUT!V85</f>
        <v>NA</v>
      </c>
      <c r="V200" s="436">
        <f>+INPUT!W85</f>
        <v>1500</v>
      </c>
      <c r="W200" s="382">
        <f>+INPUT!X85</f>
        <v>36.363636363636346</v>
      </c>
      <c r="X200" s="436">
        <f>+INPUT!Y85</f>
        <v>2000</v>
      </c>
      <c r="Y200" s="382">
        <f>+INPUT!Z85</f>
        <v>53.846153846153868</v>
      </c>
      <c r="Z200" s="436">
        <f>+INPUT!AA85</f>
        <v>3700</v>
      </c>
      <c r="AA200" s="382" t="str">
        <f>+INPUT!AB85</f>
        <v>NM</v>
      </c>
      <c r="AB200" s="436">
        <f>+INPUT!AC85</f>
        <v>2700</v>
      </c>
      <c r="AC200" s="382">
        <f>+INPUT!AD85</f>
        <v>42.10526315789474</v>
      </c>
      <c r="AD200" s="436">
        <f>+INPUT!AE85</f>
        <v>700</v>
      </c>
      <c r="AE200" s="382" t="str">
        <f>+INPUT!AF85</f>
        <v>NM</v>
      </c>
      <c r="AF200" s="436">
        <f>+INPUT!AG85</f>
        <v>2400</v>
      </c>
      <c r="AG200" s="382">
        <f>+INPUT!AH85</f>
        <v>20</v>
      </c>
      <c r="AH200" s="436">
        <f>+INPUT!AI85</f>
        <v>2200</v>
      </c>
      <c r="AI200" s="382">
        <f>+INPUT!AJ85</f>
        <v>-40.54054054054054</v>
      </c>
      <c r="AJ200" s="436">
        <f>+INPUT!AK85</f>
        <v>4300</v>
      </c>
      <c r="AK200" s="382">
        <f>+INPUT!AL85</f>
        <v>59.259259259259267</v>
      </c>
      <c r="AL200" s="436">
        <f>+INPUT!AM85</f>
        <v>2000</v>
      </c>
      <c r="AM200" s="382" t="str">
        <f>+INPUT!AN85</f>
        <v>NM</v>
      </c>
      <c r="AN200" s="436">
        <f>+INPUT!AO85</f>
        <v>1400</v>
      </c>
      <c r="AO200" s="382">
        <f>+INPUT!AP85</f>
        <v>-41.666666666666664</v>
      </c>
      <c r="AP200" s="436">
        <f>+INPUT!AQ85</f>
        <v>1330</v>
      </c>
      <c r="AQ200" s="382">
        <f>+INPUT!AR85</f>
        <v>-39.545454545454547</v>
      </c>
      <c r="AR200" s="436">
        <f>+INPUT!AS85</f>
        <v>1330</v>
      </c>
      <c r="AS200" s="382" t="str">
        <f>+INPUT!AT85</f>
        <v>NM</v>
      </c>
      <c r="AT200" s="436">
        <f>+INPUT!AU85</f>
        <v>1330</v>
      </c>
      <c r="AU200" s="382">
        <f>+INPUT!AV85</f>
        <v>-33.5</v>
      </c>
      <c r="AV200" s="436">
        <f>+INPUT!AW85</f>
        <v>1330</v>
      </c>
      <c r="AW200" s="382">
        <f>+INPUT!AX85</f>
        <v>-5</v>
      </c>
      <c r="AX200" s="403" t="e">
        <f>+INPUT!#REF!</f>
        <v>#REF!</v>
      </c>
      <c r="AY200" s="402">
        <f>+INPUT!AY85</f>
        <v>0</v>
      </c>
      <c r="AZ200" s="432">
        <f>+INPUT!AZ85</f>
        <v>0</v>
      </c>
      <c r="BA200" s="402" t="e">
        <f>+INPUT!#REF!</f>
        <v>#REF!</v>
      </c>
      <c r="BB200" s="432" t="e">
        <f>+INPUT!#REF!</f>
        <v>#REF!</v>
      </c>
      <c r="BC200" s="402" t="e">
        <f>+INPUT!#REF!</f>
        <v>#REF!</v>
      </c>
      <c r="BD200" s="432" t="e">
        <f>+INPUT!#REF!</f>
        <v>#REF!</v>
      </c>
      <c r="BE200" s="402" t="e">
        <f>+INPUT!#REF!</f>
        <v>#REF!</v>
      </c>
      <c r="BF200" s="382" t="e">
        <f>+INPUT!#REF!</f>
        <v>#REF!</v>
      </c>
      <c r="BG200" s="402" t="e">
        <f>+INPUT!#REF!</f>
        <v>#REF!</v>
      </c>
      <c r="BH200" s="382" t="e">
        <f>+INPUT!#REF!</f>
        <v>#REF!</v>
      </c>
      <c r="BI200" s="402" t="e">
        <f>+INPUT!#REF!</f>
        <v>#REF!</v>
      </c>
      <c r="BJ200" s="382" t="e">
        <f>+INPUT!#REF!</f>
        <v>#REF!</v>
      </c>
      <c r="BK200" s="436" t="e">
        <f>+INPUT!#REF!</f>
        <v>#REF!</v>
      </c>
      <c r="BL200" s="382" t="e">
        <f>+INPUT!#REF!</f>
        <v>#REF!</v>
      </c>
      <c r="BM200" s="436" t="e">
        <f>+INPUT!#REF!</f>
        <v>#REF!</v>
      </c>
      <c r="BN200" s="382" t="e">
        <f>+INPUT!#REF!</f>
        <v>#REF!</v>
      </c>
      <c r="BO200" s="436" t="e">
        <f>+INPUT!#REF!</f>
        <v>#REF!</v>
      </c>
      <c r="BP200" s="382" t="e">
        <f>+INPUT!#REF!</f>
        <v>#REF!</v>
      </c>
      <c r="BQ200" s="436" t="e">
        <f>+INPUT!#REF!</f>
        <v>#REF!</v>
      </c>
      <c r="BR200" s="382" t="e">
        <f>+INPUT!#REF!</f>
        <v>#REF!</v>
      </c>
      <c r="BS200" s="436">
        <f>+INPUT!BB85</f>
        <v>0</v>
      </c>
      <c r="BT200" s="382" t="str">
        <f>+INPUT!BC85</f>
        <v>NA</v>
      </c>
      <c r="BU200" s="436">
        <f>+INPUT!BD85</f>
        <v>0</v>
      </c>
      <c r="BV200" s="382" t="str">
        <f>+INPUT!BE85</f>
        <v>NA</v>
      </c>
      <c r="BW200" s="436">
        <f>+INPUT!BF85</f>
        <v>6200</v>
      </c>
      <c r="BX200" s="382" t="str">
        <f>+INPUT!BG85</f>
        <v>NA</v>
      </c>
      <c r="BY200" s="436">
        <f>+INPUT!BH85</f>
        <v>9500</v>
      </c>
      <c r="BZ200" s="382">
        <f>+INPUT!BI85</f>
        <v>53.225806451612897</v>
      </c>
      <c r="CA200" s="436">
        <f>+INPUT!BJ85</f>
        <v>9900</v>
      </c>
      <c r="CB200" s="382">
        <f>+INPUT!BK85</f>
        <v>4.2105263157894655</v>
      </c>
      <c r="CC200" s="436">
        <f>+INPUT!BL85</f>
        <v>5320</v>
      </c>
      <c r="CD200" s="382">
        <f>+INPUT!BM85</f>
        <v>-46.262626262626263</v>
      </c>
      <c r="CE200" s="436">
        <f>+INPUT!BN85</f>
        <v>5479.6</v>
      </c>
      <c r="CF200" s="382">
        <f>+INPUT!BO85</f>
        <v>3</v>
      </c>
      <c r="CG200" s="436">
        <f>+INPUT!BP85</f>
        <v>5643.9880000000003</v>
      </c>
      <c r="CH200" s="382">
        <f>+INPUT!BQ85</f>
        <v>3</v>
      </c>
      <c r="CI200" s="436">
        <f>+INPUT!BR85</f>
        <v>5813.30764</v>
      </c>
      <c r="CJ200" s="382">
        <f>+INPUT!BS85</f>
        <v>3</v>
      </c>
      <c r="CK200" s="436">
        <f>+INPUT!BT85</f>
        <v>5987.7068692000003</v>
      </c>
      <c r="CL200" s="382">
        <f>+INPUT!BU85</f>
        <v>3</v>
      </c>
      <c r="CM200" s="424">
        <f>+INPUT!BV85</f>
        <v>-9.5673895853883639</v>
      </c>
    </row>
    <row r="201" spans="1:91" ht="12" hidden="1" customHeight="1" outlineLevel="1" x14ac:dyDescent="0.2">
      <c r="A201" s="400" t="s">
        <v>245</v>
      </c>
      <c r="B201" s="425"/>
      <c r="C201" s="424"/>
      <c r="D201" s="436"/>
      <c r="E201" s="382"/>
      <c r="F201" s="436"/>
      <c r="G201" s="382"/>
      <c r="H201" s="436"/>
      <c r="I201" s="382"/>
      <c r="J201" s="436"/>
      <c r="K201" s="382"/>
      <c r="L201" s="436"/>
      <c r="M201" s="382"/>
      <c r="N201" s="436">
        <f>+INPUT!O87</f>
        <v>-1600</v>
      </c>
      <c r="O201" s="382" t="str">
        <f>+INPUT!P87</f>
        <v>NA</v>
      </c>
      <c r="P201" s="436">
        <f>+INPUT!Q87</f>
        <v>-1000</v>
      </c>
      <c r="Q201" s="382" t="str">
        <f>+INPUT!R87</f>
        <v>NA</v>
      </c>
      <c r="R201" s="436">
        <f>+INPUT!S87</f>
        <v>-1300</v>
      </c>
      <c r="S201" s="382" t="str">
        <f>+INPUT!T87</f>
        <v>NA</v>
      </c>
      <c r="T201" s="436">
        <f>+INPUT!U87</f>
        <v>-1200</v>
      </c>
      <c r="U201" s="382" t="str">
        <f>+INPUT!V87</f>
        <v>NA</v>
      </c>
      <c r="V201" s="436">
        <f>+INPUT!W87</f>
        <v>-1200</v>
      </c>
      <c r="W201" s="382">
        <f>+INPUT!X87</f>
        <v>-25</v>
      </c>
      <c r="X201" s="436">
        <f>+INPUT!Y87</f>
        <v>-1100</v>
      </c>
      <c r="Y201" s="382">
        <f>+INPUT!Z87</f>
        <v>10.000000000000014</v>
      </c>
      <c r="Z201" s="436">
        <f>+INPUT!AA87</f>
        <v>-2600</v>
      </c>
      <c r="AA201" s="382">
        <f>+INPUT!AB87</f>
        <v>100</v>
      </c>
      <c r="AB201" s="436">
        <f>+INPUT!AC87</f>
        <v>-1500</v>
      </c>
      <c r="AC201" s="382">
        <f>+INPUT!AD87</f>
        <v>25</v>
      </c>
      <c r="AD201" s="436">
        <f>+INPUT!AE87</f>
        <v>-800</v>
      </c>
      <c r="AE201" s="382">
        <f>+INPUT!AF87</f>
        <v>-33.333333333333343</v>
      </c>
      <c r="AF201" s="436">
        <f>+INPUT!AG87</f>
        <v>-1400</v>
      </c>
      <c r="AG201" s="382">
        <f>+INPUT!AH87</f>
        <v>27.272727272727266</v>
      </c>
      <c r="AH201" s="436">
        <f>+INPUT!AI87</f>
        <v>-1700</v>
      </c>
      <c r="AI201" s="382">
        <f>+INPUT!AJ87</f>
        <v>-34.615384615384613</v>
      </c>
      <c r="AJ201" s="436">
        <f>+INPUT!AK87</f>
        <v>-3800</v>
      </c>
      <c r="AK201" s="382" t="str">
        <f>+INPUT!AL87</f>
        <v>NM</v>
      </c>
      <c r="AL201" s="436">
        <f>+INPUT!AM87</f>
        <v>-1100</v>
      </c>
      <c r="AM201" s="382">
        <f>+INPUT!AN87</f>
        <v>37.5</v>
      </c>
      <c r="AN201" s="436">
        <f>+INPUT!AO87</f>
        <v>-1200</v>
      </c>
      <c r="AO201" s="382">
        <f>+INPUT!AP87</f>
        <v>-14.285714285714292</v>
      </c>
      <c r="AP201" s="436">
        <f>+INPUT!AQ87</f>
        <v>-1230</v>
      </c>
      <c r="AQ201" s="382">
        <f>+INPUT!AR87</f>
        <v>-27.64705882352942</v>
      </c>
      <c r="AR201" s="436">
        <f>+INPUT!AS87</f>
        <v>-1245.3</v>
      </c>
      <c r="AS201" s="382" t="str">
        <f>+INPUT!AT87</f>
        <v>NM</v>
      </c>
      <c r="AT201" s="436">
        <f>+INPUT!AU87</f>
        <v>-1260.2939999999999</v>
      </c>
      <c r="AU201" s="382">
        <f>+INPUT!AV87</f>
        <v>14.572181818181804</v>
      </c>
      <c r="AV201" s="436">
        <f>+INPUT!AW87</f>
        <v>-1274.9881199999998</v>
      </c>
      <c r="AW201" s="382">
        <f>+INPUT!AX87</f>
        <v>6.24900999999997</v>
      </c>
      <c r="AX201" s="403" t="e">
        <f>+INPUT!#REF!</f>
        <v>#REF!</v>
      </c>
      <c r="AY201" s="402">
        <f>+INPUT!AY87</f>
        <v>0</v>
      </c>
      <c r="AZ201" s="432">
        <f>+INPUT!AZ87</f>
        <v>0</v>
      </c>
      <c r="BA201" s="402" t="e">
        <f>+INPUT!#REF!</f>
        <v>#REF!</v>
      </c>
      <c r="BB201" s="432" t="e">
        <f>+INPUT!#REF!</f>
        <v>#REF!</v>
      </c>
      <c r="BC201" s="402" t="e">
        <f>+INPUT!#REF!</f>
        <v>#REF!</v>
      </c>
      <c r="BD201" s="432" t="e">
        <f>+INPUT!#REF!</f>
        <v>#REF!</v>
      </c>
      <c r="BE201" s="402" t="e">
        <f>+INPUT!#REF!</f>
        <v>#REF!</v>
      </c>
      <c r="BF201" s="382" t="e">
        <f>+INPUT!#REF!</f>
        <v>#REF!</v>
      </c>
      <c r="BG201" s="402" t="e">
        <f>+INPUT!#REF!</f>
        <v>#REF!</v>
      </c>
      <c r="BH201" s="382" t="e">
        <f>+INPUT!#REF!</f>
        <v>#REF!</v>
      </c>
      <c r="BI201" s="402" t="e">
        <f>+INPUT!#REF!</f>
        <v>#REF!</v>
      </c>
      <c r="BJ201" s="382" t="e">
        <f>+INPUT!#REF!</f>
        <v>#REF!</v>
      </c>
      <c r="BK201" s="436" t="e">
        <f>+INPUT!#REF!</f>
        <v>#REF!</v>
      </c>
      <c r="BL201" s="382" t="e">
        <f>+INPUT!#REF!</f>
        <v>#REF!</v>
      </c>
      <c r="BM201" s="436" t="e">
        <f>+INPUT!#REF!</f>
        <v>#REF!</v>
      </c>
      <c r="BN201" s="382" t="e">
        <f>+INPUT!#REF!</f>
        <v>#REF!</v>
      </c>
      <c r="BO201" s="436" t="e">
        <f>+INPUT!#REF!</f>
        <v>#REF!</v>
      </c>
      <c r="BP201" s="382" t="e">
        <f>+INPUT!#REF!</f>
        <v>#REF!</v>
      </c>
      <c r="BQ201" s="436" t="e">
        <f>+INPUT!#REF!</f>
        <v>#REF!</v>
      </c>
      <c r="BR201" s="382" t="e">
        <f>+INPUT!#REF!</f>
        <v>#REF!</v>
      </c>
      <c r="BS201" s="436">
        <f>+INPUT!BB87</f>
        <v>0</v>
      </c>
      <c r="BT201" s="382" t="str">
        <f>+INPUT!BC87</f>
        <v>NA</v>
      </c>
      <c r="BU201" s="436">
        <f>+INPUT!BD87</f>
        <v>0</v>
      </c>
      <c r="BV201" s="382" t="str">
        <f>+INPUT!BE87</f>
        <v>NA</v>
      </c>
      <c r="BW201" s="436">
        <f>+INPUT!BF87</f>
        <v>-4800</v>
      </c>
      <c r="BX201" s="382" t="str">
        <f>+INPUT!BG87</f>
        <v>NA</v>
      </c>
      <c r="BY201" s="436">
        <f>+INPUT!BH87</f>
        <v>-6300</v>
      </c>
      <c r="BZ201" s="382">
        <f>+INPUT!BI87</f>
        <v>31.25</v>
      </c>
      <c r="CA201" s="436">
        <f>+INPUT!BJ87</f>
        <v>-7800</v>
      </c>
      <c r="CB201" s="382">
        <f>+INPUT!BK87</f>
        <v>23.80952380952381</v>
      </c>
      <c r="CC201" s="436">
        <f>+INPUT!BL87</f>
        <v>-5010.58212</v>
      </c>
      <c r="CD201" s="382">
        <f>+INPUT!BM87</f>
        <v>-35.761767692307686</v>
      </c>
      <c r="CE201" s="436">
        <f>+INPUT!BN87</f>
        <v>-5252.5091466070944</v>
      </c>
      <c r="CF201" s="382">
        <f>+INPUT!BO87</f>
        <v>4.8283217560975515</v>
      </c>
      <c r="CG201" s="436">
        <f>+INPUT!BP87</f>
        <v>-5490.3621312427449</v>
      </c>
      <c r="CH201" s="382">
        <f>+INPUT!BQ87</f>
        <v>4.5283687852175234</v>
      </c>
      <c r="CI201" s="436">
        <f>+INPUT!BR87</f>
        <v>-5728.7511294476881</v>
      </c>
      <c r="CJ201" s="382">
        <f>+INPUT!BS87</f>
        <v>4.3419540006003814</v>
      </c>
      <c r="CK201" s="436">
        <f>+INPUT!BT87</f>
        <v>-5968.2347682817663</v>
      </c>
      <c r="CL201" s="382">
        <f>+INPUT!BU87</f>
        <v>4.1803812632574164</v>
      </c>
      <c r="CM201" s="424">
        <f>+INPUT!BV87</f>
        <v>-5.212676757930879</v>
      </c>
    </row>
    <row r="202" spans="1:91" ht="12" hidden="1" customHeight="1" outlineLevel="1" x14ac:dyDescent="0.2">
      <c r="A202" s="400" t="s">
        <v>246</v>
      </c>
      <c r="B202" s="425"/>
      <c r="C202" s="424"/>
      <c r="D202" s="436"/>
      <c r="E202" s="382"/>
      <c r="F202" s="436"/>
      <c r="G202" s="382"/>
      <c r="H202" s="436"/>
      <c r="I202" s="382"/>
      <c r="J202" s="436"/>
      <c r="K202" s="382"/>
      <c r="L202" s="436"/>
      <c r="M202" s="382"/>
      <c r="N202" s="436">
        <f>+INPUT!O88</f>
        <v>200</v>
      </c>
      <c r="O202" s="382" t="str">
        <f>+INPUT!P88</f>
        <v>NA</v>
      </c>
      <c r="P202" s="436">
        <f>+INPUT!Q88</f>
        <v>400</v>
      </c>
      <c r="Q202" s="382" t="str">
        <f>+INPUT!R88</f>
        <v>NA</v>
      </c>
      <c r="R202" s="436">
        <f>+INPUT!S88</f>
        <v>300</v>
      </c>
      <c r="S202" s="382" t="str">
        <f>+INPUT!T88</f>
        <v>NA</v>
      </c>
      <c r="T202" s="436">
        <f>+INPUT!U88</f>
        <v>200</v>
      </c>
      <c r="U202" s="382" t="str">
        <f>+INPUT!V88</f>
        <v>NA</v>
      </c>
      <c r="V202" s="436">
        <f>+INPUT!W88</f>
        <v>300</v>
      </c>
      <c r="W202" s="382">
        <f>+INPUT!X88</f>
        <v>50</v>
      </c>
      <c r="X202" s="436">
        <f>+INPUT!Y88</f>
        <v>200</v>
      </c>
      <c r="Y202" s="382">
        <f>+INPUT!Z88</f>
        <v>-50</v>
      </c>
      <c r="Z202" s="436">
        <f>+INPUT!AA88</f>
        <v>200</v>
      </c>
      <c r="AA202" s="382">
        <f>+INPUT!AB88</f>
        <v>-33.333333333333343</v>
      </c>
      <c r="AB202" s="436">
        <f>+INPUT!AC88</f>
        <v>400</v>
      </c>
      <c r="AC202" s="382">
        <f>+INPUT!AD88</f>
        <v>100</v>
      </c>
      <c r="AD202" s="436">
        <f>+INPUT!AE88</f>
        <v>300</v>
      </c>
      <c r="AE202" s="382">
        <f>+INPUT!AF88</f>
        <v>0</v>
      </c>
      <c r="AF202" s="436">
        <f>+INPUT!AG88</f>
        <v>200</v>
      </c>
      <c r="AG202" s="382">
        <f>+INPUT!AH88</f>
        <v>0</v>
      </c>
      <c r="AH202" s="436">
        <f>+INPUT!AI88</f>
        <v>300</v>
      </c>
      <c r="AI202" s="382">
        <f>+INPUT!AJ88</f>
        <v>50</v>
      </c>
      <c r="AJ202" s="436">
        <f>+INPUT!AK88</f>
        <v>200</v>
      </c>
      <c r="AK202" s="382">
        <f>+INPUT!AL88</f>
        <v>-50</v>
      </c>
      <c r="AL202" s="436">
        <f>+INPUT!AM88</f>
        <v>400</v>
      </c>
      <c r="AM202" s="382">
        <f>+INPUT!AN88</f>
        <v>33.333333333333314</v>
      </c>
      <c r="AN202" s="436">
        <f>+INPUT!AO88</f>
        <v>300</v>
      </c>
      <c r="AO202" s="382">
        <f>+INPUT!AP88</f>
        <v>50</v>
      </c>
      <c r="AP202" s="436">
        <f>+INPUT!AQ88</f>
        <v>410</v>
      </c>
      <c r="AQ202" s="382">
        <f>+INPUT!AR88</f>
        <v>36.666666666666657</v>
      </c>
      <c r="AR202" s="436">
        <f>+INPUT!AS88</f>
        <v>415.1</v>
      </c>
      <c r="AS202" s="382" t="str">
        <f>+INPUT!AT88</f>
        <v>NM</v>
      </c>
      <c r="AT202" s="436">
        <f>+INPUT!AU88</f>
        <v>420.09799999999996</v>
      </c>
      <c r="AU202" s="382">
        <f>+INPUT!AV88</f>
        <v>5.0244999999999891</v>
      </c>
      <c r="AV202" s="436">
        <f>+INPUT!AW88</f>
        <v>424.99603999999994</v>
      </c>
      <c r="AW202" s="382">
        <f>+INPUT!AX88</f>
        <v>41.665346666666636</v>
      </c>
      <c r="AX202" s="403" t="e">
        <f>+INPUT!#REF!</f>
        <v>#REF!</v>
      </c>
      <c r="AY202" s="402">
        <f>+INPUT!AY88</f>
        <v>0</v>
      </c>
      <c r="AZ202" s="432">
        <f>+INPUT!AZ88</f>
        <v>0</v>
      </c>
      <c r="BA202" s="402" t="e">
        <f>+INPUT!#REF!</f>
        <v>#REF!</v>
      </c>
      <c r="BB202" s="432" t="e">
        <f>+INPUT!#REF!</f>
        <v>#REF!</v>
      </c>
      <c r="BC202" s="402" t="e">
        <f>+INPUT!#REF!</f>
        <v>#REF!</v>
      </c>
      <c r="BD202" s="432" t="e">
        <f>+INPUT!#REF!</f>
        <v>#REF!</v>
      </c>
      <c r="BE202" s="402" t="e">
        <f>+INPUT!#REF!</f>
        <v>#REF!</v>
      </c>
      <c r="BF202" s="382" t="e">
        <f>+INPUT!#REF!</f>
        <v>#REF!</v>
      </c>
      <c r="BG202" s="402" t="e">
        <f>+INPUT!#REF!</f>
        <v>#REF!</v>
      </c>
      <c r="BH202" s="382" t="e">
        <f>+INPUT!#REF!</f>
        <v>#REF!</v>
      </c>
      <c r="BI202" s="402" t="e">
        <f>+INPUT!#REF!</f>
        <v>#REF!</v>
      </c>
      <c r="BJ202" s="382" t="e">
        <f>+INPUT!#REF!</f>
        <v>#REF!</v>
      </c>
      <c r="BK202" s="436" t="e">
        <f>+INPUT!#REF!</f>
        <v>#REF!</v>
      </c>
      <c r="BL202" s="382" t="e">
        <f>+INPUT!#REF!</f>
        <v>#REF!</v>
      </c>
      <c r="BM202" s="436" t="e">
        <f>+INPUT!#REF!</f>
        <v>#REF!</v>
      </c>
      <c r="BN202" s="382" t="e">
        <f>+INPUT!#REF!</f>
        <v>#REF!</v>
      </c>
      <c r="BO202" s="436" t="e">
        <f>+INPUT!#REF!</f>
        <v>#REF!</v>
      </c>
      <c r="BP202" s="382" t="e">
        <f>+INPUT!#REF!</f>
        <v>#REF!</v>
      </c>
      <c r="BQ202" s="436" t="e">
        <f>+INPUT!#REF!</f>
        <v>#REF!</v>
      </c>
      <c r="BR202" s="382" t="e">
        <f>+INPUT!#REF!</f>
        <v>#REF!</v>
      </c>
      <c r="BS202" s="436">
        <f>+INPUT!BB88</f>
        <v>0</v>
      </c>
      <c r="BT202" s="382" t="str">
        <f>+INPUT!BC88</f>
        <v>NA</v>
      </c>
      <c r="BU202" s="436">
        <f>+INPUT!BD88</f>
        <v>0</v>
      </c>
      <c r="BV202" s="382" t="str">
        <f>+INPUT!BE88</f>
        <v>NA</v>
      </c>
      <c r="BW202" s="436">
        <f>+INPUT!BF88</f>
        <v>1000</v>
      </c>
      <c r="BX202" s="382" t="str">
        <f>+INPUT!BG88</f>
        <v>NA</v>
      </c>
      <c r="BY202" s="436">
        <f>+INPUT!BH88</f>
        <v>1100</v>
      </c>
      <c r="BZ202" s="382">
        <f>+INPUT!BI88</f>
        <v>10.000000000000014</v>
      </c>
      <c r="CA202" s="436">
        <f>+INPUT!BJ88</f>
        <v>1200</v>
      </c>
      <c r="CB202" s="382">
        <f>+INPUT!BK88</f>
        <v>9.0909090909090793</v>
      </c>
      <c r="CC202" s="436">
        <f>+INPUT!BL88</f>
        <v>1670.1940399999999</v>
      </c>
      <c r="CD202" s="382">
        <f>+INPUT!BM88</f>
        <v>39.182836666666674</v>
      </c>
      <c r="CE202" s="436">
        <f>+INPUT!BN88</f>
        <v>1719.1844768000001</v>
      </c>
      <c r="CF202" s="382">
        <f>+INPUT!BO88</f>
        <v>2.9332182744467303</v>
      </c>
      <c r="CG202" s="436">
        <f>+INPUT!BP88</f>
        <v>1797.0354900077164</v>
      </c>
      <c r="CH202" s="382">
        <f>+INPUT!BQ88</f>
        <v>4.5283687852175234</v>
      </c>
      <c r="CI202" s="436">
        <f>+INPUT!BR88</f>
        <v>1875.061944358315</v>
      </c>
      <c r="CJ202" s="382">
        <f>+INPUT!BS88</f>
        <v>4.3419540006003814</v>
      </c>
      <c r="CK202" s="436">
        <f>+INPUT!BT88</f>
        <v>1953.4466825547402</v>
      </c>
      <c r="CL202" s="382">
        <f>+INPUT!BU88</f>
        <v>4.1803812632574164</v>
      </c>
      <c r="CM202" s="424">
        <f>+INPUT!BV88</f>
        <v>10.236156630284231</v>
      </c>
    </row>
    <row r="203" spans="1:91" ht="12" hidden="1" customHeight="1" outlineLevel="1" x14ac:dyDescent="0.2">
      <c r="A203" s="400" t="s">
        <v>247</v>
      </c>
      <c r="B203" s="425"/>
      <c r="C203" s="424"/>
      <c r="D203" s="436"/>
      <c r="E203" s="382"/>
      <c r="F203" s="436"/>
      <c r="G203" s="382"/>
      <c r="H203" s="436"/>
      <c r="I203" s="382"/>
      <c r="J203" s="436"/>
      <c r="K203" s="382"/>
      <c r="L203" s="436"/>
      <c r="M203" s="382"/>
      <c r="N203" s="436">
        <f>+INPUT!O89</f>
        <v>-100</v>
      </c>
      <c r="O203" s="382" t="str">
        <f>+INPUT!P89</f>
        <v>NA</v>
      </c>
      <c r="P203" s="436">
        <f>+INPUT!Q89</f>
        <v>-200</v>
      </c>
      <c r="Q203" s="382" t="str">
        <f>+INPUT!R89</f>
        <v>NA</v>
      </c>
      <c r="R203" s="436">
        <f>+INPUT!S89</f>
        <v>0</v>
      </c>
      <c r="S203" s="382" t="str">
        <f>+INPUT!T89</f>
        <v>NA</v>
      </c>
      <c r="T203" s="436">
        <f>+INPUT!U89</f>
        <v>-100</v>
      </c>
      <c r="U203" s="382" t="str">
        <f>+INPUT!V89</f>
        <v>NA</v>
      </c>
      <c r="V203" s="436">
        <f>+INPUT!W89</f>
        <v>0</v>
      </c>
      <c r="W203" s="382" t="str">
        <f>+INPUT!X89</f>
        <v>NM</v>
      </c>
      <c r="X203" s="436">
        <f>+INPUT!Y89</f>
        <v>-100</v>
      </c>
      <c r="Y203" s="382">
        <f>+INPUT!Z89</f>
        <v>-50</v>
      </c>
      <c r="Z203" s="436">
        <f>+INPUT!AA89</f>
        <v>100</v>
      </c>
      <c r="AA203" s="382" t="str">
        <f>+INPUT!AB89</f>
        <v>NA</v>
      </c>
      <c r="AB203" s="436">
        <f>+INPUT!AC89</f>
        <v>-100</v>
      </c>
      <c r="AC203" s="382">
        <f>+INPUT!AD89</f>
        <v>0</v>
      </c>
      <c r="AD203" s="436">
        <f>+INPUT!AE89</f>
        <v>0</v>
      </c>
      <c r="AE203" s="382" t="str">
        <f>+INPUT!AF89</f>
        <v>NA</v>
      </c>
      <c r="AF203" s="436">
        <f>+INPUT!AG89</f>
        <v>0</v>
      </c>
      <c r="AG203" s="382" t="str">
        <f>+INPUT!AH89</f>
        <v>NM</v>
      </c>
      <c r="AH203" s="436">
        <f>+INPUT!AI89</f>
        <v>100</v>
      </c>
      <c r="AI203" s="382">
        <f>+INPUT!AJ89</f>
        <v>0</v>
      </c>
      <c r="AJ203" s="436">
        <f>+INPUT!AK89</f>
        <v>0</v>
      </c>
      <c r="AK203" s="382" t="str">
        <f>+INPUT!AL89</f>
        <v>NM</v>
      </c>
      <c r="AL203" s="436">
        <f>+INPUT!AM89</f>
        <v>0</v>
      </c>
      <c r="AM203" s="382" t="str">
        <f>+INPUT!AN89</f>
        <v>NA</v>
      </c>
      <c r="AN203" s="436">
        <f>+INPUT!AO89</f>
        <v>0</v>
      </c>
      <c r="AO203" s="382" t="str">
        <f>+INPUT!AP89</f>
        <v>NA</v>
      </c>
      <c r="AP203" s="436">
        <f>+INPUT!AQ89</f>
        <v>0</v>
      </c>
      <c r="AQ203" s="382" t="str">
        <f>+INPUT!AR89</f>
        <v>NM</v>
      </c>
      <c r="AR203" s="436">
        <f>+INPUT!AS89</f>
        <v>0</v>
      </c>
      <c r="AS203" s="382" t="str">
        <f>+INPUT!AT89</f>
        <v>NA</v>
      </c>
      <c r="AT203" s="436">
        <f>+INPUT!AU89</f>
        <v>0</v>
      </c>
      <c r="AU203" s="382" t="str">
        <f>+INPUT!AV89</f>
        <v>NA</v>
      </c>
      <c r="AV203" s="436">
        <f>+INPUT!AW89</f>
        <v>0</v>
      </c>
      <c r="AW203" s="382" t="str">
        <f>+INPUT!AX89</f>
        <v>NA</v>
      </c>
      <c r="AX203" s="403" t="e">
        <f>+INPUT!#REF!</f>
        <v>#REF!</v>
      </c>
      <c r="AY203" s="402">
        <f>+INPUT!AY89</f>
        <v>0</v>
      </c>
      <c r="AZ203" s="432">
        <f>+INPUT!AZ89</f>
        <v>0</v>
      </c>
      <c r="BA203" s="402" t="e">
        <f>+INPUT!#REF!</f>
        <v>#REF!</v>
      </c>
      <c r="BB203" s="432" t="e">
        <f>+INPUT!#REF!</f>
        <v>#REF!</v>
      </c>
      <c r="BC203" s="402" t="e">
        <f>+INPUT!#REF!</f>
        <v>#REF!</v>
      </c>
      <c r="BD203" s="432" t="e">
        <f>+INPUT!#REF!</f>
        <v>#REF!</v>
      </c>
      <c r="BE203" s="402" t="e">
        <f>+INPUT!#REF!</f>
        <v>#REF!</v>
      </c>
      <c r="BF203" s="382" t="e">
        <f>+INPUT!#REF!</f>
        <v>#REF!</v>
      </c>
      <c r="BG203" s="402" t="e">
        <f>+INPUT!#REF!</f>
        <v>#REF!</v>
      </c>
      <c r="BH203" s="382" t="e">
        <f>+INPUT!#REF!</f>
        <v>#REF!</v>
      </c>
      <c r="BI203" s="402" t="e">
        <f>+INPUT!#REF!</f>
        <v>#REF!</v>
      </c>
      <c r="BJ203" s="382" t="e">
        <f>+INPUT!#REF!</f>
        <v>#REF!</v>
      </c>
      <c r="BK203" s="436" t="e">
        <f>+INPUT!#REF!</f>
        <v>#REF!</v>
      </c>
      <c r="BL203" s="382" t="e">
        <f>+INPUT!#REF!</f>
        <v>#REF!</v>
      </c>
      <c r="BM203" s="436" t="e">
        <f>+INPUT!#REF!</f>
        <v>#REF!</v>
      </c>
      <c r="BN203" s="382" t="e">
        <f>+INPUT!#REF!</f>
        <v>#REF!</v>
      </c>
      <c r="BO203" s="436" t="e">
        <f>+INPUT!#REF!</f>
        <v>#REF!</v>
      </c>
      <c r="BP203" s="382" t="e">
        <f>+INPUT!#REF!</f>
        <v>#REF!</v>
      </c>
      <c r="BQ203" s="436" t="e">
        <f>+INPUT!#REF!</f>
        <v>#REF!</v>
      </c>
      <c r="BR203" s="382" t="e">
        <f>+INPUT!#REF!</f>
        <v>#REF!</v>
      </c>
      <c r="BS203" s="436">
        <f>+INPUT!BB89</f>
        <v>0</v>
      </c>
      <c r="BT203" s="382" t="str">
        <f>+INPUT!BC89</f>
        <v>NA</v>
      </c>
      <c r="BU203" s="436">
        <f>+INPUT!BD89</f>
        <v>0</v>
      </c>
      <c r="BV203" s="382" t="str">
        <f>+INPUT!BE89</f>
        <v>NA</v>
      </c>
      <c r="BW203" s="436">
        <f>+INPUT!BF89</f>
        <v>-200</v>
      </c>
      <c r="BX203" s="382" t="str">
        <f>+INPUT!BG89</f>
        <v>NA</v>
      </c>
      <c r="BY203" s="436">
        <f>+INPUT!BH89</f>
        <v>0</v>
      </c>
      <c r="BZ203" s="382" t="str">
        <f>+INPUT!BI89</f>
        <v>NM</v>
      </c>
      <c r="CA203" s="436">
        <f>+INPUT!BJ89</f>
        <v>100</v>
      </c>
      <c r="CB203" s="382" t="str">
        <f>+INPUT!BK89</f>
        <v>NA</v>
      </c>
      <c r="CC203" s="436">
        <f>+INPUT!BL89</f>
        <v>0</v>
      </c>
      <c r="CD203" s="382" t="str">
        <f>+INPUT!BM89</f>
        <v>NM</v>
      </c>
      <c r="CE203" s="436">
        <f>+INPUT!BN89</f>
        <v>0</v>
      </c>
      <c r="CF203" s="382" t="str">
        <f>+INPUT!BO89</f>
        <v>NA</v>
      </c>
      <c r="CG203" s="436">
        <f>+INPUT!BP89</f>
        <v>0</v>
      </c>
      <c r="CH203" s="382" t="str">
        <f>+INPUT!BQ89</f>
        <v>NA</v>
      </c>
      <c r="CI203" s="436">
        <f>+INPUT!BR89</f>
        <v>0</v>
      </c>
      <c r="CJ203" s="382" t="str">
        <f>+INPUT!BS89</f>
        <v>NA</v>
      </c>
      <c r="CK203" s="436">
        <f>+INPUT!BT89</f>
        <v>0</v>
      </c>
      <c r="CL203" s="382" t="str">
        <f>+INPUT!BU89</f>
        <v>NA</v>
      </c>
      <c r="CM203" s="424" t="str">
        <f>+INPUT!BV89</f>
        <v>NM</v>
      </c>
    </row>
    <row r="204" spans="1:91" ht="12" hidden="1" customHeight="1" outlineLevel="1" x14ac:dyDescent="0.2">
      <c r="A204" s="400" t="s">
        <v>70</v>
      </c>
      <c r="B204" s="425"/>
      <c r="C204" s="424"/>
      <c r="D204" s="436"/>
      <c r="E204" s="382"/>
      <c r="F204" s="436"/>
      <c r="G204" s="382"/>
      <c r="H204" s="436"/>
      <c r="I204" s="382"/>
      <c r="J204" s="436"/>
      <c r="K204" s="382"/>
      <c r="L204" s="436"/>
      <c r="M204" s="382"/>
      <c r="N204" s="436">
        <f>+INPUT!O90</f>
        <v>30600</v>
      </c>
      <c r="O204" s="382" t="str">
        <f>+INPUT!P90</f>
        <v>NA</v>
      </c>
      <c r="P204" s="436">
        <f>+INPUT!Q90</f>
        <v>31100</v>
      </c>
      <c r="Q204" s="382" t="str">
        <f>+INPUT!R90</f>
        <v>NA</v>
      </c>
      <c r="R204" s="436">
        <f>+INPUT!S90</f>
        <v>30900</v>
      </c>
      <c r="S204" s="382" t="str">
        <f>+INPUT!T90</f>
        <v>NA</v>
      </c>
      <c r="T204" s="436">
        <f>+INPUT!U90</f>
        <v>31700</v>
      </c>
      <c r="U204" s="382" t="str">
        <f>+INPUT!V90</f>
        <v>NA</v>
      </c>
      <c r="V204" s="436">
        <f>+INPUT!W90</f>
        <v>32300</v>
      </c>
      <c r="W204" s="382">
        <f>+INPUT!X90</f>
        <v>5.5555555555555571</v>
      </c>
      <c r="X204" s="436">
        <f>+INPUT!Y90</f>
        <v>33300</v>
      </c>
      <c r="Y204" s="382">
        <f>+INPUT!Z90</f>
        <v>7.0739549839228317</v>
      </c>
      <c r="Z204" s="436">
        <f>+INPUT!AA90</f>
        <v>34700</v>
      </c>
      <c r="AA204" s="382">
        <f>+INPUT!AB90</f>
        <v>12.29773462783173</v>
      </c>
      <c r="AB204" s="436">
        <f>+INPUT!AC90</f>
        <v>36200</v>
      </c>
      <c r="AC204" s="382">
        <f>+INPUT!AD90</f>
        <v>14.195583596214504</v>
      </c>
      <c r="AD204" s="436">
        <f>+INPUT!AE90</f>
        <v>36400</v>
      </c>
      <c r="AE204" s="382">
        <f>+INPUT!AF90</f>
        <v>12.693498452012378</v>
      </c>
      <c r="AF204" s="436">
        <f>+INPUT!AG90</f>
        <v>37600</v>
      </c>
      <c r="AG204" s="382">
        <f>+INPUT!AH90</f>
        <v>12.912912912912915</v>
      </c>
      <c r="AH204" s="436">
        <f>+INPUT!AI90</f>
        <v>38500</v>
      </c>
      <c r="AI204" s="382">
        <f>+INPUT!AJ90</f>
        <v>10.951008645533136</v>
      </c>
      <c r="AJ204" s="436">
        <f>+INPUT!AK90</f>
        <v>39200</v>
      </c>
      <c r="AK204" s="382">
        <f>+INPUT!AL90</f>
        <v>8.2872928176795426</v>
      </c>
      <c r="AL204" s="436">
        <f>+INPUT!AM90</f>
        <v>40500</v>
      </c>
      <c r="AM204" s="382">
        <f>+INPUT!AN90</f>
        <v>11.263736263736263</v>
      </c>
      <c r="AN204" s="436">
        <f>+INPUT!AO90</f>
        <v>41000</v>
      </c>
      <c r="AO204" s="382">
        <f>+INPUT!AP90</f>
        <v>9.0425531914893611</v>
      </c>
      <c r="AP204" s="436">
        <f>+INPUT!AQ90</f>
        <v>41510</v>
      </c>
      <c r="AQ204" s="382">
        <f>+INPUT!AR90</f>
        <v>7.818181818181813</v>
      </c>
      <c r="AR204" s="436">
        <f>+INPUT!AS90</f>
        <v>42009.799999999996</v>
      </c>
      <c r="AS204" s="382">
        <f>+INPUT!AT90</f>
        <v>7.1678571428571303</v>
      </c>
      <c r="AT204" s="436">
        <f>+INPUT!AU90</f>
        <v>42499.603999999992</v>
      </c>
      <c r="AU204" s="382">
        <f>+INPUT!AV90</f>
        <v>4.937293827160488</v>
      </c>
      <c r="AV204" s="436">
        <f>+INPUT!AW90</f>
        <v>42979.611919999988</v>
      </c>
      <c r="AW204" s="382">
        <f>+INPUT!AX90</f>
        <v>4.8283217560975373</v>
      </c>
      <c r="AX204" s="403" t="e">
        <f>+INPUT!#REF!</f>
        <v>#REF!</v>
      </c>
      <c r="AY204" s="402">
        <f>+INPUT!AY90</f>
        <v>0</v>
      </c>
      <c r="AZ204" s="432">
        <f>+INPUT!AZ90</f>
        <v>0</v>
      </c>
      <c r="BA204" s="402" t="e">
        <f>+INPUT!#REF!</f>
        <v>#REF!</v>
      </c>
      <c r="BB204" s="432" t="e">
        <f>+INPUT!#REF!</f>
        <v>#REF!</v>
      </c>
      <c r="BC204" s="402" t="e">
        <f>+INPUT!#REF!</f>
        <v>#REF!</v>
      </c>
      <c r="BD204" s="432" t="e">
        <f>+INPUT!#REF!</f>
        <v>#REF!</v>
      </c>
      <c r="BE204" s="402" t="e">
        <f>+INPUT!#REF!</f>
        <v>#REF!</v>
      </c>
      <c r="BF204" s="382" t="e">
        <f>+INPUT!#REF!</f>
        <v>#REF!</v>
      </c>
      <c r="BG204" s="402" t="e">
        <f>+INPUT!#REF!</f>
        <v>#REF!</v>
      </c>
      <c r="BH204" s="382" t="e">
        <f>+INPUT!#REF!</f>
        <v>#REF!</v>
      </c>
      <c r="BI204" s="402" t="e">
        <f>+INPUT!#REF!</f>
        <v>#REF!</v>
      </c>
      <c r="BJ204" s="382" t="e">
        <f>+INPUT!#REF!</f>
        <v>#REF!</v>
      </c>
      <c r="BK204" s="436" t="e">
        <f>+INPUT!#REF!</f>
        <v>#REF!</v>
      </c>
      <c r="BL204" s="382" t="e">
        <f>+INPUT!#REF!</f>
        <v>#REF!</v>
      </c>
      <c r="BM204" s="436" t="e">
        <f>+INPUT!#REF!</f>
        <v>#REF!</v>
      </c>
      <c r="BN204" s="382" t="e">
        <f>+INPUT!#REF!</f>
        <v>#REF!</v>
      </c>
      <c r="BO204" s="436" t="e">
        <f>+INPUT!#REF!</f>
        <v>#REF!</v>
      </c>
      <c r="BP204" s="382" t="e">
        <f>+INPUT!#REF!</f>
        <v>#REF!</v>
      </c>
      <c r="BQ204" s="436" t="e">
        <f>+INPUT!#REF!</f>
        <v>#REF!</v>
      </c>
      <c r="BR204" s="382" t="e">
        <f>+INPUT!#REF!</f>
        <v>#REF!</v>
      </c>
      <c r="BS204" s="436">
        <f>+INPUT!BB90</f>
        <v>0</v>
      </c>
      <c r="BT204" s="382" t="str">
        <f>+INPUT!BC90</f>
        <v>NA</v>
      </c>
      <c r="BU204" s="436">
        <f>+INPUT!BD90</f>
        <v>31100</v>
      </c>
      <c r="BV204" s="382" t="str">
        <f>+INPUT!BE90</f>
        <v>NA</v>
      </c>
      <c r="BW204" s="436">
        <f>+INPUT!BF90</f>
        <v>33300</v>
      </c>
      <c r="BX204" s="382">
        <f>+INPUT!BG90</f>
        <v>7.0739549839228317</v>
      </c>
      <c r="BY204" s="436">
        <f>+INPUT!BH90</f>
        <v>37600</v>
      </c>
      <c r="BZ204" s="382">
        <f>+INPUT!BI90</f>
        <v>12.912912912912915</v>
      </c>
      <c r="CA204" s="436">
        <f>+INPUT!BJ90</f>
        <v>41000</v>
      </c>
      <c r="CB204" s="382">
        <f>+INPUT!BK90</f>
        <v>9.0425531914893611</v>
      </c>
      <c r="CC204" s="436">
        <f>+INPUT!BL90</f>
        <v>42979.611920000003</v>
      </c>
      <c r="CD204" s="382">
        <f>+INPUT!BM90</f>
        <v>4.82832175609758</v>
      </c>
      <c r="CE204" s="436">
        <f>+INPUT!BN90</f>
        <v>44925.887250192907</v>
      </c>
      <c r="CF204" s="382">
        <f>+INPUT!BO90</f>
        <v>4.5283687852175234</v>
      </c>
      <c r="CG204" s="436">
        <f>+INPUT!BP90</f>
        <v>46876.548608957877</v>
      </c>
      <c r="CH204" s="382">
        <f>+INPUT!BQ90</f>
        <v>4.3419540006003814</v>
      </c>
      <c r="CI204" s="436">
        <f>+INPUT!BR90</f>
        <v>48836.167063868503</v>
      </c>
      <c r="CJ204" s="382">
        <f>+INPUT!BS90</f>
        <v>4.1803812632574164</v>
      </c>
      <c r="CK204" s="436">
        <f>+INPUT!BT90</f>
        <v>50809.085847341485</v>
      </c>
      <c r="CL204" s="382">
        <f>+INPUT!BU90</f>
        <v>4.0398722956549165</v>
      </c>
      <c r="CM204" s="424">
        <f>+INPUT!BV90</f>
        <v>4.3834159125649697</v>
      </c>
    </row>
    <row r="205" spans="1:91" ht="12" hidden="1" customHeight="1" outlineLevel="1" x14ac:dyDescent="0.2">
      <c r="A205" s="400"/>
      <c r="B205" s="425"/>
      <c r="C205" s="424"/>
      <c r="D205" s="436"/>
      <c r="E205" s="382"/>
      <c r="F205" s="436"/>
      <c r="G205" s="382"/>
      <c r="H205" s="436"/>
      <c r="I205" s="382"/>
      <c r="J205" s="436"/>
      <c r="K205" s="382"/>
      <c r="L205" s="436"/>
      <c r="M205" s="382"/>
      <c r="N205" s="436"/>
      <c r="O205" s="382"/>
      <c r="P205" s="436"/>
      <c r="Q205" s="382"/>
      <c r="R205" s="436"/>
      <c r="S205" s="382"/>
      <c r="T205" s="436"/>
      <c r="U205" s="382"/>
      <c r="V205" s="436"/>
      <c r="W205" s="382"/>
      <c r="X205" s="436"/>
      <c r="Y205" s="382"/>
      <c r="Z205" s="436"/>
      <c r="AA205" s="382"/>
      <c r="AB205" s="436"/>
      <c r="AC205" s="382"/>
      <c r="AD205" s="436"/>
      <c r="AE205" s="382"/>
      <c r="AF205" s="436"/>
      <c r="AG205" s="382"/>
      <c r="AH205" s="436"/>
      <c r="AI205" s="382"/>
      <c r="AJ205" s="436"/>
      <c r="AK205" s="382"/>
      <c r="AL205" s="436"/>
      <c r="AM205" s="382"/>
      <c r="AN205" s="436"/>
      <c r="AO205" s="382"/>
      <c r="AP205" s="436"/>
      <c r="AQ205" s="382"/>
      <c r="AR205" s="436"/>
      <c r="AS205" s="382"/>
      <c r="AT205" s="436"/>
      <c r="AU205" s="382"/>
      <c r="AV205" s="436"/>
      <c r="AW205" s="382"/>
      <c r="AX205" s="403"/>
      <c r="AY205" s="402"/>
      <c r="AZ205" s="432"/>
      <c r="BA205" s="402"/>
      <c r="BB205" s="432"/>
      <c r="BC205" s="402"/>
      <c r="BD205" s="432"/>
      <c r="BE205" s="402"/>
      <c r="BF205" s="382"/>
      <c r="BG205" s="402"/>
      <c r="BH205" s="382"/>
      <c r="BI205" s="402"/>
      <c r="BJ205" s="382"/>
      <c r="BK205" s="436"/>
      <c r="BL205" s="382"/>
      <c r="BM205" s="436"/>
      <c r="BN205" s="382"/>
      <c r="BO205" s="436"/>
      <c r="BP205" s="382"/>
      <c r="BQ205" s="436"/>
      <c r="BR205" s="382"/>
      <c r="BS205" s="436"/>
      <c r="BT205" s="382"/>
      <c r="BU205" s="436"/>
      <c r="BV205" s="382"/>
      <c r="BW205" s="436"/>
      <c r="BX205" s="382"/>
      <c r="BY205" s="436"/>
      <c r="BZ205" s="382"/>
      <c r="CA205" s="436"/>
      <c r="CB205" s="382"/>
      <c r="CC205" s="436"/>
      <c r="CD205" s="382"/>
      <c r="CE205" s="436"/>
      <c r="CF205" s="382"/>
      <c r="CG205" s="436"/>
      <c r="CH205" s="382"/>
      <c r="CI205" s="436"/>
      <c r="CJ205" s="382"/>
      <c r="CK205" s="436"/>
      <c r="CL205" s="382"/>
      <c r="CM205" s="424"/>
    </row>
    <row r="206" spans="1:91" ht="12" hidden="1" customHeight="1" outlineLevel="1" x14ac:dyDescent="0.2">
      <c r="A206" s="400" t="s">
        <v>71</v>
      </c>
      <c r="B206" s="425"/>
      <c r="C206" s="424"/>
      <c r="D206" s="436"/>
      <c r="E206" s="382"/>
      <c r="F206" s="436"/>
      <c r="G206" s="382"/>
      <c r="H206" s="436"/>
      <c r="I206" s="382"/>
      <c r="J206" s="436"/>
      <c r="K206" s="382"/>
      <c r="L206" s="436"/>
      <c r="M206" s="382"/>
      <c r="N206" s="436">
        <f>+INPUT!O92</f>
        <v>30800</v>
      </c>
      <c r="O206" s="382" t="str">
        <f>+INPUT!P92</f>
        <v>NA</v>
      </c>
      <c r="P206" s="436">
        <f>+INPUT!Q92</f>
        <v>30850</v>
      </c>
      <c r="Q206" s="382" t="str">
        <f>+INPUT!R92</f>
        <v>NA</v>
      </c>
      <c r="R206" s="436">
        <f>+INPUT!S92</f>
        <v>31000</v>
      </c>
      <c r="S206" s="382" t="str">
        <f>+INPUT!T92</f>
        <v>NA</v>
      </c>
      <c r="T206" s="436">
        <f>+INPUT!U92</f>
        <v>31300</v>
      </c>
      <c r="U206" s="382" t="str">
        <f>+INPUT!V92</f>
        <v>NA</v>
      </c>
      <c r="V206" s="436">
        <f>+INPUT!W92</f>
        <v>32000</v>
      </c>
      <c r="W206" s="382">
        <f>+INPUT!X92</f>
        <v>3.896103896103881</v>
      </c>
      <c r="X206" s="436">
        <f>+INPUT!Y92</f>
        <v>32800</v>
      </c>
      <c r="Y206" s="382">
        <f>+INPUT!Z92</f>
        <v>6.3209076175040622</v>
      </c>
      <c r="Z206" s="436">
        <f>+INPUT!AA92</f>
        <v>34000</v>
      </c>
      <c r="AA206" s="382">
        <f>+INPUT!AB92</f>
        <v>9.6774193548387046</v>
      </c>
      <c r="AB206" s="436">
        <f>+INPUT!AC92</f>
        <v>35450</v>
      </c>
      <c r="AC206" s="382">
        <f>+INPUT!AD92</f>
        <v>13.258785942492011</v>
      </c>
      <c r="AD206" s="436">
        <f>+INPUT!AE92</f>
        <v>36300</v>
      </c>
      <c r="AE206" s="382">
        <f>+INPUT!AF92</f>
        <v>13.437499999999986</v>
      </c>
      <c r="AF206" s="436">
        <f>+INPUT!AG92</f>
        <v>37000</v>
      </c>
      <c r="AG206" s="382">
        <f>+INPUT!AH92</f>
        <v>12.804878048780481</v>
      </c>
      <c r="AH206" s="436">
        <f>+INPUT!AI92</f>
        <v>38050</v>
      </c>
      <c r="AI206" s="382">
        <f>+INPUT!AJ92</f>
        <v>11.911764705882348</v>
      </c>
      <c r="AJ206" s="436">
        <f>+INPUT!AK92</f>
        <v>38850</v>
      </c>
      <c r="AK206" s="382">
        <f>+INPUT!AL92</f>
        <v>9.5909732016925346</v>
      </c>
      <c r="AL206" s="436">
        <f>+INPUT!AM92</f>
        <v>39850</v>
      </c>
      <c r="AM206" s="382">
        <f>+INPUT!AN92</f>
        <v>9.779614325068863</v>
      </c>
      <c r="AN206" s="436">
        <f>+INPUT!AO92</f>
        <v>40750</v>
      </c>
      <c r="AO206" s="382">
        <f>+INPUT!AP92</f>
        <v>10.13513513513513</v>
      </c>
      <c r="AP206" s="436">
        <f>+INPUT!AQ92</f>
        <v>41255</v>
      </c>
      <c r="AQ206" s="382">
        <f>+INPUT!AR92</f>
        <v>8.423127463863338</v>
      </c>
      <c r="AR206" s="436">
        <f>+INPUT!AS92</f>
        <v>41759.899999999994</v>
      </c>
      <c r="AS206" s="382">
        <f>+INPUT!AT92</f>
        <v>7.490090090090078</v>
      </c>
      <c r="AT206" s="436">
        <f>+INPUT!AU92</f>
        <v>42254.70199999999</v>
      </c>
      <c r="AU206" s="382">
        <f>+INPUT!AV92</f>
        <v>6.0343839397741306</v>
      </c>
      <c r="AV206" s="436">
        <f>+INPUT!AW92</f>
        <v>42739.607959999994</v>
      </c>
      <c r="AW206" s="382">
        <f>+INPUT!AX92</f>
        <v>4.8824735214723773</v>
      </c>
      <c r="AX206" s="403" t="e">
        <f>+INPUT!#REF!</f>
        <v>#REF!</v>
      </c>
      <c r="AY206" s="402">
        <f>+INPUT!AY92</f>
        <v>0</v>
      </c>
      <c r="AZ206" s="432">
        <f>+INPUT!AZ92</f>
        <v>0</v>
      </c>
      <c r="BA206" s="402" t="e">
        <f>+INPUT!#REF!</f>
        <v>#REF!</v>
      </c>
      <c r="BB206" s="432" t="e">
        <f>+INPUT!#REF!</f>
        <v>#REF!</v>
      </c>
      <c r="BC206" s="402" t="e">
        <f>+INPUT!#REF!</f>
        <v>#REF!</v>
      </c>
      <c r="BD206" s="432" t="e">
        <f>+INPUT!#REF!</f>
        <v>#REF!</v>
      </c>
      <c r="BE206" s="402" t="e">
        <f>+INPUT!#REF!</f>
        <v>#REF!</v>
      </c>
      <c r="BF206" s="382" t="e">
        <f>+INPUT!#REF!</f>
        <v>#REF!</v>
      </c>
      <c r="BG206" s="402" t="e">
        <f>+INPUT!#REF!</f>
        <v>#REF!</v>
      </c>
      <c r="BH206" s="382" t="e">
        <f>+INPUT!#REF!</f>
        <v>#REF!</v>
      </c>
      <c r="BI206" s="402" t="e">
        <f>+INPUT!#REF!</f>
        <v>#REF!</v>
      </c>
      <c r="BJ206" s="382" t="e">
        <f>+INPUT!#REF!</f>
        <v>#REF!</v>
      </c>
      <c r="BK206" s="436" t="e">
        <f>+INPUT!#REF!</f>
        <v>#REF!</v>
      </c>
      <c r="BL206" s="382" t="e">
        <f>+INPUT!#REF!</f>
        <v>#REF!</v>
      </c>
      <c r="BM206" s="436" t="e">
        <f>+INPUT!#REF!</f>
        <v>#REF!</v>
      </c>
      <c r="BN206" s="382" t="e">
        <f>+INPUT!#REF!</f>
        <v>#REF!</v>
      </c>
      <c r="BO206" s="436" t="e">
        <f>+INPUT!#REF!</f>
        <v>#REF!</v>
      </c>
      <c r="BP206" s="382" t="e">
        <f>+INPUT!#REF!</f>
        <v>#REF!</v>
      </c>
      <c r="BQ206" s="436" t="e">
        <f>+INPUT!#REF!</f>
        <v>#REF!</v>
      </c>
      <c r="BR206" s="382" t="e">
        <f>+INPUT!#REF!</f>
        <v>#REF!</v>
      </c>
      <c r="BS206" s="436">
        <f>+INPUT!BB92</f>
        <v>0</v>
      </c>
      <c r="BT206" s="382" t="str">
        <f>+INPUT!BC92</f>
        <v>NA</v>
      </c>
      <c r="BU206" s="436">
        <f>+INPUT!BD92</f>
        <v>0</v>
      </c>
      <c r="BV206" s="382" t="str">
        <f>+INPUT!BE92</f>
        <v>NA</v>
      </c>
      <c r="BW206" s="436">
        <f>+INPUT!BF92</f>
        <v>31775</v>
      </c>
      <c r="BX206" s="382" t="str">
        <f>+INPUT!BG92</f>
        <v>NA</v>
      </c>
      <c r="BY206" s="436">
        <f>+INPUT!BH92</f>
        <v>35687.5</v>
      </c>
      <c r="BZ206" s="382">
        <f>+INPUT!BI92</f>
        <v>12.313139260424862</v>
      </c>
      <c r="CA206" s="436">
        <f>+INPUT!BJ92</f>
        <v>39375</v>
      </c>
      <c r="CB206" s="382">
        <f>+INPUT!BK92</f>
        <v>10.332749562171628</v>
      </c>
      <c r="CC206" s="436">
        <f>+INPUT!BL92</f>
        <v>42002.302489999995</v>
      </c>
      <c r="CD206" s="382">
        <f>+INPUT!BM92</f>
        <v>6.6725142603174561</v>
      </c>
      <c r="CE206" s="436">
        <f>+INPUT!BN92</f>
        <v>43952.749585096455</v>
      </c>
      <c r="CF206" s="382">
        <f>+INPUT!BO92</f>
        <v>4.6436670836338863</v>
      </c>
      <c r="CG206" s="436">
        <f>+INPUT!BP92</f>
        <v>45901.217929575389</v>
      </c>
      <c r="CH206" s="382">
        <f>+INPUT!BQ92</f>
        <v>4.4330977307950263</v>
      </c>
      <c r="CI206" s="436">
        <f>+INPUT!BR92</f>
        <v>47856.35783641319</v>
      </c>
      <c r="CJ206" s="382">
        <f>+INPUT!BS92</f>
        <v>4.2594510451498451</v>
      </c>
      <c r="CK206" s="436">
        <f>+INPUT!BT92</f>
        <v>49822.626455604994</v>
      </c>
      <c r="CL206" s="382">
        <f>+INPUT!BU92</f>
        <v>4.1086883918602268</v>
      </c>
      <c r="CM206" s="424">
        <f>+INPUT!BV92</f>
        <v>4.8192891817044226</v>
      </c>
    </row>
    <row r="207" spans="1:91" ht="12" hidden="1" customHeight="1" outlineLevel="1" x14ac:dyDescent="0.2">
      <c r="A207" s="394"/>
      <c r="B207" s="398"/>
      <c r="C207" s="399"/>
      <c r="D207" s="398"/>
      <c r="E207" s="396"/>
      <c r="F207" s="398"/>
      <c r="G207" s="396"/>
      <c r="H207" s="398"/>
      <c r="I207" s="396"/>
      <c r="J207" s="398"/>
      <c r="K207" s="396"/>
      <c r="L207" s="398"/>
      <c r="M207" s="396"/>
      <c r="N207" s="398"/>
      <c r="O207" s="396"/>
      <c r="P207" s="398"/>
      <c r="Q207" s="396"/>
      <c r="R207" s="398"/>
      <c r="S207" s="396"/>
      <c r="T207" s="398"/>
      <c r="U207" s="396"/>
      <c r="V207" s="398"/>
      <c r="W207" s="396"/>
      <c r="X207" s="398"/>
      <c r="Y207" s="396"/>
      <c r="Z207" s="398"/>
      <c r="AA207" s="396"/>
      <c r="AB207" s="398"/>
      <c r="AC207" s="396"/>
      <c r="AD207" s="398"/>
      <c r="AE207" s="396"/>
      <c r="AF207" s="398"/>
      <c r="AG207" s="396"/>
      <c r="AH207" s="398"/>
      <c r="AI207" s="396"/>
      <c r="AJ207" s="398"/>
      <c r="AK207" s="396"/>
      <c r="AL207" s="398"/>
      <c r="AM207" s="396"/>
      <c r="AN207" s="398"/>
      <c r="AO207" s="396"/>
      <c r="AP207" s="398"/>
      <c r="AQ207" s="396"/>
      <c r="AR207" s="398"/>
      <c r="AS207" s="396"/>
      <c r="AT207" s="398"/>
      <c r="AU207" s="396"/>
      <c r="AV207" s="398"/>
      <c r="AW207" s="396"/>
      <c r="AX207" s="398"/>
      <c r="AY207" s="398"/>
      <c r="AZ207" s="399"/>
      <c r="BA207" s="398"/>
      <c r="BB207" s="399"/>
      <c r="BC207" s="398"/>
      <c r="BD207" s="399"/>
      <c r="BE207" s="398"/>
      <c r="BF207" s="396"/>
      <c r="BG207" s="398"/>
      <c r="BH207" s="396"/>
      <c r="BI207" s="398"/>
      <c r="BJ207" s="396"/>
      <c r="BK207" s="398"/>
      <c r="BL207" s="396"/>
      <c r="BM207" s="398"/>
      <c r="BN207" s="396"/>
      <c r="BO207" s="398"/>
      <c r="BP207" s="396"/>
      <c r="BQ207" s="398"/>
      <c r="BR207" s="396"/>
      <c r="BS207" s="398"/>
      <c r="BT207" s="396"/>
      <c r="BU207" s="398"/>
      <c r="BV207" s="396"/>
      <c r="BW207" s="398"/>
      <c r="BX207" s="396"/>
      <c r="BY207" s="398"/>
      <c r="BZ207" s="396"/>
      <c r="CA207" s="398"/>
      <c r="CB207" s="396"/>
      <c r="CC207" s="398"/>
      <c r="CD207" s="396"/>
      <c r="CE207" s="398"/>
      <c r="CF207" s="396"/>
      <c r="CG207" s="398"/>
      <c r="CH207" s="396"/>
      <c r="CI207" s="398"/>
      <c r="CJ207" s="396"/>
      <c r="CK207" s="398"/>
      <c r="CL207" s="396"/>
      <c r="CM207" s="424"/>
    </row>
    <row r="208" spans="1:91" ht="12" hidden="1" customHeight="1" outlineLevel="1" x14ac:dyDescent="0.2">
      <c r="A208" s="394" t="s">
        <v>157</v>
      </c>
      <c r="B208" s="398"/>
      <c r="C208" s="399"/>
      <c r="D208" s="398"/>
      <c r="E208" s="396"/>
      <c r="F208" s="398"/>
      <c r="G208" s="396"/>
      <c r="H208" s="398"/>
      <c r="I208" s="396"/>
      <c r="J208" s="398"/>
      <c r="K208" s="396"/>
      <c r="L208" s="398"/>
      <c r="M208" s="396"/>
      <c r="N208" s="398"/>
      <c r="O208" s="396"/>
      <c r="P208" s="398"/>
      <c r="Q208" s="396"/>
      <c r="R208" s="398"/>
      <c r="S208" s="396"/>
      <c r="T208" s="398"/>
      <c r="U208" s="396"/>
      <c r="V208" s="398"/>
      <c r="W208" s="396"/>
      <c r="X208" s="398"/>
      <c r="Y208" s="396"/>
      <c r="Z208" s="398"/>
      <c r="AA208" s="396"/>
      <c r="AB208" s="398"/>
      <c r="AC208" s="396"/>
      <c r="AD208" s="398"/>
      <c r="AE208" s="396"/>
      <c r="AF208" s="398"/>
      <c r="AG208" s="396"/>
      <c r="AH208" s="398"/>
      <c r="AI208" s="396"/>
      <c r="AJ208" s="398"/>
      <c r="AK208" s="396"/>
      <c r="AL208" s="398"/>
      <c r="AM208" s="396"/>
      <c r="AN208" s="398"/>
      <c r="AO208" s="396"/>
      <c r="AP208" s="398"/>
      <c r="AQ208" s="396"/>
      <c r="AR208" s="398"/>
      <c r="AS208" s="396"/>
      <c r="AT208" s="398"/>
      <c r="AU208" s="396"/>
      <c r="AV208" s="398"/>
      <c r="AW208" s="396"/>
      <c r="AX208" s="398"/>
      <c r="AY208" s="398"/>
      <c r="AZ208" s="399"/>
      <c r="BA208" s="398"/>
      <c r="BB208" s="399"/>
      <c r="BC208" s="398"/>
      <c r="BD208" s="399"/>
      <c r="BE208" s="398"/>
      <c r="BF208" s="396"/>
      <c r="BG208" s="398"/>
      <c r="BH208" s="396"/>
      <c r="BI208" s="398"/>
      <c r="BJ208" s="396"/>
      <c r="BK208" s="398"/>
      <c r="BL208" s="396"/>
      <c r="BM208" s="398"/>
      <c r="BN208" s="396"/>
      <c r="BO208" s="398"/>
      <c r="BP208" s="396"/>
      <c r="BQ208" s="398"/>
      <c r="BR208" s="396"/>
      <c r="BS208" s="398"/>
      <c r="BT208" s="396"/>
      <c r="BU208" s="398"/>
      <c r="BV208" s="396"/>
      <c r="BW208" s="398"/>
      <c r="BX208" s="396"/>
      <c r="BY208" s="398"/>
      <c r="BZ208" s="396"/>
      <c r="CA208" s="398"/>
      <c r="CB208" s="396"/>
      <c r="CC208" s="398"/>
      <c r="CD208" s="396"/>
      <c r="CE208" s="398"/>
      <c r="CF208" s="396"/>
      <c r="CG208" s="398"/>
      <c r="CH208" s="396"/>
      <c r="CI208" s="398"/>
      <c r="CJ208" s="396"/>
      <c r="CK208" s="398"/>
      <c r="CL208" s="396"/>
      <c r="CM208" s="424"/>
    </row>
    <row r="209" spans="1:91" ht="12" hidden="1" customHeight="1" outlineLevel="1" x14ac:dyDescent="0.2">
      <c r="A209" s="400" t="s">
        <v>72</v>
      </c>
      <c r="B209" s="425"/>
      <c r="C209" s="424"/>
      <c r="D209" s="436"/>
      <c r="E209" s="382"/>
      <c r="F209" s="436"/>
      <c r="G209" s="382"/>
      <c r="H209" s="436"/>
      <c r="I209" s="382"/>
      <c r="J209" s="436"/>
      <c r="K209" s="382"/>
      <c r="L209" s="436"/>
      <c r="M209" s="382"/>
      <c r="N209" s="436">
        <f>+INPUT!O94</f>
        <v>-500</v>
      </c>
      <c r="O209" s="382" t="str">
        <f>+INPUT!P94</f>
        <v>NA</v>
      </c>
      <c r="P209" s="436">
        <f>+INPUT!Q94</f>
        <v>300</v>
      </c>
      <c r="Q209" s="382" t="str">
        <f>+INPUT!R94</f>
        <v>NA</v>
      </c>
      <c r="R209" s="436">
        <f>+INPUT!S94</f>
        <v>-500</v>
      </c>
      <c r="S209" s="382" t="str">
        <f>+INPUT!T94</f>
        <v>NA</v>
      </c>
      <c r="T209" s="436">
        <f>+INPUT!U94</f>
        <v>700</v>
      </c>
      <c r="U209" s="382" t="str">
        <f>+INPUT!V94</f>
        <v>NA</v>
      </c>
      <c r="V209" s="436">
        <f>+INPUT!W94</f>
        <v>300</v>
      </c>
      <c r="W209" s="382" t="str">
        <f>+INPUT!X94</f>
        <v>NM</v>
      </c>
      <c r="X209" s="436">
        <f>+INPUT!Y94</f>
        <v>900</v>
      </c>
      <c r="Y209" s="382" t="str">
        <f>+INPUT!Z94</f>
        <v>NM</v>
      </c>
      <c r="Z209" s="436">
        <f>+INPUT!AA94</f>
        <v>1100</v>
      </c>
      <c r="AA209" s="382" t="str">
        <f>+INPUT!AB94</f>
        <v>NM</v>
      </c>
      <c r="AB209" s="436">
        <f>+INPUT!AC94</f>
        <v>1200</v>
      </c>
      <c r="AC209" s="382">
        <f>+INPUT!AD94</f>
        <v>71.428571428571416</v>
      </c>
      <c r="AD209" s="436">
        <f>+INPUT!AE94</f>
        <v>-100</v>
      </c>
      <c r="AE209" s="382" t="str">
        <f>+INPUT!AF94</f>
        <v>NM</v>
      </c>
      <c r="AF209" s="436">
        <f>+INPUT!AG94</f>
        <v>1000</v>
      </c>
      <c r="AG209" s="382">
        <f>+INPUT!AH94</f>
        <v>11.111111111111114</v>
      </c>
      <c r="AH209" s="436">
        <f>+INPUT!AI94</f>
        <v>500</v>
      </c>
      <c r="AI209" s="382" t="str">
        <f>+INPUT!AJ94</f>
        <v>NM</v>
      </c>
      <c r="AJ209" s="436">
        <f>+INPUT!AK94</f>
        <v>500</v>
      </c>
      <c r="AK209" s="382" t="str">
        <f>+INPUT!AL94</f>
        <v>NM</v>
      </c>
      <c r="AL209" s="436">
        <f>+INPUT!AM94</f>
        <v>900</v>
      </c>
      <c r="AM209" s="382" t="str">
        <f>+INPUT!AN94</f>
        <v>NM</v>
      </c>
      <c r="AN209" s="436">
        <f>+INPUT!AO94</f>
        <v>200</v>
      </c>
      <c r="AO209" s="382" t="str">
        <f>+INPUT!AP94</f>
        <v>NM</v>
      </c>
      <c r="AP209" s="436">
        <f>+INPUT!AQ94</f>
        <v>100</v>
      </c>
      <c r="AQ209" s="382" t="str">
        <f>+INPUT!AR94</f>
        <v>NM</v>
      </c>
      <c r="AR209" s="436">
        <f>+INPUT!AS94</f>
        <v>84.700000000000045</v>
      </c>
      <c r="AS209" s="382" t="str">
        <f>+INPUT!AT94</f>
        <v>NM</v>
      </c>
      <c r="AT209" s="436">
        <f>+INPUT!AU94</f>
        <v>69.706000000000131</v>
      </c>
      <c r="AU209" s="382" t="str">
        <f>+INPUT!AV94</f>
        <v>NM</v>
      </c>
      <c r="AV209" s="436">
        <f>+INPUT!AW94</f>
        <v>55.011880000000247</v>
      </c>
      <c r="AW209" s="382" t="str">
        <f>+INPUT!AX94</f>
        <v>NM</v>
      </c>
      <c r="AX209" s="403" t="e">
        <f>+INPUT!#REF!</f>
        <v>#REF!</v>
      </c>
      <c r="AY209" s="402">
        <f>+INPUT!AY94</f>
        <v>0</v>
      </c>
      <c r="AZ209" s="432">
        <f>+INPUT!AZ94</f>
        <v>0</v>
      </c>
      <c r="BA209" s="402" t="e">
        <f>+INPUT!#REF!</f>
        <v>#REF!</v>
      </c>
      <c r="BB209" s="432" t="e">
        <f>+INPUT!#REF!</f>
        <v>#REF!</v>
      </c>
      <c r="BC209" s="402" t="e">
        <f>+INPUT!#REF!</f>
        <v>#REF!</v>
      </c>
      <c r="BD209" s="432" t="e">
        <f>+INPUT!#REF!</f>
        <v>#REF!</v>
      </c>
      <c r="BE209" s="402" t="e">
        <f>+INPUT!#REF!</f>
        <v>#REF!</v>
      </c>
      <c r="BF209" s="382" t="e">
        <f>+INPUT!#REF!</f>
        <v>#REF!</v>
      </c>
      <c r="BG209" s="402" t="e">
        <f>+INPUT!#REF!</f>
        <v>#REF!</v>
      </c>
      <c r="BH209" s="382" t="e">
        <f>+INPUT!#REF!</f>
        <v>#REF!</v>
      </c>
      <c r="BI209" s="402" t="e">
        <f>+INPUT!#REF!</f>
        <v>#REF!</v>
      </c>
      <c r="BJ209" s="382" t="e">
        <f>+INPUT!#REF!</f>
        <v>#REF!</v>
      </c>
      <c r="BK209" s="436" t="e">
        <f>+INPUT!#REF!</f>
        <v>#REF!</v>
      </c>
      <c r="BL209" s="382" t="e">
        <f>+INPUT!#REF!</f>
        <v>#REF!</v>
      </c>
      <c r="BM209" s="436" t="e">
        <f>+INPUT!#REF!</f>
        <v>#REF!</v>
      </c>
      <c r="BN209" s="382" t="e">
        <f>+INPUT!#REF!</f>
        <v>#REF!</v>
      </c>
      <c r="BO209" s="436" t="e">
        <f>+INPUT!#REF!</f>
        <v>#REF!</v>
      </c>
      <c r="BP209" s="382" t="e">
        <f>+INPUT!#REF!</f>
        <v>#REF!</v>
      </c>
      <c r="BQ209" s="436" t="e">
        <f>+INPUT!#REF!</f>
        <v>#REF!</v>
      </c>
      <c r="BR209" s="382" t="e">
        <f>+INPUT!#REF!</f>
        <v>#REF!</v>
      </c>
      <c r="BS209" s="436">
        <f>+INPUT!BB94</f>
        <v>0</v>
      </c>
      <c r="BT209" s="382" t="str">
        <f>+INPUT!BC94</f>
        <v>NA</v>
      </c>
      <c r="BU209" s="436">
        <f>+INPUT!BD94</f>
        <v>0</v>
      </c>
      <c r="BV209" s="382" t="str">
        <f>+INPUT!BE94</f>
        <v>NA</v>
      </c>
      <c r="BW209" s="436">
        <f>+INPUT!BF94</f>
        <v>1400</v>
      </c>
      <c r="BX209" s="382" t="str">
        <f>+INPUT!BG94</f>
        <v>NA</v>
      </c>
      <c r="BY209" s="436">
        <f>+INPUT!BH94</f>
        <v>3200</v>
      </c>
      <c r="BZ209" s="382" t="str">
        <f>+INPUT!BI94</f>
        <v>NM</v>
      </c>
      <c r="CA209" s="436">
        <f>+INPUT!BJ94</f>
        <v>2100</v>
      </c>
      <c r="CB209" s="382">
        <f>+INPUT!BK94</f>
        <v>-34.375</v>
      </c>
      <c r="CC209" s="436">
        <f>+INPUT!BL94</f>
        <v>309.41787999999997</v>
      </c>
      <c r="CD209" s="382" t="str">
        <f>+INPUT!BM94</f>
        <v>NM</v>
      </c>
      <c r="CE209" s="436">
        <f>+INPUT!BN94</f>
        <v>227.09085339290596</v>
      </c>
      <c r="CF209" s="382">
        <f>+INPUT!BO94</f>
        <v>-26.607068281604811</v>
      </c>
      <c r="CG209" s="436">
        <f>+INPUT!BP94</f>
        <v>153.62586875725538</v>
      </c>
      <c r="CH209" s="382">
        <f>+INPUT!BQ94</f>
        <v>-32.350481553100522</v>
      </c>
      <c r="CI209" s="436">
        <f>+INPUT!BR94</f>
        <v>84.55651055231192</v>
      </c>
      <c r="CJ209" s="382">
        <f>+INPUT!BS94</f>
        <v>-44.959458171774521</v>
      </c>
      <c r="CK209" s="436">
        <f>+INPUT!BT94</f>
        <v>19.472100918233991</v>
      </c>
      <c r="CL209" s="382" t="str">
        <f>+INPUT!BU94</f>
        <v>NM</v>
      </c>
      <c r="CM209" s="424" t="str">
        <f>+INPUT!BV94</f>
        <v>NM</v>
      </c>
    </row>
    <row r="210" spans="1:91" ht="12" hidden="1" customHeight="1" outlineLevel="1" x14ac:dyDescent="0.2">
      <c r="A210" s="400" t="s">
        <v>74</v>
      </c>
      <c r="B210" s="425"/>
      <c r="C210" s="424"/>
      <c r="D210" s="429"/>
      <c r="E210" s="382"/>
      <c r="F210" s="429"/>
      <c r="G210" s="382"/>
      <c r="H210" s="429"/>
      <c r="I210" s="382"/>
      <c r="J210" s="429"/>
      <c r="K210" s="382"/>
      <c r="L210" s="429"/>
      <c r="M210" s="382"/>
      <c r="N210" s="429">
        <f>+INPUT!O97</f>
        <v>-20.64516129032258</v>
      </c>
      <c r="O210" s="382" t="str">
        <f>+INPUT!P97</f>
        <v>NA</v>
      </c>
      <c r="P210" s="429">
        <f>+INPUT!Q97</f>
        <v>-13.071895424836603</v>
      </c>
      <c r="Q210" s="382" t="str">
        <f>+INPUT!R97</f>
        <v>NA</v>
      </c>
      <c r="R210" s="429">
        <f>+INPUT!S97</f>
        <v>-16.720257234726688</v>
      </c>
      <c r="S210" s="382" t="str">
        <f>+INPUT!T97</f>
        <v>NA</v>
      </c>
      <c r="T210" s="429">
        <f>+INPUT!U97</f>
        <v>-15.53398058252427</v>
      </c>
      <c r="U210" s="382" t="str">
        <f>+INPUT!V97</f>
        <v>NA</v>
      </c>
      <c r="V210" s="429">
        <f>+INPUT!W97</f>
        <v>-15.141955835962145</v>
      </c>
      <c r="W210" s="382">
        <f>+INPUT!X97</f>
        <v>-26.656151419558356</v>
      </c>
      <c r="X210" s="429">
        <f>+INPUT!Y97</f>
        <v>-13.622291021671826</v>
      </c>
      <c r="Y210" s="382">
        <f>+INPUT!Z97</f>
        <v>4.2105263157894655</v>
      </c>
      <c r="Z210" s="429">
        <f>+INPUT!AA97</f>
        <v>-31.231231231231231</v>
      </c>
      <c r="AA210" s="382">
        <f>+INPUT!AB97</f>
        <v>86.786786786786791</v>
      </c>
      <c r="AB210" s="429">
        <f>+INPUT!AC97</f>
        <v>-17.291066282420751</v>
      </c>
      <c r="AC210" s="382">
        <f>+INPUT!AD97</f>
        <v>11.311239193083594</v>
      </c>
      <c r="AD210" s="429">
        <f>+INPUT!AE97</f>
        <v>-8.8397790055248606</v>
      </c>
      <c r="AE210" s="382">
        <f>+INPUT!AF97</f>
        <v>-41.6206261510129</v>
      </c>
      <c r="AF210" s="429">
        <f>+INPUT!AG97</f>
        <v>-15.384615384615385</v>
      </c>
      <c r="AG210" s="382">
        <f>+INPUT!AH97</f>
        <v>12.937062937062933</v>
      </c>
      <c r="AH210" s="429">
        <f>+INPUT!AI97</f>
        <v>-18.085106382978726</v>
      </c>
      <c r="AI210" s="382">
        <f>+INPUT!AJ97</f>
        <v>-42.09288052373158</v>
      </c>
      <c r="AJ210" s="429">
        <f>+INPUT!AK97</f>
        <v>-39.480519480519483</v>
      </c>
      <c r="AK210" s="382" t="str">
        <f>+INPUT!AL97</f>
        <v>NM</v>
      </c>
      <c r="AL210" s="429">
        <f>+INPUT!AM97</f>
        <v>-11.224489795918368</v>
      </c>
      <c r="AM210" s="382">
        <f>+INPUT!AN97</f>
        <v>26.97704081632655</v>
      </c>
      <c r="AN210" s="429">
        <f>+INPUT!AO97</f>
        <v>-11.851851851851853</v>
      </c>
      <c r="AO210" s="382">
        <f>+INPUT!AP97</f>
        <v>-22.962962962962962</v>
      </c>
      <c r="AP210" s="429">
        <f>+INPUT!AQ97</f>
        <v>-12</v>
      </c>
      <c r="AQ210" s="382">
        <f>+INPUT!AR97</f>
        <v>-33.64705882352942</v>
      </c>
      <c r="AR210" s="429">
        <f>+INPUT!AS97</f>
        <v>-12</v>
      </c>
      <c r="AS210" s="382" t="str">
        <f>+INPUT!AT97</f>
        <v>NM</v>
      </c>
      <c r="AT210" s="429">
        <f>+INPUT!AU97</f>
        <v>-12</v>
      </c>
      <c r="AU210" s="382">
        <f>+INPUT!AV97</f>
        <v>6.9090909090909065</v>
      </c>
      <c r="AV210" s="429">
        <f>+INPUT!AW97</f>
        <v>-12</v>
      </c>
      <c r="AW210" s="382">
        <f>+INPUT!AX97</f>
        <v>1.25</v>
      </c>
      <c r="AX210" s="403" t="e">
        <f>+INPUT!#REF!</f>
        <v>#REF!</v>
      </c>
      <c r="AY210" s="402">
        <f>+INPUT!AY97</f>
        <v>0</v>
      </c>
      <c r="AZ210" s="432">
        <f>+INPUT!AZ97</f>
        <v>0</v>
      </c>
      <c r="BA210" s="402" t="e">
        <f>+INPUT!#REF!</f>
        <v>#REF!</v>
      </c>
      <c r="BB210" s="432" t="e">
        <f>+INPUT!#REF!</f>
        <v>#REF!</v>
      </c>
      <c r="BC210" s="402" t="e">
        <f>+INPUT!#REF!</f>
        <v>#REF!</v>
      </c>
      <c r="BD210" s="432" t="e">
        <f>+INPUT!#REF!</f>
        <v>#REF!</v>
      </c>
      <c r="BE210" s="402" t="e">
        <f>+INPUT!#REF!</f>
        <v>#REF!</v>
      </c>
      <c r="BF210" s="382" t="e">
        <f>+INPUT!#REF!</f>
        <v>#REF!</v>
      </c>
      <c r="BG210" s="402" t="e">
        <f>+INPUT!#REF!</f>
        <v>#REF!</v>
      </c>
      <c r="BH210" s="382" t="e">
        <f>+INPUT!#REF!</f>
        <v>#REF!</v>
      </c>
      <c r="BI210" s="402" t="e">
        <f>+INPUT!#REF!</f>
        <v>#REF!</v>
      </c>
      <c r="BJ210" s="382" t="e">
        <f>+INPUT!#REF!</f>
        <v>#REF!</v>
      </c>
      <c r="BK210" s="429" t="e">
        <f>+INPUT!#REF!</f>
        <v>#REF!</v>
      </c>
      <c r="BL210" s="382" t="e">
        <f>+INPUT!#REF!</f>
        <v>#REF!</v>
      </c>
      <c r="BM210" s="429" t="e">
        <f>+INPUT!#REF!</f>
        <v>#REF!</v>
      </c>
      <c r="BN210" s="382" t="e">
        <f>+INPUT!#REF!</f>
        <v>#REF!</v>
      </c>
      <c r="BO210" s="429" t="e">
        <f>+INPUT!#REF!</f>
        <v>#REF!</v>
      </c>
      <c r="BP210" s="382" t="e">
        <f>+INPUT!#REF!</f>
        <v>#REF!</v>
      </c>
      <c r="BQ210" s="429" t="e">
        <f>+INPUT!#REF!</f>
        <v>#REF!</v>
      </c>
      <c r="BR210" s="382" t="e">
        <f>+INPUT!#REF!</f>
        <v>#REF!</v>
      </c>
      <c r="BS210" s="429">
        <f>+INPUT!BB97</f>
        <v>0</v>
      </c>
      <c r="BT210" s="382" t="str">
        <f>+INPUT!BC97</f>
        <v>NA</v>
      </c>
      <c r="BU210" s="429">
        <f>+INPUT!BD97</f>
        <v>0</v>
      </c>
      <c r="BV210" s="382" t="str">
        <f>+INPUT!BE97</f>
        <v>NA</v>
      </c>
      <c r="BW210" s="429">
        <f>+INPUT!BF97</f>
        <v>-15.434083601286176</v>
      </c>
      <c r="BX210" s="382" t="str">
        <f>+INPUT!BG97</f>
        <v>NA</v>
      </c>
      <c r="BY210" s="429">
        <f>+INPUT!BH97</f>
        <v>-18.918918918918919</v>
      </c>
      <c r="BZ210" s="382">
        <f>+INPUT!BI97</f>
        <v>22.578828828828819</v>
      </c>
      <c r="CA210" s="429">
        <f>+INPUT!BJ97</f>
        <v>-20.74468085106383</v>
      </c>
      <c r="CB210" s="382">
        <f>+INPUT!BK97</f>
        <v>9.6504559270516665</v>
      </c>
      <c r="CC210" s="429">
        <f>+INPUT!BL97</f>
        <v>-12.220931999999999</v>
      </c>
      <c r="CD210" s="382">
        <f>+INPUT!BM97</f>
        <v>-41.088840615384612</v>
      </c>
      <c r="CE210" s="429">
        <f>+INPUT!BN97</f>
        <v>-12.220931999999999</v>
      </c>
      <c r="CF210" s="382">
        <f>+INPUT!BO97</f>
        <v>0</v>
      </c>
      <c r="CG210" s="429">
        <f>+INPUT!BP97</f>
        <v>-12.220931999999999</v>
      </c>
      <c r="CH210" s="382">
        <f>+INPUT!BQ97</f>
        <v>0</v>
      </c>
      <c r="CI210" s="429">
        <f>+INPUT!BR97</f>
        <v>-12.220931999999999</v>
      </c>
      <c r="CJ210" s="382">
        <f>+INPUT!BS97</f>
        <v>0</v>
      </c>
      <c r="CK210" s="429">
        <f>+INPUT!BT97</f>
        <v>-12.220931999999999</v>
      </c>
      <c r="CL210" s="382">
        <f>+INPUT!BU97</f>
        <v>0</v>
      </c>
      <c r="CM210" s="424">
        <f>+INPUT!BV97</f>
        <v>-10.042057461622756</v>
      </c>
    </row>
    <row r="211" spans="1:91" ht="12" hidden="1" customHeight="1" outlineLevel="1" x14ac:dyDescent="0.2">
      <c r="A211" s="400" t="s">
        <v>75</v>
      </c>
      <c r="B211" s="425"/>
      <c r="C211" s="424"/>
      <c r="D211" s="429"/>
      <c r="E211" s="382"/>
      <c r="F211" s="429"/>
      <c r="G211" s="382"/>
      <c r="H211" s="429"/>
      <c r="I211" s="382"/>
      <c r="J211" s="429"/>
      <c r="K211" s="382"/>
      <c r="L211" s="429"/>
      <c r="M211" s="382"/>
      <c r="N211" s="429">
        <f>+INPUT!O99</f>
        <v>2.5806451612903225</v>
      </c>
      <c r="O211" s="382" t="str">
        <f>+INPUT!P99</f>
        <v>NA</v>
      </c>
      <c r="P211" s="429">
        <f>+INPUT!Q99</f>
        <v>5.2287581699346406</v>
      </c>
      <c r="Q211" s="382" t="str">
        <f>+INPUT!R99</f>
        <v>NA</v>
      </c>
      <c r="R211" s="429">
        <f>+INPUT!S99</f>
        <v>3.8585209003215439</v>
      </c>
      <c r="S211" s="382" t="str">
        <f>+INPUT!T99</f>
        <v>NA</v>
      </c>
      <c r="T211" s="429">
        <f>+INPUT!U99</f>
        <v>2.5889967637540456</v>
      </c>
      <c r="U211" s="382" t="str">
        <f>+INPUT!V99</f>
        <v>NA</v>
      </c>
      <c r="V211" s="429">
        <f>+INPUT!W99</f>
        <v>3.7854889589905363</v>
      </c>
      <c r="W211" s="382">
        <f>+INPUT!X99</f>
        <v>46.687697160883289</v>
      </c>
      <c r="X211" s="429">
        <f>+INPUT!Y99</f>
        <v>2.4767801857585141</v>
      </c>
      <c r="Y211" s="382" t="str">
        <f>+INPUT!Z99</f>
        <v>NM</v>
      </c>
      <c r="Z211" s="429">
        <f>+INPUT!AA99</f>
        <v>2.4024024024024024</v>
      </c>
      <c r="AA211" s="382">
        <f>+INPUT!AB99</f>
        <v>-37.737737737737746</v>
      </c>
      <c r="AB211" s="429">
        <f>+INPUT!AC99</f>
        <v>4.6109510086455332</v>
      </c>
      <c r="AC211" s="382">
        <f>+INPUT!AD99</f>
        <v>78.097982708933699</v>
      </c>
      <c r="AD211" s="429">
        <f>+INPUT!AE99</f>
        <v>3.3149171270718232</v>
      </c>
      <c r="AE211" s="382">
        <f>+INPUT!AF99</f>
        <v>-12.430939226519328</v>
      </c>
      <c r="AF211" s="429">
        <f>+INPUT!AG99</f>
        <v>2.197802197802198</v>
      </c>
      <c r="AG211" s="382">
        <f>+INPUT!AH99</f>
        <v>-11.263736263736263</v>
      </c>
      <c r="AH211" s="429">
        <f>+INPUT!AI99</f>
        <v>3.1914893617021276</v>
      </c>
      <c r="AI211" s="382">
        <f>+INPUT!AJ99</f>
        <v>32.845744680851055</v>
      </c>
      <c r="AJ211" s="429">
        <f>+INPUT!AK99</f>
        <v>2.0779220779220777</v>
      </c>
      <c r="AK211" s="382" t="str">
        <f>+INPUT!AL99</f>
        <v>NM</v>
      </c>
      <c r="AL211" s="429">
        <f>+INPUT!AM99</f>
        <v>4.0816326530612246</v>
      </c>
      <c r="AM211" s="382">
        <f>+INPUT!AN99</f>
        <v>23.129251700680271</v>
      </c>
      <c r="AN211" s="429">
        <f>+INPUT!AO99</f>
        <v>2.9629629629629632</v>
      </c>
      <c r="AO211" s="382">
        <f>+INPUT!AP99</f>
        <v>34.81481481481481</v>
      </c>
      <c r="AP211" s="429">
        <f>+INPUT!AQ99</f>
        <v>4</v>
      </c>
      <c r="AQ211" s="382">
        <f>+INPUT!AR99</f>
        <v>25.333333333333343</v>
      </c>
      <c r="AR211" s="429">
        <f>+INPUT!AS99</f>
        <v>4</v>
      </c>
      <c r="AS211" s="382">
        <f>+INPUT!AT99</f>
        <v>92.500000000000028</v>
      </c>
      <c r="AT211" s="429">
        <f>+INPUT!AU99</f>
        <v>4</v>
      </c>
      <c r="AU211" s="382">
        <f>+INPUT!AV99</f>
        <v>-2</v>
      </c>
      <c r="AV211" s="429">
        <f>+INPUT!AW99</f>
        <v>4</v>
      </c>
      <c r="AW211" s="382">
        <f>+INPUT!AX99</f>
        <v>35</v>
      </c>
      <c r="AX211" s="403" t="e">
        <f>+INPUT!#REF!</f>
        <v>#REF!</v>
      </c>
      <c r="AY211" s="402">
        <f>+INPUT!AY99</f>
        <v>0</v>
      </c>
      <c r="AZ211" s="432">
        <f>+INPUT!AZ99</f>
        <v>0</v>
      </c>
      <c r="BA211" s="402" t="e">
        <f>+INPUT!#REF!</f>
        <v>#REF!</v>
      </c>
      <c r="BB211" s="432" t="e">
        <f>+INPUT!#REF!</f>
        <v>#REF!</v>
      </c>
      <c r="BC211" s="402" t="e">
        <f>+INPUT!#REF!</f>
        <v>#REF!</v>
      </c>
      <c r="BD211" s="432" t="e">
        <f>+INPUT!#REF!</f>
        <v>#REF!</v>
      </c>
      <c r="BE211" s="402" t="e">
        <f>+INPUT!#REF!</f>
        <v>#REF!</v>
      </c>
      <c r="BF211" s="382" t="e">
        <f>+INPUT!#REF!</f>
        <v>#REF!</v>
      </c>
      <c r="BG211" s="402" t="e">
        <f>+INPUT!#REF!</f>
        <v>#REF!</v>
      </c>
      <c r="BH211" s="382" t="e">
        <f>+INPUT!#REF!</f>
        <v>#REF!</v>
      </c>
      <c r="BI211" s="402" t="e">
        <f>+INPUT!#REF!</f>
        <v>#REF!</v>
      </c>
      <c r="BJ211" s="382" t="e">
        <f>+INPUT!#REF!</f>
        <v>#REF!</v>
      </c>
      <c r="BK211" s="429" t="e">
        <f>+INPUT!#REF!</f>
        <v>#REF!</v>
      </c>
      <c r="BL211" s="382" t="e">
        <f>+INPUT!#REF!</f>
        <v>#REF!</v>
      </c>
      <c r="BM211" s="429" t="e">
        <f>+INPUT!#REF!</f>
        <v>#REF!</v>
      </c>
      <c r="BN211" s="382" t="e">
        <f>+INPUT!#REF!</f>
        <v>#REF!</v>
      </c>
      <c r="BO211" s="429" t="e">
        <f>+INPUT!#REF!</f>
        <v>#REF!</v>
      </c>
      <c r="BP211" s="382" t="e">
        <f>+INPUT!#REF!</f>
        <v>#REF!</v>
      </c>
      <c r="BQ211" s="429" t="e">
        <f>+INPUT!#REF!</f>
        <v>#REF!</v>
      </c>
      <c r="BR211" s="382" t="e">
        <f>+INPUT!#REF!</f>
        <v>#REF!</v>
      </c>
      <c r="BS211" s="429">
        <f>+INPUT!BB99</f>
        <v>0</v>
      </c>
      <c r="BT211" s="382" t="str">
        <f>+INPUT!BC99</f>
        <v>NA</v>
      </c>
      <c r="BU211" s="429">
        <f>+INPUT!BD99</f>
        <v>0</v>
      </c>
      <c r="BV211" s="382" t="str">
        <f>+INPUT!BE99</f>
        <v>NA</v>
      </c>
      <c r="BW211" s="429">
        <f>+INPUT!BF99</f>
        <v>3.215434083601286</v>
      </c>
      <c r="BX211" s="382" t="str">
        <f>+INPUT!BG99</f>
        <v>NA</v>
      </c>
      <c r="BY211" s="429">
        <f>+INPUT!BH99</f>
        <v>3.303303303303303</v>
      </c>
      <c r="BZ211" s="382">
        <f>+INPUT!BI99</f>
        <v>2.7327327327327282</v>
      </c>
      <c r="CA211" s="429">
        <f>+INPUT!BJ99</f>
        <v>3.1914893617021276</v>
      </c>
      <c r="CB211" s="382">
        <f>+INPUT!BK99</f>
        <v>-3.3849129593810403</v>
      </c>
      <c r="CC211" s="429">
        <f>+INPUT!BL99</f>
        <v>4.0736439999999998</v>
      </c>
      <c r="CD211" s="382">
        <f>+INPUT!BM99</f>
        <v>27.640845333333331</v>
      </c>
      <c r="CE211" s="429">
        <f>+INPUT!BN99</f>
        <v>4</v>
      </c>
      <c r="CF211" s="382">
        <f>+INPUT!BO99</f>
        <v>-1.8078162942073419</v>
      </c>
      <c r="CG211" s="429">
        <f>+INPUT!BP99</f>
        <v>4</v>
      </c>
      <c r="CH211" s="382">
        <f>+INPUT!BQ99</f>
        <v>0</v>
      </c>
      <c r="CI211" s="429">
        <f>+INPUT!BR99</f>
        <v>4</v>
      </c>
      <c r="CJ211" s="382">
        <f>+INPUT!BS99</f>
        <v>0</v>
      </c>
      <c r="CK211" s="429">
        <f>+INPUT!BT99</f>
        <v>4</v>
      </c>
      <c r="CL211" s="382">
        <f>+INPUT!BU99</f>
        <v>0</v>
      </c>
      <c r="CM211" s="424">
        <f>+INPUT!BV99</f>
        <v>4.6196633116589947</v>
      </c>
    </row>
    <row r="212" spans="1:91" ht="12" hidden="1" customHeight="1" outlineLevel="1" x14ac:dyDescent="0.2">
      <c r="A212" s="394"/>
      <c r="B212" s="398"/>
      <c r="C212" s="399"/>
      <c r="D212" s="398"/>
      <c r="E212" s="396"/>
      <c r="F212" s="398"/>
      <c r="G212" s="396"/>
      <c r="H212" s="398"/>
      <c r="I212" s="396"/>
      <c r="J212" s="398"/>
      <c r="K212" s="396"/>
      <c r="L212" s="398"/>
      <c r="M212" s="396"/>
      <c r="N212" s="398"/>
      <c r="O212" s="396"/>
      <c r="P212" s="398"/>
      <c r="Q212" s="396"/>
      <c r="R212" s="398"/>
      <c r="S212" s="396"/>
      <c r="T212" s="398"/>
      <c r="U212" s="396"/>
      <c r="V212" s="398"/>
      <c r="W212" s="396"/>
      <c r="X212" s="398"/>
      <c r="Y212" s="396"/>
      <c r="Z212" s="398"/>
      <c r="AA212" s="396"/>
      <c r="AB212" s="398"/>
      <c r="AC212" s="396"/>
      <c r="AD212" s="398"/>
      <c r="AE212" s="396"/>
      <c r="AF212" s="398"/>
      <c r="AG212" s="396"/>
      <c r="AH212" s="398"/>
      <c r="AI212" s="396"/>
      <c r="AJ212" s="398"/>
      <c r="AK212" s="396"/>
      <c r="AL212" s="398"/>
      <c r="AM212" s="396"/>
      <c r="AN212" s="398"/>
      <c r="AO212" s="396"/>
      <c r="AP212" s="398"/>
      <c r="AQ212" s="396"/>
      <c r="AR212" s="398"/>
      <c r="AS212" s="396"/>
      <c r="AT212" s="398"/>
      <c r="AU212" s="396"/>
      <c r="AV212" s="398"/>
      <c r="AW212" s="396"/>
      <c r="AX212" s="398"/>
      <c r="AY212" s="398"/>
      <c r="AZ212" s="399"/>
      <c r="BA212" s="398"/>
      <c r="BB212" s="399"/>
      <c r="BC212" s="398"/>
      <c r="BD212" s="399"/>
      <c r="BE212" s="398"/>
      <c r="BF212" s="396"/>
      <c r="BG212" s="398"/>
      <c r="BH212" s="396"/>
      <c r="BI212" s="398"/>
      <c r="BJ212" s="396"/>
      <c r="BK212" s="398"/>
      <c r="BL212" s="396"/>
      <c r="BM212" s="398"/>
      <c r="BN212" s="396"/>
      <c r="BO212" s="398"/>
      <c r="BP212" s="396"/>
      <c r="BQ212" s="398"/>
      <c r="BR212" s="396"/>
      <c r="BS212" s="398"/>
      <c r="BT212" s="396"/>
      <c r="BU212" s="398"/>
      <c r="BV212" s="396"/>
      <c r="BW212" s="398"/>
      <c r="BX212" s="396"/>
      <c r="BY212" s="398"/>
      <c r="BZ212" s="396"/>
      <c r="CA212" s="398"/>
      <c r="CB212" s="396"/>
      <c r="CC212" s="398"/>
      <c r="CD212" s="396"/>
      <c r="CE212" s="398"/>
      <c r="CF212" s="396"/>
      <c r="CG212" s="398"/>
      <c r="CH212" s="396"/>
      <c r="CI212" s="398"/>
      <c r="CJ212" s="396"/>
      <c r="CK212" s="398"/>
      <c r="CL212" s="396"/>
      <c r="CM212" s="424"/>
    </row>
    <row r="213" spans="1:91" ht="12" hidden="1" customHeight="1" outlineLevel="1" x14ac:dyDescent="0.2">
      <c r="A213" s="394" t="s">
        <v>295</v>
      </c>
      <c r="B213" s="398"/>
      <c r="C213" s="399"/>
      <c r="D213" s="398"/>
      <c r="E213" s="396"/>
      <c r="F213" s="398"/>
      <c r="G213" s="396"/>
      <c r="H213" s="398"/>
      <c r="I213" s="396"/>
      <c r="J213" s="398"/>
      <c r="K213" s="396"/>
      <c r="L213" s="398"/>
      <c r="M213" s="396"/>
      <c r="N213" s="398"/>
      <c r="O213" s="396"/>
      <c r="P213" s="398"/>
      <c r="Q213" s="396"/>
      <c r="R213" s="398"/>
      <c r="S213" s="396"/>
      <c r="T213" s="398"/>
      <c r="U213" s="396"/>
      <c r="V213" s="398"/>
      <c r="W213" s="396"/>
      <c r="X213" s="398"/>
      <c r="Y213" s="396"/>
      <c r="Z213" s="398"/>
      <c r="AA213" s="396"/>
      <c r="AB213" s="398"/>
      <c r="AC213" s="396"/>
      <c r="AD213" s="398"/>
      <c r="AE213" s="396"/>
      <c r="AF213" s="398"/>
      <c r="AG213" s="396"/>
      <c r="AH213" s="398"/>
      <c r="AI213" s="396"/>
      <c r="AJ213" s="398"/>
      <c r="AK213" s="396"/>
      <c r="AL213" s="398"/>
      <c r="AM213" s="396"/>
      <c r="AN213" s="398"/>
      <c r="AO213" s="396"/>
      <c r="AP213" s="398"/>
      <c r="AQ213" s="396"/>
      <c r="AR213" s="398"/>
      <c r="AS213" s="396"/>
      <c r="AT213" s="398"/>
      <c r="AU213" s="396"/>
      <c r="AV213" s="398"/>
      <c r="AW213" s="396"/>
      <c r="AX213" s="398"/>
      <c r="AY213" s="398"/>
      <c r="AZ213" s="399"/>
      <c r="BA213" s="398"/>
      <c r="BB213" s="399"/>
      <c r="BC213" s="398"/>
      <c r="BD213" s="399"/>
      <c r="BE213" s="398"/>
      <c r="BF213" s="396"/>
      <c r="BG213" s="398"/>
      <c r="BH213" s="396"/>
      <c r="BI213" s="398"/>
      <c r="BJ213" s="396"/>
      <c r="BK213" s="398"/>
      <c r="BL213" s="396"/>
      <c r="BM213" s="398"/>
      <c r="BN213" s="396"/>
      <c r="BO213" s="398"/>
      <c r="BP213" s="396"/>
      <c r="BQ213" s="398"/>
      <c r="BR213" s="396"/>
      <c r="BS213" s="398"/>
      <c r="BT213" s="396"/>
      <c r="BU213" s="398"/>
      <c r="BV213" s="396"/>
      <c r="BW213" s="398"/>
      <c r="BX213" s="396"/>
      <c r="BY213" s="398"/>
      <c r="BZ213" s="396"/>
      <c r="CA213" s="398"/>
      <c r="CB213" s="396"/>
      <c r="CC213" s="398"/>
      <c r="CD213" s="396"/>
      <c r="CE213" s="398"/>
      <c r="CF213" s="396"/>
      <c r="CG213" s="398"/>
      <c r="CH213" s="396"/>
      <c r="CI213" s="398"/>
      <c r="CJ213" s="396"/>
      <c r="CK213" s="398"/>
      <c r="CL213" s="396"/>
      <c r="CM213" s="424"/>
    </row>
    <row r="214" spans="1:91" ht="12" hidden="1" customHeight="1" outlineLevel="1" x14ac:dyDescent="0.2">
      <c r="A214" s="400" t="s">
        <v>375</v>
      </c>
      <c r="B214" s="425"/>
      <c r="C214" s="424"/>
      <c r="D214" s="429"/>
      <c r="E214" s="382"/>
      <c r="F214" s="429"/>
      <c r="G214" s="382"/>
      <c r="H214" s="429"/>
      <c r="I214" s="382"/>
      <c r="J214" s="429"/>
      <c r="K214" s="382"/>
      <c r="L214" s="429"/>
      <c r="M214" s="382"/>
      <c r="N214" s="429">
        <f>+INPUT!O116</f>
        <v>4.5155844155844163</v>
      </c>
      <c r="O214" s="382" t="str">
        <f>+INPUT!P116</f>
        <v>NA</v>
      </c>
      <c r="P214" s="429">
        <f>+INPUT!Q116</f>
        <v>8.9037277147487845</v>
      </c>
      <c r="Q214" s="382" t="str">
        <f>+INPUT!R116</f>
        <v>NA</v>
      </c>
      <c r="R214" s="429">
        <f>+INPUT!S116</f>
        <v>4.5987096774193548</v>
      </c>
      <c r="S214" s="382" t="str">
        <f>+INPUT!T116</f>
        <v>NA</v>
      </c>
      <c r="T214" s="429">
        <f>+INPUT!U116</f>
        <v>14.144408945686902</v>
      </c>
      <c r="U214" s="382" t="str">
        <f>+INPUT!V116</f>
        <v>NA</v>
      </c>
      <c r="V214" s="429">
        <f>+INPUT!W116</f>
        <v>12.25625</v>
      </c>
      <c r="W214" s="382" t="str">
        <f>+INPUT!X116</f>
        <v>NM</v>
      </c>
      <c r="X214" s="429">
        <f>+INPUT!Y116</f>
        <v>7.1573170731707307</v>
      </c>
      <c r="Y214" s="382">
        <f>+INPUT!Z116</f>
        <v>-19.614376107719139</v>
      </c>
      <c r="Z214" s="429">
        <f>+INPUT!AA116</f>
        <v>8.24</v>
      </c>
      <c r="AA214" s="382">
        <f>+INPUT!AB116</f>
        <v>79.180695847362529</v>
      </c>
      <c r="AB214" s="429">
        <f>+INPUT!AC116</f>
        <v>7.5497884344146682</v>
      </c>
      <c r="AC214" s="382">
        <f>+INPUT!AD116</f>
        <v>-46.62351418567512</v>
      </c>
      <c r="AD214" s="429">
        <f>+INPUT!AE116</f>
        <v>4.3768595041322316</v>
      </c>
      <c r="AE214" s="382" t="str">
        <f>+INPUT!AF116</f>
        <v>NM</v>
      </c>
      <c r="AF214" s="429">
        <f>+INPUT!AG116</f>
        <v>12.086486486486486</v>
      </c>
      <c r="AG214" s="382">
        <f>+INPUT!AH116</f>
        <v>68.868954147536527</v>
      </c>
      <c r="AH214" s="429">
        <f>+INPUT!AI116</f>
        <v>6.6218134034165574</v>
      </c>
      <c r="AI214" s="382">
        <f>+INPUT!AJ116</f>
        <v>-19.638186851740812</v>
      </c>
      <c r="AJ214" s="429">
        <f>+INPUT!AK116</f>
        <v>8.4499356499356502</v>
      </c>
      <c r="AK214" s="382">
        <f>+INPUT!AL116</f>
        <v>11.922813776049466</v>
      </c>
      <c r="AL214" s="429">
        <f>+INPUT!AM116</f>
        <v>15.073525721455457</v>
      </c>
      <c r="AM214" s="382" t="str">
        <f>+INPUT!AN116</f>
        <v>NM</v>
      </c>
      <c r="AN214" s="429">
        <f>+INPUT!AO116</f>
        <v>7.2657668711656438</v>
      </c>
      <c r="AO214" s="382">
        <f>+INPUT!AP116</f>
        <v>-39.885202541786938</v>
      </c>
      <c r="AP214" s="429">
        <f>+INPUT!AQ116</f>
        <v>7.24</v>
      </c>
      <c r="AQ214" s="382">
        <f>+INPUT!AR116</f>
        <v>9.3356088267978947</v>
      </c>
      <c r="AR214" s="429">
        <f>+INPUT!AS116</f>
        <v>7.24</v>
      </c>
      <c r="AS214" s="382">
        <f>+INPUT!AT116</f>
        <v>-14.318874131838683</v>
      </c>
      <c r="AT214" s="429">
        <f>+INPUT!AU116</f>
        <v>7.24</v>
      </c>
      <c r="AU214" s="382" t="str">
        <f>+INPUT!AV116</f>
        <v>NM</v>
      </c>
      <c r="AV214" s="429">
        <f>+INPUT!AW116</f>
        <v>7.2200000000000006</v>
      </c>
      <c r="AW214" s="382">
        <f>+INPUT!AX116</f>
        <v>-0.62989732504726703</v>
      </c>
      <c r="AX214" s="403" t="e">
        <f>+INPUT!#REF!</f>
        <v>#REF!</v>
      </c>
      <c r="AY214" s="402">
        <f>+INPUT!AY116</f>
        <v>0</v>
      </c>
      <c r="AZ214" s="432">
        <f>+INPUT!AZ116</f>
        <v>0</v>
      </c>
      <c r="BA214" s="402" t="e">
        <f>+INPUT!#REF!</f>
        <v>#REF!</v>
      </c>
      <c r="BB214" s="432" t="e">
        <f>+INPUT!#REF!</f>
        <v>#REF!</v>
      </c>
      <c r="BC214" s="402" t="e">
        <f>+INPUT!#REF!</f>
        <v>#REF!</v>
      </c>
      <c r="BD214" s="432" t="e">
        <f>+INPUT!#REF!</f>
        <v>#REF!</v>
      </c>
      <c r="BE214" s="402" t="e">
        <f>+INPUT!#REF!</f>
        <v>#REF!</v>
      </c>
      <c r="BF214" s="382" t="e">
        <f>+INPUT!#REF!</f>
        <v>#REF!</v>
      </c>
      <c r="BG214" s="402" t="e">
        <f>+INPUT!#REF!</f>
        <v>#REF!</v>
      </c>
      <c r="BH214" s="382" t="e">
        <f>+INPUT!#REF!</f>
        <v>#REF!</v>
      </c>
      <c r="BI214" s="402" t="e">
        <f>+INPUT!#REF!</f>
        <v>#REF!</v>
      </c>
      <c r="BJ214" s="382" t="e">
        <f>+INPUT!#REF!</f>
        <v>#REF!</v>
      </c>
      <c r="BK214" s="429" t="e">
        <f>+INPUT!#REF!</f>
        <v>#REF!</v>
      </c>
      <c r="BL214" s="382" t="e">
        <f>+INPUT!#REF!</f>
        <v>#REF!</v>
      </c>
      <c r="BM214" s="429" t="e">
        <f>+INPUT!#REF!</f>
        <v>#REF!</v>
      </c>
      <c r="BN214" s="382" t="e">
        <f>+INPUT!#REF!</f>
        <v>#REF!</v>
      </c>
      <c r="BO214" s="429" t="e">
        <f>+INPUT!#REF!</f>
        <v>#REF!</v>
      </c>
      <c r="BP214" s="382" t="e">
        <f>+INPUT!#REF!</f>
        <v>#REF!</v>
      </c>
      <c r="BQ214" s="429" t="e">
        <f>+INPUT!#REF!</f>
        <v>#REF!</v>
      </c>
      <c r="BR214" s="382" t="e">
        <f>+INPUT!#REF!</f>
        <v>#REF!</v>
      </c>
      <c r="BS214" s="429">
        <f>+INPUT!BB116</f>
        <v>0</v>
      </c>
      <c r="BT214" s="382" t="str">
        <f>+INPUT!BC116</f>
        <v>NA</v>
      </c>
      <c r="BU214" s="429">
        <f>+INPUT!BD116</f>
        <v>0</v>
      </c>
      <c r="BV214" s="382" t="str">
        <f>+INPUT!BE116</f>
        <v>NA</v>
      </c>
      <c r="BW214" s="429">
        <f>+INPUT!BF116</f>
        <v>9.5376868607395746</v>
      </c>
      <c r="BX214" s="382" t="str">
        <f>+INPUT!BG116</f>
        <v>NA</v>
      </c>
      <c r="BY214" s="429">
        <f>+INPUT!BH116</f>
        <v>8.0832224168126086</v>
      </c>
      <c r="BZ214" s="382">
        <f>+INPUT!BI116</f>
        <v>-15.249656076611672</v>
      </c>
      <c r="CA214" s="429">
        <f>+INPUT!BJ116</f>
        <v>9.3777777777777782</v>
      </c>
      <c r="CB214" s="382">
        <f>+INPUT!BK116</f>
        <v>16.015337624170442</v>
      </c>
      <c r="CC214" s="429">
        <f>+INPUT!BL116</f>
        <v>7.2349122303509219</v>
      </c>
      <c r="CD214" s="382">
        <f>+INPUT!BM116</f>
        <v>-22.850461998627608</v>
      </c>
      <c r="CE214" s="429">
        <f>+INPUT!BN116</f>
        <v>7.2449122303509217</v>
      </c>
      <c r="CF214" s="382">
        <f>+INPUT!BO116</f>
        <v>0.1382186774574734</v>
      </c>
      <c r="CG214" s="429">
        <f>+INPUT!BP116</f>
        <v>7.2449122303509217</v>
      </c>
      <c r="CH214" s="382">
        <f>+INPUT!BQ116</f>
        <v>0</v>
      </c>
      <c r="CI214" s="429">
        <f>+INPUT!BR116</f>
        <v>7.2449122303509217</v>
      </c>
      <c r="CJ214" s="382">
        <f>+INPUT!BS116</f>
        <v>0</v>
      </c>
      <c r="CK214" s="429">
        <f>+INPUT!BT116</f>
        <v>7.2449122303509217</v>
      </c>
      <c r="CL214" s="382">
        <f>+INPUT!BU116</f>
        <v>0</v>
      </c>
      <c r="CM214" s="424">
        <f>+INPUT!BV116</f>
        <v>-5.029956207681952</v>
      </c>
    </row>
    <row r="215" spans="1:91" ht="12" hidden="1" customHeight="1" outlineLevel="1" x14ac:dyDescent="0.2">
      <c r="A215" s="400" t="s">
        <v>198</v>
      </c>
      <c r="B215" s="425"/>
      <c r="C215" s="424"/>
      <c r="D215" s="429"/>
      <c r="E215" s="382"/>
      <c r="F215" s="429"/>
      <c r="G215" s="382"/>
      <c r="H215" s="429"/>
      <c r="I215" s="382"/>
      <c r="J215" s="429"/>
      <c r="K215" s="382"/>
      <c r="L215" s="429"/>
      <c r="M215" s="382"/>
      <c r="N215" s="429">
        <f>+INPUT!O117</f>
        <v>4.463636363636363</v>
      </c>
      <c r="O215" s="382" t="str">
        <f>+INPUT!P117</f>
        <v>NA</v>
      </c>
      <c r="P215" s="429">
        <f>+INPUT!Q117</f>
        <v>4.5017828200972438</v>
      </c>
      <c r="Q215" s="382" t="str">
        <f>+INPUT!R117</f>
        <v>NA</v>
      </c>
      <c r="R215" s="429">
        <f>+INPUT!S117</f>
        <v>4.2632258064516124</v>
      </c>
      <c r="S215" s="382" t="str">
        <f>+INPUT!T117</f>
        <v>NA</v>
      </c>
      <c r="T215" s="429">
        <f>+INPUT!U117</f>
        <v>4.3974440894568696</v>
      </c>
      <c r="U215" s="382" t="str">
        <f>+INPUT!V117</f>
        <v>NA</v>
      </c>
      <c r="V215" s="429">
        <f>+INPUT!W117</f>
        <v>4.1987499999999995</v>
      </c>
      <c r="W215" s="382">
        <f>+INPUT!X117</f>
        <v>-5.9343177189409317</v>
      </c>
      <c r="X215" s="429">
        <f>+INPUT!Y117</f>
        <v>4.2914634146341459</v>
      </c>
      <c r="Y215" s="382">
        <f>+INPUT!Z117</f>
        <v>-4.671913636619081</v>
      </c>
      <c r="Z215" s="429">
        <f>+INPUT!AA117</f>
        <v>4.1211764705882361</v>
      </c>
      <c r="AA215" s="382">
        <f>+INPUT!AB117</f>
        <v>-3.3319683805725333</v>
      </c>
      <c r="AB215" s="429">
        <f>+INPUT!AC117</f>
        <v>4.2504936530324402</v>
      </c>
      <c r="AC215" s="382">
        <f>+INPUT!AD117</f>
        <v>-3.3417238158127276</v>
      </c>
      <c r="AD215" s="429">
        <f>+INPUT!AE117</f>
        <v>4.3493112947658403</v>
      </c>
      <c r="AE215" s="382">
        <f>+INPUT!AF117</f>
        <v>3.5858599527440589</v>
      </c>
      <c r="AF215" s="429">
        <f>+INPUT!AG117</f>
        <v>4.3362162162162159</v>
      </c>
      <c r="AG215" s="382">
        <f>+INPUT!AH117</f>
        <v>1.0428331144443774</v>
      </c>
      <c r="AH215" s="429">
        <f>+INPUT!AI117</f>
        <v>4.2291721419185277</v>
      </c>
      <c r="AI215" s="382">
        <f>+INPUT!AJ117</f>
        <v>2.6205058701326749</v>
      </c>
      <c r="AJ215" s="429">
        <f>+INPUT!AK117</f>
        <v>4.2378378378378381</v>
      </c>
      <c r="AK215" s="382">
        <f>+INPUT!AL117</f>
        <v>-0.29774930226217577</v>
      </c>
      <c r="AL215" s="429">
        <f>+INPUT!AM117</f>
        <v>4.1535759096612299</v>
      </c>
      <c r="AM215" s="382">
        <f>+INPUT!AN117</f>
        <v>-4.5003765386986032</v>
      </c>
      <c r="AN215" s="429">
        <f>+INPUT!AO117</f>
        <v>4.1658895705521468</v>
      </c>
      <c r="AO215" s="382">
        <f>+INPUT!AP117</f>
        <v>-3.9280016763715793</v>
      </c>
      <c r="AP215" s="429">
        <f>+INPUT!AQ117</f>
        <v>4.1458895705521472</v>
      </c>
      <c r="AQ215" s="382">
        <f>+INPUT!AR117</f>
        <v>-1.9692405173320822</v>
      </c>
      <c r="AR215" s="429">
        <f>+INPUT!AS117</f>
        <v>4.1458895705521472</v>
      </c>
      <c r="AS215" s="382">
        <f>+INPUT!AT117</f>
        <v>-2.1696976336546925</v>
      </c>
      <c r="AT215" s="429">
        <f>+INPUT!AU117</f>
        <v>4.1458895705521472</v>
      </c>
      <c r="AU215" s="382">
        <f>+INPUT!AV117</f>
        <v>-0.18505353642879641</v>
      </c>
      <c r="AV215" s="429">
        <f>+INPUT!AW117</f>
        <v>4.1458895705521472</v>
      </c>
      <c r="AW215" s="382">
        <f>+INPUT!AX117</f>
        <v>-0.48008953817152644</v>
      </c>
      <c r="AX215" s="403" t="e">
        <f>+INPUT!#REF!</f>
        <v>#REF!</v>
      </c>
      <c r="AY215" s="402">
        <f>+INPUT!AY117</f>
        <v>0</v>
      </c>
      <c r="AZ215" s="432">
        <f>+INPUT!AZ117</f>
        <v>0</v>
      </c>
      <c r="BA215" s="402" t="e">
        <f>+INPUT!#REF!</f>
        <v>#REF!</v>
      </c>
      <c r="BB215" s="432" t="e">
        <f>+INPUT!#REF!</f>
        <v>#REF!</v>
      </c>
      <c r="BC215" s="402" t="e">
        <f>+INPUT!#REF!</f>
        <v>#REF!</v>
      </c>
      <c r="BD215" s="432" t="e">
        <f>+INPUT!#REF!</f>
        <v>#REF!</v>
      </c>
      <c r="BE215" s="402" t="e">
        <f>+INPUT!#REF!</f>
        <v>#REF!</v>
      </c>
      <c r="BF215" s="382" t="e">
        <f>+INPUT!#REF!</f>
        <v>#REF!</v>
      </c>
      <c r="BG215" s="402" t="e">
        <f>+INPUT!#REF!</f>
        <v>#REF!</v>
      </c>
      <c r="BH215" s="382" t="e">
        <f>+INPUT!#REF!</f>
        <v>#REF!</v>
      </c>
      <c r="BI215" s="402" t="e">
        <f>+INPUT!#REF!</f>
        <v>#REF!</v>
      </c>
      <c r="BJ215" s="382" t="e">
        <f>+INPUT!#REF!</f>
        <v>#REF!</v>
      </c>
      <c r="BK215" s="429" t="e">
        <f>+INPUT!#REF!</f>
        <v>#REF!</v>
      </c>
      <c r="BL215" s="382" t="e">
        <f>+INPUT!#REF!</f>
        <v>#REF!</v>
      </c>
      <c r="BM215" s="429" t="e">
        <f>+INPUT!#REF!</f>
        <v>#REF!</v>
      </c>
      <c r="BN215" s="382" t="e">
        <f>+INPUT!#REF!</f>
        <v>#REF!</v>
      </c>
      <c r="BO215" s="429" t="e">
        <f>+INPUT!#REF!</f>
        <v>#REF!</v>
      </c>
      <c r="BP215" s="382" t="e">
        <f>+INPUT!#REF!</f>
        <v>#REF!</v>
      </c>
      <c r="BQ215" s="429" t="e">
        <f>+INPUT!#REF!</f>
        <v>#REF!</v>
      </c>
      <c r="BR215" s="382" t="e">
        <f>+INPUT!#REF!</f>
        <v>#REF!</v>
      </c>
      <c r="BS215" s="429">
        <f>+INPUT!BB117</f>
        <v>0</v>
      </c>
      <c r="BT215" s="382" t="str">
        <f>+INPUT!BC117</f>
        <v>NA</v>
      </c>
      <c r="BU215" s="429">
        <f>+INPUT!BD117</f>
        <v>0</v>
      </c>
      <c r="BV215" s="382" t="str">
        <f>+INPUT!BE117</f>
        <v>NA</v>
      </c>
      <c r="BW215" s="429">
        <f>+INPUT!BF117</f>
        <v>4.2873328088119589</v>
      </c>
      <c r="BX215" s="382" t="str">
        <f>+INPUT!BG117</f>
        <v>NA</v>
      </c>
      <c r="BY215" s="429">
        <f>+INPUT!BH117</f>
        <v>4.2670402802101579</v>
      </c>
      <c r="BZ215" s="382">
        <f>+INPUT!BI117</f>
        <v>-0.47331358461588025</v>
      </c>
      <c r="CA215" s="429">
        <f>+INPUT!BJ117</f>
        <v>4.1958095238095243</v>
      </c>
      <c r="CB215" s="382">
        <f>+INPUT!BK117</f>
        <v>-1.6693246775989081</v>
      </c>
      <c r="CC215" s="429">
        <f>+INPUT!BL117</f>
        <v>4.1458895705521472</v>
      </c>
      <c r="CD215" s="382">
        <f>+INPUT!BM117</f>
        <v>-1.1897573751644757</v>
      </c>
      <c r="CE215" s="429">
        <f>+INPUT!BN117</f>
        <v>4.1358895705521475</v>
      </c>
      <c r="CF215" s="382">
        <f>+INPUT!BO117</f>
        <v>-0.24120275829410787</v>
      </c>
      <c r="CG215" s="429">
        <f>+INPUT!BP117</f>
        <v>4.1258895705521477</v>
      </c>
      <c r="CH215" s="382">
        <f>+INPUT!BQ117</f>
        <v>-0.24178595268115544</v>
      </c>
      <c r="CI215" s="429">
        <f>+INPUT!BR117</f>
        <v>4.1158895705521479</v>
      </c>
      <c r="CJ215" s="382">
        <f>+INPUT!BS117</f>
        <v>-0.24237197406768018</v>
      </c>
      <c r="CK215" s="429">
        <f>+INPUT!BT117</f>
        <v>4.1058895705521481</v>
      </c>
      <c r="CL215" s="382">
        <f>+INPUT!BU117</f>
        <v>-0.24296084305920829</v>
      </c>
      <c r="CM215" s="424">
        <f>+INPUT!BV117</f>
        <v>-0.43234013185415865</v>
      </c>
    </row>
    <row r="216" spans="1:91" ht="12" hidden="1" customHeight="1" outlineLevel="1" x14ac:dyDescent="0.2">
      <c r="A216" s="400"/>
      <c r="B216" s="401"/>
      <c r="C216" s="399"/>
      <c r="D216" s="401"/>
      <c r="E216" s="396"/>
      <c r="F216" s="401"/>
      <c r="G216" s="396"/>
      <c r="H216" s="401"/>
      <c r="I216" s="396"/>
      <c r="J216" s="401"/>
      <c r="K216" s="396"/>
      <c r="L216" s="401"/>
      <c r="M216" s="396"/>
      <c r="N216" s="401"/>
      <c r="O216" s="396"/>
      <c r="P216" s="401"/>
      <c r="Q216" s="396"/>
      <c r="R216" s="401"/>
      <c r="S216" s="396"/>
      <c r="T216" s="401"/>
      <c r="U216" s="396"/>
      <c r="V216" s="401"/>
      <c r="W216" s="396"/>
      <c r="X216" s="401"/>
      <c r="Y216" s="396"/>
      <c r="Z216" s="401"/>
      <c r="AA216" s="396"/>
      <c r="AB216" s="401"/>
      <c r="AC216" s="396"/>
      <c r="AD216" s="401"/>
      <c r="AE216" s="396"/>
      <c r="AF216" s="401"/>
      <c r="AG216" s="396"/>
      <c r="AH216" s="401"/>
      <c r="AI216" s="396"/>
      <c r="AJ216" s="401"/>
      <c r="AK216" s="396"/>
      <c r="AL216" s="401"/>
      <c r="AM216" s="396"/>
      <c r="AN216" s="401"/>
      <c r="AO216" s="396"/>
      <c r="AP216" s="401"/>
      <c r="AQ216" s="396"/>
      <c r="AR216" s="401"/>
      <c r="AS216" s="396"/>
      <c r="AT216" s="401"/>
      <c r="AU216" s="396"/>
      <c r="AV216" s="401"/>
      <c r="AW216" s="396"/>
      <c r="AX216" s="398"/>
      <c r="AY216" s="401"/>
      <c r="AZ216" s="399"/>
      <c r="BA216" s="401"/>
      <c r="BB216" s="399"/>
      <c r="BC216" s="401"/>
      <c r="BD216" s="399"/>
      <c r="BE216" s="401"/>
      <c r="BF216" s="396"/>
      <c r="BG216" s="401"/>
      <c r="BH216" s="396"/>
      <c r="BI216" s="401"/>
      <c r="BJ216" s="396"/>
      <c r="BK216" s="401"/>
      <c r="BL216" s="396"/>
      <c r="BM216" s="401"/>
      <c r="BN216" s="396"/>
      <c r="BO216" s="401"/>
      <c r="BP216" s="396"/>
      <c r="BQ216" s="401"/>
      <c r="BR216" s="396"/>
      <c r="BS216" s="401"/>
      <c r="BT216" s="396"/>
      <c r="BU216" s="401"/>
      <c r="BV216" s="396"/>
      <c r="BW216" s="401"/>
      <c r="BX216" s="396"/>
      <c r="BY216" s="401"/>
      <c r="BZ216" s="396"/>
      <c r="CA216" s="401"/>
      <c r="CB216" s="396"/>
      <c r="CC216" s="401"/>
      <c r="CD216" s="396"/>
      <c r="CE216" s="401"/>
      <c r="CF216" s="396"/>
      <c r="CG216" s="401"/>
      <c r="CH216" s="396"/>
      <c r="CI216" s="401"/>
      <c r="CJ216" s="396"/>
      <c r="CK216" s="401"/>
      <c r="CL216" s="396"/>
      <c r="CM216" s="424"/>
    </row>
    <row r="217" spans="1:91" ht="12" hidden="1" customHeight="1" outlineLevel="1" x14ac:dyDescent="0.2">
      <c r="A217" s="394" t="s">
        <v>219</v>
      </c>
      <c r="B217" s="401"/>
      <c r="C217" s="399"/>
      <c r="D217" s="401"/>
      <c r="E217" s="396"/>
      <c r="F217" s="401"/>
      <c r="G217" s="396"/>
      <c r="H217" s="401"/>
      <c r="I217" s="396"/>
      <c r="J217" s="401"/>
      <c r="K217" s="396"/>
      <c r="L217" s="401"/>
      <c r="M217" s="396"/>
      <c r="N217" s="401"/>
      <c r="O217" s="396"/>
      <c r="P217" s="401"/>
      <c r="Q217" s="396"/>
      <c r="R217" s="401"/>
      <c r="S217" s="396"/>
      <c r="T217" s="401"/>
      <c r="U217" s="396"/>
      <c r="V217" s="401"/>
      <c r="W217" s="396"/>
      <c r="X217" s="401"/>
      <c r="Y217" s="396"/>
      <c r="Z217" s="401"/>
      <c r="AA217" s="396"/>
      <c r="AB217" s="401"/>
      <c r="AC217" s="396"/>
      <c r="AD217" s="401"/>
      <c r="AE217" s="396"/>
      <c r="AF217" s="401"/>
      <c r="AG217" s="396"/>
      <c r="AH217" s="401"/>
      <c r="AI217" s="396"/>
      <c r="AJ217" s="401"/>
      <c r="AK217" s="396"/>
      <c r="AL217" s="401"/>
      <c r="AM217" s="396"/>
      <c r="AN217" s="401"/>
      <c r="AO217" s="396"/>
      <c r="AP217" s="401"/>
      <c r="AQ217" s="396"/>
      <c r="AR217" s="401"/>
      <c r="AS217" s="396"/>
      <c r="AT217" s="401"/>
      <c r="AU217" s="396"/>
      <c r="AV217" s="401"/>
      <c r="AW217" s="396"/>
      <c r="AX217" s="398"/>
      <c r="AY217" s="401"/>
      <c r="AZ217" s="399"/>
      <c r="BA217" s="401"/>
      <c r="BB217" s="399"/>
      <c r="BC217" s="401"/>
      <c r="BD217" s="399"/>
      <c r="BE217" s="401"/>
      <c r="BF217" s="396"/>
      <c r="BG217" s="401"/>
      <c r="BH217" s="396"/>
      <c r="BI217" s="401"/>
      <c r="BJ217" s="396"/>
      <c r="BK217" s="401"/>
      <c r="BL217" s="396"/>
      <c r="BM217" s="401"/>
      <c r="BN217" s="396"/>
      <c r="BO217" s="401"/>
      <c r="BP217" s="396"/>
      <c r="BQ217" s="401"/>
      <c r="BR217" s="396"/>
      <c r="BS217" s="401"/>
      <c r="BT217" s="396"/>
      <c r="BU217" s="401"/>
      <c r="BV217" s="396"/>
      <c r="BW217" s="401"/>
      <c r="BX217" s="396"/>
      <c r="BY217" s="401"/>
      <c r="BZ217" s="396"/>
      <c r="CA217" s="401"/>
      <c r="CB217" s="396"/>
      <c r="CC217" s="401"/>
      <c r="CD217" s="396"/>
      <c r="CE217" s="401"/>
      <c r="CF217" s="396"/>
      <c r="CG217" s="401"/>
      <c r="CH217" s="396"/>
      <c r="CI217" s="401"/>
      <c r="CJ217" s="396"/>
      <c r="CK217" s="401"/>
      <c r="CL217" s="396"/>
      <c r="CM217" s="424"/>
    </row>
    <row r="218" spans="1:91" ht="12" hidden="1" customHeight="1" outlineLevel="1" x14ac:dyDescent="0.2">
      <c r="A218" s="400" t="s">
        <v>433</v>
      </c>
      <c r="B218" s="401"/>
      <c r="C218" s="399"/>
      <c r="D218" s="401"/>
      <c r="E218" s="396"/>
      <c r="F218" s="401"/>
      <c r="G218" s="396"/>
      <c r="H218" s="401"/>
      <c r="I218" s="396"/>
      <c r="J218" s="401"/>
      <c r="K218" s="396"/>
      <c r="L218" s="401"/>
      <c r="M218" s="396"/>
      <c r="N218" s="443">
        <f>+INPUT!O118</f>
        <v>7.6090909090909085</v>
      </c>
      <c r="O218" s="396" t="str">
        <f>+INPUT!P118</f>
        <v>NA</v>
      </c>
      <c r="P218" s="401">
        <f>+INPUT!Q118</f>
        <v>11.959805510534846</v>
      </c>
      <c r="Q218" s="396" t="str">
        <f>+INPUT!R118</f>
        <v>NA</v>
      </c>
      <c r="R218" s="401">
        <f>+INPUT!S118</f>
        <v>7.4851612903225808</v>
      </c>
      <c r="S218" s="396" t="str">
        <f>+INPUT!T118</f>
        <v>NA</v>
      </c>
      <c r="T218" s="401">
        <f>+INPUT!U118</f>
        <v>16.940575079872204</v>
      </c>
      <c r="U218" s="396" t="str">
        <f>+INPUT!V118</f>
        <v>NA</v>
      </c>
      <c r="V218" s="401">
        <f>+INPUT!W118</f>
        <v>15.24</v>
      </c>
      <c r="W218" s="396" t="str">
        <f>+INPUT!X118</f>
        <v>NM</v>
      </c>
      <c r="X218" s="401">
        <f>+INPUT!Y118</f>
        <v>10.126829268292683</v>
      </c>
      <c r="Y218" s="396">
        <f>+INPUT!Z118</f>
        <v>-15.326137541514186</v>
      </c>
      <c r="Z218" s="401">
        <f>+INPUT!AA118</f>
        <v>11.011764705882353</v>
      </c>
      <c r="AA218" s="396">
        <f>+INPUT!AB118</f>
        <v>47.114594846730284</v>
      </c>
      <c r="AB218" s="401">
        <f>+INPUT!AC118</f>
        <v>10.427080394922426</v>
      </c>
      <c r="AC218" s="396">
        <f>+INPUT!AD118</f>
        <v>-38.449076576442373</v>
      </c>
      <c r="AD218" s="401">
        <f>+INPUT!AE118</f>
        <v>7.3818181818181809</v>
      </c>
      <c r="AE218" s="396" t="str">
        <f>+INPUT!AF118</f>
        <v>NM</v>
      </c>
      <c r="AF218" s="401">
        <f>+INPUT!AG118</f>
        <v>14.983783783783784</v>
      </c>
      <c r="AG218" s="396">
        <f>+INPUT!AH118</f>
        <v>47.961256053741607</v>
      </c>
      <c r="AH218" s="401">
        <f>+INPUT!AI118</f>
        <v>9.3382391590013132</v>
      </c>
      <c r="AI218" s="396">
        <f>+INPUT!AJ118</f>
        <v>-15.197614474881235</v>
      </c>
      <c r="AJ218" s="401">
        <f>+INPUT!AK118</f>
        <v>11.193822393822394</v>
      </c>
      <c r="AK218" s="396">
        <f>+INPUT!AL118</f>
        <v>7.3533718918417605</v>
      </c>
      <c r="AL218" s="401">
        <f>+INPUT!AM118</f>
        <v>17.912170639899625</v>
      </c>
      <c r="AM218" s="396" t="str">
        <f>+INPUT!AN118</f>
        <v>NM</v>
      </c>
      <c r="AN218" s="401">
        <f>+INPUT!AO118</f>
        <v>10.212515337423314</v>
      </c>
      <c r="AO218" s="396">
        <f>+INPUT!AP118</f>
        <v>-31.84288104533502</v>
      </c>
      <c r="AP218" s="401">
        <f>+INPUT!AQ118</f>
        <v>10.045889570552148</v>
      </c>
      <c r="AQ218" s="396">
        <f>+INPUT!AR118</f>
        <v>7.577985522770831</v>
      </c>
      <c r="AR218" s="401">
        <f>+INPUT!AS118</f>
        <v>10.095889570552147</v>
      </c>
      <c r="AS218" s="396">
        <f>+INPUT!AT118</f>
        <v>-9.8083816648383646</v>
      </c>
      <c r="AT218" s="401">
        <f>+INPUT!AU118</f>
        <v>10.095889570552147</v>
      </c>
      <c r="AU218" s="396">
        <f>+INPUT!AV118</f>
        <v>-43.63670504532039</v>
      </c>
      <c r="AV218" s="401">
        <f>+INPUT!AW118</f>
        <v>10.095889570552147</v>
      </c>
      <c r="AW218" s="396">
        <f>+INPUT!AX118</f>
        <v>-1.1419886582083905</v>
      </c>
      <c r="AX218" s="398" t="e">
        <f>+INPUT!#REF!</f>
        <v>#REF!</v>
      </c>
      <c r="AY218" s="401">
        <f>+INPUT!AY118</f>
        <v>0</v>
      </c>
      <c r="AZ218" s="399">
        <f>+INPUT!AZ118</f>
        <v>0</v>
      </c>
      <c r="BA218" s="401" t="e">
        <f>+INPUT!#REF!</f>
        <v>#REF!</v>
      </c>
      <c r="BB218" s="399" t="e">
        <f>+INPUT!#REF!</f>
        <v>#REF!</v>
      </c>
      <c r="BC218" s="401" t="e">
        <f>+INPUT!#REF!</f>
        <v>#REF!</v>
      </c>
      <c r="BD218" s="399" t="e">
        <f>+INPUT!#REF!</f>
        <v>#REF!</v>
      </c>
      <c r="BE218" s="401" t="e">
        <f>+INPUT!#REF!</f>
        <v>#REF!</v>
      </c>
      <c r="BF218" s="396" t="e">
        <f>+INPUT!#REF!</f>
        <v>#REF!</v>
      </c>
      <c r="BG218" s="401" t="e">
        <f>+INPUT!#REF!</f>
        <v>#REF!</v>
      </c>
      <c r="BH218" s="396" t="e">
        <f>+INPUT!#REF!</f>
        <v>#REF!</v>
      </c>
      <c r="BI218" s="401" t="e">
        <f>+INPUT!#REF!</f>
        <v>#REF!</v>
      </c>
      <c r="BJ218" s="396" t="e">
        <f>+INPUT!#REF!</f>
        <v>#REF!</v>
      </c>
      <c r="BK218" s="401" t="e">
        <f>+INPUT!#REF!</f>
        <v>#REF!</v>
      </c>
      <c r="BL218" s="396" t="e">
        <f>+INPUT!#REF!</f>
        <v>#REF!</v>
      </c>
      <c r="BM218" s="401" t="e">
        <f>+INPUT!#REF!</f>
        <v>#REF!</v>
      </c>
      <c r="BN218" s="396" t="e">
        <f>+INPUT!#REF!</f>
        <v>#REF!</v>
      </c>
      <c r="BO218" s="401" t="e">
        <f>+INPUT!#REF!</f>
        <v>#REF!</v>
      </c>
      <c r="BP218" s="396" t="e">
        <f>+INPUT!#REF!</f>
        <v>#REF!</v>
      </c>
      <c r="BQ218" s="401" t="e">
        <f>+INPUT!#REF!</f>
        <v>#REF!</v>
      </c>
      <c r="BR218" s="396" t="e">
        <f>+INPUT!#REF!</f>
        <v>#REF!</v>
      </c>
      <c r="BS218" s="401">
        <f>+INPUT!BB118</f>
        <v>0</v>
      </c>
      <c r="BT218" s="396" t="str">
        <f>+INPUT!BC118</f>
        <v>NA</v>
      </c>
      <c r="BU218" s="401">
        <f>+INPUT!BD118</f>
        <v>0</v>
      </c>
      <c r="BV218" s="396" t="str">
        <f>+INPUT!BE118</f>
        <v>NA</v>
      </c>
      <c r="BW218" s="401">
        <f>+INPUT!BF118</f>
        <v>12.447836349331235</v>
      </c>
      <c r="BX218" s="396" t="str">
        <f>+INPUT!BG118</f>
        <v>NA</v>
      </c>
      <c r="BY218" s="401">
        <f>+INPUT!BH118</f>
        <v>10.973029772329248</v>
      </c>
      <c r="BZ218" s="396">
        <f>+INPUT!BI118</f>
        <v>-11.847894972375826</v>
      </c>
      <c r="CA218" s="401">
        <f>+INPUT!BJ118</f>
        <v>12.191492063492063</v>
      </c>
      <c r="CB218" s="396">
        <f>+INPUT!BK118</f>
        <v>11.104155519885836</v>
      </c>
      <c r="CC218" s="401">
        <f>+INPUT!BL118</f>
        <v>10.08361196981531</v>
      </c>
      <c r="CD218" s="396">
        <f>+INPUT!BM118</f>
        <v>-17.289763079852122</v>
      </c>
      <c r="CE218" s="401">
        <f>+INPUT!BN118</f>
        <v>10.09361196981531</v>
      </c>
      <c r="CF218" s="396">
        <f>+INPUT!BO118</f>
        <v>9.9170813295216931E-2</v>
      </c>
      <c r="CG218" s="401">
        <f>+INPUT!BP118</f>
        <v>10.08361196981531</v>
      </c>
      <c r="CH218" s="396">
        <f>+INPUT!BQ118</f>
        <v>-9.9072562229508776E-2</v>
      </c>
      <c r="CI218" s="401">
        <f>+INPUT!BR118</f>
        <v>10.07361196981531</v>
      </c>
      <c r="CJ218" s="396">
        <f>+INPUT!BS118</f>
        <v>-9.9170813295216931E-2</v>
      </c>
      <c r="CK218" s="401">
        <f>+INPUT!BT118</f>
        <v>10.063611969815311</v>
      </c>
      <c r="CL218" s="396">
        <f>+INPUT!BU118</f>
        <v>-9.9269259427146039E-2</v>
      </c>
      <c r="CM218" s="424">
        <f>+INPUT!BV118</f>
        <v>-3.7635920342355522</v>
      </c>
    </row>
    <row r="219" spans="1:91" ht="12" hidden="1" customHeight="1" outlineLevel="1" x14ac:dyDescent="0.2">
      <c r="A219" s="400" t="s">
        <v>384</v>
      </c>
      <c r="B219" s="425"/>
      <c r="C219" s="424"/>
      <c r="D219" s="443"/>
      <c r="E219" s="382"/>
      <c r="F219" s="443"/>
      <c r="G219" s="382"/>
      <c r="H219" s="443"/>
      <c r="I219" s="382"/>
      <c r="J219" s="443"/>
      <c r="K219" s="382"/>
      <c r="L219" s="443"/>
      <c r="M219" s="382"/>
      <c r="N219" s="443">
        <f>+INPUT!O121</f>
        <v>0.13116883116883116</v>
      </c>
      <c r="O219" s="382" t="str">
        <f>+INPUT!P121</f>
        <v>NA</v>
      </c>
      <c r="P219" s="443">
        <f>+INPUT!Q121</f>
        <v>0.16207455429497569</v>
      </c>
      <c r="Q219" s="382" t="str">
        <f>+INPUT!R121</f>
        <v>NA</v>
      </c>
      <c r="R219" s="443">
        <f>+INPUT!S121</f>
        <v>0.17290322580645162</v>
      </c>
      <c r="S219" s="382" t="str">
        <f>+INPUT!T121</f>
        <v>NA</v>
      </c>
      <c r="T219" s="443">
        <f>+INPUT!U121</f>
        <v>0.24792332268370604</v>
      </c>
      <c r="U219" s="382" t="str">
        <f>+INPUT!V121</f>
        <v>NA</v>
      </c>
      <c r="V219" s="443">
        <f>+INPUT!W121</f>
        <v>0.27625</v>
      </c>
      <c r="W219" s="382" t="str">
        <f>+INPUT!X121</f>
        <v>NM</v>
      </c>
      <c r="X219" s="443">
        <f>+INPUT!Y121</f>
        <v>0.24878048780487805</v>
      </c>
      <c r="Y219" s="382">
        <f>+INPUT!Z121</f>
        <v>53.497560975609758</v>
      </c>
      <c r="Z219" s="443">
        <f>+INPUT!AA121</f>
        <v>0.31411764705882356</v>
      </c>
      <c r="AA219" s="382">
        <f>+INPUT!AB121</f>
        <v>81.672519754170338</v>
      </c>
      <c r="AB219" s="443">
        <f>+INPUT!AC121</f>
        <v>0.23808180535966153</v>
      </c>
      <c r="AC219" s="382">
        <f>+INPUT!AD121</f>
        <v>-3.9695810856004243</v>
      </c>
      <c r="AD219" s="443">
        <f>+INPUT!AE121</f>
        <v>0.12782369146005509</v>
      </c>
      <c r="AE219" s="382" t="str">
        <f>+INPUT!AF121</f>
        <v>NM</v>
      </c>
      <c r="AF219" s="443">
        <f>+INPUT!AG121</f>
        <v>0.19135135135135134</v>
      </c>
      <c r="AG219" s="382">
        <f>+INPUT!AH121</f>
        <v>-23.08426073131956</v>
      </c>
      <c r="AH219" s="443">
        <f>+INPUT!AI121</f>
        <v>0.18817345597897503</v>
      </c>
      <c r="AI219" s="382">
        <f>+INPUT!AJ121</f>
        <v>-40.094592665869378</v>
      </c>
      <c r="AJ219" s="443">
        <f>+INPUT!AK121</f>
        <v>0.22239382239382244</v>
      </c>
      <c r="AK219" s="382">
        <f>+INPUT!AL121</f>
        <v>-6.5893245988032731</v>
      </c>
      <c r="AL219" s="443">
        <f>+INPUT!AM121</f>
        <v>0.14153074027603513</v>
      </c>
      <c r="AM219" s="382">
        <f>+INPUT!AN121</f>
        <v>10.72340241422576</v>
      </c>
      <c r="AN219" s="443">
        <f>+INPUT!AO121</f>
        <v>0.13938650306748465</v>
      </c>
      <c r="AO219" s="382">
        <f>+INPUT!AP121</f>
        <v>-27.156770995806028</v>
      </c>
      <c r="AP219" s="443">
        <f>+INPUT!AQ121</f>
        <v>0.13938650306748465</v>
      </c>
      <c r="AQ219" s="382">
        <f>+INPUT!AR121</f>
        <v>-25.926586009528052</v>
      </c>
      <c r="AR219" s="443">
        <f>+INPUT!AS121</f>
        <v>0.13938650306748465</v>
      </c>
      <c r="AS219" s="382">
        <f>+INPUT!AT121</f>
        <v>-37.324471710974791</v>
      </c>
      <c r="AT219" s="443">
        <f>+INPUT!AU121</f>
        <v>0.13938650306748465</v>
      </c>
      <c r="AU219" s="382">
        <f>+INPUT!AV121</f>
        <v>-1.5150328503676747</v>
      </c>
      <c r="AV219" s="443">
        <f>+INPUT!AW121</f>
        <v>0.13938650306748465</v>
      </c>
      <c r="AW219" s="382">
        <f>+INPUT!AX121</f>
        <v>0</v>
      </c>
      <c r="AX219" s="403" t="e">
        <f>+INPUT!#REF!</f>
        <v>#REF!</v>
      </c>
      <c r="AY219" s="402">
        <f>+INPUT!AY121</f>
        <v>0</v>
      </c>
      <c r="AZ219" s="432">
        <f>+INPUT!AZ121</f>
        <v>0</v>
      </c>
      <c r="BA219" s="402" t="e">
        <f>+INPUT!#REF!</f>
        <v>#REF!</v>
      </c>
      <c r="BB219" s="432" t="e">
        <f>+INPUT!#REF!</f>
        <v>#REF!</v>
      </c>
      <c r="BC219" s="402" t="e">
        <f>+INPUT!#REF!</f>
        <v>#REF!</v>
      </c>
      <c r="BD219" s="432" t="e">
        <f>+INPUT!#REF!</f>
        <v>#REF!</v>
      </c>
      <c r="BE219" s="402" t="e">
        <f>+INPUT!#REF!</f>
        <v>#REF!</v>
      </c>
      <c r="BF219" s="382" t="e">
        <f>+INPUT!#REF!</f>
        <v>#REF!</v>
      </c>
      <c r="BG219" s="402" t="e">
        <f>+INPUT!#REF!</f>
        <v>#REF!</v>
      </c>
      <c r="BH219" s="382" t="e">
        <f>+INPUT!#REF!</f>
        <v>#REF!</v>
      </c>
      <c r="BI219" s="402" t="e">
        <f>+INPUT!#REF!</f>
        <v>#REF!</v>
      </c>
      <c r="BJ219" s="382" t="e">
        <f>+INPUT!#REF!</f>
        <v>#REF!</v>
      </c>
      <c r="BK219" s="443" t="e">
        <f>+INPUT!#REF!</f>
        <v>#REF!</v>
      </c>
      <c r="BL219" s="382" t="e">
        <f>+INPUT!#REF!</f>
        <v>#REF!</v>
      </c>
      <c r="BM219" s="443" t="e">
        <f>+INPUT!#REF!</f>
        <v>#REF!</v>
      </c>
      <c r="BN219" s="382" t="e">
        <f>+INPUT!#REF!</f>
        <v>#REF!</v>
      </c>
      <c r="BO219" s="443" t="e">
        <f>+INPUT!#REF!</f>
        <v>#REF!</v>
      </c>
      <c r="BP219" s="382" t="e">
        <f>+INPUT!#REF!</f>
        <v>#REF!</v>
      </c>
      <c r="BQ219" s="443" t="e">
        <f>+INPUT!#REF!</f>
        <v>#REF!</v>
      </c>
      <c r="BR219" s="382" t="e">
        <f>+INPUT!#REF!</f>
        <v>#REF!</v>
      </c>
      <c r="BS219" s="443">
        <f>+INPUT!BB121</f>
        <v>0</v>
      </c>
      <c r="BT219" s="382" t="str">
        <f>+INPUT!BC121</f>
        <v>NA</v>
      </c>
      <c r="BU219" s="443">
        <f>+INPUT!BD121</f>
        <v>0</v>
      </c>
      <c r="BV219" s="382" t="str">
        <f>+INPUT!BE121</f>
        <v>NA</v>
      </c>
      <c r="BW219" s="443">
        <f>+INPUT!BF121</f>
        <v>0.23697875688434303</v>
      </c>
      <c r="BX219" s="382" t="str">
        <f>+INPUT!BG121</f>
        <v>NA</v>
      </c>
      <c r="BY219" s="443">
        <f>+INPUT!BH121</f>
        <v>0.21604203152364274</v>
      </c>
      <c r="BZ219" s="382">
        <f>+INPUT!BI121</f>
        <v>-8.8348532315571333</v>
      </c>
      <c r="CA219" s="443">
        <f>+INPUT!BJ121</f>
        <v>0.17219047619047617</v>
      </c>
      <c r="CB219" s="382">
        <f>+INPUT!BK121</f>
        <v>-20.297696251003643</v>
      </c>
      <c r="CC219" s="443">
        <f>+INPUT!BL121</f>
        <v>0.13938650306748465</v>
      </c>
      <c r="CD219" s="382">
        <f>+INPUT!BM121</f>
        <v>-19.050979966339099</v>
      </c>
      <c r="CE219" s="443">
        <f>+INPUT!BN121</f>
        <v>0.13938650306748465</v>
      </c>
      <c r="CF219" s="382">
        <f>+INPUT!BO121</f>
        <v>0</v>
      </c>
      <c r="CG219" s="443">
        <f>+INPUT!BP121</f>
        <v>0.13938650306748465</v>
      </c>
      <c r="CH219" s="382">
        <f>+INPUT!BQ121</f>
        <v>0</v>
      </c>
      <c r="CI219" s="443">
        <f>+INPUT!BR121</f>
        <v>0.13938650306748465</v>
      </c>
      <c r="CJ219" s="382">
        <f>+INPUT!BS121</f>
        <v>0</v>
      </c>
      <c r="CK219" s="443">
        <f>+INPUT!BT121</f>
        <v>0.13938650306748465</v>
      </c>
      <c r="CL219" s="382">
        <f>+INPUT!BU121</f>
        <v>0</v>
      </c>
      <c r="CM219" s="424" t="str">
        <f>+INPUT!BV121</f>
        <v>NA</v>
      </c>
    </row>
    <row r="220" spans="1:91" ht="12" hidden="1" customHeight="1" outlineLevel="1" x14ac:dyDescent="0.2">
      <c r="A220" s="400" t="s">
        <v>385</v>
      </c>
      <c r="B220" s="425"/>
      <c r="C220" s="424"/>
      <c r="D220" s="443"/>
      <c r="E220" s="382"/>
      <c r="F220" s="443"/>
      <c r="G220" s="382"/>
      <c r="H220" s="443"/>
      <c r="I220" s="382"/>
      <c r="J220" s="443"/>
      <c r="K220" s="382"/>
      <c r="L220" s="443"/>
      <c r="M220" s="382"/>
      <c r="N220" s="443">
        <f>+INPUT!O122</f>
        <v>1.0215293244246474E-2</v>
      </c>
      <c r="O220" s="382" t="str">
        <f>+INPUT!P122</f>
        <v>NA</v>
      </c>
      <c r="P220" s="443">
        <f>+INPUT!Q122</f>
        <v>0.16596434359805509</v>
      </c>
      <c r="Q220" s="382" t="str">
        <f>+INPUT!R122</f>
        <v>NA</v>
      </c>
      <c r="R220" s="443">
        <f>+INPUT!S122</f>
        <v>7.8709677419354834E-2</v>
      </c>
      <c r="S220" s="382" t="str">
        <f>+INPUT!T122</f>
        <v>NA</v>
      </c>
      <c r="T220" s="443">
        <f>+INPUT!U122</f>
        <v>6.773162939297124E-2</v>
      </c>
      <c r="U220" s="382" t="str">
        <f>+INPUT!V122</f>
        <v>NA</v>
      </c>
      <c r="V220" s="443">
        <f>+INPUT!W122</f>
        <v>-3.125E-2</v>
      </c>
      <c r="W220" s="382" t="str">
        <f>+INPUT!X122</f>
        <v>NM</v>
      </c>
      <c r="X220" s="443">
        <f>+INPUT!Y122</f>
        <v>-4.3902439024390241E-2</v>
      </c>
      <c r="Y220" s="382" t="str">
        <f>+INPUT!Z122</f>
        <v>NM</v>
      </c>
      <c r="Z220" s="443">
        <f>+INPUT!AA122</f>
        <v>-8.352941176470588E-2</v>
      </c>
      <c r="AA220" s="382" t="str">
        <f>+INPUT!AB122</f>
        <v>NM</v>
      </c>
      <c r="AB220" s="443">
        <f>+INPUT!AC122</f>
        <v>4.5133991537376628E-3</v>
      </c>
      <c r="AC220" s="382" t="str">
        <f>+INPUT!AD122</f>
        <v>NM</v>
      </c>
      <c r="AD220" s="443">
        <f>+INPUT!AE122</f>
        <v>7.9338842975206603E-2</v>
      </c>
      <c r="AE220" s="382" t="str">
        <f>+INPUT!AF122</f>
        <v>NM</v>
      </c>
      <c r="AF220" s="443">
        <f>+INPUT!AG122</f>
        <v>-1.2972972972972986E-2</v>
      </c>
      <c r="AG220" s="382" t="str">
        <f>+INPUT!AH122</f>
        <v>NM</v>
      </c>
      <c r="AH220" s="443">
        <f>+INPUT!AI122</f>
        <v>-1.0512483574244415E-2</v>
      </c>
      <c r="AI220" s="382" t="str">
        <f>+INPUT!AJ122</f>
        <v>NM</v>
      </c>
      <c r="AJ220" s="443">
        <f>+INPUT!AK122</f>
        <v>-9.2664092664092694E-3</v>
      </c>
      <c r="AK220" s="382" t="str">
        <f>+INPUT!AL122</f>
        <v>NM</v>
      </c>
      <c r="AL220" s="443">
        <f>+INPUT!AM122</f>
        <v>-0.12547051442910914</v>
      </c>
      <c r="AM220" s="382" t="str">
        <f>+INPUT!AN122</f>
        <v>NM</v>
      </c>
      <c r="AN220" s="443">
        <f>+INPUT!AO122</f>
        <v>2.6503067484662576E-2</v>
      </c>
      <c r="AO220" s="382" t="str">
        <f>+INPUT!AP122</f>
        <v>NM</v>
      </c>
      <c r="AP220" s="443">
        <f>+INPUT!AQ122</f>
        <v>2.6503067484662576E-2</v>
      </c>
      <c r="AQ220" s="382" t="str">
        <f>+INPUT!AR122</f>
        <v>NM</v>
      </c>
      <c r="AR220" s="443">
        <f>+INPUT!AS122</f>
        <v>2.6503067484662576E-2</v>
      </c>
      <c r="AS220" s="382" t="str">
        <f>+INPUT!AT122</f>
        <v>NM</v>
      </c>
      <c r="AT220" s="443">
        <f>+INPUT!AU122</f>
        <v>2.6503067484662576E-2</v>
      </c>
      <c r="AU220" s="382" t="str">
        <f>+INPUT!AV122</f>
        <v>NM</v>
      </c>
      <c r="AV220" s="443">
        <f>+INPUT!AW122</f>
        <v>2.6503067484662576E-2</v>
      </c>
      <c r="AW220" s="382">
        <f>+INPUT!AX122</f>
        <v>0</v>
      </c>
      <c r="AX220" s="403" t="e">
        <f>+INPUT!#REF!</f>
        <v>#REF!</v>
      </c>
      <c r="AY220" s="402">
        <f>+INPUT!AY122</f>
        <v>0</v>
      </c>
      <c r="AZ220" s="432">
        <f>+INPUT!AZ122</f>
        <v>0</v>
      </c>
      <c r="BA220" s="402" t="e">
        <f>+INPUT!#REF!</f>
        <v>#REF!</v>
      </c>
      <c r="BB220" s="432" t="e">
        <f>+INPUT!#REF!</f>
        <v>#REF!</v>
      </c>
      <c r="BC220" s="402" t="e">
        <f>+INPUT!#REF!</f>
        <v>#REF!</v>
      </c>
      <c r="BD220" s="432" t="e">
        <f>+INPUT!#REF!</f>
        <v>#REF!</v>
      </c>
      <c r="BE220" s="402" t="e">
        <f>+INPUT!#REF!</f>
        <v>#REF!</v>
      </c>
      <c r="BF220" s="382" t="e">
        <f>+INPUT!#REF!</f>
        <v>#REF!</v>
      </c>
      <c r="BG220" s="402" t="e">
        <f>+INPUT!#REF!</f>
        <v>#REF!</v>
      </c>
      <c r="BH220" s="382" t="e">
        <f>+INPUT!#REF!</f>
        <v>#REF!</v>
      </c>
      <c r="BI220" s="402" t="e">
        <f>+INPUT!#REF!</f>
        <v>#REF!</v>
      </c>
      <c r="BJ220" s="382" t="e">
        <f>+INPUT!#REF!</f>
        <v>#REF!</v>
      </c>
      <c r="BK220" s="443" t="e">
        <f>+INPUT!#REF!</f>
        <v>#REF!</v>
      </c>
      <c r="BL220" s="382" t="e">
        <f>+INPUT!#REF!</f>
        <v>#REF!</v>
      </c>
      <c r="BM220" s="443" t="e">
        <f>+INPUT!#REF!</f>
        <v>#REF!</v>
      </c>
      <c r="BN220" s="382" t="e">
        <f>+INPUT!#REF!</f>
        <v>#REF!</v>
      </c>
      <c r="BO220" s="443" t="e">
        <f>+INPUT!#REF!</f>
        <v>#REF!</v>
      </c>
      <c r="BP220" s="382" t="e">
        <f>+INPUT!#REF!</f>
        <v>#REF!</v>
      </c>
      <c r="BQ220" s="443" t="e">
        <f>+INPUT!#REF!</f>
        <v>#REF!</v>
      </c>
      <c r="BR220" s="382" t="e">
        <f>+INPUT!#REF!</f>
        <v>#REF!</v>
      </c>
      <c r="BS220" s="443">
        <f>+INPUT!BB122</f>
        <v>0</v>
      </c>
      <c r="BT220" s="382" t="str">
        <f>+INPUT!BC122</f>
        <v>NA</v>
      </c>
      <c r="BU220" s="443">
        <f>+INPUT!BD122</f>
        <v>0</v>
      </c>
      <c r="BV220" s="382" t="str">
        <f>+INPUT!BE122</f>
        <v>NA</v>
      </c>
      <c r="BW220" s="443">
        <f>+INPUT!BF122</f>
        <v>1.6679779701022811E-2</v>
      </c>
      <c r="BX220" s="382" t="str">
        <f>+INPUT!BG122</f>
        <v>NA</v>
      </c>
      <c r="BY220" s="443">
        <f>+INPUT!BH122</f>
        <v>-1.9614711033274987E-3</v>
      </c>
      <c r="BZ220" s="382" t="str">
        <f>+INPUT!BI122</f>
        <v>NM</v>
      </c>
      <c r="CA220" s="443">
        <f>+INPUT!BJ122</f>
        <v>-2.9714285714285714E-2</v>
      </c>
      <c r="CB220" s="382" t="str">
        <f>+INPUT!BK122</f>
        <v>NM</v>
      </c>
      <c r="CC220" s="443">
        <f>+INPUT!BL122</f>
        <v>2.6503067484662572E-2</v>
      </c>
      <c r="CD220" s="382" t="str">
        <f>+INPUT!BM122</f>
        <v>NM</v>
      </c>
      <c r="CE220" s="443">
        <f>+INPUT!BN122</f>
        <v>2.6503067484662572E-2</v>
      </c>
      <c r="CF220" s="382">
        <f>+INPUT!BO122</f>
        <v>0</v>
      </c>
      <c r="CG220" s="443">
        <f>+INPUT!BP122</f>
        <v>2.6503067484662572E-2</v>
      </c>
      <c r="CH220" s="382">
        <f>+INPUT!BQ122</f>
        <v>0</v>
      </c>
      <c r="CI220" s="443">
        <f>+INPUT!BR122</f>
        <v>2.6503067484662572E-2</v>
      </c>
      <c r="CJ220" s="382">
        <f>+INPUT!BS122</f>
        <v>0</v>
      </c>
      <c r="CK220" s="443">
        <f>+INPUT!BT122</f>
        <v>2.6503067484662572E-2</v>
      </c>
      <c r="CL220" s="382">
        <f>+INPUT!BU122</f>
        <v>0</v>
      </c>
      <c r="CM220" s="424" t="str">
        <f>+INPUT!BV122</f>
        <v>NA</v>
      </c>
    </row>
    <row r="221" spans="1:91" ht="12" hidden="1" customHeight="1" outlineLevel="1" x14ac:dyDescent="0.2">
      <c r="A221" s="400" t="s">
        <v>264</v>
      </c>
      <c r="B221" s="425"/>
      <c r="C221" s="424"/>
      <c r="D221" s="443"/>
      <c r="E221" s="382"/>
      <c r="F221" s="443"/>
      <c r="G221" s="382"/>
      <c r="H221" s="443"/>
      <c r="I221" s="382"/>
      <c r="J221" s="443"/>
      <c r="K221" s="382"/>
      <c r="L221" s="443"/>
      <c r="M221" s="382"/>
      <c r="N221" s="443">
        <f>+INPUT!O123</f>
        <v>0.32077922077922083</v>
      </c>
      <c r="O221" s="382" t="str">
        <f>+INPUT!P123</f>
        <v>NA</v>
      </c>
      <c r="P221" s="443">
        <f>+INPUT!Q123</f>
        <v>0.34359805510534847</v>
      </c>
      <c r="Q221" s="382" t="str">
        <f>+INPUT!R123</f>
        <v>NA</v>
      </c>
      <c r="R221" s="443">
        <f>+INPUT!S123</f>
        <v>0.33677419354838711</v>
      </c>
      <c r="S221" s="382" t="str">
        <f>+INPUT!T123</f>
        <v>NA</v>
      </c>
      <c r="T221" s="443">
        <f>+INPUT!U123</f>
        <v>0.34632587859424924</v>
      </c>
      <c r="U221" s="382" t="str">
        <f>+INPUT!V123</f>
        <v>NA</v>
      </c>
      <c r="V221" s="443">
        <f>+INPUT!W123</f>
        <v>0.34625000000000006</v>
      </c>
      <c r="W221" s="382">
        <f>+INPUT!X123</f>
        <v>7.9402834008097187</v>
      </c>
      <c r="X221" s="443">
        <f>+INPUT!Y123</f>
        <v>0.35975609756097565</v>
      </c>
      <c r="Y221" s="382">
        <f>+INPUT!Z123</f>
        <v>4.702600092038665</v>
      </c>
      <c r="Z221" s="443">
        <f>+INPUT!AA123</f>
        <v>0.32588235294117646</v>
      </c>
      <c r="AA221" s="382">
        <f>+INPUT!AB123</f>
        <v>-3.2341672301104438</v>
      </c>
      <c r="AB221" s="443">
        <f>+INPUT!AC123</f>
        <v>0.33850493653032443</v>
      </c>
      <c r="AC221" s="382">
        <f>+INPUT!AD123</f>
        <v>-2.2582609465022756</v>
      </c>
      <c r="AD221" s="443">
        <f>+INPUT!AE123</f>
        <v>0.29972451790633609</v>
      </c>
      <c r="AE221" s="382">
        <f>+INPUT!AF123</f>
        <v>-13.436962337520271</v>
      </c>
      <c r="AF221" s="443">
        <f>+INPUT!AG123</f>
        <v>0.31459459459459455</v>
      </c>
      <c r="AG221" s="382">
        <f>+INPUT!AH123</f>
        <v>-12.553366926248316</v>
      </c>
      <c r="AH221" s="443">
        <f>+INPUT!AI123</f>
        <v>0.28909329829172142</v>
      </c>
      <c r="AI221" s="382">
        <f>+INPUT!AJ123</f>
        <v>-11.289060090988016</v>
      </c>
      <c r="AJ221" s="443">
        <f>+INPUT!AK123</f>
        <v>0.28931788931788932</v>
      </c>
      <c r="AK221" s="382">
        <f>+INPUT!AL123</f>
        <v>-14.530673530673539</v>
      </c>
      <c r="AL221" s="443">
        <f>+INPUT!AM123</f>
        <v>0.2740276035131744</v>
      </c>
      <c r="AM221" s="382">
        <f>+INPUT!AN123</f>
        <v>-8.5735109602184707</v>
      </c>
      <c r="AN221" s="443">
        <f>+INPUT!AO123</f>
        <v>0.31607361963190178</v>
      </c>
      <c r="AO221" s="382">
        <f>+INPUT!AP123</f>
        <v>0.47013682457360062</v>
      </c>
      <c r="AP221" s="443">
        <f>+INPUT!AQ123</f>
        <v>0.30607361963190172</v>
      </c>
      <c r="AQ221" s="382">
        <f>+INPUT!AR123</f>
        <v>5.8736475181260062</v>
      </c>
      <c r="AR221" s="443">
        <f>+INPUT!AS123</f>
        <v>0.30607361963190172</v>
      </c>
      <c r="AS221" s="382">
        <f>+INPUT!AT123</f>
        <v>5.791460166364601</v>
      </c>
      <c r="AT221" s="443">
        <f>+INPUT!AU123</f>
        <v>0.30607361963190172</v>
      </c>
      <c r="AU221" s="382">
        <f>+INPUT!AV123</f>
        <v>11.694448189846923</v>
      </c>
      <c r="AV221" s="443">
        <f>+INPUT!AW123</f>
        <v>0.30607361963190172</v>
      </c>
      <c r="AW221" s="382">
        <f>+INPUT!AX123</f>
        <v>-3.1638198757764258</v>
      </c>
      <c r="AX221" s="403" t="e">
        <f>+INPUT!#REF!</f>
        <v>#REF!</v>
      </c>
      <c r="AY221" s="402">
        <f>+INPUT!AY123</f>
        <v>0</v>
      </c>
      <c r="AZ221" s="432">
        <f>+INPUT!AZ123</f>
        <v>0</v>
      </c>
      <c r="BA221" s="402" t="e">
        <f>+INPUT!#REF!</f>
        <v>#REF!</v>
      </c>
      <c r="BB221" s="432" t="e">
        <f>+INPUT!#REF!</f>
        <v>#REF!</v>
      </c>
      <c r="BC221" s="402" t="e">
        <f>+INPUT!#REF!</f>
        <v>#REF!</v>
      </c>
      <c r="BD221" s="432" t="e">
        <f>+INPUT!#REF!</f>
        <v>#REF!</v>
      </c>
      <c r="BE221" s="402" t="e">
        <f>+INPUT!#REF!</f>
        <v>#REF!</v>
      </c>
      <c r="BF221" s="382" t="e">
        <f>+INPUT!#REF!</f>
        <v>#REF!</v>
      </c>
      <c r="BG221" s="402" t="e">
        <f>+INPUT!#REF!</f>
        <v>#REF!</v>
      </c>
      <c r="BH221" s="382" t="e">
        <f>+INPUT!#REF!</f>
        <v>#REF!</v>
      </c>
      <c r="BI221" s="402" t="e">
        <f>+INPUT!#REF!</f>
        <v>#REF!</v>
      </c>
      <c r="BJ221" s="382" t="e">
        <f>+INPUT!#REF!</f>
        <v>#REF!</v>
      </c>
      <c r="BK221" s="443" t="e">
        <f>+INPUT!#REF!</f>
        <v>#REF!</v>
      </c>
      <c r="BL221" s="382" t="e">
        <f>+INPUT!#REF!</f>
        <v>#REF!</v>
      </c>
      <c r="BM221" s="443" t="e">
        <f>+INPUT!#REF!</f>
        <v>#REF!</v>
      </c>
      <c r="BN221" s="382" t="e">
        <f>+INPUT!#REF!</f>
        <v>#REF!</v>
      </c>
      <c r="BO221" s="443" t="e">
        <f>+INPUT!#REF!</f>
        <v>#REF!</v>
      </c>
      <c r="BP221" s="382" t="e">
        <f>+INPUT!#REF!</f>
        <v>#REF!</v>
      </c>
      <c r="BQ221" s="443" t="e">
        <f>+INPUT!#REF!</f>
        <v>#REF!</v>
      </c>
      <c r="BR221" s="382" t="e">
        <f>+INPUT!#REF!</f>
        <v>#REF!</v>
      </c>
      <c r="BS221" s="443">
        <f>+INPUT!BB123</f>
        <v>0</v>
      </c>
      <c r="BT221" s="382" t="str">
        <f>+INPUT!BC123</f>
        <v>NA</v>
      </c>
      <c r="BU221" s="443">
        <f>+INPUT!BD123</f>
        <v>0</v>
      </c>
      <c r="BV221" s="382" t="str">
        <f>+INPUT!BE123</f>
        <v>NA</v>
      </c>
      <c r="BW221" s="443">
        <f>+INPUT!BF123</f>
        <v>0.34744295830055077</v>
      </c>
      <c r="BX221" s="382" t="str">
        <f>+INPUT!BG123</f>
        <v>NA</v>
      </c>
      <c r="BY221" s="443">
        <f>+INPUT!BH123</f>
        <v>0.31943957968476355</v>
      </c>
      <c r="BZ221" s="382">
        <f>+INPUT!BI123</f>
        <v>-8.0598492347521642</v>
      </c>
      <c r="CA221" s="443">
        <f>+INPUT!BJ123</f>
        <v>0.29231746031746031</v>
      </c>
      <c r="CB221" s="382">
        <f>+INPUT!BK123</f>
        <v>-8.490531885268723</v>
      </c>
      <c r="CC221" s="443">
        <f>+INPUT!BL123</f>
        <v>0.30607361963190172</v>
      </c>
      <c r="CD221" s="382">
        <f>+INPUT!BM123</f>
        <v>4.7058972459264083</v>
      </c>
      <c r="CE221" s="443">
        <f>+INPUT!BN123</f>
        <v>0.30607361963190172</v>
      </c>
      <c r="CF221" s="382">
        <f>+INPUT!BO123</f>
        <v>0</v>
      </c>
      <c r="CG221" s="443">
        <f>+INPUT!BP123</f>
        <v>0.29607361963190171</v>
      </c>
      <c r="CH221" s="382">
        <f>+INPUT!BQ123</f>
        <v>-3.2671878131890253</v>
      </c>
      <c r="CI221" s="443">
        <f>+INPUT!BR123</f>
        <v>0.2860736196319017</v>
      </c>
      <c r="CJ221" s="382">
        <f>+INPUT!BS123</f>
        <v>-3.3775383340240381</v>
      </c>
      <c r="CK221" s="443">
        <f>+INPUT!BT123</f>
        <v>0.27607361963190169</v>
      </c>
      <c r="CL221" s="382">
        <f>+INPUT!BU123</f>
        <v>-3.4956036886124764</v>
      </c>
      <c r="CM221" s="424" t="str">
        <f>+INPUT!BV123</f>
        <v>NA</v>
      </c>
    </row>
    <row r="222" spans="1:91" ht="12" hidden="1" customHeight="1" outlineLevel="1" x14ac:dyDescent="0.2">
      <c r="A222" s="400"/>
      <c r="B222" s="425"/>
      <c r="C222" s="424"/>
      <c r="D222" s="443"/>
      <c r="E222" s="382"/>
      <c r="F222" s="443"/>
      <c r="G222" s="382"/>
      <c r="H222" s="443"/>
      <c r="I222" s="382"/>
      <c r="J222" s="443"/>
      <c r="K222" s="382"/>
      <c r="L222" s="443"/>
      <c r="M222" s="382"/>
      <c r="N222" s="443"/>
      <c r="O222" s="382"/>
      <c r="P222" s="443"/>
      <c r="Q222" s="382"/>
      <c r="R222" s="443"/>
      <c r="S222" s="382"/>
      <c r="T222" s="443"/>
      <c r="U222" s="382"/>
      <c r="V222" s="443"/>
      <c r="W222" s="382"/>
      <c r="X222" s="443"/>
      <c r="Y222" s="382"/>
      <c r="Z222" s="443"/>
      <c r="AA222" s="382"/>
      <c r="AB222" s="443"/>
      <c r="AC222" s="382"/>
      <c r="AD222" s="443"/>
      <c r="AE222" s="382"/>
      <c r="AF222" s="443"/>
      <c r="AG222" s="382"/>
      <c r="AH222" s="443"/>
      <c r="AI222" s="382"/>
      <c r="AJ222" s="443"/>
      <c r="AK222" s="382"/>
      <c r="AL222" s="443"/>
      <c r="AM222" s="382"/>
      <c r="AN222" s="443"/>
      <c r="AO222" s="382"/>
      <c r="AP222" s="443"/>
      <c r="AQ222" s="382"/>
      <c r="AR222" s="443"/>
      <c r="AS222" s="382"/>
      <c r="AT222" s="443"/>
      <c r="AU222" s="382"/>
      <c r="AV222" s="443"/>
      <c r="AW222" s="382"/>
      <c r="AX222" s="403"/>
      <c r="AY222" s="402"/>
      <c r="AZ222" s="432"/>
      <c r="BA222" s="402"/>
      <c r="BB222" s="432"/>
      <c r="BC222" s="402"/>
      <c r="BD222" s="432"/>
      <c r="BE222" s="402"/>
      <c r="BF222" s="382"/>
      <c r="BG222" s="402"/>
      <c r="BH222" s="382"/>
      <c r="BI222" s="402"/>
      <c r="BJ222" s="382"/>
      <c r="BK222" s="443"/>
      <c r="BL222" s="382"/>
      <c r="BM222" s="443"/>
      <c r="BN222" s="382"/>
      <c r="BO222" s="443"/>
      <c r="BP222" s="382"/>
      <c r="BQ222" s="443"/>
      <c r="BR222" s="382"/>
      <c r="BS222" s="443"/>
      <c r="BT222" s="382"/>
      <c r="BU222" s="443"/>
      <c r="BV222" s="382"/>
      <c r="BW222" s="443"/>
      <c r="BX222" s="382"/>
      <c r="BY222" s="443"/>
      <c r="BZ222" s="382"/>
      <c r="CA222" s="443"/>
      <c r="CB222" s="382"/>
      <c r="CC222" s="443"/>
      <c r="CD222" s="382"/>
      <c r="CE222" s="443"/>
      <c r="CF222" s="382"/>
      <c r="CG222" s="443"/>
      <c r="CH222" s="382"/>
      <c r="CI222" s="443"/>
      <c r="CJ222" s="382"/>
      <c r="CK222" s="443"/>
      <c r="CL222" s="382"/>
      <c r="CM222" s="424"/>
    </row>
    <row r="223" spans="1:91" ht="19.5" hidden="1" customHeight="1" outlineLevel="1" x14ac:dyDescent="0.25">
      <c r="A223" s="471" t="str">
        <f>+$A$1</f>
        <v>Principal Financial Group</v>
      </c>
      <c r="B223" s="381"/>
      <c r="C223" s="382"/>
      <c r="D223" s="381"/>
      <c r="E223" s="382"/>
      <c r="F223" s="381"/>
      <c r="G223" s="382"/>
      <c r="H223" s="381"/>
      <c r="I223" s="382"/>
      <c r="J223" s="381"/>
      <c r="K223" s="382"/>
      <c r="L223" s="381"/>
      <c r="M223" s="382"/>
      <c r="N223" s="381"/>
      <c r="O223" s="382"/>
      <c r="P223" s="381"/>
      <c r="Q223" s="382"/>
      <c r="R223" s="381"/>
      <c r="S223" s="382"/>
      <c r="T223" s="381"/>
      <c r="U223" s="382"/>
      <c r="V223" s="381"/>
      <c r="W223" s="382"/>
      <c r="X223" s="381"/>
      <c r="Y223" s="382"/>
      <c r="Z223" s="381"/>
      <c r="AA223" s="382"/>
      <c r="AB223" s="381"/>
      <c r="AC223" s="382"/>
      <c r="AD223" s="381"/>
      <c r="AE223" s="382"/>
      <c r="AF223" s="381"/>
      <c r="AG223" s="382"/>
      <c r="AH223" s="381"/>
      <c r="AI223" s="382"/>
      <c r="AJ223" s="381"/>
      <c r="AK223" s="382"/>
      <c r="AL223" s="381"/>
      <c r="AM223" s="382"/>
      <c r="AN223" s="381"/>
      <c r="AO223" s="382"/>
      <c r="AP223" s="381"/>
      <c r="AQ223" s="382"/>
      <c r="AR223" s="381"/>
      <c r="AS223" s="382"/>
      <c r="AT223" s="381"/>
      <c r="AU223" s="382"/>
      <c r="AV223" s="381"/>
      <c r="AW223" s="382"/>
      <c r="AX223" s="382"/>
      <c r="AY223" s="381"/>
      <c r="AZ223" s="382"/>
      <c r="BA223" s="381"/>
      <c r="BB223" s="382"/>
      <c r="BC223" s="381"/>
      <c r="BD223" s="382"/>
      <c r="BE223" s="381"/>
      <c r="BF223" s="382"/>
      <c r="BG223" s="381"/>
      <c r="BH223" s="382"/>
      <c r="BI223" s="381"/>
      <c r="BJ223" s="382"/>
      <c r="BK223" s="381"/>
      <c r="BL223" s="382"/>
      <c r="BM223" s="381"/>
      <c r="BN223" s="382"/>
      <c r="BO223" s="381"/>
      <c r="BP223" s="382"/>
      <c r="BQ223" s="381"/>
      <c r="BR223" s="382"/>
      <c r="BS223" s="381"/>
      <c r="BT223" s="382"/>
      <c r="BU223" s="381"/>
      <c r="BV223" s="382"/>
      <c r="BW223" s="381"/>
      <c r="BX223" s="382"/>
      <c r="BY223" s="381"/>
      <c r="BZ223" s="382"/>
      <c r="CA223" s="381"/>
      <c r="CB223" s="382"/>
      <c r="CC223" s="381"/>
      <c r="CD223" s="382"/>
      <c r="CE223" s="381"/>
      <c r="CF223" s="382"/>
      <c r="CG223" s="381"/>
      <c r="CH223" s="382"/>
      <c r="CI223" s="381"/>
      <c r="CJ223" s="382"/>
      <c r="CK223" s="381"/>
      <c r="CL223" s="382"/>
      <c r="CM223" s="382"/>
    </row>
    <row r="224" spans="1:91" ht="12" hidden="1" customHeight="1" outlineLevel="1" x14ac:dyDescent="0.2">
      <c r="A224" s="383" t="s">
        <v>613</v>
      </c>
      <c r="B224" s="384"/>
      <c r="C224" s="385"/>
      <c r="D224" s="384"/>
      <c r="E224" s="385"/>
      <c r="F224" s="384"/>
      <c r="G224" s="385"/>
      <c r="H224" s="384"/>
      <c r="I224" s="385"/>
      <c r="J224" s="384"/>
      <c r="K224" s="385"/>
      <c r="L224" s="384"/>
      <c r="M224" s="385"/>
      <c r="N224" s="384"/>
      <c r="O224" s="385"/>
      <c r="P224" s="384"/>
      <c r="Q224" s="385"/>
      <c r="R224" s="384"/>
      <c r="S224" s="385"/>
      <c r="T224" s="384"/>
      <c r="U224" s="385"/>
      <c r="V224" s="384"/>
      <c r="W224" s="385"/>
      <c r="X224" s="384"/>
      <c r="Y224" s="385"/>
      <c r="Z224" s="384"/>
      <c r="AA224" s="385"/>
      <c r="AB224" s="384"/>
      <c r="AC224" s="385"/>
      <c r="AD224" s="384"/>
      <c r="AE224" s="385"/>
      <c r="AF224" s="384"/>
      <c r="AG224" s="385"/>
      <c r="AH224" s="384"/>
      <c r="AI224" s="385"/>
      <c r="AJ224" s="384"/>
      <c r="AK224" s="385"/>
      <c r="AL224" s="384"/>
      <c r="AM224" s="385"/>
      <c r="AN224" s="384"/>
      <c r="AO224" s="385"/>
      <c r="AP224" s="384"/>
      <c r="AQ224" s="385"/>
      <c r="AR224" s="384"/>
      <c r="AS224" s="385"/>
      <c r="AT224" s="384"/>
      <c r="AU224" s="385"/>
      <c r="AV224" s="384"/>
      <c r="AW224" s="385"/>
      <c r="AX224" s="385"/>
      <c r="AY224" s="384"/>
      <c r="AZ224" s="385"/>
      <c r="BA224" s="384"/>
      <c r="BB224" s="385"/>
      <c r="BC224" s="384"/>
      <c r="BD224" s="385"/>
      <c r="BE224" s="384"/>
      <c r="BF224" s="385"/>
      <c r="BG224" s="384"/>
      <c r="BH224" s="385"/>
      <c r="BI224" s="384"/>
      <c r="BJ224" s="385"/>
      <c r="BK224" s="384"/>
      <c r="BL224" s="385"/>
      <c r="BM224" s="384"/>
      <c r="BN224" s="385"/>
      <c r="BO224" s="384"/>
      <c r="BP224" s="385"/>
      <c r="BQ224" s="384"/>
      <c r="BR224" s="385"/>
      <c r="BS224" s="384"/>
      <c r="BT224" s="385"/>
      <c r="BU224" s="384"/>
      <c r="BV224" s="385"/>
      <c r="BW224" s="384"/>
      <c r="BX224" s="385"/>
      <c r="BY224" s="384"/>
      <c r="BZ224" s="385"/>
      <c r="CA224" s="384"/>
      <c r="CB224" s="385"/>
      <c r="CC224" s="384"/>
      <c r="CD224" s="385"/>
      <c r="CE224" s="384"/>
      <c r="CF224" s="385"/>
      <c r="CG224" s="384"/>
      <c r="CH224" s="385"/>
      <c r="CI224" s="384"/>
      <c r="CJ224" s="385"/>
      <c r="CK224" s="384"/>
      <c r="CL224" s="385"/>
      <c r="CM224" s="385"/>
    </row>
    <row r="225" spans="1:91" s="374" customFormat="1" ht="12" hidden="1" customHeight="1" outlineLevel="1" x14ac:dyDescent="0.2">
      <c r="A225" s="378" t="s">
        <v>243</v>
      </c>
      <c r="B225" s="427"/>
      <c r="C225" s="428" t="str">
        <f>INPUT!D$4</f>
        <v>1Q13/</v>
      </c>
      <c r="D225" s="427"/>
      <c r="E225" s="428" t="str">
        <f>INPUT!F$4</f>
        <v>2Q13/</v>
      </c>
      <c r="F225" s="427"/>
      <c r="G225" s="428" t="str">
        <f>INPUT!H$4</f>
        <v>3Q13/</v>
      </c>
      <c r="H225" s="427"/>
      <c r="I225" s="428" t="str">
        <f>INPUT!J$4</f>
        <v>4Q13/</v>
      </c>
      <c r="J225" s="427"/>
      <c r="K225" s="428" t="str">
        <f>INPUT!L$4</f>
        <v>1Q14/</v>
      </c>
      <c r="L225" s="427"/>
      <c r="M225" s="428" t="str">
        <f>INPUT!N$4</f>
        <v>2Q14/</v>
      </c>
      <c r="N225" s="427"/>
      <c r="O225" s="428" t="str">
        <f>INPUT!P$4</f>
        <v>3Q14/</v>
      </c>
      <c r="P225" s="427"/>
      <c r="Q225" s="428" t="str">
        <f>INPUT!R$4</f>
        <v>4Q14/</v>
      </c>
      <c r="R225" s="427"/>
      <c r="S225" s="428" t="str">
        <f>INPUT!T$4</f>
        <v>1Q15/</v>
      </c>
      <c r="T225" s="427"/>
      <c r="U225" s="428" t="str">
        <f>INPUT!V$4</f>
        <v>2Q15/</v>
      </c>
      <c r="V225" s="427"/>
      <c r="W225" s="428" t="str">
        <f>INPUT!X$4</f>
        <v>3Q15/</v>
      </c>
      <c r="X225" s="427"/>
      <c r="Y225" s="428" t="str">
        <f>INPUT!Z$4</f>
        <v>4Q15/</v>
      </c>
      <c r="Z225" s="427"/>
      <c r="AA225" s="428" t="str">
        <f>INPUT!AB$4</f>
        <v>1Q16/</v>
      </c>
      <c r="AB225" s="427"/>
      <c r="AC225" s="428" t="str">
        <f>INPUT!AD$4</f>
        <v>2Q16/</v>
      </c>
      <c r="AD225" s="427"/>
      <c r="AE225" s="428" t="str">
        <f>INPUT!AF$4</f>
        <v>3Q16/</v>
      </c>
      <c r="AF225" s="427"/>
      <c r="AG225" s="428" t="str">
        <f>INPUT!AH$4</f>
        <v>4Q16/</v>
      </c>
      <c r="AH225" s="427"/>
      <c r="AI225" s="428" t="str">
        <f>INPUT!AJ$4</f>
        <v>1Q17/</v>
      </c>
      <c r="AJ225" s="427"/>
      <c r="AK225" s="428" t="str">
        <f>INPUT!AL$4</f>
        <v>2Q17/</v>
      </c>
      <c r="AL225" s="427"/>
      <c r="AM225" s="428" t="str">
        <f>INPUT!AN$4</f>
        <v>3Q17/</v>
      </c>
      <c r="AN225" s="427"/>
      <c r="AO225" s="428" t="str">
        <f>INPUT!AP$4</f>
        <v>4Q17/</v>
      </c>
      <c r="AP225" s="427"/>
      <c r="AQ225" s="428" t="str">
        <f>INPUT!AR$4</f>
        <v>1Q18E/</v>
      </c>
      <c r="AR225" s="427"/>
      <c r="AS225" s="428" t="str">
        <f>INPUT!AT$4</f>
        <v>2Q18E/</v>
      </c>
      <c r="AT225" s="427"/>
      <c r="AU225" s="428" t="str">
        <f>INPUT!AV$4</f>
        <v>3Q18E/</v>
      </c>
      <c r="AV225" s="427"/>
      <c r="AW225" s="428" t="str">
        <f>INPUT!AX$4</f>
        <v>4Q18E/</v>
      </c>
      <c r="AX225" s="427"/>
      <c r="AY225" s="427"/>
      <c r="AZ225" s="428"/>
      <c r="BA225" s="427"/>
      <c r="BB225" s="428"/>
      <c r="BC225" s="427"/>
      <c r="BD225" s="428"/>
      <c r="BE225" s="427"/>
      <c r="BF225" s="428"/>
      <c r="BG225" s="427"/>
      <c r="BH225" s="428"/>
      <c r="BI225" s="427"/>
      <c r="BJ225" s="428"/>
      <c r="BK225" s="427"/>
      <c r="BL225" s="428"/>
      <c r="BM225" s="427"/>
      <c r="BN225" s="428"/>
      <c r="BO225" s="427"/>
      <c r="BP225" s="428"/>
      <c r="BQ225" s="427"/>
      <c r="BR225" s="428"/>
      <c r="BS225" s="427"/>
      <c r="BT225" s="428" t="str">
        <f>INPUT!BC$4</f>
        <v>2013/</v>
      </c>
      <c r="BU225" s="427"/>
      <c r="BV225" s="428" t="str">
        <f>INPUT!BE$4</f>
        <v>2014/</v>
      </c>
      <c r="BW225" s="427"/>
      <c r="BX225" s="428" t="str">
        <f>INPUT!BG$4</f>
        <v>2015/</v>
      </c>
      <c r="BY225" s="427"/>
      <c r="BZ225" s="428" t="str">
        <f>INPUT!BI$4</f>
        <v>2016/</v>
      </c>
      <c r="CA225" s="427"/>
      <c r="CB225" s="428" t="str">
        <f>INPUT!BK$4</f>
        <v>2017/</v>
      </c>
      <c r="CC225" s="427"/>
      <c r="CD225" s="428" t="str">
        <f>INPUT!BM$4</f>
        <v>2018E/</v>
      </c>
      <c r="CE225" s="427"/>
      <c r="CF225" s="428" t="str">
        <f>INPUT!BO$4</f>
        <v>2019E/</v>
      </c>
      <c r="CG225" s="427"/>
      <c r="CH225" s="428" t="str">
        <f>INPUT!BQ$4</f>
        <v>2020E/</v>
      </c>
      <c r="CI225" s="427"/>
      <c r="CJ225" s="428" t="str">
        <f>INPUT!BS$4</f>
        <v>2021E/</v>
      </c>
      <c r="CK225" s="427"/>
      <c r="CL225" s="428" t="str">
        <f>INPUT!BU$4</f>
        <v>2022E/</v>
      </c>
      <c r="CM225" s="428" t="str">
        <f>INPUT!BV$4</f>
        <v>5-Yr</v>
      </c>
    </row>
    <row r="226" spans="1:91" s="374" customFormat="1" ht="12" hidden="1" customHeight="1" outlineLevel="1" x14ac:dyDescent="0.2">
      <c r="A226" s="387"/>
      <c r="B226" s="386"/>
      <c r="C226" s="385">
        <f>INPUT!D$5</f>
        <v>0</v>
      </c>
      <c r="D226" s="386"/>
      <c r="E226" s="385">
        <f>INPUT!F$5</f>
        <v>0</v>
      </c>
      <c r="F226" s="386"/>
      <c r="G226" s="385">
        <f>INPUT!H$5</f>
        <v>0</v>
      </c>
      <c r="H226" s="386"/>
      <c r="I226" s="385">
        <f>INPUT!J$5</f>
        <v>0</v>
      </c>
      <c r="J226" s="386"/>
      <c r="K226" s="385" t="str">
        <f>INPUT!L$5</f>
        <v>1Q13</v>
      </c>
      <c r="L226" s="386"/>
      <c r="M226" s="385" t="str">
        <f>INPUT!N$5</f>
        <v>2Q13</v>
      </c>
      <c r="N226" s="386"/>
      <c r="O226" s="385" t="str">
        <f>INPUT!P$5</f>
        <v>3Q13</v>
      </c>
      <c r="P226" s="386"/>
      <c r="Q226" s="385" t="str">
        <f>INPUT!R$5</f>
        <v>4Q13</v>
      </c>
      <c r="R226" s="386"/>
      <c r="S226" s="385" t="str">
        <f>INPUT!T$5</f>
        <v>1Q14</v>
      </c>
      <c r="T226" s="386"/>
      <c r="U226" s="385" t="str">
        <f>INPUT!V$5</f>
        <v>2Q14</v>
      </c>
      <c r="V226" s="386"/>
      <c r="W226" s="385" t="str">
        <f>INPUT!X$5</f>
        <v>3Q14</v>
      </c>
      <c r="X226" s="386"/>
      <c r="Y226" s="385" t="str">
        <f>INPUT!Z$5</f>
        <v>4Q14</v>
      </c>
      <c r="Z226" s="386"/>
      <c r="AA226" s="385" t="str">
        <f>INPUT!AB$5</f>
        <v>1Q15</v>
      </c>
      <c r="AB226" s="386"/>
      <c r="AC226" s="385" t="str">
        <f>INPUT!AD$5</f>
        <v>2Q15</v>
      </c>
      <c r="AD226" s="386"/>
      <c r="AE226" s="385" t="str">
        <f>INPUT!AF$5</f>
        <v>3Q15</v>
      </c>
      <c r="AF226" s="386"/>
      <c r="AG226" s="385" t="str">
        <f>INPUT!AH$5</f>
        <v>4Q15</v>
      </c>
      <c r="AH226" s="386"/>
      <c r="AI226" s="385" t="str">
        <f>INPUT!AJ$5</f>
        <v>1Q16</v>
      </c>
      <c r="AJ226" s="386"/>
      <c r="AK226" s="385" t="str">
        <f>INPUT!AL$5</f>
        <v>2Q16</v>
      </c>
      <c r="AL226" s="386"/>
      <c r="AM226" s="385" t="str">
        <f>INPUT!AN$5</f>
        <v>3Q16</v>
      </c>
      <c r="AN226" s="386"/>
      <c r="AO226" s="385" t="str">
        <f>INPUT!AP$5</f>
        <v>4Q16</v>
      </c>
      <c r="AP226" s="386"/>
      <c r="AQ226" s="385" t="str">
        <f>INPUT!AR$5</f>
        <v>1Q17</v>
      </c>
      <c r="AR226" s="386"/>
      <c r="AS226" s="385" t="str">
        <f>INPUT!AT$5</f>
        <v>2Q17</v>
      </c>
      <c r="AT226" s="386"/>
      <c r="AU226" s="385" t="str">
        <f>INPUT!AV$5</f>
        <v>3Q17</v>
      </c>
      <c r="AV226" s="386"/>
      <c r="AW226" s="385" t="str">
        <f>INPUT!AX$5</f>
        <v>4Q17</v>
      </c>
      <c r="AX226" s="386"/>
      <c r="AY226" s="386"/>
      <c r="AZ226" s="385"/>
      <c r="BA226" s="388"/>
      <c r="BB226" s="385"/>
      <c r="BC226" s="386"/>
      <c r="BD226" s="385"/>
      <c r="BE226" s="386"/>
      <c r="BF226" s="385"/>
      <c r="BG226" s="386"/>
      <c r="BH226" s="385"/>
      <c r="BI226" s="386"/>
      <c r="BJ226" s="385"/>
      <c r="BK226" s="386"/>
      <c r="BL226" s="385"/>
      <c r="BM226" s="386"/>
      <c r="BN226" s="385"/>
      <c r="BO226" s="386"/>
      <c r="BP226" s="385"/>
      <c r="BQ226" s="386"/>
      <c r="BR226" s="385"/>
      <c r="BS226" s="386"/>
      <c r="BT226" s="385">
        <f>INPUT!BC$5</f>
        <v>0</v>
      </c>
      <c r="BU226" s="386"/>
      <c r="BV226" s="385" t="str">
        <f>INPUT!BE$5</f>
        <v>2013</v>
      </c>
      <c r="BW226" s="386"/>
      <c r="BX226" s="385" t="str">
        <f>INPUT!BG$5</f>
        <v>2014</v>
      </c>
      <c r="BY226" s="386"/>
      <c r="BZ226" s="385" t="str">
        <f>INPUT!BI$5</f>
        <v>2015</v>
      </c>
      <c r="CA226" s="386"/>
      <c r="CB226" s="385" t="str">
        <f>INPUT!BK$5</f>
        <v>2016</v>
      </c>
      <c r="CC226" s="386"/>
      <c r="CD226" s="385" t="str">
        <f>INPUT!BM$5</f>
        <v>2017</v>
      </c>
      <c r="CE226" s="386"/>
      <c r="CF226" s="385" t="str">
        <f>INPUT!BO$5</f>
        <v>2018E</v>
      </c>
      <c r="CG226" s="386"/>
      <c r="CH226" s="385" t="str">
        <f>INPUT!BQ$5</f>
        <v>2019E</v>
      </c>
      <c r="CI226" s="386"/>
      <c r="CJ226" s="385" t="str">
        <f>INPUT!BS$5</f>
        <v>2020E</v>
      </c>
      <c r="CK226" s="386"/>
      <c r="CL226" s="385" t="str">
        <f>INPUT!BU$5</f>
        <v>2021E</v>
      </c>
      <c r="CM226" s="385" t="str">
        <f>INPUT!BV$5</f>
        <v>CAGR</v>
      </c>
    </row>
    <row r="227" spans="1:91" s="374" customFormat="1" ht="12" hidden="1" customHeight="1" outlineLevel="1" x14ac:dyDescent="0.2">
      <c r="A227" s="389"/>
      <c r="B227" s="390" t="str">
        <f>INPUT!C$6</f>
        <v>1Q13</v>
      </c>
      <c r="C227" s="391" t="str">
        <f>INPUT!D$6</f>
        <v>% Chg</v>
      </c>
      <c r="D227" s="390" t="str">
        <f>INPUT!E$6</f>
        <v>2Q13</v>
      </c>
      <c r="E227" s="391" t="str">
        <f>INPUT!F$6</f>
        <v>% Chg</v>
      </c>
      <c r="F227" s="390" t="str">
        <f>INPUT!G$6</f>
        <v>3Q13</v>
      </c>
      <c r="G227" s="391" t="str">
        <f>INPUT!H$6</f>
        <v>% Chg</v>
      </c>
      <c r="H227" s="390" t="str">
        <f>INPUT!I$6</f>
        <v>4Q13</v>
      </c>
      <c r="I227" s="391" t="str">
        <f>INPUT!J$6</f>
        <v>% Chg</v>
      </c>
      <c r="J227" s="390" t="str">
        <f>INPUT!K$6</f>
        <v>1Q14</v>
      </c>
      <c r="K227" s="391" t="str">
        <f>INPUT!L$6</f>
        <v>% Chg</v>
      </c>
      <c r="L227" s="390" t="str">
        <f>INPUT!M$6</f>
        <v>2Q14</v>
      </c>
      <c r="M227" s="391" t="str">
        <f>INPUT!N$6</f>
        <v>% Chg</v>
      </c>
      <c r="N227" s="390" t="str">
        <f>INPUT!O$6</f>
        <v>3Q14</v>
      </c>
      <c r="O227" s="391" t="str">
        <f>INPUT!P$6</f>
        <v>% Chg</v>
      </c>
      <c r="P227" s="390" t="str">
        <f>INPUT!Q$6</f>
        <v>4Q14</v>
      </c>
      <c r="Q227" s="391" t="str">
        <f>INPUT!R$6</f>
        <v>% Chg</v>
      </c>
      <c r="R227" s="390" t="str">
        <f>INPUT!S$6</f>
        <v>1Q15</v>
      </c>
      <c r="S227" s="391" t="str">
        <f>INPUT!T$6</f>
        <v>% Chg</v>
      </c>
      <c r="T227" s="390" t="str">
        <f>INPUT!U$6</f>
        <v>2Q15</v>
      </c>
      <c r="U227" s="391" t="str">
        <f>INPUT!V$6</f>
        <v>% Chg</v>
      </c>
      <c r="V227" s="390" t="str">
        <f>INPUT!W$6</f>
        <v>3Q15</v>
      </c>
      <c r="W227" s="391" t="str">
        <f>INPUT!X$6</f>
        <v>% Chg</v>
      </c>
      <c r="X227" s="390" t="str">
        <f>INPUT!Y$6</f>
        <v>4Q15</v>
      </c>
      <c r="Y227" s="391" t="str">
        <f>INPUT!Z$6</f>
        <v>% Chg</v>
      </c>
      <c r="Z227" s="390" t="str">
        <f>INPUT!AA$6</f>
        <v>1Q16</v>
      </c>
      <c r="AA227" s="391" t="str">
        <f>INPUT!AB$6</f>
        <v>% Chg</v>
      </c>
      <c r="AB227" s="390" t="str">
        <f>INPUT!AC$6</f>
        <v>2Q16</v>
      </c>
      <c r="AC227" s="391" t="str">
        <f>INPUT!AD$6</f>
        <v>% Chg</v>
      </c>
      <c r="AD227" s="390" t="str">
        <f>INPUT!AE$6</f>
        <v>3Q16</v>
      </c>
      <c r="AE227" s="391" t="str">
        <f>INPUT!AF$6</f>
        <v>% Chg</v>
      </c>
      <c r="AF227" s="390" t="str">
        <f>INPUT!AG$6</f>
        <v>4Q16</v>
      </c>
      <c r="AG227" s="391" t="str">
        <f>INPUT!AH$6</f>
        <v>% Chg</v>
      </c>
      <c r="AH227" s="390" t="str">
        <f>INPUT!AI$6</f>
        <v>1Q17</v>
      </c>
      <c r="AI227" s="391" t="str">
        <f>INPUT!AJ$6</f>
        <v>% Chg</v>
      </c>
      <c r="AJ227" s="390" t="str">
        <f>INPUT!AK$6</f>
        <v>2Q17</v>
      </c>
      <c r="AK227" s="391" t="str">
        <f>INPUT!AL$6</f>
        <v>% Chg</v>
      </c>
      <c r="AL227" s="390" t="str">
        <f>INPUT!AM$6</f>
        <v>3Q17</v>
      </c>
      <c r="AM227" s="391" t="str">
        <f>INPUT!AN$6</f>
        <v>% Chg</v>
      </c>
      <c r="AN227" s="390" t="str">
        <f>INPUT!AO$6</f>
        <v>4Q17</v>
      </c>
      <c r="AO227" s="391" t="str">
        <f>INPUT!AP$6</f>
        <v>% Chg</v>
      </c>
      <c r="AP227" s="390" t="str">
        <f>INPUT!AQ$6</f>
        <v>1Q18E</v>
      </c>
      <c r="AQ227" s="391" t="str">
        <f>INPUT!AR$6</f>
        <v>% Chg</v>
      </c>
      <c r="AR227" s="390" t="str">
        <f>INPUT!AS$6</f>
        <v>2Q18E</v>
      </c>
      <c r="AS227" s="391" t="str">
        <f>INPUT!AT$6</f>
        <v>% Chg</v>
      </c>
      <c r="AT227" s="390" t="str">
        <f>INPUT!AU$6</f>
        <v>3Q18E</v>
      </c>
      <c r="AU227" s="391" t="str">
        <f>INPUT!AV$6</f>
        <v>% Chg</v>
      </c>
      <c r="AV227" s="390" t="str">
        <f>INPUT!AW$6</f>
        <v>4Q18E</v>
      </c>
      <c r="AW227" s="391" t="str">
        <f>INPUT!AX$6</f>
        <v>% Chg</v>
      </c>
      <c r="AX227" s="390"/>
      <c r="AY227" s="392"/>
      <c r="AZ227" s="391"/>
      <c r="BA227" s="392"/>
      <c r="BB227" s="391"/>
      <c r="BC227" s="392"/>
      <c r="BD227" s="391"/>
      <c r="BE227" s="393"/>
      <c r="BF227" s="391"/>
      <c r="BG227" s="393"/>
      <c r="BH227" s="391"/>
      <c r="BI227" s="393"/>
      <c r="BJ227" s="391"/>
      <c r="BK227" s="393"/>
      <c r="BL227" s="391"/>
      <c r="BM227" s="390"/>
      <c r="BN227" s="391"/>
      <c r="BO227" s="390"/>
      <c r="BP227" s="391"/>
      <c r="BQ227" s="390"/>
      <c r="BR227" s="391"/>
      <c r="BS227" s="390" t="str">
        <f>INPUT!BB$6</f>
        <v>2013</v>
      </c>
      <c r="BT227" s="391" t="str">
        <f>INPUT!BC$6</f>
        <v>% Chg</v>
      </c>
      <c r="BU227" s="390" t="str">
        <f>INPUT!BD$6</f>
        <v>2014</v>
      </c>
      <c r="BV227" s="391" t="str">
        <f>INPUT!BE$6</f>
        <v>% Chg</v>
      </c>
      <c r="BW227" s="390" t="str">
        <f>INPUT!BF$6</f>
        <v>2015</v>
      </c>
      <c r="BX227" s="391" t="str">
        <f>INPUT!BG$6</f>
        <v>% Chg</v>
      </c>
      <c r="BY227" s="390" t="str">
        <f>INPUT!BH$6</f>
        <v>2016</v>
      </c>
      <c r="BZ227" s="391" t="str">
        <f>INPUT!BI$6</f>
        <v>% Chg</v>
      </c>
      <c r="CA227" s="390" t="str">
        <f>INPUT!BJ$6</f>
        <v>2017</v>
      </c>
      <c r="CB227" s="391" t="str">
        <f>INPUT!BK$6</f>
        <v>% Chg</v>
      </c>
      <c r="CC227" s="390" t="str">
        <f>INPUT!BL$6</f>
        <v>2018E</v>
      </c>
      <c r="CD227" s="391" t="str">
        <f>INPUT!BM$6</f>
        <v>% Chg</v>
      </c>
      <c r="CE227" s="390" t="str">
        <f>INPUT!BN$6</f>
        <v>2019E</v>
      </c>
      <c r="CF227" s="391" t="str">
        <f>INPUT!BO$6</f>
        <v>% Chg</v>
      </c>
      <c r="CG227" s="390" t="str">
        <f>INPUT!BP$6</f>
        <v>2020E</v>
      </c>
      <c r="CH227" s="391" t="str">
        <f>INPUT!BQ$6</f>
        <v>% Chg</v>
      </c>
      <c r="CI227" s="390" t="str">
        <f>INPUT!BR$6</f>
        <v>2021E</v>
      </c>
      <c r="CJ227" s="391" t="str">
        <f>INPUT!BS$6</f>
        <v>% Chg</v>
      </c>
      <c r="CK227" s="390" t="str">
        <f>INPUT!BT$6</f>
        <v>2022E</v>
      </c>
      <c r="CL227" s="391" t="str">
        <f>INPUT!BU$6</f>
        <v>% Chg</v>
      </c>
      <c r="CM227" s="391" t="str">
        <f>INPUT!BV$6</f>
        <v>(%)</v>
      </c>
    </row>
    <row r="228" spans="1:91" ht="12" hidden="1" customHeight="1" outlineLevel="1" x14ac:dyDescent="0.2">
      <c r="A228" s="394"/>
      <c r="B228" s="395"/>
      <c r="C228" s="422"/>
      <c r="D228" s="395"/>
      <c r="E228" s="396"/>
      <c r="F228" s="395"/>
      <c r="G228" s="396"/>
      <c r="H228" s="395"/>
      <c r="I228" s="396"/>
      <c r="J228" s="395"/>
      <c r="K228" s="396"/>
      <c r="L228" s="395"/>
      <c r="M228" s="396"/>
      <c r="N228" s="395"/>
      <c r="O228" s="396"/>
      <c r="P228" s="395"/>
      <c r="Q228" s="396"/>
      <c r="R228" s="395"/>
      <c r="S228" s="396"/>
      <c r="T228" s="395"/>
      <c r="U228" s="396"/>
      <c r="V228" s="395"/>
      <c r="W228" s="396"/>
      <c r="X228" s="395"/>
      <c r="Y228" s="396"/>
      <c r="Z228" s="395"/>
      <c r="AA228" s="396"/>
      <c r="AB228" s="395"/>
      <c r="AC228" s="396"/>
      <c r="AD228" s="395"/>
      <c r="AE228" s="396"/>
      <c r="AF228" s="395"/>
      <c r="AG228" s="396"/>
      <c r="AH228" s="395"/>
      <c r="AI228" s="396"/>
      <c r="AJ228" s="395"/>
      <c r="AK228" s="396"/>
      <c r="AL228" s="395"/>
      <c r="AM228" s="396"/>
      <c r="AN228" s="395"/>
      <c r="AO228" s="396"/>
      <c r="AP228" s="395"/>
      <c r="AQ228" s="396"/>
      <c r="AR228" s="395"/>
      <c r="AS228" s="396"/>
      <c r="AT228" s="395"/>
      <c r="AU228" s="396"/>
      <c r="AV228" s="395"/>
      <c r="AW228" s="396"/>
      <c r="AX228" s="395"/>
      <c r="AY228" s="395"/>
      <c r="AZ228" s="422"/>
      <c r="BA228" s="395"/>
      <c r="BB228" s="422"/>
      <c r="BC228" s="395"/>
      <c r="BD228" s="422"/>
      <c r="BE228" s="395"/>
      <c r="BF228" s="396"/>
      <c r="BG228" s="395"/>
      <c r="BH228" s="396"/>
      <c r="BI228" s="395"/>
      <c r="BJ228" s="396"/>
      <c r="BK228" s="395"/>
      <c r="BL228" s="396"/>
      <c r="BM228" s="395"/>
      <c r="BN228" s="396"/>
      <c r="BO228" s="395"/>
      <c r="BP228" s="396"/>
      <c r="BQ228" s="395"/>
      <c r="BR228" s="396"/>
      <c r="BS228" s="395"/>
      <c r="BT228" s="396"/>
      <c r="BU228" s="395"/>
      <c r="BV228" s="396"/>
      <c r="BW228" s="395"/>
      <c r="BX228" s="396"/>
      <c r="BY228" s="395"/>
      <c r="BZ228" s="396"/>
      <c r="CA228" s="395"/>
      <c r="CB228" s="396"/>
      <c r="CC228" s="395"/>
      <c r="CD228" s="396"/>
      <c r="CE228" s="395"/>
      <c r="CF228" s="396"/>
      <c r="CG228" s="395"/>
      <c r="CH228" s="396"/>
      <c r="CI228" s="395"/>
      <c r="CJ228" s="396"/>
      <c r="CK228" s="395"/>
      <c r="CL228" s="396"/>
      <c r="CM228" s="422"/>
    </row>
    <row r="229" spans="1:91" ht="12" hidden="1" customHeight="1" outlineLevel="1" x14ac:dyDescent="0.2">
      <c r="A229" s="421" t="s">
        <v>492</v>
      </c>
      <c r="B229" s="398"/>
      <c r="C229" s="399"/>
      <c r="D229" s="398"/>
      <c r="E229" s="396"/>
      <c r="F229" s="398"/>
      <c r="G229" s="396"/>
      <c r="H229" s="398"/>
      <c r="I229" s="396"/>
      <c r="J229" s="398"/>
      <c r="K229" s="396"/>
      <c r="L229" s="398"/>
      <c r="M229" s="396"/>
      <c r="N229" s="398"/>
      <c r="O229" s="396"/>
      <c r="P229" s="398"/>
      <c r="Q229" s="396"/>
      <c r="R229" s="398"/>
      <c r="S229" s="396"/>
      <c r="T229" s="398"/>
      <c r="U229" s="396"/>
      <c r="V229" s="398"/>
      <c r="W229" s="396"/>
      <c r="X229" s="398"/>
      <c r="Y229" s="396"/>
      <c r="Z229" s="398"/>
      <c r="AA229" s="396"/>
      <c r="AB229" s="398"/>
      <c r="AC229" s="396"/>
      <c r="AD229" s="398"/>
      <c r="AE229" s="396"/>
      <c r="AF229" s="398"/>
      <c r="AG229" s="396"/>
      <c r="AH229" s="398"/>
      <c r="AI229" s="396"/>
      <c r="AJ229" s="398"/>
      <c r="AK229" s="396"/>
      <c r="AL229" s="398"/>
      <c r="AM229" s="396"/>
      <c r="AN229" s="398"/>
      <c r="AO229" s="396"/>
      <c r="AP229" s="398"/>
      <c r="AQ229" s="396"/>
      <c r="AR229" s="398"/>
      <c r="AS229" s="396"/>
      <c r="AT229" s="398"/>
      <c r="AU229" s="396"/>
      <c r="AV229" s="398"/>
      <c r="AW229" s="396"/>
      <c r="AX229" s="398"/>
      <c r="AY229" s="398"/>
      <c r="AZ229" s="399"/>
      <c r="BA229" s="398"/>
      <c r="BB229" s="399"/>
      <c r="BC229" s="398"/>
      <c r="BD229" s="399"/>
      <c r="BE229" s="398"/>
      <c r="BF229" s="396"/>
      <c r="BG229" s="398"/>
      <c r="BH229" s="396"/>
      <c r="BI229" s="398"/>
      <c r="BJ229" s="396"/>
      <c r="BK229" s="398"/>
      <c r="BL229" s="396"/>
      <c r="BM229" s="398"/>
      <c r="BN229" s="396"/>
      <c r="BO229" s="398"/>
      <c r="BP229" s="396"/>
      <c r="BQ229" s="398"/>
      <c r="BR229" s="396"/>
      <c r="BS229" s="398"/>
      <c r="BT229" s="396"/>
      <c r="BU229" s="398"/>
      <c r="BV229" s="396"/>
      <c r="BW229" s="398"/>
      <c r="BX229" s="396"/>
      <c r="BY229" s="398"/>
      <c r="BZ229" s="396"/>
      <c r="CA229" s="398"/>
      <c r="CB229" s="396"/>
      <c r="CC229" s="398"/>
      <c r="CD229" s="396"/>
      <c r="CE229" s="398"/>
      <c r="CF229" s="396"/>
      <c r="CG229" s="398"/>
      <c r="CH229" s="396"/>
      <c r="CI229" s="398"/>
      <c r="CJ229" s="396"/>
      <c r="CK229" s="398"/>
      <c r="CL229" s="396"/>
      <c r="CM229" s="399"/>
    </row>
    <row r="230" spans="1:91" ht="12" hidden="1" customHeight="1" outlineLevel="1" x14ac:dyDescent="0.2">
      <c r="A230" s="420" t="s">
        <v>271</v>
      </c>
      <c r="B230" s="425">
        <f>+INPUT!C176</f>
        <v>259.3</v>
      </c>
      <c r="C230" s="424" t="str">
        <f>+INPUT!D176</f>
        <v>NA</v>
      </c>
      <c r="D230" s="425">
        <f>+INPUT!E176</f>
        <v>282.89999999999998</v>
      </c>
      <c r="E230" s="424" t="str">
        <f>+INPUT!F176</f>
        <v>NA</v>
      </c>
      <c r="F230" s="425">
        <f>+INPUT!G176</f>
        <v>278.7</v>
      </c>
      <c r="G230" s="424" t="str">
        <f>+INPUT!H176</f>
        <v>NA</v>
      </c>
      <c r="H230" s="425">
        <f>+INPUT!I176</f>
        <v>351.6</v>
      </c>
      <c r="I230" s="424" t="str">
        <f>+INPUT!J176</f>
        <v>NA</v>
      </c>
      <c r="J230" s="425">
        <f>+INPUT!K176</f>
        <v>293.8</v>
      </c>
      <c r="K230" s="424">
        <f>+INPUT!L176</f>
        <v>13.305052063247217</v>
      </c>
      <c r="L230" s="425">
        <f>+INPUT!M176</f>
        <v>302.89999999999998</v>
      </c>
      <c r="M230" s="424">
        <f>+INPUT!N176</f>
        <v>7.0696359137504459</v>
      </c>
      <c r="N230" s="425">
        <f>+INPUT!O176</f>
        <v>310.60000000000002</v>
      </c>
      <c r="O230" s="424">
        <f>+INPUT!P176</f>
        <v>11.445999282382502</v>
      </c>
      <c r="P230" s="425">
        <f>+INPUT!Q176</f>
        <v>339.6</v>
      </c>
      <c r="Q230" s="424">
        <f>+INPUT!R176</f>
        <v>-3.4129692832764391</v>
      </c>
      <c r="R230" s="425">
        <f>+INPUT!S176</f>
        <v>327.5</v>
      </c>
      <c r="S230" s="424">
        <f>+INPUT!T176</f>
        <v>11.470388019060579</v>
      </c>
      <c r="T230" s="425">
        <f>+INPUT!U176</f>
        <v>336.8</v>
      </c>
      <c r="U230" s="424">
        <f>+INPUT!V176</f>
        <v>11.191812479366135</v>
      </c>
      <c r="V230" s="425">
        <f>+INPUT!W176</f>
        <v>330.5</v>
      </c>
      <c r="W230" s="424">
        <f>+INPUT!X176</f>
        <v>6.4069542820347749</v>
      </c>
      <c r="X230" s="425">
        <f>+INPUT!Y176</f>
        <v>340.6</v>
      </c>
      <c r="Y230" s="424">
        <f>+INPUT!Z176</f>
        <v>0.29446407538280539</v>
      </c>
      <c r="Z230" s="425">
        <f>+INPUT!AA176</f>
        <v>311.10000000000002</v>
      </c>
      <c r="AA230" s="424">
        <f>+INPUT!AB176</f>
        <v>-5.007633587786259</v>
      </c>
      <c r="AB230" s="425">
        <f>+INPUT!AC176</f>
        <v>348.9</v>
      </c>
      <c r="AC230" s="424">
        <f>+INPUT!AD176</f>
        <v>3.592636579572428</v>
      </c>
      <c r="AD230" s="425">
        <f>+INPUT!AE176</f>
        <v>344.3</v>
      </c>
      <c r="AE230" s="424">
        <f>+INPUT!AF176</f>
        <v>4.1754916792738186</v>
      </c>
      <c r="AF230" s="425">
        <f>+INPUT!AG176</f>
        <v>368.8</v>
      </c>
      <c r="AG230" s="424">
        <f>+INPUT!AH176</f>
        <v>8.2795067527891888</v>
      </c>
      <c r="AH230" s="425">
        <f>+INPUT!AI176</f>
        <v>344.7</v>
      </c>
      <c r="AI230" s="424">
        <f>+INPUT!AJ176</f>
        <v>10.800385728061698</v>
      </c>
      <c r="AJ230" s="425">
        <f>+INPUT!AK176</f>
        <v>354.2</v>
      </c>
      <c r="AK230" s="424">
        <f>+INPUT!AL176</f>
        <v>1.5190599025508789</v>
      </c>
      <c r="AL230" s="425">
        <f>+INPUT!AM176</f>
        <v>366.7</v>
      </c>
      <c r="AM230" s="424">
        <f>+INPUT!AN176</f>
        <v>6.5059541097879645</v>
      </c>
      <c r="AN230" s="425">
        <f>+INPUT!AO176</f>
        <v>368.6</v>
      </c>
      <c r="AO230" s="424">
        <f>+INPUT!AP176</f>
        <v>-5.4229934924080681E-2</v>
      </c>
      <c r="AP230" s="425">
        <f>+INPUT!AQ176</f>
        <v>375.95968812499996</v>
      </c>
      <c r="AQ230" s="424">
        <f>+INPUT!AR176</f>
        <v>9.06866496228605</v>
      </c>
      <c r="AR230" s="425">
        <f>+INPUT!AS176</f>
        <v>377.82149657131248</v>
      </c>
      <c r="AS230" s="424">
        <f>+INPUT!AT176</f>
        <v>6.6689713640069073</v>
      </c>
      <c r="AT230" s="425">
        <f>+INPUT!AU176</f>
        <v>383.76145484440241</v>
      </c>
      <c r="AU230" s="424">
        <f>+INPUT!AV176</f>
        <v>4.6527010756483236</v>
      </c>
      <c r="AV230" s="425">
        <f>+INPUT!AW176</f>
        <v>389.46848111548832</v>
      </c>
      <c r="AW230" s="424">
        <f>+INPUT!AX176</f>
        <v>5.661552120316955</v>
      </c>
      <c r="AX230" s="425"/>
      <c r="AY230" s="425"/>
      <c r="AZ230" s="424"/>
      <c r="BA230" s="425"/>
      <c r="BB230" s="424"/>
      <c r="BC230" s="425"/>
      <c r="BD230" s="424"/>
      <c r="BE230" s="425"/>
      <c r="BF230" s="424"/>
      <c r="BG230" s="425"/>
      <c r="BH230" s="424"/>
      <c r="BI230" s="425"/>
      <c r="BJ230" s="424"/>
      <c r="BK230" s="425"/>
      <c r="BL230" s="424"/>
      <c r="BM230" s="425"/>
      <c r="BN230" s="424"/>
      <c r="BO230" s="425"/>
      <c r="BP230" s="424"/>
      <c r="BQ230" s="425"/>
      <c r="BR230" s="424"/>
      <c r="BS230" s="425">
        <f>+INPUT!BB176</f>
        <v>1172.5</v>
      </c>
      <c r="BT230" s="424" t="str">
        <f>+INPUT!BC176</f>
        <v>NA</v>
      </c>
      <c r="BU230" s="425">
        <f>+INPUT!BD176</f>
        <v>1246.9000000000001</v>
      </c>
      <c r="BV230" s="424">
        <f>+INPUT!BE176</f>
        <v>6.3454157782516063</v>
      </c>
      <c r="BW230" s="425">
        <f>+INPUT!BF176</f>
        <v>1335.4</v>
      </c>
      <c r="BX230" s="424">
        <f>+INPUT!BG176</f>
        <v>7.0976020530916628</v>
      </c>
      <c r="BY230" s="425">
        <f>+INPUT!BH176</f>
        <v>1373.1</v>
      </c>
      <c r="BZ230" s="424">
        <f>+INPUT!BI176</f>
        <v>2.8231241575557675</v>
      </c>
      <c r="CA230" s="425">
        <f>+INPUT!BJ176</f>
        <v>1434.1999999999998</v>
      </c>
      <c r="CB230" s="424">
        <f>+INPUT!BK176</f>
        <v>4.4497851576724088</v>
      </c>
      <c r="CC230" s="425">
        <f>+INPUT!BL176</f>
        <v>1527.0111206562033</v>
      </c>
      <c r="CD230" s="424">
        <f>+INPUT!BM176</f>
        <v>6.4712815964442569</v>
      </c>
      <c r="CE230" s="425">
        <f>+INPUT!BN176</f>
        <v>1614.7180515536775</v>
      </c>
      <c r="CF230" s="424">
        <f>+INPUT!BO176</f>
        <v>5.7436995520886427</v>
      </c>
      <c r="CG230" s="425">
        <f>+INPUT!BP176</f>
        <v>1686.3386588387889</v>
      </c>
      <c r="CH230" s="424">
        <f>+INPUT!BQ176</f>
        <v>4.4354868774891116</v>
      </c>
      <c r="CI230" s="425">
        <f>+INPUT!BR176</f>
        <v>1789.1110384033566</v>
      </c>
      <c r="CJ230" s="424">
        <f>+INPUT!BS176</f>
        <v>6.094409270990468</v>
      </c>
      <c r="CK230" s="425">
        <f>+INPUT!BT176</f>
        <v>1900.2897882129851</v>
      </c>
      <c r="CL230" s="424">
        <f>+INPUT!BU176</f>
        <v>6.2141894730495295</v>
      </c>
      <c r="CM230" s="424">
        <f>+INPUT!BV176</f>
        <v>5.7893681633931049</v>
      </c>
    </row>
    <row r="231" spans="1:91" ht="12" hidden="1" customHeight="1" outlineLevel="1" x14ac:dyDescent="0.2">
      <c r="A231" s="420" t="s">
        <v>416</v>
      </c>
      <c r="B231" s="425">
        <f>+INPUT!C177</f>
        <v>5.5</v>
      </c>
      <c r="C231" s="424" t="str">
        <f>+INPUT!D177</f>
        <v>NA</v>
      </c>
      <c r="D231" s="425">
        <f>+INPUT!E177</f>
        <v>1.3</v>
      </c>
      <c r="E231" s="424" t="str">
        <f>+INPUT!F177</f>
        <v>NA</v>
      </c>
      <c r="F231" s="425">
        <f>+INPUT!G177</f>
        <v>2.2000000000000002</v>
      </c>
      <c r="G231" s="424" t="str">
        <f>+INPUT!H177</f>
        <v>NA</v>
      </c>
      <c r="H231" s="425">
        <f>+INPUT!I177</f>
        <v>8.1999999999999993</v>
      </c>
      <c r="I231" s="424" t="str">
        <f>+INPUT!J177</f>
        <v>NA</v>
      </c>
      <c r="J231" s="425">
        <f>+INPUT!K177</f>
        <v>1.4</v>
      </c>
      <c r="K231" s="424" t="str">
        <f>+INPUT!L177</f>
        <v>NM</v>
      </c>
      <c r="L231" s="425">
        <f>+INPUT!M177</f>
        <v>1.2</v>
      </c>
      <c r="M231" s="424">
        <f>+INPUT!N177</f>
        <v>-7.6923076923076934</v>
      </c>
      <c r="N231" s="425">
        <f>+INPUT!O177</f>
        <v>0.4</v>
      </c>
      <c r="O231" s="424" t="str">
        <f>+INPUT!P177</f>
        <v>NM</v>
      </c>
      <c r="P231" s="425">
        <f>+INPUT!Q177</f>
        <v>7.5</v>
      </c>
      <c r="Q231" s="424">
        <f>+INPUT!R177</f>
        <v>-8.5365853658536537</v>
      </c>
      <c r="R231" s="425">
        <f>+INPUT!S177</f>
        <v>1.4</v>
      </c>
      <c r="S231" s="424">
        <f>+INPUT!T177</f>
        <v>0</v>
      </c>
      <c r="T231" s="425">
        <f>+INPUT!U177</f>
        <v>1</v>
      </c>
      <c r="U231" s="424">
        <f>+INPUT!V177</f>
        <v>-16.666666666666657</v>
      </c>
      <c r="V231" s="425">
        <f>+INPUT!W177</f>
        <v>-1</v>
      </c>
      <c r="W231" s="424" t="str">
        <f>+INPUT!X177</f>
        <v>NM</v>
      </c>
      <c r="X231" s="425">
        <f>+INPUT!Y177</f>
        <v>6.7</v>
      </c>
      <c r="Y231" s="424">
        <f>+INPUT!Z177</f>
        <v>-10.666666666666671</v>
      </c>
      <c r="Z231" s="425">
        <f>+INPUT!AA177</f>
        <v>-1.6</v>
      </c>
      <c r="AA231" s="424" t="str">
        <f>+INPUT!AB177</f>
        <v>NM</v>
      </c>
      <c r="AB231" s="425">
        <f>+INPUT!AC177</f>
        <v>2.4</v>
      </c>
      <c r="AC231" s="424" t="str">
        <f>+INPUT!AD177</f>
        <v>NM</v>
      </c>
      <c r="AD231" s="425">
        <f>+INPUT!AE177</f>
        <v>1.9</v>
      </c>
      <c r="AE231" s="424" t="str">
        <f>+INPUT!AF177</f>
        <v>NM</v>
      </c>
      <c r="AF231" s="425">
        <f>+INPUT!AG177</f>
        <v>11.3</v>
      </c>
      <c r="AG231" s="424">
        <f>+INPUT!AH177</f>
        <v>68.656716417910445</v>
      </c>
      <c r="AH231" s="425">
        <f>+INPUT!AI177</f>
        <v>1.2</v>
      </c>
      <c r="AI231" s="424" t="str">
        <f>+INPUT!AJ177</f>
        <v>NM</v>
      </c>
      <c r="AJ231" s="425">
        <f>+INPUT!AK177</f>
        <v>1.3</v>
      </c>
      <c r="AK231" s="424">
        <f>+INPUT!AL177</f>
        <v>-45.833333333333329</v>
      </c>
      <c r="AL231" s="425">
        <f>+INPUT!AM177</f>
        <v>0.8</v>
      </c>
      <c r="AM231" s="424" t="str">
        <f>+INPUT!AN177</f>
        <v>NM</v>
      </c>
      <c r="AN231" s="425">
        <f>+INPUT!AO177</f>
        <v>6.9</v>
      </c>
      <c r="AO231" s="424">
        <f>+INPUT!AP177</f>
        <v>-38.93805309734514</v>
      </c>
      <c r="AP231" s="425">
        <f>+INPUT!AQ177</f>
        <v>2.1483410749999998</v>
      </c>
      <c r="AQ231" s="424">
        <f>+INPUT!AR177</f>
        <v>79.028422916666642</v>
      </c>
      <c r="AR231" s="425">
        <f>+INPUT!AS177</f>
        <v>2.1589799804075001</v>
      </c>
      <c r="AS231" s="424">
        <f>+INPUT!AT177</f>
        <v>66.07538310826925</v>
      </c>
      <c r="AT231" s="425">
        <f>+INPUT!AU177</f>
        <v>2.192922599110871</v>
      </c>
      <c r="AU231" s="424" t="str">
        <f>+INPUT!AV177</f>
        <v>NM</v>
      </c>
      <c r="AV231" s="425">
        <f>+INPUT!AW177</f>
        <v>2.2255341778027908</v>
      </c>
      <c r="AW231" s="424" t="str">
        <f>+INPUT!AX177</f>
        <v>NM</v>
      </c>
      <c r="AX231" s="425"/>
      <c r="AY231" s="425"/>
      <c r="AZ231" s="424"/>
      <c r="BA231" s="425"/>
      <c r="BB231" s="424"/>
      <c r="BC231" s="425"/>
      <c r="BD231" s="424"/>
      <c r="BE231" s="425"/>
      <c r="BF231" s="424"/>
      <c r="BG231" s="425"/>
      <c r="BH231" s="424"/>
      <c r="BI231" s="425"/>
      <c r="BJ231" s="424"/>
      <c r="BK231" s="425"/>
      <c r="BL231" s="424"/>
      <c r="BM231" s="425"/>
      <c r="BN231" s="424"/>
      <c r="BO231" s="425"/>
      <c r="BP231" s="424"/>
      <c r="BQ231" s="425"/>
      <c r="BR231" s="424"/>
      <c r="BS231" s="425">
        <f>+INPUT!BB177</f>
        <v>17.2</v>
      </c>
      <c r="BT231" s="424" t="str">
        <f>+INPUT!BC177</f>
        <v>NA</v>
      </c>
      <c r="BU231" s="425">
        <f>+INPUT!BD177</f>
        <v>10.5</v>
      </c>
      <c r="BV231" s="424">
        <f>+INPUT!BE177</f>
        <v>-38.953488372093027</v>
      </c>
      <c r="BW231" s="425">
        <f>+INPUT!BF177</f>
        <v>8.1</v>
      </c>
      <c r="BX231" s="424">
        <f>+INPUT!BG177</f>
        <v>-22.857142857142861</v>
      </c>
      <c r="BY231" s="425">
        <f>+INPUT!BH177</f>
        <v>14</v>
      </c>
      <c r="BZ231" s="424">
        <f>+INPUT!BI177</f>
        <v>72.839506172839521</v>
      </c>
      <c r="CA231" s="425">
        <f>+INPUT!BJ177</f>
        <v>10.199999999999999</v>
      </c>
      <c r="CB231" s="424">
        <f>+INPUT!BK177</f>
        <v>-27.142857142857153</v>
      </c>
      <c r="CC231" s="425">
        <f>+INPUT!BL177</f>
        <v>8.7257778323211621</v>
      </c>
      <c r="CD231" s="424">
        <f>+INPUT!BM177</f>
        <v>-14.453158506655271</v>
      </c>
      <c r="CE231" s="425">
        <f>+INPUT!BN177</f>
        <v>9.2269602945924412</v>
      </c>
      <c r="CF231" s="424">
        <f>+INPUT!BO177</f>
        <v>5.7436995520886285</v>
      </c>
      <c r="CG231" s="425">
        <f>+INPUT!BP177</f>
        <v>9.7758762831234147</v>
      </c>
      <c r="CH231" s="424">
        <f>+INPUT!BQ177</f>
        <v>5.949044658322336</v>
      </c>
      <c r="CI231" s="425">
        <f>+INPUT!BR177</f>
        <v>10.371658193642647</v>
      </c>
      <c r="CJ231" s="424">
        <f>+INPUT!BS177</f>
        <v>6.094409270990468</v>
      </c>
      <c r="CK231" s="425">
        <f>+INPUT!BT177</f>
        <v>11.016172685292666</v>
      </c>
      <c r="CL231" s="424">
        <f>+INPUT!BU177</f>
        <v>6.2141894730495295</v>
      </c>
      <c r="CM231" s="424">
        <f>+INPUT!BV177</f>
        <v>1.551446218039243</v>
      </c>
    </row>
    <row r="232" spans="1:91" s="767" customFormat="1" ht="12" hidden="1" customHeight="1" outlineLevel="1" x14ac:dyDescent="0.2">
      <c r="A232" s="394" t="s">
        <v>417</v>
      </c>
      <c r="B232" s="430">
        <f>+INPUT!C178</f>
        <v>264.8</v>
      </c>
      <c r="C232" s="763" t="str">
        <f>+INPUT!D178</f>
        <v>NA</v>
      </c>
      <c r="D232" s="430">
        <f>+INPUT!E178</f>
        <v>284.2</v>
      </c>
      <c r="E232" s="764" t="str">
        <f>+INPUT!F178</f>
        <v>NA</v>
      </c>
      <c r="F232" s="430">
        <f>+INPUT!G178</f>
        <v>280.89999999999998</v>
      </c>
      <c r="G232" s="764" t="str">
        <f>+INPUT!H178</f>
        <v>NA</v>
      </c>
      <c r="H232" s="430">
        <f>+INPUT!I178</f>
        <v>359.8</v>
      </c>
      <c r="I232" s="764" t="str">
        <f>+INPUT!J178</f>
        <v>NA</v>
      </c>
      <c r="J232" s="430">
        <f>+INPUT!K178</f>
        <v>295.2</v>
      </c>
      <c r="K232" s="764">
        <f>+INPUT!L178</f>
        <v>11.48036253776435</v>
      </c>
      <c r="L232" s="430">
        <f>+INPUT!M178</f>
        <v>304.09999999999997</v>
      </c>
      <c r="M232" s="764">
        <f>+INPUT!N178</f>
        <v>7.0021111893032923</v>
      </c>
      <c r="N232" s="430">
        <f>+INPUT!O178</f>
        <v>311</v>
      </c>
      <c r="O232" s="764">
        <f>+INPUT!P178</f>
        <v>10.715557137771455</v>
      </c>
      <c r="P232" s="430">
        <f>+INPUT!Q178</f>
        <v>347.1</v>
      </c>
      <c r="Q232" s="764">
        <f>+INPUT!R178</f>
        <v>-3.5297387437465204</v>
      </c>
      <c r="R232" s="430">
        <f>+INPUT!S178</f>
        <v>328.9</v>
      </c>
      <c r="S232" s="764">
        <f>+INPUT!T178</f>
        <v>11.415989159891595</v>
      </c>
      <c r="T232" s="430">
        <f>+INPUT!U178</f>
        <v>337.8</v>
      </c>
      <c r="U232" s="764">
        <f>+INPUT!V178</f>
        <v>11.081880960210484</v>
      </c>
      <c r="V232" s="430">
        <f>+INPUT!W178</f>
        <v>329.5</v>
      </c>
      <c r="W232" s="764">
        <f>+INPUT!X178</f>
        <v>5.9485530546623693</v>
      </c>
      <c r="X232" s="430">
        <f>+INPUT!Y178</f>
        <v>347.3</v>
      </c>
      <c r="Y232" s="764">
        <f>+INPUT!Z178</f>
        <v>5.7620282339371443E-2</v>
      </c>
      <c r="Z232" s="430">
        <f>+INPUT!AA178</f>
        <v>309.5</v>
      </c>
      <c r="AA232" s="764">
        <f>+INPUT!AB178</f>
        <v>-5.8984493767102322</v>
      </c>
      <c r="AB232" s="430">
        <f>+INPUT!AC178</f>
        <v>351.29999999999995</v>
      </c>
      <c r="AC232" s="764">
        <f>+INPUT!AD178</f>
        <v>3.9964476021314255</v>
      </c>
      <c r="AD232" s="430">
        <f>+INPUT!AE178</f>
        <v>346.2</v>
      </c>
      <c r="AE232" s="764">
        <f>+INPUT!AF178</f>
        <v>5.0682852807283751</v>
      </c>
      <c r="AF232" s="430">
        <f>+INPUT!AG178</f>
        <v>380.1</v>
      </c>
      <c r="AG232" s="764">
        <f>+INPUT!AH178</f>
        <v>9.4442844802764085</v>
      </c>
      <c r="AH232" s="430">
        <f>+INPUT!AI178</f>
        <v>345.9</v>
      </c>
      <c r="AI232" s="764">
        <f>+INPUT!AJ178</f>
        <v>11.76090468497577</v>
      </c>
      <c r="AJ232" s="430">
        <f>+INPUT!AK178</f>
        <v>355.5</v>
      </c>
      <c r="AK232" s="764">
        <f>+INPUT!AL178</f>
        <v>1.1955593509820801</v>
      </c>
      <c r="AL232" s="430">
        <f>+INPUT!AM178</f>
        <v>367.5</v>
      </c>
      <c r="AM232" s="764">
        <f>+INPUT!AN178</f>
        <v>6.1525129982668858</v>
      </c>
      <c r="AN232" s="430">
        <f>+INPUT!AO178</f>
        <v>375.5</v>
      </c>
      <c r="AO232" s="764">
        <f>+INPUT!AP178</f>
        <v>-1.2102078400421021</v>
      </c>
      <c r="AP232" s="430">
        <f>+INPUT!AQ178</f>
        <v>378.10802919999998</v>
      </c>
      <c r="AQ232" s="764">
        <f>+INPUT!AR178</f>
        <v>9.3113701069673454</v>
      </c>
      <c r="AR232" s="430">
        <f>+INPUT!AS178</f>
        <v>379.98047655171996</v>
      </c>
      <c r="AS232" s="764">
        <f>+INPUT!AT178</f>
        <v>6.886210000483814</v>
      </c>
      <c r="AT232" s="430">
        <f>+INPUT!AU178</f>
        <v>385.95437744351329</v>
      </c>
      <c r="AU232" s="764">
        <f>+INPUT!AV178</f>
        <v>5.0215993043573519</v>
      </c>
      <c r="AV232" s="430">
        <f>+INPUT!AW178</f>
        <v>391.6940152932911</v>
      </c>
      <c r="AW232" s="764">
        <f>+INPUT!AX178</f>
        <v>4.3126538730468837</v>
      </c>
      <c r="AX232" s="431"/>
      <c r="AY232" s="765"/>
      <c r="AZ232" s="766"/>
      <c r="BA232" s="765"/>
      <c r="BB232" s="766"/>
      <c r="BC232" s="765"/>
      <c r="BD232" s="766"/>
      <c r="BE232" s="765"/>
      <c r="BF232" s="764"/>
      <c r="BG232" s="765"/>
      <c r="BH232" s="764"/>
      <c r="BI232" s="765"/>
      <c r="BJ232" s="764"/>
      <c r="BK232" s="430"/>
      <c r="BL232" s="764"/>
      <c r="BM232" s="430"/>
      <c r="BN232" s="764"/>
      <c r="BO232" s="430"/>
      <c r="BP232" s="764"/>
      <c r="BQ232" s="430"/>
      <c r="BR232" s="764"/>
      <c r="BS232" s="430">
        <f>+INPUT!BB178</f>
        <v>1189.7</v>
      </c>
      <c r="BT232" s="764" t="str">
        <f>+INPUT!BC178</f>
        <v>NA</v>
      </c>
      <c r="BU232" s="430">
        <f>+INPUT!BD178</f>
        <v>1257.4000000000001</v>
      </c>
      <c r="BV232" s="764">
        <f>+INPUT!BE178</f>
        <v>5.6905102126586513</v>
      </c>
      <c r="BW232" s="430">
        <f>+INPUT!BF178</f>
        <v>1343.5</v>
      </c>
      <c r="BX232" s="764">
        <f>+INPUT!BG178</f>
        <v>6.8474630189279395</v>
      </c>
      <c r="BY232" s="430">
        <f>+INPUT!BH178</f>
        <v>1387.1</v>
      </c>
      <c r="BZ232" s="764">
        <f>+INPUT!BI178</f>
        <v>3.2452549311499723</v>
      </c>
      <c r="CA232" s="430">
        <f>+INPUT!BJ178</f>
        <v>1444.3999999999999</v>
      </c>
      <c r="CB232" s="764">
        <f>+INPUT!BK178</f>
        <v>4.130920625765981</v>
      </c>
      <c r="CC232" s="430">
        <f>+INPUT!BL178</f>
        <v>1535.7368984885245</v>
      </c>
      <c r="CD232" s="764">
        <f>+INPUT!BM178</f>
        <v>6.3235183113074385</v>
      </c>
      <c r="CE232" s="430">
        <f>+INPUT!BN178</f>
        <v>1623.9450118482698</v>
      </c>
      <c r="CF232" s="764">
        <f>+INPUT!BO178</f>
        <v>5.7436995520886427</v>
      </c>
      <c r="CG232" s="430">
        <f>+INPUT!BP178</f>
        <v>1696.1145351219122</v>
      </c>
      <c r="CH232" s="764">
        <f>+INPUT!BQ178</f>
        <v>4.4440866376074979</v>
      </c>
      <c r="CI232" s="430">
        <f>+INPUT!BR178</f>
        <v>1799.4826965969992</v>
      </c>
      <c r="CJ232" s="764">
        <f>+INPUT!BS178</f>
        <v>6.094409270990468</v>
      </c>
      <c r="CK232" s="430">
        <f>+INPUT!BT178</f>
        <v>1911.3059608982778</v>
      </c>
      <c r="CL232" s="764">
        <f>+INPUT!BU178</f>
        <v>6.2141894730495295</v>
      </c>
      <c r="CM232" s="763">
        <f>+INPUT!BV178</f>
        <v>5.761730175251456</v>
      </c>
    </row>
    <row r="233" spans="1:91" ht="12" hidden="1" customHeight="1" outlineLevel="1" x14ac:dyDescent="0.2">
      <c r="A233" s="420"/>
      <c r="B233" s="433"/>
      <c r="C233" s="434"/>
      <c r="D233" s="433"/>
      <c r="E233" s="434"/>
      <c r="F233" s="433"/>
      <c r="G233" s="434"/>
      <c r="H233" s="433"/>
      <c r="I233" s="434"/>
      <c r="J233" s="433"/>
      <c r="K233" s="434"/>
      <c r="L233" s="433"/>
      <c r="M233" s="434"/>
      <c r="N233" s="433"/>
      <c r="O233" s="434"/>
      <c r="P233" s="433"/>
      <c r="Q233" s="434"/>
      <c r="R233" s="433"/>
      <c r="S233" s="434"/>
      <c r="T233" s="433"/>
      <c r="U233" s="434"/>
      <c r="V233" s="433"/>
      <c r="W233" s="434"/>
      <c r="X233" s="433"/>
      <c r="Y233" s="434"/>
      <c r="Z233" s="433"/>
      <c r="AA233" s="434"/>
      <c r="AB233" s="433"/>
      <c r="AC233" s="434"/>
      <c r="AD233" s="433"/>
      <c r="AE233" s="434"/>
      <c r="AF233" s="433"/>
      <c r="AG233" s="434"/>
      <c r="AH233" s="433"/>
      <c r="AI233" s="434"/>
      <c r="AJ233" s="433"/>
      <c r="AK233" s="434"/>
      <c r="AL233" s="433"/>
      <c r="AM233" s="434"/>
      <c r="AN233" s="433"/>
      <c r="AO233" s="434"/>
      <c r="AP233" s="433"/>
      <c r="AQ233" s="434"/>
      <c r="AR233" s="433"/>
      <c r="AS233" s="434"/>
      <c r="AT233" s="433"/>
      <c r="AU233" s="434"/>
      <c r="AV233" s="433"/>
      <c r="AW233" s="434"/>
      <c r="AX233" s="433"/>
      <c r="AY233" s="433"/>
      <c r="AZ233" s="434"/>
      <c r="BA233" s="433"/>
      <c r="BB233" s="434"/>
      <c r="BC233" s="433"/>
      <c r="BD233" s="434"/>
      <c r="BE233" s="433"/>
      <c r="BF233" s="434"/>
      <c r="BG233" s="433"/>
      <c r="BH233" s="434"/>
      <c r="BI233" s="433"/>
      <c r="BJ233" s="434"/>
      <c r="BK233" s="433"/>
      <c r="BL233" s="434"/>
      <c r="BM233" s="433"/>
      <c r="BN233" s="434"/>
      <c r="BO233" s="433"/>
      <c r="BP233" s="434"/>
      <c r="BQ233" s="433"/>
      <c r="BR233" s="434"/>
      <c r="BS233" s="433"/>
      <c r="BT233" s="434"/>
      <c r="BU233" s="433"/>
      <c r="BV233" s="434"/>
      <c r="BW233" s="433"/>
      <c r="BX233" s="434"/>
      <c r="BY233" s="433"/>
      <c r="BZ233" s="434"/>
      <c r="CA233" s="433"/>
      <c r="CB233" s="434"/>
      <c r="CC233" s="433"/>
      <c r="CD233" s="434"/>
      <c r="CE233" s="433"/>
      <c r="CF233" s="434"/>
      <c r="CG233" s="433"/>
      <c r="CH233" s="434"/>
      <c r="CI233" s="433"/>
      <c r="CJ233" s="434"/>
      <c r="CK233" s="433"/>
      <c r="CL233" s="434"/>
      <c r="CM233" s="434"/>
    </row>
    <row r="234" spans="1:91" ht="12" hidden="1" customHeight="1" outlineLevel="1" x14ac:dyDescent="0.2">
      <c r="A234" s="421" t="s">
        <v>418</v>
      </c>
      <c r="B234" s="433"/>
      <c r="C234" s="434"/>
      <c r="D234" s="433"/>
      <c r="E234" s="434"/>
      <c r="F234" s="433"/>
      <c r="G234" s="434"/>
      <c r="H234" s="433"/>
      <c r="I234" s="434"/>
      <c r="J234" s="433"/>
      <c r="K234" s="434"/>
      <c r="L234" s="433"/>
      <c r="M234" s="434"/>
      <c r="N234" s="433"/>
      <c r="O234" s="434"/>
      <c r="P234" s="433"/>
      <c r="Q234" s="434"/>
      <c r="R234" s="433"/>
      <c r="S234" s="434"/>
      <c r="T234" s="433"/>
      <c r="U234" s="434"/>
      <c r="V234" s="433"/>
      <c r="W234" s="434"/>
      <c r="X234" s="433"/>
      <c r="Y234" s="434"/>
      <c r="Z234" s="433"/>
      <c r="AA234" s="434"/>
      <c r="AB234" s="433"/>
      <c r="AC234" s="434"/>
      <c r="AD234" s="433"/>
      <c r="AE234" s="434"/>
      <c r="AF234" s="433"/>
      <c r="AG234" s="434"/>
      <c r="AH234" s="433"/>
      <c r="AI234" s="434"/>
      <c r="AJ234" s="433"/>
      <c r="AK234" s="434"/>
      <c r="AL234" s="433"/>
      <c r="AM234" s="434"/>
      <c r="AN234" s="433"/>
      <c r="AO234" s="434"/>
      <c r="AP234" s="433"/>
      <c r="AQ234" s="434"/>
      <c r="AR234" s="433"/>
      <c r="AS234" s="434"/>
      <c r="AT234" s="433"/>
      <c r="AU234" s="434"/>
      <c r="AV234" s="433"/>
      <c r="AW234" s="434"/>
      <c r="AX234" s="433"/>
      <c r="AY234" s="433"/>
      <c r="AZ234" s="434"/>
      <c r="BA234" s="433"/>
      <c r="BB234" s="434"/>
      <c r="BC234" s="433"/>
      <c r="BD234" s="434"/>
      <c r="BE234" s="433"/>
      <c r="BF234" s="434"/>
      <c r="BG234" s="433"/>
      <c r="BH234" s="434"/>
      <c r="BI234" s="433"/>
      <c r="BJ234" s="434"/>
      <c r="BK234" s="433"/>
      <c r="BL234" s="434"/>
      <c r="BM234" s="433"/>
      <c r="BN234" s="434"/>
      <c r="BO234" s="433"/>
      <c r="BP234" s="434"/>
      <c r="BQ234" s="433"/>
      <c r="BR234" s="434"/>
      <c r="BS234" s="433"/>
      <c r="BT234" s="434"/>
      <c r="BU234" s="433"/>
      <c r="BV234" s="434"/>
      <c r="BW234" s="433"/>
      <c r="BX234" s="434"/>
      <c r="BY234" s="433"/>
      <c r="BZ234" s="434"/>
      <c r="CA234" s="433"/>
      <c r="CB234" s="434"/>
      <c r="CC234" s="433"/>
      <c r="CD234" s="434"/>
      <c r="CE234" s="433"/>
      <c r="CF234" s="434"/>
      <c r="CG234" s="433"/>
      <c r="CH234" s="434"/>
      <c r="CI234" s="433"/>
      <c r="CJ234" s="434"/>
      <c r="CK234" s="433"/>
      <c r="CL234" s="434"/>
      <c r="CM234" s="434"/>
    </row>
    <row r="235" spans="1:91" ht="12" hidden="1" customHeight="1" outlineLevel="1" x14ac:dyDescent="0.2">
      <c r="A235" s="420" t="s">
        <v>481</v>
      </c>
      <c r="B235" s="425">
        <f>+INPUT!C181</f>
        <v>162.5</v>
      </c>
      <c r="C235" s="424" t="str">
        <f>+INPUT!D181</f>
        <v>NA</v>
      </c>
      <c r="D235" s="425">
        <f>+INPUT!E181</f>
        <v>167.2</v>
      </c>
      <c r="E235" s="424" t="str">
        <f>+INPUT!F181</f>
        <v>NA</v>
      </c>
      <c r="F235" s="425">
        <f>+INPUT!G181</f>
        <v>163.19999999999999</v>
      </c>
      <c r="G235" s="424" t="str">
        <f>+INPUT!H181</f>
        <v>NA</v>
      </c>
      <c r="H235" s="425">
        <f>+INPUT!I181</f>
        <v>228.89999999999998</v>
      </c>
      <c r="I235" s="424" t="str">
        <f>+INPUT!J181</f>
        <v>NA</v>
      </c>
      <c r="J235" s="425">
        <f>+INPUT!K181</f>
        <v>169</v>
      </c>
      <c r="K235" s="424">
        <f>+INPUT!L181</f>
        <v>4</v>
      </c>
      <c r="L235" s="425">
        <f>+INPUT!M181</f>
        <v>173.1</v>
      </c>
      <c r="M235" s="424">
        <f>+INPUT!N181</f>
        <v>3.5287081339713069</v>
      </c>
      <c r="N235" s="425">
        <f>+INPUT!O181</f>
        <v>177.5</v>
      </c>
      <c r="O235" s="424">
        <f>+INPUT!P181</f>
        <v>8.7622549019607874</v>
      </c>
      <c r="P235" s="425">
        <f>+INPUT!Q181</f>
        <v>202.3</v>
      </c>
      <c r="Q235" s="424">
        <f>+INPUT!R181</f>
        <v>-11.620795107033615</v>
      </c>
      <c r="R235" s="425">
        <f>+INPUT!S181</f>
        <v>189.9</v>
      </c>
      <c r="S235" s="424">
        <f>+INPUT!T181</f>
        <v>12.366863905325445</v>
      </c>
      <c r="T235" s="425">
        <f>+INPUT!U181</f>
        <v>191.7</v>
      </c>
      <c r="U235" s="424">
        <f>+INPUT!V181</f>
        <v>10.745233968804158</v>
      </c>
      <c r="V235" s="425">
        <f>+INPUT!W181</f>
        <v>187.5</v>
      </c>
      <c r="W235" s="424">
        <f>+INPUT!X181</f>
        <v>5.6338028169014081</v>
      </c>
      <c r="X235" s="425">
        <f>+INPUT!Y181</f>
        <v>199.2</v>
      </c>
      <c r="Y235" s="424">
        <f>+INPUT!Z181</f>
        <v>-1.5323776569451439</v>
      </c>
      <c r="Z235" s="425">
        <f>+INPUT!AA181</f>
        <v>188.79999999999998</v>
      </c>
      <c r="AA235" s="424">
        <f>+INPUT!AB181</f>
        <v>-0.57925223802001824</v>
      </c>
      <c r="AB235" s="425">
        <f>+INPUT!AC181</f>
        <v>191.9</v>
      </c>
      <c r="AC235" s="424">
        <f>+INPUT!AD181</f>
        <v>0.1043296817944821</v>
      </c>
      <c r="AD235" s="425">
        <f>+INPUT!AE181</f>
        <v>190.1</v>
      </c>
      <c r="AE235" s="424">
        <f>+INPUT!AF181</f>
        <v>1.3866666666666703</v>
      </c>
      <c r="AF235" s="425">
        <f>+INPUT!AG181</f>
        <v>203.6</v>
      </c>
      <c r="AG235" s="424">
        <f>+INPUT!AH181</f>
        <v>2.2088353413654715</v>
      </c>
      <c r="AH235" s="425">
        <f>+INPUT!AI181</f>
        <v>204.79999999999998</v>
      </c>
      <c r="AI235" s="424">
        <f>+INPUT!AJ181</f>
        <v>8.4745762711864359</v>
      </c>
      <c r="AJ235" s="425">
        <f>+INPUT!AK181</f>
        <v>198.7</v>
      </c>
      <c r="AK235" s="424">
        <f>+INPUT!AL181</f>
        <v>3.5435122459614377</v>
      </c>
      <c r="AL235" s="425">
        <f>+INPUT!AM181</f>
        <v>195.7</v>
      </c>
      <c r="AM235" s="424">
        <f>+INPUT!AN181</f>
        <v>2.9458179905312818</v>
      </c>
      <c r="AN235" s="425">
        <f>+INPUT!AO181</f>
        <v>210.2</v>
      </c>
      <c r="AO235" s="424">
        <f>+INPUT!AP181</f>
        <v>3.2416502946954751</v>
      </c>
      <c r="AP235" s="425">
        <f>+INPUT!AQ181</f>
        <v>207.69166566097806</v>
      </c>
      <c r="AQ235" s="424">
        <f>+INPUT!AR181</f>
        <v>1.4119461235244444</v>
      </c>
      <c r="AR235" s="425">
        <f>+INPUT!AS181</f>
        <v>208.72018576451575</v>
      </c>
      <c r="AS235" s="424">
        <f>+INPUT!AT181</f>
        <v>5.0428715473154142</v>
      </c>
      <c r="AT235" s="425">
        <f>+INPUT!AU181</f>
        <v>212.00160094455114</v>
      </c>
      <c r="AU235" s="424">
        <f>+INPUT!AV181</f>
        <v>8.3298931755499126</v>
      </c>
      <c r="AV235" s="425">
        <f>+INPUT!AW181</f>
        <v>214.04157025173569</v>
      </c>
      <c r="AW235" s="424">
        <f>+INPUT!AX181</f>
        <v>1.8275786164299319</v>
      </c>
      <c r="AX235" s="425"/>
      <c r="AY235" s="425"/>
      <c r="AZ235" s="424"/>
      <c r="BA235" s="425"/>
      <c r="BB235" s="424"/>
      <c r="BC235" s="425"/>
      <c r="BD235" s="424"/>
      <c r="BE235" s="425"/>
      <c r="BF235" s="424"/>
      <c r="BG235" s="425"/>
      <c r="BH235" s="424"/>
      <c r="BI235" s="425"/>
      <c r="BJ235" s="424"/>
      <c r="BK235" s="425"/>
      <c r="BL235" s="424"/>
      <c r="BM235" s="425"/>
      <c r="BN235" s="424"/>
      <c r="BO235" s="425"/>
      <c r="BP235" s="424"/>
      <c r="BQ235" s="425"/>
      <c r="BR235" s="424"/>
      <c r="BS235" s="425">
        <f>+INPUT!BB181</f>
        <v>721.8</v>
      </c>
      <c r="BT235" s="424" t="str">
        <f>+INPUT!BC181</f>
        <v>NA</v>
      </c>
      <c r="BU235" s="425">
        <f>+INPUT!BD181</f>
        <v>721.90000000000009</v>
      </c>
      <c r="BV235" s="424">
        <f>+INPUT!BE181</f>
        <v>1.3854253255772164E-2</v>
      </c>
      <c r="BW235" s="425">
        <f>+INPUT!BF181</f>
        <v>768.3</v>
      </c>
      <c r="BX235" s="424">
        <f>+INPUT!BG181</f>
        <v>6.4274830308906843</v>
      </c>
      <c r="BY235" s="425">
        <f>+INPUT!BH181</f>
        <v>774.4</v>
      </c>
      <c r="BZ235" s="424">
        <f>+INPUT!BI181</f>
        <v>0.7939606924378495</v>
      </c>
      <c r="CA235" s="425">
        <f>+INPUT!BJ181</f>
        <v>809.40000000000009</v>
      </c>
      <c r="CB235" s="424">
        <f>+INPUT!BK181</f>
        <v>4.5196280991735733</v>
      </c>
      <c r="CC235" s="425">
        <f>+INPUT!BL181</f>
        <v>842.4550226217807</v>
      </c>
      <c r="CD235" s="424">
        <f>+INPUT!BM181</f>
        <v>4.0838920955992677</v>
      </c>
      <c r="CE235" s="425">
        <f>+INPUT!BN181</f>
        <v>895.31479286602973</v>
      </c>
      <c r="CF235" s="424">
        <f>+INPUT!BO181</f>
        <v>6.2744916731276135</v>
      </c>
      <c r="CG235" s="425">
        <f>+INPUT!BP181</f>
        <v>943.6895315846341</v>
      </c>
      <c r="CH235" s="424">
        <f>+INPUT!BQ181</f>
        <v>5.4030983408360811</v>
      </c>
      <c r="CI235" s="425">
        <f>+INPUT!BR181</f>
        <v>1001.2018338868946</v>
      </c>
      <c r="CJ235" s="424">
        <f>+INPUT!BS181</f>
        <v>6.094409270990468</v>
      </c>
      <c r="CK235" s="425">
        <f>+INPUT!BT181</f>
        <v>1079.9426718802119</v>
      </c>
      <c r="CL235" s="424">
        <f>+INPUT!BU181</f>
        <v>7.8646318183045452</v>
      </c>
      <c r="CM235" s="424">
        <f>+INPUT!BV181</f>
        <v>5.936958591726138</v>
      </c>
    </row>
    <row r="236" spans="1:91" s="767" customFormat="1" ht="12" hidden="1" customHeight="1" outlineLevel="1" x14ac:dyDescent="0.2">
      <c r="A236" s="394" t="s">
        <v>484</v>
      </c>
      <c r="B236" s="430">
        <f>B235</f>
        <v>162.5</v>
      </c>
      <c r="C236" s="763" t="str">
        <f>C235</f>
        <v>NA</v>
      </c>
      <c r="D236" s="430">
        <f t="shared" ref="D236:AG236" si="125">D235</f>
        <v>167.2</v>
      </c>
      <c r="E236" s="764" t="str">
        <f t="shared" si="125"/>
        <v>NA</v>
      </c>
      <c r="F236" s="430">
        <f t="shared" si="125"/>
        <v>163.19999999999999</v>
      </c>
      <c r="G236" s="764" t="str">
        <f t="shared" si="125"/>
        <v>NA</v>
      </c>
      <c r="H236" s="430">
        <f t="shared" si="125"/>
        <v>228.89999999999998</v>
      </c>
      <c r="I236" s="764" t="str">
        <f t="shared" si="125"/>
        <v>NA</v>
      </c>
      <c r="J236" s="430">
        <f t="shared" si="125"/>
        <v>169</v>
      </c>
      <c r="K236" s="764">
        <f t="shared" si="125"/>
        <v>4</v>
      </c>
      <c r="L236" s="430">
        <f t="shared" si="125"/>
        <v>173.1</v>
      </c>
      <c r="M236" s="764">
        <f t="shared" si="125"/>
        <v>3.5287081339713069</v>
      </c>
      <c r="N236" s="430">
        <f t="shared" si="125"/>
        <v>177.5</v>
      </c>
      <c r="O236" s="764">
        <f t="shared" si="125"/>
        <v>8.7622549019607874</v>
      </c>
      <c r="P236" s="430">
        <f t="shared" si="125"/>
        <v>202.3</v>
      </c>
      <c r="Q236" s="764">
        <f t="shared" si="125"/>
        <v>-11.620795107033615</v>
      </c>
      <c r="R236" s="430">
        <f t="shared" si="125"/>
        <v>189.9</v>
      </c>
      <c r="S236" s="764">
        <f t="shared" si="125"/>
        <v>12.366863905325445</v>
      </c>
      <c r="T236" s="430">
        <f t="shared" si="125"/>
        <v>191.7</v>
      </c>
      <c r="U236" s="764">
        <f t="shared" si="125"/>
        <v>10.745233968804158</v>
      </c>
      <c r="V236" s="430">
        <f t="shared" si="125"/>
        <v>187.5</v>
      </c>
      <c r="W236" s="764">
        <f t="shared" si="125"/>
        <v>5.6338028169014081</v>
      </c>
      <c r="X236" s="430">
        <f t="shared" si="125"/>
        <v>199.2</v>
      </c>
      <c r="Y236" s="764">
        <f t="shared" si="125"/>
        <v>-1.5323776569451439</v>
      </c>
      <c r="Z236" s="430">
        <f t="shared" si="125"/>
        <v>188.79999999999998</v>
      </c>
      <c r="AA236" s="764">
        <f t="shared" si="125"/>
        <v>-0.57925223802001824</v>
      </c>
      <c r="AB236" s="430">
        <f t="shared" si="125"/>
        <v>191.9</v>
      </c>
      <c r="AC236" s="764">
        <f t="shared" si="125"/>
        <v>0.1043296817944821</v>
      </c>
      <c r="AD236" s="430">
        <f t="shared" si="125"/>
        <v>190.1</v>
      </c>
      <c r="AE236" s="764">
        <f t="shared" si="125"/>
        <v>1.3866666666666703</v>
      </c>
      <c r="AF236" s="430">
        <f t="shared" si="125"/>
        <v>203.6</v>
      </c>
      <c r="AG236" s="764">
        <f t="shared" si="125"/>
        <v>2.2088353413654715</v>
      </c>
      <c r="AH236" s="430">
        <f t="shared" ref="AH236:AO236" si="126">AH235</f>
        <v>204.79999999999998</v>
      </c>
      <c r="AI236" s="764">
        <f t="shared" si="126"/>
        <v>8.4745762711864359</v>
      </c>
      <c r="AJ236" s="430">
        <f t="shared" si="126"/>
        <v>198.7</v>
      </c>
      <c r="AK236" s="764">
        <f t="shared" si="126"/>
        <v>3.5435122459614377</v>
      </c>
      <c r="AL236" s="430">
        <f t="shared" si="126"/>
        <v>195.7</v>
      </c>
      <c r="AM236" s="764">
        <f t="shared" si="126"/>
        <v>2.9458179905312818</v>
      </c>
      <c r="AN236" s="430">
        <f t="shared" si="126"/>
        <v>210.2</v>
      </c>
      <c r="AO236" s="764">
        <f t="shared" si="126"/>
        <v>3.2416502946954751</v>
      </c>
      <c r="AP236" s="430">
        <f t="shared" ref="AP236:AW236" si="127">AP235</f>
        <v>207.69166566097806</v>
      </c>
      <c r="AQ236" s="764">
        <f t="shared" si="127"/>
        <v>1.4119461235244444</v>
      </c>
      <c r="AR236" s="430">
        <f t="shared" si="127"/>
        <v>208.72018576451575</v>
      </c>
      <c r="AS236" s="764">
        <f t="shared" si="127"/>
        <v>5.0428715473154142</v>
      </c>
      <c r="AT236" s="430">
        <f t="shared" si="127"/>
        <v>212.00160094455114</v>
      </c>
      <c r="AU236" s="764">
        <f t="shared" si="127"/>
        <v>8.3298931755499126</v>
      </c>
      <c r="AV236" s="430">
        <f t="shared" si="127"/>
        <v>214.04157025173569</v>
      </c>
      <c r="AW236" s="764">
        <f t="shared" si="127"/>
        <v>1.8275786164299319</v>
      </c>
      <c r="AX236" s="431"/>
      <c r="AY236" s="765"/>
      <c r="AZ236" s="766"/>
      <c r="BA236" s="765"/>
      <c r="BB236" s="766"/>
      <c r="BC236" s="765"/>
      <c r="BD236" s="766"/>
      <c r="BE236" s="765"/>
      <c r="BF236" s="764"/>
      <c r="BG236" s="765"/>
      <c r="BH236" s="764"/>
      <c r="BI236" s="765"/>
      <c r="BJ236" s="764"/>
      <c r="BK236" s="430"/>
      <c r="BL236" s="764"/>
      <c r="BM236" s="430"/>
      <c r="BN236" s="764"/>
      <c r="BO236" s="430"/>
      <c r="BP236" s="764"/>
      <c r="BQ236" s="430"/>
      <c r="BR236" s="764"/>
      <c r="BS236" s="430">
        <f t="shared" ref="BS236" si="128">BS235</f>
        <v>721.8</v>
      </c>
      <c r="BT236" s="764" t="str">
        <f t="shared" ref="BT236" si="129">BT235</f>
        <v>NA</v>
      </c>
      <c r="BU236" s="430">
        <f t="shared" ref="BU236" si="130">BU235</f>
        <v>721.90000000000009</v>
      </c>
      <c r="BV236" s="764">
        <f t="shared" ref="BV236" si="131">BV235</f>
        <v>1.3854253255772164E-2</v>
      </c>
      <c r="BW236" s="430">
        <f t="shared" ref="BW236" si="132">BW235</f>
        <v>768.3</v>
      </c>
      <c r="BX236" s="764">
        <f t="shared" ref="BX236" si="133">BX235</f>
        <v>6.4274830308906843</v>
      </c>
      <c r="BY236" s="430">
        <f t="shared" ref="BY236:CB236" si="134">BY235</f>
        <v>774.4</v>
      </c>
      <c r="BZ236" s="764">
        <f t="shared" ref="BZ236" si="135">BZ235</f>
        <v>0.7939606924378495</v>
      </c>
      <c r="CA236" s="430">
        <f t="shared" si="134"/>
        <v>809.40000000000009</v>
      </c>
      <c r="CB236" s="764">
        <f t="shared" si="134"/>
        <v>4.5196280991735733</v>
      </c>
      <c r="CC236" s="430">
        <f t="shared" ref="CC236:CD236" si="136">CC235</f>
        <v>842.4550226217807</v>
      </c>
      <c r="CD236" s="764">
        <f t="shared" si="136"/>
        <v>4.0838920955992677</v>
      </c>
      <c r="CE236" s="430">
        <f t="shared" ref="CE236" si="137">CE235</f>
        <v>895.31479286602973</v>
      </c>
      <c r="CF236" s="764">
        <f t="shared" ref="CF236" si="138">CF235</f>
        <v>6.2744916731276135</v>
      </c>
      <c r="CG236" s="430">
        <f t="shared" ref="CG236:CJ236" si="139">CG235</f>
        <v>943.6895315846341</v>
      </c>
      <c r="CH236" s="764">
        <f t="shared" ref="CH236:CM236" si="140">CH235</f>
        <v>5.4030983408360811</v>
      </c>
      <c r="CI236" s="430">
        <f t="shared" si="139"/>
        <v>1001.2018338868946</v>
      </c>
      <c r="CJ236" s="764">
        <f t="shared" si="139"/>
        <v>6.094409270990468</v>
      </c>
      <c r="CK236" s="430">
        <f t="shared" ref="CK236:CL236" si="141">CK235</f>
        <v>1079.9426718802119</v>
      </c>
      <c r="CL236" s="764">
        <f t="shared" si="141"/>
        <v>7.8646318183045452</v>
      </c>
      <c r="CM236" s="763">
        <f t="shared" si="140"/>
        <v>5.936958591726138</v>
      </c>
    </row>
    <row r="237" spans="1:91" ht="12" hidden="1" customHeight="1" outlineLevel="1" x14ac:dyDescent="0.2">
      <c r="A237" s="420"/>
      <c r="B237" s="433"/>
      <c r="C237" s="434"/>
      <c r="D237" s="433"/>
      <c r="E237" s="434"/>
      <c r="F237" s="433"/>
      <c r="G237" s="434"/>
      <c r="H237" s="433"/>
      <c r="I237" s="434"/>
      <c r="J237" s="433"/>
      <c r="K237" s="434"/>
      <c r="L237" s="433"/>
      <c r="M237" s="434"/>
      <c r="N237" s="433"/>
      <c r="O237" s="434"/>
      <c r="P237" s="433"/>
      <c r="Q237" s="434"/>
      <c r="R237" s="433"/>
      <c r="S237" s="434"/>
      <c r="T237" s="433"/>
      <c r="U237" s="434"/>
      <c r="V237" s="433"/>
      <c r="W237" s="434"/>
      <c r="X237" s="433"/>
      <c r="Y237" s="434"/>
      <c r="Z237" s="433"/>
      <c r="AA237" s="434"/>
      <c r="AB237" s="433"/>
      <c r="AC237" s="434"/>
      <c r="AD237" s="433"/>
      <c r="AE237" s="434"/>
      <c r="AF237" s="433"/>
      <c r="AG237" s="434"/>
      <c r="AH237" s="433"/>
      <c r="AI237" s="434"/>
      <c r="AJ237" s="433"/>
      <c r="AK237" s="434"/>
      <c r="AL237" s="433"/>
      <c r="AM237" s="434"/>
      <c r="AN237" s="433"/>
      <c r="AO237" s="434"/>
      <c r="AP237" s="433"/>
      <c r="AQ237" s="434"/>
      <c r="AR237" s="433"/>
      <c r="AS237" s="434"/>
      <c r="AT237" s="433"/>
      <c r="AU237" s="434"/>
      <c r="AV237" s="433"/>
      <c r="AW237" s="434"/>
      <c r="AX237" s="433"/>
      <c r="AY237" s="433"/>
      <c r="AZ237" s="434"/>
      <c r="BA237" s="433"/>
      <c r="BB237" s="434"/>
      <c r="BC237" s="433"/>
      <c r="BD237" s="434"/>
      <c r="BE237" s="433"/>
      <c r="BF237" s="434"/>
      <c r="BG237" s="433"/>
      <c r="BH237" s="434"/>
      <c r="BI237" s="433"/>
      <c r="BJ237" s="434"/>
      <c r="BK237" s="433"/>
      <c r="BL237" s="434"/>
      <c r="BM237" s="433"/>
      <c r="BN237" s="434"/>
      <c r="BO237" s="433"/>
      <c r="BP237" s="434"/>
      <c r="BQ237" s="433"/>
      <c r="BR237" s="434"/>
      <c r="BS237" s="433"/>
      <c r="BT237" s="434"/>
      <c r="BU237" s="433"/>
      <c r="BV237" s="434"/>
      <c r="BW237" s="433"/>
      <c r="BX237" s="434"/>
      <c r="BY237" s="433"/>
      <c r="BZ237" s="434"/>
      <c r="CA237" s="433"/>
      <c r="CB237" s="434"/>
      <c r="CC237" s="433"/>
      <c r="CD237" s="434"/>
      <c r="CE237" s="433"/>
      <c r="CF237" s="434"/>
      <c r="CG237" s="433"/>
      <c r="CH237" s="434"/>
      <c r="CI237" s="433"/>
      <c r="CJ237" s="434"/>
      <c r="CK237" s="433"/>
      <c r="CL237" s="434"/>
      <c r="CM237" s="434"/>
    </row>
    <row r="238" spans="1:91" ht="12" hidden="1" customHeight="1" outlineLevel="1" x14ac:dyDescent="0.2">
      <c r="A238" s="400" t="s">
        <v>485</v>
      </c>
      <c r="B238" s="425">
        <f>+INPUT!C182</f>
        <v>64.200000000000017</v>
      </c>
      <c r="C238" s="424" t="str">
        <f>+INPUT!D182</f>
        <v>NA</v>
      </c>
      <c r="D238" s="425">
        <f>+INPUT!E182</f>
        <v>76.7</v>
      </c>
      <c r="E238" s="424" t="str">
        <f>+INPUT!F182</f>
        <v>NA</v>
      </c>
      <c r="F238" s="425">
        <f>+INPUT!G182</f>
        <v>76.299999999999983</v>
      </c>
      <c r="G238" s="424" t="str">
        <f>+INPUT!H182</f>
        <v>NA</v>
      </c>
      <c r="H238" s="425">
        <f>+INPUT!I182</f>
        <v>89.000000000000028</v>
      </c>
      <c r="I238" s="424" t="str">
        <f>+INPUT!J182</f>
        <v>NA</v>
      </c>
      <c r="J238" s="425">
        <f>+INPUT!K182</f>
        <v>84.199999999999989</v>
      </c>
      <c r="K238" s="424">
        <f>+INPUT!L182</f>
        <v>31.152647975077826</v>
      </c>
      <c r="L238" s="425">
        <f>+INPUT!M182</f>
        <v>87.499999999999972</v>
      </c>
      <c r="M238" s="424">
        <f>+INPUT!N182</f>
        <v>14.080834419817421</v>
      </c>
      <c r="N238" s="425">
        <f>+INPUT!O182</f>
        <v>89.7</v>
      </c>
      <c r="O238" s="424">
        <f>+INPUT!P182</f>
        <v>17.562254259501998</v>
      </c>
      <c r="P238" s="425">
        <f>+INPUT!Q182</f>
        <v>101.10000000000001</v>
      </c>
      <c r="Q238" s="424">
        <f>+INPUT!R182</f>
        <v>13.595505617977508</v>
      </c>
      <c r="R238" s="425">
        <f>+INPUT!S182</f>
        <v>93.699999999999974</v>
      </c>
      <c r="S238" s="424">
        <f>+INPUT!T182</f>
        <v>11.282660332541553</v>
      </c>
      <c r="T238" s="425">
        <f>+INPUT!U182</f>
        <v>99.500000000000028</v>
      </c>
      <c r="U238" s="424">
        <f>+INPUT!V182</f>
        <v>13.714285714285793</v>
      </c>
      <c r="V238" s="425">
        <f>+INPUT!W182</f>
        <v>96.7</v>
      </c>
      <c r="W238" s="424">
        <f>+INPUT!X182</f>
        <v>7.803790412486066</v>
      </c>
      <c r="X238" s="425">
        <f>+INPUT!Y182</f>
        <v>103.00000000000003</v>
      </c>
      <c r="Y238" s="424">
        <f>+INPUT!Z182</f>
        <v>1.8793273986152457</v>
      </c>
      <c r="Z238" s="425">
        <f>+INPUT!AA182</f>
        <v>80.90000000000002</v>
      </c>
      <c r="AA238" s="424">
        <f>+INPUT!AB182</f>
        <v>-13.660618996798249</v>
      </c>
      <c r="AB238" s="425">
        <f>+INPUT!AC182</f>
        <v>118.79999999999995</v>
      </c>
      <c r="AC238" s="424">
        <f>+INPUT!AD182</f>
        <v>19.396984924623027</v>
      </c>
      <c r="AD238" s="425">
        <f>+INPUT!AE182</f>
        <v>114.5</v>
      </c>
      <c r="AE238" s="424">
        <f>+INPUT!AF182</f>
        <v>18.407445708376429</v>
      </c>
      <c r="AF238" s="425">
        <f>+INPUT!AG182</f>
        <v>135.50000000000003</v>
      </c>
      <c r="AG238" s="424">
        <f>+INPUT!AH182</f>
        <v>31.553398058252412</v>
      </c>
      <c r="AH238" s="425">
        <f>+INPUT!AI182</f>
        <v>101.5</v>
      </c>
      <c r="AI238" s="424">
        <f>+INPUT!AJ182</f>
        <v>25.463535228677344</v>
      </c>
      <c r="AJ238" s="425">
        <f>+INPUT!AK182</f>
        <v>117.00000000000001</v>
      </c>
      <c r="AK238" s="424">
        <f>+INPUT!AL182</f>
        <v>-1.5151515151514729</v>
      </c>
      <c r="AL238" s="425">
        <f>+INPUT!AM182</f>
        <v>131.80000000000001</v>
      </c>
      <c r="AM238" s="424">
        <f>+INPUT!AN182</f>
        <v>15.109170305676869</v>
      </c>
      <c r="AN238" s="425">
        <f>+INPUT!AO182</f>
        <v>125.10000000000001</v>
      </c>
      <c r="AO238" s="424">
        <f>+INPUT!AP182</f>
        <v>-7.6752767527675445</v>
      </c>
      <c r="AP238" s="425">
        <f>+INPUT!AQ182</f>
        <v>129.97463503750004</v>
      </c>
      <c r="AQ238" s="424">
        <f>+INPUT!AR182</f>
        <v>28.053827623152728</v>
      </c>
      <c r="AR238" s="425">
        <f>+INPUT!AS182</f>
        <v>130.61828881465377</v>
      </c>
      <c r="AS238" s="424">
        <f>+INPUT!AT182</f>
        <v>11.639563089447648</v>
      </c>
      <c r="AT238" s="425">
        <f>+INPUT!AU182</f>
        <v>132.67181724620775</v>
      </c>
      <c r="AU238" s="424">
        <f>+INPUT!AV182</f>
        <v>0.66146983779037782</v>
      </c>
      <c r="AV238" s="425">
        <f>+INPUT!AW182</f>
        <v>135.7575848459702</v>
      </c>
      <c r="AW238" s="424">
        <f>+INPUT!AX182</f>
        <v>8.5192524747963176</v>
      </c>
      <c r="AX238" s="425"/>
      <c r="AY238" s="425"/>
      <c r="AZ238" s="424"/>
      <c r="BA238" s="425"/>
      <c r="BB238" s="424"/>
      <c r="BC238" s="425"/>
      <c r="BD238" s="424"/>
      <c r="BE238" s="425"/>
      <c r="BF238" s="424"/>
      <c r="BG238" s="425"/>
      <c r="BH238" s="424"/>
      <c r="BI238" s="425"/>
      <c r="BJ238" s="424"/>
      <c r="BK238" s="425"/>
      <c r="BL238" s="424"/>
      <c r="BM238" s="425"/>
      <c r="BN238" s="424"/>
      <c r="BO238" s="425"/>
      <c r="BP238" s="424"/>
      <c r="BQ238" s="425"/>
      <c r="BR238" s="424"/>
      <c r="BS238" s="425">
        <f>+INPUT!BB182</f>
        <v>306.20000000000005</v>
      </c>
      <c r="BT238" s="424" t="str">
        <f>+INPUT!BC182</f>
        <v>NA</v>
      </c>
      <c r="BU238" s="425">
        <f>+INPUT!BD182</f>
        <v>362.5</v>
      </c>
      <c r="BV238" s="424">
        <f>+INPUT!BE182</f>
        <v>18.3866753755715</v>
      </c>
      <c r="BW238" s="425">
        <f>+INPUT!BF182</f>
        <v>392.9</v>
      </c>
      <c r="BX238" s="424">
        <f>+INPUT!BG182</f>
        <v>8.3862068965517125</v>
      </c>
      <c r="BY238" s="425">
        <f>+INPUT!BH182</f>
        <v>449.70000000000005</v>
      </c>
      <c r="BZ238" s="424">
        <f>+INPUT!BI182</f>
        <v>14.456604734029028</v>
      </c>
      <c r="CA238" s="425">
        <f>+INPUT!BJ182</f>
        <v>475.40000000000003</v>
      </c>
      <c r="CB238" s="424">
        <f>+INPUT!BK182</f>
        <v>5.7149210584834407</v>
      </c>
      <c r="CC238" s="425">
        <f>+INPUT!BL182</f>
        <v>529.02232594433178</v>
      </c>
      <c r="CD238" s="424">
        <f>+INPUT!BM182</f>
        <v>11.279412272682322</v>
      </c>
      <c r="CE238" s="425">
        <f>+INPUT!BN182</f>
        <v>554.93609402667175</v>
      </c>
      <c r="CF238" s="424">
        <f>+INPUT!BO182</f>
        <v>4.8984261743741229</v>
      </c>
      <c r="CG238" s="425">
        <f>+INPUT!BP182</f>
        <v>568.39773751922087</v>
      </c>
      <c r="CH238" s="424">
        <f>+INPUT!BQ182</f>
        <v>2.42580067100522</v>
      </c>
      <c r="CI238" s="425">
        <f>+INPUT!BR182</f>
        <v>603.03822193069254</v>
      </c>
      <c r="CJ238" s="424">
        <f>+INPUT!BS182</f>
        <v>6.0944092709904965</v>
      </c>
      <c r="CK238" s="425">
        <f>+INPUT!BT182</f>
        <v>623.98790060843567</v>
      </c>
      <c r="CL238" s="424">
        <f>+INPUT!BU182</f>
        <v>3.4740216981057159</v>
      </c>
      <c r="CM238" s="424">
        <f>+INPUT!BV182</f>
        <v>5.5901479116970076</v>
      </c>
    </row>
    <row r="239" spans="1:91" ht="12" hidden="1" customHeight="1" outlineLevel="1" x14ac:dyDescent="0.2">
      <c r="A239" s="379" t="s">
        <v>410</v>
      </c>
      <c r="B239" s="425">
        <f>+INPUT!C183</f>
        <v>2.6</v>
      </c>
      <c r="C239" s="424" t="str">
        <f>+INPUT!D183</f>
        <v>NA</v>
      </c>
      <c r="D239" s="425">
        <f>+INPUT!E183</f>
        <v>3.3</v>
      </c>
      <c r="E239" s="424" t="str">
        <f>+INPUT!F183</f>
        <v>NA</v>
      </c>
      <c r="F239" s="425">
        <f>+INPUT!G183</f>
        <v>4.0999999999999996</v>
      </c>
      <c r="G239" s="424" t="str">
        <f>+INPUT!H183</f>
        <v>NA</v>
      </c>
      <c r="H239" s="425">
        <f>+INPUT!I183</f>
        <v>6.6</v>
      </c>
      <c r="I239" s="424" t="str">
        <f>+INPUT!J183</f>
        <v>NA</v>
      </c>
      <c r="J239" s="425">
        <f>+INPUT!K183</f>
        <v>3.6</v>
      </c>
      <c r="K239" s="424">
        <f>+INPUT!L183</f>
        <v>38.461538461538453</v>
      </c>
      <c r="L239" s="425">
        <f>+INPUT!M183</f>
        <v>3.8</v>
      </c>
      <c r="M239" s="424">
        <f>+INPUT!N183</f>
        <v>15.151515151515156</v>
      </c>
      <c r="N239" s="425">
        <f>+INPUT!O183</f>
        <v>4</v>
      </c>
      <c r="O239" s="424">
        <f>+INPUT!P183</f>
        <v>-2.4390243902438868</v>
      </c>
      <c r="P239" s="425">
        <f>+INPUT!Q183</f>
        <v>1</v>
      </c>
      <c r="Q239" s="424" t="str">
        <f>+INPUT!R183</f>
        <v>NM</v>
      </c>
      <c r="R239" s="425">
        <f>+INPUT!S183</f>
        <v>1.1000000000000001</v>
      </c>
      <c r="S239" s="424" t="str">
        <f>+INPUT!T183</f>
        <v>NM</v>
      </c>
      <c r="T239" s="425">
        <f>+INPUT!U183</f>
        <v>1</v>
      </c>
      <c r="U239" s="424" t="str">
        <f>+INPUT!V183</f>
        <v>NM</v>
      </c>
      <c r="V239" s="425">
        <f>+INPUT!W183</f>
        <v>1.3</v>
      </c>
      <c r="W239" s="424" t="str">
        <f>+INPUT!X183</f>
        <v>NM</v>
      </c>
      <c r="X239" s="425">
        <f>+INPUT!Y183</f>
        <v>1</v>
      </c>
      <c r="Y239" s="424">
        <f>+INPUT!Z183</f>
        <v>0</v>
      </c>
      <c r="Z239" s="425">
        <f>+INPUT!AA183</f>
        <v>1.2</v>
      </c>
      <c r="AA239" s="424">
        <f>+INPUT!AB183</f>
        <v>9.0909090909090793</v>
      </c>
      <c r="AB239" s="425">
        <f>+INPUT!AC183</f>
        <v>1.3</v>
      </c>
      <c r="AC239" s="424">
        <f>+INPUT!AD183</f>
        <v>30</v>
      </c>
      <c r="AD239" s="425">
        <f>+INPUT!AE183</f>
        <v>1.6</v>
      </c>
      <c r="AE239" s="424">
        <f>+INPUT!AF183</f>
        <v>23.07692307692308</v>
      </c>
      <c r="AF239" s="425">
        <f>+INPUT!AG183</f>
        <v>1.8</v>
      </c>
      <c r="AG239" s="424">
        <f>+INPUT!AH183</f>
        <v>80</v>
      </c>
      <c r="AH239" s="425">
        <f>+INPUT!AI183</f>
        <v>1.5</v>
      </c>
      <c r="AI239" s="424">
        <f>+INPUT!AJ183</f>
        <v>25</v>
      </c>
      <c r="AJ239" s="425">
        <f>+INPUT!AK183</f>
        <v>1.6</v>
      </c>
      <c r="AK239" s="424">
        <f>+INPUT!AL183</f>
        <v>23.07692307692308</v>
      </c>
      <c r="AL239" s="425">
        <f>+INPUT!AM183</f>
        <v>1.6</v>
      </c>
      <c r="AM239" s="424">
        <f>+INPUT!AN183</f>
        <v>0</v>
      </c>
      <c r="AN239" s="425">
        <f>+INPUT!AO183</f>
        <v>1</v>
      </c>
      <c r="AO239" s="424">
        <f>+INPUT!AP183</f>
        <v>-44.444444444444443</v>
      </c>
      <c r="AP239" s="425">
        <f>+INPUT!AQ183</f>
        <v>1.0389659075739412</v>
      </c>
      <c r="AQ239" s="424">
        <f>+INPUT!AR183</f>
        <v>-30.735606161737252</v>
      </c>
      <c r="AR239" s="425">
        <f>+INPUT!AS183</f>
        <v>1.0441110216998701</v>
      </c>
      <c r="AS239" s="424">
        <f>+INPUT!AT183</f>
        <v>-34.743061143758126</v>
      </c>
      <c r="AT239" s="425">
        <f>+INPUT!AU183</f>
        <v>1.0605261170760012</v>
      </c>
      <c r="AU239" s="424">
        <f>+INPUT!AV183</f>
        <v>-33.717117682749929</v>
      </c>
      <c r="AV239" s="425">
        <f>+INPUT!AW183</f>
        <v>1.0851925247479632</v>
      </c>
      <c r="AW239" s="424">
        <f>+INPUT!AX183</f>
        <v>8.5192524747963176</v>
      </c>
      <c r="AX239" s="425"/>
      <c r="AY239" s="425"/>
      <c r="AZ239" s="424"/>
      <c r="BA239" s="425"/>
      <c r="BB239" s="424"/>
      <c r="BC239" s="425"/>
      <c r="BD239" s="424"/>
      <c r="BE239" s="425"/>
      <c r="BF239" s="424"/>
      <c r="BG239" s="425"/>
      <c r="BH239" s="424"/>
      <c r="BI239" s="425"/>
      <c r="BJ239" s="424"/>
      <c r="BK239" s="425"/>
      <c r="BL239" s="424"/>
      <c r="BM239" s="425"/>
      <c r="BN239" s="424"/>
      <c r="BO239" s="425"/>
      <c r="BP239" s="424"/>
      <c r="BQ239" s="425"/>
      <c r="BR239" s="424"/>
      <c r="BS239" s="425">
        <f>+INPUT!BB183</f>
        <v>16.600000000000001</v>
      </c>
      <c r="BT239" s="424" t="str">
        <f>+INPUT!BC183</f>
        <v>NA</v>
      </c>
      <c r="BU239" s="425">
        <f>+INPUT!BD183</f>
        <v>12.4</v>
      </c>
      <c r="BV239" s="424">
        <f>+INPUT!BE183</f>
        <v>-25.301204819277118</v>
      </c>
      <c r="BW239" s="425">
        <f>+INPUT!BF183</f>
        <v>4.4000000000000004</v>
      </c>
      <c r="BX239" s="424" t="str">
        <f>+INPUT!BG183</f>
        <v>NM</v>
      </c>
      <c r="BY239" s="425">
        <f>+INPUT!BH183</f>
        <v>5.8999999999999995</v>
      </c>
      <c r="BZ239" s="424">
        <f>+INPUT!BI183</f>
        <v>34.090909090909065</v>
      </c>
      <c r="CA239" s="425">
        <f>+INPUT!BJ183</f>
        <v>5.7</v>
      </c>
      <c r="CB239" s="424">
        <f>+INPUT!BK183</f>
        <v>-3.3898305084745743</v>
      </c>
      <c r="CC239" s="425">
        <f>+INPUT!BL183</f>
        <v>4.228795571097776</v>
      </c>
      <c r="CD239" s="424">
        <f>+INPUT!BM183</f>
        <v>-25.810604015828503</v>
      </c>
      <c r="CE239" s="425">
        <f>+INPUT!BN183</f>
        <v>4.4359400002132032</v>
      </c>
      <c r="CF239" s="424">
        <f>+INPUT!BO183</f>
        <v>4.8984261743741229</v>
      </c>
      <c r="CG239" s="425">
        <f>+INPUT!BP183</f>
        <v>4.5435470625037642</v>
      </c>
      <c r="CH239" s="424">
        <f>+INPUT!BQ183</f>
        <v>2.42580067100522</v>
      </c>
      <c r="CI239" s="425">
        <f>+INPUT!BR183</f>
        <v>4.82044941591281</v>
      </c>
      <c r="CJ239" s="424">
        <f>+INPUT!BS183</f>
        <v>6.0944092709904965</v>
      </c>
      <c r="CK239" s="425">
        <f>+INPUT!BT183</f>
        <v>4.9879128745678312</v>
      </c>
      <c r="CL239" s="424">
        <f>+INPUT!BU183</f>
        <v>3.4740216981057159</v>
      </c>
      <c r="CM239" s="424">
        <f>+INPUT!BV183</f>
        <v>-2.6336699852062107</v>
      </c>
    </row>
    <row r="240" spans="1:91" ht="12" hidden="1" customHeight="1" outlineLevel="1" x14ac:dyDescent="0.2">
      <c r="A240" s="400" t="s">
        <v>59</v>
      </c>
      <c r="B240" s="425">
        <f>+INPUT!C186</f>
        <v>4.615384615384615</v>
      </c>
      <c r="C240" s="424" t="str">
        <f>+INPUT!D186</f>
        <v>NA</v>
      </c>
      <c r="D240" s="425">
        <f>+INPUT!E186</f>
        <v>6.1538461538461533</v>
      </c>
      <c r="E240" s="424" t="str">
        <f>+INPUT!F186</f>
        <v>NA</v>
      </c>
      <c r="F240" s="425">
        <f>+INPUT!G186</f>
        <v>0</v>
      </c>
      <c r="G240" s="424" t="str">
        <f>+INPUT!H186</f>
        <v>NA</v>
      </c>
      <c r="H240" s="425">
        <f>+INPUT!I186</f>
        <v>0</v>
      </c>
      <c r="I240" s="424" t="str">
        <f>+INPUT!J186</f>
        <v>NA</v>
      </c>
      <c r="J240" s="425">
        <f>+INPUT!K186</f>
        <v>0</v>
      </c>
      <c r="K240" s="424" t="str">
        <f>+INPUT!L186</f>
        <v>NM</v>
      </c>
      <c r="L240" s="425">
        <f>+INPUT!M186</f>
        <v>0</v>
      </c>
      <c r="M240" s="424" t="str">
        <f>+INPUT!N186</f>
        <v>NM</v>
      </c>
      <c r="N240" s="425">
        <f>+INPUT!O186</f>
        <v>0</v>
      </c>
      <c r="O240" s="424" t="str">
        <f>+INPUT!P186</f>
        <v>NA</v>
      </c>
      <c r="P240" s="425">
        <f>+INPUT!Q186</f>
        <v>0</v>
      </c>
      <c r="Q240" s="424" t="str">
        <f>+INPUT!R186</f>
        <v>NA</v>
      </c>
      <c r="R240" s="425">
        <f>+INPUT!S186</f>
        <v>0</v>
      </c>
      <c r="S240" s="424" t="str">
        <f>+INPUT!T186</f>
        <v>NA</v>
      </c>
      <c r="T240" s="425">
        <f>+INPUT!U186</f>
        <v>0</v>
      </c>
      <c r="U240" s="424" t="str">
        <f>+INPUT!V186</f>
        <v>NA</v>
      </c>
      <c r="V240" s="425">
        <f>+INPUT!W186</f>
        <v>0</v>
      </c>
      <c r="W240" s="424" t="str">
        <f>+INPUT!X186</f>
        <v>NA</v>
      </c>
      <c r="X240" s="425">
        <f>+INPUT!Y186</f>
        <v>0</v>
      </c>
      <c r="Y240" s="424" t="str">
        <f>+INPUT!Z186</f>
        <v>NA</v>
      </c>
      <c r="Z240" s="425">
        <f>+INPUT!AA186</f>
        <v>0</v>
      </c>
      <c r="AA240" s="424" t="str">
        <f>+INPUT!AB186</f>
        <v>NA</v>
      </c>
      <c r="AB240" s="425">
        <f>+INPUT!AC186</f>
        <v>0</v>
      </c>
      <c r="AC240" s="424" t="str">
        <f>+INPUT!AD186</f>
        <v>NA</v>
      </c>
      <c r="AD240" s="425">
        <f>+INPUT!AE186</f>
        <v>0</v>
      </c>
      <c r="AE240" s="424" t="str">
        <f>+INPUT!AF186</f>
        <v>NA</v>
      </c>
      <c r="AF240" s="425">
        <f>+INPUT!AG186</f>
        <v>0</v>
      </c>
      <c r="AG240" s="424" t="str">
        <f>+INPUT!AH186</f>
        <v>NA</v>
      </c>
      <c r="AH240" s="425">
        <f>+INPUT!AI186</f>
        <v>0</v>
      </c>
      <c r="AI240" s="424" t="str">
        <f>+INPUT!AJ186</f>
        <v>NA</v>
      </c>
      <c r="AJ240" s="425">
        <f>+INPUT!AK186</f>
        <v>0</v>
      </c>
      <c r="AK240" s="424" t="str">
        <f>+INPUT!AL186</f>
        <v>NA</v>
      </c>
      <c r="AL240" s="425">
        <f>+INPUT!AM186</f>
        <v>0</v>
      </c>
      <c r="AM240" s="424" t="str">
        <f>+INPUT!AN186</f>
        <v>NA</v>
      </c>
      <c r="AN240" s="425">
        <f>+INPUT!AO186</f>
        <v>0</v>
      </c>
      <c r="AO240" s="424" t="str">
        <f>+INPUT!AP186</f>
        <v>NA</v>
      </c>
      <c r="AP240" s="425">
        <f>+INPUT!AQ186</f>
        <v>0</v>
      </c>
      <c r="AQ240" s="424" t="str">
        <f>+INPUT!AR186</f>
        <v>NA</v>
      </c>
      <c r="AR240" s="425">
        <f>+INPUT!AS186</f>
        <v>0</v>
      </c>
      <c r="AS240" s="424" t="str">
        <f>+INPUT!AT186</f>
        <v>NA</v>
      </c>
      <c r="AT240" s="425">
        <f>+INPUT!AU186</f>
        <v>0</v>
      </c>
      <c r="AU240" s="424" t="str">
        <f>+INPUT!AV186</f>
        <v>NA</v>
      </c>
      <c r="AV240" s="425">
        <f>+INPUT!AW186</f>
        <v>0</v>
      </c>
      <c r="AW240" s="424" t="str">
        <f>+INPUT!AX186</f>
        <v>NA</v>
      </c>
      <c r="AX240" s="425"/>
      <c r="AY240" s="425"/>
      <c r="AZ240" s="424"/>
      <c r="BA240" s="425"/>
      <c r="BB240" s="424"/>
      <c r="BC240" s="425"/>
      <c r="BD240" s="424"/>
      <c r="BE240" s="425"/>
      <c r="BF240" s="424"/>
      <c r="BG240" s="425"/>
      <c r="BH240" s="424"/>
      <c r="BI240" s="425"/>
      <c r="BJ240" s="424"/>
      <c r="BK240" s="425"/>
      <c r="BL240" s="424"/>
      <c r="BM240" s="425"/>
      <c r="BN240" s="424"/>
      <c r="BO240" s="425"/>
      <c r="BP240" s="424"/>
      <c r="BQ240" s="425"/>
      <c r="BR240" s="424"/>
      <c r="BS240" s="425">
        <f>+INPUT!BB186</f>
        <v>10.769230769230768</v>
      </c>
      <c r="BT240" s="424" t="str">
        <f>+INPUT!BC186</f>
        <v>NA</v>
      </c>
      <c r="BU240" s="425">
        <f>+INPUT!BD186</f>
        <v>0</v>
      </c>
      <c r="BV240" s="424" t="str">
        <f>+INPUT!BE186</f>
        <v>NM</v>
      </c>
      <c r="BW240" s="425">
        <f>+INPUT!BF186</f>
        <v>0</v>
      </c>
      <c r="BX240" s="424" t="str">
        <f>+INPUT!BG186</f>
        <v>NA</v>
      </c>
      <c r="BY240" s="425">
        <f>+INPUT!BH186</f>
        <v>0</v>
      </c>
      <c r="BZ240" s="424" t="str">
        <f>+INPUT!BI186</f>
        <v>NA</v>
      </c>
      <c r="CA240" s="425">
        <f>+INPUT!BJ186</f>
        <v>0</v>
      </c>
      <c r="CB240" s="424" t="str">
        <f>+INPUT!BK186</f>
        <v>NA</v>
      </c>
      <c r="CC240" s="425">
        <f>+INPUT!BL186</f>
        <v>0</v>
      </c>
      <c r="CD240" s="424" t="str">
        <f>+INPUT!BM186</f>
        <v>NA</v>
      </c>
      <c r="CE240" s="425">
        <f>+INPUT!BN186</f>
        <v>0</v>
      </c>
      <c r="CF240" s="424" t="str">
        <f>+INPUT!BO186</f>
        <v>NA</v>
      </c>
      <c r="CG240" s="425">
        <f>+INPUT!BP186</f>
        <v>0</v>
      </c>
      <c r="CH240" s="424" t="str">
        <f>+INPUT!BQ186</f>
        <v>NA</v>
      </c>
      <c r="CI240" s="425">
        <f>+INPUT!BR186</f>
        <v>0</v>
      </c>
      <c r="CJ240" s="424" t="str">
        <f>+INPUT!BS186</f>
        <v>NA</v>
      </c>
      <c r="CK240" s="425">
        <f>+INPUT!BT186</f>
        <v>0</v>
      </c>
      <c r="CL240" s="424" t="str">
        <f>+INPUT!BU186</f>
        <v>NA</v>
      </c>
      <c r="CM240" s="424" t="str">
        <f>+INPUT!BV186</f>
        <v>NA</v>
      </c>
    </row>
    <row r="241" spans="1:91" ht="12" hidden="1" customHeight="1" outlineLevel="1" x14ac:dyDescent="0.2">
      <c r="A241" s="437" t="s">
        <v>466</v>
      </c>
      <c r="B241" s="438">
        <f>+INPUT!C187</f>
        <v>56.984615384615402</v>
      </c>
      <c r="C241" s="439" t="str">
        <f>+INPUT!D187</f>
        <v>NA</v>
      </c>
      <c r="D241" s="438">
        <f>+INPUT!E187</f>
        <v>67.246153846153845</v>
      </c>
      <c r="E241" s="439" t="str">
        <f>+INPUT!F187</f>
        <v>NA</v>
      </c>
      <c r="F241" s="438">
        <f>+INPUT!G187</f>
        <v>72.199999999999989</v>
      </c>
      <c r="G241" s="439" t="str">
        <f>+INPUT!H187</f>
        <v>NA</v>
      </c>
      <c r="H241" s="438">
        <f>+INPUT!I187</f>
        <v>82.400000000000034</v>
      </c>
      <c r="I241" s="439" t="str">
        <f>+INPUT!J187</f>
        <v>NA</v>
      </c>
      <c r="J241" s="438">
        <f>+INPUT!K187</f>
        <v>80.599999999999994</v>
      </c>
      <c r="K241" s="439">
        <f>+INPUT!L187</f>
        <v>41.441684665226717</v>
      </c>
      <c r="L241" s="438">
        <f>+INPUT!M187</f>
        <v>83.699999999999974</v>
      </c>
      <c r="M241" s="439">
        <f>+INPUT!N187</f>
        <v>24.468085106382944</v>
      </c>
      <c r="N241" s="438">
        <f>+INPUT!O187</f>
        <v>85.7</v>
      </c>
      <c r="O241" s="439">
        <f>+INPUT!P187</f>
        <v>18.698060941828288</v>
      </c>
      <c r="P241" s="438">
        <f>+INPUT!Q187</f>
        <v>100.10000000000001</v>
      </c>
      <c r="Q241" s="439">
        <f>+INPUT!R187</f>
        <v>21.48058252427181</v>
      </c>
      <c r="R241" s="438">
        <f>+INPUT!S187</f>
        <v>92.59999999999998</v>
      </c>
      <c r="S241" s="439">
        <f>+INPUT!T187</f>
        <v>14.888337468982613</v>
      </c>
      <c r="T241" s="438">
        <f>+INPUT!U187</f>
        <v>98.500000000000028</v>
      </c>
      <c r="U241" s="439">
        <f>+INPUT!V187</f>
        <v>17.682198327359686</v>
      </c>
      <c r="V241" s="438">
        <f>+INPUT!W187</f>
        <v>95.4</v>
      </c>
      <c r="W241" s="439">
        <f>+INPUT!X187</f>
        <v>11.318553092182043</v>
      </c>
      <c r="X241" s="438">
        <f>+INPUT!Y187</f>
        <v>102.00000000000003</v>
      </c>
      <c r="Y241" s="439">
        <f>+INPUT!Z187</f>
        <v>1.8981018981019133</v>
      </c>
      <c r="Z241" s="438">
        <f>+INPUT!AA187</f>
        <v>79.700000000000017</v>
      </c>
      <c r="AA241" s="439">
        <f>+INPUT!AB187</f>
        <v>-13.930885529157635</v>
      </c>
      <c r="AB241" s="438">
        <f>+INPUT!AC187</f>
        <v>117.49999999999996</v>
      </c>
      <c r="AC241" s="439">
        <f>+INPUT!AD187</f>
        <v>19.289340101522768</v>
      </c>
      <c r="AD241" s="438">
        <f>+INPUT!AE187</f>
        <v>112.9</v>
      </c>
      <c r="AE241" s="439">
        <f>+INPUT!AF187</f>
        <v>18.343815513626822</v>
      </c>
      <c r="AF241" s="438">
        <f>+INPUT!AG187</f>
        <v>133.70000000000002</v>
      </c>
      <c r="AG241" s="439">
        <f>+INPUT!AH187</f>
        <v>31.078431372549005</v>
      </c>
      <c r="AH241" s="438">
        <f>+INPUT!AI187</f>
        <v>100</v>
      </c>
      <c r="AI241" s="439">
        <f>+INPUT!AJ187</f>
        <v>25.47051442910913</v>
      </c>
      <c r="AJ241" s="438">
        <f>+INPUT!AK187</f>
        <v>115.40000000000002</v>
      </c>
      <c r="AK241" s="439">
        <f>+INPUT!AL187</f>
        <v>-1.7872340425531377</v>
      </c>
      <c r="AL241" s="438">
        <f>+INPUT!AM187</f>
        <v>130.20000000000002</v>
      </c>
      <c r="AM241" s="439">
        <f>+INPUT!AN187</f>
        <v>15.323294951284325</v>
      </c>
      <c r="AN241" s="438">
        <f>+INPUT!AO187</f>
        <v>124.10000000000001</v>
      </c>
      <c r="AO241" s="439">
        <f>+INPUT!AP187</f>
        <v>-7.1802543006731554</v>
      </c>
      <c r="AP241" s="438">
        <f>+INPUT!AQ187</f>
        <v>128.93566912992608</v>
      </c>
      <c r="AQ241" s="439">
        <f>+INPUT!AR187</f>
        <v>28.935669129926083</v>
      </c>
      <c r="AR241" s="438">
        <f>+INPUT!AS187</f>
        <v>129.57417779295389</v>
      </c>
      <c r="AS241" s="439">
        <f>+INPUT!AT187</f>
        <v>12.282649733928835</v>
      </c>
      <c r="AT241" s="438">
        <f>+INPUT!AU187</f>
        <v>131.61129112913176</v>
      </c>
      <c r="AU241" s="439">
        <f>+INPUT!AV187</f>
        <v>1.0839409593945675</v>
      </c>
      <c r="AV241" s="438">
        <f>+INPUT!AW187</f>
        <v>134.67239232122225</v>
      </c>
      <c r="AW241" s="439">
        <f>+INPUT!AX187</f>
        <v>8.5192524747963176</v>
      </c>
      <c r="AX241" s="438"/>
      <c r="AY241" s="438"/>
      <c r="AZ241" s="439"/>
      <c r="BA241" s="438"/>
      <c r="BB241" s="439"/>
      <c r="BC241" s="438"/>
      <c r="BD241" s="439"/>
      <c r="BE241" s="438"/>
      <c r="BF241" s="439"/>
      <c r="BG241" s="438"/>
      <c r="BH241" s="439"/>
      <c r="BI241" s="438"/>
      <c r="BJ241" s="439"/>
      <c r="BK241" s="438"/>
      <c r="BL241" s="439"/>
      <c r="BM241" s="438"/>
      <c r="BN241" s="439"/>
      <c r="BO241" s="438"/>
      <c r="BP241" s="439"/>
      <c r="BQ241" s="438"/>
      <c r="BR241" s="439"/>
      <c r="BS241" s="438">
        <f>+INPUT!BB187</f>
        <v>278.83076923076925</v>
      </c>
      <c r="BT241" s="439">
        <f>+INPUT!BC187</f>
        <v>0</v>
      </c>
      <c r="BU241" s="438">
        <f>+INPUT!BD187</f>
        <v>350.1</v>
      </c>
      <c r="BV241" s="439">
        <f>+INPUT!BE187</f>
        <v>0</v>
      </c>
      <c r="BW241" s="438">
        <f>+INPUT!BF187</f>
        <v>388.5</v>
      </c>
      <c r="BX241" s="439">
        <f>+INPUT!BG187</f>
        <v>10.968294772922007</v>
      </c>
      <c r="BY241" s="438">
        <f>+INPUT!BH187</f>
        <v>443.80000000000007</v>
      </c>
      <c r="BZ241" s="439">
        <f>+INPUT!BI187</f>
        <v>14.23423423423425</v>
      </c>
      <c r="CA241" s="438">
        <f>+INPUT!BJ187</f>
        <v>469.70000000000005</v>
      </c>
      <c r="CB241" s="439">
        <f>+INPUT!BK187</f>
        <v>5.8359621451104005</v>
      </c>
      <c r="CC241" s="438">
        <f>+INPUT!BL187</f>
        <v>524.79353037323403</v>
      </c>
      <c r="CD241" s="439">
        <f>+INPUT!BM187</f>
        <v>11.729514663239087</v>
      </c>
      <c r="CE241" s="438">
        <f>+INPUT!BN187</f>
        <v>550.50015402645852</v>
      </c>
      <c r="CF241" s="439">
        <f>+INPUT!BO187</f>
        <v>4.8984261743741229</v>
      </c>
      <c r="CG241" s="438">
        <f>+INPUT!BP187</f>
        <v>563.85419045671711</v>
      </c>
      <c r="CH241" s="439">
        <f>+INPUT!BQ187</f>
        <v>2.42580067100522</v>
      </c>
      <c r="CI241" s="438">
        <f>+INPUT!BR187</f>
        <v>598.21777251477977</v>
      </c>
      <c r="CJ241" s="439">
        <f>+INPUT!BS187</f>
        <v>6.0944092709905249</v>
      </c>
      <c r="CK241" s="438">
        <f>+INPUT!BT187</f>
        <v>618.99998773386778</v>
      </c>
      <c r="CL241" s="439">
        <f>+INPUT!BU187</f>
        <v>3.4740216981056875</v>
      </c>
      <c r="CM241" s="439">
        <f>+INPUT!BV187</f>
        <v>5.6754281433789799</v>
      </c>
    </row>
    <row r="242" spans="1:91" ht="12" hidden="1" customHeight="1" outlineLevel="2" x14ac:dyDescent="0.2">
      <c r="A242" s="405" t="s">
        <v>167</v>
      </c>
      <c r="B242" s="441">
        <f>(B230+B231-B235-B239-B240)-B241</f>
        <v>38.1</v>
      </c>
      <c r="C242" s="442"/>
      <c r="D242" s="441">
        <f t="shared" ref="D242" si="142">(D230+D231-D235-D239-D240)-D241</f>
        <v>40.300000000000011</v>
      </c>
      <c r="E242" s="442"/>
      <c r="F242" s="441">
        <f t="shared" ref="F242" si="143">(F230+F231-F235-F239-F240)-F241</f>
        <v>41.400000000000006</v>
      </c>
      <c r="G242" s="442"/>
      <c r="H242" s="441">
        <f t="shared" ref="H242" si="144">(H230+H231-H235-H239-H240)-H241</f>
        <v>41.900000000000006</v>
      </c>
      <c r="I242" s="442"/>
      <c r="J242" s="441">
        <f t="shared" ref="J242" si="145">(J230+J231-J235-J239-J240)-J241</f>
        <v>42</v>
      </c>
      <c r="K242" s="442"/>
      <c r="L242" s="441">
        <f t="shared" ref="L242" si="146">(L230+L231-L235-L239-L240)-L241</f>
        <v>43.5</v>
      </c>
      <c r="M242" s="442"/>
      <c r="N242" s="441">
        <f t="shared" ref="N242" si="147">(N230+N231-N235-N239-N240)-N241</f>
        <v>43.8</v>
      </c>
      <c r="O242" s="442"/>
      <c r="P242" s="441">
        <f t="shared" ref="P242" si="148">(P230+P231-P235-P239-P240)-P241</f>
        <v>43.7</v>
      </c>
      <c r="Q242" s="442"/>
      <c r="R242" s="441">
        <f t="shared" ref="R242" si="149">(R230+R231-R235-R239-R240)-R241</f>
        <v>45.3</v>
      </c>
      <c r="S242" s="442"/>
      <c r="T242" s="441">
        <f t="shared" ref="T242" si="150">(T230+T231-T235-T239-T240)-T241</f>
        <v>46.599999999999994</v>
      </c>
      <c r="U242" s="442"/>
      <c r="V242" s="441">
        <f t="shared" ref="V242" si="151">(V230+V231-V235-V239-V240)-V241</f>
        <v>45.299999999999983</v>
      </c>
      <c r="W242" s="442"/>
      <c r="X242" s="441">
        <f t="shared" ref="X242" si="152">(X230+X231-X235-X239-X240)-X241</f>
        <v>45.099999999999994</v>
      </c>
      <c r="Y242" s="442"/>
      <c r="Z242" s="441">
        <f t="shared" ref="Z242" si="153">(Z230+Z231-Z235-Z239-Z240)-Z241</f>
        <v>39.799999999999997</v>
      </c>
      <c r="AA242" s="442"/>
      <c r="AB242" s="441">
        <f t="shared" ref="AB242" si="154">(AB230+AB231-AB235-AB239-AB240)-AB241</f>
        <v>40.59999999999998</v>
      </c>
      <c r="AC242" s="442"/>
      <c r="AD242" s="441">
        <f t="shared" ref="AD242" si="155">(AD230+AD231-AD235-AD239-AD240)-AD241</f>
        <v>41.599999999999994</v>
      </c>
      <c r="AE242" s="442"/>
      <c r="AF242" s="441">
        <f t="shared" ref="AF242:AN242" si="156">(AF230+AF231-AF235-AF239-AF240)-AF241</f>
        <v>41</v>
      </c>
      <c r="AG242" s="442"/>
      <c r="AH242" s="441">
        <f t="shared" si="156"/>
        <v>39.599999999999994</v>
      </c>
      <c r="AI242" s="442"/>
      <c r="AJ242" s="441">
        <f t="shared" si="156"/>
        <v>39.799999999999997</v>
      </c>
      <c r="AK242" s="442"/>
      <c r="AL242" s="441">
        <f t="shared" si="156"/>
        <v>40</v>
      </c>
      <c r="AM242" s="442"/>
      <c r="AN242" s="441">
        <f t="shared" si="156"/>
        <v>40.200000000000003</v>
      </c>
      <c r="AO242" s="442"/>
      <c r="AP242" s="441">
        <f t="shared" ref="AP242" si="157">(AP230+AP231-AP235-AP239-AP240)-AP241</f>
        <v>40.441728501521879</v>
      </c>
      <c r="AQ242" s="442"/>
      <c r="AR242" s="441">
        <f t="shared" ref="AR242" si="158">(AR230+AR231-AR235-AR239-AR240)-AR241</f>
        <v>40.642001972550446</v>
      </c>
      <c r="AS242" s="442"/>
      <c r="AT242" s="441">
        <f t="shared" ref="AT242" si="159">(AT230+AT231-AT235-AT239-AT240)-AT241</f>
        <v>41.2809592527544</v>
      </c>
      <c r="AU242" s="442"/>
      <c r="AV242" s="441">
        <f t="shared" ref="AV242" si="160">(AV230+AV231-AV235-AV239-AV240)-AV241</f>
        <v>41.89486019558521</v>
      </c>
      <c r="AW242" s="442"/>
      <c r="AX242" s="409"/>
      <c r="AY242" s="441"/>
      <c r="AZ242" s="442"/>
      <c r="BA242" s="441"/>
      <c r="BB242" s="442"/>
      <c r="BC242" s="441"/>
      <c r="BD242" s="442"/>
      <c r="BE242" s="441"/>
      <c r="BF242" s="442"/>
      <c r="BG242" s="441"/>
      <c r="BH242" s="442"/>
      <c r="BI242" s="441"/>
      <c r="BJ242" s="442"/>
      <c r="BK242" s="441"/>
      <c r="BL242" s="442"/>
      <c r="BM242" s="441"/>
      <c r="BN242" s="442"/>
      <c r="BO242" s="441"/>
      <c r="BP242" s="442"/>
      <c r="BQ242" s="441"/>
      <c r="BR242" s="442"/>
      <c r="BS242" s="441">
        <f t="shared" ref="BS242" si="161">(BS230+BS231-BS235-BS239-BS240)-BS241</f>
        <v>161.70000000000005</v>
      </c>
      <c r="BT242" s="442"/>
      <c r="BU242" s="441">
        <f t="shared" ref="BU242" si="162">(BU230+BU231-BU235-BU239-BU240)-BU241</f>
        <v>173</v>
      </c>
      <c r="BV242" s="442"/>
      <c r="BW242" s="441">
        <f t="shared" ref="BW242" si="163">(BW230+BW231-BW235-BW239-BW240)-BW241</f>
        <v>182.30000000000007</v>
      </c>
      <c r="BX242" s="442"/>
      <c r="BY242" s="441">
        <f t="shared" ref="BY242:CA242" si="164">(BY230+BY231-BY235-BY239-BY240)-BY241</f>
        <v>162.99999999999989</v>
      </c>
      <c r="BZ242" s="442"/>
      <c r="CA242" s="441">
        <f t="shared" si="164"/>
        <v>159.59999999999968</v>
      </c>
      <c r="CB242" s="442"/>
      <c r="CC242" s="441">
        <f t="shared" ref="CC242" si="165">(CC230+CC231-CC235-CC239-CC240)-CC241</f>
        <v>164.25954992241202</v>
      </c>
      <c r="CD242" s="442"/>
      <c r="CE242" s="441">
        <f t="shared" ref="CE242" si="166">(CE230+CE231-CE235-CE239-CE240)-CE241</f>
        <v>173.69412495556833</v>
      </c>
      <c r="CF242" s="442"/>
      <c r="CG242" s="441">
        <f t="shared" ref="CG242:CI242" si="167">(CG230+CG231-CG235-CG239-CG240)-CG241</f>
        <v>184.02726601805728</v>
      </c>
      <c r="CH242" s="442"/>
      <c r="CI242" s="441">
        <f t="shared" si="167"/>
        <v>195.242640779412</v>
      </c>
      <c r="CJ242" s="442"/>
      <c r="CK242" s="441">
        <f t="shared" ref="CK242" si="168">(CK230+CK231-CK235-CK239-CK240)-CK241</f>
        <v>207.3753884096302</v>
      </c>
      <c r="CL242" s="442"/>
      <c r="CM242" s="442"/>
    </row>
    <row r="243" spans="1:91" ht="12" hidden="1" customHeight="1" outlineLevel="1" x14ac:dyDescent="0.2">
      <c r="A243" s="420"/>
      <c r="B243" s="425"/>
      <c r="C243" s="424"/>
      <c r="D243" s="425"/>
      <c r="E243" s="424"/>
      <c r="F243" s="425"/>
      <c r="G243" s="424"/>
      <c r="H243" s="425"/>
      <c r="I243" s="424"/>
      <c r="J243" s="425"/>
      <c r="K243" s="424"/>
      <c r="L243" s="425"/>
      <c r="M243" s="424"/>
      <c r="N243" s="425"/>
      <c r="O243" s="424"/>
      <c r="P243" s="425"/>
      <c r="Q243" s="424"/>
      <c r="R243" s="425"/>
      <c r="S243" s="424"/>
      <c r="T243" s="425"/>
      <c r="U243" s="424"/>
      <c r="V243" s="425"/>
      <c r="W243" s="424"/>
      <c r="X243" s="425"/>
      <c r="Y243" s="424"/>
      <c r="Z243" s="425"/>
      <c r="AA243" s="424"/>
      <c r="AB243" s="425"/>
      <c r="AC243" s="424"/>
      <c r="AD243" s="425"/>
      <c r="AE243" s="424"/>
      <c r="AF243" s="425"/>
      <c r="AG243" s="424"/>
      <c r="AH243" s="425"/>
      <c r="AI243" s="424"/>
      <c r="AJ243" s="425"/>
      <c r="AK243" s="424"/>
      <c r="AL243" s="425"/>
      <c r="AM243" s="424"/>
      <c r="AN243" s="425"/>
      <c r="AO243" s="424"/>
      <c r="AP243" s="425"/>
      <c r="AQ243" s="424"/>
      <c r="AR243" s="425"/>
      <c r="AS243" s="424"/>
      <c r="AT243" s="425"/>
      <c r="AU243" s="424"/>
      <c r="AV243" s="425"/>
      <c r="AW243" s="424"/>
      <c r="AX243" s="425"/>
      <c r="AY243" s="425"/>
      <c r="AZ243" s="424"/>
      <c r="BA243" s="425"/>
      <c r="BB243" s="424"/>
      <c r="BC243" s="425"/>
      <c r="BD243" s="424"/>
      <c r="BE243" s="425"/>
      <c r="BF243" s="382"/>
      <c r="BG243" s="425"/>
      <c r="BH243" s="382"/>
      <c r="BI243" s="425"/>
      <c r="BJ243" s="382"/>
      <c r="BK243" s="425"/>
      <c r="BL243" s="382"/>
      <c r="BM243" s="425"/>
      <c r="BN243" s="382"/>
      <c r="BO243" s="425"/>
      <c r="BP243" s="382"/>
      <c r="BQ243" s="425"/>
      <c r="BR243" s="382"/>
      <c r="BS243" s="425"/>
      <c r="BT243" s="382"/>
      <c r="BU243" s="425"/>
      <c r="BV243" s="382"/>
      <c r="BW243" s="425"/>
      <c r="BX243" s="382"/>
      <c r="BY243" s="425"/>
      <c r="BZ243" s="382"/>
      <c r="CA243" s="425"/>
      <c r="CB243" s="382"/>
      <c r="CC243" s="425"/>
      <c r="CD243" s="382"/>
      <c r="CE243" s="425"/>
      <c r="CF243" s="382"/>
      <c r="CG243" s="425"/>
      <c r="CH243" s="382"/>
      <c r="CI243" s="425"/>
      <c r="CJ243" s="382"/>
      <c r="CK243" s="425"/>
      <c r="CL243" s="382"/>
      <c r="CM243" s="424"/>
    </row>
    <row r="244" spans="1:91" ht="12" hidden="1" customHeight="1" outlineLevel="1" x14ac:dyDescent="0.2">
      <c r="A244" s="394" t="s">
        <v>606</v>
      </c>
      <c r="B244" s="398"/>
      <c r="C244" s="399"/>
      <c r="D244" s="398"/>
      <c r="E244" s="399"/>
      <c r="F244" s="398"/>
      <c r="G244" s="399"/>
      <c r="H244" s="398"/>
      <c r="I244" s="399"/>
      <c r="J244" s="398"/>
      <c r="K244" s="399"/>
      <c r="L244" s="398"/>
      <c r="M244" s="399"/>
      <c r="N244" s="398"/>
      <c r="O244" s="399"/>
      <c r="P244" s="398"/>
      <c r="Q244" s="399"/>
      <c r="R244" s="398"/>
      <c r="S244" s="399"/>
      <c r="T244" s="398"/>
      <c r="U244" s="399"/>
      <c r="V244" s="398"/>
      <c r="W244" s="399"/>
      <c r="X244" s="398"/>
      <c r="Y244" s="399"/>
      <c r="Z244" s="398"/>
      <c r="AA244" s="399"/>
      <c r="AB244" s="398"/>
      <c r="AC244" s="399"/>
      <c r="AD244" s="398"/>
      <c r="AE244" s="399"/>
      <c r="AF244" s="398"/>
      <c r="AG244" s="399"/>
      <c r="AH244" s="398"/>
      <c r="AI244" s="399"/>
      <c r="AJ244" s="398"/>
      <c r="AK244" s="399"/>
      <c r="AL244" s="398"/>
      <c r="AM244" s="399"/>
      <c r="AN244" s="398"/>
      <c r="AO244" s="399"/>
      <c r="AP244" s="398"/>
      <c r="AQ244" s="399"/>
      <c r="AR244" s="398"/>
      <c r="AS244" s="399"/>
      <c r="AT244" s="398"/>
      <c r="AU244" s="399"/>
      <c r="AV244" s="398"/>
      <c r="AW244" s="399"/>
      <c r="AX244" s="398"/>
      <c r="AY244" s="398"/>
      <c r="AZ244" s="399"/>
      <c r="BA244" s="398"/>
      <c r="BB244" s="399"/>
      <c r="BC244" s="398"/>
      <c r="BD244" s="399"/>
      <c r="BE244" s="398"/>
      <c r="BF244" s="396"/>
      <c r="BG244" s="398"/>
      <c r="BH244" s="396"/>
      <c r="BI244" s="398"/>
      <c r="BJ244" s="396"/>
      <c r="BK244" s="398"/>
      <c r="BL244" s="396"/>
      <c r="BM244" s="398"/>
      <c r="BN244" s="396"/>
      <c r="BO244" s="398"/>
      <c r="BP244" s="396"/>
      <c r="BQ244" s="398"/>
      <c r="BR244" s="396"/>
      <c r="BS244" s="398"/>
      <c r="BT244" s="396"/>
      <c r="BU244" s="398"/>
      <c r="BV244" s="396"/>
      <c r="BW244" s="398"/>
      <c r="BX244" s="396"/>
      <c r="BY244" s="398"/>
      <c r="BZ244" s="396"/>
      <c r="CA244" s="398"/>
      <c r="CB244" s="396"/>
      <c r="CC244" s="398"/>
      <c r="CD244" s="396"/>
      <c r="CE244" s="398"/>
      <c r="CF244" s="396"/>
      <c r="CG244" s="398"/>
      <c r="CH244" s="396"/>
      <c r="CI244" s="398"/>
      <c r="CJ244" s="396"/>
      <c r="CK244" s="398"/>
      <c r="CL244" s="396"/>
      <c r="CM244" s="399"/>
    </row>
    <row r="245" spans="1:91" ht="12" hidden="1" customHeight="1" outlineLevel="1" x14ac:dyDescent="0.2">
      <c r="A245" s="400" t="s">
        <v>250</v>
      </c>
      <c r="B245" s="404">
        <f>INPUT!C716</f>
        <v>18.902781321765755</v>
      </c>
      <c r="C245" s="399" t="str">
        <f>INPUT!D716</f>
        <v>NA</v>
      </c>
      <c r="D245" s="404">
        <f>INPUT!E716</f>
        <v>18.129782865675352</v>
      </c>
      <c r="E245" s="399" t="str">
        <f>INPUT!F716</f>
        <v>NA</v>
      </c>
      <c r="F245" s="404">
        <f>INPUT!G716</f>
        <v>19.228484215270512</v>
      </c>
      <c r="G245" s="399" t="str">
        <f>INPUT!H716</f>
        <v>NA</v>
      </c>
      <c r="H245" s="404">
        <f>INPUT!I716</f>
        <v>20.906358562004772</v>
      </c>
      <c r="I245" s="399" t="str">
        <f>INPUT!J716</f>
        <v>NA</v>
      </c>
      <c r="J245" s="404">
        <f>INPUT!K716</f>
        <v>22.109683273195323</v>
      </c>
      <c r="K245" s="399">
        <f>INPUT!L716</f>
        <v>16.965238590243644</v>
      </c>
      <c r="L245" s="404">
        <f>INPUT!M716</f>
        <v>20.281453867660762</v>
      </c>
      <c r="M245" s="399">
        <f>INPUT!N716</f>
        <v>11.868156491047174</v>
      </c>
      <c r="N245" s="404">
        <f>INPUT!O716</f>
        <v>21.504400864731309</v>
      </c>
      <c r="O245" s="399">
        <f>INPUT!P716</f>
        <v>11.836172960806522</v>
      </c>
      <c r="P245" s="404">
        <f>INPUT!Q716</f>
        <v>24.976967370441454</v>
      </c>
      <c r="Q245" s="399">
        <f>INPUT!R716</f>
        <v>19.47067346216194</v>
      </c>
      <c r="R245" s="404">
        <f>INPUT!S716</f>
        <v>23.009729151136341</v>
      </c>
      <c r="S245" s="399">
        <f>INPUT!T716</f>
        <v>4.0708221226858967</v>
      </c>
      <c r="T245" s="404">
        <f>INPUT!U716</f>
        <v>22.68982014707186</v>
      </c>
      <c r="U245" s="399">
        <f>INPUT!V716</f>
        <v>11.874722074295136</v>
      </c>
      <c r="V245" s="404">
        <f>INPUT!W716</f>
        <v>24.411463664278401</v>
      </c>
      <c r="W245" s="399">
        <f>INPUT!X716</f>
        <v>13.51845521218344</v>
      </c>
      <c r="X245" s="404">
        <f>INPUT!Y716</f>
        <v>26.295436968290804</v>
      </c>
      <c r="Y245" s="399">
        <f>INPUT!Z716</f>
        <v>5.278741723503515</v>
      </c>
      <c r="Z245" s="404">
        <f>INPUT!AA716</f>
        <v>22.368790345214716</v>
      </c>
      <c r="AA245" s="399">
        <f>INPUT!AB716</f>
        <v>-2.7855121705766379</v>
      </c>
      <c r="AB245" s="404">
        <f>INPUT!AC716</f>
        <v>27.249536178107604</v>
      </c>
      <c r="AC245" s="399">
        <f>INPUT!AD716</f>
        <v>20.095866787309816</v>
      </c>
      <c r="AD245" s="404">
        <f>INPUT!AE716</f>
        <v>25.234689316048271</v>
      </c>
      <c r="AE245" s="399">
        <f>INPUT!AF716</f>
        <v>3.3722912443570721</v>
      </c>
      <c r="AF245" s="404">
        <f>INPUT!AG716</f>
        <v>29.141238012205768</v>
      </c>
      <c r="AG245" s="399">
        <f>INPUT!AH716</f>
        <v>10.822413969947206</v>
      </c>
      <c r="AH245" s="404">
        <f>INPUT!AI716</f>
        <v>22.232103156958647</v>
      </c>
      <c r="AI245" s="399">
        <f>INPUT!AJ716</f>
        <v>-0.61106204737311032</v>
      </c>
      <c r="AJ245" s="404">
        <f>INPUT!AK716</f>
        <v>23.575076608784475</v>
      </c>
      <c r="AK245" s="399">
        <f>INPUT!AL716</f>
        <v>-13.484484819507529</v>
      </c>
      <c r="AL245" s="404">
        <f>INPUT!AM716</f>
        <v>25.043277553375649</v>
      </c>
      <c r="AM245" s="399">
        <f>INPUT!AN716</f>
        <v>-0.7585263296698912</v>
      </c>
      <c r="AN245" s="404">
        <f>INPUT!AO716</f>
        <v>27.364939360529235</v>
      </c>
      <c r="AO245" s="399">
        <f>INPUT!AP716</f>
        <v>-6.0954810874285243</v>
      </c>
      <c r="AP245" s="404">
        <f>INPUT!AQ716</f>
        <v>26.206690129242183</v>
      </c>
      <c r="AQ245" s="399">
        <f>INPUT!AR716</f>
        <v>17.877692201331357</v>
      </c>
      <c r="AR245" s="404">
        <f>INPUT!AS716</f>
        <v>25.859810796902334</v>
      </c>
      <c r="AS245" s="399">
        <f>INPUT!AT716</f>
        <v>9.6913118291481055</v>
      </c>
      <c r="AT245" s="404">
        <f>INPUT!AU716</f>
        <v>25.327688905822534</v>
      </c>
      <c r="AU245" s="399">
        <f>INPUT!AV716</f>
        <v>1.1356794326969037</v>
      </c>
      <c r="AV245" s="404">
        <f>INPUT!AW716</f>
        <v>25.057653909987732</v>
      </c>
      <c r="AW245" s="399">
        <f>INPUT!AX716</f>
        <v>-8.4315386931552894</v>
      </c>
      <c r="AX245" s="398"/>
      <c r="AY245" s="404"/>
      <c r="AZ245" s="399"/>
      <c r="BA245" s="404"/>
      <c r="BB245" s="399"/>
      <c r="BC245" s="404"/>
      <c r="BD245" s="399"/>
      <c r="BE245" s="404"/>
      <c r="BF245" s="396"/>
      <c r="BG245" s="404"/>
      <c r="BH245" s="396"/>
      <c r="BI245" s="404"/>
      <c r="BJ245" s="396"/>
      <c r="BK245" s="404"/>
      <c r="BL245" s="396"/>
      <c r="BM245" s="404"/>
      <c r="BN245" s="396"/>
      <c r="BO245" s="404"/>
      <c r="BP245" s="396"/>
      <c r="BQ245" s="404"/>
      <c r="BR245" s="396"/>
      <c r="BS245" s="404">
        <f>INPUT!BB716</f>
        <v>19.336391763576238</v>
      </c>
      <c r="BT245" s="396" t="str">
        <f>INPUT!BC716</f>
        <v>NA</v>
      </c>
      <c r="BU245" s="404">
        <f>INPUT!BD716</f>
        <v>22.206988079961366</v>
      </c>
      <c r="BV245" s="396">
        <f>INPUT!BE716</f>
        <v>14.845563492318362</v>
      </c>
      <c r="BW245" s="404">
        <f>INPUT!BF716</f>
        <v>24.051947062381235</v>
      </c>
      <c r="BX245" s="396">
        <f>INPUT!BG716</f>
        <v>8.3080108647632471</v>
      </c>
      <c r="BY245" s="404">
        <f>INPUT!BH716</f>
        <v>26.202987542067657</v>
      </c>
      <c r="BZ245" s="396">
        <f>INPUT!BI716</f>
        <v>8.9433112176219112</v>
      </c>
      <c r="CA245" s="404">
        <f>INPUT!BJ716</f>
        <v>24.556909081403244</v>
      </c>
      <c r="CB245" s="396">
        <f>INPUT!BK716</f>
        <v>-6.2820258873981913</v>
      </c>
      <c r="CC245" s="404">
        <f>INPUT!BL716</f>
        <v>25.597894969067809</v>
      </c>
      <c r="CD245" s="396">
        <f>INPUT!BM716</f>
        <v>4.2390753828742049</v>
      </c>
      <c r="CE245" s="404">
        <f>INPUT!BN716</f>
        <v>25.574409327899723</v>
      </c>
      <c r="CF245" s="396">
        <f>INPUT!BO716</f>
        <v>-9.1748330073500028E-2</v>
      </c>
      <c r="CG245" s="404">
        <f>INPUT!BP716</f>
        <v>24.925905910566726</v>
      </c>
      <c r="CH245" s="396">
        <f>INPUT!BQ716</f>
        <v>-2.5357513013038755</v>
      </c>
      <c r="CI245" s="404">
        <f>INPUT!BR716</f>
        <v>25.295936337588991</v>
      </c>
      <c r="CJ245" s="396">
        <f>INPUT!BS716</f>
        <v>1.4845214787776229</v>
      </c>
      <c r="CK245" s="404">
        <f>INPUT!BT716</f>
        <v>25.056436855885426</v>
      </c>
      <c r="CL245" s="396">
        <f>INPUT!BU716</f>
        <v>-0.94679034018470531</v>
      </c>
      <c r="CM245" s="424">
        <f>INPUT!BV716</f>
        <v>0.40356235288216968</v>
      </c>
    </row>
    <row r="246" spans="1:91" ht="12" hidden="1" customHeight="1" outlineLevel="1" x14ac:dyDescent="0.2">
      <c r="A246" s="394"/>
      <c r="B246" s="398"/>
      <c r="C246" s="399"/>
      <c r="D246" s="398"/>
      <c r="E246" s="399"/>
      <c r="F246" s="398"/>
      <c r="G246" s="399"/>
      <c r="H246" s="398"/>
      <c r="I246" s="399"/>
      <c r="J246" s="398"/>
      <c r="K246" s="399"/>
      <c r="L246" s="398"/>
      <c r="M246" s="399"/>
      <c r="N246" s="398"/>
      <c r="O246" s="399"/>
      <c r="P246" s="398"/>
      <c r="Q246" s="399"/>
      <c r="R246" s="398"/>
      <c r="S246" s="399"/>
      <c r="T246" s="398"/>
      <c r="U246" s="399"/>
      <c r="V246" s="398"/>
      <c r="W246" s="399"/>
      <c r="X246" s="398"/>
      <c r="Y246" s="399"/>
      <c r="Z246" s="398"/>
      <c r="AA246" s="399"/>
      <c r="AB246" s="398"/>
      <c r="AC246" s="399"/>
      <c r="AD246" s="398"/>
      <c r="AE246" s="399"/>
      <c r="AF246" s="398"/>
      <c r="AG246" s="399"/>
      <c r="AH246" s="398"/>
      <c r="AI246" s="399"/>
      <c r="AJ246" s="398"/>
      <c r="AK246" s="399"/>
      <c r="AL246" s="398"/>
      <c r="AM246" s="399"/>
      <c r="AN246" s="398"/>
      <c r="AO246" s="399"/>
      <c r="AP246" s="398"/>
      <c r="AQ246" s="399"/>
      <c r="AR246" s="398"/>
      <c r="AS246" s="399"/>
      <c r="AT246" s="398"/>
      <c r="AU246" s="399"/>
      <c r="AV246" s="398"/>
      <c r="AW246" s="399"/>
      <c r="AX246" s="398"/>
      <c r="AY246" s="398"/>
      <c r="AZ246" s="399"/>
      <c r="BA246" s="398"/>
      <c r="BB246" s="399"/>
      <c r="BC246" s="398"/>
      <c r="BD246" s="399"/>
      <c r="BE246" s="398"/>
      <c r="BF246" s="396"/>
      <c r="BG246" s="398"/>
      <c r="BH246" s="396"/>
      <c r="BI246" s="398"/>
      <c r="BJ246" s="396"/>
      <c r="BK246" s="398"/>
      <c r="BL246" s="396"/>
      <c r="BM246" s="398"/>
      <c r="BN246" s="396"/>
      <c r="BO246" s="398"/>
      <c r="BP246" s="396"/>
      <c r="BQ246" s="398"/>
      <c r="BR246" s="396"/>
      <c r="BS246" s="398"/>
      <c r="BT246" s="396"/>
      <c r="BU246" s="398"/>
      <c r="BV246" s="396"/>
      <c r="BW246" s="398"/>
      <c r="BX246" s="396"/>
      <c r="BY246" s="398"/>
      <c r="BZ246" s="396"/>
      <c r="CA246" s="398"/>
      <c r="CB246" s="396"/>
      <c r="CC246" s="398"/>
      <c r="CD246" s="396"/>
      <c r="CE246" s="398"/>
      <c r="CF246" s="396"/>
      <c r="CG246" s="398"/>
      <c r="CH246" s="396"/>
      <c r="CI246" s="398"/>
      <c r="CJ246" s="396"/>
      <c r="CK246" s="398"/>
      <c r="CL246" s="396"/>
      <c r="CM246" s="424"/>
    </row>
    <row r="247" spans="1:91" ht="12" hidden="1" customHeight="1" outlineLevel="1" x14ac:dyDescent="0.2">
      <c r="A247" s="394" t="s">
        <v>412</v>
      </c>
      <c r="B247" s="398"/>
      <c r="C247" s="399"/>
      <c r="D247" s="398"/>
      <c r="E247" s="399"/>
      <c r="F247" s="398"/>
      <c r="G247" s="399"/>
      <c r="H247" s="398"/>
      <c r="I247" s="399"/>
      <c r="J247" s="398"/>
      <c r="K247" s="399"/>
      <c r="L247" s="398"/>
      <c r="M247" s="399"/>
      <c r="N247" s="398"/>
      <c r="O247" s="399"/>
      <c r="P247" s="398"/>
      <c r="Q247" s="399"/>
      <c r="R247" s="398"/>
      <c r="S247" s="399"/>
      <c r="T247" s="398"/>
      <c r="U247" s="399"/>
      <c r="V247" s="398"/>
      <c r="W247" s="399"/>
      <c r="X247" s="398"/>
      <c r="Y247" s="399"/>
      <c r="Z247" s="398"/>
      <c r="AA247" s="399"/>
      <c r="AB247" s="398"/>
      <c r="AC247" s="399"/>
      <c r="AD247" s="398"/>
      <c r="AE247" s="399"/>
      <c r="AF247" s="398"/>
      <c r="AG247" s="399"/>
      <c r="AH247" s="398"/>
      <c r="AI247" s="399"/>
      <c r="AJ247" s="398"/>
      <c r="AK247" s="399"/>
      <c r="AL247" s="398"/>
      <c r="AM247" s="399"/>
      <c r="AN247" s="398"/>
      <c r="AO247" s="399"/>
      <c r="AP247" s="398"/>
      <c r="AQ247" s="399"/>
      <c r="AR247" s="398"/>
      <c r="AS247" s="399"/>
      <c r="AT247" s="398"/>
      <c r="AU247" s="399"/>
      <c r="AV247" s="398"/>
      <c r="AW247" s="399"/>
      <c r="AX247" s="398"/>
      <c r="AY247" s="398"/>
      <c r="AZ247" s="399"/>
      <c r="BA247" s="398"/>
      <c r="BB247" s="399"/>
      <c r="BC247" s="398"/>
      <c r="BD247" s="399"/>
      <c r="BE247" s="398"/>
      <c r="BF247" s="396"/>
      <c r="BG247" s="398"/>
      <c r="BH247" s="396"/>
      <c r="BI247" s="398"/>
      <c r="BJ247" s="396"/>
      <c r="BK247" s="398"/>
      <c r="BL247" s="396"/>
      <c r="BM247" s="398"/>
      <c r="BN247" s="396"/>
      <c r="BO247" s="398"/>
      <c r="BP247" s="396"/>
      <c r="BQ247" s="398"/>
      <c r="BR247" s="396"/>
      <c r="BS247" s="398"/>
      <c r="BT247" s="396"/>
      <c r="BU247" s="398"/>
      <c r="BV247" s="396"/>
      <c r="BW247" s="398"/>
      <c r="BX247" s="396"/>
      <c r="BY247" s="398"/>
      <c r="BZ247" s="396"/>
      <c r="CA247" s="398"/>
      <c r="CB247" s="396"/>
      <c r="CC247" s="398"/>
      <c r="CD247" s="396"/>
      <c r="CE247" s="398"/>
      <c r="CF247" s="396"/>
      <c r="CG247" s="398"/>
      <c r="CH247" s="396"/>
      <c r="CI247" s="398"/>
      <c r="CJ247" s="396"/>
      <c r="CK247" s="398"/>
      <c r="CL247" s="396"/>
      <c r="CM247" s="424"/>
    </row>
    <row r="248" spans="1:91" ht="12" hidden="1" customHeight="1" outlineLevel="1" x14ac:dyDescent="0.2">
      <c r="A248" s="400" t="s">
        <v>612</v>
      </c>
      <c r="B248" s="401"/>
      <c r="C248" s="424"/>
      <c r="D248" s="401"/>
      <c r="E248" s="424"/>
      <c r="F248" s="401"/>
      <c r="G248" s="424"/>
      <c r="H248" s="401"/>
      <c r="I248" s="424"/>
      <c r="J248" s="401"/>
      <c r="K248" s="424"/>
      <c r="L248" s="401"/>
      <c r="M248" s="424"/>
      <c r="N248" s="401">
        <f>INPUT!O193</f>
        <v>0.1065478841870824</v>
      </c>
      <c r="O248" s="424" t="str">
        <f>INPUT!P193</f>
        <v>NA</v>
      </c>
      <c r="P248" s="401">
        <f>INPUT!Q193</f>
        <v>0.11913389306230668</v>
      </c>
      <c r="Q248" s="424" t="str">
        <f>INPUT!R193</f>
        <v>NA</v>
      </c>
      <c r="R248" s="401">
        <f>INPUT!S193</f>
        <v>0.1074079381000143</v>
      </c>
      <c r="S248" s="424" t="str">
        <f>INPUT!T193</f>
        <v>NA</v>
      </c>
      <c r="T248" s="401">
        <f>INPUT!U193</f>
        <v>0.11135982092893119</v>
      </c>
      <c r="U248" s="424" t="str">
        <f>INPUT!V193</f>
        <v>NA</v>
      </c>
      <c r="V248" s="401">
        <f>INPUT!W193</f>
        <v>0.10840807174887894</v>
      </c>
      <c r="W248" s="424">
        <f>INPUT!X193</f>
        <v>1.7458700151476734</v>
      </c>
      <c r="X248" s="401">
        <f>INPUT!Y193</f>
        <v>0.11527700055959712</v>
      </c>
      <c r="Y248" s="424">
        <f>INPUT!Z193</f>
        <v>-3.237443521376747</v>
      </c>
      <c r="Z248" s="401">
        <f>INPUT!AA193</f>
        <v>9.4313776922852754E-2</v>
      </c>
      <c r="AA248" s="424">
        <f>INPUT!AB193</f>
        <v>-12.191055343571293</v>
      </c>
      <c r="AB248" s="401">
        <f>INPUT!AC193</f>
        <v>0.12653441618958858</v>
      </c>
      <c r="AC248" s="424">
        <f>INPUT!AD193</f>
        <v>13.62663403557525</v>
      </c>
      <c r="AD248" s="401">
        <f>INPUT!AE193</f>
        <v>0.11742084348160492</v>
      </c>
      <c r="AE248" s="424">
        <f>INPUT!AF193</f>
        <v>8.3137460037141295</v>
      </c>
      <c r="AF248" s="401">
        <f>INPUT!AG193</f>
        <v>0.13759837522213764</v>
      </c>
      <c r="AG248" s="424">
        <f>INPUT!AH193</f>
        <v>19.363250738815481</v>
      </c>
      <c r="AH248" s="401">
        <f>INPUT!AI193</f>
        <v>0.10233144297416509</v>
      </c>
      <c r="AI248" s="424">
        <f>INPUT!AJ193</f>
        <v>8.501055002675443</v>
      </c>
      <c r="AJ248" s="401">
        <f>INPUT!AK193</f>
        <v>0.11507253503811166</v>
      </c>
      <c r="AK248" s="424">
        <f>INPUT!AL193</f>
        <v>-9.0583111667448577</v>
      </c>
      <c r="AL248" s="401">
        <f>INPUT!AM193</f>
        <v>0.12647235216504737</v>
      </c>
      <c r="AM248" s="424">
        <f>INPUT!AN193</f>
        <v>7.708604720473204</v>
      </c>
      <c r="AN248" s="401">
        <f>INPUT!AO193</f>
        <v>0.11716225708265043</v>
      </c>
      <c r="AO248" s="424">
        <f>INPUT!AP193</f>
        <v>-14.852005415394842</v>
      </c>
      <c r="AP248" s="401">
        <f>INPUT!AQ193</f>
        <v>0.121</v>
      </c>
      <c r="AQ248" s="424">
        <f>INPUT!AR193</f>
        <v>18.243226600985224</v>
      </c>
      <c r="AR248" s="401">
        <f>INPUT!AS193</f>
        <v>0.121</v>
      </c>
      <c r="AS248" s="424">
        <f>INPUT!AT193</f>
        <v>5.151068376068352</v>
      </c>
      <c r="AT248" s="401">
        <f>INPUT!AU193</f>
        <v>0.121</v>
      </c>
      <c r="AU248" s="424">
        <f>INPUT!AV193</f>
        <v>-4.3269157814871022</v>
      </c>
      <c r="AV248" s="401">
        <f>INPUT!AW193</f>
        <v>0.122</v>
      </c>
      <c r="AW248" s="424">
        <f>INPUT!AX193</f>
        <v>4.1290967226218953</v>
      </c>
      <c r="AX248" s="398"/>
      <c r="AY248" s="401"/>
      <c r="AZ248" s="424"/>
      <c r="BA248" s="401"/>
      <c r="BB248" s="424"/>
      <c r="BC248" s="401"/>
      <c r="BD248" s="424"/>
      <c r="BE248" s="401"/>
      <c r="BF248" s="382"/>
      <c r="BG248" s="401"/>
      <c r="BH248" s="382"/>
      <c r="BI248" s="401"/>
      <c r="BJ248" s="382"/>
      <c r="BK248" s="401"/>
      <c r="BL248" s="382"/>
      <c r="BM248" s="401"/>
      <c r="BN248" s="382"/>
      <c r="BO248" s="401"/>
      <c r="BP248" s="382"/>
      <c r="BQ248" s="401"/>
      <c r="BR248" s="382"/>
      <c r="BS248" s="401">
        <f>INPUT!BB193</f>
        <v>0</v>
      </c>
      <c r="BT248" s="382" t="str">
        <f>INPUT!BC193</f>
        <v>NA</v>
      </c>
      <c r="BU248" s="401">
        <f>INPUT!BD193</f>
        <v>0</v>
      </c>
      <c r="BV248" s="382" t="str">
        <f>INPUT!BE193</f>
        <v>NA</v>
      </c>
      <c r="BW248" s="401">
        <f>INPUT!BF193</f>
        <v>0.10939424870648692</v>
      </c>
      <c r="BX248" s="382" t="str">
        <f>INPUT!BG193</f>
        <v>NA</v>
      </c>
      <c r="BY248" s="401">
        <f>INPUT!BH193</f>
        <v>0.11814110115066453</v>
      </c>
      <c r="BZ248" s="382">
        <f>INPUT!BI193</f>
        <v>7.9957150833825779</v>
      </c>
      <c r="CA248" s="401">
        <f>INPUT!BJ193</f>
        <v>0.11404637610780625</v>
      </c>
      <c r="CB248" s="382">
        <f>INPUT!BK193</f>
        <v>-3.465961467242721</v>
      </c>
      <c r="CC248" s="401">
        <f>INPUT!BL193</f>
        <v>0.12028578780205609</v>
      </c>
      <c r="CD248" s="382">
        <f>INPUT!BM193</f>
        <v>5.4709425298633079</v>
      </c>
      <c r="CE248" s="401">
        <f>INPUT!BN193</f>
        <v>0.12028578780205609</v>
      </c>
      <c r="CF248" s="382">
        <f>INPUT!BO193</f>
        <v>0</v>
      </c>
      <c r="CG248" s="401">
        <f>INPUT!BP193</f>
        <v>0.11628578780205609</v>
      </c>
      <c r="CH248" s="382">
        <f>INPUT!BQ193</f>
        <v>-3.3254136445300304</v>
      </c>
      <c r="CI248" s="401">
        <f>INPUT!BR193</f>
        <v>0.11628578780205609</v>
      </c>
      <c r="CJ248" s="382">
        <f>INPUT!BS193</f>
        <v>0</v>
      </c>
      <c r="CK248" s="401">
        <f>INPUT!BT193</f>
        <v>0.11328578780205609</v>
      </c>
      <c r="CL248" s="382">
        <f>INPUT!BU193</f>
        <v>-2.5798509488594306</v>
      </c>
      <c r="CM248" s="424">
        <f>INPUT!BV193</f>
        <v>-0.13373953103621439</v>
      </c>
    </row>
    <row r="249" spans="1:91" ht="12" hidden="1" customHeight="1" outlineLevel="1" x14ac:dyDescent="0.2">
      <c r="A249" s="394"/>
      <c r="B249" s="398"/>
      <c r="C249" s="424"/>
      <c r="D249" s="398"/>
      <c r="E249" s="382"/>
      <c r="F249" s="398"/>
      <c r="G249" s="382"/>
      <c r="H249" s="398"/>
      <c r="I249" s="382"/>
      <c r="J249" s="398"/>
      <c r="K249" s="382"/>
      <c r="L249" s="398"/>
      <c r="M249" s="382"/>
      <c r="N249" s="398"/>
      <c r="O249" s="382"/>
      <c r="P249" s="398"/>
      <c r="Q249" s="382"/>
      <c r="R249" s="398"/>
      <c r="S249" s="382"/>
      <c r="T249" s="398"/>
      <c r="U249" s="382"/>
      <c r="V249" s="398"/>
      <c r="W249" s="382"/>
      <c r="X249" s="398"/>
      <c r="Y249" s="382"/>
      <c r="Z249" s="398"/>
      <c r="AA249" s="382"/>
      <c r="AB249" s="398"/>
      <c r="AC249" s="382"/>
      <c r="AD249" s="398"/>
      <c r="AE249" s="382"/>
      <c r="AF249" s="398"/>
      <c r="AG249" s="382"/>
      <c r="AH249" s="398"/>
      <c r="AI249" s="382"/>
      <c r="AJ249" s="398"/>
      <c r="AK249" s="382"/>
      <c r="AL249" s="398"/>
      <c r="AM249" s="382"/>
      <c r="AN249" s="398"/>
      <c r="AO249" s="382"/>
      <c r="AP249" s="398"/>
      <c r="AQ249" s="382"/>
      <c r="AR249" s="398"/>
      <c r="AS249" s="382"/>
      <c r="AT249" s="398"/>
      <c r="AU249" s="382"/>
      <c r="AV249" s="398"/>
      <c r="AW249" s="382"/>
      <c r="AX249" s="398"/>
      <c r="AY249" s="398"/>
      <c r="AZ249" s="424"/>
      <c r="BA249" s="398"/>
      <c r="BB249" s="424"/>
      <c r="BC249" s="398"/>
      <c r="BD249" s="424"/>
      <c r="BE249" s="398"/>
      <c r="BF249" s="382"/>
      <c r="BG249" s="398"/>
      <c r="BH249" s="382"/>
      <c r="BI249" s="398"/>
      <c r="BJ249" s="382"/>
      <c r="BK249" s="398"/>
      <c r="BL249" s="382"/>
      <c r="BM249" s="398"/>
      <c r="BN249" s="382"/>
      <c r="BO249" s="398"/>
      <c r="BP249" s="382"/>
      <c r="BQ249" s="398"/>
      <c r="BR249" s="382"/>
      <c r="BS249" s="398"/>
      <c r="BT249" s="382"/>
      <c r="BU249" s="398"/>
      <c r="BV249" s="382"/>
      <c r="BW249" s="398"/>
      <c r="BX249" s="382"/>
      <c r="BY249" s="398"/>
      <c r="BZ249" s="382"/>
      <c r="CA249" s="398"/>
      <c r="CB249" s="382"/>
      <c r="CC249" s="398"/>
      <c r="CD249" s="382"/>
      <c r="CE249" s="398"/>
      <c r="CF249" s="382"/>
      <c r="CG249" s="398"/>
      <c r="CH249" s="382"/>
      <c r="CI249" s="398"/>
      <c r="CJ249" s="382"/>
      <c r="CK249" s="398"/>
      <c r="CL249" s="382"/>
      <c r="CM249" s="424"/>
    </row>
    <row r="250" spans="1:91" ht="19.5" hidden="1" customHeight="1" outlineLevel="1" x14ac:dyDescent="0.25">
      <c r="A250" s="471" t="str">
        <f>+$A$1</f>
        <v>Principal Financial Group</v>
      </c>
      <c r="B250" s="381"/>
      <c r="C250" s="382"/>
      <c r="D250" s="381"/>
      <c r="E250" s="382"/>
      <c r="F250" s="381"/>
      <c r="G250" s="382"/>
      <c r="H250" s="381"/>
      <c r="I250" s="382"/>
      <c r="J250" s="381"/>
      <c r="K250" s="382"/>
      <c r="L250" s="381"/>
      <c r="M250" s="382"/>
      <c r="N250" s="381"/>
      <c r="O250" s="382"/>
      <c r="P250" s="381"/>
      <c r="Q250" s="382"/>
      <c r="R250" s="381"/>
      <c r="S250" s="382"/>
      <c r="T250" s="381"/>
      <c r="U250" s="382"/>
      <c r="V250" s="381"/>
      <c r="W250" s="382"/>
      <c r="X250" s="381"/>
      <c r="Y250" s="382"/>
      <c r="Z250" s="381"/>
      <c r="AA250" s="382"/>
      <c r="AB250" s="381"/>
      <c r="AC250" s="382"/>
      <c r="AD250" s="381"/>
      <c r="AE250" s="382"/>
      <c r="AF250" s="381"/>
      <c r="AG250" s="382"/>
      <c r="AH250" s="381"/>
      <c r="AI250" s="382"/>
      <c r="AJ250" s="381"/>
      <c r="AK250" s="382"/>
      <c r="AL250" s="381"/>
      <c r="AM250" s="382"/>
      <c r="AN250" s="381"/>
      <c r="AO250" s="382"/>
      <c r="AP250" s="381"/>
      <c r="AQ250" s="382"/>
      <c r="AR250" s="381"/>
      <c r="AS250" s="382"/>
      <c r="AT250" s="381"/>
      <c r="AU250" s="382"/>
      <c r="AV250" s="381"/>
      <c r="AW250" s="382"/>
      <c r="AX250" s="382"/>
      <c r="AY250" s="381"/>
      <c r="AZ250" s="382"/>
      <c r="BA250" s="381"/>
      <c r="BB250" s="382"/>
      <c r="BC250" s="381"/>
      <c r="BD250" s="382"/>
      <c r="BE250" s="381"/>
      <c r="BF250" s="382"/>
      <c r="BG250" s="381"/>
      <c r="BH250" s="382"/>
      <c r="BI250" s="381"/>
      <c r="BJ250" s="382"/>
      <c r="BK250" s="381"/>
      <c r="BL250" s="382"/>
      <c r="BM250" s="381"/>
      <c r="BN250" s="382"/>
      <c r="BO250" s="381"/>
      <c r="BP250" s="382"/>
      <c r="BQ250" s="381"/>
      <c r="BR250" s="382"/>
      <c r="BS250" s="381"/>
      <c r="BT250" s="382"/>
      <c r="BU250" s="381"/>
      <c r="BV250" s="382"/>
      <c r="BW250" s="381"/>
      <c r="BX250" s="382"/>
      <c r="BY250" s="381"/>
      <c r="BZ250" s="382"/>
      <c r="CA250" s="381"/>
      <c r="CB250" s="382"/>
      <c r="CC250" s="381"/>
      <c r="CD250" s="382"/>
      <c r="CE250" s="381"/>
      <c r="CF250" s="382"/>
      <c r="CG250" s="381"/>
      <c r="CH250" s="382"/>
      <c r="CI250" s="381"/>
      <c r="CJ250" s="382"/>
      <c r="CK250" s="381"/>
      <c r="CL250" s="382"/>
      <c r="CM250" s="382"/>
    </row>
    <row r="251" spans="1:91" ht="12" hidden="1" customHeight="1" outlineLevel="1" x14ac:dyDescent="0.2">
      <c r="A251" s="383" t="s">
        <v>611</v>
      </c>
      <c r="B251" s="384"/>
      <c r="C251" s="385"/>
      <c r="D251" s="384"/>
      <c r="E251" s="385"/>
      <c r="F251" s="384"/>
      <c r="G251" s="385"/>
      <c r="H251" s="384"/>
      <c r="I251" s="385"/>
      <c r="J251" s="384"/>
      <c r="K251" s="385"/>
      <c r="L251" s="384"/>
      <c r="M251" s="385"/>
      <c r="N251" s="384"/>
      <c r="O251" s="385"/>
      <c r="P251" s="384"/>
      <c r="Q251" s="385"/>
      <c r="R251" s="384"/>
      <c r="S251" s="385"/>
      <c r="T251" s="384"/>
      <c r="U251" s="385"/>
      <c r="V251" s="384"/>
      <c r="W251" s="385"/>
      <c r="X251" s="384"/>
      <c r="Y251" s="385"/>
      <c r="Z251" s="384"/>
      <c r="AA251" s="385"/>
      <c r="AB251" s="384"/>
      <c r="AC251" s="385"/>
      <c r="AD251" s="384"/>
      <c r="AE251" s="385"/>
      <c r="AF251" s="384"/>
      <c r="AG251" s="385"/>
      <c r="AH251" s="384"/>
      <c r="AI251" s="385"/>
      <c r="AJ251" s="384"/>
      <c r="AK251" s="385"/>
      <c r="AL251" s="384"/>
      <c r="AM251" s="385"/>
      <c r="AN251" s="384"/>
      <c r="AO251" s="385"/>
      <c r="AP251" s="384"/>
      <c r="AQ251" s="385"/>
      <c r="AR251" s="384"/>
      <c r="AS251" s="385"/>
      <c r="AT251" s="384"/>
      <c r="AU251" s="385"/>
      <c r="AV251" s="384"/>
      <c r="AW251" s="385"/>
      <c r="AX251" s="385"/>
      <c r="AY251" s="384"/>
      <c r="AZ251" s="385"/>
      <c r="BA251" s="384"/>
      <c r="BB251" s="385"/>
      <c r="BC251" s="384"/>
      <c r="BD251" s="385"/>
      <c r="BE251" s="384"/>
      <c r="BF251" s="385"/>
      <c r="BG251" s="384"/>
      <c r="BH251" s="385"/>
      <c r="BI251" s="384"/>
      <c r="BJ251" s="385"/>
      <c r="BK251" s="384"/>
      <c r="BL251" s="385"/>
      <c r="BM251" s="384"/>
      <c r="BN251" s="385"/>
      <c r="BO251" s="384"/>
      <c r="BP251" s="385"/>
      <c r="BQ251" s="384"/>
      <c r="BR251" s="385"/>
      <c r="BS251" s="384"/>
      <c r="BT251" s="385"/>
      <c r="BU251" s="384"/>
      <c r="BV251" s="385"/>
      <c r="BW251" s="384"/>
      <c r="BX251" s="385"/>
      <c r="BY251" s="384"/>
      <c r="BZ251" s="385"/>
      <c r="CA251" s="384"/>
      <c r="CB251" s="385"/>
      <c r="CC251" s="384"/>
      <c r="CD251" s="385"/>
      <c r="CE251" s="384"/>
      <c r="CF251" s="385"/>
      <c r="CG251" s="384"/>
      <c r="CH251" s="385"/>
      <c r="CI251" s="384"/>
      <c r="CJ251" s="385"/>
      <c r="CK251" s="384"/>
      <c r="CL251" s="385"/>
      <c r="CM251" s="385"/>
    </row>
    <row r="252" spans="1:91" s="374" customFormat="1" ht="12" hidden="1" customHeight="1" outlineLevel="1" x14ac:dyDescent="0.2">
      <c r="A252" s="378" t="s">
        <v>243</v>
      </c>
      <c r="B252" s="427"/>
      <c r="C252" s="428" t="str">
        <f>INPUT!D$4</f>
        <v>1Q13/</v>
      </c>
      <c r="D252" s="427"/>
      <c r="E252" s="428" t="str">
        <f>INPUT!F$4</f>
        <v>2Q13/</v>
      </c>
      <c r="F252" s="427"/>
      <c r="G252" s="428" t="str">
        <f>INPUT!H$4</f>
        <v>3Q13/</v>
      </c>
      <c r="H252" s="427"/>
      <c r="I252" s="428" t="str">
        <f>INPUT!J$4</f>
        <v>4Q13/</v>
      </c>
      <c r="J252" s="427"/>
      <c r="K252" s="428" t="str">
        <f>INPUT!L$4</f>
        <v>1Q14/</v>
      </c>
      <c r="L252" s="427"/>
      <c r="M252" s="428" t="str">
        <f>INPUT!N$4</f>
        <v>2Q14/</v>
      </c>
      <c r="N252" s="427"/>
      <c r="O252" s="428" t="str">
        <f>INPUT!P$4</f>
        <v>3Q14/</v>
      </c>
      <c r="P252" s="427"/>
      <c r="Q252" s="428" t="str">
        <f>INPUT!R$4</f>
        <v>4Q14/</v>
      </c>
      <c r="R252" s="427"/>
      <c r="S252" s="428" t="str">
        <f>INPUT!T$4</f>
        <v>1Q15/</v>
      </c>
      <c r="T252" s="427"/>
      <c r="U252" s="428" t="str">
        <f>INPUT!V$4</f>
        <v>2Q15/</v>
      </c>
      <c r="V252" s="427"/>
      <c r="W252" s="428" t="str">
        <f>INPUT!X$4</f>
        <v>3Q15/</v>
      </c>
      <c r="X252" s="427"/>
      <c r="Y252" s="428" t="str">
        <f>INPUT!Z$4</f>
        <v>4Q15/</v>
      </c>
      <c r="Z252" s="427"/>
      <c r="AA252" s="428" t="str">
        <f>INPUT!AB$4</f>
        <v>1Q16/</v>
      </c>
      <c r="AB252" s="427"/>
      <c r="AC252" s="428" t="str">
        <f>INPUT!AD$4</f>
        <v>2Q16/</v>
      </c>
      <c r="AD252" s="427"/>
      <c r="AE252" s="428" t="str">
        <f>INPUT!AF$4</f>
        <v>3Q16/</v>
      </c>
      <c r="AF252" s="427"/>
      <c r="AG252" s="428" t="str">
        <f>INPUT!AH$4</f>
        <v>4Q16/</v>
      </c>
      <c r="AH252" s="427"/>
      <c r="AI252" s="428" t="str">
        <f>INPUT!AJ$4</f>
        <v>1Q17/</v>
      </c>
      <c r="AJ252" s="427"/>
      <c r="AK252" s="428" t="str">
        <f>INPUT!AL$4</f>
        <v>2Q17/</v>
      </c>
      <c r="AL252" s="427"/>
      <c r="AM252" s="428" t="str">
        <f>INPUT!AN$4</f>
        <v>3Q17/</v>
      </c>
      <c r="AN252" s="427"/>
      <c r="AO252" s="428" t="str">
        <f>INPUT!AP$4</f>
        <v>4Q17/</v>
      </c>
      <c r="AP252" s="427"/>
      <c r="AQ252" s="428" t="str">
        <f>INPUT!AR$4</f>
        <v>1Q18E/</v>
      </c>
      <c r="AR252" s="427"/>
      <c r="AS252" s="428" t="str">
        <f>INPUT!AT$4</f>
        <v>2Q18E/</v>
      </c>
      <c r="AT252" s="427"/>
      <c r="AU252" s="428" t="str">
        <f>INPUT!AV$4</f>
        <v>3Q18E/</v>
      </c>
      <c r="AV252" s="427"/>
      <c r="AW252" s="428" t="str">
        <f>INPUT!AX$4</f>
        <v>4Q18E/</v>
      </c>
      <c r="AX252" s="427"/>
      <c r="AY252" s="427"/>
      <c r="AZ252" s="428"/>
      <c r="BA252" s="427"/>
      <c r="BB252" s="428"/>
      <c r="BC252" s="427"/>
      <c r="BD252" s="428"/>
      <c r="BE252" s="427"/>
      <c r="BF252" s="428"/>
      <c r="BG252" s="427"/>
      <c r="BH252" s="428"/>
      <c r="BI252" s="427"/>
      <c r="BJ252" s="428"/>
      <c r="BK252" s="427"/>
      <c r="BL252" s="428"/>
      <c r="BM252" s="427"/>
      <c r="BN252" s="428"/>
      <c r="BO252" s="427"/>
      <c r="BP252" s="428"/>
      <c r="BQ252" s="427"/>
      <c r="BR252" s="428"/>
      <c r="BS252" s="427"/>
      <c r="BT252" s="428" t="str">
        <f>INPUT!BC$4</f>
        <v>2013/</v>
      </c>
      <c r="BU252" s="427"/>
      <c r="BV252" s="428" t="str">
        <f>INPUT!BE$4</f>
        <v>2014/</v>
      </c>
      <c r="BW252" s="427"/>
      <c r="BX252" s="428" t="str">
        <f>INPUT!BG$4</f>
        <v>2015/</v>
      </c>
      <c r="BY252" s="427"/>
      <c r="BZ252" s="428" t="str">
        <f>INPUT!BI$4</f>
        <v>2016/</v>
      </c>
      <c r="CA252" s="427"/>
      <c r="CB252" s="428" t="str">
        <f>INPUT!BK$4</f>
        <v>2017/</v>
      </c>
      <c r="CC252" s="427"/>
      <c r="CD252" s="428" t="str">
        <f>INPUT!BM$4</f>
        <v>2018E/</v>
      </c>
      <c r="CE252" s="427"/>
      <c r="CF252" s="428" t="str">
        <f>INPUT!BO$4</f>
        <v>2019E/</v>
      </c>
      <c r="CG252" s="427"/>
      <c r="CH252" s="428" t="str">
        <f>INPUT!BQ$4</f>
        <v>2020E/</v>
      </c>
      <c r="CI252" s="427"/>
      <c r="CJ252" s="428" t="str">
        <f>INPUT!BS$4</f>
        <v>2021E/</v>
      </c>
      <c r="CK252" s="427"/>
      <c r="CL252" s="428" t="str">
        <f>INPUT!BU$4</f>
        <v>2022E/</v>
      </c>
      <c r="CM252" s="428" t="str">
        <f>INPUT!BV$4</f>
        <v>5-Yr</v>
      </c>
    </row>
    <row r="253" spans="1:91" s="374" customFormat="1" ht="12" hidden="1" customHeight="1" outlineLevel="1" x14ac:dyDescent="0.2">
      <c r="A253" s="387"/>
      <c r="B253" s="386"/>
      <c r="C253" s="385">
        <f>INPUT!D$5</f>
        <v>0</v>
      </c>
      <c r="D253" s="386"/>
      <c r="E253" s="385">
        <f>INPUT!F$5</f>
        <v>0</v>
      </c>
      <c r="F253" s="386"/>
      <c r="G253" s="385">
        <f>INPUT!H$5</f>
        <v>0</v>
      </c>
      <c r="H253" s="386"/>
      <c r="I253" s="385">
        <f>INPUT!J$5</f>
        <v>0</v>
      </c>
      <c r="J253" s="386"/>
      <c r="K253" s="385" t="str">
        <f>INPUT!L$5</f>
        <v>1Q13</v>
      </c>
      <c r="L253" s="386"/>
      <c r="M253" s="385" t="str">
        <f>INPUT!N$5</f>
        <v>2Q13</v>
      </c>
      <c r="N253" s="386"/>
      <c r="O253" s="385" t="str">
        <f>INPUT!P$5</f>
        <v>3Q13</v>
      </c>
      <c r="P253" s="386"/>
      <c r="Q253" s="385" t="str">
        <f>INPUT!R$5</f>
        <v>4Q13</v>
      </c>
      <c r="R253" s="386"/>
      <c r="S253" s="385" t="str">
        <f>INPUT!T$5</f>
        <v>1Q14</v>
      </c>
      <c r="T253" s="386"/>
      <c r="U253" s="385" t="str">
        <f>INPUT!V$5</f>
        <v>2Q14</v>
      </c>
      <c r="V253" s="386"/>
      <c r="W253" s="385" t="str">
        <f>INPUT!X$5</f>
        <v>3Q14</v>
      </c>
      <c r="X253" s="386"/>
      <c r="Y253" s="385" t="str">
        <f>INPUT!Z$5</f>
        <v>4Q14</v>
      </c>
      <c r="Z253" s="386"/>
      <c r="AA253" s="385" t="str">
        <f>INPUT!AB$5</f>
        <v>1Q15</v>
      </c>
      <c r="AB253" s="386"/>
      <c r="AC253" s="385" t="str">
        <f>INPUT!AD$5</f>
        <v>2Q15</v>
      </c>
      <c r="AD253" s="386"/>
      <c r="AE253" s="385" t="str">
        <f>INPUT!AF$5</f>
        <v>3Q15</v>
      </c>
      <c r="AF253" s="386"/>
      <c r="AG253" s="385" t="str">
        <f>INPUT!AH$5</f>
        <v>4Q15</v>
      </c>
      <c r="AH253" s="386"/>
      <c r="AI253" s="385" t="str">
        <f>INPUT!AJ$5</f>
        <v>1Q16</v>
      </c>
      <c r="AJ253" s="386"/>
      <c r="AK253" s="385" t="str">
        <f>INPUT!AL$5</f>
        <v>2Q16</v>
      </c>
      <c r="AL253" s="386"/>
      <c r="AM253" s="385" t="str">
        <f>INPUT!AN$5</f>
        <v>3Q16</v>
      </c>
      <c r="AN253" s="386"/>
      <c r="AO253" s="385" t="str">
        <f>INPUT!AP$5</f>
        <v>4Q16</v>
      </c>
      <c r="AP253" s="386"/>
      <c r="AQ253" s="385" t="str">
        <f>INPUT!AR$5</f>
        <v>1Q17</v>
      </c>
      <c r="AR253" s="386"/>
      <c r="AS253" s="385" t="str">
        <f>INPUT!AT$5</f>
        <v>2Q17</v>
      </c>
      <c r="AT253" s="386"/>
      <c r="AU253" s="385" t="str">
        <f>INPUT!AV$5</f>
        <v>3Q17</v>
      </c>
      <c r="AV253" s="386"/>
      <c r="AW253" s="385" t="str">
        <f>INPUT!AX$5</f>
        <v>4Q17</v>
      </c>
      <c r="AX253" s="386"/>
      <c r="AY253" s="386"/>
      <c r="AZ253" s="385"/>
      <c r="BA253" s="388"/>
      <c r="BB253" s="385"/>
      <c r="BC253" s="386"/>
      <c r="BD253" s="385"/>
      <c r="BE253" s="386"/>
      <c r="BF253" s="385"/>
      <c r="BG253" s="386"/>
      <c r="BH253" s="385"/>
      <c r="BI253" s="386"/>
      <c r="BJ253" s="385"/>
      <c r="BK253" s="386"/>
      <c r="BL253" s="385"/>
      <c r="BM253" s="386"/>
      <c r="BN253" s="385"/>
      <c r="BO253" s="386"/>
      <c r="BP253" s="385"/>
      <c r="BQ253" s="386"/>
      <c r="BR253" s="385"/>
      <c r="BS253" s="386"/>
      <c r="BT253" s="385">
        <f>INPUT!BC$5</f>
        <v>0</v>
      </c>
      <c r="BU253" s="386"/>
      <c r="BV253" s="385" t="str">
        <f>INPUT!BE$5</f>
        <v>2013</v>
      </c>
      <c r="BW253" s="386"/>
      <c r="BX253" s="385" t="str">
        <f>INPUT!BG$5</f>
        <v>2014</v>
      </c>
      <c r="BY253" s="386"/>
      <c r="BZ253" s="385" t="str">
        <f>INPUT!BI$5</f>
        <v>2015</v>
      </c>
      <c r="CA253" s="386"/>
      <c r="CB253" s="385" t="str">
        <f>INPUT!BK$5</f>
        <v>2016</v>
      </c>
      <c r="CC253" s="386"/>
      <c r="CD253" s="385" t="str">
        <f>INPUT!BM$5</f>
        <v>2017</v>
      </c>
      <c r="CE253" s="386"/>
      <c r="CF253" s="385" t="str">
        <f>INPUT!BO$5</f>
        <v>2018E</v>
      </c>
      <c r="CG253" s="386"/>
      <c r="CH253" s="385" t="str">
        <f>INPUT!BQ$5</f>
        <v>2019E</v>
      </c>
      <c r="CI253" s="386"/>
      <c r="CJ253" s="385" t="str">
        <f>INPUT!BS$5</f>
        <v>2020E</v>
      </c>
      <c r="CK253" s="386"/>
      <c r="CL253" s="385" t="str">
        <f>INPUT!BU$5</f>
        <v>2021E</v>
      </c>
      <c r="CM253" s="385" t="str">
        <f>INPUT!BV$5</f>
        <v>CAGR</v>
      </c>
    </row>
    <row r="254" spans="1:91" s="374" customFormat="1" ht="12" hidden="1" customHeight="1" outlineLevel="1" x14ac:dyDescent="0.2">
      <c r="A254" s="389"/>
      <c r="B254" s="390" t="str">
        <f>INPUT!C$6</f>
        <v>1Q13</v>
      </c>
      <c r="C254" s="391" t="str">
        <f>INPUT!D$6</f>
        <v>% Chg</v>
      </c>
      <c r="D254" s="390" t="str">
        <f>INPUT!E$6</f>
        <v>2Q13</v>
      </c>
      <c r="E254" s="391" t="str">
        <f>INPUT!F$6</f>
        <v>% Chg</v>
      </c>
      <c r="F254" s="390" t="str">
        <f>INPUT!G$6</f>
        <v>3Q13</v>
      </c>
      <c r="G254" s="391" t="str">
        <f>INPUT!H$6</f>
        <v>% Chg</v>
      </c>
      <c r="H254" s="390" t="str">
        <f>INPUT!I$6</f>
        <v>4Q13</v>
      </c>
      <c r="I254" s="391" t="str">
        <f>INPUT!J$6</f>
        <v>% Chg</v>
      </c>
      <c r="J254" s="390" t="str">
        <f>INPUT!K$6</f>
        <v>1Q14</v>
      </c>
      <c r="K254" s="391" t="str">
        <f>INPUT!L$6</f>
        <v>% Chg</v>
      </c>
      <c r="L254" s="390" t="str">
        <f>INPUT!M$6</f>
        <v>2Q14</v>
      </c>
      <c r="M254" s="391" t="str">
        <f>INPUT!N$6</f>
        <v>% Chg</v>
      </c>
      <c r="N254" s="390" t="str">
        <f>INPUT!O$6</f>
        <v>3Q14</v>
      </c>
      <c r="O254" s="391" t="str">
        <f>INPUT!P$6</f>
        <v>% Chg</v>
      </c>
      <c r="P254" s="390" t="str">
        <f>INPUT!Q$6</f>
        <v>4Q14</v>
      </c>
      <c r="Q254" s="391" t="str">
        <f>INPUT!R$6</f>
        <v>% Chg</v>
      </c>
      <c r="R254" s="390" t="str">
        <f>INPUT!S$6</f>
        <v>1Q15</v>
      </c>
      <c r="S254" s="391" t="str">
        <f>INPUT!T$6</f>
        <v>% Chg</v>
      </c>
      <c r="T254" s="390" t="str">
        <f>INPUT!U$6</f>
        <v>2Q15</v>
      </c>
      <c r="U254" s="391" t="str">
        <f>INPUT!V$6</f>
        <v>% Chg</v>
      </c>
      <c r="V254" s="390" t="str">
        <f>INPUT!W$6</f>
        <v>3Q15</v>
      </c>
      <c r="W254" s="391" t="str">
        <f>INPUT!X$6</f>
        <v>% Chg</v>
      </c>
      <c r="X254" s="390" t="str">
        <f>INPUT!Y$6</f>
        <v>4Q15</v>
      </c>
      <c r="Y254" s="391" t="str">
        <f>INPUT!Z$6</f>
        <v>% Chg</v>
      </c>
      <c r="Z254" s="390" t="str">
        <f>INPUT!AA$6</f>
        <v>1Q16</v>
      </c>
      <c r="AA254" s="391" t="str">
        <f>INPUT!AB$6</f>
        <v>% Chg</v>
      </c>
      <c r="AB254" s="390" t="str">
        <f>INPUT!AC$6</f>
        <v>2Q16</v>
      </c>
      <c r="AC254" s="391" t="str">
        <f>INPUT!AD$6</f>
        <v>% Chg</v>
      </c>
      <c r="AD254" s="390" t="str">
        <f>INPUT!AE$6</f>
        <v>3Q16</v>
      </c>
      <c r="AE254" s="391" t="str">
        <f>INPUT!AF$6</f>
        <v>% Chg</v>
      </c>
      <c r="AF254" s="390" t="str">
        <f>INPUT!AG$6</f>
        <v>4Q16</v>
      </c>
      <c r="AG254" s="391" t="str">
        <f>INPUT!AH$6</f>
        <v>% Chg</v>
      </c>
      <c r="AH254" s="390" t="str">
        <f>INPUT!AI$6</f>
        <v>1Q17</v>
      </c>
      <c r="AI254" s="391" t="str">
        <f>INPUT!AJ$6</f>
        <v>% Chg</v>
      </c>
      <c r="AJ254" s="390" t="str">
        <f>INPUT!AK$6</f>
        <v>2Q17</v>
      </c>
      <c r="AK254" s="391" t="str">
        <f>INPUT!AL$6</f>
        <v>% Chg</v>
      </c>
      <c r="AL254" s="390" t="str">
        <f>INPUT!AM$6</f>
        <v>3Q17</v>
      </c>
      <c r="AM254" s="391" t="str">
        <f>INPUT!AN$6</f>
        <v>% Chg</v>
      </c>
      <c r="AN254" s="390" t="str">
        <f>INPUT!AO$6</f>
        <v>4Q17</v>
      </c>
      <c r="AO254" s="391" t="str">
        <f>INPUT!AP$6</f>
        <v>% Chg</v>
      </c>
      <c r="AP254" s="390" t="str">
        <f>INPUT!AQ$6</f>
        <v>1Q18E</v>
      </c>
      <c r="AQ254" s="391" t="str">
        <f>INPUT!AR$6</f>
        <v>% Chg</v>
      </c>
      <c r="AR254" s="390" t="str">
        <f>INPUT!AS$6</f>
        <v>2Q18E</v>
      </c>
      <c r="AS254" s="391" t="str">
        <f>INPUT!AT$6</f>
        <v>% Chg</v>
      </c>
      <c r="AT254" s="390" t="str">
        <f>INPUT!AU$6</f>
        <v>3Q18E</v>
      </c>
      <c r="AU254" s="391" t="str">
        <f>INPUT!AV$6</f>
        <v>% Chg</v>
      </c>
      <c r="AV254" s="390" t="str">
        <f>INPUT!AW$6</f>
        <v>4Q18E</v>
      </c>
      <c r="AW254" s="391" t="str">
        <f>INPUT!AX$6</f>
        <v>% Chg</v>
      </c>
      <c r="AX254" s="390"/>
      <c r="AY254" s="392"/>
      <c r="AZ254" s="391"/>
      <c r="BA254" s="392"/>
      <c r="BB254" s="391"/>
      <c r="BC254" s="392"/>
      <c r="BD254" s="391"/>
      <c r="BE254" s="393"/>
      <c r="BF254" s="391"/>
      <c r="BG254" s="393"/>
      <c r="BH254" s="391"/>
      <c r="BI254" s="393"/>
      <c r="BJ254" s="391"/>
      <c r="BK254" s="393"/>
      <c r="BL254" s="391"/>
      <c r="BM254" s="390"/>
      <c r="BN254" s="391"/>
      <c r="BO254" s="390"/>
      <c r="BP254" s="391"/>
      <c r="BQ254" s="390"/>
      <c r="BR254" s="391"/>
      <c r="BS254" s="390" t="str">
        <f>INPUT!BB$6</f>
        <v>2013</v>
      </c>
      <c r="BT254" s="391" t="str">
        <f>INPUT!BC$6</f>
        <v>% Chg</v>
      </c>
      <c r="BU254" s="390" t="str">
        <f>INPUT!BD$6</f>
        <v>2014</v>
      </c>
      <c r="BV254" s="391" t="str">
        <f>INPUT!BE$6</f>
        <v>% Chg</v>
      </c>
      <c r="BW254" s="390" t="str">
        <f>INPUT!BF$6</f>
        <v>2015</v>
      </c>
      <c r="BX254" s="391" t="str">
        <f>INPUT!BG$6</f>
        <v>% Chg</v>
      </c>
      <c r="BY254" s="390" t="str">
        <f>INPUT!BH$6</f>
        <v>2016</v>
      </c>
      <c r="BZ254" s="391" t="str">
        <f>INPUT!BI$6</f>
        <v>% Chg</v>
      </c>
      <c r="CA254" s="390" t="str">
        <f>INPUT!BJ$6</f>
        <v>2017</v>
      </c>
      <c r="CB254" s="391" t="str">
        <f>INPUT!BK$6</f>
        <v>% Chg</v>
      </c>
      <c r="CC254" s="390" t="str">
        <f>INPUT!BL$6</f>
        <v>2018E</v>
      </c>
      <c r="CD254" s="391" t="str">
        <f>INPUT!BM$6</f>
        <v>% Chg</v>
      </c>
      <c r="CE254" s="390" t="str">
        <f>INPUT!BN$6</f>
        <v>2019E</v>
      </c>
      <c r="CF254" s="391" t="str">
        <f>INPUT!BO$6</f>
        <v>% Chg</v>
      </c>
      <c r="CG254" s="390" t="str">
        <f>INPUT!BP$6</f>
        <v>2020E</v>
      </c>
      <c r="CH254" s="391" t="str">
        <f>INPUT!BQ$6</f>
        <v>% Chg</v>
      </c>
      <c r="CI254" s="390" t="str">
        <f>INPUT!BR$6</f>
        <v>2021E</v>
      </c>
      <c r="CJ254" s="391" t="str">
        <f>INPUT!BS$6</f>
        <v>% Chg</v>
      </c>
      <c r="CK254" s="390" t="str">
        <f>INPUT!BT$6</f>
        <v>2022E</v>
      </c>
      <c r="CL254" s="391" t="str">
        <f>INPUT!BU$6</f>
        <v>% Chg</v>
      </c>
      <c r="CM254" s="391" t="str">
        <f>INPUT!BV$6</f>
        <v>(%)</v>
      </c>
    </row>
    <row r="255" spans="1:91" ht="12" hidden="1" customHeight="1" outlineLevel="1" x14ac:dyDescent="0.2">
      <c r="A255" s="394"/>
      <c r="B255" s="398"/>
      <c r="C255" s="399"/>
      <c r="D255" s="398"/>
      <c r="E255" s="396"/>
      <c r="F255" s="398"/>
      <c r="G255" s="396"/>
      <c r="H255" s="398"/>
      <c r="I255" s="396"/>
      <c r="J255" s="398"/>
      <c r="K255" s="396"/>
      <c r="L255" s="398"/>
      <c r="M255" s="396"/>
      <c r="N255" s="398"/>
      <c r="O255" s="396"/>
      <c r="P255" s="398"/>
      <c r="Q255" s="396"/>
      <c r="R255" s="398"/>
      <c r="S255" s="396"/>
      <c r="T255" s="398"/>
      <c r="U255" s="396"/>
      <c r="V255" s="398"/>
      <c r="W255" s="396"/>
      <c r="X255" s="398"/>
      <c r="Y255" s="396"/>
      <c r="Z255" s="398"/>
      <c r="AA255" s="396"/>
      <c r="AB255" s="398"/>
      <c r="AC255" s="396"/>
      <c r="AD255" s="398"/>
      <c r="AE255" s="396"/>
      <c r="AF255" s="398"/>
      <c r="AG255" s="396"/>
      <c r="AH255" s="398"/>
      <c r="AI255" s="396"/>
      <c r="AJ255" s="398"/>
      <c r="AK255" s="396"/>
      <c r="AL255" s="398"/>
      <c r="AM255" s="396"/>
      <c r="AN255" s="398"/>
      <c r="AO255" s="396"/>
      <c r="AP255" s="398"/>
      <c r="AQ255" s="396"/>
      <c r="AR255" s="398"/>
      <c r="AS255" s="396"/>
      <c r="AT255" s="398"/>
      <c r="AU255" s="396"/>
      <c r="AV255" s="398"/>
      <c r="AW255" s="396"/>
      <c r="AX255" s="398"/>
      <c r="AY255" s="398"/>
      <c r="AZ255" s="399"/>
      <c r="BA255" s="398"/>
      <c r="BB255" s="399"/>
      <c r="BC255" s="398"/>
      <c r="BD255" s="399"/>
      <c r="BE255" s="398"/>
      <c r="BF255" s="396"/>
      <c r="BG255" s="398"/>
      <c r="BH255" s="396"/>
      <c r="BI255" s="398"/>
      <c r="BJ255" s="396"/>
      <c r="BK255" s="398"/>
      <c r="BL255" s="396"/>
      <c r="BM255" s="398"/>
      <c r="BN255" s="396"/>
      <c r="BO255" s="398"/>
      <c r="BP255" s="396"/>
      <c r="BQ255" s="398"/>
      <c r="BR255" s="396"/>
      <c r="BS255" s="398"/>
      <c r="BT255" s="396"/>
      <c r="BU255" s="398"/>
      <c r="BV255" s="396"/>
      <c r="BW255" s="398"/>
      <c r="BX255" s="396"/>
      <c r="BY255" s="398"/>
      <c r="BZ255" s="396"/>
      <c r="CA255" s="398"/>
      <c r="CB255" s="396"/>
      <c r="CC255" s="398"/>
      <c r="CD255" s="396"/>
      <c r="CE255" s="398"/>
      <c r="CF255" s="396"/>
      <c r="CG255" s="398"/>
      <c r="CH255" s="396"/>
      <c r="CI255" s="398"/>
      <c r="CJ255" s="396"/>
      <c r="CK255" s="398"/>
      <c r="CL255" s="396"/>
      <c r="CM255" s="399"/>
    </row>
    <row r="256" spans="1:91" ht="12" hidden="1" customHeight="1" outlineLevel="1" x14ac:dyDescent="0.2">
      <c r="A256" s="394" t="s">
        <v>156</v>
      </c>
      <c r="B256" s="398"/>
      <c r="C256" s="399"/>
      <c r="D256" s="398"/>
      <c r="E256" s="396"/>
      <c r="F256" s="398"/>
      <c r="G256" s="396"/>
      <c r="H256" s="398"/>
      <c r="I256" s="396"/>
      <c r="J256" s="398"/>
      <c r="K256" s="396"/>
      <c r="L256" s="398"/>
      <c r="M256" s="396"/>
      <c r="N256" s="398"/>
      <c r="O256" s="396"/>
      <c r="P256" s="398"/>
      <c r="Q256" s="396"/>
      <c r="R256" s="398"/>
      <c r="S256" s="396"/>
      <c r="T256" s="398"/>
      <c r="U256" s="396"/>
      <c r="V256" s="398"/>
      <c r="W256" s="396"/>
      <c r="X256" s="398"/>
      <c r="Y256" s="396"/>
      <c r="Z256" s="398"/>
      <c r="AA256" s="396"/>
      <c r="AB256" s="398"/>
      <c r="AC256" s="396"/>
      <c r="AD256" s="398"/>
      <c r="AE256" s="396"/>
      <c r="AF256" s="398"/>
      <c r="AG256" s="396"/>
      <c r="AH256" s="398"/>
      <c r="AI256" s="396"/>
      <c r="AJ256" s="398"/>
      <c r="AK256" s="396"/>
      <c r="AL256" s="398"/>
      <c r="AM256" s="396"/>
      <c r="AN256" s="398"/>
      <c r="AO256" s="396"/>
      <c r="AP256" s="398"/>
      <c r="AQ256" s="396"/>
      <c r="AR256" s="398"/>
      <c r="AS256" s="396"/>
      <c r="AT256" s="398"/>
      <c r="AU256" s="396"/>
      <c r="AV256" s="398"/>
      <c r="AW256" s="396"/>
      <c r="AX256" s="398"/>
      <c r="AY256" s="398"/>
      <c r="AZ256" s="399"/>
      <c r="BA256" s="398"/>
      <c r="BB256" s="399"/>
      <c r="BC256" s="398"/>
      <c r="BD256" s="399"/>
      <c r="BE256" s="398"/>
      <c r="BF256" s="396"/>
      <c r="BG256" s="398"/>
      <c r="BH256" s="396"/>
      <c r="BI256" s="398"/>
      <c r="BJ256" s="396"/>
      <c r="BK256" s="398"/>
      <c r="BL256" s="396"/>
      <c r="BM256" s="398"/>
      <c r="BN256" s="396"/>
      <c r="BO256" s="398"/>
      <c r="BP256" s="396"/>
      <c r="BQ256" s="398"/>
      <c r="BR256" s="396"/>
      <c r="BS256" s="398"/>
      <c r="BT256" s="396"/>
      <c r="BU256" s="398"/>
      <c r="BV256" s="396"/>
      <c r="BW256" s="398"/>
      <c r="BX256" s="396"/>
      <c r="BY256" s="398"/>
      <c r="BZ256" s="396"/>
      <c r="CA256" s="398"/>
      <c r="CB256" s="396"/>
      <c r="CC256" s="398"/>
      <c r="CD256" s="396"/>
      <c r="CE256" s="398"/>
      <c r="CF256" s="396"/>
      <c r="CG256" s="398"/>
      <c r="CH256" s="396"/>
      <c r="CI256" s="398"/>
      <c r="CJ256" s="396"/>
      <c r="CK256" s="398"/>
      <c r="CL256" s="396"/>
      <c r="CM256" s="399"/>
    </row>
    <row r="257" spans="1:91" ht="12" hidden="1" customHeight="1" outlineLevel="1" x14ac:dyDescent="0.2">
      <c r="A257" s="400" t="s">
        <v>463</v>
      </c>
      <c r="B257" s="425"/>
      <c r="C257" s="424"/>
      <c r="D257" s="436"/>
      <c r="E257" s="382"/>
      <c r="F257" s="436"/>
      <c r="G257" s="382"/>
      <c r="H257" s="436"/>
      <c r="I257" s="382"/>
      <c r="J257" s="436"/>
      <c r="K257" s="382"/>
      <c r="L257" s="436"/>
      <c r="M257" s="382"/>
      <c r="N257" s="436">
        <f>+INPUT!O154</f>
        <v>337300</v>
      </c>
      <c r="O257" s="382" t="str">
        <f>+INPUT!P154</f>
        <v>NA</v>
      </c>
      <c r="P257" s="436">
        <f>+INPUT!Q154</f>
        <v>336200</v>
      </c>
      <c r="Q257" s="382" t="str">
        <f>+INPUT!R154</f>
        <v>NA</v>
      </c>
      <c r="R257" s="436">
        <f>+INPUT!S154</f>
        <v>342700</v>
      </c>
      <c r="S257" s="382" t="str">
        <f>+INPUT!T154</f>
        <v>NA</v>
      </c>
      <c r="T257" s="436">
        <f>+INPUT!U154</f>
        <v>355200</v>
      </c>
      <c r="U257" s="382" t="str">
        <f>+INPUT!V154</f>
        <v>NA</v>
      </c>
      <c r="V257" s="436">
        <f>+INPUT!W154</f>
        <v>359600</v>
      </c>
      <c r="W257" s="382">
        <f>+INPUT!X154</f>
        <v>6.6113252297657965</v>
      </c>
      <c r="X257" s="436">
        <f>+INPUT!Y154</f>
        <v>354000</v>
      </c>
      <c r="Y257" s="382">
        <f>+INPUT!Z154</f>
        <v>5.2944675788221218</v>
      </c>
      <c r="Z257" s="436">
        <f>+INPUT!AA154</f>
        <v>360800</v>
      </c>
      <c r="AA257" s="382">
        <f>+INPUT!AB154</f>
        <v>5.2815873942223561</v>
      </c>
      <c r="AB257" s="436">
        <f>+INPUT!AC154</f>
        <v>368300</v>
      </c>
      <c r="AC257" s="382">
        <f>+INPUT!AD154</f>
        <v>3.6880630630630691</v>
      </c>
      <c r="AD257" s="436">
        <f>+INPUT!AE154</f>
        <v>382800</v>
      </c>
      <c r="AE257" s="382">
        <f>+INPUT!AF154</f>
        <v>6.4516129032257936</v>
      </c>
      <c r="AF257" s="436">
        <f>+INPUT!AG154</f>
        <v>397300</v>
      </c>
      <c r="AG257" s="382">
        <f>+INPUT!AH154</f>
        <v>12.2316384180791</v>
      </c>
      <c r="AH257" s="436">
        <f>+INPUT!AI154</f>
        <v>390500</v>
      </c>
      <c r="AI257" s="382">
        <f>+INPUT!AJ154</f>
        <v>8.2317073170731732</v>
      </c>
      <c r="AJ257" s="436">
        <f>+INPUT!AK154</f>
        <v>403000</v>
      </c>
      <c r="AK257" s="382">
        <f>+INPUT!AL154</f>
        <v>9.4216671191963002</v>
      </c>
      <c r="AL257" s="436">
        <f>+INPUT!AM154</f>
        <v>410400</v>
      </c>
      <c r="AM257" s="382">
        <f>+INPUT!AN154</f>
        <v>7.210031347962385</v>
      </c>
      <c r="AN257" s="436">
        <f>+INPUT!AO154</f>
        <v>423300</v>
      </c>
      <c r="AO257" s="382">
        <f>+INPUT!AP154</f>
        <v>6.5441731688899978</v>
      </c>
      <c r="AP257" s="436">
        <f>+INPUT!AQ154</f>
        <v>430900</v>
      </c>
      <c r="AQ257" s="382">
        <f>+INPUT!AR154</f>
        <v>10.345710627400777</v>
      </c>
      <c r="AR257" s="436">
        <f>+INPUT!AS154</f>
        <v>428436.43</v>
      </c>
      <c r="AS257" s="382">
        <f>+INPUT!AT154</f>
        <v>6.3117692307692437</v>
      </c>
      <c r="AT257" s="436">
        <f>+INPUT!AU154</f>
        <v>435155.562163</v>
      </c>
      <c r="AU257" s="382">
        <f>+INPUT!AV154</f>
        <v>6.0320570572611985</v>
      </c>
      <c r="AV257" s="436">
        <f>+INPUT!AW154</f>
        <v>442013.47748134832</v>
      </c>
      <c r="AW257" s="382">
        <f>+INPUT!AX154</f>
        <v>4.4208545904437244</v>
      </c>
      <c r="AX257" s="403"/>
      <c r="AY257" s="402"/>
      <c r="AZ257" s="432"/>
      <c r="BA257" s="402"/>
      <c r="BB257" s="432"/>
      <c r="BC257" s="402"/>
      <c r="BD257" s="432"/>
      <c r="BE257" s="402"/>
      <c r="BF257" s="382"/>
      <c r="BG257" s="402"/>
      <c r="BH257" s="382"/>
      <c r="BI257" s="402"/>
      <c r="BJ257" s="382"/>
      <c r="BK257" s="436"/>
      <c r="BL257" s="382"/>
      <c r="BM257" s="436"/>
      <c r="BN257" s="382"/>
      <c r="BO257" s="436"/>
      <c r="BP257" s="382"/>
      <c r="BQ257" s="436"/>
      <c r="BR257" s="382"/>
      <c r="BS257" s="436">
        <f>+INPUT!BB154</f>
        <v>0</v>
      </c>
      <c r="BT257" s="382" t="str">
        <f>+INPUT!BC154</f>
        <v>NA</v>
      </c>
      <c r="BU257" s="436">
        <f>+INPUT!BD154</f>
        <v>0</v>
      </c>
      <c r="BV257" s="382" t="str">
        <f>+INPUT!BE154</f>
        <v>NA</v>
      </c>
      <c r="BW257" s="436">
        <f>+INPUT!BF154</f>
        <v>342700</v>
      </c>
      <c r="BX257" s="382" t="str">
        <f>+INPUT!BG154</f>
        <v>NA</v>
      </c>
      <c r="BY257" s="436">
        <f>+INPUT!BH154</f>
        <v>360800</v>
      </c>
      <c r="BZ257" s="382">
        <f>+INPUT!BI154</f>
        <v>5.2815873942223561</v>
      </c>
      <c r="CA257" s="436">
        <f>+INPUT!BJ154</f>
        <v>390500</v>
      </c>
      <c r="CB257" s="382">
        <f>+INPUT!BK154</f>
        <v>8.2317073170731732</v>
      </c>
      <c r="CC257" s="436">
        <f>+INPUT!BL154</f>
        <v>430900</v>
      </c>
      <c r="CD257" s="382">
        <f>+INPUT!BM154</f>
        <v>10.345710627400777</v>
      </c>
      <c r="CE257" s="436">
        <f>+INPUT!BN154</f>
        <v>448200.19363976788</v>
      </c>
      <c r="CF257" s="382">
        <f>+INPUT!BO154</f>
        <v>4.0148975724687546</v>
      </c>
      <c r="CG257" s="436">
        <f>+INPUT!BP154</f>
        <v>474495.83581947623</v>
      </c>
      <c r="CH257" s="382">
        <f>+INPUT!BQ154</f>
        <v>5.8669412804499927</v>
      </c>
      <c r="CI257" s="436">
        <f>+INPUT!BR154</f>
        <v>503091.79249286512</v>
      </c>
      <c r="CJ257" s="382">
        <f>+INPUT!BS154</f>
        <v>6.0265980256712481</v>
      </c>
      <c r="CK257" s="436">
        <f>+INPUT!BT154</f>
        <v>534074.02687139949</v>
      </c>
      <c r="CL257" s="382">
        <f>+INPUT!BU154</f>
        <v>6.1583660955815986</v>
      </c>
      <c r="CM257" s="424">
        <f>+INPUT!BV154</f>
        <v>6.4623587196094068</v>
      </c>
    </row>
    <row r="258" spans="1:91" ht="12" hidden="1" customHeight="1" outlineLevel="1" x14ac:dyDescent="0.2">
      <c r="A258" s="400" t="s">
        <v>361</v>
      </c>
      <c r="B258" s="425"/>
      <c r="C258" s="424"/>
      <c r="D258" s="436"/>
      <c r="E258" s="382"/>
      <c r="F258" s="436"/>
      <c r="G258" s="382"/>
      <c r="H258" s="436"/>
      <c r="I258" s="382"/>
      <c r="J258" s="436"/>
      <c r="K258" s="382"/>
      <c r="L258" s="436"/>
      <c r="M258" s="382"/>
      <c r="N258" s="436">
        <f>+INPUT!O155</f>
        <v>16100</v>
      </c>
      <c r="O258" s="382" t="str">
        <f>+INPUT!P155</f>
        <v>NA</v>
      </c>
      <c r="P258" s="436">
        <f>+INPUT!Q155</f>
        <v>17800</v>
      </c>
      <c r="Q258" s="382" t="str">
        <f>+INPUT!R155</f>
        <v>NA</v>
      </c>
      <c r="R258" s="436">
        <f>+INPUT!S155</f>
        <v>20600</v>
      </c>
      <c r="S258" s="382" t="str">
        <f>+INPUT!T155</f>
        <v>NA</v>
      </c>
      <c r="T258" s="436">
        <f>+INPUT!U155</f>
        <v>19500</v>
      </c>
      <c r="U258" s="382" t="str">
        <f>+INPUT!V155</f>
        <v>NA</v>
      </c>
      <c r="V258" s="436">
        <f>+INPUT!W155</f>
        <v>18800</v>
      </c>
      <c r="W258" s="382">
        <f>+INPUT!X155</f>
        <v>16.770186335403722</v>
      </c>
      <c r="X258" s="436">
        <f>+INPUT!Y155</f>
        <v>17800</v>
      </c>
      <c r="Y258" s="382">
        <f>+INPUT!Z155</f>
        <v>0</v>
      </c>
      <c r="Z258" s="436">
        <f>+INPUT!AA155</f>
        <v>19800</v>
      </c>
      <c r="AA258" s="382">
        <f>+INPUT!AB155</f>
        <v>-3.8834951456310591</v>
      </c>
      <c r="AB258" s="436">
        <f>+INPUT!AC155</f>
        <v>20100</v>
      </c>
      <c r="AC258" s="382">
        <f>+INPUT!AD155</f>
        <v>3.076923076923066</v>
      </c>
      <c r="AD258" s="436">
        <f>+INPUT!AE155</f>
        <v>19600</v>
      </c>
      <c r="AE258" s="382">
        <f>+INPUT!AF155</f>
        <v>4.2553191489361808</v>
      </c>
      <c r="AF258" s="436">
        <f>+INPUT!AG155</f>
        <v>17700</v>
      </c>
      <c r="AG258" s="382">
        <f>+INPUT!AH155</f>
        <v>-0.56179775280898525</v>
      </c>
      <c r="AH258" s="436">
        <f>+INPUT!AI155</f>
        <v>20400</v>
      </c>
      <c r="AI258" s="382">
        <f>+INPUT!AJ155</f>
        <v>3.0303030303030312</v>
      </c>
      <c r="AJ258" s="436">
        <f>+INPUT!AK155</f>
        <v>16800</v>
      </c>
      <c r="AK258" s="382">
        <f>+INPUT!AL155</f>
        <v>-16.417910447761201</v>
      </c>
      <c r="AL258" s="436">
        <f>+INPUT!AM155</f>
        <v>19600</v>
      </c>
      <c r="AM258" s="382">
        <f>+INPUT!AN155</f>
        <v>0</v>
      </c>
      <c r="AN258" s="436">
        <f>+INPUT!AO155</f>
        <v>19100</v>
      </c>
      <c r="AO258" s="382">
        <f>+INPUT!AP155</f>
        <v>7.9096045197740068</v>
      </c>
      <c r="AP258" s="436">
        <f>+INPUT!AQ155</f>
        <v>21420</v>
      </c>
      <c r="AQ258" s="382">
        <f>+INPUT!AR155</f>
        <v>5</v>
      </c>
      <c r="AR258" s="436">
        <f>+INPUT!AS155</f>
        <v>20000</v>
      </c>
      <c r="AS258" s="382">
        <f>+INPUT!AT155</f>
        <v>19.047619047619051</v>
      </c>
      <c r="AT258" s="436">
        <f>+INPUT!AU155</f>
        <v>20580</v>
      </c>
      <c r="AU258" s="382">
        <f>+INPUT!AV155</f>
        <v>5</v>
      </c>
      <c r="AV258" s="436">
        <f>+INPUT!AW155</f>
        <v>20055</v>
      </c>
      <c r="AW258" s="382">
        <f>+INPUT!AX155</f>
        <v>5</v>
      </c>
      <c r="AX258" s="403"/>
      <c r="AY258" s="402"/>
      <c r="AZ258" s="432"/>
      <c r="BA258" s="402"/>
      <c r="BB258" s="432"/>
      <c r="BC258" s="402"/>
      <c r="BD258" s="432"/>
      <c r="BE258" s="402"/>
      <c r="BF258" s="382"/>
      <c r="BG258" s="402"/>
      <c r="BH258" s="382"/>
      <c r="BI258" s="402"/>
      <c r="BJ258" s="382"/>
      <c r="BK258" s="436"/>
      <c r="BL258" s="382"/>
      <c r="BM258" s="436"/>
      <c r="BN258" s="382"/>
      <c r="BO258" s="436"/>
      <c r="BP258" s="382"/>
      <c r="BQ258" s="436"/>
      <c r="BR258" s="382"/>
      <c r="BS258" s="436">
        <f>+INPUT!BB155</f>
        <v>0</v>
      </c>
      <c r="BT258" s="382" t="str">
        <f>+INPUT!BC155</f>
        <v>NA</v>
      </c>
      <c r="BU258" s="436">
        <f>+INPUT!BD155</f>
        <v>0</v>
      </c>
      <c r="BV258" s="382" t="str">
        <f>+INPUT!BE155</f>
        <v>NA</v>
      </c>
      <c r="BW258" s="436">
        <f>+INPUT!BF155</f>
        <v>76700</v>
      </c>
      <c r="BX258" s="382" t="str">
        <f>+INPUT!BG155</f>
        <v>NA</v>
      </c>
      <c r="BY258" s="436">
        <f>+INPUT!BH155</f>
        <v>77200</v>
      </c>
      <c r="BZ258" s="382">
        <f>+INPUT!BI155</f>
        <v>0.65189048239895442</v>
      </c>
      <c r="CA258" s="436">
        <f>+INPUT!BJ155</f>
        <v>75900</v>
      </c>
      <c r="CB258" s="382">
        <f>+INPUT!BK155</f>
        <v>-1.6839378238341851</v>
      </c>
      <c r="CC258" s="436">
        <f>+INPUT!BL155</f>
        <v>82055</v>
      </c>
      <c r="CD258" s="382">
        <f>+INPUT!BM155</f>
        <v>8.1093544137022349</v>
      </c>
      <c r="CE258" s="436">
        <f>+INPUT!BN155</f>
        <v>87798.85</v>
      </c>
      <c r="CF258" s="382">
        <f>+INPUT!BO155</f>
        <v>7</v>
      </c>
      <c r="CG258" s="436">
        <f>+INPUT!BP155</f>
        <v>93944.769500000009</v>
      </c>
      <c r="CH258" s="382">
        <f>+INPUT!BQ155</f>
        <v>7</v>
      </c>
      <c r="CI258" s="436">
        <f>+INPUT!BR155</f>
        <v>100520.90336500002</v>
      </c>
      <c r="CJ258" s="382">
        <f>+INPUT!BS155</f>
        <v>7</v>
      </c>
      <c r="CK258" s="436">
        <f>+INPUT!BT155</f>
        <v>107557.36660055003</v>
      </c>
      <c r="CL258" s="382">
        <f>+INPUT!BU155</f>
        <v>7</v>
      </c>
      <c r="CM258" s="424">
        <f>+INPUT!BV155</f>
        <v>7.2209564403064697</v>
      </c>
    </row>
    <row r="259" spans="1:91" ht="12" hidden="1" customHeight="1" outlineLevel="1" x14ac:dyDescent="0.2">
      <c r="A259" s="400" t="s">
        <v>245</v>
      </c>
      <c r="B259" s="425"/>
      <c r="C259" s="424"/>
      <c r="D259" s="436"/>
      <c r="E259" s="382"/>
      <c r="F259" s="436"/>
      <c r="G259" s="382"/>
      <c r="H259" s="436"/>
      <c r="I259" s="382"/>
      <c r="J259" s="436"/>
      <c r="K259" s="382"/>
      <c r="L259" s="436"/>
      <c r="M259" s="382"/>
      <c r="N259" s="436">
        <f>+INPUT!O156</f>
        <v>-14400</v>
      </c>
      <c r="O259" s="382" t="str">
        <f>+INPUT!P156</f>
        <v>NA</v>
      </c>
      <c r="P259" s="436">
        <f>+INPUT!Q156</f>
        <v>-16500</v>
      </c>
      <c r="Q259" s="382" t="str">
        <f>+INPUT!R156</f>
        <v>NA</v>
      </c>
      <c r="R259" s="436">
        <f>+INPUT!S156</f>
        <v>-13700</v>
      </c>
      <c r="S259" s="382" t="str">
        <f>+INPUT!T156</f>
        <v>NA</v>
      </c>
      <c r="T259" s="436">
        <f>+INPUT!U156</f>
        <v>-14800</v>
      </c>
      <c r="U259" s="382" t="str">
        <f>+INPUT!V156</f>
        <v>NA</v>
      </c>
      <c r="V259" s="436">
        <f>+INPUT!W156</f>
        <v>-15600</v>
      </c>
      <c r="W259" s="382">
        <f>+INPUT!X156</f>
        <v>8.3333333333333286</v>
      </c>
      <c r="X259" s="436">
        <f>+INPUT!Y156</f>
        <v>-17100</v>
      </c>
      <c r="Y259" s="382">
        <f>+INPUT!Z156</f>
        <v>3.6363636363636402</v>
      </c>
      <c r="Z259" s="436">
        <f>+INPUT!AA156</f>
        <v>-19100</v>
      </c>
      <c r="AA259" s="382">
        <f>+INPUT!AB156</f>
        <v>39.416058394160586</v>
      </c>
      <c r="AB259" s="436">
        <f>+INPUT!AC156</f>
        <v>-14400</v>
      </c>
      <c r="AC259" s="382">
        <f>+INPUT!AD156</f>
        <v>-2.7027027027026946</v>
      </c>
      <c r="AD259" s="436">
        <f>+INPUT!AE156</f>
        <v>-15400</v>
      </c>
      <c r="AE259" s="382">
        <f>+INPUT!AF156</f>
        <v>-1.2820512820512704</v>
      </c>
      <c r="AF259" s="436">
        <f>+INPUT!AG156</f>
        <v>-19300</v>
      </c>
      <c r="AG259" s="382">
        <f>+INPUT!AH156</f>
        <v>12.865497076023402</v>
      </c>
      <c r="AH259" s="436">
        <f>+INPUT!AI156</f>
        <v>-20400</v>
      </c>
      <c r="AI259" s="382">
        <f>+INPUT!AJ156</f>
        <v>6.8062827225130889</v>
      </c>
      <c r="AJ259" s="436">
        <f>+INPUT!AK156</f>
        <v>-19800</v>
      </c>
      <c r="AK259" s="382">
        <f>+INPUT!AL156</f>
        <v>37.5</v>
      </c>
      <c r="AL259" s="436">
        <f>+INPUT!AM156</f>
        <v>-17100</v>
      </c>
      <c r="AM259" s="382">
        <f>+INPUT!AN156</f>
        <v>11.038961038961048</v>
      </c>
      <c r="AN259" s="436">
        <f>+INPUT!AO156</f>
        <v>-21300</v>
      </c>
      <c r="AO259" s="382">
        <f>+INPUT!AP156</f>
        <v>10.362694300518129</v>
      </c>
      <c r="AP259" s="436">
        <f>+INPUT!AQ156</f>
        <v>-20467.75</v>
      </c>
      <c r="AQ259" s="382">
        <f>+INPUT!AR156</f>
        <v>0.33210784313726549</v>
      </c>
      <c r="AR259" s="436">
        <f>+INPUT!AS156</f>
        <v>-20350.730425000002</v>
      </c>
      <c r="AS259" s="382">
        <f>+INPUT!AT156</f>
        <v>2.7814667929292938</v>
      </c>
      <c r="AT259" s="436">
        <f>+INPUT!AU156</f>
        <v>-20669.889202742499</v>
      </c>
      <c r="AU259" s="382">
        <f>+INPUT!AV156</f>
        <v>20.876545045277766</v>
      </c>
      <c r="AV259" s="436">
        <f>+INPUT!AW156</f>
        <v>-20995.640180364047</v>
      </c>
      <c r="AW259" s="382">
        <f>+INPUT!AX156</f>
        <v>-1.4289193410138523</v>
      </c>
      <c r="AX259" s="403"/>
      <c r="AY259" s="402"/>
      <c r="AZ259" s="432"/>
      <c r="BA259" s="402"/>
      <c r="BB259" s="432"/>
      <c r="BC259" s="402"/>
      <c r="BD259" s="432"/>
      <c r="BE259" s="402"/>
      <c r="BF259" s="382"/>
      <c r="BG259" s="402"/>
      <c r="BH259" s="382"/>
      <c r="BI259" s="402"/>
      <c r="BJ259" s="382"/>
      <c r="BK259" s="436"/>
      <c r="BL259" s="382"/>
      <c r="BM259" s="436"/>
      <c r="BN259" s="382"/>
      <c r="BO259" s="436"/>
      <c r="BP259" s="382"/>
      <c r="BQ259" s="436"/>
      <c r="BR259" s="382"/>
      <c r="BS259" s="436">
        <f>+INPUT!BB156</f>
        <v>0</v>
      </c>
      <c r="BT259" s="382" t="str">
        <f>+INPUT!BC156</f>
        <v>NA</v>
      </c>
      <c r="BU259" s="436">
        <f>+INPUT!BD156</f>
        <v>0</v>
      </c>
      <c r="BV259" s="382" t="str">
        <f>+INPUT!BE156</f>
        <v>NA</v>
      </c>
      <c r="BW259" s="436">
        <f>+INPUT!BF156</f>
        <v>-61200</v>
      </c>
      <c r="BX259" s="382" t="str">
        <f>+INPUT!BG156</f>
        <v>NA</v>
      </c>
      <c r="BY259" s="436">
        <f>+INPUT!BH156</f>
        <v>-68200</v>
      </c>
      <c r="BZ259" s="382">
        <f>+INPUT!BI156</f>
        <v>11.437908496732035</v>
      </c>
      <c r="CA259" s="436">
        <f>+INPUT!BJ156</f>
        <v>-78600</v>
      </c>
      <c r="CB259" s="382">
        <f>+INPUT!BK156</f>
        <v>15.249266862170103</v>
      </c>
      <c r="CC259" s="436">
        <f>+INPUT!BL156</f>
        <v>-82484.009808106552</v>
      </c>
      <c r="CD259" s="382">
        <f>+INPUT!BM156</f>
        <v>4.9414883054790693</v>
      </c>
      <c r="CE259" s="436">
        <f>+INPUT!BN156</f>
        <v>-81313.656379169435</v>
      </c>
      <c r="CF259" s="382">
        <f>+INPUT!BO156</f>
        <v>-1.4188852259484719</v>
      </c>
      <c r="CG259" s="436">
        <f>+INPUT!BP156</f>
        <v>-86321.52876983193</v>
      </c>
      <c r="CH259" s="382">
        <f>+INPUT!BQ156</f>
        <v>6.1587101277435323</v>
      </c>
      <c r="CI259" s="436">
        <f>+INPUT!BR156</f>
        <v>-91775.326214650311</v>
      </c>
      <c r="CJ259" s="382">
        <f>+INPUT!BS156</f>
        <v>6.3180037732654313</v>
      </c>
      <c r="CK259" s="436">
        <f>+INPUT!BT156</f>
        <v>-97694.223801798449</v>
      </c>
      <c r="CL259" s="382">
        <f>+INPUT!BU156</f>
        <v>6.4493342941703418</v>
      </c>
      <c r="CM259" s="424">
        <f>+INPUT!BV156</f>
        <v>4.4453881331754541</v>
      </c>
    </row>
    <row r="260" spans="1:91" ht="12" hidden="1" customHeight="1" outlineLevel="1" x14ac:dyDescent="0.2">
      <c r="A260" s="400" t="s">
        <v>246</v>
      </c>
      <c r="B260" s="425"/>
      <c r="C260" s="424"/>
      <c r="D260" s="436"/>
      <c r="E260" s="382"/>
      <c r="F260" s="436"/>
      <c r="G260" s="382"/>
      <c r="H260" s="436"/>
      <c r="I260" s="382"/>
      <c r="J260" s="436"/>
      <c r="K260" s="382"/>
      <c r="L260" s="436"/>
      <c r="M260" s="382"/>
      <c r="N260" s="436">
        <f>+INPUT!O157</f>
        <v>-2100</v>
      </c>
      <c r="O260" s="382" t="str">
        <f>+INPUT!P157</f>
        <v>NA</v>
      </c>
      <c r="P260" s="436">
        <f>+INPUT!Q157</f>
        <v>6300</v>
      </c>
      <c r="Q260" s="382" t="str">
        <f>+INPUT!R157</f>
        <v>NA</v>
      </c>
      <c r="R260" s="436">
        <f>+INPUT!S157</f>
        <v>6900</v>
      </c>
      <c r="S260" s="382" t="str">
        <f>+INPUT!T157</f>
        <v>NA</v>
      </c>
      <c r="T260" s="436">
        <f>+INPUT!U157</f>
        <v>-800</v>
      </c>
      <c r="U260" s="382" t="str">
        <f>+INPUT!V157</f>
        <v>NA</v>
      </c>
      <c r="V260" s="436">
        <f>+INPUT!W157</f>
        <v>-10300</v>
      </c>
      <c r="W260" s="382" t="str">
        <f>+INPUT!X157</f>
        <v>NM</v>
      </c>
      <c r="X260" s="436">
        <f>+INPUT!Y157</f>
        <v>4800</v>
      </c>
      <c r="Y260" s="382">
        <f>+INPUT!Z157</f>
        <v>-23.80952380952381</v>
      </c>
      <c r="Z260" s="436">
        <f>+INPUT!AA157</f>
        <v>5400</v>
      </c>
      <c r="AA260" s="382">
        <f>+INPUT!AB157</f>
        <v>-21.739130434782609</v>
      </c>
      <c r="AB260" s="436">
        <f>+INPUT!AC157</f>
        <v>9500</v>
      </c>
      <c r="AC260" s="382" t="str">
        <f>+INPUT!AD157</f>
        <v>NM</v>
      </c>
      <c r="AD260" s="436">
        <f>+INPUT!AE157</f>
        <v>10200</v>
      </c>
      <c r="AE260" s="382" t="str">
        <f>+INPUT!AF157</f>
        <v>NM</v>
      </c>
      <c r="AF260" s="436">
        <f>+INPUT!AG157</f>
        <v>-3400</v>
      </c>
      <c r="AG260" s="382" t="str">
        <f>+INPUT!AH157</f>
        <v>NM</v>
      </c>
      <c r="AH260" s="436">
        <f>+INPUT!AI157</f>
        <v>12700</v>
      </c>
      <c r="AI260" s="382" t="str">
        <f>+INPUT!AJ157</f>
        <v>NM</v>
      </c>
      <c r="AJ260" s="436">
        <f>+INPUT!AK157</f>
        <v>10300</v>
      </c>
      <c r="AK260" s="382">
        <f>+INPUT!AL157</f>
        <v>8.4210526315789451</v>
      </c>
      <c r="AL260" s="436">
        <f>+INPUT!AM157</f>
        <v>10400</v>
      </c>
      <c r="AM260" s="382">
        <f>+INPUT!AN157</f>
        <v>1.9607843137254832</v>
      </c>
      <c r="AN260" s="436">
        <f>+INPUT!AO157</f>
        <v>9700</v>
      </c>
      <c r="AO260" s="382" t="str">
        <f>+INPUT!AP157</f>
        <v>NM</v>
      </c>
      <c r="AP260" s="436">
        <f>+INPUT!AQ157</f>
        <v>-3415.8199999999997</v>
      </c>
      <c r="AQ260" s="382" t="str">
        <f>+INPUT!AR157</f>
        <v>NM</v>
      </c>
      <c r="AR260" s="436">
        <f>+INPUT!AS157</f>
        <v>7069.862588</v>
      </c>
      <c r="AS260" s="382">
        <f>+INPUT!AT157</f>
        <v>-31.360557398058248</v>
      </c>
      <c r="AT260" s="436">
        <f>+INPUT!AU157</f>
        <v>6947.8045210908003</v>
      </c>
      <c r="AU260" s="382">
        <f>+INPUT!AV157</f>
        <v>-33.194187297203854</v>
      </c>
      <c r="AV260" s="436">
        <f>+INPUT!AW157</f>
        <v>7127.3563387836402</v>
      </c>
      <c r="AW260" s="382">
        <f>+INPUT!AX157</f>
        <v>-26.522099600168659</v>
      </c>
      <c r="AX260" s="403"/>
      <c r="AY260" s="402"/>
      <c r="AZ260" s="432"/>
      <c r="BA260" s="402"/>
      <c r="BB260" s="432"/>
      <c r="BC260" s="402"/>
      <c r="BD260" s="432"/>
      <c r="BE260" s="402"/>
      <c r="BF260" s="382"/>
      <c r="BG260" s="402"/>
      <c r="BH260" s="382"/>
      <c r="BI260" s="402"/>
      <c r="BJ260" s="382"/>
      <c r="BK260" s="436"/>
      <c r="BL260" s="382"/>
      <c r="BM260" s="436"/>
      <c r="BN260" s="382"/>
      <c r="BO260" s="436"/>
      <c r="BP260" s="382"/>
      <c r="BQ260" s="436"/>
      <c r="BR260" s="382"/>
      <c r="BS260" s="436">
        <f>+INPUT!BB157</f>
        <v>0</v>
      </c>
      <c r="BT260" s="382" t="str">
        <f>+INPUT!BC157</f>
        <v>NA</v>
      </c>
      <c r="BU260" s="436">
        <f>+INPUT!BD157</f>
        <v>0</v>
      </c>
      <c r="BV260" s="382" t="str">
        <f>+INPUT!BE157</f>
        <v>NA</v>
      </c>
      <c r="BW260" s="436">
        <f>+INPUT!BF157</f>
        <v>600</v>
      </c>
      <c r="BX260" s="382" t="str">
        <f>+INPUT!BG157</f>
        <v>NA</v>
      </c>
      <c r="BY260" s="436">
        <f>+INPUT!BH157</f>
        <v>21700</v>
      </c>
      <c r="BZ260" s="382" t="str">
        <f>+INPUT!BI157</f>
        <v>NM</v>
      </c>
      <c r="CA260" s="436">
        <f>+INPUT!BJ157</f>
        <v>43100</v>
      </c>
      <c r="CB260" s="382">
        <f>+INPUT!BK157</f>
        <v>98.61751152073731</v>
      </c>
      <c r="CC260" s="436">
        <f>+INPUT!BL157</f>
        <v>17729.203447874439</v>
      </c>
      <c r="CD260" s="382" t="str">
        <f>+INPUT!BM157</f>
        <v>NM</v>
      </c>
      <c r="CE260" s="436">
        <f>+INPUT!BN157</f>
        <v>19810.448558877742</v>
      </c>
      <c r="CF260" s="382">
        <f>+INPUT!BO157</f>
        <v>11.739078504696309</v>
      </c>
      <c r="CG260" s="436">
        <f>+INPUT!BP157</f>
        <v>20972.71594322085</v>
      </c>
      <c r="CH260" s="382">
        <f>+INPUT!BQ157</f>
        <v>5.8669412804499785</v>
      </c>
      <c r="CI260" s="436">
        <f>+INPUT!BR157</f>
        <v>22236.657228184638</v>
      </c>
      <c r="CJ260" s="382">
        <f>+INPUT!BS157</f>
        <v>6.0265980256712481</v>
      </c>
      <c r="CK260" s="436">
        <f>+INPUT!BT157</f>
        <v>23606.071987715855</v>
      </c>
      <c r="CL260" s="382">
        <f>+INPUT!BU157</f>
        <v>6.1583660955815986</v>
      </c>
      <c r="CM260" s="424">
        <f>+INPUT!BV157</f>
        <v>-11.343763487469483</v>
      </c>
    </row>
    <row r="261" spans="1:91" ht="12" hidden="1" customHeight="1" outlineLevel="1" x14ac:dyDescent="0.2">
      <c r="A261" s="400" t="s">
        <v>247</v>
      </c>
      <c r="B261" s="425"/>
      <c r="C261" s="424"/>
      <c r="D261" s="436"/>
      <c r="E261" s="382"/>
      <c r="F261" s="436"/>
      <c r="G261" s="382"/>
      <c r="H261" s="436"/>
      <c r="I261" s="382"/>
      <c r="J261" s="436"/>
      <c r="K261" s="382"/>
      <c r="L261" s="436"/>
      <c r="M261" s="382"/>
      <c r="N261" s="436">
        <f>+INPUT!O158</f>
        <v>-700</v>
      </c>
      <c r="O261" s="382" t="str">
        <f>+INPUT!P158</f>
        <v>NA</v>
      </c>
      <c r="P261" s="436">
        <f>+INPUT!Q158</f>
        <v>-1100</v>
      </c>
      <c r="Q261" s="382" t="str">
        <f>+INPUT!R158</f>
        <v>NA</v>
      </c>
      <c r="R261" s="436">
        <f>+INPUT!S158</f>
        <v>-1300</v>
      </c>
      <c r="S261" s="382" t="str">
        <f>+INPUT!T158</f>
        <v>NA</v>
      </c>
      <c r="T261" s="436">
        <f>+INPUT!U158</f>
        <v>500</v>
      </c>
      <c r="U261" s="382" t="str">
        <f>+INPUT!V158</f>
        <v>NA</v>
      </c>
      <c r="V261" s="436">
        <f>+INPUT!W158</f>
        <v>1500</v>
      </c>
      <c r="W261" s="382" t="str">
        <f>+INPUT!X158</f>
        <v>NM</v>
      </c>
      <c r="X261" s="436">
        <f>+INPUT!Y158</f>
        <v>1300</v>
      </c>
      <c r="Y261" s="382" t="str">
        <f>+INPUT!Z158</f>
        <v>NM</v>
      </c>
      <c r="Z261" s="436">
        <f>+INPUT!AA158</f>
        <v>1400</v>
      </c>
      <c r="AA261" s="382" t="str">
        <f>+INPUT!AB158</f>
        <v>NM</v>
      </c>
      <c r="AB261" s="436">
        <f>+INPUT!AC158</f>
        <v>-700</v>
      </c>
      <c r="AC261" s="382" t="str">
        <f>+INPUT!AD158</f>
        <v>NM</v>
      </c>
      <c r="AD261" s="436">
        <f>+INPUT!AE158</f>
        <v>100</v>
      </c>
      <c r="AE261" s="382" t="str">
        <f>+INPUT!AF158</f>
        <v>NM</v>
      </c>
      <c r="AF261" s="436">
        <f>+INPUT!AG158</f>
        <v>-1800</v>
      </c>
      <c r="AG261" s="382" t="str">
        <f>+INPUT!AH158</f>
        <v>NM</v>
      </c>
      <c r="AH261" s="436">
        <f>+INPUT!AI158</f>
        <v>-200</v>
      </c>
      <c r="AI261" s="382" t="str">
        <f>+INPUT!AJ158</f>
        <v>NM</v>
      </c>
      <c r="AJ261" s="436">
        <f>+INPUT!AK158</f>
        <v>100</v>
      </c>
      <c r="AK261" s="382" t="str">
        <f>+INPUT!AL158</f>
        <v>NM</v>
      </c>
      <c r="AL261" s="436">
        <f>+INPUT!AM158</f>
        <v>0</v>
      </c>
      <c r="AM261" s="382" t="str">
        <f>+INPUT!AN158</f>
        <v>NM</v>
      </c>
      <c r="AN261" s="436">
        <f>+INPUT!AO158</f>
        <v>100</v>
      </c>
      <c r="AO261" s="382" t="str">
        <f>+INPUT!AP158</f>
        <v>NM</v>
      </c>
      <c r="AP261" s="436">
        <f>+INPUT!AQ158</f>
        <v>0</v>
      </c>
      <c r="AQ261" s="382" t="str">
        <f>+INPUT!AR158</f>
        <v>NM</v>
      </c>
      <c r="AR261" s="436">
        <f>+INPUT!AS158</f>
        <v>0</v>
      </c>
      <c r="AS261" s="382" t="str">
        <f>+INPUT!AT158</f>
        <v>NM</v>
      </c>
      <c r="AT261" s="436">
        <f>+INPUT!AU158</f>
        <v>0</v>
      </c>
      <c r="AU261" s="382" t="str">
        <f>+INPUT!AV158</f>
        <v>NA</v>
      </c>
      <c r="AV261" s="436">
        <f>+INPUT!AW158</f>
        <v>0</v>
      </c>
      <c r="AW261" s="382" t="str">
        <f>+INPUT!AX158</f>
        <v>NM</v>
      </c>
      <c r="AX261" s="403"/>
      <c r="AY261" s="402"/>
      <c r="AZ261" s="432"/>
      <c r="BA261" s="402"/>
      <c r="BB261" s="432"/>
      <c r="BC261" s="402"/>
      <c r="BD261" s="432"/>
      <c r="BE261" s="402"/>
      <c r="BF261" s="382"/>
      <c r="BG261" s="402"/>
      <c r="BH261" s="382"/>
      <c r="BI261" s="402"/>
      <c r="BJ261" s="382"/>
      <c r="BK261" s="436"/>
      <c r="BL261" s="382"/>
      <c r="BM261" s="436"/>
      <c r="BN261" s="382"/>
      <c r="BO261" s="436"/>
      <c r="BP261" s="382"/>
      <c r="BQ261" s="436"/>
      <c r="BR261" s="382"/>
      <c r="BS261" s="436">
        <f>+INPUT!BB158</f>
        <v>0</v>
      </c>
      <c r="BT261" s="382" t="str">
        <f>+INPUT!BC158</f>
        <v>NA</v>
      </c>
      <c r="BU261" s="436">
        <f>+INPUT!BD158</f>
        <v>0</v>
      </c>
      <c r="BV261" s="382" t="str">
        <f>+INPUT!BE158</f>
        <v>NA</v>
      </c>
      <c r="BW261" s="436">
        <f>+INPUT!BF158</f>
        <v>2000</v>
      </c>
      <c r="BX261" s="382" t="str">
        <f>+INPUT!BG158</f>
        <v>NA</v>
      </c>
      <c r="BY261" s="436">
        <f>+INPUT!BH158</f>
        <v>-1000</v>
      </c>
      <c r="BZ261" s="382" t="str">
        <f>+INPUT!BI158</f>
        <v>NM</v>
      </c>
      <c r="CA261" s="436">
        <f>+INPUT!BJ158</f>
        <v>0</v>
      </c>
      <c r="CB261" s="382" t="str">
        <f>+INPUT!BK158</f>
        <v>NM</v>
      </c>
      <c r="CC261" s="436">
        <f>+INPUT!BL158</f>
        <v>0</v>
      </c>
      <c r="CD261" s="382" t="str">
        <f>+INPUT!BM158</f>
        <v>NA</v>
      </c>
      <c r="CE261" s="436">
        <f>+INPUT!BN158</f>
        <v>0</v>
      </c>
      <c r="CF261" s="382" t="str">
        <f>+INPUT!BO158</f>
        <v>NA</v>
      </c>
      <c r="CG261" s="436">
        <f>+INPUT!BP158</f>
        <v>0</v>
      </c>
      <c r="CH261" s="382" t="str">
        <f>+INPUT!BQ158</f>
        <v>NA</v>
      </c>
      <c r="CI261" s="436">
        <f>+INPUT!BR158</f>
        <v>0</v>
      </c>
      <c r="CJ261" s="382" t="str">
        <f>+INPUT!BS158</f>
        <v>NA</v>
      </c>
      <c r="CK261" s="436">
        <f>+INPUT!BT158</f>
        <v>0</v>
      </c>
      <c r="CL261" s="382" t="str">
        <f>+INPUT!BU158</f>
        <v>NA</v>
      </c>
      <c r="CM261" s="424" t="str">
        <f>+INPUT!BV158</f>
        <v>NA</v>
      </c>
    </row>
    <row r="262" spans="1:91" ht="12" hidden="1" customHeight="1" outlineLevel="1" x14ac:dyDescent="0.2">
      <c r="A262" s="400" t="s">
        <v>70</v>
      </c>
      <c r="B262" s="425"/>
      <c r="C262" s="424"/>
      <c r="D262" s="436"/>
      <c r="E262" s="382"/>
      <c r="F262" s="436"/>
      <c r="G262" s="382"/>
      <c r="H262" s="436"/>
      <c r="I262" s="382"/>
      <c r="J262" s="436"/>
      <c r="K262" s="382"/>
      <c r="L262" s="436"/>
      <c r="M262" s="382"/>
      <c r="N262" s="436">
        <f>+INPUT!O159</f>
        <v>336200</v>
      </c>
      <c r="O262" s="382" t="str">
        <f>+INPUT!P159</f>
        <v>NA</v>
      </c>
      <c r="P262" s="436">
        <f>+INPUT!Q159</f>
        <v>342700</v>
      </c>
      <c r="Q262" s="382" t="str">
        <f>+INPUT!R159</f>
        <v>NA</v>
      </c>
      <c r="R262" s="436">
        <f>+INPUT!S159</f>
        <v>355200</v>
      </c>
      <c r="S262" s="382" t="str">
        <f>+INPUT!T159</f>
        <v>NA</v>
      </c>
      <c r="T262" s="436">
        <f>+INPUT!U159</f>
        <v>359600</v>
      </c>
      <c r="U262" s="382" t="str">
        <f>+INPUT!V159</f>
        <v>NA</v>
      </c>
      <c r="V262" s="436">
        <f>+INPUT!W159</f>
        <v>354000</v>
      </c>
      <c r="W262" s="382">
        <f>+INPUT!X159</f>
        <v>5.2944675788221218</v>
      </c>
      <c r="X262" s="436">
        <f>+INPUT!Y159</f>
        <v>360800</v>
      </c>
      <c r="Y262" s="382">
        <f>+INPUT!Z159</f>
        <v>5.2815873942223561</v>
      </c>
      <c r="Z262" s="436">
        <f>+INPUT!AA159</f>
        <v>368300</v>
      </c>
      <c r="AA262" s="382">
        <f>+INPUT!AB159</f>
        <v>3.6880630630630691</v>
      </c>
      <c r="AB262" s="436">
        <f>+INPUT!AC159</f>
        <v>382800</v>
      </c>
      <c r="AC262" s="382">
        <f>+INPUT!AD159</f>
        <v>6.4516129032257936</v>
      </c>
      <c r="AD262" s="436">
        <f>+INPUT!AE159</f>
        <v>397300</v>
      </c>
      <c r="AE262" s="382">
        <f>+INPUT!AF159</f>
        <v>12.2316384180791</v>
      </c>
      <c r="AF262" s="436">
        <f>+INPUT!AG159</f>
        <v>390500</v>
      </c>
      <c r="AG262" s="382">
        <f>+INPUT!AH159</f>
        <v>8.2317073170731732</v>
      </c>
      <c r="AH262" s="436">
        <f>+INPUT!AI159</f>
        <v>403000</v>
      </c>
      <c r="AI262" s="382">
        <f>+INPUT!AJ159</f>
        <v>9.4216671191963002</v>
      </c>
      <c r="AJ262" s="436">
        <f>+INPUT!AK159</f>
        <v>410400</v>
      </c>
      <c r="AK262" s="382">
        <f>+INPUT!AL159</f>
        <v>7.210031347962385</v>
      </c>
      <c r="AL262" s="436">
        <f>+INPUT!AM159</f>
        <v>423300</v>
      </c>
      <c r="AM262" s="382">
        <f>+INPUT!AN159</f>
        <v>6.5441731688899978</v>
      </c>
      <c r="AN262" s="436">
        <f>+INPUT!AO159</f>
        <v>430900</v>
      </c>
      <c r="AO262" s="382">
        <f>+INPUT!AP159</f>
        <v>10.345710627400777</v>
      </c>
      <c r="AP262" s="436">
        <f>+INPUT!AQ159</f>
        <v>428436.43</v>
      </c>
      <c r="AQ262" s="382">
        <f>+INPUT!AR159</f>
        <v>6.3117692307692437</v>
      </c>
      <c r="AR262" s="436">
        <f>+INPUT!AS159</f>
        <v>435155.562163</v>
      </c>
      <c r="AS262" s="382">
        <f>+INPUT!AT159</f>
        <v>6.0320570572611985</v>
      </c>
      <c r="AT262" s="436">
        <f>+INPUT!AU159</f>
        <v>442013.47748134832</v>
      </c>
      <c r="AU262" s="382">
        <f>+INPUT!AV159</f>
        <v>4.4208545904437244</v>
      </c>
      <c r="AV262" s="436">
        <f>+INPUT!AW159</f>
        <v>448200.19363976794</v>
      </c>
      <c r="AW262" s="382">
        <f>+INPUT!AX159</f>
        <v>4.014897572468783</v>
      </c>
      <c r="AX262" s="403"/>
      <c r="AY262" s="402"/>
      <c r="AZ262" s="432"/>
      <c r="BA262" s="402"/>
      <c r="BB262" s="432"/>
      <c r="BC262" s="402"/>
      <c r="BD262" s="432"/>
      <c r="BE262" s="402"/>
      <c r="BF262" s="382"/>
      <c r="BG262" s="402"/>
      <c r="BH262" s="382"/>
      <c r="BI262" s="402"/>
      <c r="BJ262" s="382"/>
      <c r="BK262" s="436"/>
      <c r="BL262" s="382"/>
      <c r="BM262" s="436"/>
      <c r="BN262" s="382"/>
      <c r="BO262" s="436"/>
      <c r="BP262" s="382"/>
      <c r="BQ262" s="436"/>
      <c r="BR262" s="382"/>
      <c r="BS262" s="436">
        <f>+INPUT!BB159</f>
        <v>0</v>
      </c>
      <c r="BT262" s="382" t="str">
        <f>+INPUT!BC159</f>
        <v>NA</v>
      </c>
      <c r="BU262" s="436">
        <f>+INPUT!BD159</f>
        <v>342700</v>
      </c>
      <c r="BV262" s="382" t="str">
        <f>+INPUT!BE159</f>
        <v>NA</v>
      </c>
      <c r="BW262" s="436">
        <f>+INPUT!BF159</f>
        <v>360800</v>
      </c>
      <c r="BX262" s="382">
        <f>+INPUT!BG159</f>
        <v>5.2815873942223561</v>
      </c>
      <c r="BY262" s="436">
        <f>+INPUT!BH159</f>
        <v>390500</v>
      </c>
      <c r="BZ262" s="382">
        <f>+INPUT!BI159</f>
        <v>8.2317073170731732</v>
      </c>
      <c r="CA262" s="436">
        <f>+INPUT!BJ159</f>
        <v>430900</v>
      </c>
      <c r="CB262" s="382">
        <f>+INPUT!BK159</f>
        <v>10.345710627400777</v>
      </c>
      <c r="CC262" s="436">
        <f>+INPUT!BL159</f>
        <v>448200.19363976788</v>
      </c>
      <c r="CD262" s="382">
        <f>+INPUT!BM159</f>
        <v>4.0148975724687546</v>
      </c>
      <c r="CE262" s="436">
        <f>+INPUT!BN159</f>
        <v>474495.83581947623</v>
      </c>
      <c r="CF262" s="382">
        <f>+INPUT!BO159</f>
        <v>5.8669412804499927</v>
      </c>
      <c r="CG262" s="436">
        <f>+INPUT!BP159</f>
        <v>503091.79249286512</v>
      </c>
      <c r="CH262" s="382">
        <f>+INPUT!BQ159</f>
        <v>6.0265980256712481</v>
      </c>
      <c r="CI262" s="436">
        <f>+INPUT!BR159</f>
        <v>534074.02687139949</v>
      </c>
      <c r="CJ262" s="382">
        <f>+INPUT!BS159</f>
        <v>6.1583660955815986</v>
      </c>
      <c r="CK262" s="436">
        <f>+INPUT!BT159</f>
        <v>567543.24165786698</v>
      </c>
      <c r="CL262" s="382">
        <f>+INPUT!BU159</f>
        <v>6.2667744736679651</v>
      </c>
      <c r="CM262" s="424">
        <f>+INPUT!BV159</f>
        <v>5.663378423564458</v>
      </c>
    </row>
    <row r="263" spans="1:91" ht="12" hidden="1" customHeight="1" outlineLevel="1" x14ac:dyDescent="0.2">
      <c r="A263" s="400"/>
      <c r="B263" s="425"/>
      <c r="C263" s="424"/>
      <c r="D263" s="436"/>
      <c r="E263" s="382"/>
      <c r="F263" s="436"/>
      <c r="G263" s="382"/>
      <c r="H263" s="436"/>
      <c r="I263" s="382"/>
      <c r="J263" s="436"/>
      <c r="K263" s="382"/>
      <c r="L263" s="436"/>
      <c r="M263" s="382"/>
      <c r="N263" s="436"/>
      <c r="O263" s="382"/>
      <c r="P263" s="436"/>
      <c r="Q263" s="382"/>
      <c r="R263" s="436"/>
      <c r="S263" s="382"/>
      <c r="T263" s="436"/>
      <c r="U263" s="382"/>
      <c r="V263" s="436"/>
      <c r="W263" s="382"/>
      <c r="X263" s="436"/>
      <c r="Y263" s="382"/>
      <c r="Z263" s="436"/>
      <c r="AA263" s="382"/>
      <c r="AB263" s="436"/>
      <c r="AC263" s="382"/>
      <c r="AD263" s="436"/>
      <c r="AE263" s="382"/>
      <c r="AF263" s="436"/>
      <c r="AG263" s="382"/>
      <c r="AH263" s="436"/>
      <c r="AI263" s="382"/>
      <c r="AJ263" s="436"/>
      <c r="AK263" s="382"/>
      <c r="AL263" s="436"/>
      <c r="AM263" s="382"/>
      <c r="AN263" s="436"/>
      <c r="AO263" s="382"/>
      <c r="AP263" s="436"/>
      <c r="AQ263" s="382"/>
      <c r="AR263" s="436"/>
      <c r="AS263" s="382"/>
      <c r="AT263" s="436"/>
      <c r="AU263" s="382"/>
      <c r="AV263" s="436"/>
      <c r="AW263" s="382"/>
      <c r="AX263" s="403"/>
      <c r="AY263" s="402"/>
      <c r="AZ263" s="432"/>
      <c r="BA263" s="402"/>
      <c r="BB263" s="432"/>
      <c r="BC263" s="402"/>
      <c r="BD263" s="432"/>
      <c r="BE263" s="402"/>
      <c r="BF263" s="382"/>
      <c r="BG263" s="402"/>
      <c r="BH263" s="382"/>
      <c r="BI263" s="402"/>
      <c r="BJ263" s="382"/>
      <c r="BK263" s="436"/>
      <c r="BL263" s="382"/>
      <c r="BM263" s="436"/>
      <c r="BN263" s="382"/>
      <c r="BO263" s="436"/>
      <c r="BP263" s="382"/>
      <c r="BQ263" s="436"/>
      <c r="BR263" s="382"/>
      <c r="BS263" s="436"/>
      <c r="BT263" s="382"/>
      <c r="BU263" s="436"/>
      <c r="BV263" s="382"/>
      <c r="BW263" s="436"/>
      <c r="BX263" s="382"/>
      <c r="BY263" s="436"/>
      <c r="BZ263" s="382"/>
      <c r="CA263" s="436"/>
      <c r="CB263" s="382"/>
      <c r="CC263" s="436"/>
      <c r="CD263" s="382"/>
      <c r="CE263" s="436"/>
      <c r="CF263" s="382"/>
      <c r="CG263" s="436"/>
      <c r="CH263" s="382"/>
      <c r="CI263" s="436"/>
      <c r="CJ263" s="382"/>
      <c r="CK263" s="436"/>
      <c r="CL263" s="382"/>
      <c r="CM263" s="424"/>
    </row>
    <row r="264" spans="1:91" ht="12" hidden="1" customHeight="1" outlineLevel="1" x14ac:dyDescent="0.2">
      <c r="A264" s="400" t="s">
        <v>71</v>
      </c>
      <c r="B264" s="425"/>
      <c r="C264" s="424"/>
      <c r="D264" s="436"/>
      <c r="E264" s="382"/>
      <c r="F264" s="436"/>
      <c r="G264" s="382"/>
      <c r="H264" s="436"/>
      <c r="I264" s="382"/>
      <c r="J264" s="436"/>
      <c r="K264" s="382"/>
      <c r="L264" s="436"/>
      <c r="M264" s="382"/>
      <c r="N264" s="436">
        <f>+INPUT!O161</f>
        <v>336750</v>
      </c>
      <c r="O264" s="382" t="str">
        <f>+INPUT!P161</f>
        <v>NA</v>
      </c>
      <c r="P264" s="436">
        <f>+INPUT!Q161</f>
        <v>339450</v>
      </c>
      <c r="Q264" s="382" t="str">
        <f>+INPUT!R161</f>
        <v>NA</v>
      </c>
      <c r="R264" s="436">
        <f>+INPUT!S161</f>
        <v>348950</v>
      </c>
      <c r="S264" s="382" t="str">
        <f>+INPUT!T161</f>
        <v>NA</v>
      </c>
      <c r="T264" s="436">
        <f>+INPUT!U161</f>
        <v>357400</v>
      </c>
      <c r="U264" s="382" t="str">
        <f>+INPUT!V161</f>
        <v>NA</v>
      </c>
      <c r="V264" s="436">
        <f>+INPUT!W161</f>
        <v>356800</v>
      </c>
      <c r="W264" s="382">
        <f>+INPUT!X161</f>
        <v>5.9539717891611019</v>
      </c>
      <c r="X264" s="436">
        <f>+INPUT!Y161</f>
        <v>357400</v>
      </c>
      <c r="Y264" s="382">
        <f>+INPUT!Z161</f>
        <v>5.2879658270732079</v>
      </c>
      <c r="Z264" s="436">
        <f>+INPUT!AA161</f>
        <v>343110</v>
      </c>
      <c r="AA264" s="382">
        <f>+INPUT!AB161</f>
        <v>-1.673592205186992</v>
      </c>
      <c r="AB264" s="436">
        <f>+INPUT!AC161</f>
        <v>375550</v>
      </c>
      <c r="AC264" s="382">
        <f>+INPUT!AD161</f>
        <v>5.0783435926133222</v>
      </c>
      <c r="AD264" s="436">
        <f>+INPUT!AE161</f>
        <v>390050</v>
      </c>
      <c r="AE264" s="382">
        <f>+INPUT!AF161</f>
        <v>9.3189461883408171</v>
      </c>
      <c r="AF264" s="436">
        <f>+INPUT!AG161</f>
        <v>393900</v>
      </c>
      <c r="AG264" s="382">
        <f>+INPUT!AH161</f>
        <v>10.212646894236158</v>
      </c>
      <c r="AH264" s="436">
        <f>+INPUT!AI161</f>
        <v>396750</v>
      </c>
      <c r="AI264" s="382">
        <f>+INPUT!AJ161</f>
        <v>15.633470315642214</v>
      </c>
      <c r="AJ264" s="436">
        <f>+INPUT!AK161</f>
        <v>406700</v>
      </c>
      <c r="AK264" s="382">
        <f>+INPUT!AL161</f>
        <v>8.2945013979496736</v>
      </c>
      <c r="AL264" s="436">
        <f>+INPUT!AM161</f>
        <v>416850</v>
      </c>
      <c r="AM264" s="382">
        <f>+INPUT!AN161</f>
        <v>6.8709139853864798</v>
      </c>
      <c r="AN264" s="436">
        <f>+INPUT!AO161</f>
        <v>427100</v>
      </c>
      <c r="AO264" s="382">
        <f>+INPUT!AP161</f>
        <v>8.4285351612084298</v>
      </c>
      <c r="AP264" s="436">
        <f>+INPUT!AQ161</f>
        <v>429668.21499999997</v>
      </c>
      <c r="AQ264" s="382">
        <f>+INPUT!AR161</f>
        <v>8.2969666036546812</v>
      </c>
      <c r="AR264" s="436">
        <f>+INPUT!AS161</f>
        <v>431795.99608149996</v>
      </c>
      <c r="AS264" s="382">
        <f>+INPUT!AT161</f>
        <v>6.1706407871895692</v>
      </c>
      <c r="AT264" s="436">
        <f>+INPUT!AU161</f>
        <v>438584.51982217416</v>
      </c>
      <c r="AU264" s="382">
        <f>+INPUT!AV161</f>
        <v>5.2139906014571551</v>
      </c>
      <c r="AV264" s="436">
        <f>+INPUT!AW161</f>
        <v>445106.83556055813</v>
      </c>
      <c r="AW264" s="382">
        <f>+INPUT!AX161</f>
        <v>4.2160701382716326</v>
      </c>
      <c r="AX264" s="403"/>
      <c r="AY264" s="402"/>
      <c r="AZ264" s="432"/>
      <c r="BA264" s="402"/>
      <c r="BB264" s="432"/>
      <c r="BC264" s="402"/>
      <c r="BD264" s="432"/>
      <c r="BE264" s="402"/>
      <c r="BF264" s="382"/>
      <c r="BG264" s="402"/>
      <c r="BH264" s="382"/>
      <c r="BI264" s="402"/>
      <c r="BJ264" s="382"/>
      <c r="BK264" s="436"/>
      <c r="BL264" s="382"/>
      <c r="BM264" s="436"/>
      <c r="BN264" s="382"/>
      <c r="BO264" s="436"/>
      <c r="BP264" s="382"/>
      <c r="BQ264" s="436"/>
      <c r="BR264" s="382"/>
      <c r="BS264" s="436">
        <f>+INPUT!BB161</f>
        <v>0</v>
      </c>
      <c r="BT264" s="382" t="str">
        <f>+INPUT!BC161</f>
        <v>NA</v>
      </c>
      <c r="BU264" s="436">
        <f>+INPUT!BD161</f>
        <v>0</v>
      </c>
      <c r="BV264" s="382" t="str">
        <f>+INPUT!BE161</f>
        <v>NA</v>
      </c>
      <c r="BW264" s="436">
        <f>+INPUT!BF161</f>
        <v>355137.5</v>
      </c>
      <c r="BX264" s="382" t="str">
        <f>+INPUT!BG161</f>
        <v>NA</v>
      </c>
      <c r="BY264" s="436">
        <f>+INPUT!BH161</f>
        <v>375652.5</v>
      </c>
      <c r="BZ264" s="382">
        <f>+INPUT!BI161</f>
        <v>5.7766358100735715</v>
      </c>
      <c r="CA264" s="436">
        <f>+INPUT!BJ161</f>
        <v>411850</v>
      </c>
      <c r="CB264" s="382">
        <f>+INPUT!BK161</f>
        <v>9.6359002003181047</v>
      </c>
      <c r="CC264" s="436">
        <f>+INPUT!BL161</f>
        <v>436288.89161605807</v>
      </c>
      <c r="CD264" s="382">
        <f>+INPUT!BM161</f>
        <v>5.933930221211142</v>
      </c>
      <c r="CE264" s="436">
        <f>+INPUT!BN161</f>
        <v>461348.01472962205</v>
      </c>
      <c r="CF264" s="382">
        <f>+INPUT!BO161</f>
        <v>5.7436995520886285</v>
      </c>
      <c r="CG264" s="436">
        <f>+INPUT!BP161</f>
        <v>488793.8141561707</v>
      </c>
      <c r="CH264" s="382">
        <f>+INPUT!BQ161</f>
        <v>5.9490446583223076</v>
      </c>
      <c r="CI264" s="436">
        <f>+INPUT!BR161</f>
        <v>518582.9096821323</v>
      </c>
      <c r="CJ264" s="382">
        <f>+INPUT!BS161</f>
        <v>6.094409270990468</v>
      </c>
      <c r="CK264" s="436">
        <f>+INPUT!BT161</f>
        <v>550808.63426463329</v>
      </c>
      <c r="CL264" s="382">
        <f>+INPUT!BU161</f>
        <v>6.2141894730495295</v>
      </c>
      <c r="CM264" s="424">
        <f>+INPUT!BV161</f>
        <v>5.9869351728340403</v>
      </c>
    </row>
    <row r="265" spans="1:91" ht="12" hidden="1" customHeight="1" outlineLevel="1" x14ac:dyDescent="0.2">
      <c r="A265" s="400"/>
      <c r="B265" s="425"/>
      <c r="C265" s="424"/>
      <c r="D265" s="436"/>
      <c r="E265" s="382"/>
      <c r="F265" s="436"/>
      <c r="G265" s="382"/>
      <c r="H265" s="436"/>
      <c r="I265" s="382"/>
      <c r="J265" s="436"/>
      <c r="K265" s="382"/>
      <c r="L265" s="436"/>
      <c r="M265" s="382"/>
      <c r="N265" s="436"/>
      <c r="O265" s="382"/>
      <c r="P265" s="436"/>
      <c r="Q265" s="382"/>
      <c r="R265" s="436"/>
      <c r="S265" s="382"/>
      <c r="T265" s="436"/>
      <c r="U265" s="382"/>
      <c r="V265" s="436"/>
      <c r="W265" s="382"/>
      <c r="X265" s="436"/>
      <c r="Y265" s="382"/>
      <c r="Z265" s="436"/>
      <c r="AA265" s="382"/>
      <c r="AB265" s="436"/>
      <c r="AC265" s="382"/>
      <c r="AD265" s="436"/>
      <c r="AE265" s="382"/>
      <c r="AF265" s="436"/>
      <c r="AG265" s="382"/>
      <c r="AH265" s="436"/>
      <c r="AI265" s="382"/>
      <c r="AJ265" s="436"/>
      <c r="AK265" s="382"/>
      <c r="AL265" s="436"/>
      <c r="AM265" s="382"/>
      <c r="AN265" s="436"/>
      <c r="AO265" s="382"/>
      <c r="AP265" s="436"/>
      <c r="AQ265" s="382"/>
      <c r="AR265" s="436"/>
      <c r="AS265" s="382"/>
      <c r="AT265" s="436"/>
      <c r="AU265" s="382"/>
      <c r="AV265" s="436"/>
      <c r="AW265" s="382"/>
      <c r="AX265" s="403"/>
      <c r="AY265" s="402"/>
      <c r="AZ265" s="432"/>
      <c r="BA265" s="402"/>
      <c r="BB265" s="432"/>
      <c r="BC265" s="402"/>
      <c r="BD265" s="432"/>
      <c r="BE265" s="402"/>
      <c r="BF265" s="382"/>
      <c r="BG265" s="402"/>
      <c r="BH265" s="382"/>
      <c r="BI265" s="402"/>
      <c r="BJ265" s="382"/>
      <c r="BK265" s="436"/>
      <c r="BL265" s="382"/>
      <c r="BM265" s="436"/>
      <c r="BN265" s="382"/>
      <c r="BO265" s="436"/>
      <c r="BP265" s="382"/>
      <c r="BQ265" s="436"/>
      <c r="BR265" s="382"/>
      <c r="BS265" s="436"/>
      <c r="BT265" s="382"/>
      <c r="BU265" s="436"/>
      <c r="BV265" s="382"/>
      <c r="BW265" s="436"/>
      <c r="BX265" s="382"/>
      <c r="BY265" s="436"/>
      <c r="BZ265" s="382"/>
      <c r="CA265" s="436"/>
      <c r="CB265" s="382"/>
      <c r="CC265" s="436"/>
      <c r="CD265" s="382"/>
      <c r="CE265" s="436"/>
      <c r="CF265" s="382"/>
      <c r="CG265" s="436"/>
      <c r="CH265" s="382"/>
      <c r="CI265" s="436"/>
      <c r="CJ265" s="382"/>
      <c r="CK265" s="436"/>
      <c r="CL265" s="382"/>
      <c r="CM265" s="424"/>
    </row>
    <row r="266" spans="1:91" ht="12" hidden="1" customHeight="1" outlineLevel="1" x14ac:dyDescent="0.2">
      <c r="A266" s="394" t="s">
        <v>157</v>
      </c>
      <c r="B266" s="425"/>
      <c r="C266" s="424"/>
      <c r="D266" s="436"/>
      <c r="E266" s="382"/>
      <c r="F266" s="436"/>
      <c r="G266" s="382"/>
      <c r="H266" s="436"/>
      <c r="I266" s="382"/>
      <c r="J266" s="436"/>
      <c r="K266" s="382"/>
      <c r="L266" s="436"/>
      <c r="M266" s="382"/>
      <c r="N266" s="436"/>
      <c r="O266" s="382"/>
      <c r="P266" s="436"/>
      <c r="Q266" s="382"/>
      <c r="R266" s="436"/>
      <c r="S266" s="382"/>
      <c r="T266" s="436"/>
      <c r="U266" s="382"/>
      <c r="V266" s="436"/>
      <c r="W266" s="382"/>
      <c r="X266" s="436"/>
      <c r="Y266" s="382"/>
      <c r="Z266" s="436"/>
      <c r="AA266" s="382"/>
      <c r="AB266" s="436"/>
      <c r="AC266" s="382"/>
      <c r="AD266" s="436"/>
      <c r="AE266" s="382"/>
      <c r="AF266" s="436"/>
      <c r="AG266" s="382"/>
      <c r="AH266" s="436"/>
      <c r="AI266" s="382"/>
      <c r="AJ266" s="436"/>
      <c r="AK266" s="382"/>
      <c r="AL266" s="436"/>
      <c r="AM266" s="382"/>
      <c r="AN266" s="436"/>
      <c r="AO266" s="382"/>
      <c r="AP266" s="436"/>
      <c r="AQ266" s="382"/>
      <c r="AR266" s="436"/>
      <c r="AS266" s="382"/>
      <c r="AT266" s="436"/>
      <c r="AU266" s="382"/>
      <c r="AV266" s="436"/>
      <c r="AW266" s="382"/>
      <c r="AX266" s="403"/>
      <c r="AY266" s="402"/>
      <c r="AZ266" s="432"/>
      <c r="BA266" s="402"/>
      <c r="BB266" s="432"/>
      <c r="BC266" s="402"/>
      <c r="BD266" s="432"/>
      <c r="BE266" s="402"/>
      <c r="BF266" s="382"/>
      <c r="BG266" s="402"/>
      <c r="BH266" s="382"/>
      <c r="BI266" s="402"/>
      <c r="BJ266" s="382"/>
      <c r="BK266" s="436"/>
      <c r="BL266" s="382"/>
      <c r="BM266" s="436"/>
      <c r="BN266" s="382"/>
      <c r="BO266" s="436"/>
      <c r="BP266" s="382"/>
      <c r="BQ266" s="436"/>
      <c r="BR266" s="382"/>
      <c r="BS266" s="436"/>
      <c r="BT266" s="382"/>
      <c r="BU266" s="436"/>
      <c r="BV266" s="382"/>
      <c r="BW266" s="436"/>
      <c r="BX266" s="382"/>
      <c r="BY266" s="436"/>
      <c r="BZ266" s="382"/>
      <c r="CA266" s="436"/>
      <c r="CB266" s="382"/>
      <c r="CC266" s="436"/>
      <c r="CD266" s="382"/>
      <c r="CE266" s="436"/>
      <c r="CF266" s="382"/>
      <c r="CG266" s="436"/>
      <c r="CH266" s="382"/>
      <c r="CI266" s="436"/>
      <c r="CJ266" s="382"/>
      <c r="CK266" s="436"/>
      <c r="CL266" s="382"/>
      <c r="CM266" s="424"/>
    </row>
    <row r="267" spans="1:91" ht="12" hidden="1" customHeight="1" outlineLevel="1" x14ac:dyDescent="0.2">
      <c r="A267" s="400" t="s">
        <v>72</v>
      </c>
      <c r="B267" s="425"/>
      <c r="C267" s="424"/>
      <c r="D267" s="436"/>
      <c r="E267" s="382"/>
      <c r="F267" s="436"/>
      <c r="G267" s="382"/>
      <c r="H267" s="436"/>
      <c r="I267" s="382"/>
      <c r="J267" s="436"/>
      <c r="K267" s="382"/>
      <c r="L267" s="436"/>
      <c r="M267" s="382"/>
      <c r="N267" s="436">
        <f>+INPUT!O167</f>
        <v>1700</v>
      </c>
      <c r="O267" s="382" t="str">
        <f>+INPUT!P167</f>
        <v>NA</v>
      </c>
      <c r="P267" s="436">
        <f>+INPUT!Q167</f>
        <v>1300</v>
      </c>
      <c r="Q267" s="382" t="str">
        <f>+INPUT!R167</f>
        <v>NA</v>
      </c>
      <c r="R267" s="436">
        <f>+INPUT!S167</f>
        <v>6900</v>
      </c>
      <c r="S267" s="382" t="str">
        <f>+INPUT!T167</f>
        <v>NA</v>
      </c>
      <c r="T267" s="436">
        <f>+INPUT!U167</f>
        <v>4700</v>
      </c>
      <c r="U267" s="382" t="str">
        <f>+INPUT!V167</f>
        <v>NA</v>
      </c>
      <c r="V267" s="436">
        <f>+INPUT!W167</f>
        <v>3200</v>
      </c>
      <c r="W267" s="382">
        <f>+INPUT!X167</f>
        <v>88.235294117647044</v>
      </c>
      <c r="X267" s="436">
        <f>+INPUT!Y167</f>
        <v>700</v>
      </c>
      <c r="Y267" s="382">
        <f>+INPUT!Z167</f>
        <v>-46.153846153846153</v>
      </c>
      <c r="Z267" s="436">
        <f>+INPUT!AA167</f>
        <v>700</v>
      </c>
      <c r="AA267" s="382" t="str">
        <f>+INPUT!AB167</f>
        <v>NM</v>
      </c>
      <c r="AB267" s="436">
        <f>+INPUT!AC167</f>
        <v>5700</v>
      </c>
      <c r="AC267" s="382">
        <f>+INPUT!AD167</f>
        <v>21.276595744680861</v>
      </c>
      <c r="AD267" s="436">
        <f>+INPUT!AE167</f>
        <v>4200</v>
      </c>
      <c r="AE267" s="382">
        <f>+INPUT!AF167</f>
        <v>31.25</v>
      </c>
      <c r="AF267" s="436">
        <f>+INPUT!AG167</f>
        <v>-1600</v>
      </c>
      <c r="AG267" s="382" t="str">
        <f>+INPUT!AH167</f>
        <v>NM</v>
      </c>
      <c r="AH267" s="436">
        <f>+INPUT!AI167</f>
        <v>0</v>
      </c>
      <c r="AI267" s="382" t="str">
        <f>+INPUT!AJ167</f>
        <v>NM</v>
      </c>
      <c r="AJ267" s="436">
        <f>+INPUT!AK167</f>
        <v>-3000</v>
      </c>
      <c r="AK267" s="382" t="str">
        <f>+INPUT!AL167</f>
        <v>NM</v>
      </c>
      <c r="AL267" s="436">
        <f>+INPUT!AM167</f>
        <v>2500</v>
      </c>
      <c r="AM267" s="382">
        <f>+INPUT!AN167</f>
        <v>-40.476190476190474</v>
      </c>
      <c r="AN267" s="436">
        <f>+INPUT!AO167</f>
        <v>-2200</v>
      </c>
      <c r="AO267" s="382">
        <f>+INPUT!AP167</f>
        <v>37.5</v>
      </c>
      <c r="AP267" s="436">
        <f>+INPUT!AQ167</f>
        <v>952.25</v>
      </c>
      <c r="AQ267" s="382" t="str">
        <f>+INPUT!AR167</f>
        <v>NA</v>
      </c>
      <c r="AR267" s="436">
        <f>+INPUT!AS167</f>
        <v>-350.73042500000156</v>
      </c>
      <c r="AS267" s="382" t="str">
        <f>+INPUT!AT167</f>
        <v>NM</v>
      </c>
      <c r="AT267" s="436">
        <f>+INPUT!AU167</f>
        <v>-89.889202742499037</v>
      </c>
      <c r="AU267" s="382" t="str">
        <f>+INPUT!AV167</f>
        <v>NM</v>
      </c>
      <c r="AV267" s="436">
        <f>+INPUT!AW167</f>
        <v>-940.64018036404741</v>
      </c>
      <c r="AW267" s="382" t="str">
        <f>+INPUT!AX167</f>
        <v>NM</v>
      </c>
      <c r="AX267" s="403"/>
      <c r="AY267" s="402"/>
      <c r="AZ267" s="432"/>
      <c r="BA267" s="402"/>
      <c r="BB267" s="432"/>
      <c r="BC267" s="402"/>
      <c r="BD267" s="432"/>
      <c r="BE267" s="402"/>
      <c r="BF267" s="382"/>
      <c r="BG267" s="402"/>
      <c r="BH267" s="382"/>
      <c r="BI267" s="402"/>
      <c r="BJ267" s="382"/>
      <c r="BK267" s="436"/>
      <c r="BL267" s="382"/>
      <c r="BM267" s="436"/>
      <c r="BN267" s="382"/>
      <c r="BO267" s="436"/>
      <c r="BP267" s="382"/>
      <c r="BQ267" s="436"/>
      <c r="BR267" s="382"/>
      <c r="BS267" s="436">
        <f>+INPUT!BB167</f>
        <v>0</v>
      </c>
      <c r="BT267" s="382" t="str">
        <f>+INPUT!BC167</f>
        <v>NA</v>
      </c>
      <c r="BU267" s="436">
        <f>+INPUT!BD167</f>
        <v>0</v>
      </c>
      <c r="BV267" s="382" t="str">
        <f>+INPUT!BE167</f>
        <v>NA</v>
      </c>
      <c r="BW267" s="436">
        <f>+INPUT!BF167</f>
        <v>15500</v>
      </c>
      <c r="BX267" s="382" t="str">
        <f>+INPUT!BG167</f>
        <v>NA</v>
      </c>
      <c r="BY267" s="436">
        <f>+INPUT!BH167</f>
        <v>9000</v>
      </c>
      <c r="BZ267" s="382">
        <f>+INPUT!BI167</f>
        <v>-41.935483870967737</v>
      </c>
      <c r="CA267" s="436">
        <f>+INPUT!BJ167</f>
        <v>-2700</v>
      </c>
      <c r="CB267" s="382" t="str">
        <f>+INPUT!BK167</f>
        <v>NM</v>
      </c>
      <c r="CC267" s="436">
        <f>+INPUT!BL167</f>
        <v>-429.00980810655165</v>
      </c>
      <c r="CD267" s="382" t="str">
        <f>+INPUT!BM167</f>
        <v>NM</v>
      </c>
      <c r="CE267" s="436">
        <f>+INPUT!BN167</f>
        <v>6485.1936208305706</v>
      </c>
      <c r="CF267" s="382" t="str">
        <f>+INPUT!BO167</f>
        <v>NM</v>
      </c>
      <c r="CG267" s="436">
        <f>+INPUT!BP167</f>
        <v>7623.2407301680796</v>
      </c>
      <c r="CH267" s="382">
        <f>+INPUT!BQ167</f>
        <v>17.548390624484654</v>
      </c>
      <c r="CI267" s="436">
        <f>+INPUT!BR167</f>
        <v>8745.577150349709</v>
      </c>
      <c r="CJ267" s="382">
        <f>+INPUT!BS167</f>
        <v>14.722563013655261</v>
      </c>
      <c r="CK267" s="436">
        <f>+INPUT!BT167</f>
        <v>9863.1427987515781</v>
      </c>
      <c r="CL267" s="382">
        <f>+INPUT!BU167</f>
        <v>12.778638038281784</v>
      </c>
      <c r="CM267" s="424" t="str">
        <f>+INPUT!BV167</f>
        <v>NM</v>
      </c>
    </row>
    <row r="268" spans="1:91" ht="12" hidden="1" customHeight="1" outlineLevel="1" x14ac:dyDescent="0.2">
      <c r="A268" s="400" t="s">
        <v>74</v>
      </c>
      <c r="B268" s="425"/>
      <c r="C268" s="424"/>
      <c r="D268" s="429"/>
      <c r="E268" s="382"/>
      <c r="F268" s="429"/>
      <c r="G268" s="382"/>
      <c r="H268" s="429"/>
      <c r="I268" s="382"/>
      <c r="J268" s="429"/>
      <c r="K268" s="382"/>
      <c r="L268" s="429"/>
      <c r="M268" s="382"/>
      <c r="N268" s="429">
        <f>+INPUT!O170</f>
        <v>-17.076786243699971</v>
      </c>
      <c r="O268" s="382" t="str">
        <f>+INPUT!P170</f>
        <v>NA</v>
      </c>
      <c r="P268" s="429">
        <f>+INPUT!Q170</f>
        <v>-19.631171921475314</v>
      </c>
      <c r="Q268" s="382" t="str">
        <f>+INPUT!R170</f>
        <v>NA</v>
      </c>
      <c r="R268" s="429">
        <f>+INPUT!S170</f>
        <v>-15.990662386927342</v>
      </c>
      <c r="S268" s="382" t="str">
        <f>+INPUT!T170</f>
        <v>NA</v>
      </c>
      <c r="T268" s="429">
        <f>+INPUT!U170</f>
        <v>-16.666666666666664</v>
      </c>
      <c r="U268" s="382" t="str">
        <f>+INPUT!V170</f>
        <v>NA</v>
      </c>
      <c r="V268" s="429">
        <f>+INPUT!W170</f>
        <v>-17.352614015572858</v>
      </c>
      <c r="W268" s="382">
        <f>+INPUT!X170</f>
        <v>1.6152206154986999</v>
      </c>
      <c r="X268" s="429">
        <f>+INPUT!Y170</f>
        <v>-19.322033898305087</v>
      </c>
      <c r="Y268" s="382">
        <f>+INPUT!Z170</f>
        <v>-1.5747303543913773</v>
      </c>
      <c r="Z268" s="429">
        <f>+INPUT!AA170</f>
        <v>-21.175166297117517</v>
      </c>
      <c r="AA268" s="382">
        <f>+INPUT!AB170</f>
        <v>32.422070985806073</v>
      </c>
      <c r="AB268" s="429">
        <f>+INPUT!AC170</f>
        <v>-15.63942438229704</v>
      </c>
      <c r="AC268" s="382">
        <f>+INPUT!AD170</f>
        <v>-6.1634537062177515</v>
      </c>
      <c r="AD268" s="429">
        <f>+INPUT!AE170</f>
        <v>-16.091954022988507</v>
      </c>
      <c r="AE268" s="382">
        <f>+INPUT!AF170</f>
        <v>-7.2649572649572463</v>
      </c>
      <c r="AF268" s="429">
        <f>+INPUT!AG170</f>
        <v>-19.431160332242641</v>
      </c>
      <c r="AG268" s="382">
        <f>+INPUT!AH170</f>
        <v>0.56477715809786844</v>
      </c>
      <c r="AH268" s="429">
        <f>+INPUT!AI170</f>
        <v>-20.896286811779767</v>
      </c>
      <c r="AI268" s="382">
        <f>+INPUT!AJ170</f>
        <v>-1.3170120197625579</v>
      </c>
      <c r="AJ268" s="429">
        <f>+INPUT!AK170</f>
        <v>-19.652605459057071</v>
      </c>
      <c r="AK268" s="382">
        <f>+INPUT!AL170</f>
        <v>25.660669975186096</v>
      </c>
      <c r="AL268" s="429">
        <f>+INPUT!AM170</f>
        <v>-16.666666666666664</v>
      </c>
      <c r="AM268" s="382">
        <f>+INPUT!AN170</f>
        <v>3.5714285714285552</v>
      </c>
      <c r="AN268" s="429">
        <f>+INPUT!AO170</f>
        <v>-20.127569099929129</v>
      </c>
      <c r="AO268" s="382">
        <f>+INPUT!AP170</f>
        <v>3.583979318676711</v>
      </c>
      <c r="AP268" s="429">
        <f>+INPUT!AQ170</f>
        <v>-19</v>
      </c>
      <c r="AQ268" s="382">
        <f>+INPUT!AR170</f>
        <v>-9.0747549019607732</v>
      </c>
      <c r="AR268" s="429">
        <f>+INPUT!AS170</f>
        <v>-19</v>
      </c>
      <c r="AS268" s="382">
        <f>+INPUT!AT170</f>
        <v>-3.3207070707070585</v>
      </c>
      <c r="AT268" s="429">
        <f>+INPUT!AU170</f>
        <v>-19</v>
      </c>
      <c r="AU268" s="382">
        <f>+INPUT!AV170</f>
        <v>14.000000000000014</v>
      </c>
      <c r="AV268" s="429">
        <f>+INPUT!AW170</f>
        <v>-19</v>
      </c>
      <c r="AW268" s="382">
        <f>+INPUT!AX170</f>
        <v>-5.6021126760563504</v>
      </c>
      <c r="AX268" s="403"/>
      <c r="AY268" s="402"/>
      <c r="AZ268" s="432"/>
      <c r="BA268" s="402"/>
      <c r="BB268" s="432"/>
      <c r="BC268" s="402"/>
      <c r="BD268" s="432"/>
      <c r="BE268" s="402"/>
      <c r="BF268" s="382"/>
      <c r="BG268" s="402"/>
      <c r="BH268" s="382"/>
      <c r="BI268" s="402"/>
      <c r="BJ268" s="382"/>
      <c r="BK268" s="429"/>
      <c r="BL268" s="382"/>
      <c r="BM268" s="429"/>
      <c r="BN268" s="382"/>
      <c r="BO268" s="429"/>
      <c r="BP268" s="382"/>
      <c r="BQ268" s="429"/>
      <c r="BR268" s="382"/>
      <c r="BS268" s="429">
        <f>+INPUT!BB170</f>
        <v>0</v>
      </c>
      <c r="BT268" s="382" t="str">
        <f>+INPUT!BC170</f>
        <v>NA</v>
      </c>
      <c r="BU268" s="429">
        <f>+INPUT!BD170</f>
        <v>0</v>
      </c>
      <c r="BV268" s="382" t="str">
        <f>+INPUT!BE170</f>
        <v>NA</v>
      </c>
      <c r="BW268" s="429">
        <f>+INPUT!BF170</f>
        <v>-17.858185001459002</v>
      </c>
      <c r="BX268" s="382" t="str">
        <f>+INPUT!BG170</f>
        <v>NA</v>
      </c>
      <c r="BY268" s="429">
        <f>+INPUT!BH170</f>
        <v>-18.902439024390244</v>
      </c>
      <c r="BZ268" s="382">
        <f>+INPUT!BI170</f>
        <v>5.8474812689303377</v>
      </c>
      <c r="CA268" s="429">
        <f>+INPUT!BJ170</f>
        <v>-20.128040973111396</v>
      </c>
      <c r="CB268" s="382">
        <f>+INPUT!BK170</f>
        <v>6.4838296642022186</v>
      </c>
      <c r="CC268" s="429">
        <f>+INPUT!BL170</f>
        <v>-19.142262661431086</v>
      </c>
      <c r="CD268" s="382">
        <f>+INPUT!BM170</f>
        <v>-4.8975372864015441</v>
      </c>
      <c r="CE268" s="429">
        <f>+INPUT!BN170</f>
        <v>-18.142262661431086</v>
      </c>
      <c r="CF268" s="382">
        <f>+INPUT!BO170</f>
        <v>-5.2240428296643131</v>
      </c>
      <c r="CG268" s="429">
        <f>+INPUT!BP170</f>
        <v>-18.192262661431087</v>
      </c>
      <c r="CH268" s="382">
        <f>+INPUT!BQ170</f>
        <v>0.27559958166791887</v>
      </c>
      <c r="CI268" s="429">
        <f>+INPUT!BR170</f>
        <v>-18.242262661431088</v>
      </c>
      <c r="CJ268" s="382">
        <f>+INPUT!BS170</f>
        <v>0.2748421179406364</v>
      </c>
      <c r="CK268" s="429">
        <f>+INPUT!BT170</f>
        <v>-18.292262661431089</v>
      </c>
      <c r="CL268" s="382">
        <f>+INPUT!BU170</f>
        <v>0.27408880645991474</v>
      </c>
      <c r="CM268" s="424">
        <f>+INPUT!BV170</f>
        <v>-1.8945386995849467</v>
      </c>
    </row>
    <row r="269" spans="1:91" ht="12" hidden="1" customHeight="1" outlineLevel="1" x14ac:dyDescent="0.2">
      <c r="A269" s="400" t="s">
        <v>75</v>
      </c>
      <c r="B269" s="425"/>
      <c r="C269" s="424"/>
      <c r="D269" s="429"/>
      <c r="E269" s="382"/>
      <c r="F269" s="429"/>
      <c r="G269" s="382"/>
      <c r="H269" s="429"/>
      <c r="I269" s="382"/>
      <c r="J269" s="429"/>
      <c r="K269" s="382"/>
      <c r="L269" s="429"/>
      <c r="M269" s="382"/>
      <c r="N269" s="429">
        <f>+INPUT!O172</f>
        <v>-2.4903646605395791</v>
      </c>
      <c r="O269" s="382" t="str">
        <f>+INPUT!P172</f>
        <v>NA</v>
      </c>
      <c r="P269" s="429">
        <f>+INPUT!Q172</f>
        <v>7.4955383700178473</v>
      </c>
      <c r="Q269" s="382" t="str">
        <f>+INPUT!R172</f>
        <v>NA</v>
      </c>
      <c r="R269" s="429">
        <f>+INPUT!S172</f>
        <v>8.0536912751677843</v>
      </c>
      <c r="S269" s="382" t="str">
        <f>+INPUT!T172</f>
        <v>NA</v>
      </c>
      <c r="T269" s="429">
        <f>+INPUT!U172</f>
        <v>-0.90090090090090091</v>
      </c>
      <c r="U269" s="382" t="str">
        <f>+INPUT!V172</f>
        <v>NA</v>
      </c>
      <c r="V269" s="429">
        <f>+INPUT!W172</f>
        <v>-11.457174638487208</v>
      </c>
      <c r="W269" s="382" t="str">
        <f>+INPUT!X172</f>
        <v>NM</v>
      </c>
      <c r="X269" s="429">
        <f>+INPUT!Y172</f>
        <v>5.4237288135593218</v>
      </c>
      <c r="Y269" s="382">
        <f>+INPUT!Z172</f>
        <v>-27.640570352434764</v>
      </c>
      <c r="Z269" s="429">
        <f>+INPUT!AA172</f>
        <v>5.9866962305986693</v>
      </c>
      <c r="AA269" s="382">
        <f>+INPUT!AB172</f>
        <v>-25.665188470066511</v>
      </c>
      <c r="AB269" s="429">
        <f>+INPUT!AC172</f>
        <v>10.317675807765408</v>
      </c>
      <c r="AC269" s="382" t="str">
        <f>+INPUT!AD172</f>
        <v>NM</v>
      </c>
      <c r="AD269" s="429">
        <f>+INPUT!AE172</f>
        <v>10.658307210031348</v>
      </c>
      <c r="AE269" s="382" t="str">
        <f>+INPUT!AF172</f>
        <v>NM</v>
      </c>
      <c r="AF269" s="429">
        <f>+INPUT!AG172</f>
        <v>-3.4231059652655422</v>
      </c>
      <c r="AG269" s="382" t="str">
        <f>+INPUT!AH172</f>
        <v>NM</v>
      </c>
      <c r="AH269" s="429">
        <f>+INPUT!AI172</f>
        <v>13.008962868117798</v>
      </c>
      <c r="AI269" s="382" t="str">
        <f>+INPUT!AJ172</f>
        <v>NM</v>
      </c>
      <c r="AJ269" s="429">
        <f>+INPUT!AK172</f>
        <v>10.223325062034739</v>
      </c>
      <c r="AK269" s="382">
        <f>+INPUT!AL172</f>
        <v>-0.91445735927908345</v>
      </c>
      <c r="AL269" s="429">
        <f>+INPUT!AM172</f>
        <v>10.1364522417154</v>
      </c>
      <c r="AM269" s="382">
        <f>+INPUT!AN172</f>
        <v>-4.8962274968466772</v>
      </c>
      <c r="AN269" s="429">
        <f>+INPUT!AO172</f>
        <v>9.166076068981809</v>
      </c>
      <c r="AO269" s="382" t="str">
        <f>+INPUT!AP172</f>
        <v>NM</v>
      </c>
      <c r="AP269" s="429">
        <f>+INPUT!AQ172</f>
        <v>-3.170870271524715</v>
      </c>
      <c r="AQ269" s="382" t="str">
        <f>+INPUT!AR172</f>
        <v>NM</v>
      </c>
      <c r="AR269" s="429">
        <f>+INPUT!AS172</f>
        <v>6.6006175880048295</v>
      </c>
      <c r="AS269" s="382">
        <f>+INPUT!AT172</f>
        <v>-35.435706602768292</v>
      </c>
      <c r="AT269" s="429">
        <f>+INPUT!AU172</f>
        <v>6.3865018629712944</v>
      </c>
      <c r="AU269" s="382">
        <f>+INPUT!AV172</f>
        <v>-36.994702774917812</v>
      </c>
      <c r="AV269" s="429">
        <f>+INPUT!AW172</f>
        <v>6.4498995636026901</v>
      </c>
      <c r="AW269" s="382">
        <f>+INPUT!AX172</f>
        <v>-29.632925637293326</v>
      </c>
      <c r="AX269" s="403"/>
      <c r="AY269" s="402"/>
      <c r="AZ269" s="432"/>
      <c r="BA269" s="402"/>
      <c r="BB269" s="432"/>
      <c r="BC269" s="402"/>
      <c r="BD269" s="432"/>
      <c r="BE269" s="402"/>
      <c r="BF269" s="382"/>
      <c r="BG269" s="402"/>
      <c r="BH269" s="382"/>
      <c r="BI269" s="402"/>
      <c r="BJ269" s="382"/>
      <c r="BK269" s="429"/>
      <c r="BL269" s="382"/>
      <c r="BM269" s="429"/>
      <c r="BN269" s="382"/>
      <c r="BO269" s="429"/>
      <c r="BP269" s="382"/>
      <c r="BQ269" s="429"/>
      <c r="BR269" s="382"/>
      <c r="BS269" s="429">
        <f>+INPUT!BB172</f>
        <v>0</v>
      </c>
      <c r="BT269" s="382" t="str">
        <f>+INPUT!BC172</f>
        <v>NA</v>
      </c>
      <c r="BU269" s="429">
        <f>+INPUT!BD172</f>
        <v>0</v>
      </c>
      <c r="BV269" s="382" t="str">
        <f>+INPUT!BE172</f>
        <v>NA</v>
      </c>
      <c r="BW269" s="429">
        <f>+INPUT!BF172</f>
        <v>0.17508024511234316</v>
      </c>
      <c r="BX269" s="382" t="str">
        <f>+INPUT!BG172</f>
        <v>NA</v>
      </c>
      <c r="BY269" s="429">
        <f>+INPUT!BH172</f>
        <v>6.0144124168514415</v>
      </c>
      <c r="BZ269" s="382" t="str">
        <f>+INPUT!BI172</f>
        <v>NM</v>
      </c>
      <c r="CA269" s="429">
        <f>+INPUT!BJ172</f>
        <v>11.037131882202305</v>
      </c>
      <c r="CB269" s="382">
        <f>+INPUT!BK172</f>
        <v>83.511390926202353</v>
      </c>
      <c r="CC269" s="429">
        <f>+INPUT!BL172</f>
        <v>4.1144589110871292</v>
      </c>
      <c r="CD269" s="382" t="str">
        <f>+INPUT!BM172</f>
        <v>NM</v>
      </c>
      <c r="CE269" s="429">
        <f>+INPUT!BN172</f>
        <v>4.42</v>
      </c>
      <c r="CF269" s="382">
        <f>+INPUT!BO172</f>
        <v>7.4260333014758402</v>
      </c>
      <c r="CG269" s="429">
        <f>+INPUT!BP172</f>
        <v>4.42</v>
      </c>
      <c r="CH269" s="382">
        <f>+INPUT!BQ172</f>
        <v>0</v>
      </c>
      <c r="CI269" s="429">
        <f>+INPUT!BR172</f>
        <v>4.42</v>
      </c>
      <c r="CJ269" s="382">
        <f>+INPUT!BS172</f>
        <v>0</v>
      </c>
      <c r="CK269" s="429">
        <f>+INPUT!BT172</f>
        <v>4.42</v>
      </c>
      <c r="CL269" s="382">
        <f>+INPUT!BU172</f>
        <v>0</v>
      </c>
      <c r="CM269" s="424">
        <f>+INPUT!BV172</f>
        <v>-16.725274943395707</v>
      </c>
    </row>
    <row r="270" spans="1:91" ht="12" hidden="1" customHeight="1" outlineLevel="1" x14ac:dyDescent="0.2">
      <c r="A270" s="394"/>
      <c r="B270" s="398"/>
      <c r="C270" s="399"/>
      <c r="D270" s="398"/>
      <c r="E270" s="396"/>
      <c r="F270" s="398"/>
      <c r="G270" s="396"/>
      <c r="H270" s="398"/>
      <c r="I270" s="396"/>
      <c r="J270" s="398"/>
      <c r="K270" s="396"/>
      <c r="L270" s="398"/>
      <c r="M270" s="396"/>
      <c r="N270" s="398"/>
      <c r="O270" s="396"/>
      <c r="P270" s="398"/>
      <c r="Q270" s="396"/>
      <c r="R270" s="398"/>
      <c r="S270" s="396"/>
      <c r="T270" s="398"/>
      <c r="U270" s="396"/>
      <c r="V270" s="398"/>
      <c r="W270" s="396"/>
      <c r="X270" s="398"/>
      <c r="Y270" s="396"/>
      <c r="Z270" s="398"/>
      <c r="AA270" s="396"/>
      <c r="AB270" s="398"/>
      <c r="AC270" s="396"/>
      <c r="AD270" s="398"/>
      <c r="AE270" s="396"/>
      <c r="AF270" s="398"/>
      <c r="AG270" s="396"/>
      <c r="AH270" s="398"/>
      <c r="AI270" s="396"/>
      <c r="AJ270" s="398"/>
      <c r="AK270" s="396"/>
      <c r="AL270" s="398"/>
      <c r="AM270" s="396"/>
      <c r="AN270" s="398"/>
      <c r="AO270" s="396"/>
      <c r="AP270" s="398"/>
      <c r="AQ270" s="396"/>
      <c r="AR270" s="398"/>
      <c r="AS270" s="396"/>
      <c r="AT270" s="398"/>
      <c r="AU270" s="396"/>
      <c r="AV270" s="398"/>
      <c r="AW270" s="396"/>
      <c r="AX270" s="398"/>
      <c r="AY270" s="398"/>
      <c r="AZ270" s="399"/>
      <c r="BA270" s="398"/>
      <c r="BB270" s="399"/>
      <c r="BC270" s="398"/>
      <c r="BD270" s="399"/>
      <c r="BE270" s="398"/>
      <c r="BF270" s="396"/>
      <c r="BG270" s="398"/>
      <c r="BH270" s="396"/>
      <c r="BI270" s="398"/>
      <c r="BJ270" s="396"/>
      <c r="BK270" s="398"/>
      <c r="BL270" s="396"/>
      <c r="BM270" s="398"/>
      <c r="BN270" s="396"/>
      <c r="BO270" s="398"/>
      <c r="BP270" s="396"/>
      <c r="BQ270" s="398"/>
      <c r="BR270" s="396"/>
      <c r="BS270" s="398"/>
      <c r="BT270" s="396"/>
      <c r="BU270" s="398"/>
      <c r="BV270" s="396"/>
      <c r="BW270" s="398"/>
      <c r="BX270" s="396"/>
      <c r="BY270" s="398"/>
      <c r="BZ270" s="396"/>
      <c r="CA270" s="398"/>
      <c r="CB270" s="396"/>
      <c r="CC270" s="398"/>
      <c r="CD270" s="396"/>
      <c r="CE270" s="398"/>
      <c r="CF270" s="396"/>
      <c r="CG270" s="398"/>
      <c r="CH270" s="396"/>
      <c r="CI270" s="398"/>
      <c r="CJ270" s="396"/>
      <c r="CK270" s="398"/>
      <c r="CL270" s="396"/>
      <c r="CM270" s="424"/>
    </row>
    <row r="271" spans="1:91" ht="12" hidden="1" customHeight="1" outlineLevel="1" x14ac:dyDescent="0.2">
      <c r="A271" s="394" t="s">
        <v>295</v>
      </c>
      <c r="B271" s="398"/>
      <c r="C271" s="399"/>
      <c r="D271" s="398"/>
      <c r="E271" s="396"/>
      <c r="F271" s="398"/>
      <c r="G271" s="396"/>
      <c r="H271" s="398"/>
      <c r="I271" s="396"/>
      <c r="J271" s="398"/>
      <c r="K271" s="396"/>
      <c r="L271" s="398"/>
      <c r="M271" s="396"/>
      <c r="N271" s="398"/>
      <c r="O271" s="396"/>
      <c r="P271" s="398"/>
      <c r="Q271" s="396"/>
      <c r="R271" s="398"/>
      <c r="S271" s="396"/>
      <c r="T271" s="398"/>
      <c r="U271" s="396"/>
      <c r="V271" s="398"/>
      <c r="W271" s="396"/>
      <c r="X271" s="398"/>
      <c r="Y271" s="396"/>
      <c r="Z271" s="398"/>
      <c r="AA271" s="396"/>
      <c r="AB271" s="398"/>
      <c r="AC271" s="396"/>
      <c r="AD271" s="398"/>
      <c r="AE271" s="396"/>
      <c r="AF271" s="398"/>
      <c r="AG271" s="396"/>
      <c r="AH271" s="398"/>
      <c r="AI271" s="396"/>
      <c r="AJ271" s="398"/>
      <c r="AK271" s="396"/>
      <c r="AL271" s="398"/>
      <c r="AM271" s="396"/>
      <c r="AN271" s="398"/>
      <c r="AO271" s="396"/>
      <c r="AP271" s="398"/>
      <c r="AQ271" s="396"/>
      <c r="AR271" s="398"/>
      <c r="AS271" s="396"/>
      <c r="AT271" s="398"/>
      <c r="AU271" s="396"/>
      <c r="AV271" s="398"/>
      <c r="AW271" s="396"/>
      <c r="AX271" s="398"/>
      <c r="AY271" s="398"/>
      <c r="AZ271" s="399"/>
      <c r="BA271" s="398"/>
      <c r="BB271" s="399"/>
      <c r="BC271" s="398"/>
      <c r="BD271" s="399"/>
      <c r="BE271" s="398"/>
      <c r="BF271" s="396"/>
      <c r="BG271" s="398"/>
      <c r="BH271" s="396"/>
      <c r="BI271" s="398"/>
      <c r="BJ271" s="396"/>
      <c r="BK271" s="398"/>
      <c r="BL271" s="396"/>
      <c r="BM271" s="398"/>
      <c r="BN271" s="396"/>
      <c r="BO271" s="398"/>
      <c r="BP271" s="396"/>
      <c r="BQ271" s="398"/>
      <c r="BR271" s="396"/>
      <c r="BS271" s="398"/>
      <c r="BT271" s="396"/>
      <c r="BU271" s="398"/>
      <c r="BV271" s="396"/>
      <c r="BW271" s="398"/>
      <c r="BX271" s="396"/>
      <c r="BY271" s="398"/>
      <c r="BZ271" s="396"/>
      <c r="CA271" s="398"/>
      <c r="CB271" s="396"/>
      <c r="CC271" s="398"/>
      <c r="CD271" s="396"/>
      <c r="CE271" s="398"/>
      <c r="CF271" s="396"/>
      <c r="CG271" s="398"/>
      <c r="CH271" s="396"/>
      <c r="CI271" s="398"/>
      <c r="CJ271" s="396"/>
      <c r="CK271" s="398"/>
      <c r="CL271" s="396"/>
      <c r="CM271" s="424"/>
    </row>
    <row r="272" spans="1:91" ht="12" hidden="1" customHeight="1" outlineLevel="1" x14ac:dyDescent="0.2">
      <c r="A272" s="400" t="s">
        <v>375</v>
      </c>
      <c r="B272" s="425"/>
      <c r="C272" s="424"/>
      <c r="D272" s="443"/>
      <c r="E272" s="382"/>
      <c r="F272" s="443"/>
      <c r="G272" s="382"/>
      <c r="H272" s="443"/>
      <c r="I272" s="382"/>
      <c r="J272" s="443"/>
      <c r="K272" s="382"/>
      <c r="L272" s="443"/>
      <c r="M272" s="382"/>
      <c r="N272" s="443">
        <f>+INPUT!O189</f>
        <v>0.36893838158871567</v>
      </c>
      <c r="O272" s="382" t="str">
        <f>+INPUT!P189</f>
        <v>NA</v>
      </c>
      <c r="P272" s="443">
        <f>+INPUT!Q189</f>
        <v>0.40017675651789658</v>
      </c>
      <c r="Q272" s="382" t="str">
        <f>+INPUT!R189</f>
        <v>NA</v>
      </c>
      <c r="R272" s="443">
        <f>+INPUT!S189</f>
        <v>0.37541195013612266</v>
      </c>
      <c r="S272" s="382" t="str">
        <f>+INPUT!T189</f>
        <v>NA</v>
      </c>
      <c r="T272" s="443">
        <f>+INPUT!U189</f>
        <v>0.3769445998880806</v>
      </c>
      <c r="U272" s="382" t="str">
        <f>+INPUT!V189</f>
        <v>NA</v>
      </c>
      <c r="V272" s="443">
        <f>+INPUT!W189</f>
        <v>0.37051569506726456</v>
      </c>
      <c r="W272" s="382">
        <f>+INPUT!X189</f>
        <v>0.42752761904485226</v>
      </c>
      <c r="X272" s="443">
        <f>+INPUT!Y189</f>
        <v>0.38119753777280357</v>
      </c>
      <c r="Y272" s="382">
        <f>+INPUT!Z189</f>
        <v>-4.7427089244860241</v>
      </c>
      <c r="Z272" s="443">
        <f>+INPUT!AA189</f>
        <v>0.3626825216402903</v>
      </c>
      <c r="AA272" s="382">
        <f>+INPUT!AB189</f>
        <v>-3.3907893691761046</v>
      </c>
      <c r="AB272" s="443">
        <f>+INPUT!AC189</f>
        <v>0.37161496471841299</v>
      </c>
      <c r="AC272" s="382">
        <f>+INPUT!AD189</f>
        <v>-1.4139041045421692</v>
      </c>
      <c r="AD272" s="443">
        <f>+INPUT!AE189</f>
        <v>0.35308293808486091</v>
      </c>
      <c r="AE272" s="382">
        <f>+INPUT!AF189</f>
        <v>-4.7049982536472186</v>
      </c>
      <c r="AF272" s="443">
        <f>+INPUT!AG189</f>
        <v>0.37451129728357452</v>
      </c>
      <c r="AG272" s="382">
        <f>+INPUT!AH189</f>
        <v>-1.7540093591092614</v>
      </c>
      <c r="AH272" s="443">
        <f>+INPUT!AI189</f>
        <v>0.34752362948960297</v>
      </c>
      <c r="AI272" s="382">
        <f>+INPUT!AJ189</f>
        <v>-4.179658860352248</v>
      </c>
      <c r="AJ272" s="443">
        <f>+INPUT!AK189</f>
        <v>0.34836488812392424</v>
      </c>
      <c r="AK272" s="382">
        <f>+INPUT!AL189</f>
        <v>-6.2564963206221336</v>
      </c>
      <c r="AL272" s="443">
        <f>+INPUT!AM189</f>
        <v>0.35187717404342089</v>
      </c>
      <c r="AM272" s="382">
        <f>+INPUT!AN189</f>
        <v>-0.3414959805138551</v>
      </c>
      <c r="AN272" s="443">
        <f>+INPUT!AO189</f>
        <v>0.3452118941699836</v>
      </c>
      <c r="AO272" s="382">
        <f>+INPUT!AP189</f>
        <v>-7.8233696356042941</v>
      </c>
      <c r="AP272" s="443">
        <f>+INPUT!AQ189</f>
        <v>0.35</v>
      </c>
      <c r="AQ272" s="382">
        <f>+INPUT!AR189</f>
        <v>0.7125761531766841</v>
      </c>
      <c r="AR272" s="443">
        <f>+INPUT!AS189</f>
        <v>0.35</v>
      </c>
      <c r="AS272" s="382">
        <f>+INPUT!AT189</f>
        <v>0.46936758893281194</v>
      </c>
      <c r="AT272" s="443">
        <f>+INPUT!AU189</f>
        <v>0.35</v>
      </c>
      <c r="AU272" s="382">
        <f>+INPUT!AV189</f>
        <v>-0.53347422961549285</v>
      </c>
      <c r="AV272" s="443">
        <f>+INPUT!AW189</f>
        <v>0.35</v>
      </c>
      <c r="AW272" s="382">
        <f>+INPUT!AX189</f>
        <v>1.3870048833423851</v>
      </c>
      <c r="AX272" s="445"/>
      <c r="AY272" s="402"/>
      <c r="AZ272" s="432"/>
      <c r="BA272" s="402"/>
      <c r="BB272" s="432"/>
      <c r="BC272" s="402"/>
      <c r="BD272" s="432"/>
      <c r="BE272" s="402"/>
      <c r="BF272" s="382"/>
      <c r="BG272" s="402"/>
      <c r="BH272" s="382"/>
      <c r="BI272" s="402"/>
      <c r="BJ272" s="382"/>
      <c r="BK272" s="443"/>
      <c r="BL272" s="382"/>
      <c r="BM272" s="443"/>
      <c r="BN272" s="382"/>
      <c r="BO272" s="443"/>
      <c r="BP272" s="382"/>
      <c r="BQ272" s="443"/>
      <c r="BR272" s="382"/>
      <c r="BS272" s="443">
        <f>+INPUT!BB189</f>
        <v>0</v>
      </c>
      <c r="BT272" s="382" t="str">
        <f>+INPUT!BC189</f>
        <v>NA</v>
      </c>
      <c r="BU272" s="443">
        <f>+INPUT!BD189</f>
        <v>0</v>
      </c>
      <c r="BV272" s="382" t="str">
        <f>+INPUT!BE189</f>
        <v>NA</v>
      </c>
      <c r="BW272" s="443">
        <f>+INPUT!BF189</f>
        <v>0.3760233712294534</v>
      </c>
      <c r="BX272" s="382" t="str">
        <f>+INPUT!BG189</f>
        <v>NA</v>
      </c>
      <c r="BY272" s="443">
        <f>+INPUT!BH189</f>
        <v>0.36552398826042681</v>
      </c>
      <c r="BZ272" s="382">
        <f>+INPUT!BI189</f>
        <v>-2.7922155303000409</v>
      </c>
      <c r="CA272" s="443">
        <f>+INPUT!BJ189</f>
        <v>0.34823358018696127</v>
      </c>
      <c r="CB272" s="382">
        <f>+INPUT!BK189</f>
        <v>-4.7303073474747066</v>
      </c>
      <c r="CC272" s="443">
        <f>+INPUT!BL189</f>
        <v>0.35000000000000003</v>
      </c>
      <c r="CD272" s="382">
        <f>+INPUT!BM189</f>
        <v>0.5072514293682957</v>
      </c>
      <c r="CE272" s="443">
        <f>+INPUT!BN189</f>
        <v>0.35000000000000003</v>
      </c>
      <c r="CF272" s="382">
        <f>+INPUT!BO189</f>
        <v>0</v>
      </c>
      <c r="CG272" s="443">
        <f>+INPUT!BP189</f>
        <v>0.34500000000000003</v>
      </c>
      <c r="CH272" s="382">
        <f>+INPUT!BQ189</f>
        <v>-1.4285714285714306</v>
      </c>
      <c r="CI272" s="443">
        <f>+INPUT!BR189</f>
        <v>0.34500000000000003</v>
      </c>
      <c r="CJ272" s="382">
        <f>+INPUT!BS189</f>
        <v>0</v>
      </c>
      <c r="CK272" s="443">
        <f>+INPUT!BT189</f>
        <v>0.34500000000000003</v>
      </c>
      <c r="CL272" s="382">
        <f>+INPUT!BU189</f>
        <v>0</v>
      </c>
      <c r="CM272" s="424">
        <f>+INPUT!BV189</f>
        <v>-0.18640694640217337</v>
      </c>
    </row>
    <row r="273" spans="1:91" ht="12" hidden="1" customHeight="1" outlineLevel="1" x14ac:dyDescent="0.2">
      <c r="A273" s="400" t="s">
        <v>198</v>
      </c>
      <c r="B273" s="425"/>
      <c r="C273" s="424"/>
      <c r="D273" s="429"/>
      <c r="E273" s="382"/>
      <c r="F273" s="429"/>
      <c r="G273" s="382"/>
      <c r="H273" s="429"/>
      <c r="I273" s="382"/>
      <c r="J273" s="429"/>
      <c r="K273" s="382"/>
      <c r="L273" s="429"/>
      <c r="M273" s="382"/>
      <c r="N273" s="443">
        <f>+INPUT!O190</f>
        <v>4.7512991833704532E-4</v>
      </c>
      <c r="O273" s="382" t="str">
        <f>+INPUT!P190</f>
        <v>NA</v>
      </c>
      <c r="P273" s="429">
        <f>+INPUT!Q190</f>
        <v>8.8378258948298722E-3</v>
      </c>
      <c r="Q273" s="382" t="str">
        <f>+INPUT!R190</f>
        <v>NA</v>
      </c>
      <c r="R273" s="429">
        <f>+INPUT!S190</f>
        <v>1.6048144433299897E-3</v>
      </c>
      <c r="S273" s="382" t="str">
        <f>+INPUT!T190</f>
        <v>NA</v>
      </c>
      <c r="T273" s="429">
        <f>+INPUT!U190</f>
        <v>1.1191941801902629E-3</v>
      </c>
      <c r="U273" s="382" t="str">
        <f>+INPUT!V190</f>
        <v>NA</v>
      </c>
      <c r="V273" s="429">
        <f>+INPUT!W190</f>
        <v>-1.1210762331838565E-3</v>
      </c>
      <c r="W273" s="382" t="str">
        <f>+INPUT!X190</f>
        <v>NM</v>
      </c>
      <c r="X273" s="429">
        <f>+INPUT!Y190</f>
        <v>7.498601007274763E-3</v>
      </c>
      <c r="Y273" s="382">
        <f>+INPUT!Z190</f>
        <v>-15.153329602686057</v>
      </c>
      <c r="Z273" s="429">
        <f>+INPUT!AA190</f>
        <v>-1.8652910145434411E-3</v>
      </c>
      <c r="AA273" s="382" t="str">
        <f>+INPUT!AB190</f>
        <v>NM</v>
      </c>
      <c r="AB273" s="429">
        <f>+INPUT!AC190</f>
        <v>2.5562508321129011E-3</v>
      </c>
      <c r="AC273" s="382" t="str">
        <f>+INPUT!AD190</f>
        <v>NM</v>
      </c>
      <c r="AD273" s="429">
        <f>+INPUT!AE190</f>
        <v>1.9484681451096013E-3</v>
      </c>
      <c r="AE273" s="382" t="str">
        <f>+INPUT!AF190</f>
        <v>NM</v>
      </c>
      <c r="AF273" s="429">
        <f>+INPUT!AG190</f>
        <v>1.1474993653211476E-2</v>
      </c>
      <c r="AG273" s="382">
        <f>+INPUT!AH190</f>
        <v>53.02846013648437</v>
      </c>
      <c r="AH273" s="429">
        <f>+INPUT!AI190</f>
        <v>1.2098298676748581E-3</v>
      </c>
      <c r="AI273" s="382" t="str">
        <f>+INPUT!AJ190</f>
        <v>NM</v>
      </c>
      <c r="AJ273" s="429">
        <f>+INPUT!AK190</f>
        <v>1.2785837226456848E-3</v>
      </c>
      <c r="AK273" s="382">
        <f>+INPUT!AL190</f>
        <v>-49.982071141709696</v>
      </c>
      <c r="AL273" s="429">
        <f>+INPUT!AM190</f>
        <v>7.6766222861940749E-4</v>
      </c>
      <c r="AM273" s="382" t="str">
        <f>+INPUT!AN190</f>
        <v>NM</v>
      </c>
      <c r="AN273" s="429">
        <f>+INPUT!AO190</f>
        <v>6.4621868414891136E-3</v>
      </c>
      <c r="AO273" s="382">
        <f>+INPUT!AP190</f>
        <v>-43.684615113660143</v>
      </c>
      <c r="AP273" s="429">
        <f>+INPUT!AQ190</f>
        <v>2E-3</v>
      </c>
      <c r="AQ273" s="382">
        <f>+INPUT!AR190</f>
        <v>65.312500000000028</v>
      </c>
      <c r="AR273" s="429">
        <f>+INPUT!AS190</f>
        <v>2E-3</v>
      </c>
      <c r="AS273" s="382">
        <f>+INPUT!AT190</f>
        <v>56.423076923076906</v>
      </c>
      <c r="AT273" s="429">
        <f>+INPUT!AU190</f>
        <v>2E-3</v>
      </c>
      <c r="AU273" s="382" t="str">
        <f>+INPUT!AV190</f>
        <v>NM</v>
      </c>
      <c r="AV273" s="429">
        <f>+INPUT!AW190</f>
        <v>2E-3</v>
      </c>
      <c r="AW273" s="382" t="str">
        <f>+INPUT!AX190</f>
        <v>NM</v>
      </c>
      <c r="AX273" s="403"/>
      <c r="AY273" s="402"/>
      <c r="AZ273" s="432"/>
      <c r="BA273" s="402"/>
      <c r="BB273" s="432"/>
      <c r="BC273" s="402"/>
      <c r="BD273" s="432"/>
      <c r="BE273" s="402"/>
      <c r="BF273" s="382"/>
      <c r="BG273" s="402"/>
      <c r="BH273" s="382"/>
      <c r="BI273" s="402"/>
      <c r="BJ273" s="382"/>
      <c r="BK273" s="429"/>
      <c r="BL273" s="382"/>
      <c r="BM273" s="429"/>
      <c r="BN273" s="382"/>
      <c r="BO273" s="429"/>
      <c r="BP273" s="382"/>
      <c r="BQ273" s="429"/>
      <c r="BR273" s="382"/>
      <c r="BS273" s="429">
        <f>+INPUT!BB190</f>
        <v>0</v>
      </c>
      <c r="BT273" s="382" t="str">
        <f>+INPUT!BC190</f>
        <v>NA</v>
      </c>
      <c r="BU273" s="429">
        <f>+INPUT!BD190</f>
        <v>0</v>
      </c>
      <c r="BV273" s="382" t="str">
        <f>+INPUT!BE190</f>
        <v>NA</v>
      </c>
      <c r="BW273" s="429">
        <f>+INPUT!BF190</f>
        <v>2.2808067297877578E-3</v>
      </c>
      <c r="BX273" s="382" t="str">
        <f>+INPUT!BG190</f>
        <v>NA</v>
      </c>
      <c r="BY273" s="429">
        <f>+INPUT!BH190</f>
        <v>3.7268486167402054E-3</v>
      </c>
      <c r="BZ273" s="382">
        <f>+INPUT!BI190</f>
        <v>63.400456867601861</v>
      </c>
      <c r="CA273" s="429">
        <f>+INPUT!BJ190</f>
        <v>2.476629840961515E-3</v>
      </c>
      <c r="CB273" s="382">
        <f>+INPUT!BK190</f>
        <v>-33.546272047728891</v>
      </c>
      <c r="CC273" s="429">
        <f>+INPUT!BL190</f>
        <v>2E-3</v>
      </c>
      <c r="CD273" s="382">
        <f>+INPUT!BM190</f>
        <v>-19.245098039215677</v>
      </c>
      <c r="CE273" s="429">
        <f>+INPUT!BN190</f>
        <v>2E-3</v>
      </c>
      <c r="CF273" s="382">
        <f>+INPUT!BO190</f>
        <v>0</v>
      </c>
      <c r="CG273" s="429">
        <f>+INPUT!BP190</f>
        <v>2E-3</v>
      </c>
      <c r="CH273" s="382">
        <f>+INPUT!BQ190</f>
        <v>0</v>
      </c>
      <c r="CI273" s="429">
        <f>+INPUT!BR190</f>
        <v>2E-3</v>
      </c>
      <c r="CJ273" s="382">
        <f>+INPUT!BS190</f>
        <v>0</v>
      </c>
      <c r="CK273" s="429">
        <f>+INPUT!BT190</f>
        <v>2E-3</v>
      </c>
      <c r="CL273" s="382">
        <f>+INPUT!BU190</f>
        <v>0</v>
      </c>
      <c r="CM273" s="424">
        <f>+INPUT!BV190</f>
        <v>-4.1849393489506888</v>
      </c>
    </row>
    <row r="274" spans="1:91" ht="12" hidden="1" customHeight="1" outlineLevel="1" x14ac:dyDescent="0.2">
      <c r="A274" s="400"/>
      <c r="B274" s="401"/>
      <c r="C274" s="399"/>
      <c r="D274" s="401"/>
      <c r="E274" s="396"/>
      <c r="F274" s="401"/>
      <c r="G274" s="396"/>
      <c r="H274" s="401"/>
      <c r="I274" s="396"/>
      <c r="J274" s="401"/>
      <c r="K274" s="396"/>
      <c r="L274" s="401"/>
      <c r="M274" s="396"/>
      <c r="N274" s="401"/>
      <c r="O274" s="396"/>
      <c r="P274" s="401"/>
      <c r="Q274" s="396"/>
      <c r="R274" s="401"/>
      <c r="S274" s="396"/>
      <c r="T274" s="401"/>
      <c r="U274" s="396"/>
      <c r="V274" s="401"/>
      <c r="W274" s="396"/>
      <c r="X274" s="401"/>
      <c r="Y274" s="396"/>
      <c r="Z274" s="401"/>
      <c r="AA274" s="396"/>
      <c r="AB274" s="401"/>
      <c r="AC274" s="396"/>
      <c r="AD274" s="401"/>
      <c r="AE274" s="396"/>
      <c r="AF274" s="401"/>
      <c r="AG274" s="396"/>
      <c r="AH274" s="401"/>
      <c r="AI274" s="396"/>
      <c r="AJ274" s="401"/>
      <c r="AK274" s="396"/>
      <c r="AL274" s="401"/>
      <c r="AM274" s="396"/>
      <c r="AN274" s="401"/>
      <c r="AO274" s="396"/>
      <c r="AP274" s="401"/>
      <c r="AQ274" s="396"/>
      <c r="AR274" s="401"/>
      <c r="AS274" s="396"/>
      <c r="AT274" s="401"/>
      <c r="AU274" s="396"/>
      <c r="AV274" s="401"/>
      <c r="AW274" s="396"/>
      <c r="AX274" s="398"/>
      <c r="AY274" s="401"/>
      <c r="AZ274" s="399"/>
      <c r="BA274" s="401"/>
      <c r="BB274" s="399"/>
      <c r="BC274" s="401"/>
      <c r="BD274" s="399"/>
      <c r="BE274" s="401"/>
      <c r="BF274" s="396"/>
      <c r="BG274" s="401"/>
      <c r="BH274" s="396"/>
      <c r="BI274" s="401"/>
      <c r="BJ274" s="396"/>
      <c r="BK274" s="401"/>
      <c r="BL274" s="396"/>
      <c r="BM274" s="401"/>
      <c r="BN274" s="396"/>
      <c r="BO274" s="401"/>
      <c r="BP274" s="396"/>
      <c r="BQ274" s="401"/>
      <c r="BR274" s="396"/>
      <c r="BS274" s="401"/>
      <c r="BT274" s="396"/>
      <c r="BU274" s="401"/>
      <c r="BV274" s="396"/>
      <c r="BW274" s="401"/>
      <c r="BX274" s="396"/>
      <c r="BY274" s="401"/>
      <c r="BZ274" s="396"/>
      <c r="CA274" s="401"/>
      <c r="CB274" s="396"/>
      <c r="CC274" s="401"/>
      <c r="CD274" s="396"/>
      <c r="CE274" s="401"/>
      <c r="CF274" s="396"/>
      <c r="CG274" s="401"/>
      <c r="CH274" s="396"/>
      <c r="CI274" s="401"/>
      <c r="CJ274" s="396"/>
      <c r="CK274" s="401"/>
      <c r="CL274" s="396"/>
      <c r="CM274" s="424"/>
    </row>
    <row r="275" spans="1:91" ht="12" hidden="1" customHeight="1" outlineLevel="1" x14ac:dyDescent="0.2">
      <c r="A275" s="394" t="s">
        <v>219</v>
      </c>
      <c r="B275" s="401"/>
      <c r="C275" s="399"/>
      <c r="D275" s="401"/>
      <c r="E275" s="396"/>
      <c r="F275" s="401"/>
      <c r="G275" s="396"/>
      <c r="H275" s="401"/>
      <c r="I275" s="396"/>
      <c r="J275" s="401"/>
      <c r="K275" s="396"/>
      <c r="L275" s="401"/>
      <c r="M275" s="396"/>
      <c r="N275" s="401"/>
      <c r="O275" s="396"/>
      <c r="P275" s="401"/>
      <c r="Q275" s="396"/>
      <c r="R275" s="401"/>
      <c r="S275" s="396"/>
      <c r="T275" s="401"/>
      <c r="U275" s="396"/>
      <c r="V275" s="401"/>
      <c r="W275" s="396"/>
      <c r="X275" s="401"/>
      <c r="Y275" s="396"/>
      <c r="Z275" s="401"/>
      <c r="AA275" s="396"/>
      <c r="AB275" s="401"/>
      <c r="AC275" s="396"/>
      <c r="AD275" s="401"/>
      <c r="AE275" s="396"/>
      <c r="AF275" s="401"/>
      <c r="AG275" s="396"/>
      <c r="AH275" s="401"/>
      <c r="AI275" s="396"/>
      <c r="AJ275" s="401"/>
      <c r="AK275" s="396"/>
      <c r="AL275" s="401"/>
      <c r="AM275" s="396"/>
      <c r="AN275" s="401"/>
      <c r="AO275" s="396"/>
      <c r="AP275" s="401"/>
      <c r="AQ275" s="396"/>
      <c r="AR275" s="401"/>
      <c r="AS275" s="396"/>
      <c r="AT275" s="401"/>
      <c r="AU275" s="396"/>
      <c r="AV275" s="401"/>
      <c r="AW275" s="396"/>
      <c r="AX275" s="398"/>
      <c r="AY275" s="401"/>
      <c r="AZ275" s="399"/>
      <c r="BA275" s="401"/>
      <c r="BB275" s="399"/>
      <c r="BC275" s="401"/>
      <c r="BD275" s="399"/>
      <c r="BE275" s="401"/>
      <c r="BF275" s="396"/>
      <c r="BG275" s="401"/>
      <c r="BH275" s="396"/>
      <c r="BI275" s="401"/>
      <c r="BJ275" s="396"/>
      <c r="BK275" s="401"/>
      <c r="BL275" s="396"/>
      <c r="BM275" s="401"/>
      <c r="BN275" s="396"/>
      <c r="BO275" s="401"/>
      <c r="BP275" s="396"/>
      <c r="BQ275" s="401"/>
      <c r="BR275" s="396"/>
      <c r="BS275" s="401"/>
      <c r="BT275" s="396"/>
      <c r="BU275" s="401"/>
      <c r="BV275" s="396"/>
      <c r="BW275" s="401"/>
      <c r="BX275" s="396"/>
      <c r="BY275" s="401"/>
      <c r="BZ275" s="396"/>
      <c r="CA275" s="401"/>
      <c r="CB275" s="396"/>
      <c r="CC275" s="401"/>
      <c r="CD275" s="396"/>
      <c r="CE275" s="401"/>
      <c r="CF275" s="396"/>
      <c r="CG275" s="401"/>
      <c r="CH275" s="396"/>
      <c r="CI275" s="401"/>
      <c r="CJ275" s="396"/>
      <c r="CK275" s="401"/>
      <c r="CL275" s="396"/>
      <c r="CM275" s="424"/>
    </row>
    <row r="276" spans="1:91" ht="12" hidden="1" customHeight="1" outlineLevel="1" x14ac:dyDescent="0.2">
      <c r="A276" s="400" t="s">
        <v>264</v>
      </c>
      <c r="B276" s="401"/>
      <c r="C276" s="399"/>
      <c r="D276" s="401"/>
      <c r="E276" s="396"/>
      <c r="F276" s="401"/>
      <c r="G276" s="396"/>
      <c r="H276" s="401"/>
      <c r="I276" s="396"/>
      <c r="J276" s="401"/>
      <c r="K276" s="396"/>
      <c r="L276" s="401"/>
      <c r="M276" s="396"/>
      <c r="N276" s="401">
        <f>+INPUT!O192</f>
        <v>0.21083890126206384</v>
      </c>
      <c r="O276" s="396" t="str">
        <f>+INPUT!P192</f>
        <v>NA</v>
      </c>
      <c r="P276" s="401">
        <f>+INPUT!Q192</f>
        <v>0.23838562380321107</v>
      </c>
      <c r="Q276" s="396" t="str">
        <f>+INPUT!R192</f>
        <v>NA</v>
      </c>
      <c r="R276" s="401">
        <f>+INPUT!S192</f>
        <v>0.21768161627740362</v>
      </c>
      <c r="S276" s="396" t="str">
        <f>+INPUT!T192</f>
        <v>NA</v>
      </c>
      <c r="T276" s="401">
        <f>+INPUT!U192</f>
        <v>0.21454952434247343</v>
      </c>
      <c r="U276" s="396" t="str">
        <f>+INPUT!V192</f>
        <v>NA</v>
      </c>
      <c r="V276" s="401">
        <f>+INPUT!W192</f>
        <v>0.21020179372197309</v>
      </c>
      <c r="W276" s="396">
        <f>+INPUT!X192</f>
        <v>-0.30217741426135092</v>
      </c>
      <c r="X276" s="401">
        <f>+INPUT!Y192</f>
        <v>0.22294348069390035</v>
      </c>
      <c r="Y276" s="396">
        <f>+INPUT!Z192</f>
        <v>-6.4777996520705869</v>
      </c>
      <c r="Z276" s="401">
        <f>+INPUT!AA192</f>
        <v>0.22010433971612603</v>
      </c>
      <c r="AA276" s="396">
        <f>+INPUT!AB192</f>
        <v>1.1129664875489453</v>
      </c>
      <c r="AB276" s="401">
        <f>+INPUT!AC192</f>
        <v>0.20439355611769405</v>
      </c>
      <c r="AC276" s="396">
        <f>+INPUT!AD192</f>
        <v>-4.7336242090977407</v>
      </c>
      <c r="AD276" s="401">
        <f>+INPUT!AE192</f>
        <v>0.19494936546596589</v>
      </c>
      <c r="AE276" s="396">
        <f>+INPUT!AF192</f>
        <v>-7.256088535657824</v>
      </c>
      <c r="AF276" s="401">
        <f>+INPUT!AG192</f>
        <v>0.20675298299060674</v>
      </c>
      <c r="AG276" s="396">
        <f>+INPUT!AH192</f>
        <v>-7.2621534627976132</v>
      </c>
      <c r="AH276" s="401">
        <f>+INPUT!AI192</f>
        <v>0.20647763074984246</v>
      </c>
      <c r="AI276" s="396">
        <f>+INPUT!AJ192</f>
        <v>-6.1910223959501565</v>
      </c>
      <c r="AJ276" s="401">
        <f>+INPUT!AK192</f>
        <v>0.19542660437669043</v>
      </c>
      <c r="AK276" s="396">
        <f>+INPUT!AL192</f>
        <v>-4.38710099835059</v>
      </c>
      <c r="AL276" s="401">
        <f>+INPUT!AM192</f>
        <v>0.18778937267602255</v>
      </c>
      <c r="AM276" s="396">
        <f>+INPUT!AN192</f>
        <v>-3.6727448549676467</v>
      </c>
      <c r="AN276" s="401">
        <f>+INPUT!AO192</f>
        <v>0.19686256146101613</v>
      </c>
      <c r="AO276" s="396">
        <f>+INPUT!AP192</f>
        <v>-4.7836898827428058</v>
      </c>
      <c r="AP276" s="401">
        <f>+INPUT!AQ192</f>
        <v>0.19335073753219384</v>
      </c>
      <c r="AQ276" s="396">
        <f>+INPUT!AR192</f>
        <v>-6.3575377003199378</v>
      </c>
      <c r="AR276" s="401">
        <f>+INPUT!AS192</f>
        <v>0.19335073753219384</v>
      </c>
      <c r="AS276" s="396">
        <f>+INPUT!AT192</f>
        <v>-1.0622232582495741</v>
      </c>
      <c r="AT276" s="401">
        <f>+INPUT!AU192</f>
        <v>0.19335073753219384</v>
      </c>
      <c r="AU276" s="396">
        <f>+INPUT!AV192</f>
        <v>2.9614907259772707</v>
      </c>
      <c r="AV276" s="401">
        <f>+INPUT!AW192</f>
        <v>0.19235073753219384</v>
      </c>
      <c r="AW276" s="396">
        <f>+INPUT!AX192</f>
        <v>-2.2918648905803991</v>
      </c>
      <c r="AX276" s="398"/>
      <c r="AY276" s="401"/>
      <c r="AZ276" s="399"/>
      <c r="BA276" s="401"/>
      <c r="BB276" s="399"/>
      <c r="BC276" s="401"/>
      <c r="BD276" s="399"/>
      <c r="BE276" s="401"/>
      <c r="BF276" s="396"/>
      <c r="BG276" s="401"/>
      <c r="BH276" s="396"/>
      <c r="BI276" s="401"/>
      <c r="BJ276" s="396"/>
      <c r="BK276" s="401"/>
      <c r="BL276" s="396"/>
      <c r="BM276" s="401"/>
      <c r="BN276" s="396"/>
      <c r="BO276" s="401"/>
      <c r="BP276" s="396"/>
      <c r="BQ276" s="401"/>
      <c r="BR276" s="396"/>
      <c r="BS276" s="401">
        <f>+INPUT!BB192</f>
        <v>0</v>
      </c>
      <c r="BT276" s="396" t="str">
        <f>+INPUT!BC192</f>
        <v>NA</v>
      </c>
      <c r="BU276" s="401">
        <f>+INPUT!BD192</f>
        <v>0</v>
      </c>
      <c r="BV276" s="396" t="str">
        <f>+INPUT!BE192</f>
        <v>NA</v>
      </c>
      <c r="BW276" s="401">
        <f>+INPUT!BF192</f>
        <v>0.21633874203653511</v>
      </c>
      <c r="BX276" s="396" t="str">
        <f>+INPUT!BG192</f>
        <v>NA</v>
      </c>
      <c r="BY276" s="401">
        <f>+INPUT!BH192</f>
        <v>0.20614796920025821</v>
      </c>
      <c r="BZ276" s="396">
        <f>+INPUT!BI192</f>
        <v>-4.7105630458717798</v>
      </c>
      <c r="CA276" s="401">
        <f>+INPUT!BJ192</f>
        <v>0.19652786208571082</v>
      </c>
      <c r="CB276" s="396">
        <f>+INPUT!BK192</f>
        <v>-4.6666029026956437</v>
      </c>
      <c r="CC276" s="401">
        <f>+INPUT!BL192</f>
        <v>0.1930956847196458</v>
      </c>
      <c r="CD276" s="396">
        <f>+INPUT!BM192</f>
        <v>-1.7464075218852031</v>
      </c>
      <c r="CE276" s="401">
        <f>+INPUT!BN192</f>
        <v>0.1940649497301378</v>
      </c>
      <c r="CF276" s="396">
        <f>+INPUT!BO192</f>
        <v>0.50196098990988958</v>
      </c>
      <c r="CG276" s="401">
        <f>+INPUT!BP192</f>
        <v>0.1930649497301378</v>
      </c>
      <c r="CH276" s="396">
        <f>+INPUT!BQ192</f>
        <v>-0.51529140186859479</v>
      </c>
      <c r="CI276" s="401">
        <f>+INPUT!BR192</f>
        <v>0.1930649497301378</v>
      </c>
      <c r="CJ276" s="396">
        <f>+INPUT!BS192</f>
        <v>0</v>
      </c>
      <c r="CK276" s="401">
        <f>+INPUT!BT192</f>
        <v>0.1960649497301378</v>
      </c>
      <c r="CL276" s="396">
        <f>+INPUT!BU192</f>
        <v>1.5538812219376723</v>
      </c>
      <c r="CM276" s="424">
        <f>+INPUT!BV192</f>
        <v>-4.7153529844434772E-2</v>
      </c>
    </row>
    <row r="277" spans="1:91" ht="12" hidden="1" customHeight="1" outlineLevel="1" x14ac:dyDescent="0.2">
      <c r="A277" s="400"/>
      <c r="B277" s="401"/>
      <c r="C277" s="424"/>
      <c r="D277" s="401"/>
      <c r="E277" s="382"/>
      <c r="F277" s="401"/>
      <c r="G277" s="382"/>
      <c r="H277" s="401"/>
      <c r="I277" s="382"/>
      <c r="J277" s="401"/>
      <c r="K277" s="382"/>
      <c r="L277" s="401"/>
      <c r="M277" s="382"/>
      <c r="N277" s="401"/>
      <c r="O277" s="382"/>
      <c r="P277" s="401"/>
      <c r="Q277" s="382"/>
      <c r="R277" s="401"/>
      <c r="S277" s="382"/>
      <c r="T277" s="401"/>
      <c r="U277" s="382"/>
      <c r="V277" s="401"/>
      <c r="W277" s="382"/>
      <c r="X277" s="401"/>
      <c r="Y277" s="382"/>
      <c r="Z277" s="401"/>
      <c r="AA277" s="382"/>
      <c r="AB277" s="401"/>
      <c r="AC277" s="382"/>
      <c r="AD277" s="401"/>
      <c r="AE277" s="382"/>
      <c r="AF277" s="401"/>
      <c r="AG277" s="382"/>
      <c r="AH277" s="401"/>
      <c r="AI277" s="382"/>
      <c r="AJ277" s="401"/>
      <c r="AK277" s="382"/>
      <c r="AL277" s="401"/>
      <c r="AM277" s="382"/>
      <c r="AN277" s="401"/>
      <c r="AO277" s="382"/>
      <c r="AP277" s="401"/>
      <c r="AQ277" s="382"/>
      <c r="AR277" s="401"/>
      <c r="AS277" s="382"/>
      <c r="AT277" s="401"/>
      <c r="AU277" s="382"/>
      <c r="AV277" s="401"/>
      <c r="AW277" s="382"/>
      <c r="AX277" s="398"/>
      <c r="AY277" s="401"/>
      <c r="AZ277" s="424"/>
      <c r="BA277" s="401"/>
      <c r="BB277" s="424"/>
      <c r="BC277" s="401"/>
      <c r="BD277" s="424"/>
      <c r="BE277" s="401"/>
      <c r="BF277" s="382"/>
      <c r="BG277" s="401"/>
      <c r="BH277" s="382"/>
      <c r="BI277" s="401"/>
      <c r="BJ277" s="382"/>
      <c r="BK277" s="401"/>
      <c r="BL277" s="382"/>
      <c r="BM277" s="401"/>
      <c r="BN277" s="382"/>
      <c r="BO277" s="401"/>
      <c r="BP277" s="382"/>
      <c r="BQ277" s="401"/>
      <c r="BR277" s="382"/>
      <c r="BS277" s="401"/>
      <c r="BT277" s="382"/>
      <c r="BU277" s="401"/>
      <c r="BV277" s="382"/>
      <c r="BW277" s="401"/>
      <c r="BX277" s="382"/>
      <c r="BY277" s="401"/>
      <c r="BZ277" s="382"/>
      <c r="CA277" s="401"/>
      <c r="CB277" s="382"/>
      <c r="CC277" s="401"/>
      <c r="CD277" s="382"/>
      <c r="CE277" s="401"/>
      <c r="CF277" s="382"/>
      <c r="CG277" s="401"/>
      <c r="CH277" s="382"/>
      <c r="CI277" s="401"/>
      <c r="CJ277" s="382"/>
      <c r="CK277" s="401"/>
      <c r="CL277" s="382"/>
      <c r="CM277" s="424"/>
    </row>
    <row r="278" spans="1:91" ht="19.5" hidden="1" customHeight="1" outlineLevel="1" x14ac:dyDescent="0.25">
      <c r="A278" s="471" t="str">
        <f>+$A$1</f>
        <v>Principal Financial Group</v>
      </c>
      <c r="B278" s="381"/>
      <c r="C278" s="382"/>
      <c r="D278" s="381"/>
      <c r="E278" s="382"/>
      <c r="F278" s="381"/>
      <c r="G278" s="382"/>
      <c r="H278" s="381"/>
      <c r="I278" s="382"/>
      <c r="J278" s="381"/>
      <c r="K278" s="382"/>
      <c r="L278" s="381"/>
      <c r="M278" s="382"/>
      <c r="N278" s="381"/>
      <c r="O278" s="382"/>
      <c r="P278" s="381"/>
      <c r="Q278" s="382"/>
      <c r="R278" s="381"/>
      <c r="S278" s="382"/>
      <c r="T278" s="381"/>
      <c r="U278" s="382"/>
      <c r="V278" s="381"/>
      <c r="W278" s="382"/>
      <c r="X278" s="381"/>
      <c r="Y278" s="382"/>
      <c r="Z278" s="381"/>
      <c r="AA278" s="382"/>
      <c r="AB278" s="381"/>
      <c r="AC278" s="382"/>
      <c r="AD278" s="381"/>
      <c r="AE278" s="382"/>
      <c r="AF278" s="381"/>
      <c r="AG278" s="382"/>
      <c r="AH278" s="381"/>
      <c r="AI278" s="382"/>
      <c r="AJ278" s="381"/>
      <c r="AK278" s="382"/>
      <c r="AL278" s="381"/>
      <c r="AM278" s="382"/>
      <c r="AN278" s="381"/>
      <c r="AO278" s="382"/>
      <c r="AP278" s="381"/>
      <c r="AQ278" s="382"/>
      <c r="AR278" s="381"/>
      <c r="AS278" s="382"/>
      <c r="AT278" s="381"/>
      <c r="AU278" s="382"/>
      <c r="AV278" s="381"/>
      <c r="AW278" s="382"/>
      <c r="AX278" s="382"/>
      <c r="AY278" s="381"/>
      <c r="AZ278" s="382"/>
      <c r="BA278" s="381"/>
      <c r="BB278" s="382"/>
      <c r="BC278" s="381"/>
      <c r="BD278" s="382"/>
      <c r="BE278" s="381"/>
      <c r="BF278" s="382"/>
      <c r="BG278" s="381"/>
      <c r="BH278" s="382"/>
      <c r="BI278" s="381"/>
      <c r="BJ278" s="382"/>
      <c r="BK278" s="381"/>
      <c r="BL278" s="382"/>
      <c r="BM278" s="381"/>
      <c r="BN278" s="382"/>
      <c r="BO278" s="381"/>
      <c r="BP278" s="382"/>
      <c r="BQ278" s="381"/>
      <c r="BR278" s="382"/>
      <c r="BS278" s="381"/>
      <c r="BT278" s="382"/>
      <c r="BU278" s="381"/>
      <c r="BV278" s="382"/>
      <c r="BW278" s="381"/>
      <c r="BX278" s="382"/>
      <c r="BY278" s="381"/>
      <c r="BZ278" s="382"/>
      <c r="CA278" s="381"/>
      <c r="CB278" s="382"/>
      <c r="CC278" s="381"/>
      <c r="CD278" s="382"/>
      <c r="CE278" s="381"/>
      <c r="CF278" s="382"/>
      <c r="CG278" s="381"/>
      <c r="CH278" s="382"/>
      <c r="CI278" s="381"/>
      <c r="CJ278" s="382"/>
      <c r="CK278" s="381"/>
      <c r="CL278" s="382"/>
      <c r="CM278" s="382"/>
    </row>
    <row r="279" spans="1:91" ht="12" hidden="1" customHeight="1" outlineLevel="1" x14ac:dyDescent="0.2">
      <c r="A279" s="383" t="s">
        <v>31</v>
      </c>
      <c r="B279" s="384"/>
      <c r="C279" s="385"/>
      <c r="D279" s="384"/>
      <c r="E279" s="385"/>
      <c r="F279" s="384"/>
      <c r="G279" s="385"/>
      <c r="H279" s="384"/>
      <c r="I279" s="385"/>
      <c r="J279" s="384"/>
      <c r="K279" s="385"/>
      <c r="L279" s="384"/>
      <c r="M279" s="385"/>
      <c r="N279" s="384"/>
      <c r="O279" s="385"/>
      <c r="P279" s="384"/>
      <c r="Q279" s="385"/>
      <c r="R279" s="384"/>
      <c r="S279" s="385"/>
      <c r="T279" s="384"/>
      <c r="U279" s="385"/>
      <c r="V279" s="384"/>
      <c r="W279" s="385"/>
      <c r="X279" s="384"/>
      <c r="Y279" s="385"/>
      <c r="Z279" s="384"/>
      <c r="AA279" s="385"/>
      <c r="AB279" s="384"/>
      <c r="AC279" s="385"/>
      <c r="AD279" s="384"/>
      <c r="AE279" s="385"/>
      <c r="AF279" s="384"/>
      <c r="AG279" s="385"/>
      <c r="AH279" s="384"/>
      <c r="AI279" s="385"/>
      <c r="AJ279" s="384"/>
      <c r="AK279" s="385"/>
      <c r="AL279" s="384"/>
      <c r="AM279" s="385"/>
      <c r="AN279" s="384"/>
      <c r="AO279" s="385"/>
      <c r="AP279" s="384"/>
      <c r="AQ279" s="385"/>
      <c r="AR279" s="384"/>
      <c r="AS279" s="385"/>
      <c r="AT279" s="384"/>
      <c r="AU279" s="385"/>
      <c r="AV279" s="384"/>
      <c r="AW279" s="385"/>
      <c r="AX279" s="385"/>
      <c r="AY279" s="384"/>
      <c r="AZ279" s="385"/>
      <c r="BA279" s="384"/>
      <c r="BB279" s="385"/>
      <c r="BC279" s="384"/>
      <c r="BD279" s="385"/>
      <c r="BE279" s="384"/>
      <c r="BF279" s="385"/>
      <c r="BG279" s="384"/>
      <c r="BH279" s="385"/>
      <c r="BI279" s="384"/>
      <c r="BJ279" s="385"/>
      <c r="BK279" s="384"/>
      <c r="BL279" s="385"/>
      <c r="BM279" s="384"/>
      <c r="BN279" s="385"/>
      <c r="BO279" s="384"/>
      <c r="BP279" s="385"/>
      <c r="BQ279" s="384"/>
      <c r="BR279" s="385"/>
      <c r="BS279" s="384"/>
      <c r="BT279" s="385"/>
      <c r="BU279" s="384"/>
      <c r="BV279" s="385"/>
      <c r="BW279" s="384"/>
      <c r="BX279" s="385"/>
      <c r="BY279" s="384"/>
      <c r="BZ279" s="385"/>
      <c r="CA279" s="384"/>
      <c r="CB279" s="385"/>
      <c r="CC279" s="384"/>
      <c r="CD279" s="385"/>
      <c r="CE279" s="384"/>
      <c r="CF279" s="385"/>
      <c r="CG279" s="384"/>
      <c r="CH279" s="385"/>
      <c r="CI279" s="384"/>
      <c r="CJ279" s="385"/>
      <c r="CK279" s="384"/>
      <c r="CL279" s="385"/>
      <c r="CM279" s="385"/>
    </row>
    <row r="280" spans="1:91" s="374" customFormat="1" ht="12" hidden="1" customHeight="1" outlineLevel="1" x14ac:dyDescent="0.2">
      <c r="A280" s="378" t="s">
        <v>243</v>
      </c>
      <c r="B280" s="427"/>
      <c r="C280" s="428" t="str">
        <f>INPUT!D$4</f>
        <v>1Q13/</v>
      </c>
      <c r="D280" s="427"/>
      <c r="E280" s="428" t="str">
        <f>INPUT!F$4</f>
        <v>2Q13/</v>
      </c>
      <c r="F280" s="427"/>
      <c r="G280" s="428" t="str">
        <f>INPUT!H$4</f>
        <v>3Q13/</v>
      </c>
      <c r="H280" s="427"/>
      <c r="I280" s="428" t="str">
        <f>INPUT!J$4</f>
        <v>4Q13/</v>
      </c>
      <c r="J280" s="427"/>
      <c r="K280" s="428" t="str">
        <f>INPUT!L$4</f>
        <v>1Q14/</v>
      </c>
      <c r="L280" s="427"/>
      <c r="M280" s="428" t="str">
        <f>INPUT!N$4</f>
        <v>2Q14/</v>
      </c>
      <c r="N280" s="427"/>
      <c r="O280" s="428" t="str">
        <f>INPUT!P$4</f>
        <v>3Q14/</v>
      </c>
      <c r="P280" s="427"/>
      <c r="Q280" s="428" t="str">
        <f>INPUT!R$4</f>
        <v>4Q14/</v>
      </c>
      <c r="R280" s="427"/>
      <c r="S280" s="428" t="str">
        <f>INPUT!T$4</f>
        <v>1Q15/</v>
      </c>
      <c r="T280" s="427"/>
      <c r="U280" s="428" t="str">
        <f>INPUT!V$4</f>
        <v>2Q15/</v>
      </c>
      <c r="V280" s="427"/>
      <c r="W280" s="428" t="str">
        <f>INPUT!X$4</f>
        <v>3Q15/</v>
      </c>
      <c r="X280" s="427"/>
      <c r="Y280" s="428" t="str">
        <f>INPUT!Z$4</f>
        <v>4Q15/</v>
      </c>
      <c r="Z280" s="427"/>
      <c r="AA280" s="428" t="str">
        <f>INPUT!AB$4</f>
        <v>1Q16/</v>
      </c>
      <c r="AB280" s="427"/>
      <c r="AC280" s="428" t="str">
        <f>INPUT!AD$4</f>
        <v>2Q16/</v>
      </c>
      <c r="AD280" s="427"/>
      <c r="AE280" s="428" t="str">
        <f>INPUT!AF$4</f>
        <v>3Q16/</v>
      </c>
      <c r="AF280" s="427"/>
      <c r="AG280" s="428" t="str">
        <f>INPUT!AH$4</f>
        <v>4Q16/</v>
      </c>
      <c r="AH280" s="427"/>
      <c r="AI280" s="428" t="str">
        <f>INPUT!AJ$4</f>
        <v>1Q17/</v>
      </c>
      <c r="AJ280" s="427"/>
      <c r="AK280" s="428" t="str">
        <f>INPUT!AL$4</f>
        <v>2Q17/</v>
      </c>
      <c r="AL280" s="427"/>
      <c r="AM280" s="428" t="str">
        <f>INPUT!AN$4</f>
        <v>3Q17/</v>
      </c>
      <c r="AN280" s="427"/>
      <c r="AO280" s="428" t="str">
        <f>INPUT!AP$4</f>
        <v>4Q17/</v>
      </c>
      <c r="AP280" s="427"/>
      <c r="AQ280" s="428" t="str">
        <f>INPUT!AR$4</f>
        <v>1Q18E/</v>
      </c>
      <c r="AR280" s="427"/>
      <c r="AS280" s="428" t="str">
        <f>INPUT!AT$4</f>
        <v>2Q18E/</v>
      </c>
      <c r="AT280" s="427"/>
      <c r="AU280" s="428" t="str">
        <f>INPUT!AV$4</f>
        <v>3Q18E/</v>
      </c>
      <c r="AV280" s="427"/>
      <c r="AW280" s="428" t="str">
        <f>INPUT!AX$4</f>
        <v>4Q18E/</v>
      </c>
      <c r="AX280" s="427"/>
      <c r="AY280" s="427"/>
      <c r="AZ280" s="428"/>
      <c r="BA280" s="427"/>
      <c r="BB280" s="428"/>
      <c r="BC280" s="427"/>
      <c r="BD280" s="428"/>
      <c r="BE280" s="427"/>
      <c r="BF280" s="428"/>
      <c r="BG280" s="427"/>
      <c r="BH280" s="428"/>
      <c r="BI280" s="427"/>
      <c r="BJ280" s="428"/>
      <c r="BK280" s="427"/>
      <c r="BL280" s="428"/>
      <c r="BM280" s="427"/>
      <c r="BN280" s="428"/>
      <c r="BO280" s="427"/>
      <c r="BP280" s="428"/>
      <c r="BQ280" s="427"/>
      <c r="BR280" s="428"/>
      <c r="BS280" s="427"/>
      <c r="BT280" s="428" t="str">
        <f>INPUT!BC$4</f>
        <v>2013/</v>
      </c>
      <c r="BU280" s="427"/>
      <c r="BV280" s="428" t="str">
        <f>INPUT!BE$4</f>
        <v>2014/</v>
      </c>
      <c r="BW280" s="427"/>
      <c r="BX280" s="428" t="str">
        <f>INPUT!BG$4</f>
        <v>2015/</v>
      </c>
      <c r="BY280" s="427"/>
      <c r="BZ280" s="428" t="str">
        <f>INPUT!BI$4</f>
        <v>2016/</v>
      </c>
      <c r="CA280" s="427"/>
      <c r="CB280" s="428" t="str">
        <f>INPUT!BK$4</f>
        <v>2017/</v>
      </c>
      <c r="CC280" s="427"/>
      <c r="CD280" s="428" t="str">
        <f>INPUT!BM$4</f>
        <v>2018E/</v>
      </c>
      <c r="CE280" s="427"/>
      <c r="CF280" s="428" t="str">
        <f>INPUT!BO$4</f>
        <v>2019E/</v>
      </c>
      <c r="CG280" s="427"/>
      <c r="CH280" s="428" t="str">
        <f>INPUT!BQ$4</f>
        <v>2020E/</v>
      </c>
      <c r="CI280" s="427"/>
      <c r="CJ280" s="428" t="str">
        <f>INPUT!BS$4</f>
        <v>2021E/</v>
      </c>
      <c r="CK280" s="427"/>
      <c r="CL280" s="428" t="str">
        <f>INPUT!BU$4</f>
        <v>2022E/</v>
      </c>
      <c r="CM280" s="428" t="str">
        <f>INPUT!BV$4</f>
        <v>5-Yr</v>
      </c>
    </row>
    <row r="281" spans="1:91" s="374" customFormat="1" ht="12" hidden="1" customHeight="1" outlineLevel="1" x14ac:dyDescent="0.2">
      <c r="A281" s="387"/>
      <c r="B281" s="386"/>
      <c r="C281" s="385">
        <f>INPUT!D$5</f>
        <v>0</v>
      </c>
      <c r="D281" s="386"/>
      <c r="E281" s="385">
        <f>INPUT!F$5</f>
        <v>0</v>
      </c>
      <c r="F281" s="386"/>
      <c r="G281" s="385">
        <f>INPUT!H$5</f>
        <v>0</v>
      </c>
      <c r="H281" s="386"/>
      <c r="I281" s="385">
        <f>INPUT!J$5</f>
        <v>0</v>
      </c>
      <c r="J281" s="386"/>
      <c r="K281" s="385" t="str">
        <f>INPUT!L$5</f>
        <v>1Q13</v>
      </c>
      <c r="L281" s="386"/>
      <c r="M281" s="385" t="str">
        <f>INPUT!N$5</f>
        <v>2Q13</v>
      </c>
      <c r="N281" s="386"/>
      <c r="O281" s="385" t="str">
        <f>INPUT!P$5</f>
        <v>3Q13</v>
      </c>
      <c r="P281" s="386"/>
      <c r="Q281" s="385" t="str">
        <f>INPUT!R$5</f>
        <v>4Q13</v>
      </c>
      <c r="R281" s="386"/>
      <c r="S281" s="385" t="str">
        <f>INPUT!T$5</f>
        <v>1Q14</v>
      </c>
      <c r="T281" s="386"/>
      <c r="U281" s="385" t="str">
        <f>INPUT!V$5</f>
        <v>2Q14</v>
      </c>
      <c r="V281" s="386"/>
      <c r="W281" s="385" t="str">
        <f>INPUT!X$5</f>
        <v>3Q14</v>
      </c>
      <c r="X281" s="386"/>
      <c r="Y281" s="385" t="str">
        <f>INPUT!Z$5</f>
        <v>4Q14</v>
      </c>
      <c r="Z281" s="386"/>
      <c r="AA281" s="385" t="str">
        <f>INPUT!AB$5</f>
        <v>1Q15</v>
      </c>
      <c r="AB281" s="386"/>
      <c r="AC281" s="385" t="str">
        <f>INPUT!AD$5</f>
        <v>2Q15</v>
      </c>
      <c r="AD281" s="386"/>
      <c r="AE281" s="385" t="str">
        <f>INPUT!AF$5</f>
        <v>3Q15</v>
      </c>
      <c r="AF281" s="386"/>
      <c r="AG281" s="385" t="str">
        <f>INPUT!AH$5</f>
        <v>4Q15</v>
      </c>
      <c r="AH281" s="386"/>
      <c r="AI281" s="385" t="str">
        <f>INPUT!AJ$5</f>
        <v>1Q16</v>
      </c>
      <c r="AJ281" s="386"/>
      <c r="AK281" s="385" t="str">
        <f>INPUT!AL$5</f>
        <v>2Q16</v>
      </c>
      <c r="AL281" s="386"/>
      <c r="AM281" s="385" t="str">
        <f>INPUT!AN$5</f>
        <v>3Q16</v>
      </c>
      <c r="AN281" s="386"/>
      <c r="AO281" s="385" t="str">
        <f>INPUT!AP$5</f>
        <v>4Q16</v>
      </c>
      <c r="AP281" s="386"/>
      <c r="AQ281" s="385" t="str">
        <f>INPUT!AR$5</f>
        <v>1Q17</v>
      </c>
      <c r="AR281" s="386"/>
      <c r="AS281" s="385" t="str">
        <f>INPUT!AT$5</f>
        <v>2Q17</v>
      </c>
      <c r="AT281" s="386"/>
      <c r="AU281" s="385" t="str">
        <f>INPUT!AV$5</f>
        <v>3Q17</v>
      </c>
      <c r="AV281" s="386"/>
      <c r="AW281" s="385" t="str">
        <f>INPUT!AX$5</f>
        <v>4Q17</v>
      </c>
      <c r="AX281" s="386"/>
      <c r="AY281" s="386"/>
      <c r="AZ281" s="385"/>
      <c r="BA281" s="388"/>
      <c r="BB281" s="385"/>
      <c r="BC281" s="386"/>
      <c r="BD281" s="385"/>
      <c r="BE281" s="386"/>
      <c r="BF281" s="385"/>
      <c r="BG281" s="386"/>
      <c r="BH281" s="385"/>
      <c r="BI281" s="386"/>
      <c r="BJ281" s="385"/>
      <c r="BK281" s="386"/>
      <c r="BL281" s="385"/>
      <c r="BM281" s="386"/>
      <c r="BN281" s="385"/>
      <c r="BO281" s="386"/>
      <c r="BP281" s="385"/>
      <c r="BQ281" s="386"/>
      <c r="BR281" s="385"/>
      <c r="BS281" s="386"/>
      <c r="BT281" s="385">
        <f>INPUT!BC$5</f>
        <v>0</v>
      </c>
      <c r="BU281" s="386"/>
      <c r="BV281" s="385" t="str">
        <f>INPUT!BE$5</f>
        <v>2013</v>
      </c>
      <c r="BW281" s="386"/>
      <c r="BX281" s="385" t="str">
        <f>INPUT!BG$5</f>
        <v>2014</v>
      </c>
      <c r="BY281" s="386"/>
      <c r="BZ281" s="385" t="str">
        <f>INPUT!BI$5</f>
        <v>2015</v>
      </c>
      <c r="CA281" s="386"/>
      <c r="CB281" s="385" t="str">
        <f>INPUT!BK$5</f>
        <v>2016</v>
      </c>
      <c r="CC281" s="386"/>
      <c r="CD281" s="385" t="str">
        <f>INPUT!BM$5</f>
        <v>2017</v>
      </c>
      <c r="CE281" s="386"/>
      <c r="CF281" s="385" t="str">
        <f>INPUT!BO$5</f>
        <v>2018E</v>
      </c>
      <c r="CG281" s="386"/>
      <c r="CH281" s="385" t="str">
        <f>INPUT!BQ$5</f>
        <v>2019E</v>
      </c>
      <c r="CI281" s="386"/>
      <c r="CJ281" s="385" t="str">
        <f>INPUT!BS$5</f>
        <v>2020E</v>
      </c>
      <c r="CK281" s="386"/>
      <c r="CL281" s="385" t="str">
        <f>INPUT!BU$5</f>
        <v>2021E</v>
      </c>
      <c r="CM281" s="385" t="str">
        <f>INPUT!BV$5</f>
        <v>CAGR</v>
      </c>
    </row>
    <row r="282" spans="1:91" s="374" customFormat="1" ht="12" hidden="1" customHeight="1" outlineLevel="1" x14ac:dyDescent="0.2">
      <c r="A282" s="389"/>
      <c r="B282" s="390" t="str">
        <f>INPUT!C$6</f>
        <v>1Q13</v>
      </c>
      <c r="C282" s="391" t="str">
        <f>INPUT!D$6</f>
        <v>% Chg</v>
      </c>
      <c r="D282" s="390" t="str">
        <f>INPUT!E$6</f>
        <v>2Q13</v>
      </c>
      <c r="E282" s="391" t="str">
        <f>INPUT!F$6</f>
        <v>% Chg</v>
      </c>
      <c r="F282" s="390" t="str">
        <f>INPUT!G$6</f>
        <v>3Q13</v>
      </c>
      <c r="G282" s="391" t="str">
        <f>INPUT!H$6</f>
        <v>% Chg</v>
      </c>
      <c r="H282" s="390" t="str">
        <f>INPUT!I$6</f>
        <v>4Q13</v>
      </c>
      <c r="I282" s="391" t="str">
        <f>INPUT!J$6</f>
        <v>% Chg</v>
      </c>
      <c r="J282" s="390" t="str">
        <f>INPUT!K$6</f>
        <v>1Q14</v>
      </c>
      <c r="K282" s="391" t="str">
        <f>INPUT!L$6</f>
        <v>% Chg</v>
      </c>
      <c r="L282" s="390" t="str">
        <f>INPUT!M$6</f>
        <v>2Q14</v>
      </c>
      <c r="M282" s="391" t="str">
        <f>INPUT!N$6</f>
        <v>% Chg</v>
      </c>
      <c r="N282" s="390" t="str">
        <f>INPUT!O$6</f>
        <v>3Q14</v>
      </c>
      <c r="O282" s="391" t="str">
        <f>INPUT!P$6</f>
        <v>% Chg</v>
      </c>
      <c r="P282" s="390" t="str">
        <f>INPUT!Q$6</f>
        <v>4Q14</v>
      </c>
      <c r="Q282" s="391" t="str">
        <f>INPUT!R$6</f>
        <v>% Chg</v>
      </c>
      <c r="R282" s="390" t="str">
        <f>INPUT!S$6</f>
        <v>1Q15</v>
      </c>
      <c r="S282" s="391" t="str">
        <f>INPUT!T$6</f>
        <v>% Chg</v>
      </c>
      <c r="T282" s="390" t="str">
        <f>INPUT!U$6</f>
        <v>2Q15</v>
      </c>
      <c r="U282" s="391" t="str">
        <f>INPUT!V$6</f>
        <v>% Chg</v>
      </c>
      <c r="V282" s="390" t="str">
        <f>INPUT!W$6</f>
        <v>3Q15</v>
      </c>
      <c r="W282" s="391" t="str">
        <f>INPUT!X$6</f>
        <v>% Chg</v>
      </c>
      <c r="X282" s="390" t="str">
        <f>INPUT!Y$6</f>
        <v>4Q15</v>
      </c>
      <c r="Y282" s="391" t="str">
        <f>INPUT!Z$6</f>
        <v>% Chg</v>
      </c>
      <c r="Z282" s="390" t="str">
        <f>INPUT!AA$6</f>
        <v>1Q16</v>
      </c>
      <c r="AA282" s="391" t="str">
        <f>INPUT!AB$6</f>
        <v>% Chg</v>
      </c>
      <c r="AB282" s="390" t="str">
        <f>INPUT!AC$6</f>
        <v>2Q16</v>
      </c>
      <c r="AC282" s="391" t="str">
        <f>INPUT!AD$6</f>
        <v>% Chg</v>
      </c>
      <c r="AD282" s="390" t="str">
        <f>INPUT!AE$6</f>
        <v>3Q16</v>
      </c>
      <c r="AE282" s="391" t="str">
        <f>INPUT!AF$6</f>
        <v>% Chg</v>
      </c>
      <c r="AF282" s="390" t="str">
        <f>INPUT!AG$6</f>
        <v>4Q16</v>
      </c>
      <c r="AG282" s="391" t="str">
        <f>INPUT!AH$6</f>
        <v>% Chg</v>
      </c>
      <c r="AH282" s="390" t="str">
        <f>INPUT!AI$6</f>
        <v>1Q17</v>
      </c>
      <c r="AI282" s="391" t="str">
        <f>INPUT!AJ$6</f>
        <v>% Chg</v>
      </c>
      <c r="AJ282" s="390" t="str">
        <f>INPUT!AK$6</f>
        <v>2Q17</v>
      </c>
      <c r="AK282" s="391" t="str">
        <f>INPUT!AL$6</f>
        <v>% Chg</v>
      </c>
      <c r="AL282" s="390" t="str">
        <f>INPUT!AM$6</f>
        <v>3Q17</v>
      </c>
      <c r="AM282" s="391" t="str">
        <f>INPUT!AN$6</f>
        <v>% Chg</v>
      </c>
      <c r="AN282" s="390" t="str">
        <f>INPUT!AO$6</f>
        <v>4Q17</v>
      </c>
      <c r="AO282" s="391" t="str">
        <f>INPUT!AP$6</f>
        <v>% Chg</v>
      </c>
      <c r="AP282" s="390" t="str">
        <f>INPUT!AQ$6</f>
        <v>1Q18E</v>
      </c>
      <c r="AQ282" s="391" t="str">
        <f>INPUT!AR$6</f>
        <v>% Chg</v>
      </c>
      <c r="AR282" s="390" t="str">
        <f>INPUT!AS$6</f>
        <v>2Q18E</v>
      </c>
      <c r="AS282" s="391" t="str">
        <f>INPUT!AT$6</f>
        <v>% Chg</v>
      </c>
      <c r="AT282" s="390" t="str">
        <f>INPUT!AU$6</f>
        <v>3Q18E</v>
      </c>
      <c r="AU282" s="391" t="str">
        <f>INPUT!AV$6</f>
        <v>% Chg</v>
      </c>
      <c r="AV282" s="390" t="str">
        <f>INPUT!AW$6</f>
        <v>4Q18E</v>
      </c>
      <c r="AW282" s="391" t="str">
        <f>INPUT!AX$6</f>
        <v>% Chg</v>
      </c>
      <c r="AX282" s="390"/>
      <c r="AY282" s="392"/>
      <c r="AZ282" s="391"/>
      <c r="BA282" s="392"/>
      <c r="BB282" s="391"/>
      <c r="BC282" s="392"/>
      <c r="BD282" s="391"/>
      <c r="BE282" s="393"/>
      <c r="BF282" s="391"/>
      <c r="BG282" s="393"/>
      <c r="BH282" s="391"/>
      <c r="BI282" s="393"/>
      <c r="BJ282" s="391"/>
      <c r="BK282" s="393"/>
      <c r="BL282" s="391"/>
      <c r="BM282" s="390"/>
      <c r="BN282" s="391"/>
      <c r="BO282" s="390"/>
      <c r="BP282" s="391"/>
      <c r="BQ282" s="390"/>
      <c r="BR282" s="391"/>
      <c r="BS282" s="390" t="str">
        <f>INPUT!BB$6</f>
        <v>2013</v>
      </c>
      <c r="BT282" s="391" t="str">
        <f>INPUT!BC$6</f>
        <v>% Chg</v>
      </c>
      <c r="BU282" s="390" t="str">
        <f>INPUT!BD$6</f>
        <v>2014</v>
      </c>
      <c r="BV282" s="391" t="str">
        <f>INPUT!BE$6</f>
        <v>% Chg</v>
      </c>
      <c r="BW282" s="390" t="str">
        <f>INPUT!BF$6</f>
        <v>2015</v>
      </c>
      <c r="BX282" s="391" t="str">
        <f>INPUT!BG$6</f>
        <v>% Chg</v>
      </c>
      <c r="BY282" s="390" t="str">
        <f>INPUT!BH$6</f>
        <v>2016</v>
      </c>
      <c r="BZ282" s="391" t="str">
        <f>INPUT!BI$6</f>
        <v>% Chg</v>
      </c>
      <c r="CA282" s="390" t="str">
        <f>INPUT!BJ$6</f>
        <v>2017</v>
      </c>
      <c r="CB282" s="391" t="str">
        <f>INPUT!BK$6</f>
        <v>% Chg</v>
      </c>
      <c r="CC282" s="390" t="str">
        <f>INPUT!BL$6</f>
        <v>2018E</v>
      </c>
      <c r="CD282" s="391" t="str">
        <f>INPUT!BM$6</f>
        <v>% Chg</v>
      </c>
      <c r="CE282" s="390" t="str">
        <f>INPUT!BN$6</f>
        <v>2019E</v>
      </c>
      <c r="CF282" s="391" t="str">
        <f>INPUT!BO$6</f>
        <v>% Chg</v>
      </c>
      <c r="CG282" s="390" t="str">
        <f>INPUT!BP$6</f>
        <v>2020E</v>
      </c>
      <c r="CH282" s="391" t="str">
        <f>INPUT!BQ$6</f>
        <v>% Chg</v>
      </c>
      <c r="CI282" s="390" t="str">
        <f>INPUT!BR$6</f>
        <v>2021E</v>
      </c>
      <c r="CJ282" s="391" t="str">
        <f>INPUT!BS$6</f>
        <v>% Chg</v>
      </c>
      <c r="CK282" s="390" t="str">
        <f>INPUT!BT$6</f>
        <v>2022E</v>
      </c>
      <c r="CL282" s="391" t="str">
        <f>INPUT!BU$6</f>
        <v>% Chg</v>
      </c>
      <c r="CM282" s="391" t="str">
        <f>INPUT!BV$6</f>
        <v>(%)</v>
      </c>
    </row>
    <row r="283" spans="1:91" ht="12" hidden="1" customHeight="1" outlineLevel="1" x14ac:dyDescent="0.2">
      <c r="A283" s="394"/>
      <c r="B283" s="395"/>
      <c r="C283" s="422"/>
      <c r="D283" s="395"/>
      <c r="E283" s="396"/>
      <c r="F283" s="395"/>
      <c r="G283" s="396"/>
      <c r="H283" s="395"/>
      <c r="I283" s="396"/>
      <c r="J283" s="395"/>
      <c r="K283" s="396"/>
      <c r="L283" s="395"/>
      <c r="M283" s="396"/>
      <c r="N283" s="395"/>
      <c r="O283" s="396"/>
      <c r="P283" s="395"/>
      <c r="Q283" s="396"/>
      <c r="R283" s="395"/>
      <c r="S283" s="396"/>
      <c r="T283" s="395"/>
      <c r="U283" s="396"/>
      <c r="V283" s="395"/>
      <c r="W283" s="396"/>
      <c r="X283" s="395"/>
      <c r="Y283" s="396"/>
      <c r="Z283" s="395"/>
      <c r="AA283" s="396"/>
      <c r="AB283" s="395"/>
      <c r="AC283" s="396"/>
      <c r="AD283" s="395"/>
      <c r="AE283" s="396"/>
      <c r="AF283" s="395"/>
      <c r="AG283" s="396"/>
      <c r="AH283" s="395"/>
      <c r="AI283" s="396"/>
      <c r="AJ283" s="395"/>
      <c r="AK283" s="396"/>
      <c r="AL283" s="395"/>
      <c r="AM283" s="396"/>
      <c r="AN283" s="395"/>
      <c r="AO283" s="396"/>
      <c r="AP283" s="395"/>
      <c r="AQ283" s="396"/>
      <c r="AR283" s="395"/>
      <c r="AS283" s="396"/>
      <c r="AT283" s="395"/>
      <c r="AU283" s="396"/>
      <c r="AV283" s="395"/>
      <c r="AW283" s="396"/>
      <c r="AX283" s="395"/>
      <c r="AY283" s="395"/>
      <c r="AZ283" s="422"/>
      <c r="BA283" s="395"/>
      <c r="BB283" s="422"/>
      <c r="BC283" s="395"/>
      <c r="BD283" s="422"/>
      <c r="BE283" s="395"/>
      <c r="BF283" s="396"/>
      <c r="BG283" s="395"/>
      <c r="BH283" s="396"/>
      <c r="BI283" s="395"/>
      <c r="BJ283" s="396"/>
      <c r="BK283" s="395"/>
      <c r="BL283" s="396"/>
      <c r="BM283" s="395"/>
      <c r="BN283" s="396"/>
      <c r="BO283" s="395"/>
      <c r="BP283" s="396"/>
      <c r="BQ283" s="395"/>
      <c r="BR283" s="396"/>
      <c r="BS283" s="395"/>
      <c r="BT283" s="396"/>
      <c r="BU283" s="395"/>
      <c r="BV283" s="396"/>
      <c r="BW283" s="395"/>
      <c r="BX283" s="396"/>
      <c r="BY283" s="395"/>
      <c r="BZ283" s="396"/>
      <c r="CA283" s="395"/>
      <c r="CB283" s="396"/>
      <c r="CC283" s="395"/>
      <c r="CD283" s="396"/>
      <c r="CE283" s="395"/>
      <c r="CF283" s="396"/>
      <c r="CG283" s="395"/>
      <c r="CH283" s="396"/>
      <c r="CI283" s="395"/>
      <c r="CJ283" s="396"/>
      <c r="CK283" s="395"/>
      <c r="CL283" s="396"/>
      <c r="CM283" s="422"/>
    </row>
    <row r="284" spans="1:91" ht="12" hidden="1" customHeight="1" outlineLevel="1" x14ac:dyDescent="0.2">
      <c r="A284" s="421" t="str">
        <f>INPUT!B311</f>
        <v>Combined Net Revenues (PFG Share)</v>
      </c>
      <c r="B284" s="395"/>
      <c r="C284" s="422"/>
      <c r="D284" s="395"/>
      <c r="E284" s="396"/>
      <c r="F284" s="395"/>
      <c r="G284" s="396"/>
      <c r="H284" s="395"/>
      <c r="I284" s="396"/>
      <c r="J284" s="395"/>
      <c r="K284" s="396"/>
      <c r="L284" s="395"/>
      <c r="M284" s="396"/>
      <c r="N284" s="395"/>
      <c r="O284" s="396"/>
      <c r="P284" s="395"/>
      <c r="Q284" s="396"/>
      <c r="R284" s="395"/>
      <c r="S284" s="396"/>
      <c r="T284" s="395"/>
      <c r="U284" s="396"/>
      <c r="V284" s="395"/>
      <c r="W284" s="396"/>
      <c r="X284" s="395"/>
      <c r="Y284" s="396"/>
      <c r="Z284" s="395"/>
      <c r="AA284" s="396"/>
      <c r="AB284" s="395"/>
      <c r="AC284" s="396"/>
      <c r="AD284" s="395"/>
      <c r="AE284" s="396"/>
      <c r="AF284" s="395"/>
      <c r="AG284" s="396"/>
      <c r="AH284" s="395"/>
      <c r="AI284" s="396"/>
      <c r="AJ284" s="395"/>
      <c r="AK284" s="396"/>
      <c r="AL284" s="395"/>
      <c r="AM284" s="396"/>
      <c r="AN284" s="395"/>
      <c r="AO284" s="396"/>
      <c r="AP284" s="395"/>
      <c r="AQ284" s="396"/>
      <c r="AR284" s="395"/>
      <c r="AS284" s="396"/>
      <c r="AT284" s="395"/>
      <c r="AU284" s="396"/>
      <c r="AV284" s="395"/>
      <c r="AW284" s="396"/>
      <c r="AX284" s="395"/>
      <c r="AY284" s="395"/>
      <c r="AZ284" s="422"/>
      <c r="BA284" s="395"/>
      <c r="BB284" s="422"/>
      <c r="BC284" s="395"/>
      <c r="BD284" s="422"/>
      <c r="BE284" s="395"/>
      <c r="BF284" s="396"/>
      <c r="BG284" s="395"/>
      <c r="BH284" s="396"/>
      <c r="BI284" s="395"/>
      <c r="BJ284" s="396"/>
      <c r="BK284" s="395"/>
      <c r="BL284" s="396"/>
      <c r="BM284" s="395"/>
      <c r="BN284" s="396"/>
      <c r="BO284" s="395"/>
      <c r="BP284" s="396"/>
      <c r="BQ284" s="395"/>
      <c r="BR284" s="396"/>
      <c r="BS284" s="395"/>
      <c r="BT284" s="396"/>
      <c r="BU284" s="395"/>
      <c r="BV284" s="396"/>
      <c r="BW284" s="395"/>
      <c r="BX284" s="396"/>
      <c r="BY284" s="395"/>
      <c r="BZ284" s="396"/>
      <c r="CA284" s="395"/>
      <c r="CB284" s="396"/>
      <c r="CC284" s="395"/>
      <c r="CD284" s="396"/>
      <c r="CE284" s="395"/>
      <c r="CF284" s="396"/>
      <c r="CG284" s="395"/>
      <c r="CH284" s="396"/>
      <c r="CI284" s="395"/>
      <c r="CJ284" s="396"/>
      <c r="CK284" s="395"/>
      <c r="CL284" s="396"/>
      <c r="CM284" s="422"/>
    </row>
    <row r="285" spans="1:91" ht="12" hidden="1" customHeight="1" outlineLevel="1" x14ac:dyDescent="0.2">
      <c r="A285" s="400" t="s">
        <v>374</v>
      </c>
      <c r="B285" s="425">
        <f>INPUT!C319</f>
        <v>148.30000000000001</v>
      </c>
      <c r="C285" s="424" t="str">
        <f>INPUT!D319</f>
        <v>NA</v>
      </c>
      <c r="D285" s="436">
        <f>INPUT!E319</f>
        <v>190.7</v>
      </c>
      <c r="E285" s="382" t="str">
        <f>INPUT!F319</f>
        <v>NA</v>
      </c>
      <c r="F285" s="436">
        <f>INPUT!G319</f>
        <v>182.89999999999998</v>
      </c>
      <c r="G285" s="382" t="str">
        <f>INPUT!H319</f>
        <v>NA</v>
      </c>
      <c r="H285" s="436">
        <f>INPUT!I319</f>
        <v>174.1</v>
      </c>
      <c r="I285" s="382" t="str">
        <f>INPUT!J319</f>
        <v>NA</v>
      </c>
      <c r="J285" s="436">
        <f>INPUT!K319</f>
        <v>153.39999999999998</v>
      </c>
      <c r="K285" s="382">
        <f>INPUT!L319</f>
        <v>3.4389750505731342</v>
      </c>
      <c r="L285" s="436">
        <f>INPUT!M319</f>
        <v>190.10000000000002</v>
      </c>
      <c r="M285" s="382">
        <f>INPUT!N319</f>
        <v>-0.31463030938645886</v>
      </c>
      <c r="N285" s="436">
        <f>INPUT!O319</f>
        <v>161.4</v>
      </c>
      <c r="O285" s="382">
        <f>INPUT!P319</f>
        <v>-11.755057408419887</v>
      </c>
      <c r="P285" s="436">
        <f>INPUT!Q319</f>
        <v>159.69999999999999</v>
      </c>
      <c r="Q285" s="382">
        <f>INPUT!R319</f>
        <v>-8.2711085582998294</v>
      </c>
      <c r="R285" s="436">
        <f>INPUT!S319</f>
        <v>142.69999999999999</v>
      </c>
      <c r="S285" s="382">
        <f>INPUT!T319</f>
        <v>-6.9752281616688379</v>
      </c>
      <c r="T285" s="436">
        <f>INPUT!U319</f>
        <v>176.2</v>
      </c>
      <c r="U285" s="382">
        <f>INPUT!V319</f>
        <v>-7.3119410836402068</v>
      </c>
      <c r="V285" s="436">
        <f>INPUT!W319</f>
        <v>172.7</v>
      </c>
      <c r="W285" s="382">
        <f>INPUT!X319</f>
        <v>7.0012391573729786</v>
      </c>
      <c r="X285" s="436">
        <f>INPUT!Y319</f>
        <v>163.1</v>
      </c>
      <c r="Y285" s="382">
        <f>INPUT!Z319</f>
        <v>2.128991859736999</v>
      </c>
      <c r="Z285" s="436">
        <f>INPUT!AA319</f>
        <v>154.9</v>
      </c>
      <c r="AA285" s="382">
        <f>INPUT!AB319</f>
        <v>8.549404344779262</v>
      </c>
      <c r="AB285" s="436">
        <f>INPUT!AC319</f>
        <v>176.39999999999998</v>
      </c>
      <c r="AC285" s="382">
        <f>INPUT!AD319</f>
        <v>0.11350737797957322</v>
      </c>
      <c r="AD285" s="436">
        <f>INPUT!AE319</f>
        <v>173.60000000000002</v>
      </c>
      <c r="AE285" s="382">
        <f>INPUT!AF319</f>
        <v>0.52113491603940076</v>
      </c>
      <c r="AF285" s="436">
        <f>INPUT!AG319</f>
        <v>177.10000000000002</v>
      </c>
      <c r="AG285" s="382">
        <f>INPUT!AH319</f>
        <v>8.5836909871244842</v>
      </c>
      <c r="AH285" s="436">
        <f>INPUT!AI319</f>
        <v>154.6</v>
      </c>
      <c r="AI285" s="382">
        <f>INPUT!AJ319</f>
        <v>-0.1936733376371933</v>
      </c>
      <c r="AJ285" s="436">
        <f>INPUT!AK319</f>
        <v>162.69999999999999</v>
      </c>
      <c r="AK285" s="382">
        <f>INPUT!AL319</f>
        <v>-7.7664399092970484</v>
      </c>
      <c r="AL285" s="436">
        <f>INPUT!AM319</f>
        <v>154</v>
      </c>
      <c r="AM285" s="382">
        <f>INPUT!AN319</f>
        <v>-11.290322580645167</v>
      </c>
      <c r="AN285" s="436">
        <f>INPUT!AO319</f>
        <v>180.2</v>
      </c>
      <c r="AO285" s="382">
        <f>INPUT!AP319</f>
        <v>1.7504234895538957</v>
      </c>
      <c r="AP285" s="436">
        <f>INPUT!AQ319</f>
        <v>178.44528505144618</v>
      </c>
      <c r="AQ285" s="382">
        <f>INPUT!AR319</f>
        <v>15.4238583773908</v>
      </c>
      <c r="AR285" s="436">
        <f>INPUT!AS319</f>
        <v>179.52439203401767</v>
      </c>
      <c r="AS285" s="382">
        <f>INPUT!AT319</f>
        <v>10.340744950225982</v>
      </c>
      <c r="AT285" s="436">
        <f>INPUT!AU319</f>
        <v>181.1823947756493</v>
      </c>
      <c r="AU285" s="382">
        <f>INPUT!AV319</f>
        <v>17.650905698473565</v>
      </c>
      <c r="AV285" s="436">
        <f>INPUT!AW319</f>
        <v>182.87142584584714</v>
      </c>
      <c r="AW285" s="382">
        <f>INPUT!AX319</f>
        <v>1.4824782718352765</v>
      </c>
      <c r="AX285" s="403"/>
      <c r="AY285" s="402"/>
      <c r="AZ285" s="432"/>
      <c r="BA285" s="402"/>
      <c r="BB285" s="432"/>
      <c r="BC285" s="402"/>
      <c r="BD285" s="432"/>
      <c r="BE285" s="402"/>
      <c r="BF285" s="382"/>
      <c r="BG285" s="402"/>
      <c r="BH285" s="382"/>
      <c r="BI285" s="402"/>
      <c r="BJ285" s="382"/>
      <c r="BK285" s="436"/>
      <c r="BL285" s="382"/>
      <c r="BM285" s="436"/>
      <c r="BN285" s="382"/>
      <c r="BO285" s="436"/>
      <c r="BP285" s="382"/>
      <c r="BQ285" s="436"/>
      <c r="BR285" s="382"/>
      <c r="BS285" s="436">
        <f>INPUT!BB319</f>
        <v>696</v>
      </c>
      <c r="BT285" s="382" t="str">
        <f>INPUT!BC319</f>
        <v>NA</v>
      </c>
      <c r="BU285" s="436">
        <f>INPUT!BD319</f>
        <v>664.59999999999991</v>
      </c>
      <c r="BV285" s="382">
        <f>INPUT!BE319</f>
        <v>-4.5114942528735753</v>
      </c>
      <c r="BW285" s="436">
        <f>INPUT!BF319</f>
        <v>654.69999999999993</v>
      </c>
      <c r="BX285" s="382">
        <f>INPUT!BG319</f>
        <v>-1.4896178152272057</v>
      </c>
      <c r="BY285" s="436">
        <f>INPUT!BH319</f>
        <v>682</v>
      </c>
      <c r="BZ285" s="382">
        <f>INPUT!BI319</f>
        <v>4.1698487857033939</v>
      </c>
      <c r="CA285" s="436">
        <f>INPUT!BJ319</f>
        <v>651.5</v>
      </c>
      <c r="CB285" s="382">
        <f>INPUT!BK319</f>
        <v>-4.47214076246334</v>
      </c>
      <c r="CC285" s="436">
        <f>INPUT!BL319</f>
        <v>722.02349770696037</v>
      </c>
      <c r="CD285" s="382">
        <f>INPUT!BM319</f>
        <v>10.824788596617083</v>
      </c>
      <c r="CE285" s="436">
        <f>INPUT!BN319</f>
        <v>770.23646188025475</v>
      </c>
      <c r="CF285" s="382">
        <f>INPUT!BO319</f>
        <v>6.6774785483314076</v>
      </c>
      <c r="CG285" s="436">
        <f>INPUT!BP319</f>
        <v>842.06619281395524</v>
      </c>
      <c r="CH285" s="382">
        <f>INPUT!BQ319</f>
        <v>9.325672632837211</v>
      </c>
      <c r="CI285" s="436">
        <f>INPUT!BR319</f>
        <v>916.40009166198502</v>
      </c>
      <c r="CJ285" s="382">
        <f>INPUT!BS319</f>
        <v>8.8275600519747996</v>
      </c>
      <c r="CK285" s="436">
        <f>INPUT!BT319</f>
        <v>994.16364992670015</v>
      </c>
      <c r="CL285" s="382">
        <f>INPUT!BU319</f>
        <v>8.4857650028911564</v>
      </c>
      <c r="CM285" s="424">
        <f>INPUT!BV319</f>
        <v>8.8199925772824308</v>
      </c>
    </row>
    <row r="286" spans="1:91" ht="12" hidden="1" customHeight="1" outlineLevel="1" x14ac:dyDescent="0.2">
      <c r="A286" s="400" t="str">
        <f>INPUT!B320</f>
        <v>Net Investment Income</v>
      </c>
      <c r="B286" s="425">
        <f>INPUT!C320</f>
        <v>113.3</v>
      </c>
      <c r="C286" s="424" t="str">
        <f>INPUT!D320</f>
        <v>NA</v>
      </c>
      <c r="D286" s="436">
        <f>INPUT!E320</f>
        <v>97.3</v>
      </c>
      <c r="E286" s="382" t="str">
        <f>INPUT!F320</f>
        <v>NA</v>
      </c>
      <c r="F286" s="436">
        <f>INPUT!G320</f>
        <v>132.6</v>
      </c>
      <c r="G286" s="382" t="str">
        <f>INPUT!H320</f>
        <v>NA</v>
      </c>
      <c r="H286" s="436">
        <f>INPUT!I320</f>
        <v>162</v>
      </c>
      <c r="I286" s="382" t="str">
        <f>INPUT!J320</f>
        <v>NA</v>
      </c>
      <c r="J286" s="436">
        <f>INPUT!K320</f>
        <v>159.19999999999999</v>
      </c>
      <c r="K286" s="382">
        <f>INPUT!L320</f>
        <v>40.511915269196805</v>
      </c>
      <c r="L286" s="436">
        <f>INPUT!M320</f>
        <v>181.3</v>
      </c>
      <c r="M286" s="382">
        <f>INPUT!N320</f>
        <v>86.330935251798593</v>
      </c>
      <c r="N286" s="436">
        <f>INPUT!O320</f>
        <v>147.6</v>
      </c>
      <c r="O286" s="382">
        <f>INPUT!P320</f>
        <v>11.312217194570138</v>
      </c>
      <c r="P286" s="436">
        <f>INPUT!Q320</f>
        <v>177.1</v>
      </c>
      <c r="Q286" s="382">
        <f>INPUT!R320</f>
        <v>9.3209876543209873</v>
      </c>
      <c r="R286" s="436">
        <f>INPUT!S320</f>
        <v>108.1</v>
      </c>
      <c r="S286" s="382">
        <f>INPUT!T320</f>
        <v>-32.097989949748737</v>
      </c>
      <c r="T286" s="436">
        <f>INPUT!U320</f>
        <v>152.1</v>
      </c>
      <c r="U286" s="382">
        <f>INPUT!V320</f>
        <v>-16.10590182018754</v>
      </c>
      <c r="V286" s="436">
        <f>INPUT!W320</f>
        <v>152.80000000000001</v>
      </c>
      <c r="W286" s="382">
        <f>INPUT!X320</f>
        <v>3.5230352303523063</v>
      </c>
      <c r="X286" s="436">
        <f>INPUT!Y320</f>
        <v>152.9</v>
      </c>
      <c r="Y286" s="382">
        <f>INPUT!Z320</f>
        <v>-13.66459627329192</v>
      </c>
      <c r="Z286" s="436">
        <f>INPUT!AA320</f>
        <v>131.69999999999999</v>
      </c>
      <c r="AA286" s="382">
        <f>INPUT!AB320</f>
        <v>21.831637372802959</v>
      </c>
      <c r="AB286" s="436">
        <f>INPUT!AC320</f>
        <v>142.30000000000001</v>
      </c>
      <c r="AC286" s="382">
        <f>INPUT!AD320</f>
        <v>-6.4431295200525796</v>
      </c>
      <c r="AD286" s="436">
        <f>INPUT!AE320</f>
        <v>160.80000000000001</v>
      </c>
      <c r="AE286" s="382">
        <f>INPUT!AF320</f>
        <v>5.2356020942408321</v>
      </c>
      <c r="AF286" s="436">
        <f>INPUT!AG320</f>
        <v>135.19999999999999</v>
      </c>
      <c r="AG286" s="382">
        <f>INPUT!AH320</f>
        <v>-11.576193590582093</v>
      </c>
      <c r="AH286" s="436">
        <f>INPUT!AI320</f>
        <v>166.7</v>
      </c>
      <c r="AI286" s="382">
        <f>INPUT!AJ320</f>
        <v>26.575550493545947</v>
      </c>
      <c r="AJ286" s="436">
        <f>INPUT!AK320</f>
        <v>156.69999999999999</v>
      </c>
      <c r="AK286" s="382">
        <f>INPUT!AL320</f>
        <v>10.119465917076582</v>
      </c>
      <c r="AL286" s="436">
        <f>INPUT!AM320</f>
        <v>120.7</v>
      </c>
      <c r="AM286" s="382">
        <f>INPUT!AN320</f>
        <v>-24.937810945273625</v>
      </c>
      <c r="AN286" s="436">
        <f>INPUT!AO320</f>
        <v>155.9</v>
      </c>
      <c r="AO286" s="382">
        <f>INPUT!AP320</f>
        <v>15.310650887573971</v>
      </c>
      <c r="AP286" s="436">
        <f>INPUT!AQ320</f>
        <v>149.89403944321478</v>
      </c>
      <c r="AQ286" s="382">
        <f>INPUT!AR320</f>
        <v>-10.081560022066711</v>
      </c>
      <c r="AR286" s="436">
        <f>INPUT!AS320</f>
        <v>150.80048930857484</v>
      </c>
      <c r="AS286" s="382">
        <f>INPUT!AT320</f>
        <v>-3.7648440915285022</v>
      </c>
      <c r="AT286" s="436">
        <f>INPUT!AU320</f>
        <v>152.19321161154542</v>
      </c>
      <c r="AU286" s="382">
        <f>INPUT!AV320</f>
        <v>26.092138866234805</v>
      </c>
      <c r="AV286" s="436">
        <f>INPUT!AW320</f>
        <v>153.61199771051162</v>
      </c>
      <c r="AW286" s="382">
        <f>INPUT!AX320</f>
        <v>-1.4676089092292415</v>
      </c>
      <c r="AX286" s="403"/>
      <c r="AY286" s="402"/>
      <c r="AZ286" s="432"/>
      <c r="BA286" s="402"/>
      <c r="BB286" s="432"/>
      <c r="BC286" s="402"/>
      <c r="BD286" s="432"/>
      <c r="BE286" s="402"/>
      <c r="BF286" s="382"/>
      <c r="BG286" s="402"/>
      <c r="BH286" s="382"/>
      <c r="BI286" s="402"/>
      <c r="BJ286" s="382"/>
      <c r="BK286" s="436"/>
      <c r="BL286" s="382"/>
      <c r="BM286" s="436"/>
      <c r="BN286" s="382"/>
      <c r="BO286" s="436"/>
      <c r="BP286" s="382"/>
      <c r="BQ286" s="436"/>
      <c r="BR286" s="382"/>
      <c r="BS286" s="436">
        <f>INPUT!BB320</f>
        <v>505.2</v>
      </c>
      <c r="BT286" s="382" t="str">
        <f>INPUT!BC320</f>
        <v>NA</v>
      </c>
      <c r="BU286" s="436">
        <f>INPUT!BD320</f>
        <v>665.2</v>
      </c>
      <c r="BV286" s="382">
        <f>INPUT!BE320</f>
        <v>31.670625494853539</v>
      </c>
      <c r="BW286" s="436">
        <f>INPUT!BF320</f>
        <v>565.9</v>
      </c>
      <c r="BX286" s="382">
        <f>INPUT!BG320</f>
        <v>-14.927841250751655</v>
      </c>
      <c r="BY286" s="436">
        <f>INPUT!BH320</f>
        <v>570</v>
      </c>
      <c r="BZ286" s="382">
        <f>INPUT!BI320</f>
        <v>0.72450963067680618</v>
      </c>
      <c r="CA286" s="436">
        <f>INPUT!BJ320</f>
        <v>600</v>
      </c>
      <c r="CB286" s="382">
        <f>INPUT!BK320</f>
        <v>5.2631578947368354</v>
      </c>
      <c r="CC286" s="436">
        <f>INPUT!BL320</f>
        <v>606.49973807384663</v>
      </c>
      <c r="CD286" s="382">
        <f>INPUT!BM320</f>
        <v>1.0832896789744382</v>
      </c>
      <c r="CE286" s="436">
        <f>INPUT!BN320</f>
        <v>642.63241729729828</v>
      </c>
      <c r="CF286" s="382">
        <f>INPUT!BO320</f>
        <v>5.9575754044352465</v>
      </c>
      <c r="CG286" s="436">
        <f>INPUT!BP320</f>
        <v>713.15575649248308</v>
      </c>
      <c r="CH286" s="382">
        <f>INPUT!BQ320</f>
        <v>10.974133469920929</v>
      </c>
      <c r="CI286" s="436">
        <f>INPUT!BR320</f>
        <v>773.01793741132667</v>
      </c>
      <c r="CJ286" s="382">
        <f>INPUT!BS320</f>
        <v>8.3939841155127084</v>
      </c>
      <c r="CK286" s="436">
        <f>INPUT!BT320</f>
        <v>850.95921381714379</v>
      </c>
      <c r="CL286" s="382">
        <f>INPUT!BU320</f>
        <v>10.082725462597409</v>
      </c>
      <c r="CM286" s="424">
        <f>INPUT!BV320</f>
        <v>7.2386897057364452</v>
      </c>
    </row>
    <row r="287" spans="1:91" s="767" customFormat="1" ht="12" hidden="1" customHeight="1" outlineLevel="1" x14ac:dyDescent="0.2">
      <c r="A287" s="394" t="str">
        <f>INPUT!B321</f>
        <v>Total Operating Revenues</v>
      </c>
      <c r="B287" s="430">
        <f>INPUT!C321</f>
        <v>261.60000000000002</v>
      </c>
      <c r="C287" s="763" t="str">
        <f>INPUT!D321</f>
        <v>NA</v>
      </c>
      <c r="D287" s="444">
        <f>INPUT!E321</f>
        <v>288</v>
      </c>
      <c r="E287" s="764" t="str">
        <f>INPUT!F321</f>
        <v>NA</v>
      </c>
      <c r="F287" s="444">
        <f>INPUT!G321</f>
        <v>315.5</v>
      </c>
      <c r="G287" s="764" t="str">
        <f>INPUT!H321</f>
        <v>NA</v>
      </c>
      <c r="H287" s="444">
        <f>INPUT!I321</f>
        <v>336.1</v>
      </c>
      <c r="I287" s="764" t="str">
        <f>INPUT!J321</f>
        <v>NA</v>
      </c>
      <c r="J287" s="444">
        <f>INPUT!K321</f>
        <v>312.59999999999997</v>
      </c>
      <c r="K287" s="764">
        <f>INPUT!L321</f>
        <v>19.495412844036665</v>
      </c>
      <c r="L287" s="444">
        <f>INPUT!M321</f>
        <v>371.40000000000003</v>
      </c>
      <c r="M287" s="764">
        <f>INPUT!N321</f>
        <v>28.958333333333343</v>
      </c>
      <c r="N287" s="444">
        <f>INPUT!O321</f>
        <v>309</v>
      </c>
      <c r="O287" s="764">
        <f>INPUT!P321</f>
        <v>-2.0602218700475419</v>
      </c>
      <c r="P287" s="444">
        <f>INPUT!Q321</f>
        <v>336.79999999999995</v>
      </c>
      <c r="Q287" s="764">
        <f>INPUT!R321</f>
        <v>0.20827134781313816</v>
      </c>
      <c r="R287" s="444">
        <f>INPUT!S321</f>
        <v>250.79999999999998</v>
      </c>
      <c r="S287" s="764">
        <f>INPUT!T321</f>
        <v>-19.769673704414586</v>
      </c>
      <c r="T287" s="444">
        <f>INPUT!U321</f>
        <v>328.29999999999995</v>
      </c>
      <c r="U287" s="764">
        <f>INPUT!V321</f>
        <v>-11.604738826063567</v>
      </c>
      <c r="V287" s="444">
        <f>INPUT!W321</f>
        <v>325.5</v>
      </c>
      <c r="W287" s="764">
        <f>INPUT!X321</f>
        <v>5.3398058252427205</v>
      </c>
      <c r="X287" s="444">
        <f>INPUT!Y321</f>
        <v>316</v>
      </c>
      <c r="Y287" s="764">
        <f>INPUT!Z321</f>
        <v>-6.175771971496431</v>
      </c>
      <c r="Z287" s="444">
        <f>INPUT!AA321</f>
        <v>286.60000000000002</v>
      </c>
      <c r="AA287" s="764">
        <f>INPUT!AB321</f>
        <v>14.274322169059019</v>
      </c>
      <c r="AB287" s="444">
        <f>INPUT!AC321</f>
        <v>318.7</v>
      </c>
      <c r="AC287" s="764">
        <f>INPUT!AD321</f>
        <v>-2.9241547365214728</v>
      </c>
      <c r="AD287" s="444">
        <f>INPUT!AE321</f>
        <v>334.40000000000003</v>
      </c>
      <c r="AE287" s="764">
        <f>INPUT!AF321</f>
        <v>2.7342549923195207</v>
      </c>
      <c r="AF287" s="444">
        <f>INPUT!AG321</f>
        <v>312.3</v>
      </c>
      <c r="AG287" s="764">
        <f>INPUT!AH321</f>
        <v>-1.1708860759493689</v>
      </c>
      <c r="AH287" s="444">
        <f>INPUT!AI321</f>
        <v>321.29999999999995</v>
      </c>
      <c r="AI287" s="764">
        <f>INPUT!AJ321</f>
        <v>12.107466852756431</v>
      </c>
      <c r="AJ287" s="444">
        <f>INPUT!AK321</f>
        <v>319.39999999999998</v>
      </c>
      <c r="AK287" s="764">
        <f>INPUT!AL321</f>
        <v>0.21964229683086955</v>
      </c>
      <c r="AL287" s="444">
        <f>INPUT!AM321</f>
        <v>274.7</v>
      </c>
      <c r="AM287" s="764">
        <f>INPUT!AN321</f>
        <v>-17.852870813397132</v>
      </c>
      <c r="AN287" s="444">
        <f>INPUT!AO321</f>
        <v>336.1</v>
      </c>
      <c r="AO287" s="764">
        <f>INPUT!AP321</f>
        <v>7.6208773615113756</v>
      </c>
      <c r="AP287" s="444">
        <f>INPUT!AQ321</f>
        <v>328.33932449466096</v>
      </c>
      <c r="AQ287" s="764">
        <f>INPUT!AR321</f>
        <v>2.1908884203738097</v>
      </c>
      <c r="AR287" s="444">
        <f>INPUT!AS321</f>
        <v>330.32488134259251</v>
      </c>
      <c r="AS287" s="764">
        <f>INPUT!AT321</f>
        <v>3.4204387422017959</v>
      </c>
      <c r="AT287" s="444">
        <f>INPUT!AU321</f>
        <v>333.37560638719469</v>
      </c>
      <c r="AU287" s="764">
        <f>INPUT!AV321</f>
        <v>21.359885834435644</v>
      </c>
      <c r="AV287" s="444">
        <f>INPUT!AW321</f>
        <v>336.48342355635873</v>
      </c>
      <c r="AW287" s="764">
        <f>INPUT!AX321</f>
        <v>0.11408020123732854</v>
      </c>
      <c r="AX287" s="431"/>
      <c r="AY287" s="765"/>
      <c r="AZ287" s="766"/>
      <c r="BA287" s="765"/>
      <c r="BB287" s="766"/>
      <c r="BC287" s="765"/>
      <c r="BD287" s="766"/>
      <c r="BE287" s="765"/>
      <c r="BF287" s="764"/>
      <c r="BG287" s="765"/>
      <c r="BH287" s="764"/>
      <c r="BI287" s="765"/>
      <c r="BJ287" s="764"/>
      <c r="BK287" s="444"/>
      <c r="BL287" s="764"/>
      <c r="BM287" s="444"/>
      <c r="BN287" s="764"/>
      <c r="BO287" s="444"/>
      <c r="BP287" s="764"/>
      <c r="BQ287" s="444"/>
      <c r="BR287" s="764"/>
      <c r="BS287" s="444">
        <f>INPUT!BB321</f>
        <v>1201.2</v>
      </c>
      <c r="BT287" s="764" t="str">
        <f>INPUT!BC321</f>
        <v>NA</v>
      </c>
      <c r="BU287" s="444">
        <f>INPUT!BD321</f>
        <v>1329.8</v>
      </c>
      <c r="BV287" s="764">
        <f>INPUT!BE321</f>
        <v>10.705960705960706</v>
      </c>
      <c r="BW287" s="444">
        <f>INPUT!BF321</f>
        <v>1220.5999999999999</v>
      </c>
      <c r="BX287" s="764">
        <f>INPUT!BG321</f>
        <v>-8.2117611670928028</v>
      </c>
      <c r="BY287" s="444">
        <f>INPUT!BH321</f>
        <v>1252</v>
      </c>
      <c r="BZ287" s="764">
        <f>INPUT!BI321</f>
        <v>2.5725053252498924</v>
      </c>
      <c r="CA287" s="444">
        <f>INPUT!BJ321</f>
        <v>1251.5</v>
      </c>
      <c r="CB287" s="764">
        <f>INPUT!BK321</f>
        <v>-3.9936102236424631E-2</v>
      </c>
      <c r="CC287" s="444">
        <f>INPUT!BL321</f>
        <v>1328.523235780807</v>
      </c>
      <c r="CD287" s="764">
        <f>INPUT!BM321</f>
        <v>6.1544734942714285</v>
      </c>
      <c r="CE287" s="444">
        <f>INPUT!BN321</f>
        <v>1412.868879177553</v>
      </c>
      <c r="CF287" s="764">
        <f>INPUT!BO321</f>
        <v>6.3488271130744494</v>
      </c>
      <c r="CG287" s="444">
        <f>INPUT!BP321</f>
        <v>1555.2219493064383</v>
      </c>
      <c r="CH287" s="764">
        <f>INPUT!BQ321</f>
        <v>10.075462219236542</v>
      </c>
      <c r="CI287" s="444">
        <f>INPUT!BR321</f>
        <v>1689.4180290733116</v>
      </c>
      <c r="CJ287" s="764">
        <f>INPUT!BS321</f>
        <v>8.6287413720413895</v>
      </c>
      <c r="CK287" s="444">
        <f>INPUT!BT321</f>
        <v>1845.1228637438439</v>
      </c>
      <c r="CL287" s="764">
        <f>INPUT!BU321</f>
        <v>9.2164776266736368</v>
      </c>
      <c r="CM287" s="763">
        <f>INPUT!BV321</f>
        <v>8.073418082627736</v>
      </c>
    </row>
    <row r="288" spans="1:91" ht="12" hidden="1" customHeight="1" outlineLevel="1" x14ac:dyDescent="0.2">
      <c r="A288" s="400"/>
      <c r="B288" s="425"/>
      <c r="C288" s="424"/>
      <c r="D288" s="436"/>
      <c r="E288" s="382"/>
      <c r="F288" s="436"/>
      <c r="G288" s="382"/>
      <c r="H288" s="436"/>
      <c r="I288" s="382"/>
      <c r="J288" s="436"/>
      <c r="K288" s="382"/>
      <c r="L288" s="436"/>
      <c r="M288" s="382"/>
      <c r="N288" s="436"/>
      <c r="O288" s="382"/>
      <c r="P288" s="436"/>
      <c r="Q288" s="382"/>
      <c r="R288" s="436"/>
      <c r="S288" s="382"/>
      <c r="T288" s="436"/>
      <c r="U288" s="382"/>
      <c r="V288" s="436"/>
      <c r="W288" s="382"/>
      <c r="X288" s="436"/>
      <c r="Y288" s="382"/>
      <c r="Z288" s="436"/>
      <c r="AA288" s="382"/>
      <c r="AB288" s="436"/>
      <c r="AC288" s="382"/>
      <c r="AD288" s="436"/>
      <c r="AE288" s="382"/>
      <c r="AF288" s="436"/>
      <c r="AG288" s="382"/>
      <c r="AH288" s="436"/>
      <c r="AI288" s="382"/>
      <c r="AJ288" s="436"/>
      <c r="AK288" s="382"/>
      <c r="AL288" s="436"/>
      <c r="AM288" s="382"/>
      <c r="AN288" s="436"/>
      <c r="AO288" s="382"/>
      <c r="AP288" s="436"/>
      <c r="AQ288" s="382"/>
      <c r="AR288" s="436"/>
      <c r="AS288" s="382"/>
      <c r="AT288" s="436"/>
      <c r="AU288" s="382"/>
      <c r="AV288" s="436"/>
      <c r="AW288" s="382"/>
      <c r="AX288" s="403"/>
      <c r="AY288" s="402"/>
      <c r="AZ288" s="432"/>
      <c r="BA288" s="402"/>
      <c r="BB288" s="432"/>
      <c r="BC288" s="402"/>
      <c r="BD288" s="432"/>
      <c r="BE288" s="402"/>
      <c r="BF288" s="382"/>
      <c r="BG288" s="402"/>
      <c r="BH288" s="382"/>
      <c r="BI288" s="402"/>
      <c r="BJ288" s="382"/>
      <c r="BK288" s="436"/>
      <c r="BL288" s="382"/>
      <c r="BM288" s="436"/>
      <c r="BN288" s="382"/>
      <c r="BO288" s="436"/>
      <c r="BP288" s="382"/>
      <c r="BQ288" s="436"/>
      <c r="BR288" s="382"/>
      <c r="BS288" s="436"/>
      <c r="BT288" s="382"/>
      <c r="BU288" s="436"/>
      <c r="BV288" s="382"/>
      <c r="BW288" s="436"/>
      <c r="BX288" s="382"/>
      <c r="BY288" s="436"/>
      <c r="BZ288" s="382"/>
      <c r="CA288" s="436"/>
      <c r="CB288" s="382"/>
      <c r="CC288" s="436"/>
      <c r="CD288" s="382"/>
      <c r="CE288" s="436"/>
      <c r="CF288" s="382"/>
      <c r="CG288" s="436"/>
      <c r="CH288" s="382"/>
      <c r="CI288" s="436"/>
      <c r="CJ288" s="382"/>
      <c r="CK288" s="436"/>
      <c r="CL288" s="382"/>
      <c r="CM288" s="424"/>
    </row>
    <row r="289" spans="1:91" ht="12" hidden="1" customHeight="1" outlineLevel="1" x14ac:dyDescent="0.2">
      <c r="A289" s="400" t="s">
        <v>434</v>
      </c>
      <c r="B289" s="425">
        <f>INPUT!C323</f>
        <v>128.6</v>
      </c>
      <c r="C289" s="424" t="str">
        <f>INPUT!D323</f>
        <v>NA</v>
      </c>
      <c r="D289" s="436">
        <f>INPUT!E323</f>
        <v>123</v>
      </c>
      <c r="E289" s="382" t="str">
        <f>INPUT!F323</f>
        <v>NA</v>
      </c>
      <c r="F289" s="436">
        <f>INPUT!G323</f>
        <v>162</v>
      </c>
      <c r="G289" s="382" t="str">
        <f>INPUT!H323</f>
        <v>NA</v>
      </c>
      <c r="H289" s="436">
        <f>INPUT!I323</f>
        <v>153.80000000000001</v>
      </c>
      <c r="I289" s="382" t="str">
        <f>INPUT!J323</f>
        <v>NA</v>
      </c>
      <c r="J289" s="436">
        <f>INPUT!K323</f>
        <v>144.5</v>
      </c>
      <c r="K289" s="382">
        <f>INPUT!L323</f>
        <v>12.363919129082433</v>
      </c>
      <c r="L289" s="436">
        <f>INPUT!M323</f>
        <v>193.6</v>
      </c>
      <c r="M289" s="382">
        <f>INPUT!N323</f>
        <v>57.398373983739845</v>
      </c>
      <c r="N289" s="436">
        <f>INPUT!O323</f>
        <v>115.1</v>
      </c>
      <c r="O289" s="382">
        <f>INPUT!P323</f>
        <v>-28.950617283950621</v>
      </c>
      <c r="P289" s="436">
        <f>INPUT!Q323</f>
        <v>159.6</v>
      </c>
      <c r="Q289" s="382">
        <f>INPUT!R323</f>
        <v>3.7711313394018191</v>
      </c>
      <c r="R289" s="436">
        <f>INPUT!S323</f>
        <v>85.3</v>
      </c>
      <c r="S289" s="382">
        <f>INPUT!T323</f>
        <v>-40.968858131487892</v>
      </c>
      <c r="T289" s="436">
        <f>INPUT!U323</f>
        <v>166.4</v>
      </c>
      <c r="U289" s="382">
        <f>INPUT!V323</f>
        <v>-14.049586776859499</v>
      </c>
      <c r="V289" s="436">
        <f>INPUT!W323</f>
        <v>164.9</v>
      </c>
      <c r="W289" s="382">
        <f>INPUT!X323</f>
        <v>43.266724587315395</v>
      </c>
      <c r="X289" s="436">
        <f>INPUT!Y323</f>
        <v>148.4</v>
      </c>
      <c r="Y289" s="382">
        <f>INPUT!Z323</f>
        <v>-7.0175438596491091</v>
      </c>
      <c r="Z289" s="436">
        <f>INPUT!AA323</f>
        <v>127.9</v>
      </c>
      <c r="AA289" s="382">
        <f>INPUT!AB323</f>
        <v>49.941383352872236</v>
      </c>
      <c r="AB289" s="436">
        <f>INPUT!AC323</f>
        <v>153</v>
      </c>
      <c r="AC289" s="382">
        <f>INPUT!AD323</f>
        <v>-8.0528846153846132</v>
      </c>
      <c r="AD289" s="436">
        <f>INPUT!AE323</f>
        <v>148.4</v>
      </c>
      <c r="AE289" s="382">
        <f>INPUT!AF323</f>
        <v>-10.006064281382649</v>
      </c>
      <c r="AF289" s="436">
        <f>INPUT!AG323</f>
        <v>144.69999999999999</v>
      </c>
      <c r="AG289" s="382">
        <f>INPUT!AH323</f>
        <v>-2.4932614555256123</v>
      </c>
      <c r="AH289" s="436">
        <f>INPUT!AI323</f>
        <v>124.3</v>
      </c>
      <c r="AI289" s="382">
        <f>INPUT!AJ323</f>
        <v>-2.8146989835809393</v>
      </c>
      <c r="AJ289" s="436">
        <f>INPUT!AK323</f>
        <v>131.80000000000001</v>
      </c>
      <c r="AK289" s="382">
        <f>INPUT!AL323</f>
        <v>-13.856209150326791</v>
      </c>
      <c r="AL289" s="436">
        <f>INPUT!AM323</f>
        <v>92.9</v>
      </c>
      <c r="AM289" s="382">
        <f>INPUT!AN323</f>
        <v>-37.398921832884092</v>
      </c>
      <c r="AN289" s="436">
        <f>INPUT!AO323</f>
        <v>142.4</v>
      </c>
      <c r="AO289" s="382">
        <f>INPUT!AP323</f>
        <v>-1.5894955079474755</v>
      </c>
      <c r="AP289" s="436">
        <f>INPUT!AQ323</f>
        <v>121.34279383498341</v>
      </c>
      <c r="AQ289" s="382">
        <f>INPUT!AR323</f>
        <v>-2.3790878238266941</v>
      </c>
      <c r="AR289" s="436">
        <f>INPUT!AS323</f>
        <v>122.076586583132</v>
      </c>
      <c r="AS289" s="382">
        <f>INPUT!AT323</f>
        <v>-7.3774001645432605</v>
      </c>
      <c r="AT289" s="436">
        <f>INPUT!AU323</f>
        <v>123.2040284474415</v>
      </c>
      <c r="AU289" s="382">
        <f>INPUT!AV323</f>
        <v>32.620052150098502</v>
      </c>
      <c r="AV289" s="436">
        <f>INPUT!AW323</f>
        <v>126.54702668532622</v>
      </c>
      <c r="AW289" s="382">
        <f>INPUT!AX323</f>
        <v>-11.132705979405756</v>
      </c>
      <c r="AX289" s="403"/>
      <c r="AY289" s="402"/>
      <c r="AZ289" s="432"/>
      <c r="BA289" s="402"/>
      <c r="BB289" s="432"/>
      <c r="BC289" s="402"/>
      <c r="BD289" s="432"/>
      <c r="BE289" s="402"/>
      <c r="BF289" s="382"/>
      <c r="BG289" s="402"/>
      <c r="BH289" s="382"/>
      <c r="BI289" s="402"/>
      <c r="BJ289" s="382"/>
      <c r="BK289" s="436"/>
      <c r="BL289" s="382"/>
      <c r="BM289" s="436"/>
      <c r="BN289" s="382"/>
      <c r="BO289" s="436"/>
      <c r="BP289" s="382"/>
      <c r="BQ289" s="436"/>
      <c r="BR289" s="382"/>
      <c r="BS289" s="436">
        <f>INPUT!BB323</f>
        <v>567.40000000000009</v>
      </c>
      <c r="BT289" s="382" t="str">
        <f>INPUT!BC323</f>
        <v>NA</v>
      </c>
      <c r="BU289" s="436">
        <f>INPUT!BD323</f>
        <v>612.80000000000007</v>
      </c>
      <c r="BV289" s="382">
        <f>INPUT!BE323</f>
        <v>8.0014099400775365</v>
      </c>
      <c r="BW289" s="436">
        <f>INPUT!BF323</f>
        <v>565</v>
      </c>
      <c r="BX289" s="382">
        <f>INPUT!BG323</f>
        <v>-7.8002610966057517</v>
      </c>
      <c r="BY289" s="436">
        <f>INPUT!BH323</f>
        <v>574</v>
      </c>
      <c r="BZ289" s="382">
        <f>INPUT!BI323</f>
        <v>1.5929203539823078</v>
      </c>
      <c r="CA289" s="436">
        <f>INPUT!BJ323</f>
        <v>491.4</v>
      </c>
      <c r="CB289" s="382">
        <f>INPUT!BK323</f>
        <v>-14.390243902439025</v>
      </c>
      <c r="CC289" s="436">
        <f>INPUT!BL323</f>
        <v>493.1704355508831</v>
      </c>
      <c r="CD289" s="382">
        <f>INPUT!BM323</f>
        <v>0.36028399488870377</v>
      </c>
      <c r="CE289" s="436">
        <f>INPUT!BN323</f>
        <v>525.05168222705174</v>
      </c>
      <c r="CF289" s="382">
        <f>INPUT!BO323</f>
        <v>6.4645494494325391</v>
      </c>
      <c r="CG289" s="436">
        <f>INPUT!BP323</f>
        <v>571.72936580154521</v>
      </c>
      <c r="CH289" s="382">
        <f>INPUT!BQ323</f>
        <v>8.890112184100829</v>
      </c>
      <c r="CI289" s="436">
        <f>INPUT!BR323</f>
        <v>641.4953911171649</v>
      </c>
      <c r="CJ289" s="382">
        <f>INPUT!BS323</f>
        <v>12.202631085393008</v>
      </c>
      <c r="CK289" s="436">
        <f>INPUT!BT323</f>
        <v>714.72663899125575</v>
      </c>
      <c r="CL289" s="382">
        <f>INPUT!BU323</f>
        <v>11.415709120927346</v>
      </c>
      <c r="CM289" s="424">
        <f>INPUT!BV323</f>
        <v>7.780690954517655</v>
      </c>
    </row>
    <row r="290" spans="1:91" ht="12" hidden="1" customHeight="1" outlineLevel="1" x14ac:dyDescent="0.2">
      <c r="A290" s="400" t="s">
        <v>436</v>
      </c>
      <c r="B290" s="425">
        <f>INPUT!C324</f>
        <v>12.6</v>
      </c>
      <c r="C290" s="424" t="str">
        <f>INPUT!D324</f>
        <v>NA</v>
      </c>
      <c r="D290" s="436">
        <f>INPUT!E324</f>
        <v>20.100000000000001</v>
      </c>
      <c r="E290" s="382" t="str">
        <f>INPUT!F324</f>
        <v>NA</v>
      </c>
      <c r="F290" s="436">
        <f>INPUT!G324</f>
        <v>17.3</v>
      </c>
      <c r="G290" s="382" t="str">
        <f>INPUT!H324</f>
        <v>NA</v>
      </c>
      <c r="H290" s="436">
        <f>INPUT!I324</f>
        <v>19.899999999999999</v>
      </c>
      <c r="I290" s="382" t="str">
        <f>INPUT!J324</f>
        <v>NA</v>
      </c>
      <c r="J290" s="436">
        <f>INPUT!K324</f>
        <v>16.8</v>
      </c>
      <c r="K290" s="382">
        <f>INPUT!L324</f>
        <v>33.333333333333343</v>
      </c>
      <c r="L290" s="436">
        <f>INPUT!M324</f>
        <v>18.3</v>
      </c>
      <c r="M290" s="382">
        <f>INPUT!N324</f>
        <v>-8.9552238805970177</v>
      </c>
      <c r="N290" s="436">
        <f>INPUT!O324</f>
        <v>18.600000000000001</v>
      </c>
      <c r="O290" s="382">
        <f>INPUT!P324</f>
        <v>7.5144508670520196</v>
      </c>
      <c r="P290" s="436">
        <f>INPUT!Q324</f>
        <v>22.1</v>
      </c>
      <c r="Q290" s="382">
        <f>INPUT!R324</f>
        <v>11.055276381909579</v>
      </c>
      <c r="R290" s="436">
        <f>INPUT!S324</f>
        <v>15</v>
      </c>
      <c r="S290" s="382">
        <f>INPUT!T324</f>
        <v>-10.714285714285722</v>
      </c>
      <c r="T290" s="436">
        <f>INPUT!U324</f>
        <v>13.7</v>
      </c>
      <c r="U290" s="382">
        <f>INPUT!V324</f>
        <v>-25.136612021857928</v>
      </c>
      <c r="V290" s="436">
        <f>INPUT!W324</f>
        <v>13.8</v>
      </c>
      <c r="W290" s="382">
        <f>INPUT!X324</f>
        <v>-25.806451612903231</v>
      </c>
      <c r="X290" s="436">
        <f>INPUT!Y324</f>
        <v>14.3</v>
      </c>
      <c r="Y290" s="382">
        <f>INPUT!Z324</f>
        <v>-35.294117647058826</v>
      </c>
      <c r="Z290" s="436">
        <f>INPUT!AA324</f>
        <v>12.2</v>
      </c>
      <c r="AA290" s="382">
        <f>INPUT!AB324</f>
        <v>-18.666666666666671</v>
      </c>
      <c r="AB290" s="436">
        <f>INPUT!AC324</f>
        <v>13.5</v>
      </c>
      <c r="AC290" s="382">
        <f>INPUT!AD324</f>
        <v>-1.4598540145985339</v>
      </c>
      <c r="AD290" s="436">
        <f>INPUT!AE324</f>
        <v>13.8</v>
      </c>
      <c r="AE290" s="382">
        <f>INPUT!AF324</f>
        <v>0</v>
      </c>
      <c r="AF290" s="436">
        <f>INPUT!AG324</f>
        <v>14.5</v>
      </c>
      <c r="AG290" s="382">
        <f>INPUT!AH324</f>
        <v>1.3986013986014001</v>
      </c>
      <c r="AH290" s="436">
        <f>INPUT!AI324</f>
        <v>12.5</v>
      </c>
      <c r="AI290" s="382">
        <f>INPUT!AJ324</f>
        <v>2.4590163934426386</v>
      </c>
      <c r="AJ290" s="436">
        <f>INPUT!AK324</f>
        <v>15</v>
      </c>
      <c r="AK290" s="382">
        <f>INPUT!AL324</f>
        <v>11.111111111111114</v>
      </c>
      <c r="AL290" s="436">
        <f>INPUT!AM324</f>
        <v>16.2</v>
      </c>
      <c r="AM290" s="382">
        <f>INPUT!AN324</f>
        <v>17.391304347826079</v>
      </c>
      <c r="AN290" s="436">
        <f>INPUT!AO324</f>
        <v>17.2</v>
      </c>
      <c r="AO290" s="382">
        <f>INPUT!AP324</f>
        <v>18.620689655172413</v>
      </c>
      <c r="AP290" s="436">
        <f>INPUT!AQ324</f>
        <v>17.51360286952853</v>
      </c>
      <c r="AQ290" s="382">
        <f>INPUT!AR324</f>
        <v>40.108822956228238</v>
      </c>
      <c r="AR290" s="436">
        <f>INPUT!AS324</f>
        <v>17.61951237081372</v>
      </c>
      <c r="AS290" s="382">
        <f>INPUT!AT324</f>
        <v>17.463415805424788</v>
      </c>
      <c r="AT290" s="436">
        <f>INPUT!AU324</f>
        <v>17.78223788953591</v>
      </c>
      <c r="AU290" s="382">
        <f>INPUT!AV324</f>
        <v>9.7669005526907995</v>
      </c>
      <c r="AV290" s="436">
        <f>INPUT!AW324</f>
        <v>17.948008699278581</v>
      </c>
      <c r="AW290" s="382">
        <f>INPUT!AX324</f>
        <v>4.3488877865033686</v>
      </c>
      <c r="AX290" s="403"/>
      <c r="AY290" s="402"/>
      <c r="AZ290" s="432"/>
      <c r="BA290" s="402"/>
      <c r="BB290" s="432"/>
      <c r="BC290" s="402"/>
      <c r="BD290" s="432"/>
      <c r="BE290" s="402"/>
      <c r="BF290" s="382"/>
      <c r="BG290" s="402"/>
      <c r="BH290" s="382"/>
      <c r="BI290" s="402"/>
      <c r="BJ290" s="382"/>
      <c r="BK290" s="436"/>
      <c r="BL290" s="382"/>
      <c r="BM290" s="436"/>
      <c r="BN290" s="382"/>
      <c r="BO290" s="436"/>
      <c r="BP290" s="382"/>
      <c r="BQ290" s="436"/>
      <c r="BR290" s="382"/>
      <c r="BS290" s="436">
        <f>INPUT!BB324</f>
        <v>69.900000000000006</v>
      </c>
      <c r="BT290" s="382" t="str">
        <f>INPUT!BC324</f>
        <v>NA</v>
      </c>
      <c r="BU290" s="436">
        <f>INPUT!BD324</f>
        <v>75.800000000000011</v>
      </c>
      <c r="BV290" s="382">
        <f>INPUT!BE324</f>
        <v>8.4406294706723912</v>
      </c>
      <c r="BW290" s="436">
        <f>INPUT!BF324</f>
        <v>56.8</v>
      </c>
      <c r="BX290" s="382">
        <f>INPUT!BG324</f>
        <v>-25.06596306068603</v>
      </c>
      <c r="BY290" s="436">
        <f>INPUT!BH324</f>
        <v>54</v>
      </c>
      <c r="BZ290" s="382">
        <f>INPUT!BI324</f>
        <v>-4.9295774647887214</v>
      </c>
      <c r="CA290" s="436">
        <f>INPUT!BJ324</f>
        <v>60.900000000000006</v>
      </c>
      <c r="CB290" s="382">
        <f>INPUT!BK324</f>
        <v>12.7777777777778</v>
      </c>
      <c r="CC290" s="436">
        <f>INPUT!BL324</f>
        <v>70.86336182915673</v>
      </c>
      <c r="CD290" s="382">
        <f>INPUT!BM324</f>
        <v>16.36020004787639</v>
      </c>
      <c r="CE290" s="436">
        <f>INPUT!BN324</f>
        <v>75.444358896132869</v>
      </c>
      <c r="CF290" s="382">
        <f>INPUT!BO324</f>
        <v>6.4645494494325391</v>
      </c>
      <c r="CG290" s="436">
        <f>INPUT!BP324</f>
        <v>82.15144703857473</v>
      </c>
      <c r="CH290" s="382">
        <f>INPUT!BQ324</f>
        <v>8.890112184100829</v>
      </c>
      <c r="CI290" s="436">
        <f>INPUT!BR324</f>
        <v>89.047226453656549</v>
      </c>
      <c r="CJ290" s="382">
        <f>INPUT!BS324</f>
        <v>8.3939841155127368</v>
      </c>
      <c r="CK290" s="436">
        <f>INPUT!BT324</f>
        <v>96.21869007181887</v>
      </c>
      <c r="CL290" s="382">
        <f>INPUT!BU324</f>
        <v>8.0535507996923599</v>
      </c>
      <c r="CM290" s="424">
        <f>INPUT!BV324</f>
        <v>9.5792767078756391</v>
      </c>
    </row>
    <row r="291" spans="1:91" ht="12" hidden="1" customHeight="1" outlineLevel="1" x14ac:dyDescent="0.2">
      <c r="A291" s="400" t="s">
        <v>391</v>
      </c>
      <c r="B291" s="425">
        <f>INPUT!C325</f>
        <v>-6.9999999999999991</v>
      </c>
      <c r="C291" s="424" t="str">
        <f>INPUT!D325</f>
        <v>NA</v>
      </c>
      <c r="D291" s="436">
        <f>INPUT!E325</f>
        <v>-11</v>
      </c>
      <c r="E291" s="382" t="str">
        <f>INPUT!F325</f>
        <v>NA</v>
      </c>
      <c r="F291" s="436">
        <f>INPUT!G325</f>
        <v>-9</v>
      </c>
      <c r="G291" s="382" t="str">
        <f>INPUT!H325</f>
        <v>NA</v>
      </c>
      <c r="H291" s="436">
        <f>INPUT!I325</f>
        <v>-11.1</v>
      </c>
      <c r="I291" s="382" t="str">
        <f>INPUT!J325</f>
        <v>NA</v>
      </c>
      <c r="J291" s="436">
        <f>INPUT!K325</f>
        <v>-8.5</v>
      </c>
      <c r="K291" s="382">
        <f>INPUT!L325</f>
        <v>21.428571428571445</v>
      </c>
      <c r="L291" s="436">
        <f>INPUT!M325</f>
        <v>-9.6999999999999993</v>
      </c>
      <c r="M291" s="382">
        <f>INPUT!N325</f>
        <v>-11.818181818181827</v>
      </c>
      <c r="N291" s="436">
        <f>INPUT!O325</f>
        <v>-8.3999999999999986</v>
      </c>
      <c r="O291" s="382">
        <f>INPUT!P325</f>
        <v>-6.6666666666666856</v>
      </c>
      <c r="P291" s="436">
        <f>INPUT!Q325</f>
        <v>-11.100000000000001</v>
      </c>
      <c r="Q291" s="382">
        <f>INPUT!R325</f>
        <v>2.8421709430404007E-14</v>
      </c>
      <c r="R291" s="436">
        <f>INPUT!S325</f>
        <v>-5.6</v>
      </c>
      <c r="S291" s="382">
        <f>INPUT!T325</f>
        <v>-34.117647058823536</v>
      </c>
      <c r="T291" s="436">
        <f>INPUT!U325</f>
        <v>-2.7</v>
      </c>
      <c r="U291" s="382" t="str">
        <f>INPUT!V325</f>
        <v>NM</v>
      </c>
      <c r="V291" s="436">
        <f>INPUT!W325</f>
        <v>-3.2</v>
      </c>
      <c r="W291" s="382" t="str">
        <f>INPUT!X325</f>
        <v>NM</v>
      </c>
      <c r="X291" s="436">
        <f>INPUT!Y325</f>
        <v>-3.5999999999999996</v>
      </c>
      <c r="Y291" s="382" t="str">
        <f>INPUT!Z325</f>
        <v>NM</v>
      </c>
      <c r="Z291" s="436">
        <f>INPUT!AA325</f>
        <v>-1.6999999999999993</v>
      </c>
      <c r="AA291" s="382" t="str">
        <f>INPUT!AB325</f>
        <v>NM</v>
      </c>
      <c r="AB291" s="436">
        <f>INPUT!AC325</f>
        <v>-2</v>
      </c>
      <c r="AC291" s="382">
        <f>INPUT!AD325</f>
        <v>-25.925925925925924</v>
      </c>
      <c r="AD291" s="436">
        <f>INPUT!AE325</f>
        <v>1.5999999999999996</v>
      </c>
      <c r="AE291" s="382" t="str">
        <f>INPUT!AF325</f>
        <v>NM</v>
      </c>
      <c r="AF291" s="436">
        <f>INPUT!AG325</f>
        <v>-0.40000000000000036</v>
      </c>
      <c r="AG291" s="382" t="str">
        <f>INPUT!AH325</f>
        <v>NM</v>
      </c>
      <c r="AH291" s="436">
        <f>INPUT!AI325</f>
        <v>0.79999999999999982</v>
      </c>
      <c r="AI291" s="382" t="str">
        <f>INPUT!AJ325</f>
        <v>NM</v>
      </c>
      <c r="AJ291" s="436">
        <f>INPUT!AK325</f>
        <v>9.9999999999999645E-2</v>
      </c>
      <c r="AK291" s="382" t="str">
        <f>INPUT!AL325</f>
        <v>NM</v>
      </c>
      <c r="AL291" s="436">
        <f>INPUT!AM325</f>
        <v>-0.5</v>
      </c>
      <c r="AM291" s="382" t="str">
        <f>INPUT!AN325</f>
        <v>NM</v>
      </c>
      <c r="AN291" s="436">
        <f>INPUT!AO325</f>
        <v>-2.4999999999999991</v>
      </c>
      <c r="AO291" s="382" t="str">
        <f>INPUT!AP325</f>
        <v>NM</v>
      </c>
      <c r="AP291" s="436">
        <f>INPUT!AQ325</f>
        <v>-2.5455818124314713</v>
      </c>
      <c r="AQ291" s="382" t="str">
        <f>INPUT!AR325</f>
        <v>NM</v>
      </c>
      <c r="AR291" s="436">
        <f>INPUT!AS325</f>
        <v>-2.5609756352926905</v>
      </c>
      <c r="AS291" s="382" t="str">
        <f>INPUT!AT325</f>
        <v>NM</v>
      </c>
      <c r="AT291" s="436">
        <f>INPUT!AU325</f>
        <v>-2.5846276002232416</v>
      </c>
      <c r="AU291" s="382" t="str">
        <f>INPUT!AV325</f>
        <v>NM</v>
      </c>
      <c r="AV291" s="436">
        <f>INPUT!AW325</f>
        <v>-2.6087221946625836</v>
      </c>
      <c r="AW291" s="382">
        <f>INPUT!AX325</f>
        <v>4.3488877865033686</v>
      </c>
      <c r="AX291" s="403"/>
      <c r="AY291" s="402"/>
      <c r="AZ291" s="432"/>
      <c r="BA291" s="402"/>
      <c r="BB291" s="432"/>
      <c r="BC291" s="402"/>
      <c r="BD291" s="432"/>
      <c r="BE291" s="402"/>
      <c r="BF291" s="382"/>
      <c r="BG291" s="402"/>
      <c r="BH291" s="382"/>
      <c r="BI291" s="402"/>
      <c r="BJ291" s="382"/>
      <c r="BK291" s="436"/>
      <c r="BL291" s="382"/>
      <c r="BM291" s="436"/>
      <c r="BN291" s="382"/>
      <c r="BO291" s="436"/>
      <c r="BP291" s="382"/>
      <c r="BQ291" s="436"/>
      <c r="BR291" s="382"/>
      <c r="BS291" s="436">
        <f>INPUT!BB325</f>
        <v>-38.1</v>
      </c>
      <c r="BT291" s="382" t="str">
        <f>INPUT!BC325</f>
        <v>NA</v>
      </c>
      <c r="BU291" s="436">
        <f>INPUT!BD325</f>
        <v>-37.700000000000003</v>
      </c>
      <c r="BV291" s="382">
        <f>INPUT!BE325</f>
        <v>-1.0498687664041881</v>
      </c>
      <c r="BW291" s="436">
        <f>INPUT!BF325</f>
        <v>-15.1</v>
      </c>
      <c r="BX291" s="382" t="str">
        <f>INPUT!BG325</f>
        <v>NM</v>
      </c>
      <c r="BY291" s="436">
        <f>INPUT!BH325</f>
        <v>-2.5</v>
      </c>
      <c r="BZ291" s="382" t="str">
        <f>INPUT!BI325</f>
        <v>NM</v>
      </c>
      <c r="CA291" s="436">
        <f>INPUT!BJ325</f>
        <v>-2.0999999999999996</v>
      </c>
      <c r="CB291" s="382">
        <f>INPUT!BK325</f>
        <v>-16.000000000000014</v>
      </c>
      <c r="CC291" s="436">
        <f>INPUT!BL325</f>
        <v>-10.299907242609986</v>
      </c>
      <c r="CD291" s="382" t="str">
        <f>INPUT!BM325</f>
        <v>NM</v>
      </c>
      <c r="CE291" s="436">
        <f>INPUT!BN325</f>
        <v>-10.965749839554192</v>
      </c>
      <c r="CF291" s="382">
        <f>INPUT!BO325</f>
        <v>6.4645494494325391</v>
      </c>
      <c r="CG291" s="436">
        <f>INPUT!BP325</f>
        <v>-11.940617302118415</v>
      </c>
      <c r="CH291" s="382">
        <f>INPUT!BQ325</f>
        <v>8.8901121841008006</v>
      </c>
      <c r="CI291" s="436">
        <f>INPUT!BR325</f>
        <v>-12.942910821752401</v>
      </c>
      <c r="CJ291" s="382">
        <f>INPUT!BS325</f>
        <v>8.3939841155127368</v>
      </c>
      <c r="CK291" s="436">
        <f>INPUT!BT325</f>
        <v>-13.98527471974111</v>
      </c>
      <c r="CL291" s="382">
        <f>INPUT!BU325</f>
        <v>8.0535507996923599</v>
      </c>
      <c r="CM291" s="424">
        <f>INPUT!BV325</f>
        <v>46.113499146649282</v>
      </c>
    </row>
    <row r="292" spans="1:91" ht="12" hidden="1" customHeight="1" outlineLevel="1" x14ac:dyDescent="0.2">
      <c r="A292" s="400" t="s">
        <v>481</v>
      </c>
      <c r="B292" s="425">
        <f>INPUT!C326</f>
        <v>63</v>
      </c>
      <c r="C292" s="424" t="str">
        <f>INPUT!D326</f>
        <v>NA</v>
      </c>
      <c r="D292" s="436">
        <f>INPUT!E326</f>
        <v>77.600000000000009</v>
      </c>
      <c r="E292" s="382" t="str">
        <f>INPUT!F326</f>
        <v>NA</v>
      </c>
      <c r="F292" s="436">
        <f>INPUT!G326</f>
        <v>78.5</v>
      </c>
      <c r="G292" s="382" t="str">
        <f>INPUT!H326</f>
        <v>NA</v>
      </c>
      <c r="H292" s="436">
        <f>INPUT!I326</f>
        <v>83</v>
      </c>
      <c r="I292" s="382" t="str">
        <f>INPUT!J326</f>
        <v>NA</v>
      </c>
      <c r="J292" s="436">
        <f>INPUT!K326</f>
        <v>76.3</v>
      </c>
      <c r="K292" s="382">
        <f>INPUT!L326</f>
        <v>21.1111111111111</v>
      </c>
      <c r="L292" s="436">
        <f>INPUT!M326</f>
        <v>78</v>
      </c>
      <c r="M292" s="382">
        <f>INPUT!N326</f>
        <v>0.51546391752577847</v>
      </c>
      <c r="N292" s="436">
        <f>INPUT!O326</f>
        <v>80.899999999999991</v>
      </c>
      <c r="O292" s="382">
        <f>INPUT!P326</f>
        <v>3.0573248407643234</v>
      </c>
      <c r="P292" s="436">
        <f>INPUT!Q326</f>
        <v>88.5</v>
      </c>
      <c r="Q292" s="382">
        <f>INPUT!R326</f>
        <v>6.6265060240963862</v>
      </c>
      <c r="R292" s="436">
        <f>INPUT!S326</f>
        <v>74.900000000000006</v>
      </c>
      <c r="S292" s="382">
        <f>INPUT!T326</f>
        <v>-1.8348623853210881</v>
      </c>
      <c r="T292" s="436">
        <f>INPUT!U326</f>
        <v>78.5</v>
      </c>
      <c r="U292" s="382">
        <f>INPUT!V326</f>
        <v>0.6410256410256352</v>
      </c>
      <c r="V292" s="436">
        <f>INPUT!W326</f>
        <v>103.4</v>
      </c>
      <c r="W292" s="382">
        <f>INPUT!X326</f>
        <v>27.812113720642785</v>
      </c>
      <c r="X292" s="436">
        <f>INPUT!Y326</f>
        <v>89.1</v>
      </c>
      <c r="Y292" s="382">
        <f>INPUT!Z326</f>
        <v>0.67796610169490634</v>
      </c>
      <c r="Z292" s="436">
        <f>INPUT!AA326</f>
        <v>79.900000000000006</v>
      </c>
      <c r="AA292" s="382">
        <f>INPUT!AB326</f>
        <v>6.675567423230973</v>
      </c>
      <c r="AB292" s="436">
        <f>INPUT!AC326</f>
        <v>83.9</v>
      </c>
      <c r="AC292" s="382">
        <f>INPUT!AD326</f>
        <v>6.878980891719749</v>
      </c>
      <c r="AD292" s="436">
        <f>INPUT!AE326</f>
        <v>85.5</v>
      </c>
      <c r="AE292" s="382">
        <f>INPUT!AF326</f>
        <v>-17.311411992263061</v>
      </c>
      <c r="AF292" s="436">
        <f>INPUT!AG326</f>
        <v>86.8</v>
      </c>
      <c r="AG292" s="382">
        <f>INPUT!AH326</f>
        <v>-2.5813692480359123</v>
      </c>
      <c r="AH292" s="436">
        <f>INPUT!AI326</f>
        <v>81.7</v>
      </c>
      <c r="AI292" s="382">
        <f>INPUT!AJ326</f>
        <v>2.2528160200250227</v>
      </c>
      <c r="AJ292" s="436">
        <f>INPUT!AK326</f>
        <v>93.2</v>
      </c>
      <c r="AK292" s="382">
        <f>INPUT!AL326</f>
        <v>11.084624553039333</v>
      </c>
      <c r="AL292" s="436">
        <f>INPUT!AM326</f>
        <v>92.4</v>
      </c>
      <c r="AM292" s="382">
        <f>INPUT!AN326</f>
        <v>8.0701754385964932</v>
      </c>
      <c r="AN292" s="436">
        <f>INPUT!AO326</f>
        <v>100.10000000000001</v>
      </c>
      <c r="AO292" s="382">
        <f>INPUT!AP326</f>
        <v>15.322580645161295</v>
      </c>
      <c r="AP292" s="436">
        <f>INPUT!AQ326</f>
        <v>101.92509576975617</v>
      </c>
      <c r="AQ292" s="382">
        <f>INPUT!AR326</f>
        <v>24.755319179628103</v>
      </c>
      <c r="AR292" s="436">
        <f>INPUT!AS326</f>
        <v>102.54146443711937</v>
      </c>
      <c r="AS292" s="382">
        <f>INPUT!AT326</f>
        <v>10.023030511930656</v>
      </c>
      <c r="AT292" s="436">
        <f>INPUT!AU326</f>
        <v>103.48848911293867</v>
      </c>
      <c r="AU292" s="382">
        <f>INPUT!AV326</f>
        <v>12.000529343007216</v>
      </c>
      <c r="AV292" s="436">
        <f>INPUT!AW326</f>
        <v>104.4532366742899</v>
      </c>
      <c r="AW292" s="382">
        <f>INPUT!AX326</f>
        <v>4.3488877865033686</v>
      </c>
      <c r="AX292" s="403"/>
      <c r="AY292" s="402"/>
      <c r="AZ292" s="432"/>
      <c r="BA292" s="402"/>
      <c r="BB292" s="432"/>
      <c r="BC292" s="402"/>
      <c r="BD292" s="432"/>
      <c r="BE292" s="402"/>
      <c r="BF292" s="382"/>
      <c r="BG292" s="402"/>
      <c r="BH292" s="382"/>
      <c r="BI292" s="402"/>
      <c r="BJ292" s="382"/>
      <c r="BK292" s="436"/>
      <c r="BL292" s="382"/>
      <c r="BM292" s="436"/>
      <c r="BN292" s="382"/>
      <c r="BO292" s="436"/>
      <c r="BP292" s="382"/>
      <c r="BQ292" s="436"/>
      <c r="BR292" s="382"/>
      <c r="BS292" s="436">
        <f>INPUT!BB326</f>
        <v>302.10000000000002</v>
      </c>
      <c r="BT292" s="382" t="str">
        <f>INPUT!BC326</f>
        <v>NA</v>
      </c>
      <c r="BU292" s="436">
        <f>INPUT!BD326</f>
        <v>323.7</v>
      </c>
      <c r="BV292" s="382">
        <f>INPUT!BE326</f>
        <v>7.1499503475670281</v>
      </c>
      <c r="BW292" s="436">
        <f>INPUT!BF326</f>
        <v>345.9</v>
      </c>
      <c r="BX292" s="382">
        <f>INPUT!BG326</f>
        <v>6.8582020389249294</v>
      </c>
      <c r="BY292" s="436">
        <f>INPUT!BH326</f>
        <v>336.1</v>
      </c>
      <c r="BZ292" s="382">
        <f>INPUT!BI326</f>
        <v>-2.833188782885216</v>
      </c>
      <c r="CA292" s="436">
        <f>INPUT!BJ326</f>
        <v>367.40000000000003</v>
      </c>
      <c r="CB292" s="382">
        <f>INPUT!BK326</f>
        <v>9.3127045522166014</v>
      </c>
      <c r="CC292" s="436">
        <f>INPUT!BL326</f>
        <v>412.40828599410412</v>
      </c>
      <c r="CD292" s="382">
        <f>INPUT!BM326</f>
        <v>12.250486117066984</v>
      </c>
      <c r="CE292" s="436">
        <f>INPUT!BN326</f>
        <v>439.06862357575011</v>
      </c>
      <c r="CF292" s="382">
        <f>INPUT!BO326</f>
        <v>6.4645494494325391</v>
      </c>
      <c r="CG292" s="436">
        <f>INPUT!BP326</f>
        <v>478.10231677682151</v>
      </c>
      <c r="CH292" s="382">
        <f>INPUT!BQ326</f>
        <v>8.8901121841007864</v>
      </c>
      <c r="CI292" s="436">
        <f>INPUT!BR326</f>
        <v>518.23414930296644</v>
      </c>
      <c r="CJ292" s="382">
        <f>INPUT!BS326</f>
        <v>8.3939841155127795</v>
      </c>
      <c r="CK292" s="436">
        <f>INPUT!BT326</f>
        <v>559.9703997784344</v>
      </c>
      <c r="CL292" s="382">
        <f>INPUT!BU326</f>
        <v>8.0535507996923599</v>
      </c>
      <c r="CM292" s="424">
        <f>INPUT!BV326</f>
        <v>8.7940598963636383</v>
      </c>
    </row>
    <row r="293" spans="1:91" s="767" customFormat="1" ht="12" hidden="1" customHeight="1" outlineLevel="1" x14ac:dyDescent="0.2">
      <c r="A293" s="394" t="str">
        <f>INPUT!B327</f>
        <v>Total Expenses</v>
      </c>
      <c r="B293" s="430">
        <f>INPUT!C327</f>
        <v>197.2</v>
      </c>
      <c r="C293" s="763" t="str">
        <f>INPUT!D327</f>
        <v>NA</v>
      </c>
      <c r="D293" s="444">
        <f>INPUT!E327</f>
        <v>209.7</v>
      </c>
      <c r="E293" s="764" t="str">
        <f>INPUT!F327</f>
        <v>NA</v>
      </c>
      <c r="F293" s="444">
        <f>INPUT!G327</f>
        <v>248.8</v>
      </c>
      <c r="G293" s="764" t="str">
        <f>INPUT!H327</f>
        <v>NA</v>
      </c>
      <c r="H293" s="444">
        <f>INPUT!I327</f>
        <v>245.60000000000002</v>
      </c>
      <c r="I293" s="764" t="str">
        <f>INPUT!J327</f>
        <v>NA</v>
      </c>
      <c r="J293" s="444">
        <f>INPUT!K327</f>
        <v>229.10000000000002</v>
      </c>
      <c r="K293" s="764">
        <f>INPUT!L327</f>
        <v>16.176470588235304</v>
      </c>
      <c r="L293" s="444">
        <f>INPUT!M327</f>
        <v>280.20000000000005</v>
      </c>
      <c r="M293" s="764">
        <f>INPUT!N327</f>
        <v>33.6194563662375</v>
      </c>
      <c r="N293" s="444">
        <f>INPUT!O327</f>
        <v>206.2</v>
      </c>
      <c r="O293" s="764">
        <f>INPUT!P327</f>
        <v>-17.122186495176862</v>
      </c>
      <c r="P293" s="444">
        <f>INPUT!Q327</f>
        <v>259.10000000000002</v>
      </c>
      <c r="Q293" s="764">
        <f>INPUT!R327</f>
        <v>5.4967426710097698</v>
      </c>
      <c r="R293" s="444">
        <f>INPUT!S327</f>
        <v>169.60000000000002</v>
      </c>
      <c r="S293" s="764">
        <f>INPUT!T327</f>
        <v>-25.971191619380178</v>
      </c>
      <c r="T293" s="444">
        <f>INPUT!U327</f>
        <v>255.9</v>
      </c>
      <c r="U293" s="764">
        <f>INPUT!V327</f>
        <v>-8.6723768736616762</v>
      </c>
      <c r="V293" s="444">
        <f>INPUT!W327</f>
        <v>278.90000000000003</v>
      </c>
      <c r="W293" s="764">
        <f>INPUT!X327</f>
        <v>35.257032007759477</v>
      </c>
      <c r="X293" s="444">
        <f>INPUT!Y327</f>
        <v>248.20000000000002</v>
      </c>
      <c r="Y293" s="764">
        <f>INPUT!Z327</f>
        <v>-4.2068699343882656</v>
      </c>
      <c r="Z293" s="444">
        <f>INPUT!AA327</f>
        <v>218.3</v>
      </c>
      <c r="AA293" s="764">
        <f>INPUT!AB327</f>
        <v>28.714622641509408</v>
      </c>
      <c r="AB293" s="444">
        <f>INPUT!AC327</f>
        <v>248.4</v>
      </c>
      <c r="AC293" s="764">
        <f>INPUT!AD327</f>
        <v>-2.9308323563892174</v>
      </c>
      <c r="AD293" s="444">
        <f>INPUT!AE327</f>
        <v>249.3</v>
      </c>
      <c r="AE293" s="764">
        <f>INPUT!AF327</f>
        <v>-10.613122983148088</v>
      </c>
      <c r="AF293" s="444">
        <f>INPUT!AG327</f>
        <v>245.59999999999997</v>
      </c>
      <c r="AG293" s="764">
        <f>INPUT!AH327</f>
        <v>-1.0475423045930796</v>
      </c>
      <c r="AH293" s="444">
        <f>INPUT!AI327</f>
        <v>219.3</v>
      </c>
      <c r="AI293" s="764">
        <f>INPUT!AJ327</f>
        <v>0.45808520384791507</v>
      </c>
      <c r="AJ293" s="444">
        <f>INPUT!AK327</f>
        <v>240.10000000000002</v>
      </c>
      <c r="AK293" s="764">
        <f>INPUT!AL327</f>
        <v>-3.3413848631239915</v>
      </c>
      <c r="AL293" s="444">
        <f>INPUT!AM327</f>
        <v>201</v>
      </c>
      <c r="AM293" s="764">
        <f>INPUT!AN327</f>
        <v>-19.37424789410349</v>
      </c>
      <c r="AN293" s="444">
        <f>INPUT!AO327</f>
        <v>257.2</v>
      </c>
      <c r="AO293" s="764">
        <f>INPUT!AP327</f>
        <v>4.7231270358306148</v>
      </c>
      <c r="AP293" s="444">
        <f>INPUT!AQ327</f>
        <v>238.23591066183667</v>
      </c>
      <c r="AQ293" s="764">
        <f>INPUT!AR327</f>
        <v>8.6347061841480297</v>
      </c>
      <c r="AR293" s="444">
        <f>INPUT!AS327</f>
        <v>239.6765877557724</v>
      </c>
      <c r="AS293" s="764">
        <f>INPUT!AT327</f>
        <v>-0.17634828997401542</v>
      </c>
      <c r="AT293" s="444">
        <f>INPUT!AU327</f>
        <v>241.89012784969287</v>
      </c>
      <c r="AU293" s="764">
        <f>INPUT!AV327</f>
        <v>20.343347188901916</v>
      </c>
      <c r="AV293" s="444">
        <f>INPUT!AW327</f>
        <v>246.33954986423208</v>
      </c>
      <c r="AW293" s="764">
        <f>INPUT!AX327</f>
        <v>-4.222570037234803</v>
      </c>
      <c r="AX293" s="431"/>
      <c r="AY293" s="765"/>
      <c r="AZ293" s="766"/>
      <c r="BA293" s="765"/>
      <c r="BB293" s="766"/>
      <c r="BC293" s="765"/>
      <c r="BD293" s="766"/>
      <c r="BE293" s="765"/>
      <c r="BF293" s="764"/>
      <c r="BG293" s="765"/>
      <c r="BH293" s="764"/>
      <c r="BI293" s="765"/>
      <c r="BJ293" s="764"/>
      <c r="BK293" s="444"/>
      <c r="BL293" s="764"/>
      <c r="BM293" s="444"/>
      <c r="BN293" s="764"/>
      <c r="BO293" s="444"/>
      <c r="BP293" s="764"/>
      <c r="BQ293" s="444"/>
      <c r="BR293" s="764"/>
      <c r="BS293" s="444">
        <f>INPUT!BB327</f>
        <v>901.30000000000007</v>
      </c>
      <c r="BT293" s="764" t="str">
        <f>INPUT!BC327</f>
        <v>NA</v>
      </c>
      <c r="BU293" s="444">
        <f>INPUT!BD327</f>
        <v>974.60000000000014</v>
      </c>
      <c r="BV293" s="764">
        <f>INPUT!BE327</f>
        <v>8.1326972151337031</v>
      </c>
      <c r="BW293" s="444">
        <f>INPUT!BF327</f>
        <v>952.59999999999991</v>
      </c>
      <c r="BX293" s="764">
        <f>INPUT!BG327</f>
        <v>-2.2573363431151421</v>
      </c>
      <c r="BY293" s="444">
        <f>INPUT!BH327</f>
        <v>961.6</v>
      </c>
      <c r="BZ293" s="764">
        <f>INPUT!BI327</f>
        <v>0.94478269997901521</v>
      </c>
      <c r="CA293" s="444">
        <f>INPUT!BJ327</f>
        <v>917.59999999999991</v>
      </c>
      <c r="CB293" s="764">
        <f>INPUT!BK327</f>
        <v>-4.5757071547421049</v>
      </c>
      <c r="CC293" s="444">
        <f>INPUT!BL327</f>
        <v>966.14217613153392</v>
      </c>
      <c r="CD293" s="764">
        <f>INPUT!BM327</f>
        <v>5.290123815555134</v>
      </c>
      <c r="CE293" s="444">
        <f>INPUT!BN327</f>
        <v>1028.5989148593806</v>
      </c>
      <c r="CF293" s="764">
        <f>INPUT!BO327</f>
        <v>6.4645494494325391</v>
      </c>
      <c r="CG293" s="444">
        <f>INPUT!BP327</f>
        <v>1120.0425123148229</v>
      </c>
      <c r="CH293" s="764">
        <f>INPUT!BQ327</f>
        <v>8.8901121841008006</v>
      </c>
      <c r="CI293" s="444">
        <f>INPUT!BR327</f>
        <v>1235.8338560520356</v>
      </c>
      <c r="CJ293" s="764">
        <f>INPUT!BS327</f>
        <v>10.338120425259874</v>
      </c>
      <c r="CK293" s="444">
        <f>INPUT!BT327</f>
        <v>1356.930454121768</v>
      </c>
      <c r="CL293" s="764">
        <f>INPUT!BU327</f>
        <v>9.7987765488626906</v>
      </c>
      <c r="CM293" s="763">
        <f>INPUT!BV327</f>
        <v>8.1386234547224277</v>
      </c>
    </row>
    <row r="294" spans="1:91" ht="12" hidden="1" customHeight="1" outlineLevel="1" x14ac:dyDescent="0.2">
      <c r="A294" s="400"/>
      <c r="B294" s="425"/>
      <c r="C294" s="424"/>
      <c r="D294" s="436"/>
      <c r="E294" s="382"/>
      <c r="F294" s="436"/>
      <c r="G294" s="382"/>
      <c r="H294" s="436"/>
      <c r="I294" s="382"/>
      <c r="J294" s="436"/>
      <c r="K294" s="382"/>
      <c r="L294" s="436"/>
      <c r="M294" s="382"/>
      <c r="N294" s="436"/>
      <c r="O294" s="382"/>
      <c r="P294" s="436"/>
      <c r="Q294" s="382"/>
      <c r="R294" s="436"/>
      <c r="S294" s="382"/>
      <c r="T294" s="436"/>
      <c r="U294" s="382"/>
      <c r="V294" s="436"/>
      <c r="W294" s="382"/>
      <c r="X294" s="436"/>
      <c r="Y294" s="382"/>
      <c r="Z294" s="436"/>
      <c r="AA294" s="382"/>
      <c r="AB294" s="436"/>
      <c r="AC294" s="382"/>
      <c r="AD294" s="436"/>
      <c r="AE294" s="382"/>
      <c r="AF294" s="436"/>
      <c r="AG294" s="382"/>
      <c r="AH294" s="436"/>
      <c r="AI294" s="382"/>
      <c r="AJ294" s="436"/>
      <c r="AK294" s="382"/>
      <c r="AL294" s="436"/>
      <c r="AM294" s="382"/>
      <c r="AN294" s="436"/>
      <c r="AO294" s="382"/>
      <c r="AP294" s="436"/>
      <c r="AQ294" s="382"/>
      <c r="AR294" s="436"/>
      <c r="AS294" s="382"/>
      <c r="AT294" s="436"/>
      <c r="AU294" s="382"/>
      <c r="AV294" s="436"/>
      <c r="AW294" s="382"/>
      <c r="AX294" s="403"/>
      <c r="AY294" s="402"/>
      <c r="AZ294" s="432"/>
      <c r="BA294" s="402"/>
      <c r="BB294" s="432"/>
      <c r="BC294" s="402"/>
      <c r="BD294" s="432"/>
      <c r="BE294" s="402"/>
      <c r="BF294" s="382"/>
      <c r="BG294" s="402"/>
      <c r="BH294" s="382"/>
      <c r="BI294" s="402"/>
      <c r="BJ294" s="382"/>
      <c r="BK294" s="436"/>
      <c r="BL294" s="382"/>
      <c r="BM294" s="436"/>
      <c r="BN294" s="382"/>
      <c r="BO294" s="436"/>
      <c r="BP294" s="382"/>
      <c r="BQ294" s="436"/>
      <c r="BR294" s="382"/>
      <c r="BS294" s="436"/>
      <c r="BT294" s="382"/>
      <c r="BU294" s="436"/>
      <c r="BV294" s="382"/>
      <c r="BW294" s="436"/>
      <c r="BX294" s="382"/>
      <c r="BY294" s="436"/>
      <c r="BZ294" s="382"/>
      <c r="CA294" s="436"/>
      <c r="CB294" s="382"/>
      <c r="CC294" s="436"/>
      <c r="CD294" s="382"/>
      <c r="CE294" s="436"/>
      <c r="CF294" s="382"/>
      <c r="CG294" s="436"/>
      <c r="CH294" s="382"/>
      <c r="CI294" s="436"/>
      <c r="CJ294" s="382"/>
      <c r="CK294" s="436"/>
      <c r="CL294" s="382"/>
      <c r="CM294" s="424"/>
    </row>
    <row r="295" spans="1:91" ht="12" hidden="1" customHeight="1" outlineLevel="1" x14ac:dyDescent="0.2">
      <c r="A295" s="400" t="str">
        <f>INPUT!B328</f>
        <v>Operating Earnings before Tax</v>
      </c>
      <c r="B295" s="425">
        <f>INPUT!C328</f>
        <v>64.400000000000034</v>
      </c>
      <c r="C295" s="424" t="str">
        <f>INPUT!D328</f>
        <v>NA</v>
      </c>
      <c r="D295" s="436">
        <f>INPUT!E328</f>
        <v>78.300000000000011</v>
      </c>
      <c r="E295" s="382" t="str">
        <f>INPUT!F328</f>
        <v>NA</v>
      </c>
      <c r="F295" s="436">
        <f>INPUT!G328</f>
        <v>66.699999999999989</v>
      </c>
      <c r="G295" s="382" t="str">
        <f>INPUT!H328</f>
        <v>NA</v>
      </c>
      <c r="H295" s="436">
        <f>INPUT!I328</f>
        <v>90.5</v>
      </c>
      <c r="I295" s="382" t="str">
        <f>INPUT!J328</f>
        <v>NA</v>
      </c>
      <c r="J295" s="436">
        <f>INPUT!K328</f>
        <v>83.499999999999943</v>
      </c>
      <c r="K295" s="382">
        <f>INPUT!L328</f>
        <v>29.658385093167539</v>
      </c>
      <c r="L295" s="436">
        <f>INPUT!M328</f>
        <v>91.199999999999989</v>
      </c>
      <c r="M295" s="382">
        <f>INPUT!N328</f>
        <v>16.475095785440573</v>
      </c>
      <c r="N295" s="436">
        <f>INPUT!O328</f>
        <v>102.80000000000001</v>
      </c>
      <c r="O295" s="382">
        <f>INPUT!P328</f>
        <v>54.122938530734672</v>
      </c>
      <c r="P295" s="436">
        <f>INPUT!Q328</f>
        <v>77.699999999999932</v>
      </c>
      <c r="Q295" s="382">
        <f>INPUT!R328</f>
        <v>-14.143646408839857</v>
      </c>
      <c r="R295" s="436">
        <f>INPUT!S328</f>
        <v>81.19999999999996</v>
      </c>
      <c r="S295" s="382">
        <f>INPUT!T328</f>
        <v>-2.7544910179640567</v>
      </c>
      <c r="T295" s="436">
        <f>INPUT!U328</f>
        <v>72.399999999999949</v>
      </c>
      <c r="U295" s="382">
        <f>INPUT!V328</f>
        <v>-20.614035087719344</v>
      </c>
      <c r="V295" s="436">
        <f>INPUT!W328</f>
        <v>46.599999999999966</v>
      </c>
      <c r="W295" s="382" t="str">
        <f>INPUT!X328</f>
        <v>NM</v>
      </c>
      <c r="X295" s="436">
        <f>INPUT!Y328</f>
        <v>67.799999999999983</v>
      </c>
      <c r="Y295" s="382">
        <f>INPUT!Z328</f>
        <v>-12.741312741312683</v>
      </c>
      <c r="Z295" s="436">
        <f>INPUT!AA328</f>
        <v>68.300000000000011</v>
      </c>
      <c r="AA295" s="382">
        <f>INPUT!AB328</f>
        <v>-15.88669950738911</v>
      </c>
      <c r="AB295" s="436">
        <f>INPUT!AC328</f>
        <v>70.299999999999983</v>
      </c>
      <c r="AC295" s="382">
        <f>INPUT!AD328</f>
        <v>-2.9005524861878058</v>
      </c>
      <c r="AD295" s="436">
        <f>INPUT!AE328</f>
        <v>85.100000000000023</v>
      </c>
      <c r="AE295" s="382">
        <f>INPUT!AF328</f>
        <v>82.618025751073162</v>
      </c>
      <c r="AF295" s="436">
        <f>INPUT!AG328</f>
        <v>66.700000000000045</v>
      </c>
      <c r="AG295" s="382">
        <f>INPUT!AH328</f>
        <v>-1.6224188790559566</v>
      </c>
      <c r="AH295" s="436">
        <f>INPUT!AI328</f>
        <v>101.99999999999994</v>
      </c>
      <c r="AI295" s="382">
        <f>INPUT!AJ328</f>
        <v>49.341142020497699</v>
      </c>
      <c r="AJ295" s="436">
        <f>INPUT!AK328</f>
        <v>79.299999999999955</v>
      </c>
      <c r="AK295" s="382">
        <f>INPUT!AL328</f>
        <v>12.802275960170647</v>
      </c>
      <c r="AL295" s="436">
        <f>INPUT!AM328</f>
        <v>73.699999999999989</v>
      </c>
      <c r="AM295" s="382">
        <f>INPUT!AN328</f>
        <v>-13.396004700352563</v>
      </c>
      <c r="AN295" s="436">
        <f>INPUT!AO328</f>
        <v>78.900000000000034</v>
      </c>
      <c r="AO295" s="382">
        <f>INPUT!AP328</f>
        <v>18.290854572713627</v>
      </c>
      <c r="AP295" s="436">
        <f>INPUT!AQ328</f>
        <v>90.103413832824288</v>
      </c>
      <c r="AQ295" s="382">
        <f>INPUT!AR328</f>
        <v>-11.663319771740845</v>
      </c>
      <c r="AR295" s="436">
        <f>INPUT!AS328</f>
        <v>90.648293586820103</v>
      </c>
      <c r="AS295" s="382">
        <f>INPUT!AT328</f>
        <v>14.310584598764379</v>
      </c>
      <c r="AT295" s="436">
        <f>INPUT!AU328</f>
        <v>91.48547853750182</v>
      </c>
      <c r="AU295" s="382">
        <f>INPUT!AV328</f>
        <v>24.132263958618495</v>
      </c>
      <c r="AV295" s="436">
        <f>INPUT!AW328</f>
        <v>90.143873692126647</v>
      </c>
      <c r="AW295" s="382">
        <f>INPUT!AX328</f>
        <v>14.250790484317633</v>
      </c>
      <c r="AX295" s="403"/>
      <c r="AY295" s="402"/>
      <c r="AZ295" s="432"/>
      <c r="BA295" s="402"/>
      <c r="BB295" s="432"/>
      <c r="BC295" s="402"/>
      <c r="BD295" s="432"/>
      <c r="BE295" s="402"/>
      <c r="BF295" s="382"/>
      <c r="BG295" s="402"/>
      <c r="BH295" s="382"/>
      <c r="BI295" s="402"/>
      <c r="BJ295" s="382"/>
      <c r="BK295" s="436"/>
      <c r="BL295" s="382"/>
      <c r="BM295" s="436"/>
      <c r="BN295" s="382"/>
      <c r="BO295" s="436"/>
      <c r="BP295" s="382"/>
      <c r="BQ295" s="436"/>
      <c r="BR295" s="382"/>
      <c r="BS295" s="436">
        <f>INPUT!BB328</f>
        <v>299.90000000000003</v>
      </c>
      <c r="BT295" s="382" t="str">
        <f>INPUT!BC328</f>
        <v>NA</v>
      </c>
      <c r="BU295" s="436">
        <f>INPUT!BD328</f>
        <v>355.19999999999987</v>
      </c>
      <c r="BV295" s="382">
        <f>INPUT!BE328</f>
        <v>18.439479826608803</v>
      </c>
      <c r="BW295" s="436">
        <f>INPUT!BF328</f>
        <v>267.99999999999989</v>
      </c>
      <c r="BX295" s="382">
        <f>INPUT!BG328</f>
        <v>-24.549549549549553</v>
      </c>
      <c r="BY295" s="436">
        <f>INPUT!BH328</f>
        <v>290.40000000000009</v>
      </c>
      <c r="BZ295" s="382">
        <f>INPUT!BI328</f>
        <v>8.3582089552239722</v>
      </c>
      <c r="CA295" s="436">
        <f>INPUT!BJ328</f>
        <v>333.89999999999992</v>
      </c>
      <c r="CB295" s="382">
        <f>INPUT!BK328</f>
        <v>14.979338842975153</v>
      </c>
      <c r="CC295" s="436">
        <f>INPUT!BL328</f>
        <v>362.38105964927286</v>
      </c>
      <c r="CD295" s="382">
        <f>INPUT!BM328</f>
        <v>8.5298172055324812</v>
      </c>
      <c r="CE295" s="436">
        <f>INPUT!BN328</f>
        <v>384.26996431817247</v>
      </c>
      <c r="CF295" s="382">
        <f>INPUT!BO328</f>
        <v>6.0403004202494941</v>
      </c>
      <c r="CG295" s="436">
        <f>INPUT!BP328</f>
        <v>435.17943699161538</v>
      </c>
      <c r="CH295" s="382">
        <f>INPUT!BQ328</f>
        <v>13.248361152497012</v>
      </c>
      <c r="CI295" s="436">
        <f>INPUT!BR328</f>
        <v>453.584173021276</v>
      </c>
      <c r="CJ295" s="382">
        <f>INPUT!BS328</f>
        <v>4.2292292477999638</v>
      </c>
      <c r="CK295" s="436">
        <f>INPUT!BT328</f>
        <v>488.19240962207596</v>
      </c>
      <c r="CL295" s="382">
        <f>INPUT!BU328</f>
        <v>7.6299480138996501</v>
      </c>
      <c r="CM295" s="424">
        <f>INPUT!BV328</f>
        <v>7.89341035606137</v>
      </c>
    </row>
    <row r="296" spans="1:91" ht="12" hidden="1" customHeight="1" outlineLevel="1" x14ac:dyDescent="0.2">
      <c r="A296" s="400" t="str">
        <f>INPUT!B334</f>
        <v>NonControlling Interest</v>
      </c>
      <c r="B296" s="425">
        <f>INPUT!C329</f>
        <v>0.7</v>
      </c>
      <c r="C296" s="424" t="str">
        <f>INPUT!D329</f>
        <v>NA</v>
      </c>
      <c r="D296" s="436">
        <f>INPUT!E329</f>
        <v>2.6</v>
      </c>
      <c r="E296" s="382" t="str">
        <f>INPUT!F329</f>
        <v>NA</v>
      </c>
      <c r="F296" s="436">
        <f>INPUT!G329</f>
        <v>0.6</v>
      </c>
      <c r="G296" s="382" t="str">
        <f>INPUT!H329</f>
        <v>NA</v>
      </c>
      <c r="H296" s="436">
        <f>INPUT!I329</f>
        <v>1.6</v>
      </c>
      <c r="I296" s="382" t="str">
        <f>INPUT!J329</f>
        <v>NA</v>
      </c>
      <c r="J296" s="436">
        <f>INPUT!K329</f>
        <v>1.3</v>
      </c>
      <c r="K296" s="382">
        <f>INPUT!L329</f>
        <v>85.714285714285751</v>
      </c>
      <c r="L296" s="436">
        <f>INPUT!M329</f>
        <v>0.6</v>
      </c>
      <c r="M296" s="382" t="str">
        <f>INPUT!N329</f>
        <v>NM</v>
      </c>
      <c r="N296" s="436">
        <f>INPUT!O329</f>
        <v>0.4</v>
      </c>
      <c r="O296" s="382">
        <f>INPUT!P329</f>
        <v>-33.333333333333329</v>
      </c>
      <c r="P296" s="436">
        <f>INPUT!Q329</f>
        <v>0.2</v>
      </c>
      <c r="Q296" s="382" t="str">
        <f>INPUT!R329</f>
        <v>NM</v>
      </c>
      <c r="R296" s="436">
        <f>INPUT!S329</f>
        <v>0.4</v>
      </c>
      <c r="S296" s="382" t="str">
        <f>INPUT!T329</f>
        <v>NM</v>
      </c>
      <c r="T296" s="436">
        <f>INPUT!U329</f>
        <v>0.2</v>
      </c>
      <c r="U296" s="382" t="str">
        <f>INPUT!V329</f>
        <v>NM</v>
      </c>
      <c r="V296" s="436">
        <f>INPUT!W329</f>
        <v>-4.4000000000000004</v>
      </c>
      <c r="W296" s="382" t="str">
        <f>INPUT!X329</f>
        <v>NM</v>
      </c>
      <c r="X296" s="436">
        <f>INPUT!Y329</f>
        <v>0.5</v>
      </c>
      <c r="Y296" s="382" t="str">
        <f>INPUT!Z329</f>
        <v>NM</v>
      </c>
      <c r="Z296" s="436">
        <f>INPUT!AA329</f>
        <v>0.3</v>
      </c>
      <c r="AA296" s="382">
        <f>INPUT!AB329</f>
        <v>-25.000000000000014</v>
      </c>
      <c r="AB296" s="436">
        <f>INPUT!AC329</f>
        <v>0.4</v>
      </c>
      <c r="AC296" s="382">
        <f>INPUT!AD329</f>
        <v>100</v>
      </c>
      <c r="AD296" s="436">
        <f>INPUT!AE329</f>
        <v>0.9</v>
      </c>
      <c r="AE296" s="382" t="str">
        <f>INPUT!AF329</f>
        <v>NM</v>
      </c>
      <c r="AF296" s="436">
        <f>INPUT!AG329</f>
        <v>0.7</v>
      </c>
      <c r="AG296" s="382">
        <f>INPUT!AH329</f>
        <v>40</v>
      </c>
      <c r="AH296" s="436">
        <f>INPUT!AI329</f>
        <v>1.1000000000000001</v>
      </c>
      <c r="AI296" s="382" t="str">
        <f>INPUT!AJ329</f>
        <v>NM</v>
      </c>
      <c r="AJ296" s="436">
        <f>INPUT!AK329</f>
        <v>0.9</v>
      </c>
      <c r="AK296" s="382" t="str">
        <f>INPUT!AL329</f>
        <v>NM</v>
      </c>
      <c r="AL296" s="436">
        <f>INPUT!AM329</f>
        <v>1.3</v>
      </c>
      <c r="AM296" s="382">
        <f>INPUT!AN329</f>
        <v>44.444444444444429</v>
      </c>
      <c r="AN296" s="436">
        <f>INPUT!AO329</f>
        <v>0.6</v>
      </c>
      <c r="AO296" s="382">
        <f>INPUT!AP329</f>
        <v>-14.285714285714278</v>
      </c>
      <c r="AP296" s="436">
        <f>INPUT!AQ329</f>
        <v>0.68519706336748476</v>
      </c>
      <c r="AQ296" s="382">
        <f>INPUT!AR329</f>
        <v>-37.70935787568321</v>
      </c>
      <c r="AR296" s="436">
        <f>INPUT!AS329</f>
        <v>0.68934063564121717</v>
      </c>
      <c r="AS296" s="382">
        <f>INPUT!AT329</f>
        <v>-23.406596039864752</v>
      </c>
      <c r="AT296" s="436">
        <f>INPUT!AU329</f>
        <v>0.69570706112168657</v>
      </c>
      <c r="AU296" s="382">
        <f>INPUT!AV329</f>
        <v>-46.484072221408724</v>
      </c>
      <c r="AV296" s="436">
        <f>INPUT!AW329</f>
        <v>0.6855047429059058</v>
      </c>
      <c r="AW296" s="382">
        <f>INPUT!AX329</f>
        <v>14.250790484317633</v>
      </c>
      <c r="AX296" s="403"/>
      <c r="AY296" s="402"/>
      <c r="AZ296" s="432"/>
      <c r="BA296" s="402"/>
      <c r="BB296" s="432"/>
      <c r="BC296" s="402"/>
      <c r="BD296" s="432"/>
      <c r="BE296" s="402"/>
      <c r="BF296" s="382"/>
      <c r="BG296" s="402"/>
      <c r="BH296" s="382"/>
      <c r="BI296" s="402"/>
      <c r="BJ296" s="382"/>
      <c r="BK296" s="436"/>
      <c r="BL296" s="382"/>
      <c r="BM296" s="436"/>
      <c r="BN296" s="382"/>
      <c r="BO296" s="436"/>
      <c r="BP296" s="382"/>
      <c r="BQ296" s="436"/>
      <c r="BR296" s="382"/>
      <c r="BS296" s="436">
        <f>INPUT!BB329</f>
        <v>5.5</v>
      </c>
      <c r="BT296" s="382" t="str">
        <f>INPUT!BC329</f>
        <v>NA</v>
      </c>
      <c r="BU296" s="436">
        <f>INPUT!BD329</f>
        <v>2.5</v>
      </c>
      <c r="BV296" s="382" t="str">
        <f>INPUT!BE329</f>
        <v>NM</v>
      </c>
      <c r="BW296" s="436">
        <f>INPUT!BF329</f>
        <v>-3.3000000000000003</v>
      </c>
      <c r="BX296" s="382" t="str">
        <f>INPUT!BG329</f>
        <v>NM</v>
      </c>
      <c r="BY296" s="436">
        <f>INPUT!BH329</f>
        <v>2.2999999999999998</v>
      </c>
      <c r="BZ296" s="382" t="str">
        <f>INPUT!BI329</f>
        <v>NM</v>
      </c>
      <c r="CA296" s="436">
        <f>INPUT!BJ329</f>
        <v>3.9</v>
      </c>
      <c r="CB296" s="382">
        <f>INPUT!BK329</f>
        <v>69.565217391304373</v>
      </c>
      <c r="CC296" s="436">
        <f>INPUT!BL329</f>
        <v>2.7557495030362942</v>
      </c>
      <c r="CD296" s="382">
        <f>INPUT!BM329</f>
        <v>-29.339756332402715</v>
      </c>
      <c r="CE296" s="436">
        <f>INPUT!BN329</f>
        <v>2.9222050518492191</v>
      </c>
      <c r="CF296" s="382">
        <f>INPUT!BO329</f>
        <v>6.0403004202494941</v>
      </c>
      <c r="CG296" s="436">
        <f>INPUT!BP329</f>
        <v>3.3093493307347162</v>
      </c>
      <c r="CH296" s="382">
        <f>INPUT!BQ329</f>
        <v>13.248361152497012</v>
      </c>
      <c r="CI296" s="436">
        <f>INPUT!BR329</f>
        <v>3.4493093005420215</v>
      </c>
      <c r="CJ296" s="382">
        <f>INPUT!BS329</f>
        <v>4.229229247799978</v>
      </c>
      <c r="CK296" s="436">
        <f>INPUT!BT329</f>
        <v>3.7124898070119832</v>
      </c>
      <c r="CL296" s="382">
        <f>INPUT!BU329</f>
        <v>7.6299480138996501</v>
      </c>
      <c r="CM296" s="424">
        <f>INPUT!BV329</f>
        <v>-0.98063598999991175</v>
      </c>
    </row>
    <row r="297" spans="1:91" ht="12" hidden="1" customHeight="1" outlineLevel="1" x14ac:dyDescent="0.2">
      <c r="A297" s="400" t="s">
        <v>59</v>
      </c>
      <c r="B297" s="425">
        <f>INPUT!C337</f>
        <v>-3.3846153846153846</v>
      </c>
      <c r="C297" s="424" t="str">
        <f>INPUT!D337</f>
        <v>NA</v>
      </c>
      <c r="D297" s="436">
        <f>INPUT!E337</f>
        <v>-10.769230769230768</v>
      </c>
      <c r="E297" s="382" t="str">
        <f>INPUT!F337</f>
        <v>NA</v>
      </c>
      <c r="F297" s="436">
        <f>INPUT!G337</f>
        <v>-15.384615384615383</v>
      </c>
      <c r="G297" s="382" t="str">
        <f>INPUT!H337</f>
        <v>NA</v>
      </c>
      <c r="H297" s="436">
        <f>INPUT!I337</f>
        <v>-1.5384615384615383</v>
      </c>
      <c r="I297" s="382" t="str">
        <f>INPUT!J337</f>
        <v>NA</v>
      </c>
      <c r="J297" s="436">
        <f>INPUT!K337</f>
        <v>3.8461538461538458</v>
      </c>
      <c r="K297" s="382" t="str">
        <f>INPUT!L337</f>
        <v>NM</v>
      </c>
      <c r="L297" s="436">
        <f>INPUT!M337</f>
        <v>8.4615384615384617</v>
      </c>
      <c r="M297" s="382" t="str">
        <f>INPUT!N337</f>
        <v>NM</v>
      </c>
      <c r="N297" s="436">
        <f>INPUT!O337</f>
        <v>19.076923076923077</v>
      </c>
      <c r="O297" s="382" t="str">
        <f>INPUT!P337</f>
        <v>NM</v>
      </c>
      <c r="P297" s="436">
        <f>INPUT!Q337</f>
        <v>0</v>
      </c>
      <c r="Q297" s="382" t="str">
        <f>INPUT!R337</f>
        <v>NM</v>
      </c>
      <c r="R297" s="436">
        <f>INPUT!S337</f>
        <v>0</v>
      </c>
      <c r="S297" s="382" t="str">
        <f>INPUT!T337</f>
        <v>NM</v>
      </c>
      <c r="T297" s="436">
        <f>INPUT!U337</f>
        <v>0</v>
      </c>
      <c r="U297" s="382" t="str">
        <f>INPUT!V337</f>
        <v>NM</v>
      </c>
      <c r="V297" s="436">
        <f>INPUT!W337</f>
        <v>-12.923076923076923</v>
      </c>
      <c r="W297" s="382" t="str">
        <f>INPUT!X337</f>
        <v>NM</v>
      </c>
      <c r="X297" s="436">
        <f>INPUT!Y337</f>
        <v>0</v>
      </c>
      <c r="Y297" s="382" t="str">
        <f>INPUT!Z337</f>
        <v>NA</v>
      </c>
      <c r="Z297" s="436">
        <f>INPUT!AA337</f>
        <v>0</v>
      </c>
      <c r="AA297" s="382" t="str">
        <f>INPUT!AB337</f>
        <v>NA</v>
      </c>
      <c r="AB297" s="436">
        <f>INPUT!AC337</f>
        <v>0</v>
      </c>
      <c r="AC297" s="382" t="str">
        <f>INPUT!AD337</f>
        <v>NA</v>
      </c>
      <c r="AD297" s="436">
        <f>INPUT!AE337</f>
        <v>-0.90000000000000036</v>
      </c>
      <c r="AE297" s="382" t="str">
        <f>INPUT!AF337</f>
        <v>NM</v>
      </c>
      <c r="AF297" s="436">
        <f>INPUT!AG337</f>
        <v>-11</v>
      </c>
      <c r="AG297" s="382" t="str">
        <f>INPUT!AH337</f>
        <v>NA</v>
      </c>
      <c r="AH297" s="436">
        <f>INPUT!AI337</f>
        <v>12</v>
      </c>
      <c r="AI297" s="382" t="str">
        <f>INPUT!AJ337</f>
        <v>NA</v>
      </c>
      <c r="AJ297" s="436">
        <f>INPUT!AK337</f>
        <v>-5</v>
      </c>
      <c r="AK297" s="382" t="str">
        <f>INPUT!AL337</f>
        <v>NA</v>
      </c>
      <c r="AL297" s="436">
        <f>INPUT!AM337</f>
        <v>-12</v>
      </c>
      <c r="AM297" s="382" t="str">
        <f>INPUT!AN337</f>
        <v>NM</v>
      </c>
      <c r="AN297" s="436">
        <f>INPUT!AO337</f>
        <v>0</v>
      </c>
      <c r="AO297" s="382" t="str">
        <f>INPUT!AP337</f>
        <v>NM</v>
      </c>
      <c r="AP297" s="436">
        <f>INPUT!AQ337</f>
        <v>0</v>
      </c>
      <c r="AQ297" s="382" t="str">
        <f>INPUT!AR337</f>
        <v>NM</v>
      </c>
      <c r="AR297" s="436">
        <f>INPUT!AS337</f>
        <v>0</v>
      </c>
      <c r="AS297" s="382" t="str">
        <f>INPUT!AT337</f>
        <v>NM</v>
      </c>
      <c r="AT297" s="436">
        <f>INPUT!AU337</f>
        <v>0</v>
      </c>
      <c r="AU297" s="382" t="str">
        <f>INPUT!AV337</f>
        <v>NM</v>
      </c>
      <c r="AV297" s="436">
        <f>INPUT!AW337</f>
        <v>0</v>
      </c>
      <c r="AW297" s="382" t="str">
        <f>INPUT!AX337</f>
        <v>NA</v>
      </c>
      <c r="AX297" s="403"/>
      <c r="AY297" s="402"/>
      <c r="AZ297" s="432"/>
      <c r="BA297" s="402"/>
      <c r="BB297" s="432"/>
      <c r="BC297" s="402"/>
      <c r="BD297" s="432"/>
      <c r="BE297" s="402"/>
      <c r="BF297" s="382"/>
      <c r="BG297" s="402"/>
      <c r="BH297" s="382"/>
      <c r="BI297" s="402"/>
      <c r="BJ297" s="382"/>
      <c r="BK297" s="436"/>
      <c r="BL297" s="382"/>
      <c r="BM297" s="436"/>
      <c r="BN297" s="382"/>
      <c r="BO297" s="436"/>
      <c r="BP297" s="382"/>
      <c r="BQ297" s="436"/>
      <c r="BR297" s="382"/>
      <c r="BS297" s="436">
        <f>INPUT!BB337</f>
        <v>-31.076923076923073</v>
      </c>
      <c r="BT297" s="382" t="str">
        <f>INPUT!BC337</f>
        <v>NA</v>
      </c>
      <c r="BU297" s="436">
        <f>INPUT!BD337</f>
        <v>31.384615384615383</v>
      </c>
      <c r="BV297" s="382" t="str">
        <f>INPUT!BE337</f>
        <v>NM</v>
      </c>
      <c r="BW297" s="436">
        <f>INPUT!BF337</f>
        <v>-12.923076923076923</v>
      </c>
      <c r="BX297" s="382" t="str">
        <f>INPUT!BG337</f>
        <v>NM</v>
      </c>
      <c r="BY297" s="436">
        <f>INPUT!BH337</f>
        <v>-11.9</v>
      </c>
      <c r="BZ297" s="382">
        <f>INPUT!BI337</f>
        <v>-7.9166666666666572</v>
      </c>
      <c r="CA297" s="436">
        <f>INPUT!BJ337</f>
        <v>-5</v>
      </c>
      <c r="CB297" s="382" t="str">
        <f>INPUT!BK337</f>
        <v>NM</v>
      </c>
      <c r="CC297" s="436">
        <f>INPUT!BL337</f>
        <v>0</v>
      </c>
      <c r="CD297" s="382" t="str">
        <f>INPUT!BM337</f>
        <v>NM</v>
      </c>
      <c r="CE297" s="436">
        <f>INPUT!BN337</f>
        <v>0</v>
      </c>
      <c r="CF297" s="382" t="str">
        <f>INPUT!BO337</f>
        <v>NA</v>
      </c>
      <c r="CG297" s="436">
        <f>INPUT!BP337</f>
        <v>0</v>
      </c>
      <c r="CH297" s="382" t="str">
        <f>INPUT!BQ337</f>
        <v>NA</v>
      </c>
      <c r="CI297" s="436">
        <f>INPUT!BR337</f>
        <v>0</v>
      </c>
      <c r="CJ297" s="382" t="str">
        <f>INPUT!BS337</f>
        <v>NA</v>
      </c>
      <c r="CK297" s="436">
        <f>INPUT!BT337</f>
        <v>0</v>
      </c>
      <c r="CL297" s="382" t="str">
        <f>INPUT!BU337</f>
        <v>NA</v>
      </c>
      <c r="CM297" s="424" t="str">
        <f>INPUT!BV337</f>
        <v>NM</v>
      </c>
    </row>
    <row r="298" spans="1:91" ht="12" hidden="1" customHeight="1" outlineLevel="1" x14ac:dyDescent="0.2">
      <c r="A298" s="437" t="s">
        <v>466</v>
      </c>
      <c r="B298" s="449">
        <f>INPUT!C339</f>
        <v>67.084615384615418</v>
      </c>
      <c r="C298" s="446" t="str">
        <f>INPUT!D339</f>
        <v>NA</v>
      </c>
      <c r="D298" s="449">
        <f>INPUT!E339</f>
        <v>86.469230769230791</v>
      </c>
      <c r="E298" s="448" t="str">
        <f>INPUT!F339</f>
        <v>NA</v>
      </c>
      <c r="F298" s="449">
        <f>INPUT!G339</f>
        <v>81.484615384615381</v>
      </c>
      <c r="G298" s="448" t="str">
        <f>INPUT!H339</f>
        <v>NA</v>
      </c>
      <c r="H298" s="449">
        <f>INPUT!I339</f>
        <v>90.438461538461539</v>
      </c>
      <c r="I298" s="448" t="str">
        <f>INPUT!J339</f>
        <v>NA</v>
      </c>
      <c r="J298" s="449">
        <f>INPUT!K339</f>
        <v>78.353846153846106</v>
      </c>
      <c r="K298" s="448">
        <f>INPUT!L339</f>
        <v>16.798532278408302</v>
      </c>
      <c r="L298" s="449">
        <f>INPUT!M339</f>
        <v>82.138461538461527</v>
      </c>
      <c r="M298" s="448">
        <f>INPUT!N339</f>
        <v>-5.0084512054088037</v>
      </c>
      <c r="N298" s="449">
        <f>INPUT!O339</f>
        <v>83.323076923076925</v>
      </c>
      <c r="O298" s="448">
        <f>INPUT!P339</f>
        <v>2.2562069291041382</v>
      </c>
      <c r="P298" s="449">
        <f>INPUT!Q339</f>
        <v>77.499999999999929</v>
      </c>
      <c r="Q298" s="448">
        <f>INPUT!R339</f>
        <v>-14.306370672790763</v>
      </c>
      <c r="R298" s="449">
        <f>INPUT!S339</f>
        <v>80.799999999999955</v>
      </c>
      <c r="S298" s="448">
        <f>INPUT!T339</f>
        <v>3.1219320636167254</v>
      </c>
      <c r="T298" s="449">
        <f>INPUT!U339</f>
        <v>72.199999999999946</v>
      </c>
      <c r="U298" s="448">
        <f>INPUT!V339</f>
        <v>-12.099644128113923</v>
      </c>
      <c r="V298" s="449">
        <f>INPUT!W339</f>
        <v>63.923076923076891</v>
      </c>
      <c r="W298" s="448">
        <f>INPUT!X339</f>
        <v>-23.28286558345647</v>
      </c>
      <c r="X298" s="449">
        <f>INPUT!Y339</f>
        <v>67.299999999999983</v>
      </c>
      <c r="Y298" s="448">
        <f>INPUT!Z339</f>
        <v>-13.161290322580584</v>
      </c>
      <c r="Z298" s="449">
        <f>INPUT!AA339</f>
        <v>68.000000000000014</v>
      </c>
      <c r="AA298" s="448">
        <f>INPUT!AB339</f>
        <v>-15.841584158415785</v>
      </c>
      <c r="AB298" s="449">
        <f>INPUT!AC339</f>
        <v>69.899999999999977</v>
      </c>
      <c r="AC298" s="448">
        <f>INPUT!AD339</f>
        <v>-3.1855955678669972</v>
      </c>
      <c r="AD298" s="449">
        <f>INPUT!AE339</f>
        <v>85.100000000000023</v>
      </c>
      <c r="AE298" s="448">
        <f>INPUT!AF339</f>
        <v>33.128760529482662</v>
      </c>
      <c r="AF298" s="449">
        <f>INPUT!AG339</f>
        <v>77.000000000000043</v>
      </c>
      <c r="AG298" s="448">
        <f>INPUT!AH339</f>
        <v>14.41307578008923</v>
      </c>
      <c r="AH298" s="449">
        <f>INPUT!AI339</f>
        <v>88.899999999999949</v>
      </c>
      <c r="AI298" s="448">
        <f>INPUT!AJ339</f>
        <v>30.735294117646959</v>
      </c>
      <c r="AJ298" s="449">
        <f>INPUT!AK339</f>
        <v>83.399999999999949</v>
      </c>
      <c r="AK298" s="448">
        <f>INPUT!AL339</f>
        <v>19.313304721030008</v>
      </c>
      <c r="AL298" s="449">
        <f>INPUT!AM339</f>
        <v>84.399999999999991</v>
      </c>
      <c r="AM298" s="448">
        <f>INPUT!AN339</f>
        <v>-0.82256169212693919</v>
      </c>
      <c r="AN298" s="449">
        <f>INPUT!AO339</f>
        <v>78.30000000000004</v>
      </c>
      <c r="AO298" s="448">
        <f>INPUT!AP339</f>
        <v>1.6883116883116998</v>
      </c>
      <c r="AP298" s="449">
        <f>INPUT!AQ339</f>
        <v>89.418216769456805</v>
      </c>
      <c r="AQ298" s="448">
        <f>INPUT!AR339</f>
        <v>0.58292100051389184</v>
      </c>
      <c r="AR298" s="449">
        <f>INPUT!AS339</f>
        <v>89.958952951178887</v>
      </c>
      <c r="AS298" s="448">
        <f>INPUT!AT339</f>
        <v>7.8644519798308608</v>
      </c>
      <c r="AT298" s="449">
        <f>INPUT!AU339</f>
        <v>90.789771476380139</v>
      </c>
      <c r="AU298" s="448">
        <f>INPUT!AV339</f>
        <v>7.5708192848105966</v>
      </c>
      <c r="AV298" s="449">
        <f>INPUT!AW339</f>
        <v>89.458368949220741</v>
      </c>
      <c r="AW298" s="448">
        <f>INPUT!AX339</f>
        <v>14.250790484317605</v>
      </c>
      <c r="AX298" s="449"/>
      <c r="AY298" s="437"/>
      <c r="AZ298" s="446"/>
      <c r="BA298" s="437"/>
      <c r="BB298" s="446"/>
      <c r="BC298" s="447"/>
      <c r="BD298" s="446"/>
      <c r="BE298" s="447"/>
      <c r="BF298" s="448"/>
      <c r="BG298" s="447"/>
      <c r="BH298" s="448"/>
      <c r="BI298" s="447"/>
      <c r="BJ298" s="448"/>
      <c r="BK298" s="449"/>
      <c r="BL298" s="448"/>
      <c r="BM298" s="449"/>
      <c r="BN298" s="448"/>
      <c r="BO298" s="449"/>
      <c r="BP298" s="448"/>
      <c r="BQ298" s="449"/>
      <c r="BR298" s="448"/>
      <c r="BS298" s="449">
        <f>INPUT!BB339</f>
        <v>325.47692307692313</v>
      </c>
      <c r="BT298" s="448" t="str">
        <f>INPUT!BC339</f>
        <v>NA</v>
      </c>
      <c r="BU298" s="449">
        <f>INPUT!BD339</f>
        <v>321.31538461538452</v>
      </c>
      <c r="BV298" s="448">
        <f>INPUT!BE339</f>
        <v>-1.2785970882965074</v>
      </c>
      <c r="BW298" s="449">
        <f>INPUT!BF339</f>
        <v>284.2230769230768</v>
      </c>
      <c r="BX298" s="448">
        <f>INPUT!BG339</f>
        <v>-11.543894089200663</v>
      </c>
      <c r="BY298" s="449">
        <f>INPUT!BH339</f>
        <v>300.00000000000006</v>
      </c>
      <c r="BZ298" s="448">
        <f>INPUT!BI339</f>
        <v>5.5508944761699155</v>
      </c>
      <c r="CA298" s="449">
        <f>INPUT!BJ339</f>
        <v>334.99999999999994</v>
      </c>
      <c r="CB298" s="448">
        <f>INPUT!BK339</f>
        <v>11.666666666666629</v>
      </c>
      <c r="CC298" s="449">
        <f>INPUT!BL339</f>
        <v>359.62531014623659</v>
      </c>
      <c r="CD298" s="448">
        <f>INPUT!BM339</f>
        <v>7.3508388496228889</v>
      </c>
      <c r="CE298" s="449">
        <f>INPUT!BN339</f>
        <v>381.34775926632324</v>
      </c>
      <c r="CF298" s="448">
        <f>INPUT!BO339</f>
        <v>6.0403004202494799</v>
      </c>
      <c r="CG298" s="449">
        <f>INPUT!BP339</f>
        <v>431.87008766088064</v>
      </c>
      <c r="CH298" s="448">
        <f>INPUT!BQ339</f>
        <v>13.248361152497012</v>
      </c>
      <c r="CI298" s="449">
        <f>INPUT!BR339</f>
        <v>450.13486372073396</v>
      </c>
      <c r="CJ298" s="448">
        <f>INPUT!BS339</f>
        <v>4.2292292477999638</v>
      </c>
      <c r="CK298" s="449">
        <f>INPUT!BT339</f>
        <v>484.47991981506397</v>
      </c>
      <c r="CL298" s="448">
        <f>INPUT!BU339</f>
        <v>7.6299480138996501</v>
      </c>
      <c r="CM298" s="450">
        <f>INPUT!BV339</f>
        <v>7.6579720869598855</v>
      </c>
    </row>
    <row r="299" spans="1:91" ht="12" hidden="1" customHeight="1" outlineLevel="2" x14ac:dyDescent="0.2">
      <c r="A299" s="405" t="s">
        <v>167</v>
      </c>
      <c r="B299" s="441">
        <f>(B285+B286-B289-B290-B291-B292-B297-B296)-B298</f>
        <v>0</v>
      </c>
      <c r="C299" s="442"/>
      <c r="D299" s="441">
        <f>(D285+D286-D289-D290-D291-D292-D297-D296)-D298</f>
        <v>0</v>
      </c>
      <c r="E299" s="442"/>
      <c r="F299" s="441">
        <f>(F285+F286-F289-F290-F291-F292-F297-F296)-F298</f>
        <v>0</v>
      </c>
      <c r="G299" s="442"/>
      <c r="H299" s="441">
        <f>(H285+H286-H289-H290-H291-H292-H297-H296)-H298</f>
        <v>0</v>
      </c>
      <c r="I299" s="442"/>
      <c r="J299" s="441">
        <f>(J285+J286-J289-J290-J291-J292-J297-J296)-J298</f>
        <v>0</v>
      </c>
      <c r="K299" s="442"/>
      <c r="L299" s="441">
        <f>(L285+L286-L289-L290-L291-L292-L297-L296)-L298</f>
        <v>0</v>
      </c>
      <c r="M299" s="442"/>
      <c r="N299" s="441">
        <f>(N285+N286-N289-N290-N291-N292-N297-N296)-N298</f>
        <v>0</v>
      </c>
      <c r="O299" s="442"/>
      <c r="P299" s="441">
        <f>(P285+P286-P289-P290-P291-P292-P297-P296)-P298</f>
        <v>0</v>
      </c>
      <c r="Q299" s="442"/>
      <c r="R299" s="441">
        <f>(R285+R286-R289-R290-R291-R292-R297-R296)-R298</f>
        <v>0</v>
      </c>
      <c r="S299" s="442"/>
      <c r="T299" s="441">
        <f>(T285+T286-T289-T290-T291-T292-T297-T296)-T298</f>
        <v>0</v>
      </c>
      <c r="U299" s="442"/>
      <c r="V299" s="441">
        <f>(V285+V286-V289-V290-V291-V292-V297-V296)-V298</f>
        <v>0</v>
      </c>
      <c r="W299" s="442"/>
      <c r="X299" s="441">
        <f>(X285+X286-X289-X290-X291-X292-X297-X296)-X298</f>
        <v>0</v>
      </c>
      <c r="Y299" s="442"/>
      <c r="Z299" s="441">
        <f>(Z285+Z286-Z289-Z290-Z291-Z292-Z297-Z296)-Z298</f>
        <v>0</v>
      </c>
      <c r="AA299" s="442"/>
      <c r="AB299" s="441">
        <f>(AB285+AB286-AB289-AB290-AB291-AB292-AB297-AB296)-AB298</f>
        <v>0</v>
      </c>
      <c r="AC299" s="442"/>
      <c r="AD299" s="441">
        <f>(AD285+AD286-AD289-AD290-AD291-AD292-AD297-AD296)-AD298</f>
        <v>0</v>
      </c>
      <c r="AE299" s="442"/>
      <c r="AF299" s="441">
        <f>(AF285+AF286-AF289-AF290-AF291-AF292-AF297-AF296)-AF298</f>
        <v>0</v>
      </c>
      <c r="AG299" s="442"/>
      <c r="AH299" s="441">
        <f t="shared" ref="AH299" si="169">(AH285+AH286-AH289-AH290-AH291-AH292-AH297-AH296)-AH298</f>
        <v>0</v>
      </c>
      <c r="AI299" s="442"/>
      <c r="AJ299" s="441">
        <f t="shared" ref="AJ299" si="170">(AJ285+AJ286-AJ289-AJ290-AJ291-AJ292-AJ297-AJ296)-AJ298</f>
        <v>0</v>
      </c>
      <c r="AK299" s="442"/>
      <c r="AL299" s="441">
        <f t="shared" ref="AL299" si="171">(AL285+AL286-AL289-AL290-AL291-AL292-AL297-AL296)-AL298</f>
        <v>0</v>
      </c>
      <c r="AM299" s="442"/>
      <c r="AN299" s="441">
        <f t="shared" ref="AN299" si="172">(AN285+AN286-AN289-AN290-AN291-AN292-AN297-AN296)-AN298</f>
        <v>0</v>
      </c>
      <c r="AO299" s="442"/>
      <c r="AP299" s="441">
        <f t="shared" ref="AP299" si="173">(AP285+AP286-AP289-AP290-AP291-AP292-AP297-AP296)-AP298</f>
        <v>0</v>
      </c>
      <c r="AQ299" s="442"/>
      <c r="AR299" s="441">
        <f t="shared" ref="AR299" si="174">(AR285+AR286-AR289-AR290-AR291-AR292-AR297-AR296)-AR298</f>
        <v>0</v>
      </c>
      <c r="AS299" s="442"/>
      <c r="AT299" s="441">
        <f t="shared" ref="AT299" si="175">(AT285+AT286-AT289-AT290-AT291-AT292-AT297-AT296)-AT298</f>
        <v>0</v>
      </c>
      <c r="AU299" s="442"/>
      <c r="AV299" s="441">
        <f t="shared" ref="AV299" si="176">(AV285+AV286-AV289-AV290-AV291-AV292-AV297-AV296)-AV298</f>
        <v>0</v>
      </c>
      <c r="AW299" s="442"/>
      <c r="AX299" s="409"/>
      <c r="AY299" s="441"/>
      <c r="AZ299" s="442"/>
      <c r="BA299" s="441"/>
      <c r="BB299" s="442"/>
      <c r="BC299" s="441"/>
      <c r="BD299" s="442"/>
      <c r="BE299" s="441"/>
      <c r="BF299" s="442"/>
      <c r="BG299" s="441"/>
      <c r="BH299" s="442"/>
      <c r="BI299" s="441"/>
      <c r="BJ299" s="442"/>
      <c r="BK299" s="441"/>
      <c r="BL299" s="442"/>
      <c r="BM299" s="441"/>
      <c r="BN299" s="442"/>
      <c r="BO299" s="441"/>
      <c r="BP299" s="442"/>
      <c r="BQ299" s="441"/>
      <c r="BR299" s="442"/>
      <c r="BS299" s="441">
        <f>(BS285+BS286-BS289-BS290-BS291-BS292-BS297-BS296)-BS298</f>
        <v>0</v>
      </c>
      <c r="BT299" s="442"/>
      <c r="BU299" s="441">
        <f>(BU285+BU286-BU289-BU290-BU291-BU292-BU297-BU296)-BU298</f>
        <v>0</v>
      </c>
      <c r="BV299" s="442"/>
      <c r="BW299" s="441">
        <f>(BW285+BW286-BW289-BW290-BW291-BW292-BW297-BW296)-BW298</f>
        <v>0</v>
      </c>
      <c r="BX299" s="442"/>
      <c r="BY299" s="441">
        <f>(BY285+BY286-BY289-BY290-BY291-BY292-BY297-BY296)-BY298</f>
        <v>0</v>
      </c>
      <c r="BZ299" s="442"/>
      <c r="CA299" s="441">
        <f>(CA285+CA286-CA289-CA290-CA291-CA292-CA297-CA296)-CA298</f>
        <v>0</v>
      </c>
      <c r="CB299" s="442"/>
      <c r="CC299" s="441">
        <f>(CC285+CC286-CC289-CC290-CC291-CC292-CC297-CC296)-CC298</f>
        <v>0</v>
      </c>
      <c r="CD299" s="442"/>
      <c r="CE299" s="441">
        <f>(CE285+CE286-CE289-CE290-CE291-CE292-CE297-CE296)-CE298</f>
        <v>0</v>
      </c>
      <c r="CF299" s="442"/>
      <c r="CG299" s="441">
        <f>(CG285+CG286-CG289-CG290-CG291-CG292-CG297-CG296)-CG298</f>
        <v>0</v>
      </c>
      <c r="CH299" s="442"/>
      <c r="CI299" s="441">
        <f>(CI285+CI286-CI289-CI290-CI291-CI292-CI297-CI296)-CI298</f>
        <v>0</v>
      </c>
      <c r="CJ299" s="442"/>
      <c r="CK299" s="441">
        <f>(CK285+CK286-CK289-CK290-CK291-CK292-CK297-CK296)-CK298</f>
        <v>0</v>
      </c>
      <c r="CL299" s="442"/>
      <c r="CM299" s="442"/>
    </row>
    <row r="300" spans="1:91" ht="12" hidden="1" customHeight="1" outlineLevel="1" x14ac:dyDescent="0.2">
      <c r="A300" s="420"/>
      <c r="B300" s="425"/>
      <c r="C300" s="424"/>
      <c r="D300" s="451"/>
      <c r="E300" s="382"/>
      <c r="F300" s="451"/>
      <c r="G300" s="382"/>
      <c r="H300" s="451"/>
      <c r="I300" s="382"/>
      <c r="J300" s="451"/>
      <c r="K300" s="382"/>
      <c r="L300" s="451"/>
      <c r="M300" s="382"/>
      <c r="N300" s="451"/>
      <c r="O300" s="382"/>
      <c r="P300" s="451"/>
      <c r="Q300" s="382"/>
      <c r="R300" s="451"/>
      <c r="S300" s="382"/>
      <c r="T300" s="451"/>
      <c r="U300" s="382"/>
      <c r="V300" s="451"/>
      <c r="W300" s="382"/>
      <c r="X300" s="451"/>
      <c r="Y300" s="382"/>
      <c r="Z300" s="451"/>
      <c r="AA300" s="382"/>
      <c r="AB300" s="451"/>
      <c r="AC300" s="382"/>
      <c r="AD300" s="451"/>
      <c r="AE300" s="382"/>
      <c r="AF300" s="451"/>
      <c r="AG300" s="382"/>
      <c r="AH300" s="451"/>
      <c r="AI300" s="382"/>
      <c r="AJ300" s="451"/>
      <c r="AK300" s="382"/>
      <c r="AL300" s="451"/>
      <c r="AM300" s="382"/>
      <c r="AN300" s="451"/>
      <c r="AO300" s="382"/>
      <c r="AP300" s="451"/>
      <c r="AQ300" s="382"/>
      <c r="AR300" s="451"/>
      <c r="AS300" s="382"/>
      <c r="AT300" s="451"/>
      <c r="AU300" s="382"/>
      <c r="AV300" s="451"/>
      <c r="AW300" s="382"/>
      <c r="AX300" s="397"/>
      <c r="AY300" s="425"/>
      <c r="AZ300" s="424"/>
      <c r="BA300" s="425"/>
      <c r="BB300" s="424"/>
      <c r="BC300" s="425"/>
      <c r="BD300" s="424"/>
      <c r="BE300" s="425"/>
      <c r="BF300" s="382"/>
      <c r="BG300" s="425"/>
      <c r="BH300" s="382"/>
      <c r="BI300" s="425"/>
      <c r="BJ300" s="382"/>
      <c r="BK300" s="425"/>
      <c r="BL300" s="382"/>
      <c r="BM300" s="425"/>
      <c r="BN300" s="382"/>
      <c r="BO300" s="425"/>
      <c r="BP300" s="382"/>
      <c r="BQ300" s="425"/>
      <c r="BR300" s="382"/>
      <c r="BS300" s="425"/>
      <c r="BT300" s="382"/>
      <c r="BU300" s="425"/>
      <c r="BV300" s="382"/>
      <c r="BW300" s="425"/>
      <c r="BX300" s="382"/>
      <c r="BY300" s="425"/>
      <c r="BZ300" s="382"/>
      <c r="CA300" s="425"/>
      <c r="CB300" s="382"/>
      <c r="CC300" s="425"/>
      <c r="CD300" s="382"/>
      <c r="CE300" s="425"/>
      <c r="CF300" s="382"/>
      <c r="CG300" s="425"/>
      <c r="CH300" s="382"/>
      <c r="CI300" s="425"/>
      <c r="CJ300" s="382"/>
      <c r="CK300" s="425"/>
      <c r="CL300" s="382"/>
      <c r="CM300" s="424"/>
    </row>
    <row r="301" spans="1:91" ht="12" hidden="1" customHeight="1" outlineLevel="1" x14ac:dyDescent="0.2">
      <c r="A301" s="394" t="s">
        <v>606</v>
      </c>
      <c r="B301" s="425"/>
      <c r="C301" s="424"/>
      <c r="D301" s="451"/>
      <c r="E301" s="382"/>
      <c r="F301" s="451"/>
      <c r="G301" s="382"/>
      <c r="H301" s="451"/>
      <c r="I301" s="382"/>
      <c r="J301" s="451"/>
      <c r="K301" s="382"/>
      <c r="L301" s="451"/>
      <c r="M301" s="382"/>
      <c r="N301" s="451"/>
      <c r="O301" s="382"/>
      <c r="P301" s="451"/>
      <c r="Q301" s="382"/>
      <c r="R301" s="451"/>
      <c r="S301" s="382"/>
      <c r="T301" s="451"/>
      <c r="U301" s="382"/>
      <c r="V301" s="451"/>
      <c r="W301" s="382"/>
      <c r="X301" s="451"/>
      <c r="Y301" s="382"/>
      <c r="Z301" s="451"/>
      <c r="AA301" s="382"/>
      <c r="AB301" s="451"/>
      <c r="AC301" s="382"/>
      <c r="AD301" s="451"/>
      <c r="AE301" s="382"/>
      <c r="AF301" s="451"/>
      <c r="AG301" s="382"/>
      <c r="AH301" s="451"/>
      <c r="AI301" s="382"/>
      <c r="AJ301" s="451"/>
      <c r="AK301" s="382"/>
      <c r="AL301" s="451"/>
      <c r="AM301" s="382"/>
      <c r="AN301" s="451"/>
      <c r="AO301" s="382"/>
      <c r="AP301" s="451"/>
      <c r="AQ301" s="382"/>
      <c r="AR301" s="451"/>
      <c r="AS301" s="382"/>
      <c r="AT301" s="451"/>
      <c r="AU301" s="382"/>
      <c r="AV301" s="451"/>
      <c r="AW301" s="382"/>
      <c r="AX301" s="397"/>
      <c r="AY301" s="425"/>
      <c r="AZ301" s="424"/>
      <c r="BA301" s="425"/>
      <c r="BB301" s="424"/>
      <c r="BC301" s="425"/>
      <c r="BD301" s="424"/>
      <c r="BE301" s="425"/>
      <c r="BF301" s="382"/>
      <c r="BG301" s="425"/>
      <c r="BH301" s="382"/>
      <c r="BI301" s="425"/>
      <c r="BJ301" s="382"/>
      <c r="BK301" s="425"/>
      <c r="BL301" s="382"/>
      <c r="BM301" s="425"/>
      <c r="BN301" s="382"/>
      <c r="BO301" s="425"/>
      <c r="BP301" s="382"/>
      <c r="BQ301" s="425"/>
      <c r="BR301" s="382"/>
      <c r="BS301" s="425"/>
      <c r="BT301" s="382"/>
      <c r="BU301" s="425"/>
      <c r="BV301" s="382"/>
      <c r="BW301" s="425"/>
      <c r="BX301" s="382"/>
      <c r="BY301" s="425"/>
      <c r="BZ301" s="382"/>
      <c r="CA301" s="425"/>
      <c r="CB301" s="382"/>
      <c r="CC301" s="425"/>
      <c r="CD301" s="382"/>
      <c r="CE301" s="425"/>
      <c r="CF301" s="382"/>
      <c r="CG301" s="425"/>
      <c r="CH301" s="382"/>
      <c r="CI301" s="425"/>
      <c r="CJ301" s="382"/>
      <c r="CK301" s="425"/>
      <c r="CL301" s="382"/>
      <c r="CM301" s="424"/>
    </row>
    <row r="302" spans="1:91" ht="12" hidden="1" customHeight="1" outlineLevel="1" x14ac:dyDescent="0.2">
      <c r="A302" s="400" t="s">
        <v>250</v>
      </c>
      <c r="B302" s="423">
        <f>INPUT!C717</f>
        <v>22.253125797397299</v>
      </c>
      <c r="C302" s="424" t="str">
        <f>INPUT!D717</f>
        <v>NA</v>
      </c>
      <c r="D302" s="451">
        <f>INPUT!E717</f>
        <v>23.312387233248309</v>
      </c>
      <c r="E302" s="382" t="str">
        <f>INPUT!F717</f>
        <v>NA</v>
      </c>
      <c r="F302" s="451">
        <f>INPUT!G717</f>
        <v>21.701186159424733</v>
      </c>
      <c r="G302" s="382" t="str">
        <f>INPUT!H717</f>
        <v>NA</v>
      </c>
      <c r="H302" s="451">
        <f>INPUT!I717</f>
        <v>22.945860494164489</v>
      </c>
      <c r="I302" s="382" t="str">
        <f>INPUT!J717</f>
        <v>NA</v>
      </c>
      <c r="J302" s="451">
        <f>INPUT!K717</f>
        <v>21.493532527273089</v>
      </c>
      <c r="K302" s="382">
        <f>INPUT!L717</f>
        <v>-3.4134228019915014</v>
      </c>
      <c r="L302" s="451">
        <f>INPUT!M717</f>
        <v>19.903075489282386</v>
      </c>
      <c r="M302" s="382">
        <f>INPUT!N717</f>
        <v>-14.624464280961902</v>
      </c>
      <c r="N302" s="451">
        <f>INPUT!O717</f>
        <v>20.907967881408272</v>
      </c>
      <c r="O302" s="382">
        <f>INPUT!P717</f>
        <v>-3.655183971001378</v>
      </c>
      <c r="P302" s="451">
        <f>INPUT!Q717</f>
        <v>19.337811900191916</v>
      </c>
      <c r="Q302" s="382">
        <f>INPUT!R717</f>
        <v>-15.724180816361894</v>
      </c>
      <c r="R302" s="451">
        <f>INPUT!S717</f>
        <v>20.077603838140558</v>
      </c>
      <c r="S302" s="382">
        <f>INPUT!T717</f>
        <v>-6.5876964958452646</v>
      </c>
      <c r="T302" s="451">
        <f>INPUT!U717</f>
        <v>16.631522991051643</v>
      </c>
      <c r="U302" s="382">
        <f>INPUT!V717</f>
        <v>-16.437421945128236</v>
      </c>
      <c r="V302" s="451">
        <f>INPUT!W717</f>
        <v>16.356979765372795</v>
      </c>
      <c r="W302" s="382">
        <f>INPUT!X717</f>
        <v>-21.766764430905283</v>
      </c>
      <c r="X302" s="451">
        <f>INPUT!Y717</f>
        <v>17.349832431038923</v>
      </c>
      <c r="Y302" s="382">
        <f>INPUT!Z717</f>
        <v>-10.280271001773798</v>
      </c>
      <c r="Z302" s="451">
        <f>INPUT!AA717</f>
        <v>19.085040696042668</v>
      </c>
      <c r="AA302" s="382">
        <f>INPUT!AB717</f>
        <v>-4.9436334639313912</v>
      </c>
      <c r="AB302" s="451">
        <f>INPUT!AC717</f>
        <v>16.210575139146567</v>
      </c>
      <c r="AC302" s="382">
        <f>INPUT!AD717</f>
        <v>-2.5310240807865938</v>
      </c>
      <c r="AD302" s="451">
        <f>INPUT!AE717</f>
        <v>19.021010281627177</v>
      </c>
      <c r="AE302" s="382">
        <f>INPUT!AF717</f>
        <v>16.286811834872168</v>
      </c>
      <c r="AF302" s="451">
        <f>INPUT!AG717</f>
        <v>16.782911944202279</v>
      </c>
      <c r="AG302" s="382">
        <f>INPUT!AH717</f>
        <v>-3.267584797086684</v>
      </c>
      <c r="AH302" s="451">
        <f>INPUT!AI717</f>
        <v>19.764339706536227</v>
      </c>
      <c r="AI302" s="382">
        <f>INPUT!AJ717</f>
        <v>3.5593270211596177</v>
      </c>
      <c r="AJ302" s="451">
        <f>INPUT!AK717</f>
        <v>17.037793667007136</v>
      </c>
      <c r="AK302" s="382">
        <f>INPUT!AL717</f>
        <v>5.1029560688623548</v>
      </c>
      <c r="AL302" s="451">
        <f>INPUT!AM717</f>
        <v>16.23389113291017</v>
      </c>
      <c r="AM302" s="382">
        <f>INPUT!AN717</f>
        <v>-14.652844972220791</v>
      </c>
      <c r="AN302" s="451">
        <f>INPUT!AO717</f>
        <v>17.265711135611923</v>
      </c>
      <c r="AO302" s="382">
        <f>INPUT!AP717</f>
        <v>2.876730766477209</v>
      </c>
      <c r="AP302" s="451">
        <f>INPUT!AQ717</f>
        <v>18.174609978757744</v>
      </c>
      <c r="AQ302" s="382">
        <f>INPUT!AR717</f>
        <v>-8.0434244269377047</v>
      </c>
      <c r="AR302" s="451">
        <f>INPUT!AS717</f>
        <v>17.953588766136303</v>
      </c>
      <c r="AS302" s="382">
        <f>INPUT!AT717</f>
        <v>5.375080348006307</v>
      </c>
      <c r="AT302" s="451">
        <f>INPUT!AU717</f>
        <v>17.471867862220904</v>
      </c>
      <c r="AU302" s="382">
        <f>INPUT!AV717</f>
        <v>7.6258779806712198</v>
      </c>
      <c r="AV302" s="451">
        <f>INPUT!AW717</f>
        <v>16.644961969152771</v>
      </c>
      <c r="AW302" s="382">
        <f>INPUT!AX717</f>
        <v>-3.5952713536299541</v>
      </c>
      <c r="AX302" s="397"/>
      <c r="AY302" s="452"/>
      <c r="AZ302" s="424"/>
      <c r="BA302" s="452"/>
      <c r="BB302" s="424"/>
      <c r="BC302" s="452"/>
      <c r="BD302" s="424"/>
      <c r="BE302" s="452"/>
      <c r="BF302" s="382"/>
      <c r="BG302" s="452"/>
      <c r="BH302" s="382"/>
      <c r="BI302" s="452"/>
      <c r="BJ302" s="382"/>
      <c r="BK302" s="423"/>
      <c r="BL302" s="382"/>
      <c r="BM302" s="423"/>
      <c r="BN302" s="382"/>
      <c r="BO302" s="423"/>
      <c r="BP302" s="382"/>
      <c r="BQ302" s="423"/>
      <c r="BR302" s="382"/>
      <c r="BS302" s="423">
        <f>+INPUT!BB717</f>
        <v>22.571215192574424</v>
      </c>
      <c r="BT302" s="382" t="str">
        <f>+INPUT!BC717</f>
        <v>NA</v>
      </c>
      <c r="BU302" s="423">
        <f>+INPUT!BD717</f>
        <v>20.381167997892156</v>
      </c>
      <c r="BV302" s="382">
        <f>+INPUT!BE717</f>
        <v>-9.7028324615980779</v>
      </c>
      <c r="BW302" s="423">
        <f>+INPUT!BF717</f>
        <v>17.59618635794325</v>
      </c>
      <c r="BX302" s="382">
        <f>+INPUT!BG717</f>
        <v>-13.664484980629837</v>
      </c>
      <c r="BY302" s="423">
        <f>+INPUT!BH717</f>
        <v>17.712700005904228</v>
      </c>
      <c r="BZ302" s="382">
        <f>+INPUT!BI717</f>
        <v>0.66215284147853026</v>
      </c>
      <c r="CA302" s="423">
        <f>+INPUT!BJ717</f>
        <v>17.514508286715106</v>
      </c>
      <c r="CB302" s="382">
        <f>+INPUT!BK717</f>
        <v>-1.1189243826353845</v>
      </c>
      <c r="CC302" s="423">
        <f>+INPUT!BL717</f>
        <v>17.541471806625982</v>
      </c>
      <c r="CD302" s="382">
        <f>+INPUT!BM717</f>
        <v>0.15394962547323132</v>
      </c>
      <c r="CE302" s="423">
        <f>+INPUT!BN717</f>
        <v>17.716150704810833</v>
      </c>
      <c r="CF302" s="382">
        <f>+INPUT!BO717</f>
        <v>0.99580525574181422</v>
      </c>
      <c r="CG302" s="423">
        <f>+INPUT!BP717</f>
        <v>19.09137743909282</v>
      </c>
      <c r="CH302" s="382">
        <f>+INPUT!BQ717</f>
        <v>7.7625594701480054</v>
      </c>
      <c r="CI302" s="423">
        <f>+INPUT!BR717</f>
        <v>19.034176815145798</v>
      </c>
      <c r="CJ302" s="382">
        <f>+INPUT!BS717</f>
        <v>-0.29961496560166267</v>
      </c>
      <c r="CK302" s="423">
        <f>+INPUT!BT717</f>
        <v>19.611212858391461</v>
      </c>
      <c r="CL302" s="382">
        <f>+INPUT!BU717</f>
        <v>3.0315786642609339</v>
      </c>
      <c r="CM302" s="424">
        <f>+INPUT!BV717</f>
        <v>2.2872024568671767</v>
      </c>
    </row>
    <row r="303" spans="1:91" ht="12" hidden="1" customHeight="1" outlineLevel="1" x14ac:dyDescent="0.2">
      <c r="A303" s="394"/>
      <c r="B303" s="425"/>
      <c r="C303" s="424"/>
      <c r="D303" s="451"/>
      <c r="E303" s="382"/>
      <c r="F303" s="451"/>
      <c r="G303" s="382"/>
      <c r="H303" s="451"/>
      <c r="I303" s="382"/>
      <c r="J303" s="451"/>
      <c r="K303" s="382"/>
      <c r="L303" s="451"/>
      <c r="M303" s="382"/>
      <c r="N303" s="451"/>
      <c r="O303" s="382"/>
      <c r="P303" s="451"/>
      <c r="Q303" s="382"/>
      <c r="R303" s="451"/>
      <c r="S303" s="382"/>
      <c r="T303" s="451"/>
      <c r="U303" s="382"/>
      <c r="V303" s="451"/>
      <c r="W303" s="382"/>
      <c r="X303" s="451"/>
      <c r="Y303" s="382"/>
      <c r="Z303" s="451"/>
      <c r="AA303" s="382"/>
      <c r="AB303" s="451"/>
      <c r="AC303" s="382"/>
      <c r="AD303" s="451"/>
      <c r="AE303" s="382"/>
      <c r="AF303" s="451"/>
      <c r="AG303" s="382"/>
      <c r="AH303" s="451"/>
      <c r="AI303" s="382"/>
      <c r="AJ303" s="451"/>
      <c r="AK303" s="382"/>
      <c r="AL303" s="451"/>
      <c r="AM303" s="382"/>
      <c r="AN303" s="451"/>
      <c r="AO303" s="382"/>
      <c r="AP303" s="451"/>
      <c r="AQ303" s="382"/>
      <c r="AR303" s="451"/>
      <c r="AS303" s="382"/>
      <c r="AT303" s="451"/>
      <c r="AU303" s="382"/>
      <c r="AV303" s="451"/>
      <c r="AW303" s="382"/>
      <c r="AX303" s="397"/>
      <c r="AY303" s="425"/>
      <c r="AZ303" s="424"/>
      <c r="BA303" s="425"/>
      <c r="BB303" s="424"/>
      <c r="BC303" s="425"/>
      <c r="BD303" s="424"/>
      <c r="BE303" s="425"/>
      <c r="BF303" s="382"/>
      <c r="BG303" s="425"/>
      <c r="BH303" s="382"/>
      <c r="BI303" s="425"/>
      <c r="BJ303" s="382"/>
      <c r="BK303" s="425"/>
      <c r="BL303" s="382"/>
      <c r="BM303" s="425"/>
      <c r="BN303" s="382"/>
      <c r="BO303" s="425"/>
      <c r="BP303" s="382"/>
      <c r="BQ303" s="425"/>
      <c r="BR303" s="382"/>
      <c r="BS303" s="425"/>
      <c r="BT303" s="382"/>
      <c r="BU303" s="425"/>
      <c r="BV303" s="382"/>
      <c r="BW303" s="425"/>
      <c r="BX303" s="382"/>
      <c r="BY303" s="425"/>
      <c r="BZ303" s="382"/>
      <c r="CA303" s="425"/>
      <c r="CB303" s="382"/>
      <c r="CC303" s="425"/>
      <c r="CD303" s="382"/>
      <c r="CE303" s="425"/>
      <c r="CF303" s="382"/>
      <c r="CG303" s="425"/>
      <c r="CH303" s="382"/>
      <c r="CI303" s="425"/>
      <c r="CJ303" s="382"/>
      <c r="CK303" s="425"/>
      <c r="CL303" s="382"/>
      <c r="CM303" s="424"/>
    </row>
    <row r="304" spans="1:91" ht="12" hidden="1" customHeight="1" outlineLevel="1" x14ac:dyDescent="0.2">
      <c r="A304" s="394" t="s">
        <v>412</v>
      </c>
      <c r="B304" s="425"/>
      <c r="C304" s="424"/>
      <c r="D304" s="451"/>
      <c r="E304" s="382"/>
      <c r="F304" s="451"/>
      <c r="G304" s="382"/>
      <c r="H304" s="451"/>
      <c r="I304" s="382"/>
      <c r="J304" s="451"/>
      <c r="K304" s="382"/>
      <c r="L304" s="451"/>
      <c r="M304" s="382"/>
      <c r="N304" s="451"/>
      <c r="O304" s="382"/>
      <c r="P304" s="451"/>
      <c r="Q304" s="382"/>
      <c r="R304" s="451"/>
      <c r="S304" s="382"/>
      <c r="T304" s="451"/>
      <c r="U304" s="382"/>
      <c r="V304" s="451"/>
      <c r="W304" s="382"/>
      <c r="X304" s="451"/>
      <c r="Y304" s="382"/>
      <c r="Z304" s="451"/>
      <c r="AA304" s="382"/>
      <c r="AB304" s="451"/>
      <c r="AC304" s="382"/>
      <c r="AD304" s="451"/>
      <c r="AE304" s="382"/>
      <c r="AF304" s="451"/>
      <c r="AG304" s="382"/>
      <c r="AH304" s="451"/>
      <c r="AI304" s="382"/>
      <c r="AJ304" s="451"/>
      <c r="AK304" s="382"/>
      <c r="AL304" s="451"/>
      <c r="AM304" s="382"/>
      <c r="AN304" s="451"/>
      <c r="AO304" s="382"/>
      <c r="AP304" s="451"/>
      <c r="AQ304" s="382"/>
      <c r="AR304" s="451"/>
      <c r="AS304" s="382"/>
      <c r="AT304" s="451"/>
      <c r="AU304" s="382"/>
      <c r="AV304" s="451"/>
      <c r="AW304" s="382"/>
      <c r="AX304" s="397"/>
      <c r="AY304" s="425"/>
      <c r="AZ304" s="424"/>
      <c r="BA304" s="425"/>
      <c r="BB304" s="424"/>
      <c r="BC304" s="425"/>
      <c r="BD304" s="424"/>
      <c r="BE304" s="425"/>
      <c r="BF304" s="382"/>
      <c r="BG304" s="425"/>
      <c r="BH304" s="382"/>
      <c r="BI304" s="425"/>
      <c r="BJ304" s="382"/>
      <c r="BK304" s="425"/>
      <c r="BL304" s="382"/>
      <c r="BM304" s="425"/>
      <c r="BN304" s="382"/>
      <c r="BO304" s="425"/>
      <c r="BP304" s="382"/>
      <c r="BQ304" s="425"/>
      <c r="BR304" s="382"/>
      <c r="BS304" s="425"/>
      <c r="BT304" s="382"/>
      <c r="BU304" s="425"/>
      <c r="BV304" s="382"/>
      <c r="BW304" s="425"/>
      <c r="BX304" s="382"/>
      <c r="BY304" s="425"/>
      <c r="BZ304" s="382"/>
      <c r="CA304" s="425"/>
      <c r="CB304" s="382"/>
      <c r="CC304" s="425"/>
      <c r="CD304" s="382"/>
      <c r="CE304" s="425"/>
      <c r="CF304" s="382"/>
      <c r="CG304" s="425"/>
      <c r="CH304" s="382"/>
      <c r="CI304" s="425"/>
      <c r="CJ304" s="382"/>
      <c r="CK304" s="425"/>
      <c r="CL304" s="382"/>
      <c r="CM304" s="424"/>
    </row>
    <row r="305" spans="1:91" ht="12" hidden="1" customHeight="1" outlineLevel="1" x14ac:dyDescent="0.2">
      <c r="A305" s="400" t="str">
        <f>INPUT!B369</f>
        <v>Pretax Earnings/Average AUM (%)</v>
      </c>
      <c r="B305" s="401"/>
      <c r="C305" s="399"/>
      <c r="D305" s="401"/>
      <c r="E305" s="396"/>
      <c r="F305" s="401"/>
      <c r="G305" s="396"/>
      <c r="H305" s="401"/>
      <c r="I305" s="396"/>
      <c r="J305" s="401"/>
      <c r="K305" s="396"/>
      <c r="L305" s="401"/>
      <c r="M305" s="396"/>
      <c r="N305" s="401"/>
      <c r="O305" s="396"/>
      <c r="P305" s="401">
        <f>INPUT!Q351</f>
        <v>0.2352048558421849</v>
      </c>
      <c r="Q305" s="396" t="str">
        <f>INPUT!R351</f>
        <v>NA</v>
      </c>
      <c r="R305" s="401">
        <f>INPUT!S351</f>
        <v>0.24346516007532942</v>
      </c>
      <c r="S305" s="396" t="str">
        <f>INPUT!T351</f>
        <v>NA</v>
      </c>
      <c r="T305" s="401">
        <f>INPUT!U351</f>
        <v>0.20373897707231026</v>
      </c>
      <c r="U305" s="396" t="str">
        <f>INPUT!V351</f>
        <v>NA</v>
      </c>
      <c r="V305" s="401">
        <f>INPUT!W351</f>
        <v>0.13627254509018027</v>
      </c>
      <c r="W305" s="396" t="str">
        <f>INPUT!X351</f>
        <v>NA</v>
      </c>
      <c r="X305" s="401">
        <f>INPUT!Y351</f>
        <v>0.17982631930527718</v>
      </c>
      <c r="Y305" s="396">
        <f>INPUT!Z351</f>
        <v>-23.544810050207886</v>
      </c>
      <c r="Z305" s="401">
        <f>INPUT!AA351</f>
        <v>0.16524908869987853</v>
      </c>
      <c r="AA305" s="396">
        <f>INPUT!AB351</f>
        <v>-32.126186494712599</v>
      </c>
      <c r="AB305" s="401">
        <f>INPUT!AC351</f>
        <v>0.13659013190034192</v>
      </c>
      <c r="AC305" s="396">
        <f>INPUT!AD351</f>
        <v>-32.958271478969948</v>
      </c>
      <c r="AD305" s="401">
        <f>INPUT!AE351</f>
        <v>0.13597093257973356</v>
      </c>
      <c r="AE305" s="396">
        <f>INPUT!AF351</f>
        <v>-0.22133035693074987</v>
      </c>
      <c r="AF305" s="401">
        <f>INPUT!AG351</f>
        <v>0.10520023909145255</v>
      </c>
      <c r="AG305" s="396">
        <f>INPUT!AH351</f>
        <v>-41.498975512665481</v>
      </c>
      <c r="AH305" s="401">
        <f>INPUT!AI351</f>
        <v>0.16753839767538389</v>
      </c>
      <c r="AI305" s="396">
        <f>INPUT!AJ351</f>
        <v>1.385368593265369</v>
      </c>
      <c r="AJ305" s="401">
        <f>INPUT!AK351</f>
        <v>0.12860364978470362</v>
      </c>
      <c r="AK305" s="396">
        <f>INPUT!AL351</f>
        <v>-5.8470418064061533</v>
      </c>
      <c r="AL305" s="401">
        <f>INPUT!AM351</f>
        <v>0.11138461538461536</v>
      </c>
      <c r="AM305" s="396">
        <f>INPUT!AN351</f>
        <v>-18.082039101041502</v>
      </c>
      <c r="AN305" s="401">
        <f>INPUT!AO351</f>
        <v>0.11169757489301005</v>
      </c>
      <c r="AO305" s="396">
        <f>INPUT!AP351</f>
        <v>6.176160679548687</v>
      </c>
      <c r="AP305" s="401">
        <f>INPUT!AQ351</f>
        <v>0.12527399749407406</v>
      </c>
      <c r="AQ305" s="396">
        <f>INPUT!AR351</f>
        <v>-25.226694756386379</v>
      </c>
      <c r="AR305" s="401">
        <f>INPUT!AS351</f>
        <v>0.1252739974940742</v>
      </c>
      <c r="AS305" s="396">
        <f>INPUT!AT351</f>
        <v>-2.5890807113201078</v>
      </c>
      <c r="AT305" s="401">
        <f>INPUT!AU351</f>
        <v>0.12527399749407411</v>
      </c>
      <c r="AU305" s="396">
        <f>INPUT!AV351</f>
        <v>12.469749131420159</v>
      </c>
      <c r="AV305" s="401">
        <f>INPUT!AW351</f>
        <v>0.12229681118228709</v>
      </c>
      <c r="AW305" s="396">
        <f>INPUT!AX351</f>
        <v>9.4892268694549244</v>
      </c>
      <c r="AX305" s="398"/>
      <c r="AY305" s="401"/>
      <c r="AZ305" s="399"/>
      <c r="BA305" s="401"/>
      <c r="BB305" s="399"/>
      <c r="BC305" s="401"/>
      <c r="BD305" s="399"/>
      <c r="BE305" s="401"/>
      <c r="BF305" s="396"/>
      <c r="BG305" s="401"/>
      <c r="BH305" s="396"/>
      <c r="BI305" s="401"/>
      <c r="BJ305" s="396"/>
      <c r="BK305" s="401"/>
      <c r="BL305" s="396"/>
      <c r="BM305" s="401"/>
      <c r="BN305" s="396"/>
      <c r="BO305" s="401"/>
      <c r="BP305" s="396"/>
      <c r="BQ305" s="401"/>
      <c r="BR305" s="396"/>
      <c r="BS305" s="401">
        <f>INPUT!BB351</f>
        <v>0</v>
      </c>
      <c r="BT305" s="396" t="str">
        <f>INPUT!BC351</f>
        <v>NA</v>
      </c>
      <c r="BU305" s="401">
        <f>INPUT!BD351</f>
        <v>0</v>
      </c>
      <c r="BV305" s="396" t="str">
        <f>INPUT!BE351</f>
        <v>NA</v>
      </c>
      <c r="BW305" s="401">
        <f>INPUT!BF351</f>
        <v>0.20375516334960564</v>
      </c>
      <c r="BX305" s="396" t="str">
        <f>INPUT!BG351</f>
        <v>NA</v>
      </c>
      <c r="BY305" s="401">
        <f>INPUT!BH351</f>
        <v>0.13277262515121843</v>
      </c>
      <c r="BZ305" s="396">
        <f>INPUT!BI351</f>
        <v>-34.837172728032655</v>
      </c>
      <c r="CA305" s="401">
        <f>INPUT!BJ351</f>
        <v>0.12876164463737011</v>
      </c>
      <c r="CB305" s="396">
        <f>INPUT!BK351</f>
        <v>-3.0209393760800509</v>
      </c>
      <c r="CC305" s="401">
        <f>INPUT!BL351</f>
        <v>0.12451994681902782</v>
      </c>
      <c r="CD305" s="396">
        <f>INPUT!BM351</f>
        <v>-3.2942246352072715</v>
      </c>
      <c r="CE305" s="401">
        <f>INPUT!BN351</f>
        <v>0.12402374910039672</v>
      </c>
      <c r="CF305" s="396">
        <f>INPUT!BO351</f>
        <v>-0.39848854043623305</v>
      </c>
      <c r="CG305" s="401">
        <f>INPUT!BP351</f>
        <v>0.12898771107758308</v>
      </c>
      <c r="CH305" s="396">
        <f>INPUT!BQ351</f>
        <v>4.0024285777460591</v>
      </c>
      <c r="CI305" s="401">
        <f>INPUT!BR351</f>
        <v>0.12403169620305822</v>
      </c>
      <c r="CJ305" s="396">
        <f>INPUT!BS351</f>
        <v>-3.8422380187395788</v>
      </c>
      <c r="CK305" s="401">
        <f>INPUT!BT351</f>
        <v>0.12354545422721042</v>
      </c>
      <c r="CL305" s="396">
        <f>INPUT!BU351</f>
        <v>-0.3920304170086979</v>
      </c>
      <c r="CM305" s="424">
        <f>INPUT!BV351</f>
        <v>-0.82366593899335649</v>
      </c>
    </row>
    <row r="306" spans="1:91" ht="12" hidden="1" customHeight="1" outlineLevel="1" x14ac:dyDescent="0.2">
      <c r="A306" s="453"/>
      <c r="B306" s="425"/>
      <c r="C306" s="424"/>
      <c r="D306" s="425"/>
      <c r="E306" s="382"/>
      <c r="F306" s="425"/>
      <c r="G306" s="382"/>
      <c r="H306" s="425"/>
      <c r="I306" s="382"/>
      <c r="J306" s="425"/>
      <c r="K306" s="382"/>
      <c r="L306" s="425"/>
      <c r="M306" s="382"/>
      <c r="N306" s="425"/>
      <c r="O306" s="382"/>
      <c r="P306" s="425"/>
      <c r="Q306" s="382"/>
      <c r="R306" s="425"/>
      <c r="S306" s="382"/>
      <c r="T306" s="425"/>
      <c r="U306" s="382"/>
      <c r="V306" s="425"/>
      <c r="W306" s="382"/>
      <c r="X306" s="425"/>
      <c r="Y306" s="382"/>
      <c r="Z306" s="425"/>
      <c r="AA306" s="382"/>
      <c r="AB306" s="425"/>
      <c r="AC306" s="382"/>
      <c r="AD306" s="425"/>
      <c r="AE306" s="382"/>
      <c r="AF306" s="425"/>
      <c r="AG306" s="382"/>
      <c r="AH306" s="425"/>
      <c r="AI306" s="382"/>
      <c r="AJ306" s="425"/>
      <c r="AK306" s="382"/>
      <c r="AL306" s="425"/>
      <c r="AM306" s="382"/>
      <c r="AN306" s="425"/>
      <c r="AO306" s="382"/>
      <c r="AP306" s="425"/>
      <c r="AQ306" s="382"/>
      <c r="AR306" s="425"/>
      <c r="AS306" s="382"/>
      <c r="AT306" s="425"/>
      <c r="AU306" s="382"/>
      <c r="AV306" s="425"/>
      <c r="AW306" s="382"/>
      <c r="AX306" s="397"/>
      <c r="AY306" s="425"/>
      <c r="AZ306" s="424"/>
      <c r="BA306" s="425"/>
      <c r="BB306" s="424"/>
      <c r="BC306" s="425"/>
      <c r="BD306" s="424"/>
      <c r="BE306" s="425"/>
      <c r="BF306" s="382"/>
      <c r="BG306" s="425"/>
      <c r="BH306" s="382"/>
      <c r="BI306" s="425"/>
      <c r="BJ306" s="382"/>
      <c r="BK306" s="425"/>
      <c r="BL306" s="382"/>
      <c r="BM306" s="425"/>
      <c r="BN306" s="382"/>
      <c r="BO306" s="425"/>
      <c r="BP306" s="382"/>
      <c r="BQ306" s="425"/>
      <c r="BR306" s="382"/>
      <c r="BS306" s="425"/>
      <c r="BT306" s="382"/>
      <c r="BU306" s="425"/>
      <c r="BV306" s="382"/>
      <c r="BW306" s="425"/>
      <c r="BX306" s="382"/>
      <c r="BY306" s="425"/>
      <c r="BZ306" s="382"/>
      <c r="CA306" s="425"/>
      <c r="CB306" s="382"/>
      <c r="CC306" s="425"/>
      <c r="CD306" s="382"/>
      <c r="CE306" s="425"/>
      <c r="CF306" s="382"/>
      <c r="CG306" s="425"/>
      <c r="CH306" s="382"/>
      <c r="CI306" s="425"/>
      <c r="CJ306" s="382"/>
      <c r="CK306" s="425"/>
      <c r="CL306" s="382"/>
      <c r="CM306" s="424"/>
    </row>
    <row r="307" spans="1:91" ht="19.5" hidden="1" customHeight="1" outlineLevel="1" x14ac:dyDescent="0.25">
      <c r="A307" s="471" t="str">
        <f>+$A$1</f>
        <v>Principal Financial Group</v>
      </c>
      <c r="B307" s="381"/>
      <c r="C307" s="382"/>
      <c r="D307" s="381"/>
      <c r="E307" s="382"/>
      <c r="F307" s="381"/>
      <c r="G307" s="382"/>
      <c r="H307" s="381"/>
      <c r="I307" s="382"/>
      <c r="J307" s="381"/>
      <c r="K307" s="382"/>
      <c r="L307" s="381"/>
      <c r="M307" s="382"/>
      <c r="N307" s="381"/>
      <c r="O307" s="382"/>
      <c r="P307" s="381"/>
      <c r="Q307" s="382"/>
      <c r="R307" s="381"/>
      <c r="S307" s="382"/>
      <c r="T307" s="381"/>
      <c r="U307" s="382"/>
      <c r="V307" s="381"/>
      <c r="W307" s="382"/>
      <c r="X307" s="381"/>
      <c r="Y307" s="382"/>
      <c r="Z307" s="381"/>
      <c r="AA307" s="382"/>
      <c r="AB307" s="381"/>
      <c r="AC307" s="382"/>
      <c r="AD307" s="381"/>
      <c r="AE307" s="382"/>
      <c r="AF307" s="381"/>
      <c r="AG307" s="382"/>
      <c r="AH307" s="381"/>
      <c r="AI307" s="382"/>
      <c r="AJ307" s="381"/>
      <c r="AK307" s="382"/>
      <c r="AL307" s="381"/>
      <c r="AM307" s="382"/>
      <c r="AN307" s="381"/>
      <c r="AO307" s="382"/>
      <c r="AP307" s="381"/>
      <c r="AQ307" s="382"/>
      <c r="AR307" s="381"/>
      <c r="AS307" s="382"/>
      <c r="AT307" s="381"/>
      <c r="AU307" s="382"/>
      <c r="AV307" s="381"/>
      <c r="AW307" s="382"/>
      <c r="AX307" s="382"/>
      <c r="AY307" s="381"/>
      <c r="AZ307" s="382"/>
      <c r="BA307" s="381"/>
      <c r="BB307" s="382"/>
      <c r="BC307" s="381"/>
      <c r="BD307" s="382"/>
      <c r="BE307" s="381"/>
      <c r="BF307" s="382"/>
      <c r="BG307" s="381"/>
      <c r="BH307" s="382"/>
      <c r="BI307" s="381"/>
      <c r="BJ307" s="382"/>
      <c r="BK307" s="381"/>
      <c r="BL307" s="382"/>
      <c r="BM307" s="381"/>
      <c r="BN307" s="382"/>
      <c r="BO307" s="381"/>
      <c r="BP307" s="382"/>
      <c r="BQ307" s="381"/>
      <c r="BR307" s="382"/>
      <c r="BS307" s="381"/>
      <c r="BT307" s="382"/>
      <c r="BU307" s="381"/>
      <c r="BV307" s="382"/>
      <c r="BW307" s="381"/>
      <c r="BX307" s="382"/>
      <c r="BY307" s="381"/>
      <c r="BZ307" s="382"/>
      <c r="CA307" s="381"/>
      <c r="CB307" s="382"/>
      <c r="CC307" s="381"/>
      <c r="CD307" s="382"/>
      <c r="CE307" s="381"/>
      <c r="CF307" s="382"/>
      <c r="CG307" s="381"/>
      <c r="CH307" s="382"/>
      <c r="CI307" s="381"/>
      <c r="CJ307" s="382"/>
      <c r="CK307" s="381"/>
      <c r="CL307" s="382"/>
      <c r="CM307" s="382"/>
    </row>
    <row r="308" spans="1:91" ht="12" hidden="1" customHeight="1" outlineLevel="1" x14ac:dyDescent="0.2">
      <c r="A308" s="383" t="s">
        <v>32</v>
      </c>
      <c r="B308" s="384"/>
      <c r="C308" s="385"/>
      <c r="D308" s="384"/>
      <c r="E308" s="385"/>
      <c r="F308" s="384"/>
      <c r="G308" s="385"/>
      <c r="H308" s="384"/>
      <c r="I308" s="385"/>
      <c r="J308" s="384"/>
      <c r="K308" s="385"/>
      <c r="L308" s="384"/>
      <c r="M308" s="385"/>
      <c r="N308" s="384"/>
      <c r="O308" s="385"/>
      <c r="P308" s="384"/>
      <c r="Q308" s="385"/>
      <c r="R308" s="384"/>
      <c r="S308" s="385"/>
      <c r="T308" s="384"/>
      <c r="U308" s="385"/>
      <c r="V308" s="384"/>
      <c r="W308" s="385"/>
      <c r="X308" s="384"/>
      <c r="Y308" s="385"/>
      <c r="Z308" s="384"/>
      <c r="AA308" s="385"/>
      <c r="AB308" s="384"/>
      <c r="AC308" s="385"/>
      <c r="AD308" s="384"/>
      <c r="AE308" s="385"/>
      <c r="AF308" s="384"/>
      <c r="AG308" s="385"/>
      <c r="AH308" s="384"/>
      <c r="AI308" s="385"/>
      <c r="AJ308" s="384"/>
      <c r="AK308" s="385"/>
      <c r="AL308" s="384"/>
      <c r="AM308" s="385"/>
      <c r="AN308" s="384"/>
      <c r="AO308" s="385"/>
      <c r="AP308" s="384"/>
      <c r="AQ308" s="385"/>
      <c r="AR308" s="384"/>
      <c r="AS308" s="385"/>
      <c r="AT308" s="384"/>
      <c r="AU308" s="385"/>
      <c r="AV308" s="384"/>
      <c r="AW308" s="385"/>
      <c r="AX308" s="385"/>
      <c r="AY308" s="384"/>
      <c r="AZ308" s="385"/>
      <c r="BA308" s="384"/>
      <c r="BB308" s="385"/>
      <c r="BC308" s="384"/>
      <c r="BD308" s="385"/>
      <c r="BE308" s="384"/>
      <c r="BF308" s="385"/>
      <c r="BG308" s="384"/>
      <c r="BH308" s="385"/>
      <c r="BI308" s="384"/>
      <c r="BJ308" s="385"/>
      <c r="BK308" s="384"/>
      <c r="BL308" s="385"/>
      <c r="BM308" s="384"/>
      <c r="BN308" s="385"/>
      <c r="BO308" s="384"/>
      <c r="BP308" s="385"/>
      <c r="BQ308" s="384"/>
      <c r="BR308" s="385"/>
      <c r="BS308" s="384"/>
      <c r="BT308" s="385"/>
      <c r="BU308" s="384"/>
      <c r="BV308" s="385"/>
      <c r="BW308" s="384"/>
      <c r="BX308" s="385"/>
      <c r="BY308" s="384"/>
      <c r="BZ308" s="385"/>
      <c r="CA308" s="384"/>
      <c r="CB308" s="385"/>
      <c r="CC308" s="384"/>
      <c r="CD308" s="385"/>
      <c r="CE308" s="384"/>
      <c r="CF308" s="385"/>
      <c r="CG308" s="384"/>
      <c r="CH308" s="385"/>
      <c r="CI308" s="384"/>
      <c r="CJ308" s="385"/>
      <c r="CK308" s="384"/>
      <c r="CL308" s="385"/>
      <c r="CM308" s="385"/>
    </row>
    <row r="309" spans="1:91" s="374" customFormat="1" ht="12" hidden="1" customHeight="1" outlineLevel="1" x14ac:dyDescent="0.2">
      <c r="A309" s="378" t="s">
        <v>243</v>
      </c>
      <c r="B309" s="427"/>
      <c r="C309" s="428" t="str">
        <f>INPUT!D$4</f>
        <v>1Q13/</v>
      </c>
      <c r="D309" s="427"/>
      <c r="E309" s="428" t="str">
        <f>INPUT!F$4</f>
        <v>2Q13/</v>
      </c>
      <c r="F309" s="427"/>
      <c r="G309" s="428" t="str">
        <f>INPUT!H$4</f>
        <v>3Q13/</v>
      </c>
      <c r="H309" s="427"/>
      <c r="I309" s="428" t="str">
        <f>INPUT!J$4</f>
        <v>4Q13/</v>
      </c>
      <c r="J309" s="427"/>
      <c r="K309" s="428" t="str">
        <f>INPUT!L$4</f>
        <v>1Q14/</v>
      </c>
      <c r="L309" s="427"/>
      <c r="M309" s="428" t="str">
        <f>INPUT!N$4</f>
        <v>2Q14/</v>
      </c>
      <c r="N309" s="427"/>
      <c r="O309" s="428" t="str">
        <f>INPUT!P$4</f>
        <v>3Q14/</v>
      </c>
      <c r="P309" s="427"/>
      <c r="Q309" s="428" t="str">
        <f>INPUT!R$4</f>
        <v>4Q14/</v>
      </c>
      <c r="R309" s="427"/>
      <c r="S309" s="428" t="str">
        <f>INPUT!T$4</f>
        <v>1Q15/</v>
      </c>
      <c r="T309" s="427"/>
      <c r="U309" s="428" t="str">
        <f>INPUT!V$4</f>
        <v>2Q15/</v>
      </c>
      <c r="V309" s="427"/>
      <c r="W309" s="428" t="str">
        <f>INPUT!X$4</f>
        <v>3Q15/</v>
      </c>
      <c r="X309" s="427"/>
      <c r="Y309" s="428" t="str">
        <f>INPUT!Z$4</f>
        <v>4Q15/</v>
      </c>
      <c r="Z309" s="427"/>
      <c r="AA309" s="428" t="str">
        <f>INPUT!AB$4</f>
        <v>1Q16/</v>
      </c>
      <c r="AB309" s="427"/>
      <c r="AC309" s="428" t="str">
        <f>INPUT!AD$4</f>
        <v>2Q16/</v>
      </c>
      <c r="AD309" s="427"/>
      <c r="AE309" s="428" t="str">
        <f>INPUT!AF$4</f>
        <v>3Q16/</v>
      </c>
      <c r="AF309" s="427"/>
      <c r="AG309" s="428" t="str">
        <f>INPUT!AH$4</f>
        <v>4Q16/</v>
      </c>
      <c r="AH309" s="427"/>
      <c r="AI309" s="428" t="str">
        <f>INPUT!AJ$4</f>
        <v>1Q17/</v>
      </c>
      <c r="AJ309" s="427"/>
      <c r="AK309" s="428" t="str">
        <f>INPUT!AL$4</f>
        <v>2Q17/</v>
      </c>
      <c r="AL309" s="427"/>
      <c r="AM309" s="428" t="str">
        <f>INPUT!AN$4</f>
        <v>3Q17/</v>
      </c>
      <c r="AN309" s="427"/>
      <c r="AO309" s="428" t="str">
        <f>INPUT!AP$4</f>
        <v>4Q17/</v>
      </c>
      <c r="AP309" s="427"/>
      <c r="AQ309" s="428" t="str">
        <f>INPUT!AR$4</f>
        <v>1Q18E/</v>
      </c>
      <c r="AR309" s="427"/>
      <c r="AS309" s="428" t="str">
        <f>INPUT!AT$4</f>
        <v>2Q18E/</v>
      </c>
      <c r="AT309" s="427"/>
      <c r="AU309" s="428" t="str">
        <f>INPUT!AV$4</f>
        <v>3Q18E/</v>
      </c>
      <c r="AV309" s="427"/>
      <c r="AW309" s="428" t="str">
        <f>INPUT!AX$4</f>
        <v>4Q18E/</v>
      </c>
      <c r="AX309" s="427"/>
      <c r="AY309" s="427"/>
      <c r="AZ309" s="428"/>
      <c r="BA309" s="427"/>
      <c r="BB309" s="428"/>
      <c r="BC309" s="427"/>
      <c r="BD309" s="428"/>
      <c r="BE309" s="427"/>
      <c r="BF309" s="428"/>
      <c r="BG309" s="427"/>
      <c r="BH309" s="428"/>
      <c r="BI309" s="427"/>
      <c r="BJ309" s="428"/>
      <c r="BK309" s="427"/>
      <c r="BL309" s="428"/>
      <c r="BM309" s="427"/>
      <c r="BN309" s="428"/>
      <c r="BO309" s="427"/>
      <c r="BP309" s="428"/>
      <c r="BQ309" s="427"/>
      <c r="BR309" s="428"/>
      <c r="BS309" s="427"/>
      <c r="BT309" s="428" t="str">
        <f>INPUT!BC$4</f>
        <v>2013/</v>
      </c>
      <c r="BU309" s="427"/>
      <c r="BV309" s="428" t="str">
        <f>INPUT!BE$4</f>
        <v>2014/</v>
      </c>
      <c r="BW309" s="427"/>
      <c r="BX309" s="428" t="str">
        <f>INPUT!BG$4</f>
        <v>2015/</v>
      </c>
      <c r="BY309" s="427"/>
      <c r="BZ309" s="428" t="str">
        <f>INPUT!BI$4</f>
        <v>2016/</v>
      </c>
      <c r="CA309" s="427"/>
      <c r="CB309" s="428" t="str">
        <f>INPUT!BK$4</f>
        <v>2017/</v>
      </c>
      <c r="CC309" s="427"/>
      <c r="CD309" s="428" t="str">
        <f>INPUT!BM$4</f>
        <v>2018E/</v>
      </c>
      <c r="CE309" s="427"/>
      <c r="CF309" s="428" t="str">
        <f>INPUT!BO$4</f>
        <v>2019E/</v>
      </c>
      <c r="CG309" s="427"/>
      <c r="CH309" s="428" t="str">
        <f>INPUT!BQ$4</f>
        <v>2020E/</v>
      </c>
      <c r="CI309" s="427"/>
      <c r="CJ309" s="428" t="str">
        <f>INPUT!BS$4</f>
        <v>2021E/</v>
      </c>
      <c r="CK309" s="427"/>
      <c r="CL309" s="428" t="str">
        <f>INPUT!BU$4</f>
        <v>2022E/</v>
      </c>
      <c r="CM309" s="428" t="str">
        <f>INPUT!BV$4</f>
        <v>5-Yr</v>
      </c>
    </row>
    <row r="310" spans="1:91" s="374" customFormat="1" ht="12" hidden="1" customHeight="1" outlineLevel="1" x14ac:dyDescent="0.2">
      <c r="A310" s="387"/>
      <c r="B310" s="386"/>
      <c r="C310" s="385">
        <f>INPUT!D$5</f>
        <v>0</v>
      </c>
      <c r="D310" s="386"/>
      <c r="E310" s="385">
        <f>INPUT!F$5</f>
        <v>0</v>
      </c>
      <c r="F310" s="386"/>
      <c r="G310" s="385">
        <f>INPUT!H$5</f>
        <v>0</v>
      </c>
      <c r="H310" s="386"/>
      <c r="I310" s="385">
        <f>INPUT!J$5</f>
        <v>0</v>
      </c>
      <c r="J310" s="386"/>
      <c r="K310" s="385" t="str">
        <f>INPUT!L$5</f>
        <v>1Q13</v>
      </c>
      <c r="L310" s="386"/>
      <c r="M310" s="385" t="str">
        <f>INPUT!N$5</f>
        <v>2Q13</v>
      </c>
      <c r="N310" s="386"/>
      <c r="O310" s="385" t="str">
        <f>INPUT!P$5</f>
        <v>3Q13</v>
      </c>
      <c r="P310" s="386"/>
      <c r="Q310" s="385" t="str">
        <f>INPUT!R$5</f>
        <v>4Q13</v>
      </c>
      <c r="R310" s="386"/>
      <c r="S310" s="385" t="str">
        <f>INPUT!T$5</f>
        <v>1Q14</v>
      </c>
      <c r="T310" s="386"/>
      <c r="U310" s="385" t="str">
        <f>INPUT!V$5</f>
        <v>2Q14</v>
      </c>
      <c r="V310" s="386"/>
      <c r="W310" s="385" t="str">
        <f>INPUT!X$5</f>
        <v>3Q14</v>
      </c>
      <c r="X310" s="386"/>
      <c r="Y310" s="385" t="str">
        <f>INPUT!Z$5</f>
        <v>4Q14</v>
      </c>
      <c r="Z310" s="386"/>
      <c r="AA310" s="385" t="str">
        <f>INPUT!AB$5</f>
        <v>1Q15</v>
      </c>
      <c r="AB310" s="386"/>
      <c r="AC310" s="385" t="str">
        <f>INPUT!AD$5</f>
        <v>2Q15</v>
      </c>
      <c r="AD310" s="386"/>
      <c r="AE310" s="385" t="str">
        <f>INPUT!AF$5</f>
        <v>3Q15</v>
      </c>
      <c r="AF310" s="386"/>
      <c r="AG310" s="385" t="str">
        <f>INPUT!AH$5</f>
        <v>4Q15</v>
      </c>
      <c r="AH310" s="386"/>
      <c r="AI310" s="385" t="str">
        <f>INPUT!AJ$5</f>
        <v>1Q16</v>
      </c>
      <c r="AJ310" s="386"/>
      <c r="AK310" s="385" t="str">
        <f>INPUT!AL$5</f>
        <v>2Q16</v>
      </c>
      <c r="AL310" s="386"/>
      <c r="AM310" s="385" t="str">
        <f>INPUT!AN$5</f>
        <v>3Q16</v>
      </c>
      <c r="AN310" s="386"/>
      <c r="AO310" s="385" t="str">
        <f>INPUT!AP$5</f>
        <v>4Q16</v>
      </c>
      <c r="AP310" s="386"/>
      <c r="AQ310" s="385" t="str">
        <f>INPUT!AR$5</f>
        <v>1Q17</v>
      </c>
      <c r="AR310" s="386"/>
      <c r="AS310" s="385" t="str">
        <f>INPUT!AT$5</f>
        <v>2Q17</v>
      </c>
      <c r="AT310" s="386"/>
      <c r="AU310" s="385" t="str">
        <f>INPUT!AV$5</f>
        <v>3Q17</v>
      </c>
      <c r="AV310" s="386"/>
      <c r="AW310" s="385" t="str">
        <f>INPUT!AX$5</f>
        <v>4Q17</v>
      </c>
      <c r="AX310" s="386"/>
      <c r="AY310" s="386"/>
      <c r="AZ310" s="385"/>
      <c r="BA310" s="388"/>
      <c r="BB310" s="385"/>
      <c r="BC310" s="386"/>
      <c r="BD310" s="385"/>
      <c r="BE310" s="386"/>
      <c r="BF310" s="385"/>
      <c r="BG310" s="386"/>
      <c r="BH310" s="385"/>
      <c r="BI310" s="386"/>
      <c r="BJ310" s="385"/>
      <c r="BK310" s="386"/>
      <c r="BL310" s="385"/>
      <c r="BM310" s="386"/>
      <c r="BN310" s="385"/>
      <c r="BO310" s="386"/>
      <c r="BP310" s="385"/>
      <c r="BQ310" s="386"/>
      <c r="BR310" s="385"/>
      <c r="BS310" s="386"/>
      <c r="BT310" s="385">
        <f>INPUT!BC$5</f>
        <v>0</v>
      </c>
      <c r="BU310" s="386"/>
      <c r="BV310" s="385" t="str">
        <f>INPUT!BE$5</f>
        <v>2013</v>
      </c>
      <c r="BW310" s="386"/>
      <c r="BX310" s="385" t="str">
        <f>INPUT!BG$5</f>
        <v>2014</v>
      </c>
      <c r="BY310" s="386"/>
      <c r="BZ310" s="385" t="str">
        <f>INPUT!BI$5</f>
        <v>2015</v>
      </c>
      <c r="CA310" s="386"/>
      <c r="CB310" s="385" t="str">
        <f>INPUT!BK$5</f>
        <v>2016</v>
      </c>
      <c r="CC310" s="386"/>
      <c r="CD310" s="385" t="str">
        <f>INPUT!BM$5</f>
        <v>2017</v>
      </c>
      <c r="CE310" s="386"/>
      <c r="CF310" s="385" t="str">
        <f>INPUT!BO$5</f>
        <v>2018E</v>
      </c>
      <c r="CG310" s="386"/>
      <c r="CH310" s="385" t="str">
        <f>INPUT!BQ$5</f>
        <v>2019E</v>
      </c>
      <c r="CI310" s="386"/>
      <c r="CJ310" s="385" t="str">
        <f>INPUT!BS$5</f>
        <v>2020E</v>
      </c>
      <c r="CK310" s="386"/>
      <c r="CL310" s="385" t="str">
        <f>INPUT!BU$5</f>
        <v>2021E</v>
      </c>
      <c r="CM310" s="385" t="str">
        <f>INPUT!BV$5</f>
        <v>CAGR</v>
      </c>
    </row>
    <row r="311" spans="1:91" s="374" customFormat="1" ht="12" hidden="1" customHeight="1" outlineLevel="1" x14ac:dyDescent="0.2">
      <c r="A311" s="389"/>
      <c r="B311" s="390" t="str">
        <f>INPUT!C$6</f>
        <v>1Q13</v>
      </c>
      <c r="C311" s="391" t="str">
        <f>INPUT!D$6</f>
        <v>% Chg</v>
      </c>
      <c r="D311" s="390" t="str">
        <f>INPUT!E$6</f>
        <v>2Q13</v>
      </c>
      <c r="E311" s="391" t="str">
        <f>INPUT!F$6</f>
        <v>% Chg</v>
      </c>
      <c r="F311" s="390" t="str">
        <f>INPUT!G$6</f>
        <v>3Q13</v>
      </c>
      <c r="G311" s="391" t="str">
        <f>INPUT!H$6</f>
        <v>% Chg</v>
      </c>
      <c r="H311" s="390" t="str">
        <f>INPUT!I$6</f>
        <v>4Q13</v>
      </c>
      <c r="I311" s="391" t="str">
        <f>INPUT!J$6</f>
        <v>% Chg</v>
      </c>
      <c r="J311" s="390" t="str">
        <f>INPUT!K$6</f>
        <v>1Q14</v>
      </c>
      <c r="K311" s="391" t="str">
        <f>INPUT!L$6</f>
        <v>% Chg</v>
      </c>
      <c r="L311" s="390" t="str">
        <f>INPUT!M$6</f>
        <v>2Q14</v>
      </c>
      <c r="M311" s="391" t="str">
        <f>INPUT!N$6</f>
        <v>% Chg</v>
      </c>
      <c r="N311" s="390" t="str">
        <f>INPUT!O$6</f>
        <v>3Q14</v>
      </c>
      <c r="O311" s="391" t="str">
        <f>INPUT!P$6</f>
        <v>% Chg</v>
      </c>
      <c r="P311" s="390" t="str">
        <f>INPUT!Q$6</f>
        <v>4Q14</v>
      </c>
      <c r="Q311" s="391" t="str">
        <f>INPUT!R$6</f>
        <v>% Chg</v>
      </c>
      <c r="R311" s="390" t="str">
        <f>INPUT!S$6</f>
        <v>1Q15</v>
      </c>
      <c r="S311" s="391" t="str">
        <f>INPUT!T$6</f>
        <v>% Chg</v>
      </c>
      <c r="T311" s="390" t="str">
        <f>INPUT!U$6</f>
        <v>2Q15</v>
      </c>
      <c r="U311" s="391" t="str">
        <f>INPUT!V$6</f>
        <v>% Chg</v>
      </c>
      <c r="V311" s="390" t="str">
        <f>INPUT!W$6</f>
        <v>3Q15</v>
      </c>
      <c r="W311" s="391" t="str">
        <f>INPUT!X$6</f>
        <v>% Chg</v>
      </c>
      <c r="X311" s="390" t="str">
        <f>INPUT!Y$6</f>
        <v>4Q15</v>
      </c>
      <c r="Y311" s="391" t="str">
        <f>INPUT!Z$6</f>
        <v>% Chg</v>
      </c>
      <c r="Z311" s="390" t="str">
        <f>INPUT!AA$6</f>
        <v>1Q16</v>
      </c>
      <c r="AA311" s="391" t="str">
        <f>INPUT!AB$6</f>
        <v>% Chg</v>
      </c>
      <c r="AB311" s="390" t="str">
        <f>INPUT!AC$6</f>
        <v>2Q16</v>
      </c>
      <c r="AC311" s="391" t="str">
        <f>INPUT!AD$6</f>
        <v>% Chg</v>
      </c>
      <c r="AD311" s="390" t="str">
        <f>INPUT!AE$6</f>
        <v>3Q16</v>
      </c>
      <c r="AE311" s="391" t="str">
        <f>INPUT!AF$6</f>
        <v>% Chg</v>
      </c>
      <c r="AF311" s="390" t="str">
        <f>INPUT!AG$6</f>
        <v>4Q16</v>
      </c>
      <c r="AG311" s="391" t="str">
        <f>INPUT!AH$6</f>
        <v>% Chg</v>
      </c>
      <c r="AH311" s="390" t="str">
        <f>INPUT!AI$6</f>
        <v>1Q17</v>
      </c>
      <c r="AI311" s="391" t="str">
        <f>INPUT!AJ$6</f>
        <v>% Chg</v>
      </c>
      <c r="AJ311" s="390" t="str">
        <f>INPUT!AK$6</f>
        <v>2Q17</v>
      </c>
      <c r="AK311" s="391" t="str">
        <f>INPUT!AL$6</f>
        <v>% Chg</v>
      </c>
      <c r="AL311" s="390" t="str">
        <f>INPUT!AM$6</f>
        <v>3Q17</v>
      </c>
      <c r="AM311" s="391" t="str">
        <f>INPUT!AN$6</f>
        <v>% Chg</v>
      </c>
      <c r="AN311" s="390" t="str">
        <f>INPUT!AO$6</f>
        <v>4Q17</v>
      </c>
      <c r="AO311" s="391" t="str">
        <f>INPUT!AP$6</f>
        <v>% Chg</v>
      </c>
      <c r="AP311" s="390" t="str">
        <f>INPUT!AQ$6</f>
        <v>1Q18E</v>
      </c>
      <c r="AQ311" s="391" t="str">
        <f>INPUT!AR$6</f>
        <v>% Chg</v>
      </c>
      <c r="AR311" s="390" t="str">
        <f>INPUT!AS$6</f>
        <v>2Q18E</v>
      </c>
      <c r="AS311" s="391" t="str">
        <f>INPUT!AT$6</f>
        <v>% Chg</v>
      </c>
      <c r="AT311" s="390" t="str">
        <f>INPUT!AU$6</f>
        <v>3Q18E</v>
      </c>
      <c r="AU311" s="391" t="str">
        <f>INPUT!AV$6</f>
        <v>% Chg</v>
      </c>
      <c r="AV311" s="390" t="str">
        <f>INPUT!AW$6</f>
        <v>4Q18E</v>
      </c>
      <c r="AW311" s="391" t="str">
        <f>INPUT!AX$6</f>
        <v>% Chg</v>
      </c>
      <c r="AX311" s="390"/>
      <c r="AY311" s="392"/>
      <c r="AZ311" s="391"/>
      <c r="BA311" s="392"/>
      <c r="BB311" s="391"/>
      <c r="BC311" s="392"/>
      <c r="BD311" s="391"/>
      <c r="BE311" s="393"/>
      <c r="BF311" s="391"/>
      <c r="BG311" s="393"/>
      <c r="BH311" s="391"/>
      <c r="BI311" s="393"/>
      <c r="BJ311" s="391"/>
      <c r="BK311" s="393"/>
      <c r="BL311" s="391"/>
      <c r="BM311" s="390"/>
      <c r="BN311" s="391"/>
      <c r="BO311" s="390"/>
      <c r="BP311" s="391"/>
      <c r="BQ311" s="390"/>
      <c r="BR311" s="391"/>
      <c r="BS311" s="390" t="str">
        <f>INPUT!BB$6</f>
        <v>2013</v>
      </c>
      <c r="BT311" s="391" t="str">
        <f>INPUT!BC$6</f>
        <v>% Chg</v>
      </c>
      <c r="BU311" s="390" t="str">
        <f>INPUT!BD$6</f>
        <v>2014</v>
      </c>
      <c r="BV311" s="391" t="str">
        <f>INPUT!BE$6</f>
        <v>% Chg</v>
      </c>
      <c r="BW311" s="390" t="str">
        <f>INPUT!BF$6</f>
        <v>2015</v>
      </c>
      <c r="BX311" s="391" t="str">
        <f>INPUT!BG$6</f>
        <v>% Chg</v>
      </c>
      <c r="BY311" s="390" t="str">
        <f>INPUT!BH$6</f>
        <v>2016</v>
      </c>
      <c r="BZ311" s="391" t="str">
        <f>INPUT!BI$6</f>
        <v>% Chg</v>
      </c>
      <c r="CA311" s="390" t="str">
        <f>INPUT!BJ$6</f>
        <v>2017</v>
      </c>
      <c r="CB311" s="391" t="str">
        <f>INPUT!BK$6</f>
        <v>% Chg</v>
      </c>
      <c r="CC311" s="390" t="str">
        <f>INPUT!BL$6</f>
        <v>2018E</v>
      </c>
      <c r="CD311" s="391" t="str">
        <f>INPUT!BM$6</f>
        <v>% Chg</v>
      </c>
      <c r="CE311" s="390" t="str">
        <f>INPUT!BN$6</f>
        <v>2019E</v>
      </c>
      <c r="CF311" s="391" t="str">
        <f>INPUT!BO$6</f>
        <v>% Chg</v>
      </c>
      <c r="CG311" s="390" t="str">
        <f>INPUT!BP$6</f>
        <v>2020E</v>
      </c>
      <c r="CH311" s="391" t="str">
        <f>INPUT!BQ$6</f>
        <v>% Chg</v>
      </c>
      <c r="CI311" s="390" t="str">
        <f>INPUT!BR$6</f>
        <v>2021E</v>
      </c>
      <c r="CJ311" s="391" t="str">
        <f>INPUT!BS$6</f>
        <v>% Chg</v>
      </c>
      <c r="CK311" s="390" t="str">
        <f>INPUT!BT$6</f>
        <v>2022E</v>
      </c>
      <c r="CL311" s="391" t="str">
        <f>INPUT!BU$6</f>
        <v>% Chg</v>
      </c>
      <c r="CM311" s="391" t="str">
        <f>INPUT!BV$6</f>
        <v>(%)</v>
      </c>
    </row>
    <row r="312" spans="1:91" ht="12" hidden="1" customHeight="1" outlineLevel="1" x14ac:dyDescent="0.2">
      <c r="A312" s="394"/>
      <c r="B312" s="395"/>
      <c r="C312" s="422"/>
      <c r="D312" s="395"/>
      <c r="E312" s="396"/>
      <c r="F312" s="395"/>
      <c r="G312" s="396"/>
      <c r="H312" s="395"/>
      <c r="I312" s="396"/>
      <c r="J312" s="395"/>
      <c r="K312" s="396"/>
      <c r="L312" s="395"/>
      <c r="M312" s="396"/>
      <c r="N312" s="395"/>
      <c r="O312" s="396"/>
      <c r="P312" s="395"/>
      <c r="Q312" s="396"/>
      <c r="R312" s="395"/>
      <c r="S312" s="396"/>
      <c r="T312" s="395"/>
      <c r="U312" s="396"/>
      <c r="V312" s="395"/>
      <c r="W312" s="396"/>
      <c r="X312" s="395"/>
      <c r="Y312" s="396"/>
      <c r="Z312" s="395"/>
      <c r="AA312" s="396"/>
      <c r="AB312" s="395"/>
      <c r="AC312" s="396"/>
      <c r="AD312" s="395"/>
      <c r="AE312" s="396"/>
      <c r="AF312" s="395"/>
      <c r="AG312" s="396"/>
      <c r="AH312" s="395"/>
      <c r="AI312" s="396"/>
      <c r="AJ312" s="395"/>
      <c r="AK312" s="396"/>
      <c r="AL312" s="395"/>
      <c r="AM312" s="396"/>
      <c r="AN312" s="395"/>
      <c r="AO312" s="396"/>
      <c r="AP312" s="395"/>
      <c r="AQ312" s="396"/>
      <c r="AR312" s="395"/>
      <c r="AS312" s="396"/>
      <c r="AT312" s="395"/>
      <c r="AU312" s="396"/>
      <c r="AV312" s="395"/>
      <c r="AW312" s="396"/>
      <c r="AX312" s="395"/>
      <c r="AY312" s="395"/>
      <c r="AZ312" s="422"/>
      <c r="BA312" s="395"/>
      <c r="BB312" s="422"/>
      <c r="BC312" s="395"/>
      <c r="BD312" s="422"/>
      <c r="BE312" s="395"/>
      <c r="BF312" s="396"/>
      <c r="BG312" s="395"/>
      <c r="BH312" s="396"/>
      <c r="BI312" s="395"/>
      <c r="BJ312" s="396"/>
      <c r="BK312" s="395"/>
      <c r="BL312" s="396"/>
      <c r="BM312" s="395"/>
      <c r="BN312" s="396"/>
      <c r="BO312" s="395"/>
      <c r="BP312" s="396"/>
      <c r="BQ312" s="395"/>
      <c r="BR312" s="396"/>
      <c r="BS312" s="395"/>
      <c r="BT312" s="396"/>
      <c r="BU312" s="395"/>
      <c r="BV312" s="396"/>
      <c r="BW312" s="395"/>
      <c r="BX312" s="396"/>
      <c r="BY312" s="395"/>
      <c r="BZ312" s="396"/>
      <c r="CA312" s="395"/>
      <c r="CB312" s="396"/>
      <c r="CC312" s="395"/>
      <c r="CD312" s="396"/>
      <c r="CE312" s="395"/>
      <c r="CF312" s="396"/>
      <c r="CG312" s="395"/>
      <c r="CH312" s="396"/>
      <c r="CI312" s="395"/>
      <c r="CJ312" s="396"/>
      <c r="CK312" s="395"/>
      <c r="CL312" s="396"/>
      <c r="CM312" s="422"/>
    </row>
    <row r="313" spans="1:91" ht="12" hidden="1" customHeight="1" outlineLevel="1" x14ac:dyDescent="0.2">
      <c r="A313" s="394" t="s">
        <v>156</v>
      </c>
      <c r="B313" s="425"/>
      <c r="C313" s="424"/>
      <c r="D313" s="425"/>
      <c r="E313" s="382"/>
      <c r="F313" s="425"/>
      <c r="G313" s="382"/>
      <c r="H313" s="425"/>
      <c r="I313" s="382"/>
      <c r="J313" s="425"/>
      <c r="K313" s="382"/>
      <c r="L313" s="425"/>
      <c r="M313" s="382"/>
      <c r="N313" s="425"/>
      <c r="O313" s="382"/>
      <c r="P313" s="425"/>
      <c r="Q313" s="382"/>
      <c r="R313" s="425"/>
      <c r="S313" s="382"/>
      <c r="T313" s="425"/>
      <c r="U313" s="382"/>
      <c r="V313" s="425"/>
      <c r="W313" s="382"/>
      <c r="X313" s="425"/>
      <c r="Y313" s="382"/>
      <c r="Z313" s="425"/>
      <c r="AA313" s="382"/>
      <c r="AB313" s="425"/>
      <c r="AC313" s="382"/>
      <c r="AD313" s="425"/>
      <c r="AE313" s="382"/>
      <c r="AF313" s="425"/>
      <c r="AG313" s="382"/>
      <c r="AH313" s="425"/>
      <c r="AI313" s="382"/>
      <c r="AJ313" s="425"/>
      <c r="AK313" s="382"/>
      <c r="AL313" s="425"/>
      <c r="AM313" s="382"/>
      <c r="AN313" s="425"/>
      <c r="AO313" s="382"/>
      <c r="AP313" s="425"/>
      <c r="AQ313" s="382"/>
      <c r="AR313" s="425"/>
      <c r="AS313" s="382"/>
      <c r="AT313" s="425"/>
      <c r="AU313" s="382"/>
      <c r="AV313" s="425"/>
      <c r="AW313" s="382"/>
      <c r="AX313" s="397"/>
      <c r="AY313" s="425"/>
      <c r="AZ313" s="424"/>
      <c r="BA313" s="425"/>
      <c r="BB313" s="424"/>
      <c r="BC313" s="425"/>
      <c r="BD313" s="424"/>
      <c r="BE313" s="425"/>
      <c r="BF313" s="382"/>
      <c r="BG313" s="425"/>
      <c r="BH313" s="382"/>
      <c r="BI313" s="425"/>
      <c r="BJ313" s="382"/>
      <c r="BK313" s="425"/>
      <c r="BL313" s="382"/>
      <c r="BM313" s="425"/>
      <c r="BN313" s="382"/>
      <c r="BO313" s="425"/>
      <c r="BP313" s="382"/>
      <c r="BQ313" s="425"/>
      <c r="BR313" s="382"/>
      <c r="BS313" s="425"/>
      <c r="BT313" s="382"/>
      <c r="BU313" s="425"/>
      <c r="BV313" s="382"/>
      <c r="BW313" s="425"/>
      <c r="BX313" s="382"/>
      <c r="BY313" s="425"/>
      <c r="BZ313" s="382"/>
      <c r="CA313" s="425"/>
      <c r="CB313" s="382"/>
      <c r="CC313" s="425"/>
      <c r="CD313" s="382"/>
      <c r="CE313" s="425"/>
      <c r="CF313" s="382"/>
      <c r="CG313" s="425"/>
      <c r="CH313" s="382"/>
      <c r="CI313" s="425"/>
      <c r="CJ313" s="382"/>
      <c r="CK313" s="425"/>
      <c r="CL313" s="382"/>
      <c r="CM313" s="424"/>
    </row>
    <row r="314" spans="1:91" ht="12" hidden="1" customHeight="1" outlineLevel="1" x14ac:dyDescent="0.2">
      <c r="A314" s="400" t="str">
        <f>INPUT!B204</f>
        <v>AUM, beginning of period ($ in millions)</v>
      </c>
      <c r="B314" s="425"/>
      <c r="C314" s="424"/>
      <c r="D314" s="436"/>
      <c r="E314" s="382"/>
      <c r="F314" s="436"/>
      <c r="G314" s="382"/>
      <c r="H314" s="436"/>
      <c r="I314" s="382"/>
      <c r="J314" s="436"/>
      <c r="K314" s="382"/>
      <c r="L314" s="436"/>
      <c r="M314" s="382"/>
      <c r="N314" s="436">
        <f>+INPUT!O292</f>
        <v>118800</v>
      </c>
      <c r="O314" s="382" t="str">
        <f>+INPUT!P292</f>
        <v>NA</v>
      </c>
      <c r="P314" s="436">
        <f>+INPUT!Q292</f>
        <v>116100</v>
      </c>
      <c r="Q314" s="382" t="str">
        <f>+INPUT!R292</f>
        <v>NA</v>
      </c>
      <c r="R314" s="436">
        <f>+INPUT!S292</f>
        <v>114600</v>
      </c>
      <c r="S314" s="382" t="str">
        <f>+INPUT!T292</f>
        <v>NA</v>
      </c>
      <c r="T314" s="436">
        <f>+INPUT!U292</f>
        <v>110900</v>
      </c>
      <c r="U314" s="382" t="str">
        <f>+INPUT!V292</f>
        <v>NA</v>
      </c>
      <c r="V314" s="436">
        <f>+INPUT!W292</f>
        <v>117500</v>
      </c>
      <c r="W314" s="382">
        <f>+INPUT!X292</f>
        <v>-1.094276094276097</v>
      </c>
      <c r="X314" s="436">
        <f>+INPUT!Y292</f>
        <v>106200</v>
      </c>
      <c r="Y314" s="382">
        <f>+INPUT!Z292</f>
        <v>-8.5271317829457445</v>
      </c>
      <c r="Z314" s="436">
        <f>+INPUT!AA292</f>
        <v>109900</v>
      </c>
      <c r="AA314" s="382">
        <f>+INPUT!AB292</f>
        <v>-4.1012216404886601</v>
      </c>
      <c r="AB314" s="436">
        <f>+INPUT!AC292</f>
        <v>121000</v>
      </c>
      <c r="AC314" s="382">
        <f>+INPUT!AD292</f>
        <v>9.1073038773670021</v>
      </c>
      <c r="AD314" s="436">
        <f>+INPUT!AE292</f>
        <v>130900</v>
      </c>
      <c r="AE314" s="382">
        <f>+INPUT!AF292</f>
        <v>11.40425531914893</v>
      </c>
      <c r="AF314" s="436">
        <f>+INPUT!AG292</f>
        <v>136300</v>
      </c>
      <c r="AG314" s="382">
        <f>+INPUT!AH292</f>
        <v>28.342749529190201</v>
      </c>
      <c r="AH314" s="436">
        <f>+INPUT!AI292</f>
        <v>137100</v>
      </c>
      <c r="AI314" s="382">
        <f>+INPUT!AJ292</f>
        <v>24.749772520473172</v>
      </c>
      <c r="AJ314" s="436">
        <f>+INPUT!AK292</f>
        <v>147300</v>
      </c>
      <c r="AK314" s="382">
        <f>+INPUT!AL292</f>
        <v>21.735537190082653</v>
      </c>
      <c r="AL314" s="436">
        <f>+INPUT!AM292</f>
        <v>147700</v>
      </c>
      <c r="AM314" s="382">
        <f>+INPUT!AN292</f>
        <v>12.83422459893049</v>
      </c>
      <c r="AN314" s="436">
        <f>+INPUT!AO292</f>
        <v>158600</v>
      </c>
      <c r="AO314" s="382">
        <f>+INPUT!AP292</f>
        <v>16.360968451944231</v>
      </c>
      <c r="AP314" s="436">
        <f>+INPUT!AQ292</f>
        <v>160700</v>
      </c>
      <c r="AQ314" s="382">
        <f>+INPUT!AR292</f>
        <v>17.213712618526628</v>
      </c>
      <c r="AR314" s="436">
        <f>+INPUT!AS292</f>
        <v>159036.91216462784</v>
      </c>
      <c r="AS314" s="382">
        <f>+INPUT!AT292</f>
        <v>7.9680326983216929</v>
      </c>
      <c r="AT314" s="436">
        <f>+INPUT!AU292</f>
        <v>159127.38234422871</v>
      </c>
      <c r="AU314" s="382">
        <f>+INPUT!AV292</f>
        <v>7.7368871660316216</v>
      </c>
      <c r="AV314" s="436">
        <f>+INPUT!AW292</f>
        <v>159216.24573784901</v>
      </c>
      <c r="AW314" s="382">
        <f>+INPUT!AX292</f>
        <v>0.38855342865637965</v>
      </c>
      <c r="AX314" s="403"/>
      <c r="AY314" s="402"/>
      <c r="AZ314" s="432"/>
      <c r="BA314" s="402"/>
      <c r="BB314" s="432"/>
      <c r="BC314" s="402"/>
      <c r="BD314" s="432"/>
      <c r="BE314" s="402"/>
      <c r="BF314" s="382"/>
      <c r="BG314" s="402"/>
      <c r="BH314" s="382"/>
      <c r="BI314" s="402"/>
      <c r="BJ314" s="382"/>
      <c r="BK314" s="436"/>
      <c r="BL314" s="382"/>
      <c r="BM314" s="436"/>
      <c r="BN314" s="382"/>
      <c r="BO314" s="436"/>
      <c r="BP314" s="382"/>
      <c r="BQ314" s="436"/>
      <c r="BR314" s="382"/>
      <c r="BS314" s="436">
        <f>+INPUT!BB292</f>
        <v>0</v>
      </c>
      <c r="BT314" s="382" t="str">
        <f>+INPUT!BC292</f>
        <v>NA</v>
      </c>
      <c r="BU314" s="436">
        <f>+INPUT!BD292</f>
        <v>0</v>
      </c>
      <c r="BV314" s="382" t="str">
        <f>+INPUT!BE292</f>
        <v>NA</v>
      </c>
      <c r="BW314" s="436">
        <f>+INPUT!BF292</f>
        <v>114600</v>
      </c>
      <c r="BX314" s="382" t="str">
        <f>+INPUT!BG292</f>
        <v>NA</v>
      </c>
      <c r="BY314" s="436">
        <f>+INPUT!BH292</f>
        <v>109900</v>
      </c>
      <c r="BZ314" s="382">
        <f>+INPUT!BI292</f>
        <v>-4.1012216404886601</v>
      </c>
      <c r="CA314" s="436">
        <f>+INPUT!BJ292</f>
        <v>137100</v>
      </c>
      <c r="CB314" s="382">
        <f>+INPUT!BK292</f>
        <v>24.749772520473172</v>
      </c>
      <c r="CC314" s="436">
        <f>+INPUT!BL292</f>
        <v>160700</v>
      </c>
      <c r="CD314" s="382">
        <f>+INPUT!BM292</f>
        <v>17.213712618526628</v>
      </c>
      <c r="CE314" s="436">
        <f>+INPUT!BN292</f>
        <v>159303.48106486184</v>
      </c>
      <c r="CF314" s="382">
        <f>+INPUT!BO292</f>
        <v>-0.86902236162922009</v>
      </c>
      <c r="CG314" s="436">
        <f>+INPUT!BP292</f>
        <v>172881.19245893744</v>
      </c>
      <c r="CH314" s="382">
        <f>+INPUT!BQ292</f>
        <v>8.5231730677293456</v>
      </c>
      <c r="CI314" s="436">
        <f>+INPUT!BR292</f>
        <v>185696.59061762341</v>
      </c>
      <c r="CJ314" s="382">
        <f>+INPUT!BS292</f>
        <v>7.4128353561246314</v>
      </c>
      <c r="CK314" s="436">
        <f>+INPUT!BT292</f>
        <v>197984.60951738738</v>
      </c>
      <c r="CL314" s="382">
        <f>+INPUT!BU292</f>
        <v>6.6172560621033654</v>
      </c>
      <c r="CM314" s="424">
        <f>+INPUT!BV292</f>
        <v>7.6263954230495035</v>
      </c>
    </row>
    <row r="315" spans="1:91" ht="12" hidden="1" customHeight="1" outlineLevel="1" x14ac:dyDescent="0.2">
      <c r="A315" s="400" t="str">
        <f>INPUT!B205</f>
        <v xml:space="preserve">  Deposits</v>
      </c>
      <c r="B315" s="425"/>
      <c r="C315" s="424"/>
      <c r="D315" s="436"/>
      <c r="E315" s="382"/>
      <c r="F315" s="436"/>
      <c r="G315" s="382"/>
      <c r="H315" s="436"/>
      <c r="I315" s="382"/>
      <c r="J315" s="436"/>
      <c r="K315" s="382"/>
      <c r="L315" s="436"/>
      <c r="M315" s="382"/>
      <c r="N315" s="436">
        <f>+INPUT!O293</f>
        <v>11000</v>
      </c>
      <c r="O315" s="382" t="str">
        <f>+INPUT!P293</f>
        <v>NA</v>
      </c>
      <c r="P315" s="436">
        <f>+INPUT!Q293</f>
        <v>11200</v>
      </c>
      <c r="Q315" s="382" t="str">
        <f>+INPUT!R293</f>
        <v>NA</v>
      </c>
      <c r="R315" s="436">
        <f>+INPUT!S293</f>
        <v>10800</v>
      </c>
      <c r="S315" s="382" t="str">
        <f>+INPUT!T293</f>
        <v>NA</v>
      </c>
      <c r="T315" s="436">
        <f>+INPUT!U293</f>
        <v>12200</v>
      </c>
      <c r="U315" s="382" t="str">
        <f>+INPUT!V293</f>
        <v>NA</v>
      </c>
      <c r="V315" s="436">
        <f>+INPUT!W293</f>
        <v>9700</v>
      </c>
      <c r="W315" s="382">
        <f>+INPUT!X293</f>
        <v>-11.818181818181813</v>
      </c>
      <c r="X315" s="436">
        <f>+INPUT!Y293</f>
        <v>9200</v>
      </c>
      <c r="Y315" s="382">
        <f>+INPUT!Z293</f>
        <v>-17.857142857142861</v>
      </c>
      <c r="Z315" s="436">
        <f>+INPUT!AA293</f>
        <v>8800</v>
      </c>
      <c r="AA315" s="382">
        <f>+INPUT!AB293</f>
        <v>-18.518518518518519</v>
      </c>
      <c r="AB315" s="436">
        <f>+INPUT!AC293</f>
        <v>9300</v>
      </c>
      <c r="AC315" s="382">
        <f>+INPUT!AD293</f>
        <v>-23.770491803278688</v>
      </c>
      <c r="AD315" s="436">
        <f>+INPUT!AE293</f>
        <v>9300</v>
      </c>
      <c r="AE315" s="382">
        <f>+INPUT!AF293</f>
        <v>-4.1237113402061851</v>
      </c>
      <c r="AF315" s="436">
        <f>+INPUT!AG293</f>
        <v>9900</v>
      </c>
      <c r="AG315" s="382">
        <f>+INPUT!AH293</f>
        <v>7.6086956521739069</v>
      </c>
      <c r="AH315" s="436">
        <f>+INPUT!AI293</f>
        <v>8500</v>
      </c>
      <c r="AI315" s="382">
        <f>+INPUT!AJ293</f>
        <v>-3.4090909090909065</v>
      </c>
      <c r="AJ315" s="436">
        <f>+INPUT!AK293</f>
        <v>8900</v>
      </c>
      <c r="AK315" s="382">
        <f>+INPUT!AL293</f>
        <v>-4.3010752688172005</v>
      </c>
      <c r="AL315" s="436">
        <f>+INPUT!AM293</f>
        <v>11600</v>
      </c>
      <c r="AM315" s="382">
        <f>+INPUT!AN293</f>
        <v>24.731182795698928</v>
      </c>
      <c r="AN315" s="436">
        <f>+INPUT!AO293</f>
        <v>11300</v>
      </c>
      <c r="AO315" s="382">
        <f>+INPUT!AP293</f>
        <v>14.141414141414145</v>
      </c>
      <c r="AP315" s="436">
        <f>+INPUT!AQ293</f>
        <v>11095</v>
      </c>
      <c r="AQ315" s="382">
        <f>+INPUT!AR293</f>
        <v>30.529411764705884</v>
      </c>
      <c r="AR315" s="436">
        <f>+INPUT!AS293</f>
        <v>10900.25</v>
      </c>
      <c r="AS315" s="382">
        <f>+INPUT!AT293</f>
        <v>22.474719101123597</v>
      </c>
      <c r="AT315" s="436">
        <f>+INPUT!AU293</f>
        <v>10715.237499999999</v>
      </c>
      <c r="AU315" s="382">
        <f>+INPUT!AV293</f>
        <v>-7.6272629310344797</v>
      </c>
      <c r="AV315" s="436">
        <f>+INPUT!AW293</f>
        <v>10539.475624999999</v>
      </c>
      <c r="AW315" s="382">
        <f>+INPUT!AX293</f>
        <v>-6.7303042035398306</v>
      </c>
      <c r="AX315" s="403"/>
      <c r="AY315" s="402"/>
      <c r="AZ315" s="432"/>
      <c r="BA315" s="402"/>
      <c r="BB315" s="432"/>
      <c r="BC315" s="402"/>
      <c r="BD315" s="432"/>
      <c r="BE315" s="402"/>
      <c r="BF315" s="382"/>
      <c r="BG315" s="402"/>
      <c r="BH315" s="382"/>
      <c r="BI315" s="402"/>
      <c r="BJ315" s="382"/>
      <c r="BK315" s="436"/>
      <c r="BL315" s="382"/>
      <c r="BM315" s="436"/>
      <c r="BN315" s="382"/>
      <c r="BO315" s="436"/>
      <c r="BP315" s="382"/>
      <c r="BQ315" s="436"/>
      <c r="BR315" s="382"/>
      <c r="BS315" s="436">
        <f>+INPUT!BB293</f>
        <v>0</v>
      </c>
      <c r="BT315" s="382" t="str">
        <f>+INPUT!BC293</f>
        <v>NA</v>
      </c>
      <c r="BU315" s="436">
        <f>+INPUT!BD293</f>
        <v>0</v>
      </c>
      <c r="BV315" s="382" t="str">
        <f>+INPUT!BE293</f>
        <v>NA</v>
      </c>
      <c r="BW315" s="436">
        <f>+INPUT!BF293</f>
        <v>41900</v>
      </c>
      <c r="BX315" s="382" t="str">
        <f>+INPUT!BG293</f>
        <v>NA</v>
      </c>
      <c r="BY315" s="436">
        <f>+INPUT!BH293</f>
        <v>37300</v>
      </c>
      <c r="BZ315" s="382">
        <f>+INPUT!BI293</f>
        <v>-10.978520286396176</v>
      </c>
      <c r="CA315" s="436">
        <f>+INPUT!BJ293</f>
        <v>40300</v>
      </c>
      <c r="CB315" s="382">
        <f>+INPUT!BK293</f>
        <v>8.0428954423592529</v>
      </c>
      <c r="CC315" s="436">
        <f>+INPUT!BL293</f>
        <v>43249.963124999995</v>
      </c>
      <c r="CD315" s="382">
        <f>+INPUT!BM293</f>
        <v>7.3200077543424271</v>
      </c>
      <c r="CE315" s="436">
        <f>+INPUT!BN293</f>
        <v>44114.962387499996</v>
      </c>
      <c r="CF315" s="382">
        <f>+INPUT!BO293</f>
        <v>2</v>
      </c>
      <c r="CG315" s="436">
        <f>+INPUT!BP293</f>
        <v>44997.261635250004</v>
      </c>
      <c r="CH315" s="382">
        <f>+INPUT!BQ293</f>
        <v>2.0000000000000284</v>
      </c>
      <c r="CI315" s="436">
        <f>+INPUT!BR293</f>
        <v>45897.206867954999</v>
      </c>
      <c r="CJ315" s="382">
        <f>+INPUT!BS293</f>
        <v>1.9999999999999858</v>
      </c>
      <c r="CK315" s="436">
        <f>+INPUT!BT293</f>
        <v>46815.151005314103</v>
      </c>
      <c r="CL315" s="382">
        <f>+INPUT!BU293</f>
        <v>2</v>
      </c>
      <c r="CM315" s="424">
        <f>+INPUT!BV293</f>
        <v>3.0424737968834936</v>
      </c>
    </row>
    <row r="316" spans="1:91" ht="12" hidden="1" customHeight="1" outlineLevel="1" x14ac:dyDescent="0.2">
      <c r="A316" s="400" t="str">
        <f>INPUT!B206</f>
        <v xml:space="preserve">  Withdrawals</v>
      </c>
      <c r="B316" s="425"/>
      <c r="C316" s="424"/>
      <c r="D316" s="436"/>
      <c r="E316" s="382"/>
      <c r="F316" s="436"/>
      <c r="G316" s="382"/>
      <c r="H316" s="436"/>
      <c r="I316" s="382"/>
      <c r="J316" s="436"/>
      <c r="K316" s="382"/>
      <c r="L316" s="436"/>
      <c r="M316" s="382"/>
      <c r="N316" s="436">
        <f>+INPUT!O294</f>
        <v>-8500</v>
      </c>
      <c r="O316" s="382" t="str">
        <f>+INPUT!P294</f>
        <v>NA</v>
      </c>
      <c r="P316" s="436">
        <f>+INPUT!Q294</f>
        <v>-6900</v>
      </c>
      <c r="Q316" s="382" t="str">
        <f>+INPUT!R294</f>
        <v>NA</v>
      </c>
      <c r="R316" s="436">
        <f>+INPUT!S294</f>
        <v>-8500</v>
      </c>
      <c r="S316" s="382" t="str">
        <f>+INPUT!T294</f>
        <v>NA</v>
      </c>
      <c r="T316" s="436">
        <f>+INPUT!U294</f>
        <v>-8600</v>
      </c>
      <c r="U316" s="382" t="str">
        <f>+INPUT!V294</f>
        <v>NA</v>
      </c>
      <c r="V316" s="436">
        <f>+INPUT!W294</f>
        <v>-8100</v>
      </c>
      <c r="W316" s="382">
        <f>+INPUT!X294</f>
        <v>-4.7058823529411882</v>
      </c>
      <c r="X316" s="436">
        <f>+INPUT!Y294</f>
        <v>-7400</v>
      </c>
      <c r="Y316" s="382">
        <f>+INPUT!Z294</f>
        <v>7.2463768115942173</v>
      </c>
      <c r="Z316" s="436">
        <f>+INPUT!AA294</f>
        <v>-7900</v>
      </c>
      <c r="AA316" s="382">
        <f>+INPUT!AB294</f>
        <v>-7.058823529411768</v>
      </c>
      <c r="AB316" s="436">
        <f>+INPUT!AC294</f>
        <v>-6100</v>
      </c>
      <c r="AC316" s="382">
        <f>+INPUT!AD294</f>
        <v>-29.069767441860463</v>
      </c>
      <c r="AD316" s="436">
        <f>+INPUT!AE294</f>
        <v>-6800</v>
      </c>
      <c r="AE316" s="382">
        <f>+INPUT!AF294</f>
        <v>-16.049382716049394</v>
      </c>
      <c r="AF316" s="436">
        <f>+INPUT!AG294</f>
        <v>-7400</v>
      </c>
      <c r="AG316" s="382">
        <f>+INPUT!AH294</f>
        <v>0</v>
      </c>
      <c r="AH316" s="436">
        <f>+INPUT!AI294</f>
        <v>-7200</v>
      </c>
      <c r="AI316" s="382">
        <f>+INPUT!AJ294</f>
        <v>-8.8607594936708836</v>
      </c>
      <c r="AJ316" s="436">
        <f>+INPUT!AK294</f>
        <v>-8500</v>
      </c>
      <c r="AK316" s="382">
        <f>+INPUT!AL294</f>
        <v>39.344262295081961</v>
      </c>
      <c r="AL316" s="436">
        <f>+INPUT!AM294</f>
        <v>-9500</v>
      </c>
      <c r="AM316" s="382">
        <f>+INPUT!AN294</f>
        <v>39.70588235294116</v>
      </c>
      <c r="AN316" s="436">
        <f>+INPUT!AO294</f>
        <v>-8800</v>
      </c>
      <c r="AO316" s="382">
        <f>+INPUT!AP294</f>
        <v>18.918918918918919</v>
      </c>
      <c r="AP316" s="436">
        <f>+INPUT!AQ294</f>
        <v>-8595</v>
      </c>
      <c r="AQ316" s="382">
        <f>+INPUT!AR294</f>
        <v>19.375000000000014</v>
      </c>
      <c r="AR316" s="436">
        <f>+INPUT!AS294</f>
        <v>-8400.25</v>
      </c>
      <c r="AS316" s="382">
        <f>+INPUT!AT294</f>
        <v>-1.1735294117647044</v>
      </c>
      <c r="AT316" s="436">
        <f>+INPUT!AU294</f>
        <v>-8215.2374999999993</v>
      </c>
      <c r="AU316" s="382">
        <f>+INPUT!AV294</f>
        <v>-13.523815789473687</v>
      </c>
      <c r="AV316" s="436">
        <f>+INPUT!AW294</f>
        <v>-8039.4756249999991</v>
      </c>
      <c r="AW316" s="382">
        <f>+INPUT!AX294</f>
        <v>-8.6423224431818255</v>
      </c>
      <c r="AX316" s="403"/>
      <c r="AY316" s="402"/>
      <c r="AZ316" s="432"/>
      <c r="BA316" s="402"/>
      <c r="BB316" s="432"/>
      <c r="BC316" s="402"/>
      <c r="BD316" s="432"/>
      <c r="BE316" s="402"/>
      <c r="BF316" s="382"/>
      <c r="BG316" s="402"/>
      <c r="BH316" s="382"/>
      <c r="BI316" s="402"/>
      <c r="BJ316" s="382"/>
      <c r="BK316" s="436"/>
      <c r="BL316" s="382"/>
      <c r="BM316" s="436"/>
      <c r="BN316" s="382"/>
      <c r="BO316" s="436"/>
      <c r="BP316" s="382"/>
      <c r="BQ316" s="436"/>
      <c r="BR316" s="382"/>
      <c r="BS316" s="436">
        <f>+INPUT!BB294</f>
        <v>0</v>
      </c>
      <c r="BT316" s="382" t="str">
        <f>+INPUT!BC294</f>
        <v>NA</v>
      </c>
      <c r="BU316" s="436">
        <f>+INPUT!BD294</f>
        <v>0</v>
      </c>
      <c r="BV316" s="382" t="str">
        <f>+INPUT!BE294</f>
        <v>NA</v>
      </c>
      <c r="BW316" s="436">
        <f>+INPUT!BF294</f>
        <v>-32600</v>
      </c>
      <c r="BX316" s="382" t="str">
        <f>+INPUT!BG294</f>
        <v>NA</v>
      </c>
      <c r="BY316" s="436">
        <f>+INPUT!BH294</f>
        <v>-28200</v>
      </c>
      <c r="BZ316" s="382">
        <f>+INPUT!BI294</f>
        <v>-13.49693251533742</v>
      </c>
      <c r="CA316" s="436">
        <f>+INPUT!BJ294</f>
        <v>-34000</v>
      </c>
      <c r="CB316" s="382">
        <f>+INPUT!BK294</f>
        <v>20.567375886524815</v>
      </c>
      <c r="CC316" s="436">
        <f>+INPUT!BL294</f>
        <v>-33249.963124999995</v>
      </c>
      <c r="CD316" s="382">
        <f>+INPUT!BM294</f>
        <v>-2.2059908088235431</v>
      </c>
      <c r="CE316" s="436">
        <f>+INPUT!BN294</f>
        <v>-35634.962387499996</v>
      </c>
      <c r="CF316" s="382">
        <f>+INPUT!BO294</f>
        <v>7.1729380677320762</v>
      </c>
      <c r="CG316" s="436">
        <f>+INPUT!BP294</f>
        <v>-37714.061635250007</v>
      </c>
      <c r="CH316" s="382">
        <f>+INPUT!BQ294</f>
        <v>5.8344364872384915</v>
      </c>
      <c r="CI316" s="436">
        <f>+INPUT!BR294</f>
        <v>-39551.478867954997</v>
      </c>
      <c r="CJ316" s="382">
        <f>+INPUT!BS294</f>
        <v>4.871968578922889</v>
      </c>
      <c r="CK316" s="436">
        <f>+INPUT!BT294</f>
        <v>-41198.633885314106</v>
      </c>
      <c r="CL316" s="382">
        <f>+INPUT!BU294</f>
        <v>4.1645851545987398</v>
      </c>
      <c r="CM316" s="424">
        <f>+INPUT!BV294</f>
        <v>3.915607211440264</v>
      </c>
    </row>
    <row r="317" spans="1:91" ht="12" hidden="1" customHeight="1" outlineLevel="1" x14ac:dyDescent="0.2">
      <c r="A317" s="400" t="str">
        <f>INPUT!B207</f>
        <v xml:space="preserve">  Investment Performance</v>
      </c>
      <c r="B317" s="425"/>
      <c r="C317" s="424"/>
      <c r="D317" s="436"/>
      <c r="E317" s="382"/>
      <c r="F317" s="436"/>
      <c r="G317" s="382"/>
      <c r="H317" s="436"/>
      <c r="I317" s="382"/>
      <c r="J317" s="436"/>
      <c r="K317" s="382"/>
      <c r="L317" s="436"/>
      <c r="M317" s="382"/>
      <c r="N317" s="436">
        <f>+INPUT!O295</f>
        <v>3900</v>
      </c>
      <c r="O317" s="382" t="str">
        <f>+INPUT!P295</f>
        <v>NA</v>
      </c>
      <c r="P317" s="436">
        <f>+INPUT!Q295</f>
        <v>1000</v>
      </c>
      <c r="Q317" s="382" t="str">
        <f>+INPUT!R295</f>
        <v>NA</v>
      </c>
      <c r="R317" s="436">
        <f>+INPUT!S295</f>
        <v>3100</v>
      </c>
      <c r="S317" s="382" t="str">
        <f>+INPUT!T295</f>
        <v>NA</v>
      </c>
      <c r="T317" s="436">
        <f>+INPUT!U295</f>
        <v>1800</v>
      </c>
      <c r="U317" s="382" t="str">
        <f>+INPUT!V295</f>
        <v>NA</v>
      </c>
      <c r="V317" s="436">
        <f>+INPUT!W295</f>
        <v>300</v>
      </c>
      <c r="W317" s="382" t="str">
        <f>+INPUT!X295</f>
        <v>NM</v>
      </c>
      <c r="X317" s="436">
        <f>+INPUT!Y295</f>
        <v>2500</v>
      </c>
      <c r="Y317" s="382" t="str">
        <f>+INPUT!Z295</f>
        <v>NM</v>
      </c>
      <c r="Z317" s="436">
        <f>+INPUT!AA295</f>
        <v>2200</v>
      </c>
      <c r="AA317" s="382">
        <f>+INPUT!AB295</f>
        <v>-29.032258064516128</v>
      </c>
      <c r="AB317" s="436">
        <f>+INPUT!AC295</f>
        <v>2100</v>
      </c>
      <c r="AC317" s="382">
        <f>+INPUT!AD295</f>
        <v>16.666666666666671</v>
      </c>
      <c r="AD317" s="436">
        <f>+INPUT!AE295</f>
        <v>4700</v>
      </c>
      <c r="AE317" s="382" t="str">
        <f>+INPUT!AF295</f>
        <v>NM</v>
      </c>
      <c r="AF317" s="436">
        <f>+INPUT!AG295</f>
        <v>900</v>
      </c>
      <c r="AG317" s="382" t="str">
        <f>+INPUT!AH295</f>
        <v>NM</v>
      </c>
      <c r="AH317" s="436">
        <f>+INPUT!AI295</f>
        <v>5800</v>
      </c>
      <c r="AI317" s="382" t="str">
        <f>+INPUT!AJ295</f>
        <v>NM</v>
      </c>
      <c r="AJ317" s="436">
        <f>+INPUT!AK295</f>
        <v>2400</v>
      </c>
      <c r="AK317" s="382">
        <f>+INPUT!AL295</f>
        <v>14.285714285714278</v>
      </c>
      <c r="AL317" s="436">
        <f>+INPUT!AM295</f>
        <v>3600</v>
      </c>
      <c r="AM317" s="382">
        <f>+INPUT!AN295</f>
        <v>-23.40425531914893</v>
      </c>
      <c r="AN317" s="436">
        <f>+INPUT!AO295</f>
        <v>1500</v>
      </c>
      <c r="AO317" s="382">
        <f>+INPUT!AP295</f>
        <v>66.666666666666686</v>
      </c>
      <c r="AP317" s="436">
        <f>+INPUT!AQ295</f>
        <v>-663.08783537217494</v>
      </c>
      <c r="AQ317" s="382" t="str">
        <f>+INPUT!AR295</f>
        <v>NM</v>
      </c>
      <c r="AR317" s="436">
        <f>+INPUT!AS295</f>
        <v>1090.4701796008605</v>
      </c>
      <c r="AS317" s="382" t="str">
        <f>+INPUT!AT295</f>
        <v>NM</v>
      </c>
      <c r="AT317" s="436">
        <f>+INPUT!AU295</f>
        <v>1088.8633936202946</v>
      </c>
      <c r="AU317" s="382" t="str">
        <f>+INPUT!AV295</f>
        <v>NM</v>
      </c>
      <c r="AV317" s="436">
        <f>+INPUT!AW295</f>
        <v>1087.2353270128597</v>
      </c>
      <c r="AW317" s="382">
        <f>+INPUT!AX295</f>
        <v>-27.517644865809359</v>
      </c>
      <c r="AX317" s="403"/>
      <c r="AY317" s="402"/>
      <c r="AZ317" s="432"/>
      <c r="BA317" s="402"/>
      <c r="BB317" s="432"/>
      <c r="BC317" s="402"/>
      <c r="BD317" s="432"/>
      <c r="BE317" s="402"/>
      <c r="BF317" s="382"/>
      <c r="BG317" s="402"/>
      <c r="BH317" s="382"/>
      <c r="BI317" s="402"/>
      <c r="BJ317" s="382"/>
      <c r="BK317" s="436"/>
      <c r="BL317" s="382"/>
      <c r="BM317" s="436"/>
      <c r="BN317" s="382"/>
      <c r="BO317" s="436"/>
      <c r="BP317" s="382"/>
      <c r="BQ317" s="436"/>
      <c r="BR317" s="382"/>
      <c r="BS317" s="436">
        <f>+INPUT!BB295</f>
        <v>0</v>
      </c>
      <c r="BT317" s="382" t="str">
        <f>+INPUT!BC295</f>
        <v>NA</v>
      </c>
      <c r="BU317" s="436">
        <f>+INPUT!BD295</f>
        <v>0</v>
      </c>
      <c r="BV317" s="382" t="str">
        <f>+INPUT!BE295</f>
        <v>NA</v>
      </c>
      <c r="BW317" s="436">
        <f>+INPUT!BF295</f>
        <v>7700</v>
      </c>
      <c r="BX317" s="382" t="str">
        <f>+INPUT!BG295</f>
        <v>NA</v>
      </c>
      <c r="BY317" s="436">
        <f>+INPUT!BH295</f>
        <v>9900</v>
      </c>
      <c r="BZ317" s="382">
        <f>+INPUT!BI295</f>
        <v>28.571428571428584</v>
      </c>
      <c r="CA317" s="436">
        <f>+INPUT!BJ295</f>
        <v>13300</v>
      </c>
      <c r="CB317" s="382">
        <f>+INPUT!BK295</f>
        <v>34.343434343434353</v>
      </c>
      <c r="CC317" s="436">
        <f>+INPUT!BL295</f>
        <v>2603.48106486184</v>
      </c>
      <c r="CD317" s="382" t="str">
        <f>+INPUT!BM295</f>
        <v>NM</v>
      </c>
      <c r="CE317" s="436">
        <f>+INPUT!BN295</f>
        <v>5097.7113940755789</v>
      </c>
      <c r="CF317" s="382">
        <f>+INPUT!BO295</f>
        <v>95.803666977931385</v>
      </c>
      <c r="CG317" s="436">
        <f>+INPUT!BP295</f>
        <v>5532.1981586859974</v>
      </c>
      <c r="CH317" s="382">
        <f>+INPUT!BQ295</f>
        <v>8.5231730677293172</v>
      </c>
      <c r="CI317" s="436">
        <f>+INPUT!BR295</f>
        <v>5942.2908997639497</v>
      </c>
      <c r="CJ317" s="382">
        <f>+INPUT!BS295</f>
        <v>7.4128353561246456</v>
      </c>
      <c r="CK317" s="436">
        <f>+INPUT!BT295</f>
        <v>6335.5075045563954</v>
      </c>
      <c r="CL317" s="382">
        <f>+INPUT!BU295</f>
        <v>6.6172560621033512</v>
      </c>
      <c r="CM317" s="424">
        <f>+INPUT!BV295</f>
        <v>-13.784380383791717</v>
      </c>
    </row>
    <row r="318" spans="1:91" ht="12" hidden="1" customHeight="1" outlineLevel="1" x14ac:dyDescent="0.2">
      <c r="A318" s="400" t="str">
        <f>INPUT!B208</f>
        <v xml:space="preserve">  Operations Acquired</v>
      </c>
      <c r="B318" s="425"/>
      <c r="C318" s="424"/>
      <c r="D318" s="436"/>
      <c r="E318" s="382"/>
      <c r="F318" s="436"/>
      <c r="G318" s="382"/>
      <c r="H318" s="436"/>
      <c r="I318" s="382"/>
      <c r="J318" s="436"/>
      <c r="K318" s="382"/>
      <c r="L318" s="436"/>
      <c r="M318" s="382"/>
      <c r="N318" s="436">
        <f>+INPUT!O296</f>
        <v>0</v>
      </c>
      <c r="O318" s="382" t="str">
        <f>+INPUT!P296</f>
        <v>NA</v>
      </c>
      <c r="P318" s="436">
        <f>+INPUT!Q296</f>
        <v>0</v>
      </c>
      <c r="Q318" s="382" t="str">
        <f>+INPUT!R296</f>
        <v>NA</v>
      </c>
      <c r="R318" s="436">
        <f>+INPUT!S296</f>
        <v>900</v>
      </c>
      <c r="S318" s="382" t="str">
        <f>+INPUT!T296</f>
        <v>NA</v>
      </c>
      <c r="T318" s="436">
        <f>+INPUT!U296</f>
        <v>0</v>
      </c>
      <c r="U318" s="382" t="str">
        <f>+INPUT!V296</f>
        <v>NA</v>
      </c>
      <c r="V318" s="436">
        <f>+INPUT!W296</f>
        <v>3100</v>
      </c>
      <c r="W318" s="382" t="str">
        <f>+INPUT!X296</f>
        <v>NA</v>
      </c>
      <c r="X318" s="436">
        <f>+INPUT!Y296</f>
        <v>0</v>
      </c>
      <c r="Y318" s="382" t="str">
        <f>+INPUT!Z296</f>
        <v>NA</v>
      </c>
      <c r="Z318" s="436">
        <f>+INPUT!AA296</f>
        <v>0</v>
      </c>
      <c r="AA318" s="382" t="str">
        <f>+INPUT!AB296</f>
        <v>NM</v>
      </c>
      <c r="AB318" s="436">
        <f>+INPUT!AC296</f>
        <v>0</v>
      </c>
      <c r="AC318" s="382" t="str">
        <f>+INPUT!AD296</f>
        <v>NA</v>
      </c>
      <c r="AD318" s="436">
        <f>+INPUT!AE296</f>
        <v>0</v>
      </c>
      <c r="AE318" s="382" t="str">
        <f>+INPUT!AF296</f>
        <v>NM</v>
      </c>
      <c r="AF318" s="436">
        <f>+INPUT!AG296</f>
        <v>0</v>
      </c>
      <c r="AG318" s="382" t="str">
        <f>+INPUT!AH296</f>
        <v>NA</v>
      </c>
      <c r="AH318" s="436">
        <f>+INPUT!AI296</f>
        <v>0</v>
      </c>
      <c r="AI318" s="382" t="str">
        <f>+INPUT!AJ296</f>
        <v>NA</v>
      </c>
      <c r="AJ318" s="436">
        <f>+INPUT!AK296</f>
        <v>0</v>
      </c>
      <c r="AK318" s="382" t="str">
        <f>+INPUT!AL296</f>
        <v>NA</v>
      </c>
      <c r="AL318" s="436">
        <f>+INPUT!AM296</f>
        <v>0</v>
      </c>
      <c r="AM318" s="382" t="str">
        <f>+INPUT!AN296</f>
        <v>NA</v>
      </c>
      <c r="AN318" s="436">
        <f>+INPUT!AO296</f>
        <v>0</v>
      </c>
      <c r="AO318" s="382" t="str">
        <f>+INPUT!AP296</f>
        <v>NA</v>
      </c>
      <c r="AP318" s="436">
        <f>+INPUT!AQ296</f>
        <v>0</v>
      </c>
      <c r="AQ318" s="382" t="str">
        <f>+INPUT!AR296</f>
        <v>NA</v>
      </c>
      <c r="AR318" s="436">
        <f>+INPUT!AS296</f>
        <v>0</v>
      </c>
      <c r="AS318" s="382" t="str">
        <f>+INPUT!AT296</f>
        <v>NA</v>
      </c>
      <c r="AT318" s="436">
        <f>+INPUT!AU296</f>
        <v>0</v>
      </c>
      <c r="AU318" s="382" t="str">
        <f>+INPUT!AV296</f>
        <v>NA</v>
      </c>
      <c r="AV318" s="436">
        <f>+INPUT!AW296</f>
        <v>0</v>
      </c>
      <c r="AW318" s="382" t="str">
        <f>+INPUT!AX296</f>
        <v>NA</v>
      </c>
      <c r="AX318" s="403"/>
      <c r="AY318" s="402"/>
      <c r="AZ318" s="432"/>
      <c r="BA318" s="402"/>
      <c r="BB318" s="432"/>
      <c r="BC318" s="402"/>
      <c r="BD318" s="432"/>
      <c r="BE318" s="402"/>
      <c r="BF318" s="382"/>
      <c r="BG318" s="402"/>
      <c r="BH318" s="382"/>
      <c r="BI318" s="402"/>
      <c r="BJ318" s="382"/>
      <c r="BK318" s="436"/>
      <c r="BL318" s="382"/>
      <c r="BM318" s="436"/>
      <c r="BN318" s="382"/>
      <c r="BO318" s="436"/>
      <c r="BP318" s="382"/>
      <c r="BQ318" s="436"/>
      <c r="BR318" s="382"/>
      <c r="BS318" s="436">
        <f>+INPUT!BB296</f>
        <v>0</v>
      </c>
      <c r="BT318" s="382" t="str">
        <f>+INPUT!BC296</f>
        <v>NA</v>
      </c>
      <c r="BU318" s="436">
        <f>+INPUT!BD296</f>
        <v>0</v>
      </c>
      <c r="BV318" s="382" t="str">
        <f>+INPUT!BE296</f>
        <v>NA</v>
      </c>
      <c r="BW318" s="436">
        <f>+INPUT!BF296</f>
        <v>4000</v>
      </c>
      <c r="BX318" s="382" t="str">
        <f>+INPUT!BG296</f>
        <v>NA</v>
      </c>
      <c r="BY318" s="436">
        <f>+INPUT!BH296</f>
        <v>0</v>
      </c>
      <c r="BZ318" s="382" t="str">
        <f>+INPUT!BI296</f>
        <v>NM</v>
      </c>
      <c r="CA318" s="436">
        <f>+INPUT!BJ296</f>
        <v>0</v>
      </c>
      <c r="CB318" s="382" t="str">
        <f>+INPUT!BK296</f>
        <v>NA</v>
      </c>
      <c r="CC318" s="436">
        <f>+INPUT!BL296</f>
        <v>0</v>
      </c>
      <c r="CD318" s="382" t="str">
        <f>+INPUT!BM296</f>
        <v>NA</v>
      </c>
      <c r="CE318" s="436">
        <f>+INPUT!BN296</f>
        <v>0</v>
      </c>
      <c r="CF318" s="382" t="str">
        <f>+INPUT!BO296</f>
        <v>NA</v>
      </c>
      <c r="CG318" s="436">
        <f>+INPUT!BP296</f>
        <v>0</v>
      </c>
      <c r="CH318" s="382" t="str">
        <f>+INPUT!BQ296</f>
        <v>NA</v>
      </c>
      <c r="CI318" s="436">
        <f>+INPUT!BR296</f>
        <v>0</v>
      </c>
      <c r="CJ318" s="382" t="str">
        <f>+INPUT!BS296</f>
        <v>NA</v>
      </c>
      <c r="CK318" s="436">
        <f>+INPUT!BT296</f>
        <v>0</v>
      </c>
      <c r="CL318" s="382" t="str">
        <f>+INPUT!BU296</f>
        <v>NA</v>
      </c>
      <c r="CM318" s="424" t="str">
        <f>+INPUT!BV296</f>
        <v>NA</v>
      </c>
    </row>
    <row r="319" spans="1:91" ht="12" hidden="1" customHeight="1" outlineLevel="1" x14ac:dyDescent="0.2">
      <c r="A319" s="400" t="str">
        <f>INPUT!B209</f>
        <v xml:space="preserve">  Other</v>
      </c>
      <c r="B319" s="425"/>
      <c r="C319" s="424"/>
      <c r="D319" s="436"/>
      <c r="E319" s="382"/>
      <c r="F319" s="436"/>
      <c r="G319" s="382"/>
      <c r="H319" s="436"/>
      <c r="I319" s="382"/>
      <c r="J319" s="436"/>
      <c r="K319" s="382"/>
      <c r="L319" s="436"/>
      <c r="M319" s="382"/>
      <c r="N319" s="436">
        <f>+INPUT!O297</f>
        <v>-500</v>
      </c>
      <c r="O319" s="382" t="str">
        <f>+INPUT!P297</f>
        <v>NA</v>
      </c>
      <c r="P319" s="436">
        <f>+INPUT!Q297</f>
        <v>-200</v>
      </c>
      <c r="Q319" s="382" t="str">
        <f>+INPUT!R297</f>
        <v>NA</v>
      </c>
      <c r="R319" s="436">
        <f>+INPUT!S297</f>
        <v>-200</v>
      </c>
      <c r="S319" s="382" t="str">
        <f>+INPUT!T297</f>
        <v>NA</v>
      </c>
      <c r="T319" s="436">
        <f>+INPUT!U297</f>
        <v>2000</v>
      </c>
      <c r="U319" s="382" t="str">
        <f>+INPUT!V297</f>
        <v>NA</v>
      </c>
      <c r="V319" s="436">
        <f>+INPUT!W297</f>
        <v>0</v>
      </c>
      <c r="W319" s="382" t="str">
        <f>+INPUT!X297</f>
        <v>NM</v>
      </c>
      <c r="X319" s="436">
        <f>+INPUT!Y297</f>
        <v>-200</v>
      </c>
      <c r="Y319" s="382">
        <f>+INPUT!Z297</f>
        <v>0</v>
      </c>
      <c r="Z319" s="436">
        <f>+INPUT!AA297</f>
        <v>-200</v>
      </c>
      <c r="AA319" s="382">
        <f>+INPUT!AB297</f>
        <v>0</v>
      </c>
      <c r="AB319" s="436">
        <f>+INPUT!AC297</f>
        <v>0</v>
      </c>
      <c r="AC319" s="382" t="str">
        <f>+INPUT!AD297</f>
        <v>NM</v>
      </c>
      <c r="AD319" s="436">
        <f>+INPUT!AE297</f>
        <v>-500</v>
      </c>
      <c r="AE319" s="382" t="str">
        <f>+INPUT!AF297</f>
        <v>NA</v>
      </c>
      <c r="AF319" s="436">
        <f>+INPUT!AG297</f>
        <v>-200</v>
      </c>
      <c r="AG319" s="382">
        <f>+INPUT!AH297</f>
        <v>0</v>
      </c>
      <c r="AH319" s="436">
        <f>+INPUT!AI297</f>
        <v>-100</v>
      </c>
      <c r="AI319" s="382">
        <f>+INPUT!AJ297</f>
        <v>-50</v>
      </c>
      <c r="AJ319" s="436">
        <f>+INPUT!AK297</f>
        <v>-100</v>
      </c>
      <c r="AK319" s="382" t="str">
        <f>+INPUT!AL297</f>
        <v>NA</v>
      </c>
      <c r="AL319" s="436">
        <f>+INPUT!AM297</f>
        <v>100</v>
      </c>
      <c r="AM319" s="382" t="str">
        <f>+INPUT!AN297</f>
        <v>NM</v>
      </c>
      <c r="AN319" s="436">
        <f>+INPUT!AO297</f>
        <v>-200</v>
      </c>
      <c r="AO319" s="382">
        <f>+INPUT!AP297</f>
        <v>0</v>
      </c>
      <c r="AP319" s="436">
        <f>+INPUT!AQ297</f>
        <v>0</v>
      </c>
      <c r="AQ319" s="382" t="str">
        <f>+INPUT!AR297</f>
        <v>NM</v>
      </c>
      <c r="AR319" s="436">
        <f>+INPUT!AS297</f>
        <v>0</v>
      </c>
      <c r="AS319" s="382" t="str">
        <f>+INPUT!AT297</f>
        <v>NM</v>
      </c>
      <c r="AT319" s="436">
        <f>+INPUT!AU297</f>
        <v>0</v>
      </c>
      <c r="AU319" s="382" t="str">
        <f>+INPUT!AV297</f>
        <v>NM</v>
      </c>
      <c r="AV319" s="436">
        <f>+INPUT!AW297</f>
        <v>0</v>
      </c>
      <c r="AW319" s="382" t="str">
        <f>+INPUT!AX297</f>
        <v>NM</v>
      </c>
      <c r="AX319" s="403"/>
      <c r="AY319" s="402"/>
      <c r="AZ319" s="432"/>
      <c r="BA319" s="402"/>
      <c r="BB319" s="432"/>
      <c r="BC319" s="402"/>
      <c r="BD319" s="432"/>
      <c r="BE319" s="402"/>
      <c r="BF319" s="382"/>
      <c r="BG319" s="402"/>
      <c r="BH319" s="382"/>
      <c r="BI319" s="402"/>
      <c r="BJ319" s="382"/>
      <c r="BK319" s="436"/>
      <c r="BL319" s="382"/>
      <c r="BM319" s="436"/>
      <c r="BN319" s="382"/>
      <c r="BO319" s="436"/>
      <c r="BP319" s="382"/>
      <c r="BQ319" s="436"/>
      <c r="BR319" s="382"/>
      <c r="BS319" s="436">
        <f>+INPUT!BB297</f>
        <v>0</v>
      </c>
      <c r="BT319" s="382" t="str">
        <f>+INPUT!BC297</f>
        <v>NA</v>
      </c>
      <c r="BU319" s="436">
        <f>+INPUT!BD297</f>
        <v>0</v>
      </c>
      <c r="BV319" s="382" t="str">
        <f>+INPUT!BE297</f>
        <v>NA</v>
      </c>
      <c r="BW319" s="436">
        <f>+INPUT!BF297</f>
        <v>1600</v>
      </c>
      <c r="BX319" s="382" t="str">
        <f>+INPUT!BG297</f>
        <v>NA</v>
      </c>
      <c r="BY319" s="436">
        <f>+INPUT!BH297</f>
        <v>-900</v>
      </c>
      <c r="BZ319" s="382" t="str">
        <f>+INPUT!BI297</f>
        <v>NM</v>
      </c>
      <c r="CA319" s="436">
        <f>+INPUT!BJ297</f>
        <v>-300</v>
      </c>
      <c r="CB319" s="382" t="str">
        <f>+INPUT!BK297</f>
        <v>NM</v>
      </c>
      <c r="CC319" s="436">
        <f>+INPUT!BL297</f>
        <v>0</v>
      </c>
      <c r="CD319" s="382" t="str">
        <f>+INPUT!BM297</f>
        <v>NM</v>
      </c>
      <c r="CE319" s="436">
        <f>+INPUT!BN297</f>
        <v>0</v>
      </c>
      <c r="CF319" s="382" t="str">
        <f>+INPUT!BO297</f>
        <v>NA</v>
      </c>
      <c r="CG319" s="436">
        <f>+INPUT!BP297</f>
        <v>0</v>
      </c>
      <c r="CH319" s="382" t="str">
        <f>+INPUT!BQ297</f>
        <v>NA</v>
      </c>
      <c r="CI319" s="436">
        <f>+INPUT!BR297</f>
        <v>0</v>
      </c>
      <c r="CJ319" s="382" t="str">
        <f>+INPUT!BS297</f>
        <v>NA</v>
      </c>
      <c r="CK319" s="436">
        <f>+INPUT!BT297</f>
        <v>0</v>
      </c>
      <c r="CL319" s="382" t="str">
        <f>+INPUT!BU297</f>
        <v>NA</v>
      </c>
      <c r="CM319" s="424" t="str">
        <f>+INPUT!BV297</f>
        <v>NM</v>
      </c>
    </row>
    <row r="320" spans="1:91" ht="12" hidden="1" customHeight="1" outlineLevel="1" x14ac:dyDescent="0.2">
      <c r="A320" s="400" t="str">
        <f>INPUT!B210</f>
        <v xml:space="preserve">  Effect of Exchange Rates</v>
      </c>
      <c r="B320" s="425"/>
      <c r="C320" s="424"/>
      <c r="D320" s="436"/>
      <c r="E320" s="382"/>
      <c r="F320" s="436"/>
      <c r="G320" s="382"/>
      <c r="H320" s="436"/>
      <c r="I320" s="382"/>
      <c r="J320" s="436"/>
      <c r="K320" s="382"/>
      <c r="L320" s="436"/>
      <c r="M320" s="382"/>
      <c r="N320" s="436">
        <f>+INPUT!O298</f>
        <v>-8600</v>
      </c>
      <c r="O320" s="382" t="str">
        <f>+INPUT!P298</f>
        <v>NA</v>
      </c>
      <c r="P320" s="436">
        <f>+INPUT!Q298</f>
        <v>-6600</v>
      </c>
      <c r="Q320" s="382" t="str">
        <f>+INPUT!R298</f>
        <v>NA</v>
      </c>
      <c r="R320" s="436">
        <f>+INPUT!S298</f>
        <v>-9800</v>
      </c>
      <c r="S320" s="382" t="str">
        <f>+INPUT!T298</f>
        <v>NA</v>
      </c>
      <c r="T320" s="436">
        <f>+INPUT!U298</f>
        <v>-800</v>
      </c>
      <c r="U320" s="382" t="str">
        <f>+INPUT!V298</f>
        <v>NA</v>
      </c>
      <c r="V320" s="436">
        <f>+INPUT!W298</f>
        <v>-16300</v>
      </c>
      <c r="W320" s="382">
        <f>+INPUT!X298</f>
        <v>89.534883720930225</v>
      </c>
      <c r="X320" s="436">
        <f>+INPUT!Y298</f>
        <v>-400</v>
      </c>
      <c r="Y320" s="382" t="str">
        <f>+INPUT!Z298</f>
        <v>NM</v>
      </c>
      <c r="Z320" s="436">
        <f>+INPUT!AA298</f>
        <v>8200</v>
      </c>
      <c r="AA320" s="382" t="str">
        <f>+INPUT!AB298</f>
        <v>NM</v>
      </c>
      <c r="AB320" s="436">
        <f>+INPUT!AC298</f>
        <v>4600</v>
      </c>
      <c r="AC320" s="382" t="str">
        <f>+INPUT!AD298</f>
        <v>NM</v>
      </c>
      <c r="AD320" s="436">
        <f>+INPUT!AE298</f>
        <v>-1300</v>
      </c>
      <c r="AE320" s="382" t="str">
        <f>+INPUT!AF298</f>
        <v>NM</v>
      </c>
      <c r="AF320" s="436">
        <f>+INPUT!AG298</f>
        <v>-2400</v>
      </c>
      <c r="AG320" s="382" t="str">
        <f>+INPUT!AH298</f>
        <v>NM</v>
      </c>
      <c r="AH320" s="436">
        <f>+INPUT!AI298</f>
        <v>3200</v>
      </c>
      <c r="AI320" s="382" t="str">
        <f>+INPUT!AJ298</f>
        <v>NM</v>
      </c>
      <c r="AJ320" s="436">
        <f>+INPUT!AK298</f>
        <v>-2300</v>
      </c>
      <c r="AK320" s="382" t="str">
        <f>+INPUT!AL298</f>
        <v>NM</v>
      </c>
      <c r="AL320" s="436">
        <f>+INPUT!AM298</f>
        <v>5100</v>
      </c>
      <c r="AM320" s="382" t="str">
        <f>+INPUT!AN298</f>
        <v>NM</v>
      </c>
      <c r="AN320" s="436">
        <f>+INPUT!AO298</f>
        <v>-1700</v>
      </c>
      <c r="AO320" s="382">
        <f>+INPUT!AP298</f>
        <v>-29.166666666666657</v>
      </c>
      <c r="AP320" s="436">
        <f>+INPUT!AQ298</f>
        <v>-3500</v>
      </c>
      <c r="AQ320" s="382" t="str">
        <f>+INPUT!AR298</f>
        <v>NM</v>
      </c>
      <c r="AR320" s="436">
        <f>+INPUT!AS298</f>
        <v>-3500</v>
      </c>
      <c r="AS320" s="382">
        <f>+INPUT!AT298</f>
        <v>52.173913043478279</v>
      </c>
      <c r="AT320" s="436">
        <f>+INPUT!AU298</f>
        <v>-3500</v>
      </c>
      <c r="AU320" s="382" t="str">
        <f>+INPUT!AV298</f>
        <v>NM</v>
      </c>
      <c r="AV320" s="436">
        <f>+INPUT!AW298</f>
        <v>-3500</v>
      </c>
      <c r="AW320" s="382" t="str">
        <f>+INPUT!AX298</f>
        <v>NM</v>
      </c>
      <c r="AX320" s="403"/>
      <c r="AY320" s="402"/>
      <c r="AZ320" s="432"/>
      <c r="BA320" s="402"/>
      <c r="BB320" s="432"/>
      <c r="BC320" s="402"/>
      <c r="BD320" s="432"/>
      <c r="BE320" s="402"/>
      <c r="BF320" s="382"/>
      <c r="BG320" s="402"/>
      <c r="BH320" s="382"/>
      <c r="BI320" s="402"/>
      <c r="BJ320" s="382"/>
      <c r="BK320" s="436"/>
      <c r="BL320" s="382"/>
      <c r="BM320" s="436"/>
      <c r="BN320" s="382"/>
      <c r="BO320" s="436"/>
      <c r="BP320" s="382"/>
      <c r="BQ320" s="436"/>
      <c r="BR320" s="382"/>
      <c r="BS320" s="436">
        <f>+INPUT!BB298</f>
        <v>0</v>
      </c>
      <c r="BT320" s="382" t="str">
        <f>+INPUT!BC298</f>
        <v>NA</v>
      </c>
      <c r="BU320" s="436">
        <f>+INPUT!BD298</f>
        <v>0</v>
      </c>
      <c r="BV320" s="382" t="str">
        <f>+INPUT!BE298</f>
        <v>NA</v>
      </c>
      <c r="BW320" s="436">
        <f>+INPUT!BF298</f>
        <v>-27300</v>
      </c>
      <c r="BX320" s="382" t="str">
        <f>+INPUT!BG298</f>
        <v>NA</v>
      </c>
      <c r="BY320" s="436">
        <f>+INPUT!BH298</f>
        <v>9100</v>
      </c>
      <c r="BZ320" s="382" t="str">
        <f>+INPUT!BI298</f>
        <v>NM</v>
      </c>
      <c r="CA320" s="436">
        <f>+INPUT!BJ298</f>
        <v>4300</v>
      </c>
      <c r="CB320" s="382" t="str">
        <f>+INPUT!BK298</f>
        <v>NM</v>
      </c>
      <c r="CC320" s="436">
        <f>+INPUT!BL298</f>
        <v>-14000</v>
      </c>
      <c r="CD320" s="382" t="str">
        <f>+INPUT!BM298</f>
        <v>NM</v>
      </c>
      <c r="CE320" s="436">
        <f>+INPUT!BN298</f>
        <v>0</v>
      </c>
      <c r="CF320" s="382" t="str">
        <f>+INPUT!BO298</f>
        <v>NM</v>
      </c>
      <c r="CG320" s="436">
        <f>+INPUT!BP298</f>
        <v>0</v>
      </c>
      <c r="CH320" s="382" t="str">
        <f>+INPUT!BQ298</f>
        <v>NA</v>
      </c>
      <c r="CI320" s="436">
        <f>+INPUT!BR298</f>
        <v>0</v>
      </c>
      <c r="CJ320" s="382" t="str">
        <f>+INPUT!BS298</f>
        <v>NA</v>
      </c>
      <c r="CK320" s="436">
        <f>+INPUT!BT298</f>
        <v>0</v>
      </c>
      <c r="CL320" s="382" t="str">
        <f>+INPUT!BU298</f>
        <v>NA</v>
      </c>
      <c r="CM320" s="424" t="str">
        <f>+INPUT!BV298</f>
        <v>NM</v>
      </c>
    </row>
    <row r="321" spans="1:91" ht="12" hidden="1" customHeight="1" outlineLevel="1" x14ac:dyDescent="0.2">
      <c r="A321" s="400" t="str">
        <f>INPUT!B211</f>
        <v>AUM, end of period</v>
      </c>
      <c r="B321" s="425"/>
      <c r="C321" s="424"/>
      <c r="D321" s="436"/>
      <c r="E321" s="382"/>
      <c r="F321" s="436"/>
      <c r="G321" s="382"/>
      <c r="H321" s="436"/>
      <c r="I321" s="382"/>
      <c r="J321" s="436"/>
      <c r="K321" s="382"/>
      <c r="L321" s="436"/>
      <c r="M321" s="382"/>
      <c r="N321" s="436">
        <f>+INPUT!O299</f>
        <v>116100</v>
      </c>
      <c r="O321" s="382" t="str">
        <f>+INPUT!P299</f>
        <v>NA</v>
      </c>
      <c r="P321" s="436">
        <f>+INPUT!Q299</f>
        <v>114600</v>
      </c>
      <c r="Q321" s="382" t="str">
        <f>+INPUT!R299</f>
        <v>NA</v>
      </c>
      <c r="R321" s="436">
        <f>+INPUT!S299</f>
        <v>110900</v>
      </c>
      <c r="S321" s="382" t="str">
        <f>+INPUT!T299</f>
        <v>NA</v>
      </c>
      <c r="T321" s="436">
        <f>+INPUT!U299</f>
        <v>117500</v>
      </c>
      <c r="U321" s="382" t="str">
        <f>+INPUT!V299</f>
        <v>NA</v>
      </c>
      <c r="V321" s="436">
        <f>+INPUT!W299</f>
        <v>106200</v>
      </c>
      <c r="W321" s="382">
        <f>+INPUT!X299</f>
        <v>-8.5271317829457445</v>
      </c>
      <c r="X321" s="436">
        <f>+INPUT!Y299</f>
        <v>109900</v>
      </c>
      <c r="Y321" s="382">
        <f>+INPUT!Z299</f>
        <v>-4.1012216404886601</v>
      </c>
      <c r="Z321" s="436">
        <f>+INPUT!AA299</f>
        <v>121000</v>
      </c>
      <c r="AA321" s="382">
        <f>+INPUT!AB299</f>
        <v>9.1073038773670021</v>
      </c>
      <c r="AB321" s="436">
        <f>+INPUT!AC299</f>
        <v>130900</v>
      </c>
      <c r="AC321" s="382">
        <f>+INPUT!AD299</f>
        <v>11.40425531914893</v>
      </c>
      <c r="AD321" s="436">
        <f>+INPUT!AE299</f>
        <v>136300</v>
      </c>
      <c r="AE321" s="382">
        <f>+INPUT!AF299</f>
        <v>28.342749529190201</v>
      </c>
      <c r="AF321" s="436">
        <f>+INPUT!AG299</f>
        <v>137100</v>
      </c>
      <c r="AG321" s="382">
        <f>+INPUT!AH299</f>
        <v>24.749772520473172</v>
      </c>
      <c r="AH321" s="436">
        <f>+INPUT!AI299</f>
        <v>147300</v>
      </c>
      <c r="AI321" s="382">
        <f>+INPUT!AJ299</f>
        <v>21.735537190082653</v>
      </c>
      <c r="AJ321" s="436">
        <f>+INPUT!AK299</f>
        <v>147700</v>
      </c>
      <c r="AK321" s="382">
        <f>+INPUT!AL299</f>
        <v>12.83422459893049</v>
      </c>
      <c r="AL321" s="436">
        <f>+INPUT!AM299</f>
        <v>158600</v>
      </c>
      <c r="AM321" s="382">
        <f>+INPUT!AN299</f>
        <v>16.360968451944231</v>
      </c>
      <c r="AN321" s="436">
        <f>+INPUT!AO299</f>
        <v>160700</v>
      </c>
      <c r="AO321" s="382">
        <f>+INPUT!AP299</f>
        <v>17.213712618526628</v>
      </c>
      <c r="AP321" s="436">
        <f>+INPUT!AQ299</f>
        <v>159036.91216462784</v>
      </c>
      <c r="AQ321" s="382">
        <f>+INPUT!AR299</f>
        <v>7.9680326983216929</v>
      </c>
      <c r="AR321" s="436">
        <f>+INPUT!AS299</f>
        <v>159127.38234422871</v>
      </c>
      <c r="AS321" s="382">
        <f>+INPUT!AT299</f>
        <v>7.7368871660316216</v>
      </c>
      <c r="AT321" s="436">
        <f>+INPUT!AU299</f>
        <v>159216.24573784901</v>
      </c>
      <c r="AU321" s="382">
        <f>+INPUT!AV299</f>
        <v>0.38855342865637965</v>
      </c>
      <c r="AV321" s="436">
        <f>+INPUT!AW299</f>
        <v>159303.48106486187</v>
      </c>
      <c r="AW321" s="382">
        <f>+INPUT!AX299</f>
        <v>-0.86902236162920588</v>
      </c>
      <c r="AX321" s="403"/>
      <c r="AY321" s="402"/>
      <c r="AZ321" s="432"/>
      <c r="BA321" s="402"/>
      <c r="BB321" s="432"/>
      <c r="BC321" s="402"/>
      <c r="BD321" s="432"/>
      <c r="BE321" s="402"/>
      <c r="BF321" s="382"/>
      <c r="BG321" s="402"/>
      <c r="BH321" s="382"/>
      <c r="BI321" s="402"/>
      <c r="BJ321" s="382"/>
      <c r="BK321" s="436"/>
      <c r="BL321" s="382"/>
      <c r="BM321" s="436"/>
      <c r="BN321" s="382"/>
      <c r="BO321" s="436"/>
      <c r="BP321" s="382"/>
      <c r="BQ321" s="436"/>
      <c r="BR321" s="382"/>
      <c r="BS321" s="436">
        <f>+INPUT!BB299</f>
        <v>0</v>
      </c>
      <c r="BT321" s="382" t="str">
        <f>+INPUT!BC299</f>
        <v>NA</v>
      </c>
      <c r="BU321" s="436">
        <f>+INPUT!BD299</f>
        <v>114600</v>
      </c>
      <c r="BV321" s="382" t="str">
        <f>+INPUT!BE299</f>
        <v>NA</v>
      </c>
      <c r="BW321" s="436">
        <f>+INPUT!BF299</f>
        <v>109900</v>
      </c>
      <c r="BX321" s="382">
        <f>+INPUT!BG299</f>
        <v>-4.1012216404886601</v>
      </c>
      <c r="BY321" s="436">
        <f>+INPUT!BH299</f>
        <v>137100</v>
      </c>
      <c r="BZ321" s="382">
        <f>+INPUT!BI299</f>
        <v>24.749772520473172</v>
      </c>
      <c r="CA321" s="436">
        <f>+INPUT!BJ299</f>
        <v>160700</v>
      </c>
      <c r="CB321" s="382">
        <f>+INPUT!BK299</f>
        <v>17.213712618526628</v>
      </c>
      <c r="CC321" s="436">
        <f>+INPUT!BL299</f>
        <v>159303.48106486184</v>
      </c>
      <c r="CD321" s="382">
        <f>+INPUT!BM299</f>
        <v>-0.86902236162922009</v>
      </c>
      <c r="CE321" s="436">
        <f>+INPUT!BN299</f>
        <v>172881.19245893744</v>
      </c>
      <c r="CF321" s="382">
        <f>+INPUT!BO299</f>
        <v>8.5231730677293456</v>
      </c>
      <c r="CG321" s="436">
        <f>+INPUT!BP299</f>
        <v>185696.59061762341</v>
      </c>
      <c r="CH321" s="382">
        <f>+INPUT!BQ299</f>
        <v>7.4128353561246314</v>
      </c>
      <c r="CI321" s="436">
        <f>+INPUT!BR299</f>
        <v>197984.60951738738</v>
      </c>
      <c r="CJ321" s="382">
        <f>+INPUT!BS299</f>
        <v>6.6172560621033654</v>
      </c>
      <c r="CK321" s="436">
        <f>+INPUT!BT299</f>
        <v>209936.63414194377</v>
      </c>
      <c r="CL321" s="382">
        <f>+INPUT!BU299</f>
        <v>6.036845315244932</v>
      </c>
      <c r="CM321" s="424">
        <f>+INPUT!BV299</f>
        <v>5.4907720151723183</v>
      </c>
    </row>
    <row r="322" spans="1:91" ht="12" hidden="1" customHeight="1" outlineLevel="1" x14ac:dyDescent="0.2">
      <c r="A322" s="768" t="s">
        <v>577</v>
      </c>
      <c r="B322" s="425"/>
      <c r="C322" s="424"/>
      <c r="D322" s="436"/>
      <c r="E322" s="382"/>
      <c r="F322" s="436"/>
      <c r="G322" s="382"/>
      <c r="H322" s="436"/>
      <c r="I322" s="382"/>
      <c r="J322" s="436"/>
      <c r="K322" s="382"/>
      <c r="L322" s="436"/>
      <c r="M322" s="382"/>
      <c r="N322" s="436">
        <f>+INPUT!O301</f>
        <v>13800</v>
      </c>
      <c r="O322" s="382" t="str">
        <f>+INPUT!P301</f>
        <v>NA</v>
      </c>
      <c r="P322" s="436">
        <f>+INPUT!Q301</f>
        <v>19100</v>
      </c>
      <c r="Q322" s="382" t="str">
        <f>+INPUT!R301</f>
        <v>NA</v>
      </c>
      <c r="R322" s="436">
        <f>+INPUT!S301</f>
        <v>20900</v>
      </c>
      <c r="S322" s="382" t="str">
        <f>+INPUT!T301</f>
        <v>NA</v>
      </c>
      <c r="T322" s="436">
        <f>+INPUT!U301</f>
        <v>34200</v>
      </c>
      <c r="U322" s="382" t="str">
        <f>+INPUT!V301</f>
        <v>NA</v>
      </c>
      <c r="V322" s="436">
        <f>+INPUT!W301</f>
        <v>41500</v>
      </c>
      <c r="W322" s="382" t="str">
        <f>+INPUT!X301</f>
        <v>NM</v>
      </c>
      <c r="X322" s="436">
        <f>+INPUT!Y301</f>
        <v>41800</v>
      </c>
      <c r="Y322" s="382" t="str">
        <f>+INPUT!Z301</f>
        <v>NM</v>
      </c>
      <c r="Z322" s="436">
        <f>+INPUT!AA301</f>
        <v>56500</v>
      </c>
      <c r="AA322" s="382" t="str">
        <f>+INPUT!AB301</f>
        <v>NM</v>
      </c>
      <c r="AB322" s="436">
        <f>+INPUT!AC301</f>
        <v>101000</v>
      </c>
      <c r="AC322" s="382" t="str">
        <f>+INPUT!AD301</f>
        <v>NM</v>
      </c>
      <c r="AD322" s="436">
        <f>+INPUT!AE301</f>
        <v>127200</v>
      </c>
      <c r="AE322" s="382" t="str">
        <f>+INPUT!AF301</f>
        <v>NM</v>
      </c>
      <c r="AF322" s="436">
        <f>+INPUT!AG301</f>
        <v>101300</v>
      </c>
      <c r="AG322" s="382" t="str">
        <f>+INPUT!AH301</f>
        <v>NM</v>
      </c>
      <c r="AH322" s="436">
        <f>+INPUT!AI301</f>
        <v>96100</v>
      </c>
      <c r="AI322" s="382">
        <f>+INPUT!AJ301</f>
        <v>70.088495575221231</v>
      </c>
      <c r="AJ322" s="436">
        <f>+INPUT!AK301</f>
        <v>96600</v>
      </c>
      <c r="AK322" s="382">
        <f>+INPUT!AL301</f>
        <v>-4.3564356435643674</v>
      </c>
      <c r="AL322" s="436">
        <f>+INPUT!AM301</f>
        <v>117100</v>
      </c>
      <c r="AM322" s="382">
        <f>+INPUT!AN301</f>
        <v>-7.9402515723270426</v>
      </c>
      <c r="AN322" s="436">
        <f>+INPUT!AO301</f>
        <v>124400</v>
      </c>
      <c r="AO322" s="382">
        <f>+INPUT!AP301</f>
        <v>22.803553800592297</v>
      </c>
      <c r="AP322" s="436">
        <f>+INPUT!AQ301</f>
        <v>126888</v>
      </c>
      <c r="AQ322" s="382">
        <f>+INPUT!AR301</f>
        <v>32.037460978147777</v>
      </c>
      <c r="AR322" s="436">
        <f>+INPUT!AS301</f>
        <v>129425.76000000001</v>
      </c>
      <c r="AS322" s="382">
        <f>+INPUT!AT301</f>
        <v>33.981118012422371</v>
      </c>
      <c r="AT322" s="436">
        <f>+INPUT!AU301</f>
        <v>132014.2752</v>
      </c>
      <c r="AU322" s="382">
        <f>+INPUT!AV301</f>
        <v>12.736357984628526</v>
      </c>
      <c r="AV322" s="436">
        <f>+INPUT!AW301</f>
        <v>134654.560704</v>
      </c>
      <c r="AW322" s="382">
        <f>+INPUT!AX301</f>
        <v>8.2432160000000039</v>
      </c>
      <c r="AX322" s="403"/>
      <c r="AY322" s="402"/>
      <c r="AZ322" s="432"/>
      <c r="BA322" s="402"/>
      <c r="BB322" s="432"/>
      <c r="BC322" s="402"/>
      <c r="BD322" s="432"/>
      <c r="BE322" s="402"/>
      <c r="BF322" s="382"/>
      <c r="BG322" s="402"/>
      <c r="BH322" s="382"/>
      <c r="BI322" s="402"/>
      <c r="BJ322" s="382"/>
      <c r="BK322" s="436"/>
      <c r="BL322" s="382"/>
      <c r="BM322" s="436"/>
      <c r="BN322" s="382"/>
      <c r="BO322" s="436"/>
      <c r="BP322" s="382"/>
      <c r="BQ322" s="436"/>
      <c r="BR322" s="382"/>
      <c r="BS322" s="436">
        <f>+INPUT!BB301</f>
        <v>0</v>
      </c>
      <c r="BT322" s="382" t="str">
        <f>+INPUT!BC301</f>
        <v>NA</v>
      </c>
      <c r="BU322" s="436">
        <f>+INPUT!BD301</f>
        <v>0</v>
      </c>
      <c r="BV322" s="382" t="str">
        <f>+INPUT!BE301</f>
        <v>NA</v>
      </c>
      <c r="BW322" s="436">
        <f>+INPUT!BF301</f>
        <v>41800</v>
      </c>
      <c r="BX322" s="382" t="str">
        <f>+INPUT!BG301</f>
        <v>NA</v>
      </c>
      <c r="BY322" s="436">
        <f>+INPUT!BH301</f>
        <v>101300</v>
      </c>
      <c r="BZ322" s="382" t="str">
        <f>+INPUT!BI301</f>
        <v>NM</v>
      </c>
      <c r="CA322" s="436">
        <f>+INPUT!BJ301</f>
        <v>124400</v>
      </c>
      <c r="CB322" s="382">
        <f>+INPUT!BK301</f>
        <v>22.803553800592297</v>
      </c>
      <c r="CC322" s="436">
        <f>+INPUT!BL301</f>
        <v>134654.560704</v>
      </c>
      <c r="CD322" s="382">
        <f>+INPUT!BM301</f>
        <v>8.2432160000000039</v>
      </c>
      <c r="CE322" s="436">
        <f>+INPUT!BN301</f>
        <v>148120.01677440002</v>
      </c>
      <c r="CF322" s="382">
        <f>+INPUT!BO301</f>
        <v>10.000000000000014</v>
      </c>
      <c r="CG322" s="436">
        <f>+INPUT!BP301</f>
        <v>162932.01845184003</v>
      </c>
      <c r="CH322" s="382">
        <f>+INPUT!BQ301</f>
        <v>10.000000000000014</v>
      </c>
      <c r="CI322" s="436">
        <f>+INPUT!BR301</f>
        <v>179225.22029702406</v>
      </c>
      <c r="CJ322" s="382">
        <f>+INPUT!BS301</f>
        <v>10.000000000000014</v>
      </c>
      <c r="CK322" s="436">
        <f>+INPUT!BT301</f>
        <v>197147.7423267265</v>
      </c>
      <c r="CL322" s="382">
        <f>+INPUT!BU301</f>
        <v>10.000000000000014</v>
      </c>
      <c r="CM322" s="424">
        <f>+INPUT!BV301</f>
        <v>9.6463768734843303</v>
      </c>
    </row>
    <row r="323" spans="1:91" ht="12" hidden="1" customHeight="1" outlineLevel="1" x14ac:dyDescent="0.2">
      <c r="A323" s="400" t="s">
        <v>578</v>
      </c>
      <c r="B323" s="425"/>
      <c r="C323" s="424"/>
      <c r="D323" s="436"/>
      <c r="E323" s="382"/>
      <c r="F323" s="436"/>
      <c r="G323" s="382"/>
      <c r="H323" s="436"/>
      <c r="I323" s="382"/>
      <c r="J323" s="436"/>
      <c r="K323" s="382"/>
      <c r="L323" s="436"/>
      <c r="M323" s="382"/>
      <c r="N323" s="436">
        <f>+INPUT!O302</f>
        <v>129900</v>
      </c>
      <c r="O323" s="382" t="str">
        <f>+INPUT!P302</f>
        <v>NA</v>
      </c>
      <c r="P323" s="436">
        <f>+INPUT!Q302</f>
        <v>133700</v>
      </c>
      <c r="Q323" s="382" t="str">
        <f>+INPUT!R302</f>
        <v>NA</v>
      </c>
      <c r="R323" s="436">
        <f>+INPUT!S302</f>
        <v>131800</v>
      </c>
      <c r="S323" s="382" t="str">
        <f>+INPUT!T302</f>
        <v>NA</v>
      </c>
      <c r="T323" s="436">
        <f>+INPUT!U302</f>
        <v>151700</v>
      </c>
      <c r="U323" s="382" t="str">
        <f>+INPUT!V302</f>
        <v>NA</v>
      </c>
      <c r="V323" s="436">
        <f>+INPUT!W302</f>
        <v>147700</v>
      </c>
      <c r="W323" s="382">
        <f>+INPUT!X302</f>
        <v>13.702848344880664</v>
      </c>
      <c r="X323" s="436">
        <f>+INPUT!Y302</f>
        <v>151700</v>
      </c>
      <c r="Y323" s="382">
        <f>+INPUT!Z302</f>
        <v>13.462976813762168</v>
      </c>
      <c r="Z323" s="436">
        <f>+INPUT!AA302</f>
        <v>177500</v>
      </c>
      <c r="AA323" s="382">
        <f>+INPUT!AB302</f>
        <v>34.673748103186654</v>
      </c>
      <c r="AB323" s="436">
        <f>+INPUT!AC302</f>
        <v>231900</v>
      </c>
      <c r="AC323" s="382">
        <f>+INPUT!AD302</f>
        <v>52.867501647989457</v>
      </c>
      <c r="AD323" s="436">
        <f>+INPUT!AE302</f>
        <v>263500</v>
      </c>
      <c r="AE323" s="382">
        <f>+INPUT!AF302</f>
        <v>78.402166553825339</v>
      </c>
      <c r="AF323" s="436">
        <f>+INPUT!AG302</f>
        <v>238400</v>
      </c>
      <c r="AG323" s="382">
        <f>+INPUT!AH302</f>
        <v>57.152274225444955</v>
      </c>
      <c r="AH323" s="436">
        <f>+INPUT!AI302</f>
        <v>243400</v>
      </c>
      <c r="AI323" s="382">
        <f>+INPUT!AJ302</f>
        <v>37.126760563380287</v>
      </c>
      <c r="AJ323" s="436">
        <f>+INPUT!AK302</f>
        <v>244300</v>
      </c>
      <c r="AK323" s="382">
        <f>+INPUT!AL302</f>
        <v>5.3471323846485461</v>
      </c>
      <c r="AL323" s="436">
        <f>+INPUT!AM302</f>
        <v>275700</v>
      </c>
      <c r="AM323" s="382">
        <f>+INPUT!AN302</f>
        <v>4.6299810246679414</v>
      </c>
      <c r="AN323" s="436">
        <f>+INPUT!AO302</f>
        <v>285100</v>
      </c>
      <c r="AO323" s="382">
        <f>+INPUT!AP302</f>
        <v>19.588926174496635</v>
      </c>
      <c r="AP323" s="436">
        <f>+INPUT!AQ302</f>
        <v>285924.91216462781</v>
      </c>
      <c r="AQ323" s="382">
        <f>+INPUT!AR302</f>
        <v>17.471204669115778</v>
      </c>
      <c r="AR323" s="436">
        <f>+INPUT!AS302</f>
        <v>288553.14234422869</v>
      </c>
      <c r="AS323" s="382">
        <f>+INPUT!AT302</f>
        <v>18.114262113888131</v>
      </c>
      <c r="AT323" s="436">
        <f>+INPUT!AU302</f>
        <v>291230.52093784901</v>
      </c>
      <c r="AU323" s="382">
        <f>+INPUT!AV302</f>
        <v>5.6331232999089735</v>
      </c>
      <c r="AV323" s="436">
        <f>+INPUT!AW302</f>
        <v>293958.04176886188</v>
      </c>
      <c r="AW323" s="382">
        <f>+INPUT!AX302</f>
        <v>3.1069946576155303</v>
      </c>
      <c r="AX323" s="403"/>
      <c r="AY323" s="402"/>
      <c r="AZ323" s="432"/>
      <c r="BA323" s="402"/>
      <c r="BB323" s="432"/>
      <c r="BC323" s="402"/>
      <c r="BD323" s="432"/>
      <c r="BE323" s="402"/>
      <c r="BF323" s="382"/>
      <c r="BG323" s="402"/>
      <c r="BH323" s="382"/>
      <c r="BI323" s="402"/>
      <c r="BJ323" s="382"/>
      <c r="BK323" s="436"/>
      <c r="BL323" s="382"/>
      <c r="BM323" s="436"/>
      <c r="BN323" s="382"/>
      <c r="BO323" s="436"/>
      <c r="BP323" s="382"/>
      <c r="BQ323" s="436"/>
      <c r="BR323" s="382"/>
      <c r="BS323" s="436">
        <f>+INPUT!BB302</f>
        <v>0</v>
      </c>
      <c r="BT323" s="382">
        <f>+INPUT!BC302</f>
        <v>0</v>
      </c>
      <c r="BU323" s="436">
        <f>+INPUT!BD302</f>
        <v>0</v>
      </c>
      <c r="BV323" s="382">
        <f>+INPUT!BE302</f>
        <v>0</v>
      </c>
      <c r="BW323" s="436">
        <f>+INPUT!BF302</f>
        <v>151700</v>
      </c>
      <c r="BX323" s="382">
        <f>+INPUT!BG302</f>
        <v>0</v>
      </c>
      <c r="BY323" s="436">
        <f>+INPUT!BH302</f>
        <v>238400</v>
      </c>
      <c r="BZ323" s="382">
        <f>+INPUT!BI302</f>
        <v>0</v>
      </c>
      <c r="CA323" s="436">
        <f>+INPUT!BJ302</f>
        <v>285100</v>
      </c>
      <c r="CB323" s="382">
        <f>+INPUT!BK302</f>
        <v>0</v>
      </c>
      <c r="CC323" s="436">
        <f>+INPUT!BL302</f>
        <v>293958.04176886182</v>
      </c>
      <c r="CD323" s="382">
        <f>+INPUT!BM302</f>
        <v>0</v>
      </c>
      <c r="CE323" s="436">
        <f>+INPUT!BN302</f>
        <v>321001.20923333743</v>
      </c>
      <c r="CF323" s="382">
        <f>+INPUT!BO302</f>
        <v>0</v>
      </c>
      <c r="CG323" s="436">
        <f>+INPUT!BP302</f>
        <v>348628.60906946345</v>
      </c>
      <c r="CH323" s="382">
        <f>+INPUT!BQ302</f>
        <v>0</v>
      </c>
      <c r="CI323" s="436">
        <f>+INPUT!BR302</f>
        <v>377209.82981441147</v>
      </c>
      <c r="CJ323" s="382">
        <f>+INPUT!BS302</f>
        <v>0</v>
      </c>
      <c r="CK323" s="436">
        <f>+INPUT!BT302</f>
        <v>407084.37646867026</v>
      </c>
      <c r="CL323" s="382">
        <f>+INPUT!BU302</f>
        <v>0</v>
      </c>
      <c r="CM323" s="424">
        <f>+INPUT!BV302</f>
        <v>7.3834724289051579</v>
      </c>
    </row>
    <row r="324" spans="1:91" ht="12" hidden="1" customHeight="1" outlineLevel="1" x14ac:dyDescent="0.2">
      <c r="A324" s="400"/>
      <c r="B324" s="425"/>
      <c r="C324" s="424"/>
      <c r="D324" s="436"/>
      <c r="E324" s="382"/>
      <c r="F324" s="436"/>
      <c r="G324" s="382"/>
      <c r="H324" s="436"/>
      <c r="I324" s="382"/>
      <c r="J324" s="436"/>
      <c r="K324" s="382"/>
      <c r="L324" s="436"/>
      <c r="M324" s="382"/>
      <c r="N324" s="436"/>
      <c r="O324" s="382"/>
      <c r="P324" s="436"/>
      <c r="Q324" s="382"/>
      <c r="R324" s="436"/>
      <c r="S324" s="382"/>
      <c r="T324" s="436"/>
      <c r="U324" s="382"/>
      <c r="V324" s="436"/>
      <c r="W324" s="382"/>
      <c r="X324" s="436"/>
      <c r="Y324" s="382"/>
      <c r="Z324" s="436"/>
      <c r="AA324" s="382"/>
      <c r="AB324" s="436"/>
      <c r="AC324" s="382"/>
      <c r="AD324" s="436"/>
      <c r="AE324" s="382"/>
      <c r="AF324" s="436"/>
      <c r="AG324" s="382"/>
      <c r="AH324" s="436"/>
      <c r="AI324" s="382"/>
      <c r="AJ324" s="436"/>
      <c r="AK324" s="382"/>
      <c r="AL324" s="436"/>
      <c r="AM324" s="382"/>
      <c r="AN324" s="436"/>
      <c r="AO324" s="382"/>
      <c r="AP324" s="436"/>
      <c r="AQ324" s="382"/>
      <c r="AR324" s="436"/>
      <c r="AS324" s="382"/>
      <c r="AT324" s="436"/>
      <c r="AU324" s="382"/>
      <c r="AV324" s="436"/>
      <c r="AW324" s="382"/>
      <c r="AX324" s="403"/>
      <c r="AY324" s="402"/>
      <c r="AZ324" s="432"/>
      <c r="BA324" s="402"/>
      <c r="BB324" s="432"/>
      <c r="BC324" s="402"/>
      <c r="BD324" s="432"/>
      <c r="BE324" s="402"/>
      <c r="BF324" s="382"/>
      <c r="BG324" s="402"/>
      <c r="BH324" s="382"/>
      <c r="BI324" s="402"/>
      <c r="BJ324" s="382"/>
      <c r="BK324" s="436"/>
      <c r="BL324" s="382"/>
      <c r="BM324" s="436"/>
      <c r="BN324" s="382"/>
      <c r="BO324" s="436"/>
      <c r="BP324" s="382"/>
      <c r="BQ324" s="436"/>
      <c r="BR324" s="382"/>
      <c r="BS324" s="436"/>
      <c r="BT324" s="382"/>
      <c r="BU324" s="436"/>
      <c r="BV324" s="382"/>
      <c r="BW324" s="436"/>
      <c r="BX324" s="382"/>
      <c r="BY324" s="436"/>
      <c r="BZ324" s="382"/>
      <c r="CA324" s="436"/>
      <c r="CB324" s="382"/>
      <c r="CC324" s="436"/>
      <c r="CD324" s="382"/>
      <c r="CE324" s="436"/>
      <c r="CF324" s="382"/>
      <c r="CG324" s="436"/>
      <c r="CH324" s="382"/>
      <c r="CI324" s="436"/>
      <c r="CJ324" s="382"/>
      <c r="CK324" s="436"/>
      <c r="CL324" s="382"/>
      <c r="CM324" s="424"/>
    </row>
    <row r="325" spans="1:91" ht="12" hidden="1" customHeight="1" outlineLevel="1" x14ac:dyDescent="0.2">
      <c r="A325" s="400" t="str">
        <f>INPUT!B212</f>
        <v>Average AUM</v>
      </c>
      <c r="B325" s="425"/>
      <c r="C325" s="424"/>
      <c r="D325" s="436"/>
      <c r="E325" s="382"/>
      <c r="F325" s="436"/>
      <c r="G325" s="382"/>
      <c r="H325" s="436"/>
      <c r="I325" s="382"/>
      <c r="J325" s="436"/>
      <c r="K325" s="382"/>
      <c r="L325" s="436"/>
      <c r="M325" s="382"/>
      <c r="N325" s="436"/>
      <c r="O325" s="382"/>
      <c r="P325" s="436">
        <f>+INPUT!Q303</f>
        <v>131800</v>
      </c>
      <c r="Q325" s="382" t="str">
        <f>+INPUT!R303</f>
        <v>NA</v>
      </c>
      <c r="R325" s="436">
        <f>+INPUT!S303</f>
        <v>132750</v>
      </c>
      <c r="S325" s="382" t="str">
        <f>+INPUT!T303</f>
        <v>NA</v>
      </c>
      <c r="T325" s="436">
        <f>+INPUT!U303</f>
        <v>141750</v>
      </c>
      <c r="U325" s="382" t="str">
        <f>+INPUT!V303</f>
        <v>NA</v>
      </c>
      <c r="V325" s="436">
        <f>+INPUT!W303</f>
        <v>149700</v>
      </c>
      <c r="W325" s="382" t="str">
        <f>+INPUT!X303</f>
        <v>NA</v>
      </c>
      <c r="X325" s="436">
        <f>+INPUT!Y303</f>
        <v>149700</v>
      </c>
      <c r="Y325" s="382">
        <f>+INPUT!Z303</f>
        <v>13.581183611532623</v>
      </c>
      <c r="Z325" s="436">
        <f>+INPUT!AA303</f>
        <v>164600</v>
      </c>
      <c r="AA325" s="382">
        <f>+INPUT!AB303</f>
        <v>23.992467043314505</v>
      </c>
      <c r="AB325" s="436">
        <f>+INPUT!AC303</f>
        <v>204700</v>
      </c>
      <c r="AC325" s="382">
        <f>+INPUT!AD303</f>
        <v>44.409171075837747</v>
      </c>
      <c r="AD325" s="436">
        <f>+INPUT!AE303</f>
        <v>247700</v>
      </c>
      <c r="AE325" s="382">
        <f>+INPUT!AF303</f>
        <v>65.464261857047433</v>
      </c>
      <c r="AF325" s="436">
        <f>+INPUT!AG303</f>
        <v>250950</v>
      </c>
      <c r="AG325" s="382">
        <f>+INPUT!AH303</f>
        <v>67.63527054108215</v>
      </c>
      <c r="AH325" s="436">
        <f>+INPUT!AI303</f>
        <v>240900</v>
      </c>
      <c r="AI325" s="382">
        <f>+INPUT!AJ303</f>
        <v>46.35479951397329</v>
      </c>
      <c r="AJ325" s="436">
        <f>+INPUT!AK303</f>
        <v>243850</v>
      </c>
      <c r="AK325" s="382">
        <f>+INPUT!AL303</f>
        <v>19.12554958475819</v>
      </c>
      <c r="AL325" s="436">
        <f>+INPUT!AM303</f>
        <v>260000</v>
      </c>
      <c r="AM325" s="382">
        <f>+INPUT!AN303</f>
        <v>4.9656842955187841</v>
      </c>
      <c r="AN325" s="436">
        <f>+INPUT!AO303</f>
        <v>280400</v>
      </c>
      <c r="AO325" s="382">
        <f>+INPUT!AP303</f>
        <v>11.735405459254821</v>
      </c>
      <c r="AP325" s="436">
        <f>+INPUT!AQ303</f>
        <v>285512.4560823139</v>
      </c>
      <c r="AQ325" s="382">
        <f>+INPUT!AR303</f>
        <v>18.519076829520102</v>
      </c>
      <c r="AR325" s="436">
        <f>+INPUT!AS303</f>
        <v>287239.02725442825</v>
      </c>
      <c r="AS325" s="382">
        <f>+INPUT!AT303</f>
        <v>17.793326739564591</v>
      </c>
      <c r="AT325" s="436">
        <f>+INPUT!AU303</f>
        <v>289891.83164103888</v>
      </c>
      <c r="AU325" s="382">
        <f>+INPUT!AV303</f>
        <v>11.496858323476488</v>
      </c>
      <c r="AV325" s="436">
        <f>+INPUT!AW303</f>
        <v>292594.28135335544</v>
      </c>
      <c r="AW325" s="382">
        <f>+INPUT!AX303</f>
        <v>4.3488877865033686</v>
      </c>
      <c r="AX325" s="403"/>
      <c r="AY325" s="402"/>
      <c r="AZ325" s="432"/>
      <c r="BA325" s="402"/>
      <c r="BB325" s="432"/>
      <c r="BC325" s="402"/>
      <c r="BD325" s="432"/>
      <c r="BE325" s="402"/>
      <c r="BF325" s="382"/>
      <c r="BG325" s="402"/>
      <c r="BH325" s="382"/>
      <c r="BI325" s="402"/>
      <c r="BJ325" s="382"/>
      <c r="BK325" s="436"/>
      <c r="BL325" s="382"/>
      <c r="BM325" s="436"/>
      <c r="BN325" s="382"/>
      <c r="BO325" s="436"/>
      <c r="BP325" s="382"/>
      <c r="BQ325" s="436"/>
      <c r="BR325" s="382"/>
      <c r="BS325" s="436">
        <f>+INPUT!BB303</f>
        <v>0</v>
      </c>
      <c r="BT325" s="382" t="str">
        <f>+INPUT!BC303</f>
        <v>NA</v>
      </c>
      <c r="BU325" s="436">
        <f>+INPUT!BD303</f>
        <v>0</v>
      </c>
      <c r="BV325" s="382" t="str">
        <f>+INPUT!BE303</f>
        <v>NA</v>
      </c>
      <c r="BW325" s="436">
        <f>+INPUT!BF303</f>
        <v>133150</v>
      </c>
      <c r="BX325" s="382" t="str">
        <f>+INPUT!BG303</f>
        <v>NA</v>
      </c>
      <c r="BY325" s="436">
        <f>+INPUT!BH303</f>
        <v>216987.5</v>
      </c>
      <c r="BZ325" s="382">
        <f>+INPUT!BI303</f>
        <v>62.964701464513723</v>
      </c>
      <c r="CA325" s="436">
        <f>+INPUT!BJ303</f>
        <v>256287.5</v>
      </c>
      <c r="CB325" s="382">
        <f>+INPUT!BK303</f>
        <v>18.111642375712876</v>
      </c>
      <c r="CC325" s="436">
        <f>+INPUT!BL303</f>
        <v>288809.39908278408</v>
      </c>
      <c r="CD325" s="382">
        <f>+INPUT!BM303</f>
        <v>12.689615795848042</v>
      </c>
      <c r="CE325" s="436">
        <f>+INPUT!BN303</f>
        <v>307479.62550109962</v>
      </c>
      <c r="CF325" s="382">
        <f>+INPUT!BO303</f>
        <v>6.4645494494325391</v>
      </c>
      <c r="CG325" s="436">
        <f>+INPUT!BP303</f>
        <v>334814.90915140044</v>
      </c>
      <c r="CH325" s="382">
        <f>+INPUT!BQ303</f>
        <v>8.8901121841008006</v>
      </c>
      <c r="CI325" s="436">
        <f>+INPUT!BR303</f>
        <v>362919.2194419374</v>
      </c>
      <c r="CJ325" s="382">
        <f>+INPUT!BS303</f>
        <v>8.3939841155127368</v>
      </c>
      <c r="CK325" s="436">
        <f>+INPUT!BT303</f>
        <v>392147.10314154084</v>
      </c>
      <c r="CL325" s="382">
        <f>+INPUT!BU303</f>
        <v>8.0535507996923599</v>
      </c>
      <c r="CM325" s="424">
        <f>+INPUT!BV303</f>
        <v>8.8790486004446159</v>
      </c>
    </row>
    <row r="326" spans="1:91" ht="12" hidden="1" customHeight="1" outlineLevel="1" x14ac:dyDescent="0.2">
      <c r="A326" s="400"/>
      <c r="B326" s="425"/>
      <c r="C326" s="424"/>
      <c r="D326" s="436"/>
      <c r="E326" s="382"/>
      <c r="F326" s="436"/>
      <c r="G326" s="382"/>
      <c r="H326" s="436"/>
      <c r="I326" s="382"/>
      <c r="J326" s="436"/>
      <c r="K326" s="382"/>
      <c r="L326" s="436"/>
      <c r="M326" s="382"/>
      <c r="N326" s="436"/>
      <c r="O326" s="382"/>
      <c r="P326" s="436"/>
      <c r="Q326" s="382"/>
      <c r="R326" s="436"/>
      <c r="S326" s="382"/>
      <c r="T326" s="436"/>
      <c r="U326" s="382"/>
      <c r="V326" s="436"/>
      <c r="W326" s="382"/>
      <c r="X326" s="436"/>
      <c r="Y326" s="382"/>
      <c r="Z326" s="436"/>
      <c r="AA326" s="382"/>
      <c r="AB326" s="436"/>
      <c r="AC326" s="382"/>
      <c r="AD326" s="436"/>
      <c r="AE326" s="382"/>
      <c r="AF326" s="436"/>
      <c r="AG326" s="382"/>
      <c r="AH326" s="436"/>
      <c r="AI326" s="382"/>
      <c r="AJ326" s="436"/>
      <c r="AK326" s="382"/>
      <c r="AL326" s="436"/>
      <c r="AM326" s="382"/>
      <c r="AN326" s="436"/>
      <c r="AO326" s="382"/>
      <c r="AP326" s="436"/>
      <c r="AQ326" s="382"/>
      <c r="AR326" s="436"/>
      <c r="AS326" s="382"/>
      <c r="AT326" s="436"/>
      <c r="AU326" s="382"/>
      <c r="AV326" s="436"/>
      <c r="AW326" s="382"/>
      <c r="AX326" s="403"/>
      <c r="AY326" s="402"/>
      <c r="AZ326" s="432"/>
      <c r="BA326" s="402"/>
      <c r="BB326" s="432"/>
      <c r="BC326" s="402"/>
      <c r="BD326" s="432"/>
      <c r="BE326" s="402"/>
      <c r="BF326" s="382"/>
      <c r="BG326" s="402"/>
      <c r="BH326" s="382"/>
      <c r="BI326" s="402"/>
      <c r="BJ326" s="382"/>
      <c r="BK326" s="436"/>
      <c r="BL326" s="382"/>
      <c r="BM326" s="436"/>
      <c r="BN326" s="382"/>
      <c r="BO326" s="436"/>
      <c r="BP326" s="382"/>
      <c r="BQ326" s="436"/>
      <c r="BR326" s="382"/>
      <c r="BS326" s="436"/>
      <c r="BT326" s="382"/>
      <c r="BU326" s="436"/>
      <c r="BV326" s="382"/>
      <c r="BW326" s="436"/>
      <c r="BX326" s="382"/>
      <c r="BY326" s="436"/>
      <c r="BZ326" s="382"/>
      <c r="CA326" s="436"/>
      <c r="CB326" s="382"/>
      <c r="CC326" s="436"/>
      <c r="CD326" s="382"/>
      <c r="CE326" s="436"/>
      <c r="CF326" s="382"/>
      <c r="CG326" s="436"/>
      <c r="CH326" s="382"/>
      <c r="CI326" s="436"/>
      <c r="CJ326" s="382"/>
      <c r="CK326" s="436"/>
      <c r="CL326" s="382"/>
      <c r="CM326" s="424"/>
    </row>
    <row r="327" spans="1:91" ht="12" hidden="1" customHeight="1" outlineLevel="1" x14ac:dyDescent="0.2">
      <c r="A327" s="394" t="s">
        <v>157</v>
      </c>
      <c r="B327" s="425"/>
      <c r="C327" s="424"/>
      <c r="D327" s="436"/>
      <c r="E327" s="382"/>
      <c r="F327" s="436"/>
      <c r="G327" s="382"/>
      <c r="H327" s="436"/>
      <c r="I327" s="382"/>
      <c r="J327" s="436"/>
      <c r="K327" s="382"/>
      <c r="L327" s="436"/>
      <c r="M327" s="382"/>
      <c r="N327" s="436"/>
      <c r="O327" s="382"/>
      <c r="P327" s="436"/>
      <c r="Q327" s="382"/>
      <c r="R327" s="436"/>
      <c r="S327" s="382"/>
      <c r="T327" s="436"/>
      <c r="U327" s="382"/>
      <c r="V327" s="436"/>
      <c r="W327" s="382"/>
      <c r="X327" s="436"/>
      <c r="Y327" s="382"/>
      <c r="Z327" s="436"/>
      <c r="AA327" s="382"/>
      <c r="AB327" s="436"/>
      <c r="AC327" s="382"/>
      <c r="AD327" s="436"/>
      <c r="AE327" s="382"/>
      <c r="AF327" s="436"/>
      <c r="AG327" s="382"/>
      <c r="AH327" s="436"/>
      <c r="AI327" s="382"/>
      <c r="AJ327" s="436"/>
      <c r="AK327" s="382"/>
      <c r="AL327" s="436"/>
      <c r="AM327" s="382"/>
      <c r="AN327" s="436"/>
      <c r="AO327" s="382"/>
      <c r="AP327" s="436"/>
      <c r="AQ327" s="382"/>
      <c r="AR327" s="436"/>
      <c r="AS327" s="382"/>
      <c r="AT327" s="436"/>
      <c r="AU327" s="382"/>
      <c r="AV327" s="436"/>
      <c r="AW327" s="382"/>
      <c r="AX327" s="403"/>
      <c r="AY327" s="402"/>
      <c r="AZ327" s="432"/>
      <c r="BA327" s="402"/>
      <c r="BB327" s="432"/>
      <c r="BC327" s="402"/>
      <c r="BD327" s="432"/>
      <c r="BE327" s="402"/>
      <c r="BF327" s="382"/>
      <c r="BG327" s="402"/>
      <c r="BH327" s="382"/>
      <c r="BI327" s="402"/>
      <c r="BJ327" s="382"/>
      <c r="BK327" s="436"/>
      <c r="BL327" s="382"/>
      <c r="BM327" s="436"/>
      <c r="BN327" s="382"/>
      <c r="BO327" s="436"/>
      <c r="BP327" s="382"/>
      <c r="BQ327" s="436"/>
      <c r="BR327" s="382"/>
      <c r="BS327" s="436"/>
      <c r="BT327" s="382"/>
      <c r="BU327" s="436"/>
      <c r="BV327" s="382"/>
      <c r="BW327" s="436"/>
      <c r="BX327" s="382"/>
      <c r="BY327" s="436"/>
      <c r="BZ327" s="382"/>
      <c r="CA327" s="436"/>
      <c r="CB327" s="382"/>
      <c r="CC327" s="436"/>
      <c r="CD327" s="382"/>
      <c r="CE327" s="436"/>
      <c r="CF327" s="382"/>
      <c r="CG327" s="436"/>
      <c r="CH327" s="382"/>
      <c r="CI327" s="436"/>
      <c r="CJ327" s="382"/>
      <c r="CK327" s="436"/>
      <c r="CL327" s="382"/>
      <c r="CM327" s="424"/>
    </row>
    <row r="328" spans="1:91" ht="12" hidden="1" customHeight="1" outlineLevel="1" x14ac:dyDescent="0.2">
      <c r="A328" s="400" t="str">
        <f>INPUT!B214</f>
        <v>Net Fund Flows ($ in millions)</v>
      </c>
      <c r="B328" s="425"/>
      <c r="C328" s="424"/>
      <c r="D328" s="436"/>
      <c r="E328" s="382"/>
      <c r="F328" s="436"/>
      <c r="G328" s="382"/>
      <c r="H328" s="436"/>
      <c r="I328" s="382"/>
      <c r="J328" s="436"/>
      <c r="K328" s="382"/>
      <c r="L328" s="436"/>
      <c r="M328" s="382"/>
      <c r="N328" s="436">
        <f>+INPUT!O305</f>
        <v>2500</v>
      </c>
      <c r="O328" s="382" t="str">
        <f>+INPUT!P305</f>
        <v>NA</v>
      </c>
      <c r="P328" s="436">
        <f>+INPUT!Q305</f>
        <v>4300</v>
      </c>
      <c r="Q328" s="382" t="str">
        <f>+INPUT!R305</f>
        <v>NA</v>
      </c>
      <c r="R328" s="436">
        <f>+INPUT!S305</f>
        <v>2300</v>
      </c>
      <c r="S328" s="382" t="str">
        <f>+INPUT!T305</f>
        <v>NA</v>
      </c>
      <c r="T328" s="436">
        <f>+INPUT!U305</f>
        <v>3600</v>
      </c>
      <c r="U328" s="382" t="str">
        <f>+INPUT!V305</f>
        <v>NA</v>
      </c>
      <c r="V328" s="436">
        <f>+INPUT!W305</f>
        <v>1600</v>
      </c>
      <c r="W328" s="382">
        <f>+INPUT!X305</f>
        <v>-36</v>
      </c>
      <c r="X328" s="436">
        <f>+INPUT!Y305</f>
        <v>1800</v>
      </c>
      <c r="Y328" s="382" t="str">
        <f>+INPUT!Z305</f>
        <v>NM</v>
      </c>
      <c r="Z328" s="436">
        <f>+INPUT!AA305</f>
        <v>900</v>
      </c>
      <c r="AA328" s="382" t="str">
        <f>+INPUT!AB305</f>
        <v>NM</v>
      </c>
      <c r="AB328" s="436">
        <f>+INPUT!AC305</f>
        <v>3200</v>
      </c>
      <c r="AC328" s="382">
        <f>+INPUT!AD305</f>
        <v>-11.111111111111114</v>
      </c>
      <c r="AD328" s="436">
        <f>+INPUT!AE305</f>
        <v>2500</v>
      </c>
      <c r="AE328" s="382">
        <f>+INPUT!AF305</f>
        <v>56.25</v>
      </c>
      <c r="AF328" s="436">
        <f>+INPUT!AG305</f>
        <v>2500</v>
      </c>
      <c r="AG328" s="382">
        <f>+INPUT!AH305</f>
        <v>38.888888888888886</v>
      </c>
      <c r="AH328" s="436">
        <f>+INPUT!AI305</f>
        <v>1300</v>
      </c>
      <c r="AI328" s="382">
        <f>+INPUT!AJ305</f>
        <v>44.444444444444429</v>
      </c>
      <c r="AJ328" s="436">
        <f>+INPUT!AK305</f>
        <v>400</v>
      </c>
      <c r="AK328" s="382" t="str">
        <f>+INPUT!AL305</f>
        <v>NM</v>
      </c>
      <c r="AL328" s="436">
        <f>+INPUT!AM305</f>
        <v>2100</v>
      </c>
      <c r="AM328" s="382">
        <f>+INPUT!AN305</f>
        <v>-16</v>
      </c>
      <c r="AN328" s="436">
        <f>+INPUT!AO305</f>
        <v>2500</v>
      </c>
      <c r="AO328" s="382">
        <f>+INPUT!AP305</f>
        <v>0</v>
      </c>
      <c r="AP328" s="436">
        <f>+INPUT!AQ305</f>
        <v>2500</v>
      </c>
      <c r="AQ328" s="382">
        <f>+INPUT!AR305</f>
        <v>92.307692307692321</v>
      </c>
      <c r="AR328" s="436">
        <f>+INPUT!AS305</f>
        <v>2500</v>
      </c>
      <c r="AS328" s="382" t="str">
        <f>+INPUT!AT305</f>
        <v>NM</v>
      </c>
      <c r="AT328" s="436">
        <f>+INPUT!AU305</f>
        <v>2500</v>
      </c>
      <c r="AU328" s="382">
        <f>+INPUT!AV305</f>
        <v>19.047619047619051</v>
      </c>
      <c r="AV328" s="436">
        <f>+INPUT!AW305</f>
        <v>2500</v>
      </c>
      <c r="AW328" s="382">
        <f>+INPUT!AX305</f>
        <v>0</v>
      </c>
      <c r="AX328" s="403"/>
      <c r="AY328" s="402"/>
      <c r="AZ328" s="432"/>
      <c r="BA328" s="402"/>
      <c r="BB328" s="432"/>
      <c r="BC328" s="402"/>
      <c r="BD328" s="432"/>
      <c r="BE328" s="402"/>
      <c r="BF328" s="382"/>
      <c r="BG328" s="402"/>
      <c r="BH328" s="382"/>
      <c r="BI328" s="402"/>
      <c r="BJ328" s="382"/>
      <c r="BK328" s="436"/>
      <c r="BL328" s="382"/>
      <c r="BM328" s="436"/>
      <c r="BN328" s="382"/>
      <c r="BO328" s="436"/>
      <c r="BP328" s="382"/>
      <c r="BQ328" s="436"/>
      <c r="BR328" s="382"/>
      <c r="BS328" s="436">
        <f>+INPUT!BB305</f>
        <v>0</v>
      </c>
      <c r="BT328" s="382" t="str">
        <f>+INPUT!BC305</f>
        <v>NA</v>
      </c>
      <c r="BU328" s="436">
        <f>+INPUT!BD305</f>
        <v>0</v>
      </c>
      <c r="BV328" s="382" t="str">
        <f>+INPUT!BE305</f>
        <v>NA</v>
      </c>
      <c r="BW328" s="436">
        <f>+INPUT!BF305</f>
        <v>9300</v>
      </c>
      <c r="BX328" s="382" t="str">
        <f>+INPUT!BG305</f>
        <v>NA</v>
      </c>
      <c r="BY328" s="436">
        <f>+INPUT!BH305</f>
        <v>9100</v>
      </c>
      <c r="BZ328" s="382">
        <f>+INPUT!BI305</f>
        <v>-2.1505376344086073</v>
      </c>
      <c r="CA328" s="436">
        <f>+INPUT!BJ305</f>
        <v>6300</v>
      </c>
      <c r="CB328" s="382">
        <f>+INPUT!BK305</f>
        <v>-30.769230769230774</v>
      </c>
      <c r="CC328" s="436">
        <f>+INPUT!BL305</f>
        <v>10000</v>
      </c>
      <c r="CD328" s="382">
        <f>+INPUT!BM305</f>
        <v>58.730158730158735</v>
      </c>
      <c r="CE328" s="436">
        <f>+INPUT!BN305</f>
        <v>8480</v>
      </c>
      <c r="CF328" s="382">
        <f>+INPUT!BO305</f>
        <v>-15.200000000000003</v>
      </c>
      <c r="CG328" s="436">
        <f>+INPUT!BP305</f>
        <v>7283.2000000000007</v>
      </c>
      <c r="CH328" s="382">
        <f>+INPUT!BQ305</f>
        <v>-14.113207547169807</v>
      </c>
      <c r="CI328" s="436">
        <f>+INPUT!BR305</f>
        <v>6345.7280000000001</v>
      </c>
      <c r="CJ328" s="382">
        <f>+INPUT!BS305</f>
        <v>-12.871704745166966</v>
      </c>
      <c r="CK328" s="436">
        <f>+INPUT!BT305</f>
        <v>5616.5171200000004</v>
      </c>
      <c r="CL328" s="382">
        <f>+INPUT!BU305</f>
        <v>-11.491366790382443</v>
      </c>
      <c r="CM328" s="424">
        <f>+INPUT!BV305</f>
        <v>-2.2705831131840548</v>
      </c>
    </row>
    <row r="329" spans="1:91" ht="12" hidden="1" customHeight="1" outlineLevel="1" x14ac:dyDescent="0.2">
      <c r="A329" s="400" t="str">
        <f>INPUT!B216</f>
        <v>Net Fund Flows/Beg. AUM (%)</v>
      </c>
      <c r="B329" s="452"/>
      <c r="C329" s="424"/>
      <c r="D329" s="451"/>
      <c r="E329" s="382"/>
      <c r="F329" s="451"/>
      <c r="G329" s="382"/>
      <c r="H329" s="451"/>
      <c r="I329" s="382"/>
      <c r="J329" s="451"/>
      <c r="K329" s="382"/>
      <c r="L329" s="451"/>
      <c r="M329" s="382"/>
      <c r="N329" s="429">
        <f>+INPUT!O307</f>
        <v>8.4175084175084187</v>
      </c>
      <c r="O329" s="382" t="e">
        <f>+INPUT!P307</f>
        <v>#VALUE!</v>
      </c>
      <c r="P329" s="429">
        <f>+INPUT!Q307</f>
        <v>14.814814814814813</v>
      </c>
      <c r="Q329" s="382" t="e">
        <f>+INPUT!R307</f>
        <v>#VALUE!</v>
      </c>
      <c r="R329" s="429">
        <f>+INPUT!S307</f>
        <v>8.0279232111692842</v>
      </c>
      <c r="S329" s="382" t="e">
        <f>+INPUT!T307</f>
        <v>#VALUE!</v>
      </c>
      <c r="T329" s="429">
        <f>+INPUT!U307</f>
        <v>12.984670874661857</v>
      </c>
      <c r="U329" s="382" t="str">
        <f>+INPUT!V307</f>
        <v>NA</v>
      </c>
      <c r="V329" s="429">
        <f>+INPUT!W307</f>
        <v>5.4468085106382977</v>
      </c>
      <c r="W329" s="382">
        <f>+INPUT!X307</f>
        <v>-35.291914893617033</v>
      </c>
      <c r="X329" s="429">
        <f>+INPUT!Y307</f>
        <v>6.7796610169491522</v>
      </c>
      <c r="Y329" s="382" t="str">
        <f>+INPUT!Z307</f>
        <v>NM</v>
      </c>
      <c r="Z329" s="429">
        <f>+INPUT!AA307</f>
        <v>3.2757051865332123</v>
      </c>
      <c r="AA329" s="382" t="str">
        <f>+INPUT!AB307</f>
        <v>NM</v>
      </c>
      <c r="AB329" s="429">
        <f>+INPUT!AC307</f>
        <v>10.578512396694215</v>
      </c>
      <c r="AC329" s="382">
        <f>+INPUT!AD307</f>
        <v>-18.5307621671258</v>
      </c>
      <c r="AD329" s="429">
        <f>+INPUT!AE307</f>
        <v>7.6394194041252863</v>
      </c>
      <c r="AE329" s="382">
        <f>+INPUT!AF307</f>
        <v>40.254965622612673</v>
      </c>
      <c r="AF329" s="429">
        <f>+INPUT!AG307</f>
        <v>7.3367571533382243</v>
      </c>
      <c r="AG329" s="382">
        <f>+INPUT!AH307</f>
        <v>8.2171680117388206</v>
      </c>
      <c r="AH329" s="429">
        <f>+INPUT!AI307</f>
        <v>3.7928519328956964</v>
      </c>
      <c r="AI329" s="382">
        <f>+INPUT!AJ307</f>
        <v>15.787340951454738</v>
      </c>
      <c r="AJ329" s="429">
        <f>+INPUT!AK307</f>
        <v>1.0862186014935504</v>
      </c>
      <c r="AK329" s="382" t="str">
        <f>+INPUT!AL307</f>
        <v>NM</v>
      </c>
      <c r="AL329" s="429">
        <f>+INPUT!AM307</f>
        <v>5.6872037914691944</v>
      </c>
      <c r="AM329" s="382">
        <f>+INPUT!AN307</f>
        <v>-25.554502369668242</v>
      </c>
      <c r="AN329" s="429">
        <f>+INPUT!AO307</f>
        <v>6.3051702395964693</v>
      </c>
      <c r="AO329" s="382">
        <f>+INPUT!AP307</f>
        <v>-14.060529634300124</v>
      </c>
      <c r="AP329" s="429">
        <f>+INPUT!AQ307</f>
        <v>6.2227753578095832</v>
      </c>
      <c r="AQ329" s="382">
        <f>+INPUT!AR307</f>
        <v>64.06586568378728</v>
      </c>
      <c r="AR329" s="429">
        <f>+INPUT!AS307</f>
        <v>6.2878484396430245</v>
      </c>
      <c r="AS329" s="382" t="str">
        <f>+INPUT!AT307</f>
        <v>NM</v>
      </c>
      <c r="AT329" s="429">
        <f>+INPUT!AU307</f>
        <v>6.2842735503357465</v>
      </c>
      <c r="AU329" s="382">
        <f>+INPUT!AV307</f>
        <v>10.498476593403552</v>
      </c>
      <c r="AV329" s="429">
        <f>+INPUT!AW307</f>
        <v>6.2807661075397352</v>
      </c>
      <c r="AW329" s="382">
        <f>+INPUT!AX307</f>
        <v>-0.38704953441980194</v>
      </c>
      <c r="AX329" s="397"/>
      <c r="AY329" s="452"/>
      <c r="AZ329" s="424"/>
      <c r="BA329" s="452"/>
      <c r="BB329" s="424"/>
      <c r="BC329" s="452"/>
      <c r="BD329" s="424"/>
      <c r="BE329" s="452"/>
      <c r="BF329" s="382"/>
      <c r="BG329" s="452"/>
      <c r="BH329" s="382"/>
      <c r="BI329" s="452"/>
      <c r="BJ329" s="382"/>
      <c r="BK329" s="423"/>
      <c r="BL329" s="382"/>
      <c r="BM329" s="423"/>
      <c r="BN329" s="382"/>
      <c r="BO329" s="423"/>
      <c r="BP329" s="382"/>
      <c r="BQ329" s="423"/>
      <c r="BR329" s="382"/>
      <c r="BS329" s="423">
        <f>+INPUT!BB307</f>
        <v>0</v>
      </c>
      <c r="BT329" s="382" t="str">
        <f>+INPUT!BC307</f>
        <v>NA</v>
      </c>
      <c r="BU329" s="423">
        <f>+INPUT!BD307</f>
        <v>0</v>
      </c>
      <c r="BV329" s="382" t="str">
        <f>+INPUT!BE307</f>
        <v>NA</v>
      </c>
      <c r="BW329" s="423">
        <f>+INPUT!BF307</f>
        <v>8.1151832460732987</v>
      </c>
      <c r="BX329" s="382" t="str">
        <f>+INPUT!BG307</f>
        <v>NA</v>
      </c>
      <c r="BY329" s="423">
        <f>+INPUT!BH307</f>
        <v>8.2802547770700627</v>
      </c>
      <c r="BZ329" s="382">
        <f>+INPUT!BI307</f>
        <v>2.0341072529278676</v>
      </c>
      <c r="CA329" s="423">
        <f>+INPUT!BJ307</f>
        <v>4.5951859956236323</v>
      </c>
      <c r="CB329" s="382">
        <f>+INPUT!BK307</f>
        <v>-44.504292206699205</v>
      </c>
      <c r="CC329" s="423">
        <f>+INPUT!BL307</f>
        <v>6.2227753578095832</v>
      </c>
      <c r="CD329" s="382">
        <f>+INPUT!BM307</f>
        <v>35.419444691379994</v>
      </c>
      <c r="CE329" s="423">
        <f>+INPUT!BN307</f>
        <v>5.3231730677293188</v>
      </c>
      <c r="CF329" s="382">
        <f>+INPUT!BO307</f>
        <v>-14.456608801589852</v>
      </c>
      <c r="CG329" s="423">
        <f>+INPUT!BP307</f>
        <v>4.2128353561246401</v>
      </c>
      <c r="CH329" s="382">
        <f>+INPUT!BQ307</f>
        <v>-20.85856870474268</v>
      </c>
      <c r="CI329" s="423">
        <f>+INPUT!BR307</f>
        <v>3.4172560621033625</v>
      </c>
      <c r="CJ329" s="382">
        <f>+INPUT!BS307</f>
        <v>-18.88465194502939</v>
      </c>
      <c r="CK329" s="423">
        <f>+INPUT!BT307</f>
        <v>2.8368453152449447</v>
      </c>
      <c r="CL329" s="382">
        <f>+INPUT!BU307</f>
        <v>-16.984701652739716</v>
      </c>
      <c r="CM329" s="424">
        <f>+INPUT!BV307</f>
        <v>-9.1956796446924454</v>
      </c>
    </row>
    <row r="330" spans="1:91" ht="12" hidden="1" customHeight="1" outlineLevel="1" x14ac:dyDescent="0.2">
      <c r="A330" s="400" t="str">
        <f>INPUT!B217</f>
        <v>Inv Perf/BOP AUM (%)</v>
      </c>
      <c r="B330" s="452"/>
      <c r="C330" s="424"/>
      <c r="D330" s="451"/>
      <c r="E330" s="382"/>
      <c r="F330" s="451"/>
      <c r="G330" s="382"/>
      <c r="H330" s="451"/>
      <c r="I330" s="382"/>
      <c r="J330" s="451"/>
      <c r="K330" s="382"/>
      <c r="L330" s="451"/>
      <c r="M330" s="382"/>
      <c r="N330" s="429">
        <f>+INPUT!O308</f>
        <v>13.131313131313133</v>
      </c>
      <c r="O330" s="382" t="e">
        <f>+INPUT!P308</f>
        <v>#VALUE!</v>
      </c>
      <c r="P330" s="429">
        <f>+INPUT!Q308</f>
        <v>3.4453057708871664</v>
      </c>
      <c r="Q330" s="382" t="e">
        <f>+INPUT!R308</f>
        <v>#VALUE!</v>
      </c>
      <c r="R330" s="429">
        <f>+INPUT!S308</f>
        <v>10.820244328097731</v>
      </c>
      <c r="S330" s="382" t="e">
        <f>+INPUT!T308</f>
        <v>#VALUE!</v>
      </c>
      <c r="T330" s="429">
        <f>+INPUT!U308</f>
        <v>6.4923354373309285</v>
      </c>
      <c r="U330" s="382" t="str">
        <f>+INPUT!V308</f>
        <v>NA</v>
      </c>
      <c r="V330" s="429">
        <f>+INPUT!W308</f>
        <v>1.0212765957446808</v>
      </c>
      <c r="W330" s="382" t="str">
        <f>+INPUT!X308</f>
        <v>NM</v>
      </c>
      <c r="X330" s="429">
        <f>+INPUT!Y308</f>
        <v>9.4161958568738235</v>
      </c>
      <c r="Y330" s="382" t="str">
        <f>+INPUT!Z308</f>
        <v>NM</v>
      </c>
      <c r="Z330" s="429">
        <f>+INPUT!AA308</f>
        <v>8.0072793448589632</v>
      </c>
      <c r="AA330" s="382">
        <f>+INPUT!AB308</f>
        <v>-25.997240893480864</v>
      </c>
      <c r="AB330" s="429">
        <f>+INPUT!AC308</f>
        <v>6.9421487603305785</v>
      </c>
      <c r="AC330" s="382">
        <f>+INPUT!AD308</f>
        <v>6.9283746556473886</v>
      </c>
      <c r="AD330" s="429">
        <f>+INPUT!AE308</f>
        <v>14.362108479755539</v>
      </c>
      <c r="AE330" s="382" t="str">
        <f>+INPUT!AF308</f>
        <v>NM</v>
      </c>
      <c r="AF330" s="429">
        <f>+INPUT!AG308</f>
        <v>2.6412325752017609</v>
      </c>
      <c r="AG330" s="382" t="str">
        <f>+INPUT!AH308</f>
        <v>NM</v>
      </c>
      <c r="AH330" s="429">
        <f>+INPUT!AI308</f>
        <v>16.921954777534644</v>
      </c>
      <c r="AI330" s="382" t="str">
        <f>+INPUT!AJ308</f>
        <v>NM</v>
      </c>
      <c r="AJ330" s="429">
        <f>+INPUT!AK308</f>
        <v>6.517311608961303</v>
      </c>
      <c r="AK330" s="382">
        <f>+INPUT!AL308</f>
        <v>-6.1196780137717042</v>
      </c>
      <c r="AL330" s="429">
        <f>+INPUT!AM308</f>
        <v>9.7494922139471907</v>
      </c>
      <c r="AM330" s="382">
        <f>+INPUT!AN308</f>
        <v>-32.116567510335798</v>
      </c>
      <c r="AN330" s="429">
        <f>+INPUT!AO308</f>
        <v>3.7831021437578811</v>
      </c>
      <c r="AO330" s="382">
        <f>+INPUT!AP308</f>
        <v>43.23245060949975</v>
      </c>
      <c r="AP330" s="429">
        <f>+INPUT!AQ308</f>
        <v>-1.6504986568069071</v>
      </c>
      <c r="AQ330" s="382" t="str">
        <f>+INPUT!AR308</f>
        <v>NM</v>
      </c>
      <c r="AR330" s="429">
        <f>+INPUT!AS308</f>
        <v>2.742684486912208</v>
      </c>
      <c r="AS330" s="382" t="str">
        <f>+INPUT!AT308</f>
        <v>NM</v>
      </c>
      <c r="AT330" s="429">
        <f>+INPUT!AU308</f>
        <v>2.7370861697827356</v>
      </c>
      <c r="AU330" s="382" t="str">
        <f>+INPUT!AV308</f>
        <v>NM</v>
      </c>
      <c r="AV330" s="429">
        <f>+INPUT!AW308</f>
        <v>2.7314683171289005</v>
      </c>
      <c r="AW330" s="382">
        <f>+INPUT!AX308</f>
        <v>-27.798187483892718</v>
      </c>
      <c r="AX330" s="397"/>
      <c r="AY330" s="452"/>
      <c r="AZ330" s="424"/>
      <c r="BA330" s="452"/>
      <c r="BB330" s="424"/>
      <c r="BC330" s="452"/>
      <c r="BD330" s="424"/>
      <c r="BE330" s="452"/>
      <c r="BF330" s="382"/>
      <c r="BG330" s="452"/>
      <c r="BH330" s="382"/>
      <c r="BI330" s="452"/>
      <c r="BJ330" s="382"/>
      <c r="BK330" s="423"/>
      <c r="BL330" s="382"/>
      <c r="BM330" s="423"/>
      <c r="BN330" s="382"/>
      <c r="BO330" s="423"/>
      <c r="BP330" s="382"/>
      <c r="BQ330" s="423"/>
      <c r="BR330" s="382"/>
      <c r="BS330" s="423">
        <f>+INPUT!BB308</f>
        <v>0</v>
      </c>
      <c r="BT330" s="382" t="str">
        <f>+INPUT!BC308</f>
        <v>NA</v>
      </c>
      <c r="BU330" s="423">
        <f>+INPUT!BD308</f>
        <v>0</v>
      </c>
      <c r="BV330" s="382" t="str">
        <f>+INPUT!BE308</f>
        <v>NA</v>
      </c>
      <c r="BW330" s="423">
        <f>+INPUT!BF308</f>
        <v>6.7190226876090744</v>
      </c>
      <c r="BX330" s="382" t="str">
        <f>+INPUT!BG308</f>
        <v>NA</v>
      </c>
      <c r="BY330" s="423">
        <f>+INPUT!BH308</f>
        <v>9.0081892629663329</v>
      </c>
      <c r="BZ330" s="382">
        <f>+INPUT!BI308</f>
        <v>34.069933705966463</v>
      </c>
      <c r="CA330" s="423">
        <f>+INPUT!BJ308</f>
        <v>9.7009482129832243</v>
      </c>
      <c r="CB330" s="382">
        <f>+INPUT!BK308</f>
        <v>7.6903241017026716</v>
      </c>
      <c r="CC330" s="423">
        <f>+INPUT!BL308</f>
        <v>1.6200877814946109</v>
      </c>
      <c r="CD330" s="382" t="str">
        <f>+INPUT!BM308</f>
        <v>NM</v>
      </c>
      <c r="CE330" s="423">
        <f>+INPUT!BN308</f>
        <v>3.2</v>
      </c>
      <c r="CF330" s="382">
        <f>+INPUT!BO308</f>
        <v>97.52016134877843</v>
      </c>
      <c r="CG330" s="423">
        <f>+INPUT!BP308</f>
        <v>3.1999999999999993</v>
      </c>
      <c r="CH330" s="382">
        <f>+INPUT!BQ308</f>
        <v>-2.8421709430404007E-14</v>
      </c>
      <c r="CI330" s="423">
        <f>+INPUT!BR308</f>
        <v>3.2</v>
      </c>
      <c r="CJ330" s="382">
        <f>+INPUT!BS308</f>
        <v>2.8421709430404007E-14</v>
      </c>
      <c r="CK330" s="423">
        <f>+INPUT!BT308</f>
        <v>3.1999999999999993</v>
      </c>
      <c r="CL330" s="382">
        <f>+INPUT!BU308</f>
        <v>-2.8421709430404007E-14</v>
      </c>
      <c r="CM330" s="424">
        <f>+INPUT!BV308</f>
        <v>-19.893610412837305</v>
      </c>
    </row>
    <row r="331" spans="1:91" ht="12" hidden="1" customHeight="1" outlineLevel="1" x14ac:dyDescent="0.2">
      <c r="A331" s="400"/>
      <c r="B331" s="425"/>
      <c r="C331" s="424"/>
      <c r="D331" s="425"/>
      <c r="E331" s="382"/>
      <c r="F331" s="425"/>
      <c r="G331" s="382"/>
      <c r="H331" s="425"/>
      <c r="I331" s="382"/>
      <c r="J331" s="425"/>
      <c r="K331" s="382"/>
      <c r="L331" s="425"/>
      <c r="M331" s="382"/>
      <c r="N331" s="425"/>
      <c r="O331" s="382"/>
      <c r="P331" s="425"/>
      <c r="Q331" s="382"/>
      <c r="R331" s="425"/>
      <c r="S331" s="382"/>
      <c r="T331" s="425"/>
      <c r="U331" s="382"/>
      <c r="V331" s="425"/>
      <c r="W331" s="382"/>
      <c r="X331" s="425"/>
      <c r="Y331" s="382"/>
      <c r="Z331" s="425"/>
      <c r="AA331" s="382"/>
      <c r="AB331" s="425"/>
      <c r="AC331" s="382"/>
      <c r="AD331" s="425"/>
      <c r="AE331" s="382"/>
      <c r="AF331" s="425"/>
      <c r="AG331" s="382"/>
      <c r="AH331" s="425"/>
      <c r="AI331" s="382"/>
      <c r="AJ331" s="425"/>
      <c r="AK331" s="382"/>
      <c r="AL331" s="425"/>
      <c r="AM331" s="382"/>
      <c r="AN331" s="425"/>
      <c r="AO331" s="382"/>
      <c r="AP331" s="425"/>
      <c r="AQ331" s="382"/>
      <c r="AR331" s="425"/>
      <c r="AS331" s="382"/>
      <c r="AT331" s="425"/>
      <c r="AU331" s="382"/>
      <c r="AV331" s="425"/>
      <c r="AW331" s="382"/>
      <c r="AX331" s="425"/>
      <c r="AY331" s="425"/>
      <c r="AZ331" s="424"/>
      <c r="BA331" s="425"/>
      <c r="BB331" s="424"/>
      <c r="BC331" s="425"/>
      <c r="BD331" s="424"/>
      <c r="BE331" s="425"/>
      <c r="BF331" s="382"/>
      <c r="BG331" s="425"/>
      <c r="BH331" s="382"/>
      <c r="BI331" s="425"/>
      <c r="BJ331" s="382"/>
      <c r="BK331" s="425"/>
      <c r="BL331" s="382"/>
      <c r="BM331" s="425"/>
      <c r="BN331" s="382"/>
      <c r="BO331" s="425"/>
      <c r="BP331" s="382"/>
      <c r="BQ331" s="425"/>
      <c r="BR331" s="382"/>
      <c r="BS331" s="425"/>
      <c r="BT331" s="382"/>
      <c r="BU331" s="425"/>
      <c r="BV331" s="382"/>
      <c r="BW331" s="425"/>
      <c r="BX331" s="382"/>
      <c r="BY331" s="425"/>
      <c r="BZ331" s="382"/>
      <c r="CA331" s="425"/>
      <c r="CB331" s="382"/>
      <c r="CC331" s="425"/>
      <c r="CD331" s="382"/>
      <c r="CE331" s="425"/>
      <c r="CF331" s="382"/>
      <c r="CG331" s="425"/>
      <c r="CH331" s="382"/>
      <c r="CI331" s="425"/>
      <c r="CJ331" s="382"/>
      <c r="CK331" s="425"/>
      <c r="CL331" s="382"/>
      <c r="CM331" s="424"/>
    </row>
    <row r="332" spans="1:91" ht="12" hidden="1" customHeight="1" outlineLevel="1" x14ac:dyDescent="0.2">
      <c r="A332" s="394" t="s">
        <v>295</v>
      </c>
      <c r="B332" s="425"/>
      <c r="C332" s="424"/>
      <c r="D332" s="425"/>
      <c r="E332" s="382"/>
      <c r="F332" s="425"/>
      <c r="G332" s="382"/>
      <c r="H332" s="425"/>
      <c r="I332" s="382"/>
      <c r="J332" s="425"/>
      <c r="K332" s="382"/>
      <c r="L332" s="425"/>
      <c r="M332" s="382"/>
      <c r="N332" s="425"/>
      <c r="O332" s="382"/>
      <c r="P332" s="425"/>
      <c r="Q332" s="382"/>
      <c r="R332" s="425"/>
      <c r="S332" s="382"/>
      <c r="T332" s="425"/>
      <c r="U332" s="382"/>
      <c r="V332" s="425"/>
      <c r="W332" s="382"/>
      <c r="X332" s="425"/>
      <c r="Y332" s="382"/>
      <c r="Z332" s="425"/>
      <c r="AA332" s="382"/>
      <c r="AB332" s="425"/>
      <c r="AC332" s="382"/>
      <c r="AD332" s="425"/>
      <c r="AE332" s="382"/>
      <c r="AF332" s="425"/>
      <c r="AG332" s="382"/>
      <c r="AH332" s="425"/>
      <c r="AI332" s="382"/>
      <c r="AJ332" s="425"/>
      <c r="AK332" s="382"/>
      <c r="AL332" s="425"/>
      <c r="AM332" s="382"/>
      <c r="AN332" s="425"/>
      <c r="AO332" s="382"/>
      <c r="AP332" s="425"/>
      <c r="AQ332" s="382"/>
      <c r="AR332" s="425"/>
      <c r="AS332" s="382"/>
      <c r="AT332" s="425"/>
      <c r="AU332" s="382"/>
      <c r="AV332" s="425"/>
      <c r="AW332" s="382"/>
      <c r="AX332" s="425"/>
      <c r="AY332" s="425"/>
      <c r="AZ332" s="424"/>
      <c r="BA332" s="425"/>
      <c r="BB332" s="424"/>
      <c r="BC332" s="425"/>
      <c r="BD332" s="424"/>
      <c r="BE332" s="425"/>
      <c r="BF332" s="382"/>
      <c r="BG332" s="425"/>
      <c r="BH332" s="382"/>
      <c r="BI332" s="425"/>
      <c r="BJ332" s="382"/>
      <c r="BK332" s="425"/>
      <c r="BL332" s="382"/>
      <c r="BM332" s="425"/>
      <c r="BN332" s="382"/>
      <c r="BO332" s="425"/>
      <c r="BP332" s="382"/>
      <c r="BQ332" s="425"/>
      <c r="BR332" s="382"/>
      <c r="BS332" s="425"/>
      <c r="BT332" s="382"/>
      <c r="BU332" s="425"/>
      <c r="BV332" s="382"/>
      <c r="BW332" s="425"/>
      <c r="BX332" s="382"/>
      <c r="BY332" s="425"/>
      <c r="BZ332" s="382"/>
      <c r="CA332" s="425"/>
      <c r="CB332" s="382"/>
      <c r="CC332" s="425"/>
      <c r="CD332" s="382"/>
      <c r="CE332" s="425"/>
      <c r="CF332" s="382"/>
      <c r="CG332" s="425"/>
      <c r="CH332" s="382"/>
      <c r="CI332" s="425"/>
      <c r="CJ332" s="382"/>
      <c r="CK332" s="425"/>
      <c r="CL332" s="382"/>
      <c r="CM332" s="424"/>
    </row>
    <row r="333" spans="1:91" ht="12" hidden="1" customHeight="1" outlineLevel="1" x14ac:dyDescent="0.2">
      <c r="A333" s="400" t="s">
        <v>375</v>
      </c>
      <c r="B333" s="452"/>
      <c r="C333" s="424"/>
      <c r="D333" s="451"/>
      <c r="E333" s="382"/>
      <c r="F333" s="451"/>
      <c r="G333" s="382"/>
      <c r="H333" s="451"/>
      <c r="I333" s="382"/>
      <c r="J333" s="451"/>
      <c r="K333" s="382"/>
      <c r="L333" s="451"/>
      <c r="M333" s="382"/>
      <c r="N333" s="451"/>
      <c r="O333" s="382"/>
      <c r="P333" s="451">
        <f>+INPUT!Q341</f>
        <v>0.48467374810318664</v>
      </c>
      <c r="Q333" s="382" t="str">
        <f>+INPUT!R341</f>
        <v>NA</v>
      </c>
      <c r="R333" s="451">
        <f>+INPUT!S341</f>
        <v>0.4299811676082862</v>
      </c>
      <c r="S333" s="382" t="str">
        <f>+INPUT!T341</f>
        <v>NA</v>
      </c>
      <c r="T333" s="451">
        <f>+INPUT!U341</f>
        <v>0.49721340388007051</v>
      </c>
      <c r="U333" s="382" t="str">
        <f>+INPUT!V341</f>
        <v>NA</v>
      </c>
      <c r="V333" s="451">
        <f>+INPUT!W341</f>
        <v>0.46145624582498329</v>
      </c>
      <c r="W333" s="382" t="str">
        <f>+INPUT!X341</f>
        <v>NA</v>
      </c>
      <c r="X333" s="451">
        <f>+INPUT!Y341</f>
        <v>0.43580494321977281</v>
      </c>
      <c r="Y333" s="382">
        <f>+INPUT!Z341</f>
        <v>-10.082824802182117</v>
      </c>
      <c r="Z333" s="451">
        <f>+INPUT!AA341</f>
        <v>0.37642770352369381</v>
      </c>
      <c r="AA333" s="382">
        <f>+INPUT!AB341</f>
        <v>-12.454839448545272</v>
      </c>
      <c r="AB333" s="451">
        <f>+INPUT!AC341</f>
        <v>0.3446995603321934</v>
      </c>
      <c r="AC333" s="382">
        <f>+INPUT!AD341</f>
        <v>-30.673719243631652</v>
      </c>
      <c r="AD333" s="451">
        <f>+INPUT!AE341</f>
        <v>0.28033911990310867</v>
      </c>
      <c r="AE333" s="382">
        <f>+INPUT!AF341</f>
        <v>-39.249035539236587</v>
      </c>
      <c r="AF333" s="451">
        <f>+INPUT!AG341</f>
        <v>0.28228730822873083</v>
      </c>
      <c r="AG333" s="382">
        <f>+INPUT!AH341</f>
        <v>-35.226226177435606</v>
      </c>
      <c r="AH333" s="451">
        <f>+INPUT!AI341</f>
        <v>0.25670402656704022</v>
      </c>
      <c r="AI333" s="382">
        <f>+INPUT!AJ341</f>
        <v>-31.805224704753357</v>
      </c>
      <c r="AJ333" s="451">
        <f>+INPUT!AK341</f>
        <v>0.26688538035677667</v>
      </c>
      <c r="AK333" s="382">
        <f>+INPUT!AL341</f>
        <v>-22.574493538786584</v>
      </c>
      <c r="AL333" s="451">
        <f>+INPUT!AM341</f>
        <v>0.23692307692307693</v>
      </c>
      <c r="AM333" s="382">
        <f>+INPUT!AN341</f>
        <v>-15.48697270471466</v>
      </c>
      <c r="AN333" s="451">
        <f>+INPUT!AO341</f>
        <v>0.25706134094151212</v>
      </c>
      <c r="AO333" s="382">
        <f>+INPUT!AP341</f>
        <v>-8.9362739846520753</v>
      </c>
      <c r="AP333" s="451">
        <f>+INPUT!AQ341</f>
        <v>0.25</v>
      </c>
      <c r="AQ333" s="382">
        <f>+INPUT!AR341</f>
        <v>-2.6115782664941634</v>
      </c>
      <c r="AR333" s="451">
        <f>+INPUT!AS341</f>
        <v>0.25</v>
      </c>
      <c r="AS333" s="382">
        <f>+INPUT!AT341</f>
        <v>-6.3268285187461402</v>
      </c>
      <c r="AT333" s="451">
        <f>+INPUT!AU341</f>
        <v>0.25</v>
      </c>
      <c r="AU333" s="382">
        <f>+INPUT!AV341</f>
        <v>5.5194805194805241</v>
      </c>
      <c r="AV333" s="451">
        <f>+INPUT!AW341</f>
        <v>0.25</v>
      </c>
      <c r="AW333" s="382">
        <f>+INPUT!AX341</f>
        <v>-2.7469478357380694</v>
      </c>
      <c r="AX333" s="397"/>
      <c r="AY333" s="452"/>
      <c r="AZ333" s="424"/>
      <c r="BA333" s="452"/>
      <c r="BB333" s="424"/>
      <c r="BC333" s="452"/>
      <c r="BD333" s="424"/>
      <c r="BE333" s="452"/>
      <c r="BF333" s="382"/>
      <c r="BG333" s="452"/>
      <c r="BH333" s="382"/>
      <c r="BI333" s="452"/>
      <c r="BJ333" s="382"/>
      <c r="BK333" s="423"/>
      <c r="BL333" s="382"/>
      <c r="BM333" s="423"/>
      <c r="BN333" s="382"/>
      <c r="BO333" s="423"/>
      <c r="BP333" s="382"/>
      <c r="BQ333" s="423"/>
      <c r="BR333" s="382"/>
      <c r="BS333" s="423">
        <f>+INPUT!BB341</f>
        <v>0</v>
      </c>
      <c r="BT333" s="382" t="str">
        <f>+INPUT!BC341</f>
        <v>NA</v>
      </c>
      <c r="BU333" s="423">
        <f>+INPUT!BD341</f>
        <v>0</v>
      </c>
      <c r="BV333" s="382" t="str">
        <f>+INPUT!BE341</f>
        <v>NA</v>
      </c>
      <c r="BW333" s="423">
        <f>+INPUT!BF341</f>
        <v>0.49170108899737131</v>
      </c>
      <c r="BX333" s="382" t="str">
        <f>+INPUT!BG341</f>
        <v>NA</v>
      </c>
      <c r="BY333" s="423">
        <f>+INPUT!BH341</f>
        <v>0.3143038193444323</v>
      </c>
      <c r="BZ333" s="382">
        <f>+INPUT!BI341</f>
        <v>-36.07827471252304</v>
      </c>
      <c r="CA333" s="423">
        <f>+INPUT!BJ341</f>
        <v>0.25420670145832314</v>
      </c>
      <c r="CB333" s="382">
        <f>+INPUT!BK341</f>
        <v>-19.1207087497245</v>
      </c>
      <c r="CC333" s="423">
        <f>+INPUT!BL341</f>
        <v>0.25000000000000006</v>
      </c>
      <c r="CD333" s="382">
        <f>+INPUT!BM341</f>
        <v>-1.6548349961626627</v>
      </c>
      <c r="CE333" s="423">
        <f>+INPUT!BN341</f>
        <v>0.25050000000000006</v>
      </c>
      <c r="CF333" s="382">
        <f>+INPUT!BO341</f>
        <v>0.20000000000000284</v>
      </c>
      <c r="CG333" s="423">
        <f>+INPUT!BP341</f>
        <v>0.25150200000000006</v>
      </c>
      <c r="CH333" s="382">
        <f>+INPUT!BQ341</f>
        <v>0.40000000000000568</v>
      </c>
      <c r="CI333" s="423">
        <f>+INPUT!BR341</f>
        <v>0.25250800800000006</v>
      </c>
      <c r="CJ333" s="382">
        <f>+INPUT!BS341</f>
        <v>0.40000000000000568</v>
      </c>
      <c r="CK333" s="423">
        <f>+INPUT!BT341</f>
        <v>0.25351804003200007</v>
      </c>
      <c r="CL333" s="382">
        <f>+INPUT!BU341</f>
        <v>0.40000000000000568</v>
      </c>
      <c r="CM333" s="424">
        <f>+INPUT!BV341</f>
        <v>-5.4240024983054358E-2</v>
      </c>
    </row>
    <row r="334" spans="1:91" ht="12" hidden="1" customHeight="1" outlineLevel="1" x14ac:dyDescent="0.2">
      <c r="A334" s="400" t="s">
        <v>198</v>
      </c>
      <c r="B334" s="452"/>
      <c r="C334" s="424"/>
      <c r="D334" s="451"/>
      <c r="E334" s="382"/>
      <c r="F334" s="451"/>
      <c r="G334" s="382"/>
      <c r="H334" s="451"/>
      <c r="I334" s="382"/>
      <c r="J334" s="451"/>
      <c r="K334" s="382"/>
      <c r="L334" s="451"/>
      <c r="M334" s="382"/>
      <c r="N334" s="451"/>
      <c r="O334" s="382"/>
      <c r="P334" s="451">
        <f>+INPUT!Q342</f>
        <v>0.53748103186646434</v>
      </c>
      <c r="Q334" s="382" t="str">
        <f>+INPUT!R342</f>
        <v>NA</v>
      </c>
      <c r="R334" s="451">
        <f>+INPUT!S342</f>
        <v>0.32572504708097927</v>
      </c>
      <c r="S334" s="382" t="str">
        <f>+INPUT!T342</f>
        <v>NA</v>
      </c>
      <c r="T334" s="451">
        <f>+INPUT!U342</f>
        <v>0.4292063492063492</v>
      </c>
      <c r="U334" s="382" t="str">
        <f>+INPUT!V342</f>
        <v>NA</v>
      </c>
      <c r="V334" s="451">
        <f>+INPUT!W342</f>
        <v>0.40828323313293258</v>
      </c>
      <c r="W334" s="382" t="str">
        <f>+INPUT!X342</f>
        <v>NA</v>
      </c>
      <c r="X334" s="451">
        <f>+INPUT!Y342</f>
        <v>0.40855043420173687</v>
      </c>
      <c r="Y334" s="382">
        <f>+INPUT!Z342</f>
        <v>-23.987934461054607</v>
      </c>
      <c r="Z334" s="451">
        <f>+INPUT!AA342</f>
        <v>0.320048602673147</v>
      </c>
      <c r="AA334" s="382">
        <f>+INPUT!AB342</f>
        <v>-1.7427104420437871</v>
      </c>
      <c r="AB334" s="451">
        <f>+INPUT!AC342</f>
        <v>0.27806546165119689</v>
      </c>
      <c r="AC334" s="382">
        <f>+INPUT!AD342</f>
        <v>-35.214038150793627</v>
      </c>
      <c r="AD334" s="451">
        <f>+INPUT!AE342</f>
        <v>0.25966895438029874</v>
      </c>
      <c r="AE334" s="382">
        <f>+INPUT!AF342</f>
        <v>-36.399799622495557</v>
      </c>
      <c r="AF334" s="451">
        <f>+INPUT!AG342</f>
        <v>0.21550109583582383</v>
      </c>
      <c r="AG334" s="382">
        <f>+INPUT!AH342</f>
        <v>-47.252266110819448</v>
      </c>
      <c r="AH334" s="451">
        <f>+INPUT!AI342</f>
        <v>0.27679535076795347</v>
      </c>
      <c r="AI334" s="382">
        <f>+INPUT!AJ342</f>
        <v>-13.514588579337243</v>
      </c>
      <c r="AJ334" s="451">
        <f>+INPUT!AK342</f>
        <v>0.25704326430182484</v>
      </c>
      <c r="AK334" s="382">
        <f>+INPUT!AL342</f>
        <v>-7.5601612744491575</v>
      </c>
      <c r="AL334" s="451">
        <f>+INPUT!AM342</f>
        <v>0.18569230769230768</v>
      </c>
      <c r="AM334" s="382">
        <f>+INPUT!AN342</f>
        <v>-28.488829889016458</v>
      </c>
      <c r="AN334" s="451">
        <f>+INPUT!AO342</f>
        <v>0.22239657631954352</v>
      </c>
      <c r="AO334" s="382">
        <f>+INPUT!AP342</f>
        <v>3.19974265419647</v>
      </c>
      <c r="AP334" s="451">
        <f>+INPUT!AQ342</f>
        <v>0.21</v>
      </c>
      <c r="AQ334" s="382">
        <f>+INPUT!AR342</f>
        <v>-24.131673665266945</v>
      </c>
      <c r="AR334" s="451">
        <f>+INPUT!AS342</f>
        <v>0.21</v>
      </c>
      <c r="AS334" s="382">
        <f>+INPUT!AT342</f>
        <v>-18.301691129546896</v>
      </c>
      <c r="AT334" s="451">
        <f>+INPUT!AU342</f>
        <v>0.21</v>
      </c>
      <c r="AU334" s="382">
        <f>+INPUT!AV342</f>
        <v>13.090306545153268</v>
      </c>
      <c r="AV334" s="451">
        <f>+INPUT!AW342</f>
        <v>0.21</v>
      </c>
      <c r="AW334" s="382">
        <f>+INPUT!AX342</f>
        <v>-5.5740859525336788</v>
      </c>
      <c r="AX334" s="397"/>
      <c r="AY334" s="452"/>
      <c r="AZ334" s="424"/>
      <c r="BA334" s="452"/>
      <c r="BB334" s="424"/>
      <c r="BC334" s="452"/>
      <c r="BD334" s="424"/>
      <c r="BE334" s="452"/>
      <c r="BF334" s="382"/>
      <c r="BG334" s="452"/>
      <c r="BH334" s="382"/>
      <c r="BI334" s="452"/>
      <c r="BJ334" s="382"/>
      <c r="BK334" s="452"/>
      <c r="BL334" s="382"/>
      <c r="BM334" s="452"/>
      <c r="BN334" s="382"/>
      <c r="BO334" s="452"/>
      <c r="BP334" s="382"/>
      <c r="BQ334" s="452"/>
      <c r="BR334" s="382"/>
      <c r="BS334" s="423">
        <f>+INPUT!BB342</f>
        <v>0</v>
      </c>
      <c r="BT334" s="382" t="str">
        <f>+INPUT!BC342</f>
        <v>NA</v>
      </c>
      <c r="BU334" s="423">
        <f>+INPUT!BD342</f>
        <v>0</v>
      </c>
      <c r="BV334" s="382" t="str">
        <f>+INPUT!BE342</f>
        <v>NA</v>
      </c>
      <c r="BW334" s="423">
        <f>+INPUT!BF342</f>
        <v>0.42500938790837395</v>
      </c>
      <c r="BX334" s="382" t="str">
        <f>+INPUT!BG342</f>
        <v>NA</v>
      </c>
      <c r="BY334" s="423">
        <f>+INPUT!BH342</f>
        <v>0.262687942853851</v>
      </c>
      <c r="BZ334" s="382">
        <f>+INPUT!BI342</f>
        <v>-38.192437549054134</v>
      </c>
      <c r="CA334" s="423">
        <f>+INPUT!BJ342</f>
        <v>0.23411208115885479</v>
      </c>
      <c r="CB334" s="382">
        <f>+INPUT!BK342</f>
        <v>-10.87825401674209</v>
      </c>
      <c r="CC334" s="423">
        <f>+INPUT!BL342</f>
        <v>0.21000000000000002</v>
      </c>
      <c r="CD334" s="382">
        <f>+INPUT!BM342</f>
        <v>-10.299374999999984</v>
      </c>
      <c r="CE334" s="423">
        <f>+INPUT!BN342</f>
        <v>0.20900000000000002</v>
      </c>
      <c r="CF334" s="382">
        <f>+INPUT!BO342</f>
        <v>-0.4761904761904816</v>
      </c>
      <c r="CG334" s="423">
        <f>+INPUT!BP342</f>
        <v>0.21300000000000002</v>
      </c>
      <c r="CH334" s="382">
        <f>+INPUT!BQ342</f>
        <v>1.9138755980861362</v>
      </c>
      <c r="CI334" s="423">
        <f>+INPUT!BR342</f>
        <v>0.21300000000000002</v>
      </c>
      <c r="CJ334" s="382">
        <f>+INPUT!BS342</f>
        <v>0</v>
      </c>
      <c r="CK334" s="423">
        <f>+INPUT!BT342</f>
        <v>0.21700000000000003</v>
      </c>
      <c r="CL334" s="382">
        <f>+INPUT!BU342</f>
        <v>1.8779342723004788</v>
      </c>
      <c r="CM334" s="424">
        <f>+INPUT!BV342</f>
        <v>-1.5065881965297345</v>
      </c>
    </row>
    <row r="335" spans="1:91" ht="12" hidden="1" customHeight="1" outlineLevel="1" x14ac:dyDescent="0.2">
      <c r="A335" s="400"/>
      <c r="B335" s="425"/>
      <c r="C335" s="424"/>
      <c r="D335" s="425"/>
      <c r="E335" s="382"/>
      <c r="F335" s="425"/>
      <c r="G335" s="382"/>
      <c r="H335" s="425"/>
      <c r="I335" s="382"/>
      <c r="J335" s="425"/>
      <c r="K335" s="382"/>
      <c r="L335" s="425"/>
      <c r="M335" s="382"/>
      <c r="N335" s="425"/>
      <c r="O335" s="382"/>
      <c r="P335" s="425"/>
      <c r="Q335" s="382"/>
      <c r="R335" s="425"/>
      <c r="S335" s="382"/>
      <c r="T335" s="425"/>
      <c r="U335" s="382"/>
      <c r="V335" s="425"/>
      <c r="W335" s="382"/>
      <c r="X335" s="425"/>
      <c r="Y335" s="382"/>
      <c r="Z335" s="425"/>
      <c r="AA335" s="382"/>
      <c r="AB335" s="425"/>
      <c r="AC335" s="382"/>
      <c r="AD335" s="425"/>
      <c r="AE335" s="382"/>
      <c r="AF335" s="425"/>
      <c r="AG335" s="382"/>
      <c r="AH335" s="425"/>
      <c r="AI335" s="382"/>
      <c r="AJ335" s="425"/>
      <c r="AK335" s="382"/>
      <c r="AL335" s="425"/>
      <c r="AM335" s="382"/>
      <c r="AN335" s="425"/>
      <c r="AO335" s="382"/>
      <c r="AP335" s="425"/>
      <c r="AQ335" s="382"/>
      <c r="AR335" s="425"/>
      <c r="AS335" s="382"/>
      <c r="AT335" s="425"/>
      <c r="AU335" s="382"/>
      <c r="AV335" s="425"/>
      <c r="AW335" s="382"/>
      <c r="AX335" s="425"/>
      <c r="AY335" s="425"/>
      <c r="AZ335" s="424"/>
      <c r="BA335" s="425"/>
      <c r="BB335" s="424"/>
      <c r="BC335" s="425"/>
      <c r="BD335" s="424"/>
      <c r="BE335" s="425"/>
      <c r="BF335" s="382"/>
      <c r="BG335" s="425"/>
      <c r="BH335" s="382"/>
      <c r="BI335" s="425"/>
      <c r="BJ335" s="382"/>
      <c r="BK335" s="425"/>
      <c r="BL335" s="382"/>
      <c r="BM335" s="425"/>
      <c r="BN335" s="382"/>
      <c r="BO335" s="425"/>
      <c r="BP335" s="382"/>
      <c r="BQ335" s="425"/>
      <c r="BR335" s="382"/>
      <c r="BS335" s="425"/>
      <c r="BT335" s="382"/>
      <c r="BU335" s="425"/>
      <c r="BV335" s="382"/>
      <c r="BW335" s="425"/>
      <c r="BX335" s="382"/>
      <c r="BY335" s="425"/>
      <c r="BZ335" s="382"/>
      <c r="CA335" s="425"/>
      <c r="CB335" s="382"/>
      <c r="CC335" s="425"/>
      <c r="CD335" s="382"/>
      <c r="CE335" s="425"/>
      <c r="CF335" s="382"/>
      <c r="CG335" s="425"/>
      <c r="CH335" s="382"/>
      <c r="CI335" s="425"/>
      <c r="CJ335" s="382"/>
      <c r="CK335" s="425"/>
      <c r="CL335" s="382"/>
      <c r="CM335" s="424"/>
    </row>
    <row r="336" spans="1:91" ht="12" hidden="1" customHeight="1" outlineLevel="1" x14ac:dyDescent="0.2">
      <c r="A336" s="394" t="s">
        <v>219</v>
      </c>
      <c r="B336" s="425"/>
      <c r="C336" s="424"/>
      <c r="D336" s="425"/>
      <c r="E336" s="382"/>
      <c r="F336" s="425"/>
      <c r="G336" s="382"/>
      <c r="H336" s="425"/>
      <c r="I336" s="382"/>
      <c r="J336" s="425"/>
      <c r="K336" s="382"/>
      <c r="L336" s="425"/>
      <c r="M336" s="382"/>
      <c r="N336" s="425"/>
      <c r="O336" s="382"/>
      <c r="P336" s="425"/>
      <c r="Q336" s="382"/>
      <c r="R336" s="425"/>
      <c r="S336" s="382"/>
      <c r="T336" s="425"/>
      <c r="U336" s="382"/>
      <c r="V336" s="425"/>
      <c r="W336" s="382"/>
      <c r="X336" s="425"/>
      <c r="Y336" s="382"/>
      <c r="Z336" s="425"/>
      <c r="AA336" s="382"/>
      <c r="AB336" s="425"/>
      <c r="AC336" s="382"/>
      <c r="AD336" s="425"/>
      <c r="AE336" s="382"/>
      <c r="AF336" s="425"/>
      <c r="AG336" s="382"/>
      <c r="AH336" s="425"/>
      <c r="AI336" s="382"/>
      <c r="AJ336" s="425"/>
      <c r="AK336" s="382"/>
      <c r="AL336" s="425"/>
      <c r="AM336" s="382"/>
      <c r="AN336" s="425"/>
      <c r="AO336" s="382"/>
      <c r="AP336" s="425"/>
      <c r="AQ336" s="382"/>
      <c r="AR336" s="425"/>
      <c r="AS336" s="382"/>
      <c r="AT336" s="425"/>
      <c r="AU336" s="382"/>
      <c r="AV336" s="425"/>
      <c r="AW336" s="382"/>
      <c r="AX336" s="425"/>
      <c r="AY336" s="425"/>
      <c r="AZ336" s="424"/>
      <c r="BA336" s="425"/>
      <c r="BB336" s="424"/>
      <c r="BC336" s="425"/>
      <c r="BD336" s="424"/>
      <c r="BE336" s="425"/>
      <c r="BF336" s="382"/>
      <c r="BG336" s="425"/>
      <c r="BH336" s="382"/>
      <c r="BI336" s="425"/>
      <c r="BJ336" s="382"/>
      <c r="BK336" s="425"/>
      <c r="BL336" s="382"/>
      <c r="BM336" s="425"/>
      <c r="BN336" s="382"/>
      <c r="BO336" s="425"/>
      <c r="BP336" s="382"/>
      <c r="BQ336" s="425"/>
      <c r="BR336" s="382"/>
      <c r="BS336" s="425"/>
      <c r="BT336" s="382"/>
      <c r="BU336" s="425"/>
      <c r="BV336" s="382"/>
      <c r="BW336" s="425"/>
      <c r="BX336" s="382"/>
      <c r="BY336" s="425"/>
      <c r="BZ336" s="382"/>
      <c r="CA336" s="425"/>
      <c r="CB336" s="382"/>
      <c r="CC336" s="425"/>
      <c r="CD336" s="382"/>
      <c r="CE336" s="425"/>
      <c r="CF336" s="382"/>
      <c r="CG336" s="425"/>
      <c r="CH336" s="382"/>
      <c r="CI336" s="425"/>
      <c r="CJ336" s="382"/>
      <c r="CK336" s="425"/>
      <c r="CL336" s="382"/>
      <c r="CM336" s="424"/>
    </row>
    <row r="337" spans="1:91" ht="12" hidden="1" customHeight="1" outlineLevel="1" x14ac:dyDescent="0.2">
      <c r="A337" s="400" t="str">
        <f>INPUT!B361</f>
        <v>Benefits Expense/AUM (%)</v>
      </c>
      <c r="B337" s="452"/>
      <c r="C337" s="424"/>
      <c r="D337" s="451"/>
      <c r="E337" s="382"/>
      <c r="F337" s="451"/>
      <c r="G337" s="382"/>
      <c r="H337" s="451"/>
      <c r="I337" s="382"/>
      <c r="J337" s="451"/>
      <c r="K337" s="382"/>
      <c r="L337" s="451"/>
      <c r="M337" s="382"/>
      <c r="N337" s="451"/>
      <c r="O337" s="382"/>
      <c r="P337" s="443">
        <f>+INPUT!Q343</f>
        <v>0.48437025796661604</v>
      </c>
      <c r="Q337" s="382" t="str">
        <f>+INPUT!R343</f>
        <v>NA</v>
      </c>
      <c r="R337" s="443">
        <f>+INPUT!S343</f>
        <v>0.25702448210922785</v>
      </c>
      <c r="S337" s="382" t="str">
        <f>+INPUT!T343</f>
        <v>NA</v>
      </c>
      <c r="T337" s="443">
        <f>+INPUT!U343</f>
        <v>0.46955908289241621</v>
      </c>
      <c r="U337" s="382" t="str">
        <f>+INPUT!V343</f>
        <v>NA</v>
      </c>
      <c r="V337" s="443">
        <f>+INPUT!W343</f>
        <v>0.44061456245824987</v>
      </c>
      <c r="W337" s="382" t="str">
        <f>+INPUT!X343</f>
        <v>NA</v>
      </c>
      <c r="X337" s="443">
        <f>+INPUT!Y343</f>
        <v>0.39652638610554442</v>
      </c>
      <c r="Y337" s="382">
        <f>+INPUT!Z343</f>
        <v>-18.135686577834022</v>
      </c>
      <c r="Z337" s="443">
        <f>+INPUT!AA343</f>
        <v>0.31081409477521266</v>
      </c>
      <c r="AA337" s="382">
        <f>+INPUT!AB343</f>
        <v>20.92781676849205</v>
      </c>
      <c r="AB337" s="443">
        <f>+INPUT!AC343</f>
        <v>0.29897410845139227</v>
      </c>
      <c r="AC337" s="382">
        <f>+INPUT!AD343</f>
        <v>-36.328756200443422</v>
      </c>
      <c r="AD337" s="443">
        <f>+INPUT!AE343</f>
        <v>0.2396447315300767</v>
      </c>
      <c r="AE337" s="382">
        <f>+INPUT!AF343</f>
        <v>-45.611254836184841</v>
      </c>
      <c r="AF337" s="443">
        <f>+INPUT!AG343</f>
        <v>0.23064355449292687</v>
      </c>
      <c r="AG337" s="382">
        <f>+INPUT!AH343</f>
        <v>-41.833995775621368</v>
      </c>
      <c r="AH337" s="443">
        <f>+INPUT!AI343</f>
        <v>0.20639269406392693</v>
      </c>
      <c r="AI337" s="382">
        <f>+INPUT!AJ343</f>
        <v>-33.596095694053218</v>
      </c>
      <c r="AJ337" s="443">
        <f>+INPUT!AK343</f>
        <v>0.21619848267377487</v>
      </c>
      <c r="AK337" s="382">
        <f>+INPUT!AL343</f>
        <v>-27.686553262546212</v>
      </c>
      <c r="AL337" s="443">
        <f>+INPUT!AM343</f>
        <v>0.14292307692307693</v>
      </c>
      <c r="AM337" s="382">
        <f>+INPUT!AN343</f>
        <v>-40.360434376943807</v>
      </c>
      <c r="AN337" s="443">
        <f>+INPUT!AO343</f>
        <v>0.20313837375178317</v>
      </c>
      <c r="AO337" s="382">
        <f>+INPUT!AP343</f>
        <v>-11.925406197287515</v>
      </c>
      <c r="AP337" s="443">
        <f>+INPUT!AQ343</f>
        <v>0.16999999999999998</v>
      </c>
      <c r="AQ337" s="382">
        <f>+INPUT!AR343</f>
        <v>-17.63274336283186</v>
      </c>
      <c r="AR337" s="443">
        <f>+INPUT!AS343</f>
        <v>0.16999999999999998</v>
      </c>
      <c r="AS337" s="382">
        <f>+INPUT!AT343</f>
        <v>-21.368550834597883</v>
      </c>
      <c r="AT337" s="443">
        <f>+INPUT!AU343</f>
        <v>0.16999999999999998</v>
      </c>
      <c r="AU337" s="382">
        <f>+INPUT!AV343</f>
        <v>18.945102260495133</v>
      </c>
      <c r="AV337" s="443">
        <f>+INPUT!AW343</f>
        <v>0.17299999999999999</v>
      </c>
      <c r="AW337" s="382">
        <f>+INPUT!AX343</f>
        <v>-14.836376404494388</v>
      </c>
      <c r="AX337" s="397"/>
      <c r="AY337" s="452"/>
      <c r="AZ337" s="424"/>
      <c r="BA337" s="452"/>
      <c r="BB337" s="424"/>
      <c r="BC337" s="452"/>
      <c r="BD337" s="424"/>
      <c r="BE337" s="452"/>
      <c r="BF337" s="382"/>
      <c r="BG337" s="452"/>
      <c r="BH337" s="382"/>
      <c r="BI337" s="452"/>
      <c r="BJ337" s="382"/>
      <c r="BK337" s="423"/>
      <c r="BL337" s="382"/>
      <c r="BM337" s="423"/>
      <c r="BN337" s="382"/>
      <c r="BO337" s="423"/>
      <c r="BP337" s="382"/>
      <c r="BQ337" s="423"/>
      <c r="BR337" s="382"/>
      <c r="BS337" s="443">
        <f>+INPUT!BB343</f>
        <v>0</v>
      </c>
      <c r="BT337" s="382" t="str">
        <f>+INPUT!BC343</f>
        <v>NA</v>
      </c>
      <c r="BU337" s="443">
        <f>+INPUT!BD343</f>
        <v>0</v>
      </c>
      <c r="BV337" s="382" t="str">
        <f>+INPUT!BE343</f>
        <v>NA</v>
      </c>
      <c r="BW337" s="443">
        <f>+INPUT!BF343</f>
        <v>0.42433345850544496</v>
      </c>
      <c r="BX337" s="382" t="str">
        <f>+INPUT!BG343</f>
        <v>NA</v>
      </c>
      <c r="BY337" s="443">
        <f>+INPUT!BH343</f>
        <v>0.26453136701422891</v>
      </c>
      <c r="BZ337" s="382">
        <f>+INPUT!BI343</f>
        <v>-37.659554835496309</v>
      </c>
      <c r="CA337" s="443">
        <f>+INPUT!BJ343</f>
        <v>0.19173779446910208</v>
      </c>
      <c r="CB337" s="382">
        <f>+INPUT!BK343</f>
        <v>-27.517936102152802</v>
      </c>
      <c r="CC337" s="443">
        <f>+INPUT!BL343</f>
        <v>0.17075982884113863</v>
      </c>
      <c r="CD337" s="382">
        <f>+INPUT!BM343</f>
        <v>-10.940965335524382</v>
      </c>
      <c r="CE337" s="443">
        <f>+INPUT!BN343</f>
        <v>0.17075982884113863</v>
      </c>
      <c r="CF337" s="382">
        <f>+INPUT!BO343</f>
        <v>0</v>
      </c>
      <c r="CG337" s="443">
        <f>+INPUT!BP343</f>
        <v>0.17075982884113863</v>
      </c>
      <c r="CH337" s="382">
        <f>+INPUT!BQ343</f>
        <v>0</v>
      </c>
      <c r="CI337" s="443">
        <f>+INPUT!BR343</f>
        <v>0.17675982884113864</v>
      </c>
      <c r="CJ337" s="382">
        <f>+INPUT!BS343</f>
        <v>3.5137069653436583</v>
      </c>
      <c r="CK337" s="443">
        <f>+INPUT!BT343</f>
        <v>0.18225982884113864</v>
      </c>
      <c r="CL337" s="382">
        <f>+INPUT!BU343</f>
        <v>3.111566715163022</v>
      </c>
      <c r="CM337" s="424">
        <f>+INPUT!BV343</f>
        <v>-1.0087869613534473</v>
      </c>
    </row>
    <row r="338" spans="1:91" ht="12" hidden="1" customHeight="1" outlineLevel="1" x14ac:dyDescent="0.2">
      <c r="A338" s="400" t="s">
        <v>384</v>
      </c>
      <c r="B338" s="425"/>
      <c r="C338" s="424"/>
      <c r="D338" s="443"/>
      <c r="E338" s="382"/>
      <c r="F338" s="443"/>
      <c r="G338" s="382"/>
      <c r="H338" s="443"/>
      <c r="I338" s="382"/>
      <c r="J338" s="443"/>
      <c r="K338" s="382"/>
      <c r="L338" s="443"/>
      <c r="M338" s="382"/>
      <c r="N338" s="443"/>
      <c r="O338" s="382"/>
      <c r="P338" s="443">
        <f>+INPUT!Q346</f>
        <v>6.7071320182094094E-2</v>
      </c>
      <c r="Q338" s="382" t="str">
        <f>+INPUT!R346</f>
        <v>NA</v>
      </c>
      <c r="R338" s="443">
        <f>+INPUT!S346</f>
        <v>4.519774011299435E-2</v>
      </c>
      <c r="S338" s="382" t="str">
        <f>+INPUT!T346</f>
        <v>NA</v>
      </c>
      <c r="T338" s="443">
        <f>+INPUT!U346</f>
        <v>3.8659611992945327E-2</v>
      </c>
      <c r="U338" s="382" t="str">
        <f>+INPUT!V346</f>
        <v>NA</v>
      </c>
      <c r="V338" s="443">
        <f>+INPUT!W346</f>
        <v>3.6873747494989985E-2</v>
      </c>
      <c r="W338" s="382" t="str">
        <f>+INPUT!X346</f>
        <v>NA</v>
      </c>
      <c r="X338" s="443">
        <f>+INPUT!Y346</f>
        <v>3.820975283901136E-2</v>
      </c>
      <c r="Y338" s="382">
        <f>+INPUT!Z346</f>
        <v>-43.031160359935562</v>
      </c>
      <c r="Z338" s="443">
        <f>+INPUT!AA346</f>
        <v>2.9647630619684083E-2</v>
      </c>
      <c r="AA338" s="382">
        <f>+INPUT!AB346</f>
        <v>-34.40461725394897</v>
      </c>
      <c r="AB338" s="443">
        <f>+INPUT!AC346</f>
        <v>2.6380068392769906E-2</v>
      </c>
      <c r="AC338" s="382">
        <f>+INPUT!AD346</f>
        <v>-31.763235498628944</v>
      </c>
      <c r="AD338" s="443">
        <f>+INPUT!AE346</f>
        <v>2.2285022204279369E-2</v>
      </c>
      <c r="AE338" s="382">
        <f>+INPUT!AF346</f>
        <v>-39.563988696003236</v>
      </c>
      <c r="AF338" s="443">
        <f>+INPUT!AG346</f>
        <v>2.3112173739788803E-2</v>
      </c>
      <c r="AG338" s="382">
        <f>+INPUT!AH346</f>
        <v>-39.512370474713578</v>
      </c>
      <c r="AH338" s="443">
        <f>+INPUT!AI346</f>
        <v>2.0755500207555001E-2</v>
      </c>
      <c r="AI338" s="382">
        <f>+INPUT!AJ346</f>
        <v>-29.992718562222279</v>
      </c>
      <c r="AJ338" s="443">
        <f>+INPUT!AK346</f>
        <v>2.4605290137379533E-2</v>
      </c>
      <c r="AK338" s="382">
        <f>+INPUT!AL346</f>
        <v>-6.7277242384890599</v>
      </c>
      <c r="AL338" s="443">
        <f>+INPUT!AM346</f>
        <v>2.4923076923076923E-2</v>
      </c>
      <c r="AM338" s="382">
        <f>+INPUT!AN346</f>
        <v>11.837792642140471</v>
      </c>
      <c r="AN338" s="443">
        <f>+INPUT!AO346</f>
        <v>2.4536376604850217E-2</v>
      </c>
      <c r="AO338" s="382">
        <f>+INPUT!AP346</f>
        <v>6.1621329135717531</v>
      </c>
      <c r="AP338" s="443">
        <f>+INPUT!AQ346</f>
        <v>2.4536376604850217E-2</v>
      </c>
      <c r="AQ338" s="382">
        <f>+INPUT!AR346</f>
        <v>18.216262482168347</v>
      </c>
      <c r="AR338" s="443">
        <f>+INPUT!AS346</f>
        <v>2.4536376604850217E-2</v>
      </c>
      <c r="AS338" s="382">
        <f>+INPUT!AT346</f>
        <v>-0.28007608178789667</v>
      </c>
      <c r="AT338" s="443">
        <f>+INPUT!AU346</f>
        <v>2.4536376604850217E-2</v>
      </c>
      <c r="AU338" s="382">
        <f>+INPUT!AV346</f>
        <v>-1.5515753509096157</v>
      </c>
      <c r="AV338" s="443">
        <f>+INPUT!AW346</f>
        <v>2.4536376604850217E-2</v>
      </c>
      <c r="AW338" s="382">
        <f>+INPUT!AX346</f>
        <v>0</v>
      </c>
      <c r="AX338" s="403"/>
      <c r="AY338" s="402"/>
      <c r="AZ338" s="432"/>
      <c r="BA338" s="402"/>
      <c r="BB338" s="432"/>
      <c r="BC338" s="402"/>
      <c r="BD338" s="432"/>
      <c r="BE338" s="402"/>
      <c r="BF338" s="382"/>
      <c r="BG338" s="402"/>
      <c r="BH338" s="382"/>
      <c r="BI338" s="402"/>
      <c r="BJ338" s="382"/>
      <c r="BK338" s="443"/>
      <c r="BL338" s="382"/>
      <c r="BM338" s="443"/>
      <c r="BN338" s="382"/>
      <c r="BO338" s="443"/>
      <c r="BP338" s="382"/>
      <c r="BQ338" s="443"/>
      <c r="BR338" s="382"/>
      <c r="BS338" s="443">
        <f>+INPUT!BB346</f>
        <v>0</v>
      </c>
      <c r="BT338" s="382" t="str">
        <f>+INPUT!BC346</f>
        <v>NA</v>
      </c>
      <c r="BU338" s="443">
        <f>+INPUT!BD346</f>
        <v>0</v>
      </c>
      <c r="BV338" s="382" t="str">
        <f>+INPUT!BE346</f>
        <v>NA</v>
      </c>
      <c r="BW338" s="443">
        <f>+INPUT!BF346</f>
        <v>4.2658655651520841E-2</v>
      </c>
      <c r="BX338" s="382" t="str">
        <f>+INPUT!BG346</f>
        <v>NA</v>
      </c>
      <c r="BY338" s="443">
        <f>+INPUT!BH346</f>
        <v>2.4886226165101676E-2</v>
      </c>
      <c r="BZ338" s="382">
        <f>+INPUT!BI346</f>
        <v>-41.661953980928025</v>
      </c>
      <c r="CA338" s="443">
        <f>+INPUT!BJ346</f>
        <v>2.3762376237623766E-2</v>
      </c>
      <c r="CB338" s="382">
        <f>+INPUT!BK346</f>
        <v>-4.5159515951594926</v>
      </c>
      <c r="CC338" s="443">
        <f>+INPUT!BL346</f>
        <v>2.4536376604850217E-2</v>
      </c>
      <c r="CD338" s="382">
        <f>+INPUT!BM346</f>
        <v>3.2572515454113216</v>
      </c>
      <c r="CE338" s="443">
        <f>+INPUT!BN346</f>
        <v>2.4536376604850217E-2</v>
      </c>
      <c r="CF338" s="382">
        <f>+INPUT!BO346</f>
        <v>0</v>
      </c>
      <c r="CG338" s="443">
        <f>+INPUT!BP346</f>
        <v>2.4536376604850217E-2</v>
      </c>
      <c r="CH338" s="382">
        <f>+INPUT!BQ346</f>
        <v>0</v>
      </c>
      <c r="CI338" s="443">
        <f>+INPUT!BR346</f>
        <v>2.4536376604850217E-2</v>
      </c>
      <c r="CJ338" s="382">
        <f>+INPUT!BS346</f>
        <v>0</v>
      </c>
      <c r="CK338" s="443">
        <f>+INPUT!BT346</f>
        <v>2.4536376604850217E-2</v>
      </c>
      <c r="CL338" s="382">
        <f>+INPUT!BU346</f>
        <v>0</v>
      </c>
      <c r="CM338" s="424">
        <f>+INPUT!BV346</f>
        <v>0.64312474845429346</v>
      </c>
    </row>
    <row r="339" spans="1:91" ht="12" hidden="1" customHeight="1" outlineLevel="1" x14ac:dyDescent="0.2">
      <c r="A339" s="400" t="s">
        <v>385</v>
      </c>
      <c r="B339" s="425"/>
      <c r="C339" s="424"/>
      <c r="D339" s="443"/>
      <c r="E339" s="382"/>
      <c r="F339" s="443"/>
      <c r="G339" s="382"/>
      <c r="H339" s="443"/>
      <c r="I339" s="382"/>
      <c r="J339" s="443"/>
      <c r="K339" s="382"/>
      <c r="L339" s="443"/>
      <c r="M339" s="382"/>
      <c r="N339" s="443"/>
      <c r="O339" s="382"/>
      <c r="P339" s="443">
        <f>+INPUT!Q347</f>
        <v>-3.3687405159332329E-2</v>
      </c>
      <c r="Q339" s="382" t="str">
        <f>+INPUT!R347</f>
        <v>NA</v>
      </c>
      <c r="R339" s="443">
        <f>+INPUT!S347</f>
        <v>-1.6873822975517889E-2</v>
      </c>
      <c r="S339" s="382" t="str">
        <f>+INPUT!T347</f>
        <v>NA</v>
      </c>
      <c r="T339" s="443">
        <f>+INPUT!U347</f>
        <v>-7.6190476190476199E-3</v>
      </c>
      <c r="U339" s="382" t="str">
        <f>+INPUT!V347</f>
        <v>NA</v>
      </c>
      <c r="V339" s="443">
        <f>+INPUT!W347</f>
        <v>-8.5504342017368087E-3</v>
      </c>
      <c r="W339" s="382" t="str">
        <f>+INPUT!X347</f>
        <v>NA</v>
      </c>
      <c r="X339" s="443">
        <f>+INPUT!Y347</f>
        <v>-9.6192384769539074E-3</v>
      </c>
      <c r="Y339" s="382" t="str">
        <f>+INPUT!Z347</f>
        <v>NM</v>
      </c>
      <c r="Z339" s="443">
        <f>+INPUT!AA347</f>
        <v>-4.1312272174969609E-3</v>
      </c>
      <c r="AA339" s="382" t="str">
        <f>+INPUT!AB347</f>
        <v>NM</v>
      </c>
      <c r="AB339" s="443">
        <f>+INPUT!AC347</f>
        <v>-3.9081582804103565E-3</v>
      </c>
      <c r="AC339" s="382">
        <f>+INPUT!AD347</f>
        <v>-48.705422569614079</v>
      </c>
      <c r="AD339" s="443">
        <f>+INPUT!AE347</f>
        <v>2.5837706903512306E-3</v>
      </c>
      <c r="AE339" s="382" t="str">
        <f>+INPUT!AF347</f>
        <v>NM</v>
      </c>
      <c r="AF339" s="443">
        <f>+INPUT!AG347</f>
        <v>-6.3757720661486406E-4</v>
      </c>
      <c r="AG339" s="382" t="str">
        <f>+INPUT!AH347</f>
        <v>NM</v>
      </c>
      <c r="AH339" s="443">
        <f>+INPUT!AI347</f>
        <v>1.3283520132835198E-3</v>
      </c>
      <c r="AI339" s="382" t="str">
        <f>+INPUT!AJ347</f>
        <v>NM</v>
      </c>
      <c r="AJ339" s="443">
        <f>+INPUT!AK347</f>
        <v>1.6403526758252966E-4</v>
      </c>
      <c r="AK339" s="382" t="str">
        <f>+INPUT!AL347</f>
        <v>NM</v>
      </c>
      <c r="AL339" s="443">
        <f>+INPUT!AM347</f>
        <v>-7.6923076923076923E-4</v>
      </c>
      <c r="AM339" s="382" t="str">
        <f>+INPUT!AN347</f>
        <v>NM</v>
      </c>
      <c r="AN339" s="443">
        <f>+INPUT!AO347</f>
        <v>-3.5663338088445067E-3</v>
      </c>
      <c r="AO339" s="382" t="str">
        <f>+INPUT!AP347</f>
        <v>NM</v>
      </c>
      <c r="AP339" s="443">
        <f>+INPUT!AQ347</f>
        <v>-3.5663338088445067E-3</v>
      </c>
      <c r="AQ339" s="382" t="str">
        <f>+INPUT!AR347</f>
        <v>NM</v>
      </c>
      <c r="AR339" s="443">
        <f>+INPUT!AS347</f>
        <v>-3.5663338088445067E-3</v>
      </c>
      <c r="AS339" s="382" t="str">
        <f>+INPUT!AT347</f>
        <v>NM</v>
      </c>
      <c r="AT339" s="443">
        <f>+INPUT!AU347</f>
        <v>-3.5663338088445067E-3</v>
      </c>
      <c r="AU339" s="382" t="str">
        <f>+INPUT!AV347</f>
        <v>NM</v>
      </c>
      <c r="AV339" s="443">
        <f>+INPUT!AW347</f>
        <v>-3.5663338088445067E-3</v>
      </c>
      <c r="AW339" s="382">
        <f>+INPUT!AX347</f>
        <v>0</v>
      </c>
      <c r="AX339" s="403"/>
      <c r="AY339" s="402"/>
      <c r="AZ339" s="432"/>
      <c r="BA339" s="402"/>
      <c r="BB339" s="432"/>
      <c r="BC339" s="402"/>
      <c r="BD339" s="432"/>
      <c r="BE339" s="402"/>
      <c r="BF339" s="382"/>
      <c r="BG339" s="402"/>
      <c r="BH339" s="382"/>
      <c r="BI339" s="402"/>
      <c r="BJ339" s="382"/>
      <c r="BK339" s="443"/>
      <c r="BL339" s="382"/>
      <c r="BM339" s="443"/>
      <c r="BN339" s="382"/>
      <c r="BO339" s="443"/>
      <c r="BP339" s="382"/>
      <c r="BQ339" s="443"/>
      <c r="BR339" s="382"/>
      <c r="BS339" s="443">
        <f>+INPUT!BB347</f>
        <v>0</v>
      </c>
      <c r="BT339" s="382" t="str">
        <f>+INPUT!BC347</f>
        <v>NA</v>
      </c>
      <c r="BU339" s="443">
        <f>+INPUT!BD347</f>
        <v>0</v>
      </c>
      <c r="BV339" s="382" t="str">
        <f>+INPUT!BE347</f>
        <v>NA</v>
      </c>
      <c r="BW339" s="443">
        <f>+INPUT!BF347</f>
        <v>-1.1340593315809238E-2</v>
      </c>
      <c r="BX339" s="382" t="str">
        <f>+INPUT!BG347</f>
        <v>NA</v>
      </c>
      <c r="BY339" s="443">
        <f>+INPUT!BH347</f>
        <v>-1.1521401002361888E-3</v>
      </c>
      <c r="BZ339" s="382" t="str">
        <f>+INPUT!BI347</f>
        <v>NM</v>
      </c>
      <c r="CA339" s="443">
        <f>+INPUT!BJ347</f>
        <v>-8.1939228405599157E-4</v>
      </c>
      <c r="CB339" s="382">
        <f>+INPUT!BK347</f>
        <v>-28.880846705360213</v>
      </c>
      <c r="CC339" s="443">
        <f>+INPUT!BL347</f>
        <v>-3.5663338088445071E-3</v>
      </c>
      <c r="CD339" s="382" t="str">
        <f>+INPUT!BM347</f>
        <v>NM</v>
      </c>
      <c r="CE339" s="443">
        <f>+INPUT!BN347</f>
        <v>-3.5663338088445071E-3</v>
      </c>
      <c r="CF339" s="382">
        <f>+INPUT!BO347</f>
        <v>0</v>
      </c>
      <c r="CG339" s="443">
        <f>+INPUT!BP347</f>
        <v>-3.5663338088445071E-3</v>
      </c>
      <c r="CH339" s="382">
        <f>+INPUT!BQ347</f>
        <v>0</v>
      </c>
      <c r="CI339" s="443">
        <f>+INPUT!BR347</f>
        <v>-3.5663338088445071E-3</v>
      </c>
      <c r="CJ339" s="382">
        <f>+INPUT!BS347</f>
        <v>0</v>
      </c>
      <c r="CK339" s="443">
        <f>+INPUT!BT347</f>
        <v>-3.5663338088445071E-3</v>
      </c>
      <c r="CL339" s="382">
        <f>+INPUT!BU347</f>
        <v>0</v>
      </c>
      <c r="CM339" s="424">
        <f>+INPUT!BV347</f>
        <v>34.197994035422361</v>
      </c>
    </row>
    <row r="340" spans="1:91" ht="12" hidden="1" customHeight="1" outlineLevel="1" x14ac:dyDescent="0.2">
      <c r="A340" s="400" t="str">
        <f>INPUT!B366</f>
        <v>Other Expenses/Avg AUM (%)</v>
      </c>
      <c r="B340" s="425"/>
      <c r="C340" s="424"/>
      <c r="D340" s="443"/>
      <c r="E340" s="382"/>
      <c r="F340" s="443"/>
      <c r="G340" s="382"/>
      <c r="H340" s="443"/>
      <c r="I340" s="382"/>
      <c r="J340" s="443"/>
      <c r="K340" s="382"/>
      <c r="L340" s="443"/>
      <c r="M340" s="382"/>
      <c r="N340" s="443"/>
      <c r="O340" s="382"/>
      <c r="P340" s="443">
        <f>+INPUT!Q348</f>
        <v>0.26858877086494692</v>
      </c>
      <c r="Q340" s="382" t="str">
        <f>+INPUT!R348</f>
        <v>NA</v>
      </c>
      <c r="R340" s="443">
        <f>+INPUT!S348</f>
        <v>0.22568738229755181</v>
      </c>
      <c r="S340" s="382" t="str">
        <f>+INPUT!T348</f>
        <v>NA</v>
      </c>
      <c r="T340" s="443">
        <f>+INPUT!U348</f>
        <v>0.2215167548500882</v>
      </c>
      <c r="U340" s="382" t="str">
        <f>+INPUT!V348</f>
        <v>NA</v>
      </c>
      <c r="V340" s="443">
        <f>+INPUT!W348</f>
        <v>0.27628590514362061</v>
      </c>
      <c r="W340" s="382" t="str">
        <f>+INPUT!X348</f>
        <v>NA</v>
      </c>
      <c r="X340" s="443">
        <f>+INPUT!Y348</f>
        <v>0.23807615230460921</v>
      </c>
      <c r="Y340" s="382">
        <f>+INPUT!Z348</f>
        <v>-11.360347814272629</v>
      </c>
      <c r="Z340" s="443">
        <f>+INPUT!AA348</f>
        <v>0.19416767922235723</v>
      </c>
      <c r="AA340" s="382">
        <f>+INPUT!AB348</f>
        <v>-13.966090064192528</v>
      </c>
      <c r="AB340" s="443">
        <f>+INPUT!AC348</f>
        <v>0.16394723986321447</v>
      </c>
      <c r="AC340" s="382">
        <f>+INPUT!AD348</f>
        <v>-25.988785826080743</v>
      </c>
      <c r="AD340" s="443">
        <f>+INPUT!AE348</f>
        <v>0.13807024626564393</v>
      </c>
      <c r="AE340" s="382" t="str">
        <f>+INPUT!AF348</f>
        <v>NM</v>
      </c>
      <c r="AF340" s="443">
        <f>+INPUT!AG348</f>
        <v>0.13835425383542538</v>
      </c>
      <c r="AG340" s="382">
        <f>+INPUT!AH348</f>
        <v>-41.886554996736315</v>
      </c>
      <c r="AH340" s="443">
        <f>+INPUT!AI348</f>
        <v>0.13565794935657949</v>
      </c>
      <c r="AI340" s="382">
        <f>+INPUT!AJ348</f>
        <v>-30.133609311348607</v>
      </c>
      <c r="AJ340" s="443">
        <f>+INPUT!AK348</f>
        <v>0.15288086938691819</v>
      </c>
      <c r="AK340" s="382">
        <f>+INPUT!AL348</f>
        <v>-6.749958392425043</v>
      </c>
      <c r="AL340" s="443">
        <f>+INPUT!AM348</f>
        <v>0.14215384615384616</v>
      </c>
      <c r="AM340" s="382">
        <f>+INPUT!AN348</f>
        <v>2.9576248313090332</v>
      </c>
      <c r="AN340" s="443">
        <f>+INPUT!AO348</f>
        <v>0.14279600570613413</v>
      </c>
      <c r="AO340" s="382">
        <f>+INPUT!AP348</f>
        <v>3.2104194468731464</v>
      </c>
      <c r="AP340" s="443">
        <f>+INPUT!AQ348</f>
        <v>0.14279600570613413</v>
      </c>
      <c r="AQ340" s="382">
        <f>+INPUT!AR348</f>
        <v>5.2618046958620397</v>
      </c>
      <c r="AR340" s="443">
        <f>+INPUT!AS348</f>
        <v>0.14279600570613413</v>
      </c>
      <c r="AS340" s="382">
        <f>+INPUT!AT348</f>
        <v>-6.5965504521437737</v>
      </c>
      <c r="AT340" s="443">
        <f>+INPUT!AU348</f>
        <v>0.14279600570613413</v>
      </c>
      <c r="AU340" s="382">
        <f>+INPUT!AV348</f>
        <v>0.45173561578700117</v>
      </c>
      <c r="AV340" s="443">
        <f>+INPUT!AW348</f>
        <v>0.14279600570613413</v>
      </c>
      <c r="AW340" s="382">
        <f>+INPUT!AX348</f>
        <v>0</v>
      </c>
      <c r="AX340" s="403"/>
      <c r="AY340" s="402"/>
      <c r="AZ340" s="432"/>
      <c r="BA340" s="402"/>
      <c r="BB340" s="432"/>
      <c r="BC340" s="402"/>
      <c r="BD340" s="432"/>
      <c r="BE340" s="402"/>
      <c r="BF340" s="382"/>
      <c r="BG340" s="402"/>
      <c r="BH340" s="382"/>
      <c r="BI340" s="402"/>
      <c r="BJ340" s="382"/>
      <c r="BK340" s="443"/>
      <c r="BL340" s="382"/>
      <c r="BM340" s="443"/>
      <c r="BN340" s="382"/>
      <c r="BO340" s="443"/>
      <c r="BP340" s="382"/>
      <c r="BQ340" s="443"/>
      <c r="BR340" s="382"/>
      <c r="BS340" s="443">
        <f>+INPUT!BB348</f>
        <v>0</v>
      </c>
      <c r="BT340" s="382" t="str">
        <f>+INPUT!BC348</f>
        <v>NA</v>
      </c>
      <c r="BU340" s="443">
        <f>+INPUT!BD348</f>
        <v>0</v>
      </c>
      <c r="BV340" s="382" t="str">
        <f>+INPUT!BE348</f>
        <v>NA</v>
      </c>
      <c r="BW340" s="443">
        <f>+INPUT!BF348</f>
        <v>0.25978220052572282</v>
      </c>
      <c r="BX340" s="382" t="str">
        <f>+INPUT!BG348</f>
        <v>NA</v>
      </c>
      <c r="BY340" s="443">
        <f>+INPUT!BH348</f>
        <v>0.15489371507575322</v>
      </c>
      <c r="BZ340" s="382">
        <f>+INPUT!BI348</f>
        <v>-40.375547376881912</v>
      </c>
      <c r="CA340" s="443">
        <f>+INPUT!BJ348</f>
        <v>0.14335463102960544</v>
      </c>
      <c r="CB340" s="382">
        <f>+INPUT!BK348</f>
        <v>-7.4496786654670899</v>
      </c>
      <c r="CC340" s="443">
        <f>+INPUT!BL348</f>
        <v>0.14279600570613415</v>
      </c>
      <c r="CD340" s="382">
        <f>+INPUT!BM348</f>
        <v>-0.38968069566996633</v>
      </c>
      <c r="CE340" s="443">
        <f>+INPUT!BN348</f>
        <v>0.14279600570613415</v>
      </c>
      <c r="CF340" s="382">
        <f>+INPUT!BO348</f>
        <v>0</v>
      </c>
      <c r="CG340" s="443">
        <f>+INPUT!BP348</f>
        <v>0.14279600570613415</v>
      </c>
      <c r="CH340" s="382">
        <f>+INPUT!BQ348</f>
        <v>0</v>
      </c>
      <c r="CI340" s="443">
        <f>+INPUT!BR348</f>
        <v>0.14279600570613415</v>
      </c>
      <c r="CJ340" s="382">
        <f>+INPUT!BS348</f>
        <v>0</v>
      </c>
      <c r="CK340" s="443">
        <f>+INPUT!BT348</f>
        <v>0.13279600570613415</v>
      </c>
      <c r="CL340" s="382">
        <f>+INPUT!BU348</f>
        <v>-7.0029970029970059</v>
      </c>
      <c r="CM340" s="424">
        <f>+INPUT!BV348</f>
        <v>-1.5184995064106865</v>
      </c>
    </row>
    <row r="341" spans="1:91" ht="12" hidden="1" customHeight="1" outlineLevel="1" x14ac:dyDescent="0.2">
      <c r="A341" s="453"/>
      <c r="B341" s="425"/>
      <c r="C341" s="424"/>
      <c r="D341" s="425"/>
      <c r="E341" s="382"/>
      <c r="F341" s="425"/>
      <c r="G341" s="382"/>
      <c r="H341" s="425"/>
      <c r="I341" s="382"/>
      <c r="J341" s="425"/>
      <c r="K341" s="382"/>
      <c r="L341" s="425"/>
      <c r="M341" s="382"/>
      <c r="N341" s="425"/>
      <c r="O341" s="382"/>
      <c r="P341" s="425"/>
      <c r="Q341" s="382"/>
      <c r="R341" s="425"/>
      <c r="S341" s="382"/>
      <c r="T341" s="425"/>
      <c r="U341" s="382"/>
      <c r="V341" s="425"/>
      <c r="W341" s="382"/>
      <c r="X341" s="425"/>
      <c r="Y341" s="382"/>
      <c r="Z341" s="425"/>
      <c r="AA341" s="382"/>
      <c r="AB341" s="425"/>
      <c r="AC341" s="382"/>
      <c r="AD341" s="425"/>
      <c r="AE341" s="382"/>
      <c r="AF341" s="425"/>
      <c r="AG341" s="382"/>
      <c r="AH341" s="425"/>
      <c r="AI341" s="382"/>
      <c r="AJ341" s="425"/>
      <c r="AK341" s="382"/>
      <c r="AL341" s="425"/>
      <c r="AM341" s="382"/>
      <c r="AN341" s="425"/>
      <c r="AO341" s="382"/>
      <c r="AP341" s="425"/>
      <c r="AQ341" s="382"/>
      <c r="AR341" s="425"/>
      <c r="AS341" s="382"/>
      <c r="AT341" s="425"/>
      <c r="AU341" s="382"/>
      <c r="AV341" s="425"/>
      <c r="AW341" s="382"/>
      <c r="AX341" s="397"/>
      <c r="AY341" s="425"/>
      <c r="AZ341" s="424"/>
      <c r="BA341" s="425"/>
      <c r="BB341" s="424"/>
      <c r="BC341" s="425"/>
      <c r="BD341" s="424"/>
      <c r="BE341" s="425"/>
      <c r="BF341" s="382"/>
      <c r="BG341" s="425"/>
      <c r="BH341" s="382"/>
      <c r="BI341" s="425"/>
      <c r="BJ341" s="382"/>
      <c r="BK341" s="425"/>
      <c r="BL341" s="382"/>
      <c r="BM341" s="425"/>
      <c r="BN341" s="382"/>
      <c r="BO341" s="425"/>
      <c r="BP341" s="382"/>
      <c r="BQ341" s="425"/>
      <c r="BR341" s="382"/>
      <c r="BS341" s="425"/>
      <c r="BT341" s="382"/>
      <c r="BU341" s="425"/>
      <c r="BV341" s="382"/>
      <c r="BW341" s="425"/>
      <c r="BX341" s="382"/>
      <c r="BY341" s="425"/>
      <c r="BZ341" s="382"/>
      <c r="CA341" s="425"/>
      <c r="CB341" s="382"/>
      <c r="CC341" s="425"/>
      <c r="CD341" s="382"/>
      <c r="CE341" s="425"/>
      <c r="CF341" s="382"/>
      <c r="CG341" s="425"/>
      <c r="CH341" s="382"/>
      <c r="CI341" s="425"/>
      <c r="CJ341" s="382"/>
      <c r="CK341" s="425"/>
      <c r="CL341" s="382"/>
      <c r="CM341" s="424"/>
    </row>
    <row r="342" spans="1:91" ht="19.5" hidden="1" customHeight="1" outlineLevel="1" x14ac:dyDescent="0.25">
      <c r="A342" s="471" t="str">
        <f>+$A$1</f>
        <v>Principal Financial Group</v>
      </c>
      <c r="B342" s="381"/>
      <c r="C342" s="382"/>
      <c r="D342" s="381"/>
      <c r="E342" s="382"/>
      <c r="F342" s="381"/>
      <c r="G342" s="382"/>
      <c r="H342" s="381"/>
      <c r="I342" s="382"/>
      <c r="J342" s="381"/>
      <c r="K342" s="382"/>
      <c r="L342" s="381"/>
      <c r="M342" s="382"/>
      <c r="N342" s="381"/>
      <c r="O342" s="382"/>
      <c r="P342" s="381"/>
      <c r="Q342" s="382"/>
      <c r="R342" s="381"/>
      <c r="S342" s="382"/>
      <c r="T342" s="381"/>
      <c r="U342" s="382"/>
      <c r="V342" s="381"/>
      <c r="W342" s="382"/>
      <c r="X342" s="381"/>
      <c r="Y342" s="382"/>
      <c r="Z342" s="381"/>
      <c r="AA342" s="382"/>
      <c r="AB342" s="381"/>
      <c r="AC342" s="382"/>
      <c r="AD342" s="381"/>
      <c r="AE342" s="382"/>
      <c r="AF342" s="381"/>
      <c r="AG342" s="382"/>
      <c r="AH342" s="381"/>
      <c r="AI342" s="382"/>
      <c r="AJ342" s="381"/>
      <c r="AK342" s="382"/>
      <c r="AL342" s="381"/>
      <c r="AM342" s="382"/>
      <c r="AN342" s="381"/>
      <c r="AO342" s="382"/>
      <c r="AP342" s="381"/>
      <c r="AQ342" s="382"/>
      <c r="AR342" s="381"/>
      <c r="AS342" s="382"/>
      <c r="AT342" s="381"/>
      <c r="AU342" s="382"/>
      <c r="AV342" s="381"/>
      <c r="AW342" s="382"/>
      <c r="AX342" s="382"/>
      <c r="AY342" s="381"/>
      <c r="AZ342" s="382"/>
      <c r="BA342" s="381"/>
      <c r="BB342" s="382"/>
      <c r="BC342" s="381"/>
      <c r="BD342" s="382"/>
      <c r="BE342" s="381"/>
      <c r="BF342" s="382"/>
      <c r="BG342" s="381"/>
      <c r="BH342" s="382"/>
      <c r="BI342" s="381"/>
      <c r="BJ342" s="382"/>
      <c r="BK342" s="381"/>
      <c r="BL342" s="382"/>
      <c r="BM342" s="381"/>
      <c r="BN342" s="382"/>
      <c r="BO342" s="381"/>
      <c r="BP342" s="382"/>
      <c r="BQ342" s="381"/>
      <c r="BR342" s="382"/>
      <c r="BS342" s="381"/>
      <c r="BT342" s="382"/>
      <c r="BU342" s="381"/>
      <c r="BV342" s="382"/>
      <c r="BW342" s="381"/>
      <c r="BX342" s="382"/>
      <c r="BY342" s="381"/>
      <c r="BZ342" s="382"/>
      <c r="CA342" s="381"/>
      <c r="CB342" s="382"/>
      <c r="CC342" s="381"/>
      <c r="CD342" s="382"/>
      <c r="CE342" s="381"/>
      <c r="CF342" s="382"/>
      <c r="CG342" s="381"/>
      <c r="CH342" s="382"/>
      <c r="CI342" s="381"/>
      <c r="CJ342" s="382"/>
      <c r="CK342" s="381"/>
      <c r="CL342" s="382"/>
      <c r="CM342" s="382"/>
    </row>
    <row r="343" spans="1:91" ht="12" hidden="1" customHeight="1" outlineLevel="1" x14ac:dyDescent="0.2">
      <c r="A343" s="383" t="s">
        <v>506</v>
      </c>
      <c r="B343" s="384"/>
      <c r="C343" s="385"/>
      <c r="D343" s="384"/>
      <c r="E343" s="385"/>
      <c r="F343" s="384"/>
      <c r="G343" s="385"/>
      <c r="H343" s="384"/>
      <c r="I343" s="385"/>
      <c r="J343" s="384"/>
      <c r="K343" s="385"/>
      <c r="L343" s="384"/>
      <c r="M343" s="385"/>
      <c r="N343" s="384"/>
      <c r="O343" s="385"/>
      <c r="P343" s="384"/>
      <c r="Q343" s="385"/>
      <c r="R343" s="384"/>
      <c r="S343" s="385"/>
      <c r="T343" s="384"/>
      <c r="U343" s="385"/>
      <c r="V343" s="384"/>
      <c r="W343" s="385"/>
      <c r="X343" s="384"/>
      <c r="Y343" s="385"/>
      <c r="Z343" s="384"/>
      <c r="AA343" s="385"/>
      <c r="AB343" s="384"/>
      <c r="AC343" s="385"/>
      <c r="AD343" s="384"/>
      <c r="AE343" s="385"/>
      <c r="AF343" s="384"/>
      <c r="AG343" s="385"/>
      <c r="AH343" s="384"/>
      <c r="AI343" s="385"/>
      <c r="AJ343" s="384"/>
      <c r="AK343" s="385"/>
      <c r="AL343" s="384"/>
      <c r="AM343" s="385"/>
      <c r="AN343" s="384"/>
      <c r="AO343" s="385"/>
      <c r="AP343" s="384"/>
      <c r="AQ343" s="385"/>
      <c r="AR343" s="384"/>
      <c r="AS343" s="385"/>
      <c r="AT343" s="384"/>
      <c r="AU343" s="385"/>
      <c r="AV343" s="384"/>
      <c r="AW343" s="385"/>
      <c r="AX343" s="385"/>
      <c r="AY343" s="384"/>
      <c r="AZ343" s="385"/>
      <c r="BA343" s="384"/>
      <c r="BB343" s="385"/>
      <c r="BC343" s="384"/>
      <c r="BD343" s="385"/>
      <c r="BE343" s="384"/>
      <c r="BF343" s="385"/>
      <c r="BG343" s="384"/>
      <c r="BH343" s="385"/>
      <c r="BI343" s="384"/>
      <c r="BJ343" s="385"/>
      <c r="BK343" s="384"/>
      <c r="BL343" s="385"/>
      <c r="BM343" s="384"/>
      <c r="BN343" s="385"/>
      <c r="BO343" s="384"/>
      <c r="BP343" s="385"/>
      <c r="BQ343" s="384"/>
      <c r="BR343" s="385"/>
      <c r="BS343" s="384"/>
      <c r="BT343" s="385"/>
      <c r="BU343" s="384"/>
      <c r="BV343" s="385"/>
      <c r="BW343" s="384"/>
      <c r="BX343" s="385"/>
      <c r="BY343" s="384"/>
      <c r="BZ343" s="385"/>
      <c r="CA343" s="384"/>
      <c r="CB343" s="385"/>
      <c r="CC343" s="384"/>
      <c r="CD343" s="385"/>
      <c r="CE343" s="384"/>
      <c r="CF343" s="385"/>
      <c r="CG343" s="384"/>
      <c r="CH343" s="385"/>
      <c r="CI343" s="384"/>
      <c r="CJ343" s="385"/>
      <c r="CK343" s="384"/>
      <c r="CL343" s="385"/>
      <c r="CM343" s="385"/>
    </row>
    <row r="344" spans="1:91" s="374" customFormat="1" ht="12" hidden="1" customHeight="1" outlineLevel="1" x14ac:dyDescent="0.2">
      <c r="A344" s="378" t="s">
        <v>243</v>
      </c>
      <c r="B344" s="427"/>
      <c r="C344" s="428" t="str">
        <f>INPUT!D$4</f>
        <v>1Q13/</v>
      </c>
      <c r="D344" s="427"/>
      <c r="E344" s="428" t="str">
        <f>INPUT!F$4</f>
        <v>2Q13/</v>
      </c>
      <c r="F344" s="427"/>
      <c r="G344" s="428" t="str">
        <f>INPUT!H$4</f>
        <v>3Q13/</v>
      </c>
      <c r="H344" s="427"/>
      <c r="I344" s="428" t="str">
        <f>INPUT!J$4</f>
        <v>4Q13/</v>
      </c>
      <c r="J344" s="427"/>
      <c r="K344" s="428" t="str">
        <f>INPUT!L$4</f>
        <v>1Q14/</v>
      </c>
      <c r="L344" s="427"/>
      <c r="M344" s="428" t="str">
        <f>INPUT!N$4</f>
        <v>2Q14/</v>
      </c>
      <c r="N344" s="427"/>
      <c r="O344" s="428" t="str">
        <f>INPUT!P$4</f>
        <v>3Q14/</v>
      </c>
      <c r="P344" s="427"/>
      <c r="Q344" s="428" t="str">
        <f>INPUT!R$4</f>
        <v>4Q14/</v>
      </c>
      <c r="R344" s="427"/>
      <c r="S344" s="428" t="str">
        <f>INPUT!T$4</f>
        <v>1Q15/</v>
      </c>
      <c r="T344" s="427"/>
      <c r="U344" s="428" t="str">
        <f>INPUT!V$4</f>
        <v>2Q15/</v>
      </c>
      <c r="V344" s="427"/>
      <c r="W344" s="428" t="str">
        <f>INPUT!X$4</f>
        <v>3Q15/</v>
      </c>
      <c r="X344" s="427"/>
      <c r="Y344" s="428" t="str">
        <f>INPUT!Z$4</f>
        <v>4Q15/</v>
      </c>
      <c r="Z344" s="427"/>
      <c r="AA344" s="428" t="str">
        <f>INPUT!AB$4</f>
        <v>1Q16/</v>
      </c>
      <c r="AB344" s="427"/>
      <c r="AC344" s="428" t="str">
        <f>INPUT!AD$4</f>
        <v>2Q16/</v>
      </c>
      <c r="AD344" s="427"/>
      <c r="AE344" s="428" t="str">
        <f>INPUT!AF$4</f>
        <v>3Q16/</v>
      </c>
      <c r="AF344" s="427"/>
      <c r="AG344" s="428" t="str">
        <f>INPUT!AH$4</f>
        <v>4Q16/</v>
      </c>
      <c r="AH344" s="427"/>
      <c r="AI344" s="428" t="str">
        <f>INPUT!AJ$4</f>
        <v>1Q17/</v>
      </c>
      <c r="AJ344" s="427"/>
      <c r="AK344" s="428" t="str">
        <f>INPUT!AL$4</f>
        <v>2Q17/</v>
      </c>
      <c r="AL344" s="427"/>
      <c r="AM344" s="428" t="str">
        <f>INPUT!AN$4</f>
        <v>3Q17/</v>
      </c>
      <c r="AN344" s="427"/>
      <c r="AO344" s="428" t="str">
        <f>INPUT!AP$4</f>
        <v>4Q17/</v>
      </c>
      <c r="AP344" s="427"/>
      <c r="AQ344" s="428" t="str">
        <f>INPUT!AR$4</f>
        <v>1Q18E/</v>
      </c>
      <c r="AR344" s="427"/>
      <c r="AS344" s="428" t="str">
        <f>INPUT!AT$4</f>
        <v>2Q18E/</v>
      </c>
      <c r="AT344" s="427"/>
      <c r="AU344" s="428" t="str">
        <f>INPUT!AV$4</f>
        <v>3Q18E/</v>
      </c>
      <c r="AV344" s="427"/>
      <c r="AW344" s="428" t="str">
        <f>INPUT!AX$4</f>
        <v>4Q18E/</v>
      </c>
      <c r="AX344" s="427"/>
      <c r="AY344" s="427"/>
      <c r="AZ344" s="428"/>
      <c r="BA344" s="427"/>
      <c r="BB344" s="428"/>
      <c r="BC344" s="427"/>
      <c r="BD344" s="428"/>
      <c r="BE344" s="427"/>
      <c r="BF344" s="428"/>
      <c r="BG344" s="427"/>
      <c r="BH344" s="428"/>
      <c r="BI344" s="427"/>
      <c r="BJ344" s="428"/>
      <c r="BK344" s="427"/>
      <c r="BL344" s="428"/>
      <c r="BM344" s="427"/>
      <c r="BN344" s="428"/>
      <c r="BO344" s="427"/>
      <c r="BP344" s="428"/>
      <c r="BQ344" s="427"/>
      <c r="BR344" s="428"/>
      <c r="BS344" s="427"/>
      <c r="BT344" s="428" t="str">
        <f>INPUT!BC$4</f>
        <v>2013/</v>
      </c>
      <c r="BU344" s="427"/>
      <c r="BV344" s="428" t="str">
        <f>INPUT!BE$4</f>
        <v>2014/</v>
      </c>
      <c r="BW344" s="427"/>
      <c r="BX344" s="428" t="str">
        <f>INPUT!BG$4</f>
        <v>2015/</v>
      </c>
      <c r="BY344" s="427"/>
      <c r="BZ344" s="428" t="str">
        <f>INPUT!BI$4</f>
        <v>2016/</v>
      </c>
      <c r="CA344" s="427"/>
      <c r="CB344" s="428" t="str">
        <f>INPUT!BK$4</f>
        <v>2017/</v>
      </c>
      <c r="CC344" s="427"/>
      <c r="CD344" s="428" t="str">
        <f>INPUT!BM$4</f>
        <v>2018E/</v>
      </c>
      <c r="CE344" s="427"/>
      <c r="CF344" s="428" t="str">
        <f>INPUT!BO$4</f>
        <v>2019E/</v>
      </c>
      <c r="CG344" s="427"/>
      <c r="CH344" s="428" t="str">
        <f>INPUT!BQ$4</f>
        <v>2020E/</v>
      </c>
      <c r="CI344" s="427"/>
      <c r="CJ344" s="428" t="str">
        <f>INPUT!BS$4</f>
        <v>2021E/</v>
      </c>
      <c r="CK344" s="427"/>
      <c r="CL344" s="428" t="str">
        <f>INPUT!BU$4</f>
        <v>2022E/</v>
      </c>
      <c r="CM344" s="428" t="str">
        <f>INPUT!BV$4</f>
        <v>5-Yr</v>
      </c>
    </row>
    <row r="345" spans="1:91" s="374" customFormat="1" ht="12" hidden="1" customHeight="1" outlineLevel="1" x14ac:dyDescent="0.2">
      <c r="A345" s="387"/>
      <c r="B345" s="386"/>
      <c r="C345" s="385">
        <f>INPUT!D$5</f>
        <v>0</v>
      </c>
      <c r="D345" s="386"/>
      <c r="E345" s="385">
        <f>INPUT!F$5</f>
        <v>0</v>
      </c>
      <c r="F345" s="386"/>
      <c r="G345" s="385">
        <f>INPUT!H$5</f>
        <v>0</v>
      </c>
      <c r="H345" s="386"/>
      <c r="I345" s="385">
        <f>INPUT!J$5</f>
        <v>0</v>
      </c>
      <c r="J345" s="386"/>
      <c r="K345" s="385" t="str">
        <f>INPUT!L$5</f>
        <v>1Q13</v>
      </c>
      <c r="L345" s="386"/>
      <c r="M345" s="385" t="str">
        <f>INPUT!N$5</f>
        <v>2Q13</v>
      </c>
      <c r="N345" s="386"/>
      <c r="O345" s="385" t="str">
        <f>INPUT!P$5</f>
        <v>3Q13</v>
      </c>
      <c r="P345" s="386"/>
      <c r="Q345" s="385" t="str">
        <f>INPUT!R$5</f>
        <v>4Q13</v>
      </c>
      <c r="R345" s="386"/>
      <c r="S345" s="385" t="str">
        <f>INPUT!T$5</f>
        <v>1Q14</v>
      </c>
      <c r="T345" s="386"/>
      <c r="U345" s="385" t="str">
        <f>INPUT!V$5</f>
        <v>2Q14</v>
      </c>
      <c r="V345" s="386"/>
      <c r="W345" s="385" t="str">
        <f>INPUT!X$5</f>
        <v>3Q14</v>
      </c>
      <c r="X345" s="386"/>
      <c r="Y345" s="385" t="str">
        <f>INPUT!Z$5</f>
        <v>4Q14</v>
      </c>
      <c r="Z345" s="386"/>
      <c r="AA345" s="385" t="str">
        <f>INPUT!AB$5</f>
        <v>1Q15</v>
      </c>
      <c r="AB345" s="386"/>
      <c r="AC345" s="385" t="str">
        <f>INPUT!AD$5</f>
        <v>2Q15</v>
      </c>
      <c r="AD345" s="386"/>
      <c r="AE345" s="385" t="str">
        <f>INPUT!AF$5</f>
        <v>3Q15</v>
      </c>
      <c r="AF345" s="386"/>
      <c r="AG345" s="385" t="str">
        <f>INPUT!AH$5</f>
        <v>4Q15</v>
      </c>
      <c r="AH345" s="386"/>
      <c r="AI345" s="385" t="str">
        <f>INPUT!AJ$5</f>
        <v>1Q16</v>
      </c>
      <c r="AJ345" s="386"/>
      <c r="AK345" s="385" t="str">
        <f>INPUT!AL$5</f>
        <v>2Q16</v>
      </c>
      <c r="AL345" s="386"/>
      <c r="AM345" s="385" t="str">
        <f>INPUT!AN$5</f>
        <v>3Q16</v>
      </c>
      <c r="AN345" s="386"/>
      <c r="AO345" s="385" t="str">
        <f>INPUT!AP$5</f>
        <v>4Q16</v>
      </c>
      <c r="AP345" s="386"/>
      <c r="AQ345" s="385" t="str">
        <f>INPUT!AR$5</f>
        <v>1Q17</v>
      </c>
      <c r="AR345" s="386"/>
      <c r="AS345" s="385" t="str">
        <f>INPUT!AT$5</f>
        <v>2Q17</v>
      </c>
      <c r="AT345" s="386"/>
      <c r="AU345" s="385" t="str">
        <f>INPUT!AV$5</f>
        <v>3Q17</v>
      </c>
      <c r="AV345" s="386"/>
      <c r="AW345" s="385" t="str">
        <f>INPUT!AX$5</f>
        <v>4Q17</v>
      </c>
      <c r="AX345" s="386"/>
      <c r="AY345" s="386"/>
      <c r="AZ345" s="385"/>
      <c r="BA345" s="388"/>
      <c r="BB345" s="385"/>
      <c r="BC345" s="386"/>
      <c r="BD345" s="385"/>
      <c r="BE345" s="386"/>
      <c r="BF345" s="385"/>
      <c r="BG345" s="386"/>
      <c r="BH345" s="385"/>
      <c r="BI345" s="386"/>
      <c r="BJ345" s="385"/>
      <c r="BK345" s="386"/>
      <c r="BL345" s="385"/>
      <c r="BM345" s="386"/>
      <c r="BN345" s="385"/>
      <c r="BO345" s="386"/>
      <c r="BP345" s="385"/>
      <c r="BQ345" s="386"/>
      <c r="BR345" s="385"/>
      <c r="BS345" s="386"/>
      <c r="BT345" s="385">
        <f>INPUT!BC$5</f>
        <v>0</v>
      </c>
      <c r="BU345" s="386"/>
      <c r="BV345" s="385" t="str">
        <f>INPUT!BE$5</f>
        <v>2013</v>
      </c>
      <c r="BW345" s="386"/>
      <c r="BX345" s="385" t="str">
        <f>INPUT!BG$5</f>
        <v>2014</v>
      </c>
      <c r="BY345" s="386"/>
      <c r="BZ345" s="385" t="str">
        <f>INPUT!BI$5</f>
        <v>2015</v>
      </c>
      <c r="CA345" s="386"/>
      <c r="CB345" s="385" t="str">
        <f>INPUT!BK$5</f>
        <v>2016</v>
      </c>
      <c r="CC345" s="386"/>
      <c r="CD345" s="385" t="str">
        <f>INPUT!BM$5</f>
        <v>2017</v>
      </c>
      <c r="CE345" s="386"/>
      <c r="CF345" s="385" t="str">
        <f>INPUT!BO$5</f>
        <v>2018E</v>
      </c>
      <c r="CG345" s="386"/>
      <c r="CH345" s="385" t="str">
        <f>INPUT!BQ$5</f>
        <v>2019E</v>
      </c>
      <c r="CI345" s="386"/>
      <c r="CJ345" s="385" t="str">
        <f>INPUT!BS$5</f>
        <v>2020E</v>
      </c>
      <c r="CK345" s="386"/>
      <c r="CL345" s="385" t="str">
        <f>INPUT!BU$5</f>
        <v>2021E</v>
      </c>
      <c r="CM345" s="385" t="str">
        <f>INPUT!BV$5</f>
        <v>CAGR</v>
      </c>
    </row>
    <row r="346" spans="1:91" s="374" customFormat="1" ht="12" hidden="1" customHeight="1" outlineLevel="1" x14ac:dyDescent="0.2">
      <c r="A346" s="389"/>
      <c r="B346" s="390" t="str">
        <f>INPUT!C$6</f>
        <v>1Q13</v>
      </c>
      <c r="C346" s="391" t="str">
        <f>INPUT!D$6</f>
        <v>% Chg</v>
      </c>
      <c r="D346" s="390" t="str">
        <f>INPUT!E$6</f>
        <v>2Q13</v>
      </c>
      <c r="E346" s="391" t="str">
        <f>INPUT!F$6</f>
        <v>% Chg</v>
      </c>
      <c r="F346" s="390" t="str">
        <f>INPUT!G$6</f>
        <v>3Q13</v>
      </c>
      <c r="G346" s="391" t="str">
        <f>INPUT!H$6</f>
        <v>% Chg</v>
      </c>
      <c r="H346" s="390" t="str">
        <f>INPUT!I$6</f>
        <v>4Q13</v>
      </c>
      <c r="I346" s="391" t="str">
        <f>INPUT!J$6</f>
        <v>% Chg</v>
      </c>
      <c r="J346" s="390" t="str">
        <f>INPUT!K$6</f>
        <v>1Q14</v>
      </c>
      <c r="K346" s="391" t="str">
        <f>INPUT!L$6</f>
        <v>% Chg</v>
      </c>
      <c r="L346" s="390" t="str">
        <f>INPUT!M$6</f>
        <v>2Q14</v>
      </c>
      <c r="M346" s="391" t="str">
        <f>INPUT!N$6</f>
        <v>% Chg</v>
      </c>
      <c r="N346" s="390" t="str">
        <f>INPUT!O$6</f>
        <v>3Q14</v>
      </c>
      <c r="O346" s="391" t="str">
        <f>INPUT!P$6</f>
        <v>% Chg</v>
      </c>
      <c r="P346" s="390" t="str">
        <f>INPUT!Q$6</f>
        <v>4Q14</v>
      </c>
      <c r="Q346" s="391" t="str">
        <f>INPUT!R$6</f>
        <v>% Chg</v>
      </c>
      <c r="R346" s="390" t="str">
        <f>INPUT!S$6</f>
        <v>1Q15</v>
      </c>
      <c r="S346" s="391" t="str">
        <f>INPUT!T$6</f>
        <v>% Chg</v>
      </c>
      <c r="T346" s="390" t="str">
        <f>INPUT!U$6</f>
        <v>2Q15</v>
      </c>
      <c r="U346" s="391" t="str">
        <f>INPUT!V$6</f>
        <v>% Chg</v>
      </c>
      <c r="V346" s="390" t="str">
        <f>INPUT!W$6</f>
        <v>3Q15</v>
      </c>
      <c r="W346" s="391" t="str">
        <f>INPUT!X$6</f>
        <v>% Chg</v>
      </c>
      <c r="X346" s="390" t="str">
        <f>INPUT!Y$6</f>
        <v>4Q15</v>
      </c>
      <c r="Y346" s="391" t="str">
        <f>INPUT!Z$6</f>
        <v>% Chg</v>
      </c>
      <c r="Z346" s="390" t="str">
        <f>INPUT!AA$6</f>
        <v>1Q16</v>
      </c>
      <c r="AA346" s="391" t="str">
        <f>INPUT!AB$6</f>
        <v>% Chg</v>
      </c>
      <c r="AB346" s="390" t="str">
        <f>INPUT!AC$6</f>
        <v>2Q16</v>
      </c>
      <c r="AC346" s="391" t="str">
        <f>INPUT!AD$6</f>
        <v>% Chg</v>
      </c>
      <c r="AD346" s="390" t="str">
        <f>INPUT!AE$6</f>
        <v>3Q16</v>
      </c>
      <c r="AE346" s="391" t="str">
        <f>INPUT!AF$6</f>
        <v>% Chg</v>
      </c>
      <c r="AF346" s="390" t="str">
        <f>INPUT!AG$6</f>
        <v>4Q16</v>
      </c>
      <c r="AG346" s="391" t="str">
        <f>INPUT!AH$6</f>
        <v>% Chg</v>
      </c>
      <c r="AH346" s="390" t="str">
        <f>INPUT!AI$6</f>
        <v>1Q17</v>
      </c>
      <c r="AI346" s="391" t="str">
        <f>INPUT!AJ$6</f>
        <v>% Chg</v>
      </c>
      <c r="AJ346" s="390" t="str">
        <f>INPUT!AK$6</f>
        <v>2Q17</v>
      </c>
      <c r="AK346" s="391" t="str">
        <f>INPUT!AL$6</f>
        <v>% Chg</v>
      </c>
      <c r="AL346" s="390" t="str">
        <f>INPUT!AM$6</f>
        <v>3Q17</v>
      </c>
      <c r="AM346" s="391" t="str">
        <f>INPUT!AN$6</f>
        <v>% Chg</v>
      </c>
      <c r="AN346" s="390" t="str">
        <f>INPUT!AO$6</f>
        <v>4Q17</v>
      </c>
      <c r="AO346" s="391" t="str">
        <f>INPUT!AP$6</f>
        <v>% Chg</v>
      </c>
      <c r="AP346" s="390" t="str">
        <f>INPUT!AQ$6</f>
        <v>1Q18E</v>
      </c>
      <c r="AQ346" s="391" t="str">
        <f>INPUT!AR$6</f>
        <v>% Chg</v>
      </c>
      <c r="AR346" s="390" t="str">
        <f>INPUT!AS$6</f>
        <v>2Q18E</v>
      </c>
      <c r="AS346" s="391" t="str">
        <f>INPUT!AT$6</f>
        <v>% Chg</v>
      </c>
      <c r="AT346" s="390" t="str">
        <f>INPUT!AU$6</f>
        <v>3Q18E</v>
      </c>
      <c r="AU346" s="391" t="str">
        <f>INPUT!AV$6</f>
        <v>% Chg</v>
      </c>
      <c r="AV346" s="390" t="str">
        <f>INPUT!AW$6</f>
        <v>4Q18E</v>
      </c>
      <c r="AW346" s="391" t="str">
        <f>INPUT!AX$6</f>
        <v>% Chg</v>
      </c>
      <c r="AX346" s="390"/>
      <c r="AY346" s="392"/>
      <c r="AZ346" s="391"/>
      <c r="BA346" s="392"/>
      <c r="BB346" s="391"/>
      <c r="BC346" s="392"/>
      <c r="BD346" s="391"/>
      <c r="BE346" s="393"/>
      <c r="BF346" s="391"/>
      <c r="BG346" s="393"/>
      <c r="BH346" s="391"/>
      <c r="BI346" s="393"/>
      <c r="BJ346" s="391"/>
      <c r="BK346" s="393"/>
      <c r="BL346" s="391"/>
      <c r="BM346" s="390"/>
      <c r="BN346" s="391"/>
      <c r="BO346" s="390"/>
      <c r="BP346" s="391"/>
      <c r="BQ346" s="390"/>
      <c r="BR346" s="391"/>
      <c r="BS346" s="390" t="str">
        <f>INPUT!BB$6</f>
        <v>2013</v>
      </c>
      <c r="BT346" s="391" t="str">
        <f>INPUT!BC$6</f>
        <v>% Chg</v>
      </c>
      <c r="BU346" s="390" t="str">
        <f>INPUT!BD$6</f>
        <v>2014</v>
      </c>
      <c r="BV346" s="391" t="str">
        <f>INPUT!BE$6</f>
        <v>% Chg</v>
      </c>
      <c r="BW346" s="390" t="str">
        <f>INPUT!BF$6</f>
        <v>2015</v>
      </c>
      <c r="BX346" s="391" t="str">
        <f>INPUT!BG$6</f>
        <v>% Chg</v>
      </c>
      <c r="BY346" s="390" t="str">
        <f>INPUT!BH$6</f>
        <v>2016</v>
      </c>
      <c r="BZ346" s="391" t="str">
        <f>INPUT!BI$6</f>
        <v>% Chg</v>
      </c>
      <c r="CA346" s="390" t="str">
        <f>INPUT!BJ$6</f>
        <v>2017</v>
      </c>
      <c r="CB346" s="391" t="str">
        <f>INPUT!BK$6</f>
        <v>% Chg</v>
      </c>
      <c r="CC346" s="390" t="str">
        <f>INPUT!BL$6</f>
        <v>2018E</v>
      </c>
      <c r="CD346" s="391" t="str">
        <f>INPUT!BM$6</f>
        <v>% Chg</v>
      </c>
      <c r="CE346" s="390" t="str">
        <f>INPUT!BN$6</f>
        <v>2019E</v>
      </c>
      <c r="CF346" s="391" t="str">
        <f>INPUT!BO$6</f>
        <v>% Chg</v>
      </c>
      <c r="CG346" s="390" t="str">
        <f>INPUT!BP$6</f>
        <v>2020E</v>
      </c>
      <c r="CH346" s="391" t="str">
        <f>INPUT!BQ$6</f>
        <v>% Chg</v>
      </c>
      <c r="CI346" s="390" t="str">
        <f>INPUT!BR$6</f>
        <v>2021E</v>
      </c>
      <c r="CJ346" s="391" t="str">
        <f>INPUT!BS$6</f>
        <v>% Chg</v>
      </c>
      <c r="CK346" s="390" t="str">
        <f>INPUT!BT$6</f>
        <v>2022E</v>
      </c>
      <c r="CL346" s="391" t="str">
        <f>INPUT!BU$6</f>
        <v>% Chg</v>
      </c>
      <c r="CM346" s="391" t="str">
        <f>INPUT!BV$6</f>
        <v>(%)</v>
      </c>
    </row>
    <row r="347" spans="1:91" ht="12" hidden="1" customHeight="1" outlineLevel="1" x14ac:dyDescent="0.2">
      <c r="A347" s="394"/>
      <c r="B347" s="395"/>
      <c r="C347" s="422"/>
      <c r="D347" s="395"/>
      <c r="E347" s="396"/>
      <c r="F347" s="395"/>
      <c r="G347" s="396"/>
      <c r="H347" s="395"/>
      <c r="I347" s="396"/>
      <c r="J347" s="395"/>
      <c r="K347" s="396"/>
      <c r="L347" s="395"/>
      <c r="M347" s="396"/>
      <c r="N347" s="395"/>
      <c r="O347" s="396"/>
      <c r="P347" s="395"/>
      <c r="Q347" s="396"/>
      <c r="R347" s="395"/>
      <c r="S347" s="396"/>
      <c r="T347" s="395"/>
      <c r="U347" s="396"/>
      <c r="V347" s="395"/>
      <c r="W347" s="396"/>
      <c r="X347" s="395"/>
      <c r="Y347" s="396"/>
      <c r="Z347" s="395"/>
      <c r="AA347" s="396"/>
      <c r="AB347" s="395"/>
      <c r="AC347" s="396"/>
      <c r="AD347" s="395"/>
      <c r="AE347" s="396"/>
      <c r="AF347" s="395"/>
      <c r="AG347" s="396"/>
      <c r="AH347" s="395"/>
      <c r="AI347" s="396"/>
      <c r="AJ347" s="395"/>
      <c r="AK347" s="396"/>
      <c r="AL347" s="395"/>
      <c r="AM347" s="396"/>
      <c r="AN347" s="395"/>
      <c r="AO347" s="396"/>
      <c r="AP347" s="395"/>
      <c r="AQ347" s="396"/>
      <c r="AR347" s="395"/>
      <c r="AS347" s="396"/>
      <c r="AT347" s="395"/>
      <c r="AU347" s="396"/>
      <c r="AV347" s="395"/>
      <c r="AW347" s="396"/>
      <c r="AX347" s="395"/>
      <c r="AY347" s="395"/>
      <c r="AZ347" s="422"/>
      <c r="BA347" s="395"/>
      <c r="BB347" s="422"/>
      <c r="BC347" s="395"/>
      <c r="BD347" s="422"/>
      <c r="BE347" s="395"/>
      <c r="BF347" s="396"/>
      <c r="BG347" s="395"/>
      <c r="BH347" s="396"/>
      <c r="BI347" s="395"/>
      <c r="BJ347" s="396"/>
      <c r="BK347" s="395"/>
      <c r="BL347" s="396"/>
      <c r="BM347" s="395"/>
      <c r="BN347" s="396"/>
      <c r="BO347" s="395"/>
      <c r="BP347" s="396"/>
      <c r="BQ347" s="395"/>
      <c r="BR347" s="396"/>
      <c r="BS347" s="395"/>
      <c r="BT347" s="396"/>
      <c r="BU347" s="395"/>
      <c r="BV347" s="396"/>
      <c r="BW347" s="395"/>
      <c r="BX347" s="396"/>
      <c r="BY347" s="395"/>
      <c r="BZ347" s="396"/>
      <c r="CA347" s="395"/>
      <c r="CB347" s="396"/>
      <c r="CC347" s="395"/>
      <c r="CD347" s="396"/>
      <c r="CE347" s="395"/>
      <c r="CF347" s="396"/>
      <c r="CG347" s="395"/>
      <c r="CH347" s="396"/>
      <c r="CI347" s="395"/>
      <c r="CJ347" s="396"/>
      <c r="CK347" s="395"/>
      <c r="CL347" s="396"/>
      <c r="CM347" s="422"/>
    </row>
    <row r="348" spans="1:91" ht="12" hidden="1" customHeight="1" outlineLevel="1" x14ac:dyDescent="0.2">
      <c r="A348" s="454" t="str">
        <f>+INPUT!B388</f>
        <v>Revenues</v>
      </c>
      <c r="B348" s="398"/>
      <c r="C348" s="399"/>
      <c r="D348" s="398"/>
      <c r="E348" s="396"/>
      <c r="F348" s="398"/>
      <c r="G348" s="396"/>
      <c r="H348" s="398"/>
      <c r="I348" s="396"/>
      <c r="J348" s="398"/>
      <c r="K348" s="396"/>
      <c r="L348" s="398"/>
      <c r="M348" s="396"/>
      <c r="N348" s="398"/>
      <c r="O348" s="396"/>
      <c r="P348" s="398"/>
      <c r="Q348" s="396"/>
      <c r="R348" s="398"/>
      <c r="S348" s="396"/>
      <c r="T348" s="398"/>
      <c r="U348" s="396"/>
      <c r="V348" s="398"/>
      <c r="W348" s="396"/>
      <c r="X348" s="398"/>
      <c r="Y348" s="396"/>
      <c r="Z348" s="398"/>
      <c r="AA348" s="396"/>
      <c r="AB348" s="398"/>
      <c r="AC348" s="396"/>
      <c r="AD348" s="398"/>
      <c r="AE348" s="396"/>
      <c r="AF348" s="398"/>
      <c r="AG348" s="396"/>
      <c r="AH348" s="398"/>
      <c r="AI348" s="396"/>
      <c r="AJ348" s="398"/>
      <c r="AK348" s="396"/>
      <c r="AL348" s="398"/>
      <c r="AM348" s="396"/>
      <c r="AN348" s="398"/>
      <c r="AO348" s="396"/>
      <c r="AP348" s="398"/>
      <c r="AQ348" s="396"/>
      <c r="AR348" s="398"/>
      <c r="AS348" s="396"/>
      <c r="AT348" s="398"/>
      <c r="AU348" s="396"/>
      <c r="AV348" s="398"/>
      <c r="AW348" s="396"/>
      <c r="AX348" s="398"/>
      <c r="AY348" s="398"/>
      <c r="AZ348" s="399"/>
      <c r="BA348" s="398"/>
      <c r="BB348" s="399"/>
      <c r="BC348" s="398"/>
      <c r="BD348" s="399"/>
      <c r="BE348" s="398"/>
      <c r="BF348" s="396"/>
      <c r="BG348" s="398"/>
      <c r="BH348" s="396"/>
      <c r="BI348" s="398"/>
      <c r="BJ348" s="396"/>
      <c r="BK348" s="398"/>
      <c r="BL348" s="396"/>
      <c r="BM348" s="398"/>
      <c r="BN348" s="396"/>
      <c r="BO348" s="398"/>
      <c r="BP348" s="396"/>
      <c r="BQ348" s="398"/>
      <c r="BR348" s="396"/>
      <c r="BS348" s="398"/>
      <c r="BT348" s="396"/>
      <c r="BU348" s="398"/>
      <c r="BV348" s="396"/>
      <c r="BW348" s="398"/>
      <c r="BX348" s="396"/>
      <c r="BY348" s="398"/>
      <c r="BZ348" s="396"/>
      <c r="CA348" s="398"/>
      <c r="CB348" s="396"/>
      <c r="CC348" s="398"/>
      <c r="CD348" s="396"/>
      <c r="CE348" s="398"/>
      <c r="CF348" s="396"/>
      <c r="CG348" s="398"/>
      <c r="CH348" s="396"/>
      <c r="CI348" s="398"/>
      <c r="CJ348" s="396"/>
      <c r="CK348" s="398"/>
      <c r="CL348" s="396"/>
      <c r="CM348" s="399"/>
    </row>
    <row r="349" spans="1:91" ht="12" hidden="1" customHeight="1" outlineLevel="1" x14ac:dyDescent="0.2">
      <c r="A349" s="420" t="s">
        <v>374</v>
      </c>
      <c r="B349" s="425">
        <f>INPUT!C389</f>
        <v>239</v>
      </c>
      <c r="C349" s="424" t="str">
        <f>INPUT!D389</f>
        <v>NA</v>
      </c>
      <c r="D349" s="425">
        <f>INPUT!E389</f>
        <v>226.5</v>
      </c>
      <c r="E349" s="382" t="str">
        <f>INPUT!F389</f>
        <v>NA</v>
      </c>
      <c r="F349" s="425">
        <f>INPUT!G389</f>
        <v>216.10000000000002</v>
      </c>
      <c r="G349" s="382" t="str">
        <f>INPUT!H389</f>
        <v>NA</v>
      </c>
      <c r="H349" s="425">
        <f>INPUT!I389</f>
        <v>225.5</v>
      </c>
      <c r="I349" s="382" t="str">
        <f>INPUT!J389</f>
        <v>NA</v>
      </c>
      <c r="J349" s="425">
        <f>INPUT!K389</f>
        <v>234.6</v>
      </c>
      <c r="K349" s="382">
        <f>INPUT!L389</f>
        <v>-1.8410041841004272</v>
      </c>
      <c r="L349" s="425">
        <f>INPUT!M389</f>
        <v>231.6</v>
      </c>
      <c r="M349" s="382">
        <f>INPUT!N389</f>
        <v>2.2516556291390657</v>
      </c>
      <c r="N349" s="425">
        <f>INPUT!O389</f>
        <v>235.2</v>
      </c>
      <c r="O349" s="382">
        <f>INPUT!P389</f>
        <v>8.8385006941230699</v>
      </c>
      <c r="P349" s="425">
        <f>INPUT!Q389</f>
        <v>234.3</v>
      </c>
      <c r="Q349" s="382">
        <f>INPUT!R389</f>
        <v>3.9024390243902474</v>
      </c>
      <c r="R349" s="425">
        <f>INPUT!S389</f>
        <v>247.8</v>
      </c>
      <c r="S349" s="382">
        <f>INPUT!T389</f>
        <v>5.6265984654731511</v>
      </c>
      <c r="T349" s="425">
        <f>INPUT!U389</f>
        <v>240</v>
      </c>
      <c r="U349" s="382">
        <f>INPUT!V389</f>
        <v>3.62694300518136</v>
      </c>
      <c r="V349" s="425">
        <f>INPUT!W389</f>
        <v>239.2</v>
      </c>
      <c r="W349" s="382">
        <f>INPUT!X389</f>
        <v>1.7006802721088405</v>
      </c>
      <c r="X349" s="425">
        <f>INPUT!Y389</f>
        <v>239.1</v>
      </c>
      <c r="Y349" s="382">
        <f>INPUT!Z389</f>
        <v>2.0486555697823263</v>
      </c>
      <c r="Z349" s="425">
        <f>INPUT!AA389</f>
        <v>255.2</v>
      </c>
      <c r="AA349" s="382">
        <f>INPUT!AB389</f>
        <v>2.9862792574656822</v>
      </c>
      <c r="AB349" s="425">
        <f>INPUT!AC389</f>
        <v>250.9</v>
      </c>
      <c r="AC349" s="382">
        <f>INPUT!AD389</f>
        <v>4.5416666666666714</v>
      </c>
      <c r="AD349" s="425">
        <f>INPUT!AE389</f>
        <v>241</v>
      </c>
      <c r="AE349" s="382">
        <f>INPUT!AF389</f>
        <v>0.75250836120402198</v>
      </c>
      <c r="AF349" s="425">
        <f>INPUT!AG389</f>
        <v>249</v>
      </c>
      <c r="AG349" s="382">
        <f>INPUT!AH389</f>
        <v>4.1405269761606007</v>
      </c>
      <c r="AH349" s="425">
        <f>INPUT!AI389</f>
        <v>270</v>
      </c>
      <c r="AI349" s="382">
        <f>INPUT!AJ389</f>
        <v>5.7993730407523572</v>
      </c>
      <c r="AJ349" s="425">
        <f>INPUT!AK389</f>
        <v>270.20000000000005</v>
      </c>
      <c r="AK349" s="382">
        <f>INPUT!AL389</f>
        <v>7.6923076923077076</v>
      </c>
      <c r="AL349" s="425">
        <f>INPUT!AM389</f>
        <v>273.79999999999995</v>
      </c>
      <c r="AM349" s="382">
        <f>INPUT!AN389</f>
        <v>13.609958506224046</v>
      </c>
      <c r="AN349" s="425">
        <f>INPUT!AO389</f>
        <v>268.3</v>
      </c>
      <c r="AO349" s="382">
        <f>INPUT!AP389</f>
        <v>7.7510040160642575</v>
      </c>
      <c r="AP349" s="425">
        <f>INPUT!AQ389</f>
        <v>270.983</v>
      </c>
      <c r="AQ349" s="382">
        <f>INPUT!AR389</f>
        <v>0.36407407407408243</v>
      </c>
      <c r="AR349" s="425">
        <f>INPUT!AS389</f>
        <v>273.69283000000001</v>
      </c>
      <c r="AS349" s="382">
        <f>INPUT!AT389</f>
        <v>1.2926831976313906</v>
      </c>
      <c r="AT349" s="425">
        <f>INPUT!AU389</f>
        <v>276.4297583</v>
      </c>
      <c r="AU349" s="382">
        <f>INPUT!AV389</f>
        <v>0.96046687363040917</v>
      </c>
      <c r="AV349" s="425">
        <f>INPUT!AW389</f>
        <v>279.19405588300003</v>
      </c>
      <c r="AW349" s="382">
        <f>INPUT!AX389</f>
        <v>4.0604009999999988</v>
      </c>
      <c r="AX349" s="397"/>
      <c r="AY349" s="425"/>
      <c r="AZ349" s="424"/>
      <c r="BA349" s="425"/>
      <c r="BB349" s="424"/>
      <c r="BC349" s="425"/>
      <c r="BD349" s="424"/>
      <c r="BE349" s="425"/>
      <c r="BF349" s="382"/>
      <c r="BG349" s="425"/>
      <c r="BH349" s="382"/>
      <c r="BI349" s="425"/>
      <c r="BJ349" s="382"/>
      <c r="BK349" s="425"/>
      <c r="BL349" s="382"/>
      <c r="BM349" s="425"/>
      <c r="BN349" s="382"/>
      <c r="BO349" s="425"/>
      <c r="BP349" s="382"/>
      <c r="BQ349" s="425"/>
      <c r="BR349" s="382"/>
      <c r="BS349" s="425">
        <f>INPUT!BB389</f>
        <v>907.1</v>
      </c>
      <c r="BT349" s="382" t="str">
        <f>INPUT!BC389</f>
        <v>NA</v>
      </c>
      <c r="BU349" s="425">
        <f>INPUT!BD389</f>
        <v>935.7</v>
      </c>
      <c r="BV349" s="382">
        <f>INPUT!BE389</f>
        <v>3.1529048616470163</v>
      </c>
      <c r="BW349" s="425">
        <f>INPUT!BF389</f>
        <v>966.1</v>
      </c>
      <c r="BX349" s="382">
        <f>INPUT!BG389</f>
        <v>3.2489045634284537</v>
      </c>
      <c r="BY349" s="425">
        <f>INPUT!BH389</f>
        <v>996.1</v>
      </c>
      <c r="BZ349" s="382">
        <f>INPUT!BI389</f>
        <v>3.1052686057343948</v>
      </c>
      <c r="CA349" s="425">
        <f>INPUT!BJ389</f>
        <v>1082.3</v>
      </c>
      <c r="CB349" s="382">
        <f>INPUT!BK389</f>
        <v>8.6537496235317519</v>
      </c>
      <c r="CC349" s="425">
        <f>INPUT!BL389</f>
        <v>1100.2996441830001</v>
      </c>
      <c r="CD349" s="382">
        <f>INPUT!BM389</f>
        <v>1.663091950753028</v>
      </c>
      <c r="CE349" s="425">
        <f>INPUT!BN389</f>
        <v>1144.3116299503201</v>
      </c>
      <c r="CF349" s="382">
        <f>INPUT!BO389</f>
        <v>4</v>
      </c>
      <c r="CG349" s="425">
        <f>INPUT!BP389</f>
        <v>1190.0840951483331</v>
      </c>
      <c r="CH349" s="382">
        <f>INPUT!BQ389</f>
        <v>4</v>
      </c>
      <c r="CI349" s="425">
        <f>INPUT!BR389</f>
        <v>1237.6874589542665</v>
      </c>
      <c r="CJ349" s="382">
        <f>INPUT!BS389</f>
        <v>4</v>
      </c>
      <c r="CK349" s="425">
        <f>INPUT!BT389</f>
        <v>1287.1949573124373</v>
      </c>
      <c r="CL349" s="382">
        <f>INPUT!BU389</f>
        <v>4</v>
      </c>
      <c r="CM349" s="424">
        <f>INPUT!BV389</f>
        <v>3.5283599705803415</v>
      </c>
    </row>
    <row r="350" spans="1:91" ht="12" hidden="1" customHeight="1" outlineLevel="1" x14ac:dyDescent="0.2">
      <c r="A350" s="420" t="str">
        <f>+INPUT!B390</f>
        <v>Net Investment Income</v>
      </c>
      <c r="B350" s="425">
        <f>INPUT!C390</f>
        <v>140.5</v>
      </c>
      <c r="C350" s="424" t="str">
        <f>INPUT!D390</f>
        <v>NA</v>
      </c>
      <c r="D350" s="425">
        <f>INPUT!E390</f>
        <v>141.5</v>
      </c>
      <c r="E350" s="382" t="str">
        <f>INPUT!F390</f>
        <v>NA</v>
      </c>
      <c r="F350" s="425">
        <f>INPUT!G390</f>
        <v>146.6</v>
      </c>
      <c r="G350" s="382" t="str">
        <f>INPUT!H390</f>
        <v>NA</v>
      </c>
      <c r="H350" s="425">
        <f>INPUT!I390</f>
        <v>147.30000000000001</v>
      </c>
      <c r="I350" s="382" t="str">
        <f>INPUT!J390</f>
        <v>NA</v>
      </c>
      <c r="J350" s="425">
        <f>INPUT!K390</f>
        <v>149.19999999999999</v>
      </c>
      <c r="K350" s="382">
        <f>INPUT!L390</f>
        <v>6.1921708185053319</v>
      </c>
      <c r="L350" s="425">
        <f>INPUT!M390</f>
        <v>150.4</v>
      </c>
      <c r="M350" s="382">
        <f>INPUT!N390</f>
        <v>6.2897526501766805</v>
      </c>
      <c r="N350" s="425">
        <f>INPUT!O390</f>
        <v>147.5</v>
      </c>
      <c r="O350" s="382">
        <f>INPUT!P390</f>
        <v>0.61391541609823719</v>
      </c>
      <c r="P350" s="425">
        <f>INPUT!Q390</f>
        <v>152.9</v>
      </c>
      <c r="Q350" s="382">
        <f>INPUT!R390</f>
        <v>3.8017651052274317</v>
      </c>
      <c r="R350" s="425">
        <f>INPUT!S390</f>
        <v>147.6</v>
      </c>
      <c r="S350" s="382">
        <f>INPUT!T390</f>
        <v>-1.0723860589812375</v>
      </c>
      <c r="T350" s="425">
        <f>INPUT!U390</f>
        <v>153.19999999999999</v>
      </c>
      <c r="U350" s="382">
        <f>INPUT!V390</f>
        <v>1.8617021276595693</v>
      </c>
      <c r="V350" s="425">
        <f>INPUT!W390</f>
        <v>150.4</v>
      </c>
      <c r="W350" s="382">
        <f>INPUT!X390</f>
        <v>1.9661016949152668</v>
      </c>
      <c r="X350" s="425">
        <f>INPUT!Y390</f>
        <v>155.4</v>
      </c>
      <c r="Y350" s="382">
        <f>INPUT!Z390</f>
        <v>1.6350555918901222</v>
      </c>
      <c r="Z350" s="425">
        <f>INPUT!AA390</f>
        <v>152.80000000000001</v>
      </c>
      <c r="AA350" s="382">
        <f>INPUT!AB390</f>
        <v>3.5230352303523063</v>
      </c>
      <c r="AB350" s="425">
        <f>INPUT!AC390</f>
        <v>159</v>
      </c>
      <c r="AC350" s="382">
        <f>INPUT!AD390</f>
        <v>3.7859007832898186</v>
      </c>
      <c r="AD350" s="425">
        <f>INPUT!AE390</f>
        <v>158.5</v>
      </c>
      <c r="AE350" s="382">
        <f>INPUT!AF390</f>
        <v>5.3856382978723332</v>
      </c>
      <c r="AF350" s="425">
        <f>INPUT!AG390</f>
        <v>159.69999999999999</v>
      </c>
      <c r="AG350" s="382">
        <f>INPUT!AH390</f>
        <v>2.7670527670527605</v>
      </c>
      <c r="AH350" s="425">
        <f>INPUT!AI390</f>
        <v>157.9</v>
      </c>
      <c r="AI350" s="382">
        <f>INPUT!AJ390</f>
        <v>3.3376963350785189</v>
      </c>
      <c r="AJ350" s="425">
        <f>INPUT!AK390</f>
        <v>163.19999999999999</v>
      </c>
      <c r="AK350" s="382">
        <f>INPUT!AL390</f>
        <v>2.6415094339622698</v>
      </c>
      <c r="AL350" s="425">
        <f>INPUT!AM390</f>
        <v>161.6</v>
      </c>
      <c r="AM350" s="382">
        <f>INPUT!AN390</f>
        <v>1.9558359621451018</v>
      </c>
      <c r="AN350" s="425">
        <f>INPUT!AO390</f>
        <v>166</v>
      </c>
      <c r="AO350" s="382">
        <f>INPUT!AP390</f>
        <v>3.9448966812773989</v>
      </c>
      <c r="AP350" s="425">
        <f>INPUT!AQ390</f>
        <v>167.66</v>
      </c>
      <c r="AQ350" s="382">
        <f>INPUT!AR390</f>
        <v>6.1811272957567951</v>
      </c>
      <c r="AR350" s="425">
        <f>INPUT!AS390</f>
        <v>169.3366</v>
      </c>
      <c r="AS350" s="382">
        <f>INPUT!AT390</f>
        <v>3.7601715686274702</v>
      </c>
      <c r="AT350" s="425">
        <f>INPUT!AU390</f>
        <v>171.029966</v>
      </c>
      <c r="AU350" s="382">
        <f>INPUT!AV390</f>
        <v>5.8353749999999991</v>
      </c>
      <c r="AV350" s="425">
        <f>INPUT!AW390</f>
        <v>172.74026566000001</v>
      </c>
      <c r="AW350" s="382">
        <f>INPUT!AX390</f>
        <v>4.0604009999999988</v>
      </c>
      <c r="AX350" s="397"/>
      <c r="AY350" s="425"/>
      <c r="AZ350" s="424"/>
      <c r="BA350" s="425"/>
      <c r="BB350" s="424"/>
      <c r="BC350" s="425"/>
      <c r="BD350" s="424"/>
      <c r="BE350" s="425"/>
      <c r="BF350" s="382"/>
      <c r="BG350" s="425"/>
      <c r="BH350" s="382"/>
      <c r="BI350" s="425"/>
      <c r="BJ350" s="382"/>
      <c r="BK350" s="425"/>
      <c r="BL350" s="382"/>
      <c r="BM350" s="425"/>
      <c r="BN350" s="382"/>
      <c r="BO350" s="425"/>
      <c r="BP350" s="382"/>
      <c r="BQ350" s="425"/>
      <c r="BR350" s="382"/>
      <c r="BS350" s="425">
        <f>INPUT!BB390</f>
        <v>575.90000000000009</v>
      </c>
      <c r="BT350" s="382" t="str">
        <f>INPUT!BC390</f>
        <v>NA</v>
      </c>
      <c r="BU350" s="425">
        <f>INPUT!BD390</f>
        <v>600</v>
      </c>
      <c r="BV350" s="382">
        <f>INPUT!BE390</f>
        <v>4.1847542976211116</v>
      </c>
      <c r="BW350" s="425">
        <f>INPUT!BF390</f>
        <v>606.59999999999991</v>
      </c>
      <c r="BX350" s="382">
        <f>INPUT!BG390</f>
        <v>1.0999999999999943</v>
      </c>
      <c r="BY350" s="425">
        <f>INPUT!BH390</f>
        <v>630</v>
      </c>
      <c r="BZ350" s="382">
        <f>INPUT!BI390</f>
        <v>3.857566765578639</v>
      </c>
      <c r="CA350" s="425">
        <f>INPUT!BJ390</f>
        <v>648.70000000000005</v>
      </c>
      <c r="CB350" s="382">
        <f>INPUT!BK390</f>
        <v>2.9682539682539755</v>
      </c>
      <c r="CC350" s="425">
        <f>INPUT!BL390</f>
        <v>680.76683165999998</v>
      </c>
      <c r="CD350" s="382">
        <f>INPUT!BM390</f>
        <v>4.9432452073377249</v>
      </c>
      <c r="CE350" s="425">
        <f>INPUT!BN390</f>
        <v>707.99750492639998</v>
      </c>
      <c r="CF350" s="382">
        <f>INPUT!BO390</f>
        <v>4</v>
      </c>
      <c r="CG350" s="425">
        <f>INPUT!BP390</f>
        <v>736.31740512345596</v>
      </c>
      <c r="CH350" s="382">
        <f>INPUT!BQ390</f>
        <v>4</v>
      </c>
      <c r="CI350" s="425">
        <f>INPUT!BR390</f>
        <v>765.77010132839428</v>
      </c>
      <c r="CJ350" s="382">
        <f>INPUT!BS390</f>
        <v>4</v>
      </c>
      <c r="CK350" s="425">
        <f>INPUT!BT390</f>
        <v>796.40090538153004</v>
      </c>
      <c r="CL350" s="382">
        <f>INPUT!BU390</f>
        <v>4</v>
      </c>
      <c r="CM350" s="424">
        <f>INPUT!BV390</f>
        <v>4.1879683488385666</v>
      </c>
    </row>
    <row r="351" spans="1:91" s="767" customFormat="1" ht="12" hidden="1" customHeight="1" outlineLevel="1" x14ac:dyDescent="0.2">
      <c r="A351" s="394" t="str">
        <f>+INPUT!B391</f>
        <v>Total Operating Revenues</v>
      </c>
      <c r="B351" s="430">
        <f>INPUT!C391</f>
        <v>379.5</v>
      </c>
      <c r="C351" s="763" t="str">
        <f>INPUT!D391</f>
        <v>NA</v>
      </c>
      <c r="D351" s="444">
        <f>INPUT!E391</f>
        <v>368</v>
      </c>
      <c r="E351" s="764" t="str">
        <f>INPUT!F391</f>
        <v>NA</v>
      </c>
      <c r="F351" s="444">
        <f>INPUT!G391</f>
        <v>362.70000000000005</v>
      </c>
      <c r="G351" s="764" t="str">
        <f>INPUT!H391</f>
        <v>NA</v>
      </c>
      <c r="H351" s="444">
        <f>INPUT!I391</f>
        <v>372.8</v>
      </c>
      <c r="I351" s="764" t="str">
        <f>INPUT!J391</f>
        <v>NA</v>
      </c>
      <c r="J351" s="444">
        <f>INPUT!K391</f>
        <v>383.79999999999995</v>
      </c>
      <c r="K351" s="764">
        <f>INPUT!L391</f>
        <v>1.133069828721986</v>
      </c>
      <c r="L351" s="444">
        <f>INPUT!M391</f>
        <v>382</v>
      </c>
      <c r="M351" s="764">
        <f>INPUT!N391</f>
        <v>3.8043478260869676</v>
      </c>
      <c r="N351" s="444">
        <f>INPUT!O391</f>
        <v>382.7</v>
      </c>
      <c r="O351" s="764">
        <f>INPUT!P391</f>
        <v>5.5141990625861439</v>
      </c>
      <c r="P351" s="444">
        <f>INPUT!Q391</f>
        <v>387.20000000000005</v>
      </c>
      <c r="Q351" s="764">
        <f>INPUT!R391</f>
        <v>3.8626609442060271</v>
      </c>
      <c r="R351" s="444">
        <f>INPUT!S391</f>
        <v>395.4</v>
      </c>
      <c r="S351" s="764">
        <f>INPUT!T391</f>
        <v>3.0224075039082976</v>
      </c>
      <c r="T351" s="444">
        <f>INPUT!U391</f>
        <v>393.2</v>
      </c>
      <c r="U351" s="764">
        <f>INPUT!V391</f>
        <v>2.931937172774866</v>
      </c>
      <c r="V351" s="444">
        <f>INPUT!W391</f>
        <v>389.6</v>
      </c>
      <c r="W351" s="764">
        <f>INPUT!X391</f>
        <v>1.8029788345963027</v>
      </c>
      <c r="X351" s="444">
        <f>INPUT!Y391</f>
        <v>394.5</v>
      </c>
      <c r="Y351" s="764">
        <f>INPUT!Z391</f>
        <v>1.885330578512395</v>
      </c>
      <c r="Z351" s="444">
        <f>INPUT!AA391</f>
        <v>408</v>
      </c>
      <c r="AA351" s="764">
        <f>INPUT!AB391</f>
        <v>3.1866464339908873</v>
      </c>
      <c r="AB351" s="444">
        <f>INPUT!AC391</f>
        <v>409.9</v>
      </c>
      <c r="AC351" s="764">
        <f>INPUT!AD391</f>
        <v>4.2472024415055785</v>
      </c>
      <c r="AD351" s="444">
        <f>INPUT!AE391</f>
        <v>399.5</v>
      </c>
      <c r="AE351" s="764">
        <f>INPUT!AF391</f>
        <v>2.5410677618069855</v>
      </c>
      <c r="AF351" s="444">
        <f>INPUT!AG391</f>
        <v>408.7</v>
      </c>
      <c r="AG351" s="764">
        <f>INPUT!AH391</f>
        <v>3.5994930291508069</v>
      </c>
      <c r="AH351" s="444">
        <f>INPUT!AI391</f>
        <v>427.9</v>
      </c>
      <c r="AI351" s="764">
        <f>INPUT!AJ391</f>
        <v>4.8774509803921546</v>
      </c>
      <c r="AJ351" s="444">
        <f>INPUT!AK391</f>
        <v>433.40000000000003</v>
      </c>
      <c r="AK351" s="764">
        <f>INPUT!AL391</f>
        <v>5.7331056355208716</v>
      </c>
      <c r="AL351" s="444">
        <f>INPUT!AM391</f>
        <v>435.4</v>
      </c>
      <c r="AM351" s="764">
        <f>INPUT!AN391</f>
        <v>8.986232790988737</v>
      </c>
      <c r="AN351" s="444">
        <f>INPUT!AO391</f>
        <v>434.3</v>
      </c>
      <c r="AO351" s="764">
        <f>INPUT!AP391</f>
        <v>6.2637631514558478</v>
      </c>
      <c r="AP351" s="444">
        <f>INPUT!AQ391</f>
        <v>438.64300000000003</v>
      </c>
      <c r="AQ351" s="764">
        <f>INPUT!AR391</f>
        <v>2.5106333255433526</v>
      </c>
      <c r="AR351" s="444">
        <f>INPUT!AS391</f>
        <v>443.02943000000005</v>
      </c>
      <c r="AS351" s="764">
        <f>INPUT!AT391</f>
        <v>2.2218343331795012</v>
      </c>
      <c r="AT351" s="444">
        <f>INPUT!AU391</f>
        <v>447.4597243</v>
      </c>
      <c r="AU351" s="764">
        <f>INPUT!AV391</f>
        <v>2.7698034680753381</v>
      </c>
      <c r="AV351" s="444">
        <f>INPUT!AW391</f>
        <v>451.93432154300001</v>
      </c>
      <c r="AW351" s="764">
        <f>INPUT!AX391</f>
        <v>4.0604009999999988</v>
      </c>
      <c r="AX351" s="431"/>
      <c r="AY351" s="765"/>
      <c r="AZ351" s="766"/>
      <c r="BA351" s="765"/>
      <c r="BB351" s="766"/>
      <c r="BC351" s="765"/>
      <c r="BD351" s="766"/>
      <c r="BE351" s="765"/>
      <c r="BF351" s="764"/>
      <c r="BG351" s="765"/>
      <c r="BH351" s="764"/>
      <c r="BI351" s="765"/>
      <c r="BJ351" s="764"/>
      <c r="BK351" s="444"/>
      <c r="BL351" s="764"/>
      <c r="BM351" s="444"/>
      <c r="BN351" s="764"/>
      <c r="BO351" s="444"/>
      <c r="BP351" s="764"/>
      <c r="BQ351" s="444"/>
      <c r="BR351" s="764"/>
      <c r="BS351" s="444">
        <f>INPUT!BB391</f>
        <v>1483</v>
      </c>
      <c r="BT351" s="764" t="str">
        <f>INPUT!BC391</f>
        <v>NA</v>
      </c>
      <c r="BU351" s="444">
        <f>INPUT!BD391</f>
        <v>1535.7</v>
      </c>
      <c r="BV351" s="764">
        <f>INPUT!BE391</f>
        <v>3.5536075522589243</v>
      </c>
      <c r="BW351" s="444">
        <f>INPUT!BF391</f>
        <v>1572.6999999999998</v>
      </c>
      <c r="BX351" s="764">
        <f>INPUT!BG391</f>
        <v>2.4093247379045124</v>
      </c>
      <c r="BY351" s="444">
        <f>INPUT!BH391</f>
        <v>1626.1</v>
      </c>
      <c r="BZ351" s="764">
        <f>INPUT!BI391</f>
        <v>3.3954346029122036</v>
      </c>
      <c r="CA351" s="444">
        <f>INPUT!BJ391</f>
        <v>1731</v>
      </c>
      <c r="CB351" s="764">
        <f>INPUT!BK391</f>
        <v>6.45101777258472</v>
      </c>
      <c r="CC351" s="444">
        <f>INPUT!BL391</f>
        <v>1781.066475843</v>
      </c>
      <c r="CD351" s="764">
        <f>INPUT!BM391</f>
        <v>2.8923440694974119</v>
      </c>
      <c r="CE351" s="444">
        <f>INPUT!BN391</f>
        <v>1852.3091348767202</v>
      </c>
      <c r="CF351" s="764">
        <f>INPUT!BO391</f>
        <v>4</v>
      </c>
      <c r="CG351" s="444">
        <f>INPUT!BP391</f>
        <v>1926.401500271789</v>
      </c>
      <c r="CH351" s="764">
        <f>INPUT!BQ391</f>
        <v>4</v>
      </c>
      <c r="CI351" s="444">
        <f>INPUT!BR391</f>
        <v>2003.4575602826608</v>
      </c>
      <c r="CJ351" s="764">
        <f>INPUT!BS391</f>
        <v>4</v>
      </c>
      <c r="CK351" s="444">
        <f>INPUT!BT391</f>
        <v>2083.5958626939673</v>
      </c>
      <c r="CL351" s="764">
        <f>INPUT!BU391</f>
        <v>4</v>
      </c>
      <c r="CM351" s="763">
        <f>INPUT!BV391</f>
        <v>3.7775189670629761</v>
      </c>
    </row>
    <row r="352" spans="1:91" ht="12" hidden="1" customHeight="1" outlineLevel="1" x14ac:dyDescent="0.2">
      <c r="A352" s="420"/>
      <c r="B352" s="433"/>
      <c r="C352" s="434"/>
      <c r="D352" s="433"/>
      <c r="E352" s="435"/>
      <c r="F352" s="433"/>
      <c r="G352" s="435"/>
      <c r="H352" s="433"/>
      <c r="I352" s="435"/>
      <c r="J352" s="433"/>
      <c r="K352" s="435"/>
      <c r="L352" s="433"/>
      <c r="M352" s="435"/>
      <c r="N352" s="433"/>
      <c r="O352" s="435"/>
      <c r="P352" s="433"/>
      <c r="Q352" s="435"/>
      <c r="R352" s="433"/>
      <c r="S352" s="435"/>
      <c r="T352" s="433"/>
      <c r="U352" s="435"/>
      <c r="V352" s="433"/>
      <c r="W352" s="435"/>
      <c r="X352" s="433"/>
      <c r="Y352" s="435"/>
      <c r="Z352" s="433"/>
      <c r="AA352" s="435"/>
      <c r="AB352" s="433"/>
      <c r="AC352" s="435"/>
      <c r="AD352" s="433"/>
      <c r="AE352" s="435"/>
      <c r="AF352" s="433"/>
      <c r="AG352" s="435"/>
      <c r="AH352" s="433"/>
      <c r="AI352" s="435"/>
      <c r="AJ352" s="433"/>
      <c r="AK352" s="435"/>
      <c r="AL352" s="433"/>
      <c r="AM352" s="435"/>
      <c r="AN352" s="433"/>
      <c r="AO352" s="435"/>
      <c r="AP352" s="433"/>
      <c r="AQ352" s="435"/>
      <c r="AR352" s="433"/>
      <c r="AS352" s="435"/>
      <c r="AT352" s="433"/>
      <c r="AU352" s="435"/>
      <c r="AV352" s="433"/>
      <c r="AW352" s="435"/>
      <c r="AX352" s="397"/>
      <c r="AY352" s="433"/>
      <c r="AZ352" s="434"/>
      <c r="BA352" s="433"/>
      <c r="BB352" s="434"/>
      <c r="BC352" s="433"/>
      <c r="BD352" s="434"/>
      <c r="BE352" s="433"/>
      <c r="BF352" s="435"/>
      <c r="BG352" s="433"/>
      <c r="BH352" s="435"/>
      <c r="BI352" s="433"/>
      <c r="BJ352" s="435"/>
      <c r="BK352" s="433"/>
      <c r="BL352" s="435"/>
      <c r="BM352" s="433"/>
      <c r="BN352" s="435"/>
      <c r="BO352" s="433"/>
      <c r="BP352" s="435"/>
      <c r="BQ352" s="433"/>
      <c r="BR352" s="435"/>
      <c r="BS352" s="433"/>
      <c r="BT352" s="435"/>
      <c r="BU352" s="433"/>
      <c r="BV352" s="435"/>
      <c r="BW352" s="433"/>
      <c r="BX352" s="435"/>
      <c r="BY352" s="433"/>
      <c r="BZ352" s="435"/>
      <c r="CA352" s="433"/>
      <c r="CB352" s="435"/>
      <c r="CC352" s="433"/>
      <c r="CD352" s="435"/>
      <c r="CE352" s="433"/>
      <c r="CF352" s="435"/>
      <c r="CG352" s="433"/>
      <c r="CH352" s="435"/>
      <c r="CI352" s="433"/>
      <c r="CJ352" s="435"/>
      <c r="CK352" s="433"/>
      <c r="CL352" s="435"/>
      <c r="CM352" s="424"/>
    </row>
    <row r="353" spans="1:91" ht="12" hidden="1" customHeight="1" outlineLevel="1" x14ac:dyDescent="0.2">
      <c r="A353" s="454" t="str">
        <f>+INPUT!B393</f>
        <v>Expenses</v>
      </c>
      <c r="B353" s="433"/>
      <c r="C353" s="434"/>
      <c r="D353" s="433"/>
      <c r="E353" s="435"/>
      <c r="F353" s="433"/>
      <c r="G353" s="435"/>
      <c r="H353" s="433"/>
      <c r="I353" s="435"/>
      <c r="J353" s="433"/>
      <c r="K353" s="435"/>
      <c r="L353" s="433"/>
      <c r="M353" s="435"/>
      <c r="N353" s="433"/>
      <c r="O353" s="435"/>
      <c r="P353" s="433"/>
      <c r="Q353" s="435"/>
      <c r="R353" s="433"/>
      <c r="S353" s="435"/>
      <c r="T353" s="433"/>
      <c r="U353" s="435"/>
      <c r="V353" s="433"/>
      <c r="W353" s="435"/>
      <c r="X353" s="433"/>
      <c r="Y353" s="435"/>
      <c r="Z353" s="433"/>
      <c r="AA353" s="435"/>
      <c r="AB353" s="433"/>
      <c r="AC353" s="435"/>
      <c r="AD353" s="433"/>
      <c r="AE353" s="435"/>
      <c r="AF353" s="433"/>
      <c r="AG353" s="435"/>
      <c r="AH353" s="433"/>
      <c r="AI353" s="435"/>
      <c r="AJ353" s="433"/>
      <c r="AK353" s="435"/>
      <c r="AL353" s="433"/>
      <c r="AM353" s="435"/>
      <c r="AN353" s="433"/>
      <c r="AO353" s="435"/>
      <c r="AP353" s="433"/>
      <c r="AQ353" s="435"/>
      <c r="AR353" s="433"/>
      <c r="AS353" s="435"/>
      <c r="AT353" s="433"/>
      <c r="AU353" s="435"/>
      <c r="AV353" s="433"/>
      <c r="AW353" s="435"/>
      <c r="AX353" s="455"/>
      <c r="AY353" s="433"/>
      <c r="AZ353" s="434"/>
      <c r="BA353" s="433"/>
      <c r="BB353" s="434"/>
      <c r="BC353" s="433"/>
      <c r="BD353" s="434"/>
      <c r="BE353" s="433"/>
      <c r="BF353" s="435"/>
      <c r="BG353" s="433"/>
      <c r="BH353" s="435"/>
      <c r="BI353" s="433"/>
      <c r="BJ353" s="435"/>
      <c r="BK353" s="433"/>
      <c r="BL353" s="435"/>
      <c r="BM353" s="433"/>
      <c r="BN353" s="435"/>
      <c r="BO353" s="433"/>
      <c r="BP353" s="435"/>
      <c r="BQ353" s="433"/>
      <c r="BR353" s="435"/>
      <c r="BS353" s="433"/>
      <c r="BT353" s="435"/>
      <c r="BU353" s="433"/>
      <c r="BV353" s="435"/>
      <c r="BW353" s="433"/>
      <c r="BX353" s="435"/>
      <c r="BY353" s="433"/>
      <c r="BZ353" s="435"/>
      <c r="CA353" s="433"/>
      <c r="CB353" s="435"/>
      <c r="CC353" s="433"/>
      <c r="CD353" s="435"/>
      <c r="CE353" s="433"/>
      <c r="CF353" s="435"/>
      <c r="CG353" s="433"/>
      <c r="CH353" s="435"/>
      <c r="CI353" s="433"/>
      <c r="CJ353" s="435"/>
      <c r="CK353" s="433"/>
      <c r="CL353" s="435"/>
      <c r="CM353" s="424"/>
    </row>
    <row r="354" spans="1:91" ht="12" hidden="1" customHeight="1" outlineLevel="1" x14ac:dyDescent="0.2">
      <c r="A354" s="400" t="s">
        <v>434</v>
      </c>
      <c r="B354" s="425">
        <f>INPUT!C394</f>
        <v>281.89999999999998</v>
      </c>
      <c r="C354" s="424" t="str">
        <f>INPUT!D394</f>
        <v>NA</v>
      </c>
      <c r="D354" s="436">
        <f>INPUT!E394</f>
        <v>262.40000000000003</v>
      </c>
      <c r="E354" s="382" t="str">
        <f>INPUT!F394</f>
        <v>NA</v>
      </c>
      <c r="F354" s="436">
        <f>INPUT!G394</f>
        <v>252.4</v>
      </c>
      <c r="G354" s="382" t="str">
        <f>INPUT!H394</f>
        <v>NA</v>
      </c>
      <c r="H354" s="436">
        <f>INPUT!I394</f>
        <v>249.5</v>
      </c>
      <c r="I354" s="382" t="str">
        <f>INPUT!J394</f>
        <v>NA</v>
      </c>
      <c r="J354" s="436">
        <f>INPUT!K394</f>
        <v>284.59999999999997</v>
      </c>
      <c r="K354" s="382">
        <f>INPUT!L394</f>
        <v>0.95778644909540844</v>
      </c>
      <c r="L354" s="436">
        <f>INPUT!M394</f>
        <v>281</v>
      </c>
      <c r="M354" s="382">
        <f>INPUT!N394</f>
        <v>7.0884146341463321</v>
      </c>
      <c r="N354" s="436">
        <f>INPUT!O394</f>
        <v>150.80000000000001</v>
      </c>
      <c r="O354" s="382">
        <f>INPUT!P394</f>
        <v>-40.253565768621236</v>
      </c>
      <c r="P354" s="436">
        <f>INPUT!Q394</f>
        <v>263.8</v>
      </c>
      <c r="Q354" s="382">
        <f>INPUT!R394</f>
        <v>5.7314629258517158</v>
      </c>
      <c r="R354" s="436">
        <f>INPUT!S394</f>
        <v>276.8</v>
      </c>
      <c r="S354" s="382">
        <f>INPUT!T394</f>
        <v>-2.7406886858748862</v>
      </c>
      <c r="T354" s="436">
        <f>INPUT!U394</f>
        <v>279.2</v>
      </c>
      <c r="U354" s="382">
        <f>INPUT!V394</f>
        <v>-0.64056939501779198</v>
      </c>
      <c r="V354" s="436">
        <f>INPUT!W394</f>
        <v>215</v>
      </c>
      <c r="W354" s="382">
        <f>INPUT!X394</f>
        <v>42.572944297082216</v>
      </c>
      <c r="X354" s="436">
        <f>INPUT!Y394</f>
        <v>277.89999999999998</v>
      </c>
      <c r="Y354" s="382">
        <f>INPUT!Z394</f>
        <v>5.3449583017437305</v>
      </c>
      <c r="Z354" s="436">
        <f>INPUT!AA394</f>
        <v>276.8</v>
      </c>
      <c r="AA354" s="382">
        <f>INPUT!AB394</f>
        <v>0</v>
      </c>
      <c r="AB354" s="436">
        <f>INPUT!AC394</f>
        <v>288.89999999999998</v>
      </c>
      <c r="AC354" s="382">
        <f>INPUT!AD394</f>
        <v>3.4742120343839673</v>
      </c>
      <c r="AD354" s="436">
        <f>INPUT!AE394</f>
        <v>347.2</v>
      </c>
      <c r="AE354" s="382">
        <f>INPUT!AF394</f>
        <v>61.488372093023258</v>
      </c>
      <c r="AF354" s="436">
        <f>INPUT!AG394</f>
        <v>286.5</v>
      </c>
      <c r="AG354" s="382">
        <f>INPUT!AH394</f>
        <v>3.0946383591220012</v>
      </c>
      <c r="AH354" s="436">
        <f>INPUT!AI394</f>
        <v>299.09999999999997</v>
      </c>
      <c r="AI354" s="382">
        <f>INPUT!AJ394</f>
        <v>8.056358381502875</v>
      </c>
      <c r="AJ354" s="436">
        <f>INPUT!AK394</f>
        <v>304.5</v>
      </c>
      <c r="AK354" s="382">
        <f>INPUT!AL394</f>
        <v>5.3997923156801733</v>
      </c>
      <c r="AL354" s="436">
        <f>INPUT!AM394</f>
        <v>310.60000000000002</v>
      </c>
      <c r="AM354" s="382">
        <f>INPUT!AN394</f>
        <v>-10.541474654377865</v>
      </c>
      <c r="AN354" s="436">
        <f>INPUT!AO394</f>
        <v>288.10000000000002</v>
      </c>
      <c r="AO354" s="382">
        <f>INPUT!AP394</f>
        <v>0.55846422338569823</v>
      </c>
      <c r="AP354" s="436">
        <f>INPUT!AQ394</f>
        <v>302.66367000000002</v>
      </c>
      <c r="AQ354" s="382">
        <f>INPUT!AR394</f>
        <v>1.1914643931795581</v>
      </c>
      <c r="AR354" s="436">
        <f>INPUT!AS394</f>
        <v>303.47515955000006</v>
      </c>
      <c r="AS354" s="382">
        <f>INPUT!AT394</f>
        <v>-0.33656500821017232</v>
      </c>
      <c r="AT354" s="436">
        <f>INPUT!AU394</f>
        <v>303.15396321324999</v>
      </c>
      <c r="AU354" s="382">
        <f>INPUT!AV394</f>
        <v>-2.3973074007566026</v>
      </c>
      <c r="AV354" s="436">
        <f>INPUT!AW394</f>
        <v>303.92583123766752</v>
      </c>
      <c r="AW354" s="382">
        <f>INPUT!AX394</f>
        <v>5.4931729391418003</v>
      </c>
      <c r="AX354" s="403"/>
      <c r="AY354" s="402"/>
      <c r="AZ354" s="432"/>
      <c r="BA354" s="402"/>
      <c r="BB354" s="432"/>
      <c r="BC354" s="402"/>
      <c r="BD354" s="432"/>
      <c r="BE354" s="402"/>
      <c r="BF354" s="382"/>
      <c r="BG354" s="402"/>
      <c r="BH354" s="382"/>
      <c r="BI354" s="402"/>
      <c r="BJ354" s="382"/>
      <c r="BK354" s="436"/>
      <c r="BL354" s="382"/>
      <c r="BM354" s="436"/>
      <c r="BN354" s="382"/>
      <c r="BO354" s="436"/>
      <c r="BP354" s="382"/>
      <c r="BQ354" s="436"/>
      <c r="BR354" s="382"/>
      <c r="BS354" s="436">
        <f>INPUT!BB394</f>
        <v>1046.1999999999998</v>
      </c>
      <c r="BT354" s="382" t="str">
        <f>INPUT!BC394</f>
        <v>NA</v>
      </c>
      <c r="BU354" s="436">
        <f>INPUT!BD394</f>
        <v>980.19999999999982</v>
      </c>
      <c r="BV354" s="382">
        <f>INPUT!BE394</f>
        <v>-6.3085452112406841</v>
      </c>
      <c r="BW354" s="436">
        <f>INPUT!BF394</f>
        <v>1048.9000000000001</v>
      </c>
      <c r="BX354" s="382">
        <f>INPUT!BG394</f>
        <v>7.0087737196490707</v>
      </c>
      <c r="BY354" s="436">
        <f>INPUT!BH394</f>
        <v>1199.4000000000001</v>
      </c>
      <c r="BZ354" s="382">
        <f>INPUT!BI394</f>
        <v>14.348364953761077</v>
      </c>
      <c r="CA354" s="436">
        <f>INPUT!BJ394</f>
        <v>1202.3</v>
      </c>
      <c r="CB354" s="382">
        <f>INPUT!BK394</f>
        <v>0.24178756044688043</v>
      </c>
      <c r="CC354" s="436">
        <f>INPUT!BL394</f>
        <v>1213.2186240009175</v>
      </c>
      <c r="CD354" s="382">
        <f>INPUT!BM394</f>
        <v>0.90814472269131841</v>
      </c>
      <c r="CE354" s="436">
        <f>INPUT!BN394</f>
        <v>1265.451987230708</v>
      </c>
      <c r="CF354" s="382">
        <f>INPUT!BO394</f>
        <v>4.3053545499933676</v>
      </c>
      <c r="CG354" s="436">
        <f>INPUT!BP394</f>
        <v>1321.8492712207517</v>
      </c>
      <c r="CH354" s="382">
        <f>INPUT!BQ394</f>
        <v>4.4566909340798162</v>
      </c>
      <c r="CI354" s="436">
        <f>INPUT!BR394</f>
        <v>1378.7301571901471</v>
      </c>
      <c r="CJ354" s="382">
        <f>INPUT!BS394</f>
        <v>4.3031295025691492</v>
      </c>
      <c r="CK354" s="436">
        <f>INPUT!BT394</f>
        <v>1438.0465552031412</v>
      </c>
      <c r="CL354" s="382">
        <f>INPUT!BU394</f>
        <v>4.3022485367173715</v>
      </c>
      <c r="CM354" s="424">
        <f>INPUT!BV394</f>
        <v>3.645874403208782</v>
      </c>
    </row>
    <row r="355" spans="1:91" ht="12" hidden="1" customHeight="1" outlineLevel="1" x14ac:dyDescent="0.2">
      <c r="A355" s="400" t="s">
        <v>421</v>
      </c>
      <c r="B355" s="425">
        <f>INPUT!C395</f>
        <v>33.799999999999997</v>
      </c>
      <c r="C355" s="424" t="str">
        <f>INPUT!D395</f>
        <v>NA</v>
      </c>
      <c r="D355" s="436">
        <f>INPUT!E395</f>
        <v>26.1</v>
      </c>
      <c r="E355" s="382" t="str">
        <f>INPUT!F395</f>
        <v>NA</v>
      </c>
      <c r="F355" s="436">
        <f>INPUT!G395</f>
        <v>16.600000000000001</v>
      </c>
      <c r="G355" s="382" t="str">
        <f>INPUT!H395</f>
        <v>NA</v>
      </c>
      <c r="H355" s="436">
        <f>INPUT!I395</f>
        <v>20.6</v>
      </c>
      <c r="I355" s="382" t="str">
        <f>INPUT!J395</f>
        <v>NA</v>
      </c>
      <c r="J355" s="436">
        <f>INPUT!K395</f>
        <v>22.9</v>
      </c>
      <c r="K355" s="382">
        <f>INPUT!L395</f>
        <v>-32.248520710059168</v>
      </c>
      <c r="L355" s="436">
        <f>INPUT!M395</f>
        <v>21.5</v>
      </c>
      <c r="M355" s="382">
        <f>INPUT!N395</f>
        <v>-17.624521072796938</v>
      </c>
      <c r="N355" s="436">
        <f>INPUT!O395</f>
        <v>20.5</v>
      </c>
      <c r="O355" s="382">
        <f>INPUT!P395</f>
        <v>23.493975903614441</v>
      </c>
      <c r="P355" s="436">
        <f>INPUT!Q395</f>
        <v>24</v>
      </c>
      <c r="Q355" s="382">
        <f>INPUT!R395</f>
        <v>16.50485436893203</v>
      </c>
      <c r="R355" s="436">
        <f>INPUT!S395</f>
        <v>23.4</v>
      </c>
      <c r="S355" s="382">
        <f>INPUT!T395</f>
        <v>2.1834061135371172</v>
      </c>
      <c r="T355" s="436">
        <f>INPUT!U395</f>
        <v>21</v>
      </c>
      <c r="U355" s="382">
        <f>INPUT!V395</f>
        <v>-2.3255813953488484</v>
      </c>
      <c r="V355" s="436">
        <f>INPUT!W395</f>
        <v>19.3</v>
      </c>
      <c r="W355" s="382">
        <f>INPUT!X395</f>
        <v>-5.8536585365853568</v>
      </c>
      <c r="X355" s="436">
        <f>INPUT!Y395</f>
        <v>22.5</v>
      </c>
      <c r="Y355" s="382">
        <f>INPUT!Z395</f>
        <v>-6.25</v>
      </c>
      <c r="Z355" s="436">
        <f>INPUT!AA395</f>
        <v>22.5</v>
      </c>
      <c r="AA355" s="382">
        <f>INPUT!AB395</f>
        <v>-3.8461538461538396</v>
      </c>
      <c r="AB355" s="436">
        <f>INPUT!AC395</f>
        <v>23.3</v>
      </c>
      <c r="AC355" s="382">
        <f>INPUT!AD395</f>
        <v>10.952380952380963</v>
      </c>
      <c r="AD355" s="436">
        <f>INPUT!AE395</f>
        <v>20.9</v>
      </c>
      <c r="AE355" s="382">
        <f>INPUT!AF395</f>
        <v>8.2901554404144946</v>
      </c>
      <c r="AF355" s="436">
        <f>INPUT!AG395</f>
        <v>26.4</v>
      </c>
      <c r="AG355" s="382">
        <f>INPUT!AH395</f>
        <v>17.333333333333329</v>
      </c>
      <c r="AH355" s="436">
        <f>INPUT!AI395</f>
        <v>25.6</v>
      </c>
      <c r="AI355" s="382">
        <f>INPUT!AJ395</f>
        <v>13.777777777777771</v>
      </c>
      <c r="AJ355" s="436">
        <f>INPUT!AK395</f>
        <v>24.5</v>
      </c>
      <c r="AK355" s="382">
        <f>INPUT!AL395</f>
        <v>5.1502145922746649</v>
      </c>
      <c r="AL355" s="436">
        <f>INPUT!AM395</f>
        <v>23.6</v>
      </c>
      <c r="AM355" s="382">
        <f>INPUT!AN395</f>
        <v>12.918660287081352</v>
      </c>
      <c r="AN355" s="436">
        <f>INPUT!AO395</f>
        <v>27.3</v>
      </c>
      <c r="AO355" s="382">
        <f>INPUT!AP395</f>
        <v>3.4090909090909207</v>
      </c>
      <c r="AP355" s="436">
        <f>INPUT!AQ395</f>
        <v>27.573</v>
      </c>
      <c r="AQ355" s="382">
        <f>INPUT!AR395</f>
        <v>7.7070312499999858</v>
      </c>
      <c r="AR355" s="436">
        <f>INPUT!AS395</f>
        <v>27.84873</v>
      </c>
      <c r="AS355" s="382">
        <f>INPUT!AT395</f>
        <v>13.668285714285716</v>
      </c>
      <c r="AT355" s="436">
        <f>INPUT!AU395</f>
        <v>28.127217299999998</v>
      </c>
      <c r="AU355" s="382">
        <f>INPUT!AV395</f>
        <v>19.183124152542348</v>
      </c>
      <c r="AV355" s="436">
        <f>INPUT!AW395</f>
        <v>28.408489472999996</v>
      </c>
      <c r="AW355" s="382">
        <f>INPUT!AX395</f>
        <v>4.0604009999999846</v>
      </c>
      <c r="AX355" s="403"/>
      <c r="AY355" s="402"/>
      <c r="AZ355" s="432"/>
      <c r="BA355" s="402"/>
      <c r="BB355" s="432"/>
      <c r="BC355" s="402"/>
      <c r="BD355" s="432"/>
      <c r="BE355" s="402"/>
      <c r="BF355" s="382"/>
      <c r="BG355" s="402"/>
      <c r="BH355" s="382"/>
      <c r="BI355" s="402"/>
      <c r="BJ355" s="382"/>
      <c r="BK355" s="436"/>
      <c r="BL355" s="382"/>
      <c r="BM355" s="436"/>
      <c r="BN355" s="382"/>
      <c r="BO355" s="436"/>
      <c r="BP355" s="382"/>
      <c r="BQ355" s="436"/>
      <c r="BR355" s="382"/>
      <c r="BS355" s="436">
        <f>INPUT!BB395</f>
        <v>97.1</v>
      </c>
      <c r="BT355" s="382" t="str">
        <f>INPUT!BC395</f>
        <v>NA</v>
      </c>
      <c r="BU355" s="436">
        <f>INPUT!BD395</f>
        <v>88.9</v>
      </c>
      <c r="BV355" s="382">
        <f>INPUT!BE395</f>
        <v>-8.444902162718833</v>
      </c>
      <c r="BW355" s="436">
        <f>INPUT!BF395</f>
        <v>86.2</v>
      </c>
      <c r="BX355" s="382">
        <f>INPUT!BG395</f>
        <v>-3.0371203599549972</v>
      </c>
      <c r="BY355" s="436">
        <f>INPUT!BH395</f>
        <v>93.1</v>
      </c>
      <c r="BZ355" s="382">
        <f>INPUT!BI395</f>
        <v>8.0046403712296978</v>
      </c>
      <c r="CA355" s="436">
        <f>INPUT!BJ395</f>
        <v>101</v>
      </c>
      <c r="CB355" s="382">
        <f>INPUT!BK395</f>
        <v>8.485499462943082</v>
      </c>
      <c r="CC355" s="436">
        <f>INPUT!BL395</f>
        <v>111.95743677299998</v>
      </c>
      <c r="CD355" s="382">
        <f>INPUT!BM395</f>
        <v>10.848947299999992</v>
      </c>
      <c r="CE355" s="436">
        <f>INPUT!BN395</f>
        <v>116.43573424392001</v>
      </c>
      <c r="CF355" s="382">
        <f>INPUT!BO395</f>
        <v>4.0000000000000284</v>
      </c>
      <c r="CG355" s="436">
        <f>INPUT!BP395</f>
        <v>121.09316361367681</v>
      </c>
      <c r="CH355" s="382">
        <f>INPUT!BQ395</f>
        <v>4</v>
      </c>
      <c r="CI355" s="436">
        <f>INPUT!BR395</f>
        <v>125.93689015822389</v>
      </c>
      <c r="CJ355" s="382">
        <f>INPUT!BS395</f>
        <v>4</v>
      </c>
      <c r="CK355" s="436">
        <f>INPUT!BT395</f>
        <v>130.97436576455286</v>
      </c>
      <c r="CL355" s="382">
        <f>INPUT!BU395</f>
        <v>4</v>
      </c>
      <c r="CM355" s="424">
        <f>INPUT!BV395</f>
        <v>5.3350694805373466</v>
      </c>
    </row>
    <row r="356" spans="1:91" ht="12" hidden="1" customHeight="1" outlineLevel="1" x14ac:dyDescent="0.2">
      <c r="A356" s="400" t="s">
        <v>137</v>
      </c>
      <c r="B356" s="425">
        <f>INPUT!C396</f>
        <v>-54.3</v>
      </c>
      <c r="C356" s="424" t="str">
        <f>INPUT!D396</f>
        <v>NA</v>
      </c>
      <c r="D356" s="436">
        <f>INPUT!E396</f>
        <v>-35.1</v>
      </c>
      <c r="E356" s="382" t="str">
        <f>INPUT!F396</f>
        <v>NA</v>
      </c>
      <c r="F356" s="436">
        <f>INPUT!G396</f>
        <v>-20.299999999999997</v>
      </c>
      <c r="G356" s="382" t="str">
        <f>INPUT!H396</f>
        <v>NA</v>
      </c>
      <c r="H356" s="436">
        <f>INPUT!I396</f>
        <v>-33.300000000000004</v>
      </c>
      <c r="I356" s="382" t="str">
        <f>INPUT!J396</f>
        <v>NA</v>
      </c>
      <c r="J356" s="436">
        <f>INPUT!K396</f>
        <v>-23.5</v>
      </c>
      <c r="K356" s="382" t="str">
        <f>INPUT!L396</f>
        <v>NM</v>
      </c>
      <c r="L356" s="436">
        <f>INPUT!M396</f>
        <v>-27.199999999999996</v>
      </c>
      <c r="M356" s="382">
        <f>INPUT!N396</f>
        <v>-22.507122507122517</v>
      </c>
      <c r="N356" s="436">
        <f>INPUT!O396</f>
        <v>52.599999999999994</v>
      </c>
      <c r="O356" s="382" t="str">
        <f>INPUT!P396</f>
        <v>NM</v>
      </c>
      <c r="P356" s="436">
        <f>INPUT!Q396</f>
        <v>-31</v>
      </c>
      <c r="Q356" s="382">
        <f>INPUT!R396</f>
        <v>-6.9069069069069116</v>
      </c>
      <c r="R356" s="436">
        <f>INPUT!S396</f>
        <v>-24.599999999999998</v>
      </c>
      <c r="S356" s="382">
        <f>INPUT!T396</f>
        <v>4.6808510638297776</v>
      </c>
      <c r="T356" s="436">
        <f>INPUT!U396</f>
        <v>-26.200000000000003</v>
      </c>
      <c r="U356" s="382">
        <f>INPUT!V396</f>
        <v>-3.6764705882352757</v>
      </c>
      <c r="V356" s="436">
        <f>INPUT!W396</f>
        <v>-34.9</v>
      </c>
      <c r="W356" s="382" t="str">
        <f>INPUT!X396</f>
        <v>NM</v>
      </c>
      <c r="X356" s="436">
        <f>INPUT!Y396</f>
        <v>-22.400000000000002</v>
      </c>
      <c r="Y356" s="382">
        <f>INPUT!Z396</f>
        <v>-27.741935483870961</v>
      </c>
      <c r="Z356" s="436">
        <f>INPUT!AA396</f>
        <v>-17.399999999999999</v>
      </c>
      <c r="AA356" s="382">
        <f>INPUT!AB396</f>
        <v>-29.268292682926827</v>
      </c>
      <c r="AB356" s="436">
        <f>INPUT!AC396</f>
        <v>-24.299999999999997</v>
      </c>
      <c r="AC356" s="382">
        <f>INPUT!AD396</f>
        <v>-7.2519083969465896</v>
      </c>
      <c r="AD356" s="436">
        <f>INPUT!AE396</f>
        <v>-48</v>
      </c>
      <c r="AE356" s="382">
        <f>INPUT!AF396</f>
        <v>37.535816618911184</v>
      </c>
      <c r="AF356" s="436">
        <f>INPUT!AG396</f>
        <v>-33.4</v>
      </c>
      <c r="AG356" s="382">
        <f>INPUT!AH396</f>
        <v>49.107142857142833</v>
      </c>
      <c r="AH356" s="436">
        <f>INPUT!AI396</f>
        <v>-27.2</v>
      </c>
      <c r="AI356" s="382">
        <f>INPUT!AJ396</f>
        <v>56.321839080459768</v>
      </c>
      <c r="AJ356" s="436">
        <f>INPUT!AK396</f>
        <v>-27.900000000000002</v>
      </c>
      <c r="AK356" s="382">
        <f>INPUT!AL396</f>
        <v>14.814814814814838</v>
      </c>
      <c r="AL356" s="436">
        <f>INPUT!AM396</f>
        <v>11.399999999999999</v>
      </c>
      <c r="AM356" s="382" t="str">
        <f>INPUT!AN396</f>
        <v>NM</v>
      </c>
      <c r="AN356" s="436">
        <f>INPUT!AO396</f>
        <v>-32.6</v>
      </c>
      <c r="AO356" s="382">
        <f>INPUT!AP396</f>
        <v>-2.3952095808383262</v>
      </c>
      <c r="AP356" s="436">
        <f>INPUT!AQ396</f>
        <v>-32.926000000000002</v>
      </c>
      <c r="AQ356" s="382">
        <f>INPUT!AR396</f>
        <v>21.051470588235304</v>
      </c>
      <c r="AR356" s="436">
        <f>INPUT!AS396</f>
        <v>-33.25526</v>
      </c>
      <c r="AS356" s="382">
        <f>INPUT!AT396</f>
        <v>19.19448028673834</v>
      </c>
      <c r="AT356" s="436">
        <f>INPUT!AU396</f>
        <v>-33.587812599999999</v>
      </c>
      <c r="AU356" s="382" t="str">
        <f>INPUT!AV396</f>
        <v>NM</v>
      </c>
      <c r="AV356" s="436">
        <f>INPUT!AW396</f>
        <v>-33.923690725999997</v>
      </c>
      <c r="AW356" s="382">
        <f>INPUT!AX396</f>
        <v>4.0604009999999846</v>
      </c>
      <c r="AX356" s="403"/>
      <c r="AY356" s="402"/>
      <c r="AZ356" s="432"/>
      <c r="BA356" s="402"/>
      <c r="BB356" s="432"/>
      <c r="BC356" s="402"/>
      <c r="BD356" s="432"/>
      <c r="BE356" s="402"/>
      <c r="BF356" s="382"/>
      <c r="BG356" s="402"/>
      <c r="BH356" s="382"/>
      <c r="BI356" s="402"/>
      <c r="BJ356" s="382"/>
      <c r="BK356" s="436"/>
      <c r="BL356" s="382"/>
      <c r="BM356" s="436"/>
      <c r="BN356" s="382"/>
      <c r="BO356" s="436"/>
      <c r="BP356" s="382"/>
      <c r="BQ356" s="436"/>
      <c r="BR356" s="382"/>
      <c r="BS356" s="436">
        <f>INPUT!BB396</f>
        <v>-143</v>
      </c>
      <c r="BT356" s="382" t="str">
        <f>INPUT!BC396</f>
        <v>NA</v>
      </c>
      <c r="BU356" s="436">
        <f>INPUT!BD396</f>
        <v>-29.1</v>
      </c>
      <c r="BV356" s="382" t="str">
        <f>INPUT!BE396</f>
        <v>NM</v>
      </c>
      <c r="BW356" s="436">
        <f>INPUT!BF396</f>
        <v>-108.1</v>
      </c>
      <c r="BX356" s="382" t="str">
        <f>INPUT!BG396</f>
        <v>NM</v>
      </c>
      <c r="BY356" s="436">
        <f>INPUT!BH396</f>
        <v>-123.1</v>
      </c>
      <c r="BZ356" s="382">
        <f>INPUT!BI396</f>
        <v>13.876040703052723</v>
      </c>
      <c r="CA356" s="436">
        <f>INPUT!BJ396</f>
        <v>-76.300000000000011</v>
      </c>
      <c r="CB356" s="382">
        <f>INPUT!BK396</f>
        <v>-38.017871649065796</v>
      </c>
      <c r="CC356" s="436">
        <f>INPUT!BL396</f>
        <v>-133.69276332600001</v>
      </c>
      <c r="CD356" s="382">
        <f>INPUT!BM396</f>
        <v>75.219873297509821</v>
      </c>
      <c r="CE356" s="436">
        <f>INPUT!BN396</f>
        <v>-148.30201953342362</v>
      </c>
      <c r="CF356" s="382">
        <f>INPUT!BO396</f>
        <v>10.927484662576688</v>
      </c>
      <c r="CG356" s="436">
        <f>INPUT!BP396</f>
        <v>-154.23410031476058</v>
      </c>
      <c r="CH356" s="382">
        <f>INPUT!BQ396</f>
        <v>4</v>
      </c>
      <c r="CI356" s="436">
        <f>INPUT!BR396</f>
        <v>-160.403464327351</v>
      </c>
      <c r="CJ356" s="382">
        <f>INPUT!BS396</f>
        <v>4</v>
      </c>
      <c r="CK356" s="436">
        <f>INPUT!BT396</f>
        <v>-166.81960290044506</v>
      </c>
      <c r="CL356" s="382">
        <f>INPUT!BU396</f>
        <v>4</v>
      </c>
      <c r="CM356" s="424">
        <f>INPUT!BV396</f>
        <v>16.934997046997392</v>
      </c>
    </row>
    <row r="357" spans="1:91" ht="12" hidden="1" customHeight="1" outlineLevel="1" x14ac:dyDescent="0.2">
      <c r="A357" s="400" t="s">
        <v>481</v>
      </c>
      <c r="B357" s="425">
        <f>INPUT!C397</f>
        <v>98.2</v>
      </c>
      <c r="C357" s="424" t="str">
        <f>INPUT!D397</f>
        <v>NA</v>
      </c>
      <c r="D357" s="436">
        <f>INPUT!E397</f>
        <v>84.399999999999991</v>
      </c>
      <c r="E357" s="382" t="str">
        <f>INPUT!F397</f>
        <v>NA</v>
      </c>
      <c r="F357" s="436">
        <f>INPUT!G397</f>
        <v>82.5</v>
      </c>
      <c r="G357" s="382" t="str">
        <f>INPUT!H397</f>
        <v>NA</v>
      </c>
      <c r="H357" s="436">
        <f>INPUT!I397</f>
        <v>88.8</v>
      </c>
      <c r="I357" s="382" t="str">
        <f>INPUT!J397</f>
        <v>NA</v>
      </c>
      <c r="J357" s="436">
        <f>INPUT!K397</f>
        <v>78</v>
      </c>
      <c r="K357" s="382">
        <f>INPUT!L397</f>
        <v>-20.570264765784117</v>
      </c>
      <c r="L357" s="436">
        <f>INPUT!M397</f>
        <v>79.099999999999994</v>
      </c>
      <c r="M357" s="382">
        <f>INPUT!N397</f>
        <v>-6.2796208530805728</v>
      </c>
      <c r="N357" s="436">
        <f>INPUT!O397</f>
        <v>82.3</v>
      </c>
      <c r="O357" s="382">
        <f>INPUT!P397</f>
        <v>-0.24242424242424931</v>
      </c>
      <c r="P357" s="436">
        <f>INPUT!Q397</f>
        <v>91.399999999999991</v>
      </c>
      <c r="Q357" s="382">
        <f>INPUT!R397</f>
        <v>2.9279279279279251</v>
      </c>
      <c r="R357" s="436">
        <f>INPUT!S397</f>
        <v>84.7</v>
      </c>
      <c r="S357" s="382">
        <f>INPUT!T397</f>
        <v>8.5897435897436054</v>
      </c>
      <c r="T357" s="436">
        <f>INPUT!U397</f>
        <v>82.5</v>
      </c>
      <c r="U357" s="382">
        <f>INPUT!V397</f>
        <v>4.2983565107459043</v>
      </c>
      <c r="V357" s="436">
        <f>INPUT!W397</f>
        <v>82.7</v>
      </c>
      <c r="W357" s="382">
        <f>INPUT!X397</f>
        <v>0.48602673147024689</v>
      </c>
      <c r="X357" s="436">
        <f>INPUT!Y397</f>
        <v>86.699999999999989</v>
      </c>
      <c r="Y357" s="382">
        <f>INPUT!Z397</f>
        <v>-5.1422319474835945</v>
      </c>
      <c r="Z357" s="436">
        <f>INPUT!AA397</f>
        <v>84.2</v>
      </c>
      <c r="AA357" s="382">
        <f>INPUT!AB397</f>
        <v>-0.59031877213695338</v>
      </c>
      <c r="AB357" s="436">
        <f>INPUT!AC397</f>
        <v>84.9</v>
      </c>
      <c r="AC357" s="382">
        <f>INPUT!AD397</f>
        <v>2.9090909090909065</v>
      </c>
      <c r="AD357" s="436">
        <f>INPUT!AE397</f>
        <v>83.1</v>
      </c>
      <c r="AE357" s="382">
        <f>INPUT!AF397</f>
        <v>0.48367593712211487</v>
      </c>
      <c r="AF357" s="436">
        <f>INPUT!AG397</f>
        <v>94.2</v>
      </c>
      <c r="AG357" s="382">
        <f>INPUT!AH397</f>
        <v>8.6505190311418971</v>
      </c>
      <c r="AH357" s="436">
        <f>INPUT!AI397</f>
        <v>89.7</v>
      </c>
      <c r="AI357" s="382">
        <f>INPUT!AJ397</f>
        <v>6.5320665083135481</v>
      </c>
      <c r="AJ357" s="436">
        <f>INPUT!AK397</f>
        <v>91.5</v>
      </c>
      <c r="AK357" s="382">
        <f>INPUT!AL397</f>
        <v>7.7738515901059912</v>
      </c>
      <c r="AL357" s="436">
        <f>INPUT!AM397</f>
        <v>90.4</v>
      </c>
      <c r="AM357" s="382">
        <f>INPUT!AN397</f>
        <v>8.7845968712394864</v>
      </c>
      <c r="AN357" s="436">
        <f>INPUT!AO397</f>
        <v>103.2</v>
      </c>
      <c r="AO357" s="382">
        <f>INPUT!AP397</f>
        <v>9.5541401273885356</v>
      </c>
      <c r="AP357" s="436">
        <f>INPUT!AQ397</f>
        <v>104.232</v>
      </c>
      <c r="AQ357" s="382">
        <f>INPUT!AR397</f>
        <v>16.200668896321062</v>
      </c>
      <c r="AR357" s="436">
        <f>INPUT!AS397</f>
        <v>105.27432</v>
      </c>
      <c r="AS357" s="382">
        <f>INPUT!AT397</f>
        <v>15.053901639344261</v>
      </c>
      <c r="AT357" s="436">
        <f>INPUT!AU397</f>
        <v>106.3270632</v>
      </c>
      <c r="AU357" s="382">
        <f>INPUT!AV397</f>
        <v>17.618432743362831</v>
      </c>
      <c r="AV357" s="436">
        <f>INPUT!AW397</f>
        <v>107.390333832</v>
      </c>
      <c r="AW357" s="382">
        <f>INPUT!AX397</f>
        <v>4.0604009999999988</v>
      </c>
      <c r="AX357" s="403"/>
      <c r="AY357" s="402"/>
      <c r="AZ357" s="432"/>
      <c r="BA357" s="402"/>
      <c r="BB357" s="432"/>
      <c r="BC357" s="402"/>
      <c r="BD357" s="432"/>
      <c r="BE357" s="402"/>
      <c r="BF357" s="382"/>
      <c r="BG357" s="402"/>
      <c r="BH357" s="382"/>
      <c r="BI357" s="402"/>
      <c r="BJ357" s="382"/>
      <c r="BK357" s="436"/>
      <c r="BL357" s="382"/>
      <c r="BM357" s="436"/>
      <c r="BN357" s="382"/>
      <c r="BO357" s="436"/>
      <c r="BP357" s="382"/>
      <c r="BQ357" s="436"/>
      <c r="BR357" s="382"/>
      <c r="BS357" s="436">
        <f>INPUT!BB397</f>
        <v>353.90000000000003</v>
      </c>
      <c r="BT357" s="382" t="str">
        <f>INPUT!BC397</f>
        <v>NA</v>
      </c>
      <c r="BU357" s="436">
        <f>INPUT!BD397</f>
        <v>330.79999999999995</v>
      </c>
      <c r="BV357" s="382">
        <f>INPUT!BE397</f>
        <v>-6.5272675897146399</v>
      </c>
      <c r="BW357" s="436">
        <f>INPUT!BF397</f>
        <v>336.59999999999997</v>
      </c>
      <c r="BX357" s="382">
        <f>INPUT!BG397</f>
        <v>1.7533252720677126</v>
      </c>
      <c r="BY357" s="436">
        <f>INPUT!BH397</f>
        <v>346.40000000000003</v>
      </c>
      <c r="BZ357" s="382">
        <f>INPUT!BI397</f>
        <v>2.9114676173499987</v>
      </c>
      <c r="CA357" s="436">
        <f>INPUT!BJ397</f>
        <v>374.8</v>
      </c>
      <c r="CB357" s="382">
        <f>INPUT!BK397</f>
        <v>8.1986143187067029</v>
      </c>
      <c r="CC357" s="436">
        <f>INPUT!BL397</f>
        <v>423.22371703200002</v>
      </c>
      <c r="CD357" s="382">
        <f>INPUT!BM397</f>
        <v>12.919881812166494</v>
      </c>
      <c r="CE357" s="436">
        <f>INPUT!BN397</f>
        <v>443.85728398303354</v>
      </c>
      <c r="CF357" s="382">
        <f>INPUT!BO397</f>
        <v>4.8753333333333444</v>
      </c>
      <c r="CG357" s="436">
        <f>INPUT!BP397</f>
        <v>461.61157534235485</v>
      </c>
      <c r="CH357" s="382">
        <f>INPUT!BQ397</f>
        <v>4</v>
      </c>
      <c r="CI357" s="436">
        <f>INPUT!BR397</f>
        <v>480.07603835604908</v>
      </c>
      <c r="CJ357" s="382">
        <f>INPUT!BS397</f>
        <v>4</v>
      </c>
      <c r="CK357" s="436">
        <f>INPUT!BT397</f>
        <v>499.27907989029109</v>
      </c>
      <c r="CL357" s="382">
        <f>INPUT!BU397</f>
        <v>4</v>
      </c>
      <c r="CM357" s="424">
        <f>INPUT!BV397</f>
        <v>5.9031205862456915</v>
      </c>
    </row>
    <row r="358" spans="1:91" s="767" customFormat="1" ht="12" hidden="1" customHeight="1" outlineLevel="1" x14ac:dyDescent="0.2">
      <c r="A358" s="394" t="str">
        <f>+INPUT!B398</f>
        <v>Total Expenses</v>
      </c>
      <c r="B358" s="430">
        <f>INPUT!C398</f>
        <v>359.59999999999997</v>
      </c>
      <c r="C358" s="763" t="str">
        <f>INPUT!D398</f>
        <v>NA</v>
      </c>
      <c r="D358" s="444">
        <f>INPUT!E398</f>
        <v>337.8</v>
      </c>
      <c r="E358" s="764" t="str">
        <f>INPUT!F398</f>
        <v>NA</v>
      </c>
      <c r="F358" s="444">
        <f>INPUT!G398</f>
        <v>331.2</v>
      </c>
      <c r="G358" s="764" t="str">
        <f>INPUT!H398</f>
        <v>NA</v>
      </c>
      <c r="H358" s="444">
        <f>INPUT!I398</f>
        <v>325.60000000000002</v>
      </c>
      <c r="I358" s="764" t="str">
        <f>INPUT!J398</f>
        <v>NA</v>
      </c>
      <c r="J358" s="444">
        <f>INPUT!K398</f>
        <v>361.99999999999994</v>
      </c>
      <c r="K358" s="764">
        <f>INPUT!L398</f>
        <v>0.66740823136817085</v>
      </c>
      <c r="L358" s="444">
        <f>INPUT!M398</f>
        <v>354.40000000000003</v>
      </c>
      <c r="M358" s="764">
        <f>INPUT!N398</f>
        <v>4.9141503848431114</v>
      </c>
      <c r="N358" s="444">
        <f>INPUT!O398</f>
        <v>306.20000000000005</v>
      </c>
      <c r="O358" s="764">
        <f>INPUT!P398</f>
        <v>-7.5483091787439349</v>
      </c>
      <c r="P358" s="444">
        <f>INPUT!Q398</f>
        <v>348.2</v>
      </c>
      <c r="Q358" s="764">
        <f>INPUT!R398</f>
        <v>6.9410319410319232</v>
      </c>
      <c r="R358" s="444">
        <f>INPUT!S398</f>
        <v>360.29999999999995</v>
      </c>
      <c r="S358" s="764">
        <f>INPUT!T398</f>
        <v>-0.46961325966850609</v>
      </c>
      <c r="T358" s="444">
        <f>INPUT!U398</f>
        <v>356.5</v>
      </c>
      <c r="U358" s="764">
        <f>INPUT!V398</f>
        <v>0.59255079006770472</v>
      </c>
      <c r="V358" s="444">
        <f>INPUT!W398</f>
        <v>282.10000000000002</v>
      </c>
      <c r="W358" s="764">
        <f>INPUT!X398</f>
        <v>-7.870672762900071</v>
      </c>
      <c r="X358" s="444">
        <f>INPUT!Y398</f>
        <v>364.7</v>
      </c>
      <c r="Y358" s="764">
        <f>INPUT!Z398</f>
        <v>4.7386559448592749</v>
      </c>
      <c r="Z358" s="444">
        <f>INPUT!AA398</f>
        <v>366.1</v>
      </c>
      <c r="AA358" s="764">
        <f>INPUT!AB398</f>
        <v>1.6097696364141285</v>
      </c>
      <c r="AB358" s="444">
        <f>INPUT!AC398</f>
        <v>372.8</v>
      </c>
      <c r="AC358" s="764">
        <f>INPUT!AD398</f>
        <v>4.5722300140252514</v>
      </c>
      <c r="AD358" s="444">
        <f>INPUT!AE398</f>
        <v>403.19999999999993</v>
      </c>
      <c r="AE358" s="764">
        <f>INPUT!AF398</f>
        <v>42.928039702233235</v>
      </c>
      <c r="AF358" s="444">
        <f>INPUT!AG398</f>
        <v>373.7</v>
      </c>
      <c r="AG358" s="764">
        <f>INPUT!AH398</f>
        <v>2.4677817384151268</v>
      </c>
      <c r="AH358" s="444">
        <f>INPUT!AI398</f>
        <v>387.2</v>
      </c>
      <c r="AI358" s="764">
        <f>INPUT!AJ398</f>
        <v>5.7634526085768982</v>
      </c>
      <c r="AJ358" s="444">
        <f>INPUT!AK398</f>
        <v>392.6</v>
      </c>
      <c r="AK358" s="764">
        <f>INPUT!AL398</f>
        <v>5.3111587982832589</v>
      </c>
      <c r="AL358" s="444">
        <f>INPUT!AM398</f>
        <v>436</v>
      </c>
      <c r="AM358" s="764">
        <f>INPUT!AN398</f>
        <v>8.1349206349206469</v>
      </c>
      <c r="AN358" s="444">
        <f>INPUT!AO398</f>
        <v>386</v>
      </c>
      <c r="AO358" s="764">
        <f>INPUT!AP398</f>
        <v>3.2914102221032806</v>
      </c>
      <c r="AP358" s="444">
        <f>INPUT!AQ398</f>
        <v>401.54267000000004</v>
      </c>
      <c r="AQ358" s="764">
        <f>INPUT!AR398</f>
        <v>3.7042019628099325</v>
      </c>
      <c r="AR358" s="444">
        <f>INPUT!AS398</f>
        <v>403.34294955000001</v>
      </c>
      <c r="AS358" s="764">
        <f>INPUT!AT398</f>
        <v>2.7363600483952979</v>
      </c>
      <c r="AT358" s="444">
        <f>INPUT!AU398</f>
        <v>404.02043111324997</v>
      </c>
      <c r="AU358" s="764">
        <f>INPUT!AV398</f>
        <v>-7.3347635061353316</v>
      </c>
      <c r="AV358" s="444">
        <f>INPUT!AW398</f>
        <v>405.80096381666749</v>
      </c>
      <c r="AW358" s="764">
        <f>INPUT!AX398</f>
        <v>5.129783372193657</v>
      </c>
      <c r="AX358" s="431"/>
      <c r="AY358" s="765"/>
      <c r="AZ358" s="766"/>
      <c r="BA358" s="765"/>
      <c r="BB358" s="766"/>
      <c r="BC358" s="765"/>
      <c r="BD358" s="766"/>
      <c r="BE358" s="765"/>
      <c r="BF358" s="764"/>
      <c r="BG358" s="765"/>
      <c r="BH358" s="764"/>
      <c r="BI358" s="765"/>
      <c r="BJ358" s="764"/>
      <c r="BK358" s="444"/>
      <c r="BL358" s="764"/>
      <c r="BM358" s="444"/>
      <c r="BN358" s="764"/>
      <c r="BO358" s="444"/>
      <c r="BP358" s="764"/>
      <c r="BQ358" s="444"/>
      <c r="BR358" s="764"/>
      <c r="BS358" s="444">
        <f>INPUT!BB398</f>
        <v>1354.1999999999998</v>
      </c>
      <c r="BT358" s="764" t="str">
        <f>INPUT!BC398</f>
        <v>NA</v>
      </c>
      <c r="BU358" s="444">
        <f>INPUT!BD398</f>
        <v>1370.8</v>
      </c>
      <c r="BV358" s="764">
        <f>INPUT!BE398</f>
        <v>1.2258159799143584</v>
      </c>
      <c r="BW358" s="444">
        <f>INPUT!BF398</f>
        <v>1363.6000000000001</v>
      </c>
      <c r="BX358" s="764">
        <f>INPUT!BG398</f>
        <v>-0.52524073533702165</v>
      </c>
      <c r="BY358" s="444">
        <f>INPUT!BH398</f>
        <v>1515.8000000000002</v>
      </c>
      <c r="BZ358" s="764">
        <f>INPUT!BI398</f>
        <v>11.161630976826046</v>
      </c>
      <c r="CA358" s="444">
        <f>INPUT!BJ398</f>
        <v>1601.8</v>
      </c>
      <c r="CB358" s="764">
        <f>INPUT!BK398</f>
        <v>5.673571711307531</v>
      </c>
      <c r="CC358" s="444">
        <f>INPUT!BL398</f>
        <v>1614.7070144799175</v>
      </c>
      <c r="CD358" s="764">
        <f>INPUT!BM398</f>
        <v>0.80578190035693353</v>
      </c>
      <c r="CE358" s="444">
        <f>INPUT!BN398</f>
        <v>1677.442985924238</v>
      </c>
      <c r="CF358" s="764">
        <f>INPUT!BO398</f>
        <v>3.8852851249009603</v>
      </c>
      <c r="CG358" s="444">
        <f>INPUT!BP398</f>
        <v>1750.3199098620228</v>
      </c>
      <c r="CH358" s="764">
        <f>INPUT!BQ398</f>
        <v>4.3445246455056719</v>
      </c>
      <c r="CI358" s="444">
        <f>INPUT!BR398</f>
        <v>1824.3396213770691</v>
      </c>
      <c r="CJ358" s="764">
        <f>INPUT!BS398</f>
        <v>4.2289247295873622</v>
      </c>
      <c r="CK358" s="444">
        <f>INPUT!BT398</f>
        <v>1901.4803979575402</v>
      </c>
      <c r="CL358" s="764">
        <f>INPUT!BU398</f>
        <v>4.2284219273954591</v>
      </c>
      <c r="CM358" s="763">
        <f>INPUT!BV398</f>
        <v>3.4896010310815573</v>
      </c>
    </row>
    <row r="359" spans="1:91" ht="12" hidden="1" customHeight="1" outlineLevel="1" x14ac:dyDescent="0.2">
      <c r="A359" s="420"/>
      <c r="B359" s="433"/>
      <c r="C359" s="434"/>
      <c r="D359" s="433"/>
      <c r="E359" s="435"/>
      <c r="F359" s="433"/>
      <c r="G359" s="435"/>
      <c r="H359" s="433"/>
      <c r="I359" s="435"/>
      <c r="J359" s="433"/>
      <c r="K359" s="435"/>
      <c r="L359" s="433"/>
      <c r="M359" s="435"/>
      <c r="N359" s="433"/>
      <c r="O359" s="435"/>
      <c r="P359" s="433"/>
      <c r="Q359" s="435"/>
      <c r="R359" s="433"/>
      <c r="S359" s="435"/>
      <c r="T359" s="433"/>
      <c r="U359" s="435"/>
      <c r="V359" s="433"/>
      <c r="W359" s="435"/>
      <c r="X359" s="433"/>
      <c r="Y359" s="435"/>
      <c r="Z359" s="433"/>
      <c r="AA359" s="435"/>
      <c r="AB359" s="433"/>
      <c r="AC359" s="435"/>
      <c r="AD359" s="433"/>
      <c r="AE359" s="435"/>
      <c r="AF359" s="433"/>
      <c r="AG359" s="435"/>
      <c r="AH359" s="433"/>
      <c r="AI359" s="435"/>
      <c r="AJ359" s="433"/>
      <c r="AK359" s="435"/>
      <c r="AL359" s="433"/>
      <c r="AM359" s="435"/>
      <c r="AN359" s="433"/>
      <c r="AO359" s="435"/>
      <c r="AP359" s="433"/>
      <c r="AQ359" s="435"/>
      <c r="AR359" s="433"/>
      <c r="AS359" s="435"/>
      <c r="AT359" s="433"/>
      <c r="AU359" s="435"/>
      <c r="AV359" s="433"/>
      <c r="AW359" s="435"/>
      <c r="AX359" s="397"/>
      <c r="AY359" s="433"/>
      <c r="AZ359" s="434"/>
      <c r="BA359" s="433"/>
      <c r="BB359" s="434"/>
      <c r="BC359" s="433"/>
      <c r="BD359" s="434"/>
      <c r="BE359" s="433"/>
      <c r="BF359" s="435"/>
      <c r="BG359" s="433"/>
      <c r="BH359" s="435"/>
      <c r="BI359" s="433"/>
      <c r="BJ359" s="435"/>
      <c r="BK359" s="433"/>
      <c r="BL359" s="435"/>
      <c r="BM359" s="433"/>
      <c r="BN359" s="435"/>
      <c r="BO359" s="433"/>
      <c r="BP359" s="435"/>
      <c r="BQ359" s="433"/>
      <c r="BR359" s="435"/>
      <c r="BS359" s="433"/>
      <c r="BT359" s="435"/>
      <c r="BU359" s="433"/>
      <c r="BV359" s="435"/>
      <c r="BW359" s="433"/>
      <c r="BX359" s="435"/>
      <c r="BY359" s="433"/>
      <c r="BZ359" s="435"/>
      <c r="CA359" s="433"/>
      <c r="CB359" s="435"/>
      <c r="CC359" s="433"/>
      <c r="CD359" s="435"/>
      <c r="CE359" s="433"/>
      <c r="CF359" s="435"/>
      <c r="CG359" s="433"/>
      <c r="CH359" s="435"/>
      <c r="CI359" s="433"/>
      <c r="CJ359" s="435"/>
      <c r="CK359" s="433"/>
      <c r="CL359" s="435"/>
      <c r="CM359" s="424"/>
    </row>
    <row r="360" spans="1:91" ht="12" hidden="1" customHeight="1" outlineLevel="1" x14ac:dyDescent="0.2">
      <c r="A360" s="420" t="str">
        <f>+INPUT!B407</f>
        <v>Operating Earnings before Tax</v>
      </c>
      <c r="B360" s="425">
        <f>INPUT!C407</f>
        <v>19.900000000000034</v>
      </c>
      <c r="C360" s="424" t="str">
        <f>INPUT!D407</f>
        <v>NA</v>
      </c>
      <c r="D360" s="425">
        <f>INPUT!E407</f>
        <v>30.199999999999989</v>
      </c>
      <c r="E360" s="382" t="str">
        <f>INPUT!F407</f>
        <v>NA</v>
      </c>
      <c r="F360" s="425">
        <f>INPUT!G407</f>
        <v>31.500000000000057</v>
      </c>
      <c r="G360" s="382" t="str">
        <f>INPUT!H407</f>
        <v>NA</v>
      </c>
      <c r="H360" s="425">
        <f>INPUT!I407</f>
        <v>47.199999999999989</v>
      </c>
      <c r="I360" s="382" t="str">
        <f>INPUT!J407</f>
        <v>NA</v>
      </c>
      <c r="J360" s="425">
        <f>INPUT!K407</f>
        <v>21.800000000000011</v>
      </c>
      <c r="K360" s="382">
        <f>INPUT!L407</f>
        <v>9.5477386934672097</v>
      </c>
      <c r="L360" s="425">
        <f>INPUT!M407</f>
        <v>27.599999999999966</v>
      </c>
      <c r="M360" s="382">
        <f>INPUT!N407</f>
        <v>-8.6092715231788901</v>
      </c>
      <c r="N360" s="425">
        <f>INPUT!O407</f>
        <v>76.499999999999943</v>
      </c>
      <c r="O360" s="382" t="str">
        <f>INPUT!P407</f>
        <v>NM</v>
      </c>
      <c r="P360" s="425">
        <f>INPUT!Q407</f>
        <v>39.000000000000057</v>
      </c>
      <c r="Q360" s="382">
        <f>INPUT!R407</f>
        <v>-17.372881355932066</v>
      </c>
      <c r="R360" s="425">
        <f>INPUT!S407</f>
        <v>35.100000000000023</v>
      </c>
      <c r="S360" s="382">
        <f>INPUT!T407</f>
        <v>61.009174311926643</v>
      </c>
      <c r="T360" s="425">
        <f>INPUT!U407</f>
        <v>36.699999999999989</v>
      </c>
      <c r="U360" s="382">
        <f>INPUT!V407</f>
        <v>32.971014492753739</v>
      </c>
      <c r="V360" s="425">
        <f>INPUT!W407</f>
        <v>107.5</v>
      </c>
      <c r="W360" s="382">
        <f>INPUT!X407</f>
        <v>40.522875816993576</v>
      </c>
      <c r="X360" s="425">
        <f>INPUT!Y407</f>
        <v>29.800000000000011</v>
      </c>
      <c r="Y360" s="382">
        <f>INPUT!Z407</f>
        <v>-23.589743589743676</v>
      </c>
      <c r="Z360" s="425">
        <f>INPUT!AA407</f>
        <v>41.899999999999977</v>
      </c>
      <c r="AA360" s="382">
        <f>INPUT!AB407</f>
        <v>19.373219373219229</v>
      </c>
      <c r="AB360" s="425">
        <f>INPUT!AC407</f>
        <v>37.099999999999966</v>
      </c>
      <c r="AC360" s="382">
        <f>INPUT!AD407</f>
        <v>1.0899182561307157</v>
      </c>
      <c r="AD360" s="425">
        <f>INPUT!AE407</f>
        <v>-3.6999999999999318</v>
      </c>
      <c r="AE360" s="382" t="str">
        <f>INPUT!AF407</f>
        <v>NM</v>
      </c>
      <c r="AF360" s="425">
        <f>INPUT!AG407</f>
        <v>35</v>
      </c>
      <c r="AG360" s="382">
        <f>INPUT!AH407</f>
        <v>17.449664429530159</v>
      </c>
      <c r="AH360" s="425">
        <f>INPUT!AI407</f>
        <v>40.699999999999989</v>
      </c>
      <c r="AI360" s="382">
        <f>INPUT!AJ407</f>
        <v>-2.863961813842451</v>
      </c>
      <c r="AJ360" s="425">
        <f>INPUT!AK407</f>
        <v>40.800000000000011</v>
      </c>
      <c r="AK360" s="382">
        <f>INPUT!AL407</f>
        <v>9.9730458221025629</v>
      </c>
      <c r="AL360" s="425">
        <f>INPUT!AM407</f>
        <v>-0.60000000000002274</v>
      </c>
      <c r="AM360" s="382" t="str">
        <f>INPUT!AN407</f>
        <v>NM</v>
      </c>
      <c r="AN360" s="425">
        <f>INPUT!AO407</f>
        <v>48.300000000000011</v>
      </c>
      <c r="AO360" s="382">
        <f>INPUT!AP407</f>
        <v>38.000000000000028</v>
      </c>
      <c r="AP360" s="425">
        <f>INPUT!AQ407</f>
        <v>37.100329999999985</v>
      </c>
      <c r="AQ360" s="382">
        <f>INPUT!AR407</f>
        <v>-8.8443980343980542</v>
      </c>
      <c r="AR360" s="425">
        <f>INPUT!AS407</f>
        <v>39.686480450000033</v>
      </c>
      <c r="AS360" s="382">
        <f>INPUT!AT407</f>
        <v>-2.7292145833332881</v>
      </c>
      <c r="AT360" s="425">
        <f>INPUT!AU407</f>
        <v>43.439293186750035</v>
      </c>
      <c r="AU360" s="382" t="str">
        <f>INPUT!AV407</f>
        <v>NM</v>
      </c>
      <c r="AV360" s="425">
        <f>INPUT!AW407</f>
        <v>46.13335772633252</v>
      </c>
      <c r="AW360" s="382">
        <f>INPUT!AX407</f>
        <v>-4.4858018088353901</v>
      </c>
      <c r="AX360" s="397"/>
      <c r="AY360" s="425"/>
      <c r="AZ360" s="424"/>
      <c r="BA360" s="425"/>
      <c r="BB360" s="424"/>
      <c r="BC360" s="425"/>
      <c r="BD360" s="424"/>
      <c r="BE360" s="425"/>
      <c r="BF360" s="382"/>
      <c r="BG360" s="425"/>
      <c r="BH360" s="382"/>
      <c r="BI360" s="425"/>
      <c r="BJ360" s="382"/>
      <c r="BK360" s="425"/>
      <c r="BL360" s="382"/>
      <c r="BM360" s="425"/>
      <c r="BN360" s="382"/>
      <c r="BO360" s="425"/>
      <c r="BP360" s="382"/>
      <c r="BQ360" s="425"/>
      <c r="BR360" s="382"/>
      <c r="BS360" s="425">
        <f>INPUT!BB407</f>
        <v>128.80000000000018</v>
      </c>
      <c r="BT360" s="382" t="str">
        <f>INPUT!BC407</f>
        <v>NA</v>
      </c>
      <c r="BU360" s="425">
        <f>INPUT!BD407</f>
        <v>164.90000000000009</v>
      </c>
      <c r="BV360" s="382">
        <f>INPUT!BE407</f>
        <v>28.027950310558879</v>
      </c>
      <c r="BW360" s="425">
        <f>INPUT!BF407</f>
        <v>209.09999999999968</v>
      </c>
      <c r="BX360" s="382">
        <f>INPUT!BG407</f>
        <v>26.80412371133994</v>
      </c>
      <c r="BY360" s="425">
        <f>INPUT!BH407</f>
        <v>110.29999999999973</v>
      </c>
      <c r="BZ360" s="382">
        <f>INPUT!BI407</f>
        <v>-47.250119560019179</v>
      </c>
      <c r="CA360" s="425">
        <f>INPUT!BJ407</f>
        <v>129.20000000000005</v>
      </c>
      <c r="CB360" s="382">
        <f>INPUT!BK407</f>
        <v>17.135086128740127</v>
      </c>
      <c r="CC360" s="425">
        <f>INPUT!BL407</f>
        <v>166.35946136308257</v>
      </c>
      <c r="CD360" s="382">
        <f>INPUT!BM407</f>
        <v>28.761193005481829</v>
      </c>
      <c r="CE360" s="425">
        <f>INPUT!BN407</f>
        <v>174.86614895248226</v>
      </c>
      <c r="CF360" s="382">
        <f>INPUT!BO407</f>
        <v>5.1134378049191298</v>
      </c>
      <c r="CG360" s="425">
        <f>INPUT!BP407</f>
        <v>176.08159040976625</v>
      </c>
      <c r="CH360" s="382">
        <f>INPUT!BQ407</f>
        <v>0.69506960870640455</v>
      </c>
      <c r="CI360" s="425">
        <f>INPUT!BR407</f>
        <v>179.1179389055917</v>
      </c>
      <c r="CJ360" s="382">
        <f>INPUT!BS407</f>
        <v>1.7243986090535941</v>
      </c>
      <c r="CK360" s="425">
        <f>INPUT!BT407</f>
        <v>182.11546473642716</v>
      </c>
      <c r="CL360" s="382">
        <f>INPUT!BU407</f>
        <v>1.6734928110217879</v>
      </c>
      <c r="CM360" s="424">
        <f>INPUT!BV407</f>
        <v>7.1067551999950407</v>
      </c>
    </row>
    <row r="361" spans="1:91" ht="12" hidden="1" customHeight="1" outlineLevel="1" x14ac:dyDescent="0.2">
      <c r="A361" s="420" t="s">
        <v>59</v>
      </c>
      <c r="B361" s="425">
        <f>INPUT!C412</f>
        <v>0</v>
      </c>
      <c r="C361" s="424" t="str">
        <f>INPUT!D412</f>
        <v>NA</v>
      </c>
      <c r="D361" s="425">
        <f>INPUT!E412</f>
        <v>0</v>
      </c>
      <c r="E361" s="382" t="str">
        <f>INPUT!F412</f>
        <v>NA</v>
      </c>
      <c r="F361" s="425">
        <f>INPUT!G412</f>
        <v>0</v>
      </c>
      <c r="G361" s="382" t="str">
        <f>INPUT!H412</f>
        <v>NA</v>
      </c>
      <c r="H361" s="425">
        <f>INPUT!I412</f>
        <v>4.615384615384615</v>
      </c>
      <c r="I361" s="382" t="str">
        <f>INPUT!J412</f>
        <v>NA</v>
      </c>
      <c r="J361" s="425">
        <f>INPUT!K412</f>
        <v>0</v>
      </c>
      <c r="K361" s="382" t="str">
        <f>INPUT!L412</f>
        <v>NA</v>
      </c>
      <c r="L361" s="425">
        <f>INPUT!M412</f>
        <v>0</v>
      </c>
      <c r="M361" s="382" t="str">
        <f>INPUT!N412</f>
        <v>NA</v>
      </c>
      <c r="N361" s="425">
        <f>INPUT!O412</f>
        <v>60</v>
      </c>
      <c r="O361" s="382" t="str">
        <f>INPUT!P412</f>
        <v>NA</v>
      </c>
      <c r="P361" s="425">
        <f>INPUT!Q412</f>
        <v>0</v>
      </c>
      <c r="Q361" s="382" t="str">
        <f>INPUT!R412</f>
        <v>NM</v>
      </c>
      <c r="R361" s="425">
        <f>INPUT!S412</f>
        <v>0</v>
      </c>
      <c r="S361" s="382" t="str">
        <f>INPUT!T412</f>
        <v>NA</v>
      </c>
      <c r="T361" s="425">
        <f>INPUT!U412</f>
        <v>0</v>
      </c>
      <c r="U361" s="382" t="str">
        <f>INPUT!V412</f>
        <v>NA</v>
      </c>
      <c r="V361" s="425">
        <f>INPUT!W412</f>
        <v>65.230769230769226</v>
      </c>
      <c r="W361" s="382">
        <f>INPUT!X412</f>
        <v>8.7179487179487154</v>
      </c>
      <c r="X361" s="425">
        <f>INPUT!Y412</f>
        <v>0</v>
      </c>
      <c r="Y361" s="382" t="str">
        <f>INPUT!Z412</f>
        <v>NA</v>
      </c>
      <c r="Z361" s="425">
        <f>INPUT!AA412</f>
        <v>0</v>
      </c>
      <c r="AA361" s="382" t="str">
        <f>INPUT!AB412</f>
        <v>NA</v>
      </c>
      <c r="AB361" s="425">
        <f>INPUT!AC412</f>
        <v>0</v>
      </c>
      <c r="AC361" s="382" t="str">
        <f>INPUT!AD412</f>
        <v>NA</v>
      </c>
      <c r="AD361" s="425">
        <f>INPUT!AE412</f>
        <v>-43.2</v>
      </c>
      <c r="AE361" s="382" t="str">
        <f>INPUT!AF412</f>
        <v>NM</v>
      </c>
      <c r="AF361" s="425">
        <f>INPUT!AG412</f>
        <v>0</v>
      </c>
      <c r="AG361" s="382" t="str">
        <f>INPUT!AH412</f>
        <v>NA</v>
      </c>
      <c r="AH361" s="425">
        <f>INPUT!AI412</f>
        <v>0</v>
      </c>
      <c r="AI361" s="382" t="str">
        <f>INPUT!AJ412</f>
        <v>NA</v>
      </c>
      <c r="AJ361" s="425">
        <f>INPUT!AK412</f>
        <v>3</v>
      </c>
      <c r="AK361" s="382" t="str">
        <f>INPUT!AL412</f>
        <v>NA</v>
      </c>
      <c r="AL361" s="425">
        <f>INPUT!AM412</f>
        <v>-47</v>
      </c>
      <c r="AM361" s="382">
        <f>INPUT!AN412</f>
        <v>8.7962962962962763</v>
      </c>
      <c r="AN361" s="425">
        <f>INPUT!AO412</f>
        <v>0</v>
      </c>
      <c r="AO361" s="382" t="str">
        <f>INPUT!AP412</f>
        <v>NA</v>
      </c>
      <c r="AP361" s="425">
        <f>INPUT!AQ412</f>
        <v>0</v>
      </c>
      <c r="AQ361" s="382" t="str">
        <f>INPUT!AR412</f>
        <v>NA</v>
      </c>
      <c r="AR361" s="425">
        <f>INPUT!AS412</f>
        <v>0</v>
      </c>
      <c r="AS361" s="382" t="str">
        <f>INPUT!AT412</f>
        <v>NM</v>
      </c>
      <c r="AT361" s="425">
        <f>INPUT!AU412</f>
        <v>0</v>
      </c>
      <c r="AU361" s="382" t="str">
        <f>INPUT!AV412</f>
        <v>NM</v>
      </c>
      <c r="AV361" s="425">
        <f>INPUT!AW412</f>
        <v>0</v>
      </c>
      <c r="AW361" s="382" t="str">
        <f>INPUT!AX412</f>
        <v>NA</v>
      </c>
      <c r="AX361" s="397"/>
      <c r="AY361" s="425"/>
      <c r="AZ361" s="424"/>
      <c r="BA361" s="425"/>
      <c r="BB361" s="424"/>
      <c r="BC361" s="425"/>
      <c r="BD361" s="424"/>
      <c r="BE361" s="425"/>
      <c r="BF361" s="382"/>
      <c r="BG361" s="425"/>
      <c r="BH361" s="382"/>
      <c r="BI361" s="425"/>
      <c r="BJ361" s="382"/>
      <c r="BK361" s="425"/>
      <c r="BL361" s="382"/>
      <c r="BM361" s="425"/>
      <c r="BN361" s="382"/>
      <c r="BO361" s="425"/>
      <c r="BP361" s="382"/>
      <c r="BQ361" s="425"/>
      <c r="BR361" s="382"/>
      <c r="BS361" s="425">
        <f>INPUT!BB412</f>
        <v>4.615384615384615</v>
      </c>
      <c r="BT361" s="382" t="str">
        <f>INPUT!BC412</f>
        <v>NA</v>
      </c>
      <c r="BU361" s="425">
        <f>INPUT!BD412</f>
        <v>60</v>
      </c>
      <c r="BV361" s="382" t="str">
        <f>INPUT!BE412</f>
        <v>NM</v>
      </c>
      <c r="BW361" s="425">
        <f>INPUT!BF412</f>
        <v>65.230769230769226</v>
      </c>
      <c r="BX361" s="382">
        <f>INPUT!BG412</f>
        <v>8.7179487179487154</v>
      </c>
      <c r="BY361" s="425">
        <f>INPUT!BH412</f>
        <v>-43.2</v>
      </c>
      <c r="BZ361" s="382" t="str">
        <f>INPUT!BI412</f>
        <v>NM</v>
      </c>
      <c r="CA361" s="425">
        <f>INPUT!BJ412</f>
        <v>-44</v>
      </c>
      <c r="CB361" s="382">
        <f>INPUT!BK412</f>
        <v>1.8518518518518334</v>
      </c>
      <c r="CC361" s="425">
        <f>INPUT!BL412</f>
        <v>0</v>
      </c>
      <c r="CD361" s="382" t="str">
        <f>INPUT!BM412</f>
        <v>NM</v>
      </c>
      <c r="CE361" s="425">
        <f>INPUT!BN412</f>
        <v>0</v>
      </c>
      <c r="CF361" s="382" t="str">
        <f>INPUT!BO412</f>
        <v>NA</v>
      </c>
      <c r="CG361" s="425">
        <f>INPUT!BP412</f>
        <v>0</v>
      </c>
      <c r="CH361" s="382" t="str">
        <f>INPUT!BQ412</f>
        <v>NA</v>
      </c>
      <c r="CI361" s="425">
        <f>INPUT!BR412</f>
        <v>0</v>
      </c>
      <c r="CJ361" s="382" t="str">
        <f>INPUT!BS412</f>
        <v>NA</v>
      </c>
      <c r="CK361" s="425">
        <f>INPUT!BT412</f>
        <v>0</v>
      </c>
      <c r="CL361" s="382" t="str">
        <f>INPUT!BU412</f>
        <v>NA</v>
      </c>
      <c r="CM361" s="424" t="str">
        <f>INPUT!BV412</f>
        <v>NM</v>
      </c>
    </row>
    <row r="362" spans="1:91" ht="12" hidden="1" customHeight="1" outlineLevel="1" x14ac:dyDescent="0.2">
      <c r="A362" s="437" t="s">
        <v>466</v>
      </c>
      <c r="B362" s="438">
        <f>INPUT!C414</f>
        <v>19.900000000000034</v>
      </c>
      <c r="C362" s="439" t="str">
        <f>INPUT!D414</f>
        <v>NA</v>
      </c>
      <c r="D362" s="438">
        <f>INPUT!E414</f>
        <v>30.199999999999989</v>
      </c>
      <c r="E362" s="440" t="str">
        <f>INPUT!F414</f>
        <v>NA</v>
      </c>
      <c r="F362" s="438">
        <f>INPUT!G414</f>
        <v>31.500000000000057</v>
      </c>
      <c r="G362" s="440" t="str">
        <f>INPUT!H414</f>
        <v>NA</v>
      </c>
      <c r="H362" s="438">
        <f>INPUT!I414</f>
        <v>42.584615384615375</v>
      </c>
      <c r="I362" s="440" t="str">
        <f>INPUT!J414</f>
        <v>NA</v>
      </c>
      <c r="J362" s="438">
        <f>INPUT!K414</f>
        <v>21.800000000000011</v>
      </c>
      <c r="K362" s="440">
        <f>INPUT!L414</f>
        <v>9.5477386934672097</v>
      </c>
      <c r="L362" s="438">
        <f>INPUT!M414</f>
        <v>27.599999999999966</v>
      </c>
      <c r="M362" s="440">
        <f>INPUT!N414</f>
        <v>-8.6092715231788901</v>
      </c>
      <c r="N362" s="438">
        <f>INPUT!O414</f>
        <v>16.499999999999943</v>
      </c>
      <c r="O362" s="440">
        <f>INPUT!P414</f>
        <v>-47.61904761904789</v>
      </c>
      <c r="P362" s="438">
        <f>INPUT!Q414</f>
        <v>39.000000000000057</v>
      </c>
      <c r="Q362" s="440">
        <f>INPUT!R414</f>
        <v>-8.4176300578033221</v>
      </c>
      <c r="R362" s="438">
        <f>INPUT!S414</f>
        <v>35.100000000000023</v>
      </c>
      <c r="S362" s="440">
        <f>INPUT!T414</f>
        <v>61.009174311926643</v>
      </c>
      <c r="T362" s="438">
        <f>INPUT!U414</f>
        <v>36.699999999999989</v>
      </c>
      <c r="U362" s="440">
        <f>INPUT!V414</f>
        <v>32.971014492753739</v>
      </c>
      <c r="V362" s="438">
        <f>INPUT!W414</f>
        <v>42.269230769230774</v>
      </c>
      <c r="W362" s="440" t="str">
        <f>INPUT!X414</f>
        <v>NM</v>
      </c>
      <c r="X362" s="438">
        <f>INPUT!Y414</f>
        <v>29.800000000000011</v>
      </c>
      <c r="Y362" s="440">
        <f>INPUT!Z414</f>
        <v>-23.589743589743676</v>
      </c>
      <c r="Z362" s="438">
        <f>INPUT!AA414</f>
        <v>41.899999999999977</v>
      </c>
      <c r="AA362" s="440">
        <f>INPUT!AB414</f>
        <v>19.373219373219229</v>
      </c>
      <c r="AB362" s="438">
        <f>INPUT!AC414</f>
        <v>37.099999999999966</v>
      </c>
      <c r="AC362" s="440">
        <f>INPUT!AD414</f>
        <v>1.0899182561307157</v>
      </c>
      <c r="AD362" s="438">
        <f>INPUT!AE414</f>
        <v>39.500000000000071</v>
      </c>
      <c r="AE362" s="440">
        <f>INPUT!AF414</f>
        <v>-6.5514103730662754</v>
      </c>
      <c r="AF362" s="438">
        <f>INPUT!AG414</f>
        <v>35</v>
      </c>
      <c r="AG362" s="440">
        <f>INPUT!AH414</f>
        <v>17.449664429530159</v>
      </c>
      <c r="AH362" s="438">
        <f>INPUT!AI414</f>
        <v>40.699999999999989</v>
      </c>
      <c r="AI362" s="440">
        <f>INPUT!AJ414</f>
        <v>-2.863961813842451</v>
      </c>
      <c r="AJ362" s="438">
        <f>INPUT!AK414</f>
        <v>37.800000000000011</v>
      </c>
      <c r="AK362" s="440">
        <f>INPUT!AL414</f>
        <v>1.8867924528303206</v>
      </c>
      <c r="AL362" s="438">
        <f>INPUT!AM414</f>
        <v>46.399999999999977</v>
      </c>
      <c r="AM362" s="440">
        <f>INPUT!AN414</f>
        <v>17.468354430379492</v>
      </c>
      <c r="AN362" s="438">
        <f>INPUT!AO414</f>
        <v>48.300000000000011</v>
      </c>
      <c r="AO362" s="440">
        <f>INPUT!AP414</f>
        <v>38.000000000000028</v>
      </c>
      <c r="AP362" s="438">
        <f>INPUT!AQ414</f>
        <v>37.100329999999985</v>
      </c>
      <c r="AQ362" s="440">
        <f>INPUT!AR414</f>
        <v>-8.8443980343980542</v>
      </c>
      <c r="AR362" s="438">
        <f>INPUT!AS414</f>
        <v>39.686480450000033</v>
      </c>
      <c r="AS362" s="440">
        <f>INPUT!AT414</f>
        <v>4.9906890211640871</v>
      </c>
      <c r="AT362" s="438">
        <f>INPUT!AU414</f>
        <v>43.439293186750035</v>
      </c>
      <c r="AU362" s="440">
        <f>INPUT!AV414</f>
        <v>-6.3808336492455595</v>
      </c>
      <c r="AV362" s="438">
        <f>INPUT!AW414</f>
        <v>46.13335772633252</v>
      </c>
      <c r="AW362" s="440">
        <f>INPUT!AX414</f>
        <v>-4.4858018088353901</v>
      </c>
      <c r="AX362" s="456"/>
      <c r="AY362" s="438"/>
      <c r="AZ362" s="439"/>
      <c r="BA362" s="438"/>
      <c r="BB362" s="439"/>
      <c r="BC362" s="438"/>
      <c r="BD362" s="439"/>
      <c r="BE362" s="438"/>
      <c r="BF362" s="440"/>
      <c r="BG362" s="438"/>
      <c r="BH362" s="440"/>
      <c r="BI362" s="438"/>
      <c r="BJ362" s="440"/>
      <c r="BK362" s="438"/>
      <c r="BL362" s="440"/>
      <c r="BM362" s="438"/>
      <c r="BN362" s="440"/>
      <c r="BO362" s="438"/>
      <c r="BP362" s="440"/>
      <c r="BQ362" s="438"/>
      <c r="BR362" s="440"/>
      <c r="BS362" s="438">
        <f>INPUT!BB414</f>
        <v>124.18461538461557</v>
      </c>
      <c r="BT362" s="440" t="str">
        <f>INPUT!BC414</f>
        <v>NA</v>
      </c>
      <c r="BU362" s="438">
        <f>INPUT!BD414</f>
        <v>104.90000000000009</v>
      </c>
      <c r="BV362" s="440">
        <f>INPUT!BE414</f>
        <v>-15.528989098116995</v>
      </c>
      <c r="BW362" s="438">
        <f>INPUT!BF414</f>
        <v>143.86923076923046</v>
      </c>
      <c r="BX362" s="440">
        <f>INPUT!BG414</f>
        <v>37.1489330497906</v>
      </c>
      <c r="BY362" s="438">
        <f>INPUT!BH414</f>
        <v>153.49999999999972</v>
      </c>
      <c r="BZ362" s="440">
        <f>INPUT!BI414</f>
        <v>6.6941132438646633</v>
      </c>
      <c r="CA362" s="438">
        <f>INPUT!BJ414</f>
        <v>173.20000000000005</v>
      </c>
      <c r="CB362" s="440">
        <f>INPUT!BK414</f>
        <v>12.833876221498613</v>
      </c>
      <c r="CC362" s="438">
        <f>INPUT!BL414</f>
        <v>166.35946136308257</v>
      </c>
      <c r="CD362" s="440">
        <f>INPUT!BM414</f>
        <v>-3.9495026772040802</v>
      </c>
      <c r="CE362" s="438">
        <f>INPUT!BN414</f>
        <v>174.86614895248226</v>
      </c>
      <c r="CF362" s="440">
        <f>INPUT!BO414</f>
        <v>5.1134378049191298</v>
      </c>
      <c r="CG362" s="438">
        <f>INPUT!BP414</f>
        <v>176.08159040976625</v>
      </c>
      <c r="CH362" s="440">
        <f>INPUT!BQ414</f>
        <v>0.69506960870640455</v>
      </c>
      <c r="CI362" s="438">
        <f>INPUT!BR414</f>
        <v>179.1179389055917</v>
      </c>
      <c r="CJ362" s="440">
        <f>INPUT!BS414</f>
        <v>1.7243986090535941</v>
      </c>
      <c r="CK362" s="438">
        <f>INPUT!BT414</f>
        <v>182.11546473642716</v>
      </c>
      <c r="CL362" s="440">
        <f>INPUT!BU414</f>
        <v>1.6734928110217879</v>
      </c>
      <c r="CM362" s="439">
        <f>INPUT!BV414</f>
        <v>1.0089339895567484</v>
      </c>
    </row>
    <row r="363" spans="1:91" ht="12" hidden="1" customHeight="1" outlineLevel="2" x14ac:dyDescent="0.2">
      <c r="A363" s="405" t="s">
        <v>167</v>
      </c>
      <c r="B363" s="441">
        <f>(B349+B350-B354-B355-B356-B357-B361)-B362</f>
        <v>0</v>
      </c>
      <c r="C363" s="442"/>
      <c r="D363" s="441">
        <f t="shared" ref="D363" si="177">(D349+D350-D354-D355-D356-D357-D361)-D362</f>
        <v>0</v>
      </c>
      <c r="E363" s="442"/>
      <c r="F363" s="441">
        <f t="shared" ref="F363" si="178">(F349+F350-F354-F355-F356-F357-F361)-F362</f>
        <v>0</v>
      </c>
      <c r="G363" s="442"/>
      <c r="H363" s="441">
        <f t="shared" ref="H363" si="179">(H349+H350-H354-H355-H356-H357-H361)-H362</f>
        <v>0</v>
      </c>
      <c r="I363" s="442"/>
      <c r="J363" s="441">
        <f t="shared" ref="J363" si="180">(J349+J350-J354-J355-J356-J357-J361)-J362</f>
        <v>-2.8421709430404007E-14</v>
      </c>
      <c r="K363" s="442"/>
      <c r="L363" s="441">
        <f t="shared" ref="L363" si="181">(L349+L350-L354-L355-L356-L357-L361)-L362</f>
        <v>2.8421709430404007E-14</v>
      </c>
      <c r="M363" s="442"/>
      <c r="N363" s="441">
        <f t="shared" ref="N363" si="182">(N349+N350-N354-N355-N356-N357-N361)-N362</f>
        <v>4.2632564145606011E-14</v>
      </c>
      <c r="O363" s="442"/>
      <c r="P363" s="441">
        <f t="shared" ref="P363" si="183">(P349+P350-P354-P355-P356-P357-P361)-P362</f>
        <v>0</v>
      </c>
      <c r="Q363" s="442"/>
      <c r="R363" s="441">
        <f t="shared" ref="R363" si="184">(R349+R350-R354-R355-R356-R357-R361)-R362</f>
        <v>-7.1054273576010019E-14</v>
      </c>
      <c r="S363" s="442"/>
      <c r="T363" s="441">
        <f t="shared" ref="T363" si="185">(T349+T350-T354-T355-T356-T357-T361)-T362</f>
        <v>0</v>
      </c>
      <c r="U363" s="442"/>
      <c r="V363" s="441">
        <f t="shared" ref="V363" si="186">(V349+V350-V354-V355-V356-V357-V361)-V362</f>
        <v>0</v>
      </c>
      <c r="W363" s="442"/>
      <c r="X363" s="441">
        <f t="shared" ref="X363" si="187">(X349+X350-X354-X355-X356-X357-X361)-X362</f>
        <v>2.8421709430404007E-14</v>
      </c>
      <c r="Y363" s="442"/>
      <c r="Z363" s="441">
        <f t="shared" ref="Z363" si="188">(Z349+Z350-Z354-Z355-Z356-Z357-Z361)-Z362</f>
        <v>0</v>
      </c>
      <c r="AA363" s="442"/>
      <c r="AB363" s="441">
        <f t="shared" ref="AB363" si="189">(AB349+AB350-AB354-AB355-AB356-AB357-AB361)-AB362</f>
        <v>0</v>
      </c>
      <c r="AC363" s="442"/>
      <c r="AD363" s="441">
        <f t="shared" ref="AD363" si="190">(AD349+AD350-AD354-AD355-AD356-AD357-AD361)-AD362</f>
        <v>-5.6843418860808015E-14</v>
      </c>
      <c r="AE363" s="442"/>
      <c r="AF363" s="441">
        <f t="shared" ref="AF363:AN363" si="191">(AF349+AF350-AF354-AF355-AF356-AF357-AF361)-AF362</f>
        <v>0</v>
      </c>
      <c r="AG363" s="442"/>
      <c r="AH363" s="441">
        <f t="shared" si="191"/>
        <v>0</v>
      </c>
      <c r="AI363" s="442"/>
      <c r="AJ363" s="441">
        <f t="shared" si="191"/>
        <v>0</v>
      </c>
      <c r="AK363" s="442"/>
      <c r="AL363" s="441">
        <f t="shared" si="191"/>
        <v>0</v>
      </c>
      <c r="AM363" s="442"/>
      <c r="AN363" s="441">
        <f t="shared" si="191"/>
        <v>0</v>
      </c>
      <c r="AO363" s="442"/>
      <c r="AP363" s="441">
        <f t="shared" ref="AP363" si="192">(AP349+AP350-AP354-AP355-AP356-AP357-AP361)-AP362</f>
        <v>0</v>
      </c>
      <c r="AQ363" s="442"/>
      <c r="AR363" s="441">
        <f t="shared" ref="AR363" si="193">(AR349+AR350-AR354-AR355-AR356-AR357-AR361)-AR362</f>
        <v>0</v>
      </c>
      <c r="AS363" s="442"/>
      <c r="AT363" s="441">
        <f t="shared" ref="AT363" si="194">(AT349+AT350-AT354-AT355-AT356-AT357-AT361)-AT362</f>
        <v>0</v>
      </c>
      <c r="AU363" s="442"/>
      <c r="AV363" s="441">
        <f t="shared" ref="AV363" si="195">(AV349+AV350-AV354-AV355-AV356-AV357-AV361)-AV362</f>
        <v>0</v>
      </c>
      <c r="AW363" s="442"/>
      <c r="AX363" s="409"/>
      <c r="AY363" s="441"/>
      <c r="AZ363" s="442"/>
      <c r="BA363" s="441"/>
      <c r="BB363" s="442"/>
      <c r="BC363" s="441"/>
      <c r="BD363" s="442"/>
      <c r="BE363" s="441"/>
      <c r="BF363" s="442"/>
      <c r="BG363" s="441"/>
      <c r="BH363" s="442"/>
      <c r="BI363" s="441"/>
      <c r="BJ363" s="442"/>
      <c r="BK363" s="441"/>
      <c r="BL363" s="442"/>
      <c r="BM363" s="441"/>
      <c r="BN363" s="442"/>
      <c r="BO363" s="441"/>
      <c r="BP363" s="442"/>
      <c r="BQ363" s="441"/>
      <c r="BR363" s="442"/>
      <c r="BS363" s="441">
        <f>(BS349+BS350-BS354-BS355-BS356-BS357-BS361)-BS362</f>
        <v>0</v>
      </c>
      <c r="BT363" s="442"/>
      <c r="BU363" s="441">
        <f>(BU349+BU350-BU354-BU355-BU356-BU357-BU361)-BU362</f>
        <v>2.2737367544323206E-13</v>
      </c>
      <c r="BV363" s="442"/>
      <c r="BW363" s="441">
        <f>(BW349+BW350-BW354-BW355-BW356-BW357-BW361)-BW362</f>
        <v>0</v>
      </c>
      <c r="BX363" s="442"/>
      <c r="BY363" s="441">
        <f>(BY349+BY350-BY354-BY355-BY356-BY357-BY361)-BY362</f>
        <v>0</v>
      </c>
      <c r="BZ363" s="442"/>
      <c r="CA363" s="441">
        <f>(CA349+CA350-CA354-CA355-CA356-CA357-CA361)-CA362</f>
        <v>0</v>
      </c>
      <c r="CB363" s="442"/>
      <c r="CC363" s="441">
        <f>(CC349+CC350-CC354-CC355-CC356-CC357-CC361)-CC362</f>
        <v>0</v>
      </c>
      <c r="CD363" s="442"/>
      <c r="CE363" s="441">
        <f>(CE349+CE350-CE354-CE355-CE356-CE357-CE361)-CE362</f>
        <v>0</v>
      </c>
      <c r="CF363" s="442"/>
      <c r="CG363" s="441">
        <f>(CG349+CG350-CG354-CG355-CG356-CG357-CG361)-CG362</f>
        <v>0</v>
      </c>
      <c r="CH363" s="442"/>
      <c r="CI363" s="441">
        <f>(CI349+CI350-CI354-CI355-CI356-CI357-CI361)-CI362</f>
        <v>0</v>
      </c>
      <c r="CJ363" s="442"/>
      <c r="CK363" s="441">
        <f>(CK349+CK350-CK354-CK355-CK356-CK357-CK361)-CK362</f>
        <v>0</v>
      </c>
      <c r="CL363" s="442"/>
      <c r="CM363" s="442"/>
    </row>
    <row r="364" spans="1:91" ht="12" hidden="1" customHeight="1" outlineLevel="1" x14ac:dyDescent="0.2">
      <c r="A364" s="420"/>
      <c r="B364" s="425"/>
      <c r="C364" s="424"/>
      <c r="D364" s="425"/>
      <c r="E364" s="382"/>
      <c r="F364" s="425"/>
      <c r="G364" s="382"/>
      <c r="H364" s="425"/>
      <c r="I364" s="382"/>
      <c r="J364" s="425"/>
      <c r="K364" s="382"/>
      <c r="L364" s="425"/>
      <c r="M364" s="382"/>
      <c r="N364" s="425"/>
      <c r="O364" s="382"/>
      <c r="P364" s="425"/>
      <c r="Q364" s="382"/>
      <c r="R364" s="425"/>
      <c r="S364" s="382"/>
      <c r="T364" s="425"/>
      <c r="U364" s="382"/>
      <c r="V364" s="425"/>
      <c r="W364" s="382"/>
      <c r="X364" s="425"/>
      <c r="Y364" s="382"/>
      <c r="Z364" s="425"/>
      <c r="AA364" s="382"/>
      <c r="AB364" s="425"/>
      <c r="AC364" s="382"/>
      <c r="AD364" s="425"/>
      <c r="AE364" s="382"/>
      <c r="AF364" s="425"/>
      <c r="AG364" s="382"/>
      <c r="AH364" s="425"/>
      <c r="AI364" s="382"/>
      <c r="AJ364" s="425"/>
      <c r="AK364" s="382"/>
      <c r="AL364" s="425"/>
      <c r="AM364" s="382"/>
      <c r="AN364" s="425"/>
      <c r="AO364" s="382"/>
      <c r="AP364" s="425"/>
      <c r="AQ364" s="382"/>
      <c r="AR364" s="425"/>
      <c r="AS364" s="382"/>
      <c r="AT364" s="425"/>
      <c r="AU364" s="382"/>
      <c r="AV364" s="425"/>
      <c r="AW364" s="382"/>
      <c r="AX364" s="397"/>
      <c r="AY364" s="425"/>
      <c r="AZ364" s="424"/>
      <c r="BA364" s="425"/>
      <c r="BB364" s="424"/>
      <c r="BC364" s="425"/>
      <c r="BD364" s="424"/>
      <c r="BE364" s="425"/>
      <c r="BF364" s="382"/>
      <c r="BG364" s="425"/>
      <c r="BH364" s="382"/>
      <c r="BI364" s="425"/>
      <c r="BJ364" s="382"/>
      <c r="BK364" s="425"/>
      <c r="BL364" s="382"/>
      <c r="BM364" s="425"/>
      <c r="BN364" s="382"/>
      <c r="BO364" s="425"/>
      <c r="BP364" s="382"/>
      <c r="BQ364" s="425"/>
      <c r="BR364" s="382"/>
      <c r="BS364" s="425"/>
      <c r="BT364" s="382"/>
      <c r="BU364" s="425"/>
      <c r="BV364" s="382"/>
      <c r="BW364" s="425"/>
      <c r="BX364" s="382"/>
      <c r="BY364" s="425"/>
      <c r="BZ364" s="382"/>
      <c r="CA364" s="425"/>
      <c r="CB364" s="382"/>
      <c r="CC364" s="425"/>
      <c r="CD364" s="382"/>
      <c r="CE364" s="425"/>
      <c r="CF364" s="382"/>
      <c r="CG364" s="425"/>
      <c r="CH364" s="382"/>
      <c r="CI364" s="425"/>
      <c r="CJ364" s="382"/>
      <c r="CK364" s="425"/>
      <c r="CL364" s="382"/>
      <c r="CM364" s="424"/>
    </row>
    <row r="365" spans="1:91" ht="12" hidden="1" customHeight="1" outlineLevel="1" x14ac:dyDescent="0.2">
      <c r="A365" s="394" t="s">
        <v>409</v>
      </c>
      <c r="B365" s="398"/>
      <c r="C365" s="399"/>
      <c r="D365" s="398"/>
      <c r="E365" s="396"/>
      <c r="F365" s="398"/>
      <c r="G365" s="396"/>
      <c r="H365" s="398"/>
      <c r="I365" s="396"/>
      <c r="J365" s="398"/>
      <c r="K365" s="396"/>
      <c r="L365" s="398"/>
      <c r="M365" s="396"/>
      <c r="N365" s="398"/>
      <c r="O365" s="396"/>
      <c r="P365" s="398"/>
      <c r="Q365" s="396"/>
      <c r="R365" s="398"/>
      <c r="S365" s="396"/>
      <c r="T365" s="398"/>
      <c r="U365" s="396"/>
      <c r="V365" s="398"/>
      <c r="W365" s="396"/>
      <c r="X365" s="398"/>
      <c r="Y365" s="396"/>
      <c r="Z365" s="398"/>
      <c r="AA365" s="396"/>
      <c r="AB365" s="398"/>
      <c r="AC365" s="396"/>
      <c r="AD365" s="398"/>
      <c r="AE365" s="396"/>
      <c r="AF365" s="398"/>
      <c r="AG365" s="396"/>
      <c r="AH365" s="398"/>
      <c r="AI365" s="396"/>
      <c r="AJ365" s="398"/>
      <c r="AK365" s="396"/>
      <c r="AL365" s="398"/>
      <c r="AM365" s="396"/>
      <c r="AN365" s="398"/>
      <c r="AO365" s="396"/>
      <c r="AP365" s="398"/>
      <c r="AQ365" s="396"/>
      <c r="AR365" s="398"/>
      <c r="AS365" s="396"/>
      <c r="AT365" s="398"/>
      <c r="AU365" s="396"/>
      <c r="AV365" s="398"/>
      <c r="AW365" s="396"/>
      <c r="AX365" s="398"/>
      <c r="AY365" s="398"/>
      <c r="AZ365" s="399"/>
      <c r="BA365" s="398"/>
      <c r="BB365" s="399"/>
      <c r="BC365" s="398"/>
      <c r="BD365" s="399"/>
      <c r="BE365" s="398"/>
      <c r="BF365" s="396"/>
      <c r="BG365" s="398"/>
      <c r="BH365" s="396"/>
      <c r="BI365" s="398"/>
      <c r="BJ365" s="396"/>
      <c r="BK365" s="398"/>
      <c r="BL365" s="396"/>
      <c r="BM365" s="398"/>
      <c r="BN365" s="396"/>
      <c r="BO365" s="398"/>
      <c r="BP365" s="396"/>
      <c r="BQ365" s="398"/>
      <c r="BR365" s="396"/>
      <c r="BS365" s="398"/>
      <c r="BT365" s="396"/>
      <c r="BU365" s="398"/>
      <c r="BV365" s="396"/>
      <c r="BW365" s="398"/>
      <c r="BX365" s="396"/>
      <c r="BY365" s="398"/>
      <c r="BZ365" s="396"/>
      <c r="CA365" s="398"/>
      <c r="CB365" s="396"/>
      <c r="CC365" s="398"/>
      <c r="CD365" s="396"/>
      <c r="CE365" s="398"/>
      <c r="CF365" s="396"/>
      <c r="CG365" s="398"/>
      <c r="CH365" s="396"/>
      <c r="CI365" s="398"/>
      <c r="CJ365" s="396"/>
      <c r="CK365" s="398"/>
      <c r="CL365" s="396"/>
      <c r="CM365" s="399"/>
    </row>
    <row r="366" spans="1:91" ht="12" hidden="1" customHeight="1" outlineLevel="1" x14ac:dyDescent="0.2">
      <c r="A366" s="453" t="s">
        <v>41</v>
      </c>
      <c r="B366" s="457">
        <f>+INPUT!C665/INPUT!C664*100</f>
        <v>38.416988416988474</v>
      </c>
      <c r="C366" s="396" t="str">
        <f>IF(ISERROR(INPUT!D665/INPUT!D664),"NM",INPUT!D665/INPUT!D664*100)</f>
        <v>NM</v>
      </c>
      <c r="D366" s="457">
        <f>+INPUT!E665/INPUT!E664*100</f>
        <v>43.328550932568142</v>
      </c>
      <c r="E366" s="396" t="str">
        <f>IF(ISERROR(INPUT!F665/INPUT!F664),"NM",INPUT!F665/INPUT!F664*100)</f>
        <v>NM</v>
      </c>
      <c r="F366" s="457">
        <f>+INPUT!G665/INPUT!G664*100</f>
        <v>39.276807980049895</v>
      </c>
      <c r="G366" s="396" t="str">
        <f>IF(ISERROR(INPUT!H665/INPUT!H664),"NM",INPUT!H665/INPUT!H664*100)</f>
        <v>NM</v>
      </c>
      <c r="H366" s="457">
        <f>+INPUT!I665/INPUT!I664*100</f>
        <v>50.524778680295732</v>
      </c>
      <c r="I366" s="396" t="str">
        <f>IF(ISERROR(INPUT!J665/INPUT!J664),"NM",INPUT!J665/INPUT!J664*100)</f>
        <v>NM</v>
      </c>
      <c r="J366" s="457">
        <f>+INPUT!K665/INPUT!K664*100</f>
        <v>34.768740031897885</v>
      </c>
      <c r="K366" s="458">
        <f>IF(ISERROR(INPUT!L665/INPUT!L664),"NM",INPUT!L665/INPUT!L664*100)</f>
        <v>45.373657277210789</v>
      </c>
      <c r="L366" s="457">
        <f>+INPUT!M665/INPUT!M664*100</f>
        <v>37.704918032786843</v>
      </c>
      <c r="M366" s="458">
        <f>IF(ISERROR(INPUT!N665/INPUT!N664),"NM",INPUT!N665/INPUT!N664*100)</f>
        <v>-171.44749290444787</v>
      </c>
      <c r="N366" s="457">
        <f>+INPUT!O665/INPUT!O664*100</f>
        <v>25.345622119815591</v>
      </c>
      <c r="O366" s="458">
        <f>IF(ISERROR(INPUT!P665/INPUT!P664),"NM",INPUT!P665/INPUT!P664*100)</f>
        <v>252.91706086408027</v>
      </c>
      <c r="P366" s="457">
        <f>+INPUT!Q665/INPUT!Q664*100</f>
        <v>46.931407942238323</v>
      </c>
      <c r="Q366" s="458">
        <f>IF(ISERROR(INPUT!R665/INPUT!R664),"NM",INPUT!R665/INPUT!R664*100)</f>
        <v>598.90891261921718</v>
      </c>
      <c r="R366" s="457">
        <f>+INPUT!S665/INPUT!S664*100</f>
        <v>45.416542251418306</v>
      </c>
      <c r="S366" s="458">
        <f>IF(ISERROR(INPUT!T665/INPUT!T664),"NM",INPUT!T665/INPUT!T664*100)</f>
        <v>262.28152943909032</v>
      </c>
      <c r="T366" s="457">
        <f>+INPUT!U665/INPUT!U664*100</f>
        <v>41.657207718501674</v>
      </c>
      <c r="U366" s="458">
        <f>IF(ISERROR(INPUT!V665/INPUT!V664),"NM",INPUT!V665/INPUT!V664*100)</f>
        <v>161.97840676976963</v>
      </c>
      <c r="V366" s="457">
        <f>+INPUT!W665/INPUT!W664*100</f>
        <v>44.253845534348088</v>
      </c>
      <c r="W366" s="458" t="str">
        <f>IF(ISERROR(INPUT!X665/INPUT!X664),"NM",INPUT!X665/INPUT!X664*100)</f>
        <v>NM</v>
      </c>
      <c r="X366" s="457">
        <f>+INPUT!Y665/INPUT!Y664*100</f>
        <v>34.411085450346427</v>
      </c>
      <c r="Y366" s="458">
        <f>IF(ISERROR(INPUT!Z665/INPUT!Z664),"NM",INPUT!Z665/INPUT!Z664*100)</f>
        <v>-560.0879120879124</v>
      </c>
      <c r="Z366" s="457">
        <f>+INPUT!AA665/INPUT!AA664*100</f>
        <v>52.049689440993795</v>
      </c>
      <c r="AA366" s="458">
        <f>IF(ISERROR(INPUT!AB665/INPUT!AB664),"NM",INPUT!AB665/INPUT!AB664*100)</f>
        <v>465.65247617881073</v>
      </c>
      <c r="AB366" s="457">
        <f>+INPUT!AC665/INPUT!AC664*100</f>
        <v>35.81081081081075</v>
      </c>
      <c r="AC366" s="458">
        <f>IF(ISERROR(INPUT!AD665/INPUT!AD664),"NM",INPUT!AD665/INPUT!AD664*100)</f>
        <v>6.1949547332332759</v>
      </c>
      <c r="AD366" s="457">
        <f>+INPUT!AE665/INPUT!AE664*100</f>
        <v>41.361256544502616</v>
      </c>
      <c r="AE366" s="458">
        <f>IF(ISERROR(INPUT!AF665/INPUT!AF664),"NM",INPUT!AF665/INPUT!AF664*100)</f>
        <v>40674.431301706427</v>
      </c>
      <c r="AF366" s="457">
        <f>+INPUT!AG665/INPUT!AG664*100</f>
        <v>34.347399411187446</v>
      </c>
      <c r="AG366" s="458">
        <f>IF(ISERROR(INPUT!AH665/INPUT!AH664),"NM",INPUT!AH665/INPUT!AH664*100)</f>
        <v>98.767381673027202</v>
      </c>
      <c r="AH366" s="457">
        <f>+INPUT!AI665/INPUT!AI664*100</f>
        <v>47.215777262180971</v>
      </c>
      <c r="AI366" s="458">
        <f>IF(ISERROR(INPUT!AJ665/INPUT!AJ664),"NM",INPUT!AJ665/INPUT!AJ664*100)</f>
        <v>-40.447180002511516</v>
      </c>
      <c r="AJ366" s="457">
        <f>+INPUT!AK665/INPUT!AK664*100</f>
        <v>37.278106508875759</v>
      </c>
      <c r="AK366" s="458">
        <f>IF(ISERROR(INPUT!AL665/INPUT!AL664),"NM",INPUT!AL665/INPUT!AL664*100)</f>
        <v>-88.850771869642159</v>
      </c>
      <c r="AL366" s="457">
        <f>+INPUT!AM665/INPUT!AM664*100</f>
        <v>39.931153184165218</v>
      </c>
      <c r="AM366" s="458">
        <f>IF(ISERROR(INPUT!AN665/INPUT!AN664),"NM",INPUT!AN665/INPUT!AN664*100)</f>
        <v>80.590717299577733</v>
      </c>
      <c r="AN366" s="457">
        <f>+INPUT!AO665/INPUT!AO664*100</f>
        <v>43.552750225428355</v>
      </c>
      <c r="AO366" s="458">
        <f>IF(ISERROR(INPUT!AP665/INPUT!AP664),"NM",INPUT!AP665/INPUT!AP664*100)</f>
        <v>430.2444444444472</v>
      </c>
      <c r="AP366" s="457">
        <f>+INPUT!AQ665/INPUT!AQ664*100</f>
        <v>39.654750520449426</v>
      </c>
      <c r="AQ366" s="458">
        <f>IF(ISERROR(INPUT!AR665/INPUT!AR664),"NM",INPUT!AR665/INPUT!AR664*100)</f>
        <v>-103.60844274187883</v>
      </c>
      <c r="AR366" s="457">
        <f>+INPUT!AS665/INPUT!AS664*100</f>
        <v>37.640218764833435</v>
      </c>
      <c r="AS366" s="458">
        <f>IF(ISERROR(INPUT!AT665/INPUT!AT664),"NM",INPUT!AT665/INPUT!AT664*100)</f>
        <v>125.37399330172167</v>
      </c>
      <c r="AT366" s="457">
        <f>+INPUT!AU665/INPUT!AU664*100</f>
        <v>36.599685609615456</v>
      </c>
      <c r="AU366" s="458">
        <f>IF(ISERROR(INPUT!AV665/INPUT!AV664),"NM",INPUT!AV665/INPUT!AV664*100)</f>
        <v>-298.05797505561355</v>
      </c>
      <c r="AV366" s="457">
        <f>+INPUT!AW665/INPUT!AW664*100</f>
        <v>36.552914883675754</v>
      </c>
      <c r="AW366" s="458">
        <f>IF(ISERROR(INPUT!AX665/INPUT!AX664),"NM",INPUT!AX665/INPUT!AX664*100)</f>
        <v>-32.493937939552289</v>
      </c>
      <c r="AX366" s="398"/>
      <c r="AY366" s="457"/>
      <c r="AZ366" s="458"/>
      <c r="BA366" s="457"/>
      <c r="BB366" s="458"/>
      <c r="BC366" s="457"/>
      <c r="BD366" s="458"/>
      <c r="BE366" s="457"/>
      <c r="BF366" s="458"/>
      <c r="BG366" s="457"/>
      <c r="BH366" s="458"/>
      <c r="BI366" s="457"/>
      <c r="BJ366" s="458"/>
      <c r="BK366" s="457"/>
      <c r="BL366" s="458"/>
      <c r="BM366" s="457"/>
      <c r="BN366" s="458"/>
      <c r="BO366" s="457"/>
      <c r="BP366" s="458"/>
      <c r="BQ366" s="457"/>
      <c r="BR366" s="458"/>
      <c r="BS366" s="457">
        <f>+INPUT!BB665/INPUT!BB664*100</f>
        <v>43.423530044650143</v>
      </c>
      <c r="BT366" s="396" t="str">
        <f>IF(ISERROR(INPUT!BC665/INPUT!BC664),"NM",INPUT!BC665/INPUT!BC664*100)</f>
        <v>NM</v>
      </c>
      <c r="BU366" s="457">
        <f>+INPUT!BD665/INPUT!BD664*100</f>
        <v>36.923618444209829</v>
      </c>
      <c r="BV366" s="458">
        <f>IF(ISERROR(INPUT!BE665/INPUT!BE664),"NM",INPUT!BE665/INPUT!BE664*100)</f>
        <v>2356.4765579175619</v>
      </c>
      <c r="BW366" s="457">
        <f>+INPUT!BF665/INPUT!BF664*100</f>
        <v>41.40121748754833</v>
      </c>
      <c r="BX366" s="458">
        <f>IF(ISERROR(INPUT!BG665/INPUT!BG664),"NM",INPUT!BG665/INPUT!BG664*100)</f>
        <v>166.4670643445661</v>
      </c>
      <c r="BY366" s="457">
        <f>+INPUT!BH665/INPUT!BH664*100</f>
        <v>40.235910878112655</v>
      </c>
      <c r="BZ366" s="458">
        <f>IF(ISERROR(INPUT!BI665/INPUT!BI664),"NM",INPUT!BI665/INPUT!BI664*100)</f>
        <v>68.417775065970048</v>
      </c>
      <c r="CA366" s="457">
        <f>+INPUT!BJ665/INPUT!BJ664*100</f>
        <v>41.765131420303888</v>
      </c>
      <c r="CB366" s="458">
        <f>IF(ISERROR(INPUT!BK665/INPUT!BK664),"NM",INPUT!BK665/INPUT!BK664*100)</f>
        <v>147.47360778619722</v>
      </c>
      <c r="CC366" s="457">
        <f>+INPUT!BL665/INPUT!BL664*100</f>
        <v>37.477452806372945</v>
      </c>
      <c r="CD366" s="458">
        <f>IF(ISERROR(INPUT!BM665/INPUT!BM664),"NM",INPUT!BM665/INPUT!BM664*100)</f>
        <v>-56.106186322499404</v>
      </c>
      <c r="CE366" s="457">
        <f>+INPUT!BN665/INPUT!BN664*100</f>
        <v>37.443152625463505</v>
      </c>
      <c r="CF366" s="458">
        <f>IF(ISERROR(INPUT!BO665/INPUT!BO664),"NM",INPUT!BO665/INPUT!BO664*100)</f>
        <v>98.151722443007785</v>
      </c>
      <c r="CG366" s="457">
        <f>+INPUT!BP665/INPUT!BP664*100</f>
        <v>36.787466080232676</v>
      </c>
      <c r="CH366" s="458">
        <f>IF(ISERROR(INPUT!BQ665/INPUT!BQ664),"NM",INPUT!BQ665/INPUT!BQ664*100)</f>
        <v>27.916434824801538</v>
      </c>
      <c r="CI366" s="457">
        <f>+INPUT!BR665/INPUT!BR664*100</f>
        <v>36.39330054161131</v>
      </c>
      <c r="CJ366" s="458">
        <f>IF(ISERROR(INPUT!BS665/INPUT!BS664),"NM",INPUT!BS665/INPUT!BS664*100)</f>
        <v>61.015889911066424</v>
      </c>
      <c r="CK366" s="457">
        <f>+INPUT!BT665/INPUT!BT664*100</f>
        <v>36.012392081189418</v>
      </c>
      <c r="CL366" s="458">
        <f>IF(ISERROR(INPUT!BU665/INPUT!BU664),"NM",INPUT!BU665/INPUT!BU664*100)</f>
        <v>60.878445911452353</v>
      </c>
      <c r="CM366" s="424">
        <f>IF(ISERROR(((CH366/BW366)^0.2-1)*100),"NA",IF((((CH366/BW366)^0.2-1)*100)&gt;100,"NM",IF((((CH366/BW366)^0.2-1)*100)&lt;-50,"NM",((CH366/BW366)^0.2-1)*100)))</f>
        <v>-7.5792755789139576</v>
      </c>
    </row>
    <row r="367" spans="1:91" ht="12" hidden="1" customHeight="1" outlineLevel="1" x14ac:dyDescent="0.2">
      <c r="A367" s="400" t="s">
        <v>250</v>
      </c>
      <c r="B367" s="457">
        <f>INPUT!C721</f>
        <v>6.6011737688185859</v>
      </c>
      <c r="C367" s="396" t="str">
        <f>INPUT!D721</f>
        <v>NA</v>
      </c>
      <c r="D367" s="457">
        <f>INPUT!E721</f>
        <v>8.1420187063190816</v>
      </c>
      <c r="E367" s="396" t="str">
        <f>INPUT!F721</f>
        <v>NA</v>
      </c>
      <c r="F367" s="457">
        <f>INPUT!G721</f>
        <v>8.3891586257759325</v>
      </c>
      <c r="G367" s="396" t="str">
        <f>INPUT!H721</f>
        <v>NA</v>
      </c>
      <c r="H367" s="457">
        <f>INPUT!I721</f>
        <v>10.804481049221279</v>
      </c>
      <c r="I367" s="396" t="str">
        <f>INPUT!J721</f>
        <v>NA</v>
      </c>
      <c r="J367" s="457">
        <f>INPUT!K721</f>
        <v>5.9800384039163568</v>
      </c>
      <c r="K367" s="458">
        <f>INPUT!L721</f>
        <v>-9.4094684772007469</v>
      </c>
      <c r="L367" s="457">
        <f>INPUT!M721</f>
        <v>6.68779123951537</v>
      </c>
      <c r="M367" s="458">
        <f>INPUT!N721</f>
        <v>-17.860772853236938</v>
      </c>
      <c r="N367" s="457">
        <f>INPUT!O721</f>
        <v>4.1402872143298177</v>
      </c>
      <c r="O367" s="458" t="str">
        <f>INPUT!P721</f>
        <v>NM</v>
      </c>
      <c r="P367" s="457">
        <f>INPUT!Q721</f>
        <v>9.7312859884836964</v>
      </c>
      <c r="Q367" s="458">
        <f>INPUT!R721</f>
        <v>-9.9328700365014981</v>
      </c>
      <c r="R367" s="457">
        <f>INPUT!S721</f>
        <v>8.7218303801823573</v>
      </c>
      <c r="S367" s="458">
        <f>INPUT!T721</f>
        <v>45.849069706147503</v>
      </c>
      <c r="T367" s="457">
        <f>INPUT!U721</f>
        <v>8.4539735979445361</v>
      </c>
      <c r="U367" s="458">
        <f>INPUT!V721</f>
        <v>26.40905338063682</v>
      </c>
      <c r="V367" s="457">
        <f>INPUT!W721</f>
        <v>10.816077474214628</v>
      </c>
      <c r="W367" s="458" t="str">
        <f>INPUT!X721</f>
        <v>NM</v>
      </c>
      <c r="X367" s="457">
        <f>INPUT!Y721</f>
        <v>7.6823923691673137</v>
      </c>
      <c r="Y367" s="458">
        <f>INPUT!Z721</f>
        <v>-21.054705634395148</v>
      </c>
      <c r="Z367" s="457">
        <f>INPUT!AA721</f>
        <v>11.759753017120399</v>
      </c>
      <c r="AA367" s="458">
        <f>INPUT!AB721</f>
        <v>34.831251062171248</v>
      </c>
      <c r="AB367" s="457">
        <f>INPUT!AC721</f>
        <v>8.6038961038960977</v>
      </c>
      <c r="AC367" s="458">
        <f>INPUT!AD721</f>
        <v>1.7733969028246577</v>
      </c>
      <c r="AD367" s="457">
        <f>INPUT!AE721</f>
        <v>8.8287885561019337</v>
      </c>
      <c r="AE367" s="458">
        <f>INPUT!AF721</f>
        <v>-18.373471555195152</v>
      </c>
      <c r="AF367" s="457">
        <f>INPUT!AG721</f>
        <v>7.6285963382737592</v>
      </c>
      <c r="AG367" s="458">
        <f>INPUT!AH721</f>
        <v>-0.70025101958421487</v>
      </c>
      <c r="AH367" s="457">
        <f>INPUT!AI721</f>
        <v>9.0484659848821671</v>
      </c>
      <c r="AI367" s="458">
        <f>INPUT!AJ721</f>
        <v>-23.055646052183349</v>
      </c>
      <c r="AJ367" s="457">
        <f>INPUT!AK721</f>
        <v>7.7221654749744646</v>
      </c>
      <c r="AK367" s="458">
        <f>INPUT!AL721</f>
        <v>-10.248039007843886</v>
      </c>
      <c r="AL367" s="457">
        <f>INPUT!AM721</f>
        <v>8.9247932294672001</v>
      </c>
      <c r="AM367" s="458">
        <f>INPUT!AN721</f>
        <v>1.0874048319903977</v>
      </c>
      <c r="AN367" s="457">
        <f>INPUT!AO721</f>
        <v>10.650496141124595</v>
      </c>
      <c r="AO367" s="458">
        <f>INPUT!AP721</f>
        <v>39.612789415656096</v>
      </c>
      <c r="AP367" s="457">
        <f>INPUT!AQ721</f>
        <v>7.5407903690551432</v>
      </c>
      <c r="AQ367" s="458">
        <f>INPUT!AR721</f>
        <v>-16.662223390638715</v>
      </c>
      <c r="AR367" s="457">
        <f>INPUT!AS721</f>
        <v>7.9204428931191924</v>
      </c>
      <c r="AS367" s="458">
        <f>INPUT!AT721</f>
        <v>2.5676401106308049</v>
      </c>
      <c r="AT367" s="457">
        <f>INPUT!AU721</f>
        <v>8.3595935780565522</v>
      </c>
      <c r="AU367" s="458">
        <f>INPUT!AV721</f>
        <v>-6.3329159217326776</v>
      </c>
      <c r="AV367" s="457">
        <f>INPUT!AW721</f>
        <v>8.583746762698091</v>
      </c>
      <c r="AW367" s="458">
        <f>INPUT!AX721</f>
        <v>-19.405193439263329</v>
      </c>
      <c r="AX367" s="398"/>
      <c r="AY367" s="457"/>
      <c r="AZ367" s="458"/>
      <c r="BA367" s="457"/>
      <c r="BB367" s="458"/>
      <c r="BC367" s="457"/>
      <c r="BD367" s="458"/>
      <c r="BE367" s="457"/>
      <c r="BF367" s="458"/>
      <c r="BG367" s="457"/>
      <c r="BH367" s="458"/>
      <c r="BI367" s="457"/>
      <c r="BJ367" s="458"/>
      <c r="BK367" s="457"/>
      <c r="BL367" s="458"/>
      <c r="BM367" s="457"/>
      <c r="BN367" s="458"/>
      <c r="BO367" s="457"/>
      <c r="BP367" s="458"/>
      <c r="BQ367" s="457"/>
      <c r="BR367" s="458"/>
      <c r="BS367" s="457">
        <f>INPUT!BB721</f>
        <v>8.611970553718141</v>
      </c>
      <c r="BT367" s="396" t="str">
        <f>INPUT!BC721</f>
        <v>NA</v>
      </c>
      <c r="BU367" s="457">
        <f>INPUT!BD721</f>
        <v>6.6538504701169634</v>
      </c>
      <c r="BV367" s="458">
        <f>INPUT!BE721</f>
        <v>-22.737189721994312</v>
      </c>
      <c r="BW367" s="457">
        <f>INPUT!BF721</f>
        <v>8.9069115118842728</v>
      </c>
      <c r="BX367" s="458">
        <f>INPUT!BG721</f>
        <v>33.861011032424102</v>
      </c>
      <c r="BY367" s="457">
        <f>INPUT!BH721</f>
        <v>9.0629981696876456</v>
      </c>
      <c r="BZ367" s="458">
        <f>INPUT!BI721</f>
        <v>1.7524217861052165</v>
      </c>
      <c r="CA367" s="457">
        <f>INPUT!BJ721</f>
        <v>9.0552621948031575</v>
      </c>
      <c r="CB367" s="458">
        <f>INPUT!BK721</f>
        <v>-8.5357789328071476E-2</v>
      </c>
      <c r="CC367" s="457">
        <f>INPUT!BL721</f>
        <v>8.1145284242628986</v>
      </c>
      <c r="CD367" s="458">
        <f>INPUT!BM721</f>
        <v>-10.38880763806209</v>
      </c>
      <c r="CE367" s="457">
        <f>INPUT!BN721</f>
        <v>8.1237006714612541</v>
      </c>
      <c r="CF367" s="458">
        <f>INPUT!BO721</f>
        <v>0.11303487669019319</v>
      </c>
      <c r="CG367" s="457">
        <f>INPUT!BP721</f>
        <v>7.7839151139086766</v>
      </c>
      <c r="CH367" s="458">
        <f>INPUT!BQ721</f>
        <v>-4.1826449704905002</v>
      </c>
      <c r="CI367" s="457">
        <f>INPUT!BR721</f>
        <v>7.5740912217115026</v>
      </c>
      <c r="CJ367" s="458">
        <f>INPUT!BS721</f>
        <v>-2.6956086895430076</v>
      </c>
      <c r="CK367" s="457">
        <f>INPUT!BT721</f>
        <v>7.3718331713608993</v>
      </c>
      <c r="CL367" s="458">
        <f>INPUT!BU721</f>
        <v>-2.6703936410327458</v>
      </c>
      <c r="CM367" s="424">
        <f>INPUT!BV721</f>
        <v>-4.0301328303249617</v>
      </c>
    </row>
    <row r="368" spans="1:91" ht="12" hidden="1" customHeight="1" outlineLevel="1" x14ac:dyDescent="0.2">
      <c r="A368" s="400"/>
      <c r="B368" s="398"/>
      <c r="C368" s="396"/>
      <c r="D368" s="398"/>
      <c r="E368" s="396"/>
      <c r="F368" s="398"/>
      <c r="G368" s="396"/>
      <c r="H368" s="398"/>
      <c r="I368" s="396"/>
      <c r="J368" s="398"/>
      <c r="K368" s="396"/>
      <c r="L368" s="398"/>
      <c r="M368" s="396"/>
      <c r="N368" s="398"/>
      <c r="O368" s="396"/>
      <c r="P368" s="398"/>
      <c r="Q368" s="396"/>
      <c r="R368" s="398"/>
      <c r="S368" s="396"/>
      <c r="T368" s="398"/>
      <c r="U368" s="396"/>
      <c r="V368" s="398"/>
      <c r="W368" s="396"/>
      <c r="X368" s="398"/>
      <c r="Y368" s="396"/>
      <c r="Z368" s="398"/>
      <c r="AA368" s="396"/>
      <c r="AB368" s="398"/>
      <c r="AC368" s="396"/>
      <c r="AD368" s="398"/>
      <c r="AE368" s="396"/>
      <c r="AF368" s="398"/>
      <c r="AG368" s="396"/>
      <c r="AH368" s="398"/>
      <c r="AI368" s="396"/>
      <c r="AJ368" s="398"/>
      <c r="AK368" s="396"/>
      <c r="AL368" s="398"/>
      <c r="AM368" s="396"/>
      <c r="AN368" s="398"/>
      <c r="AO368" s="396"/>
      <c r="AP368" s="398"/>
      <c r="AQ368" s="396"/>
      <c r="AR368" s="398"/>
      <c r="AS368" s="396"/>
      <c r="AT368" s="398"/>
      <c r="AU368" s="396"/>
      <c r="AV368" s="398"/>
      <c r="AW368" s="396"/>
      <c r="AX368" s="398"/>
      <c r="AY368" s="398"/>
      <c r="AZ368" s="396"/>
      <c r="BA368" s="398"/>
      <c r="BB368" s="396"/>
      <c r="BC368" s="398"/>
      <c r="BD368" s="396"/>
      <c r="BE368" s="398"/>
      <c r="BF368" s="396"/>
      <c r="BG368" s="398"/>
      <c r="BH368" s="396"/>
      <c r="BI368" s="398"/>
      <c r="BJ368" s="396"/>
      <c r="BK368" s="398"/>
      <c r="BL368" s="396"/>
      <c r="BM368" s="398"/>
      <c r="BN368" s="396"/>
      <c r="BO368" s="398"/>
      <c r="BP368" s="396"/>
      <c r="BQ368" s="398"/>
      <c r="BR368" s="396"/>
      <c r="BS368" s="398"/>
      <c r="BT368" s="396"/>
      <c r="BU368" s="398"/>
      <c r="BV368" s="396"/>
      <c r="BW368" s="398"/>
      <c r="BX368" s="396"/>
      <c r="BY368" s="398"/>
      <c r="BZ368" s="396"/>
      <c r="CA368" s="398"/>
      <c r="CB368" s="396"/>
      <c r="CC368" s="398"/>
      <c r="CD368" s="396"/>
      <c r="CE368" s="398"/>
      <c r="CF368" s="396"/>
      <c r="CG368" s="398"/>
      <c r="CH368" s="396"/>
      <c r="CI368" s="398"/>
      <c r="CJ368" s="396"/>
      <c r="CK368" s="398"/>
      <c r="CL368" s="396"/>
      <c r="CM368" s="424"/>
    </row>
    <row r="369" spans="1:91" ht="12" hidden="1" customHeight="1" outlineLevel="1" x14ac:dyDescent="0.2">
      <c r="A369" s="394" t="str">
        <f>+INPUT!B378</f>
        <v>Reserves</v>
      </c>
      <c r="B369" s="398"/>
      <c r="C369" s="396"/>
      <c r="D369" s="398"/>
      <c r="E369" s="396"/>
      <c r="F369" s="398"/>
      <c r="G369" s="396"/>
      <c r="H369" s="398"/>
      <c r="I369" s="396"/>
      <c r="J369" s="398"/>
      <c r="K369" s="396"/>
      <c r="L369" s="398"/>
      <c r="M369" s="396"/>
      <c r="N369" s="398"/>
      <c r="O369" s="396"/>
      <c r="P369" s="398"/>
      <c r="Q369" s="396"/>
      <c r="R369" s="398"/>
      <c r="S369" s="396"/>
      <c r="T369" s="398"/>
      <c r="U369" s="396"/>
      <c r="V369" s="398"/>
      <c r="W369" s="396"/>
      <c r="X369" s="398"/>
      <c r="Y369" s="396"/>
      <c r="Z369" s="398"/>
      <c r="AA369" s="396"/>
      <c r="AB369" s="398"/>
      <c r="AC369" s="396"/>
      <c r="AD369" s="398"/>
      <c r="AE369" s="396"/>
      <c r="AF369" s="398"/>
      <c r="AG369" s="396"/>
      <c r="AH369" s="398"/>
      <c r="AI369" s="396"/>
      <c r="AJ369" s="398"/>
      <c r="AK369" s="396"/>
      <c r="AL369" s="398"/>
      <c r="AM369" s="396"/>
      <c r="AN369" s="398"/>
      <c r="AO369" s="396"/>
      <c r="AP369" s="398"/>
      <c r="AQ369" s="396"/>
      <c r="AR369" s="398"/>
      <c r="AS369" s="396"/>
      <c r="AT369" s="398"/>
      <c r="AU369" s="396"/>
      <c r="AV369" s="398"/>
      <c r="AW369" s="396"/>
      <c r="AX369" s="398"/>
      <c r="AY369" s="459"/>
      <c r="AZ369" s="396"/>
      <c r="BA369" s="459"/>
      <c r="BB369" s="396"/>
      <c r="BC369" s="459"/>
      <c r="BD369" s="396"/>
      <c r="BE369" s="459"/>
      <c r="BF369" s="396"/>
      <c r="BG369" s="459"/>
      <c r="BH369" s="396"/>
      <c r="BI369" s="459"/>
      <c r="BJ369" s="396"/>
      <c r="BK369" s="459"/>
      <c r="BL369" s="396"/>
      <c r="BM369" s="459"/>
      <c r="BN369" s="396"/>
      <c r="BO369" s="459"/>
      <c r="BP369" s="396"/>
      <c r="BQ369" s="459"/>
      <c r="BR369" s="396"/>
      <c r="BS369" s="459"/>
      <c r="BT369" s="396"/>
      <c r="BU369" s="459"/>
      <c r="BV369" s="396"/>
      <c r="BW369" s="459"/>
      <c r="BX369" s="396"/>
      <c r="BY369" s="459"/>
      <c r="BZ369" s="396"/>
      <c r="CA369" s="459"/>
      <c r="CB369" s="396"/>
      <c r="CC369" s="459"/>
      <c r="CD369" s="396"/>
      <c r="CE369" s="459"/>
      <c r="CF369" s="396"/>
      <c r="CG369" s="459"/>
      <c r="CH369" s="396"/>
      <c r="CI369" s="459"/>
      <c r="CJ369" s="396"/>
      <c r="CK369" s="459"/>
      <c r="CL369" s="396"/>
      <c r="CM369" s="424"/>
    </row>
    <row r="370" spans="1:91" ht="12" hidden="1" customHeight="1" outlineLevel="1" x14ac:dyDescent="0.2">
      <c r="A370" s="400" t="str">
        <f>+INPUT!B381</f>
        <v>Total Life Reserves</v>
      </c>
      <c r="B370" s="459">
        <f>+INPUT!C381</f>
        <v>14380</v>
      </c>
      <c r="C370" s="460" t="str">
        <f>+INPUT!D381</f>
        <v>NA</v>
      </c>
      <c r="D370" s="459">
        <f>+INPUT!E381</f>
        <v>14371.6</v>
      </c>
      <c r="E370" s="460" t="str">
        <f>+INPUT!F381</f>
        <v>NA</v>
      </c>
      <c r="F370" s="459">
        <f>+INPUT!G381</f>
        <v>14591.5</v>
      </c>
      <c r="G370" s="460" t="str">
        <f>+INPUT!H381</f>
        <v>NA</v>
      </c>
      <c r="H370" s="459">
        <f>+INPUT!I381</f>
        <v>14874</v>
      </c>
      <c r="I370" s="460" t="str">
        <f>+INPUT!J381</f>
        <v>NA</v>
      </c>
      <c r="J370" s="459">
        <f>+INPUT!K381</f>
        <v>15128.4</v>
      </c>
      <c r="K370" s="460">
        <f>+INPUT!L381</f>
        <v>5.2044506258692564</v>
      </c>
      <c r="L370" s="459">
        <f>+INPUT!M381</f>
        <v>15448.599999999999</v>
      </c>
      <c r="M370" s="460">
        <f>+INPUT!N381</f>
        <v>7.4939463942775859</v>
      </c>
      <c r="N370" s="459">
        <f>+INPUT!O381</f>
        <v>15314.2</v>
      </c>
      <c r="O370" s="460">
        <f>+INPUT!P381</f>
        <v>4.9528835280814292</v>
      </c>
      <c r="P370" s="459">
        <f>+INPUT!Q381</f>
        <v>15519.9</v>
      </c>
      <c r="Q370" s="460">
        <f>+INPUT!R381</f>
        <v>4.342476805163372</v>
      </c>
      <c r="R370" s="459">
        <f>+INPUT!S381</f>
        <v>15782</v>
      </c>
      <c r="S370" s="460">
        <f>+INPUT!T381</f>
        <v>4.3203511276803823</v>
      </c>
      <c r="T370" s="459">
        <f>+INPUT!U381</f>
        <v>15797</v>
      </c>
      <c r="U370" s="460">
        <f>+INPUT!V381</f>
        <v>2.2552205377833729</v>
      </c>
      <c r="V370" s="459">
        <f>+INPUT!W381</f>
        <v>15771.699999999999</v>
      </c>
      <c r="W370" s="460">
        <f>+INPUT!X381</f>
        <v>2.9874234370714561</v>
      </c>
      <c r="X370" s="459">
        <f>+INPUT!Y381</f>
        <v>0</v>
      </c>
      <c r="Y370" s="460" t="str">
        <f>+INPUT!Z381</f>
        <v>NM</v>
      </c>
      <c r="Z370" s="459">
        <f>+INPUT!AA381</f>
        <v>0</v>
      </c>
      <c r="AA370" s="460" t="str">
        <f>+INPUT!AB381</f>
        <v>NM</v>
      </c>
      <c r="AB370" s="459">
        <f>+INPUT!AC381</f>
        <v>0</v>
      </c>
      <c r="AC370" s="460" t="str">
        <f>+INPUT!AD381</f>
        <v>NM</v>
      </c>
      <c r="AD370" s="459">
        <f>+INPUT!AE381</f>
        <v>0</v>
      </c>
      <c r="AE370" s="460" t="str">
        <f>+INPUT!AF381</f>
        <v>NM</v>
      </c>
      <c r="AF370" s="459">
        <f>+INPUT!AG381</f>
        <v>0</v>
      </c>
      <c r="AG370" s="460" t="str">
        <f>+INPUT!AH381</f>
        <v>NA</v>
      </c>
      <c r="AH370" s="459">
        <f>+INPUT!AI381</f>
        <v>0</v>
      </c>
      <c r="AI370" s="460" t="str">
        <f>+INPUT!AJ381</f>
        <v>NA</v>
      </c>
      <c r="AJ370" s="459">
        <f>+INPUT!AK381</f>
        <v>0</v>
      </c>
      <c r="AK370" s="460" t="str">
        <f>+INPUT!AL381</f>
        <v>NA</v>
      </c>
      <c r="AL370" s="459">
        <f>+INPUT!AM381</f>
        <v>0</v>
      </c>
      <c r="AM370" s="460" t="str">
        <f>+INPUT!AN381</f>
        <v>NA</v>
      </c>
      <c r="AN370" s="459">
        <f>+INPUT!AO381</f>
        <v>0</v>
      </c>
      <c r="AO370" s="460" t="str">
        <f>+INPUT!AP381</f>
        <v>NA</v>
      </c>
      <c r="AP370" s="459">
        <f>+INPUT!AQ381</f>
        <v>0</v>
      </c>
      <c r="AQ370" s="460" t="str">
        <f>+INPUT!AR381</f>
        <v>NA</v>
      </c>
      <c r="AR370" s="459">
        <f>+INPUT!AS381</f>
        <v>0</v>
      </c>
      <c r="AS370" s="460" t="str">
        <f>+INPUT!AT381</f>
        <v>NA</v>
      </c>
      <c r="AT370" s="459">
        <f>+INPUT!AU381</f>
        <v>0</v>
      </c>
      <c r="AU370" s="460" t="str">
        <f>+INPUT!AV381</f>
        <v>NA</v>
      </c>
      <c r="AV370" s="459">
        <f>+INPUT!AW381</f>
        <v>0</v>
      </c>
      <c r="AW370" s="460" t="str">
        <f>+INPUT!AX381</f>
        <v>NA</v>
      </c>
      <c r="AX370" s="398"/>
      <c r="AY370" s="459"/>
      <c r="AZ370" s="460"/>
      <c r="BA370" s="459"/>
      <c r="BB370" s="460"/>
      <c r="BC370" s="459"/>
      <c r="BD370" s="460"/>
      <c r="BE370" s="459"/>
      <c r="BF370" s="460"/>
      <c r="BG370" s="459"/>
      <c r="BH370" s="460"/>
      <c r="BI370" s="459"/>
      <c r="BJ370" s="460"/>
      <c r="BK370" s="459"/>
      <c r="BL370" s="460"/>
      <c r="BM370" s="459"/>
      <c r="BN370" s="460"/>
      <c r="BO370" s="459"/>
      <c r="BP370" s="460"/>
      <c r="BQ370" s="459"/>
      <c r="BR370" s="460"/>
      <c r="BS370" s="459">
        <f>+INPUT!BB381</f>
        <v>0</v>
      </c>
      <c r="BT370" s="460" t="str">
        <f>+INPUT!BC381</f>
        <v>NA</v>
      </c>
      <c r="BU370" s="459">
        <f>+INPUT!BD381</f>
        <v>15519.9</v>
      </c>
      <c r="BV370" s="460" t="str">
        <f>+INPUT!BE381</f>
        <v>NA</v>
      </c>
      <c r="BW370" s="459">
        <f>+INPUT!BF381</f>
        <v>0</v>
      </c>
      <c r="BX370" s="460" t="str">
        <f>+INPUT!BG381</f>
        <v>NM</v>
      </c>
      <c r="BY370" s="459">
        <f>+INPUT!BH381</f>
        <v>0</v>
      </c>
      <c r="BZ370" s="460" t="str">
        <f>+INPUT!BI381</f>
        <v>NA</v>
      </c>
      <c r="CA370" s="459">
        <f>+INPUT!BJ381</f>
        <v>0</v>
      </c>
      <c r="CB370" s="460" t="str">
        <f>+INPUT!BK381</f>
        <v>NA</v>
      </c>
      <c r="CC370" s="459">
        <f>+INPUT!BL381</f>
        <v>0</v>
      </c>
      <c r="CD370" s="460" t="str">
        <f>+INPUT!BM381</f>
        <v>NA</v>
      </c>
      <c r="CE370" s="459">
        <f>+INPUT!BN381</f>
        <v>0</v>
      </c>
      <c r="CF370" s="460" t="str">
        <f>+INPUT!BO381</f>
        <v>NA</v>
      </c>
      <c r="CG370" s="459">
        <f>+INPUT!BP381</f>
        <v>0</v>
      </c>
      <c r="CH370" s="460" t="str">
        <f>+INPUT!BQ381</f>
        <v>NA</v>
      </c>
      <c r="CI370" s="459">
        <f>+INPUT!BR381</f>
        <v>0</v>
      </c>
      <c r="CJ370" s="460" t="str">
        <f>+INPUT!BS381</f>
        <v>NA</v>
      </c>
      <c r="CK370" s="459">
        <f>+INPUT!BT381</f>
        <v>0</v>
      </c>
      <c r="CL370" s="460" t="str">
        <f>+INPUT!BU381</f>
        <v>NA</v>
      </c>
      <c r="CM370" s="424" t="str">
        <f>+INPUT!BV381</f>
        <v>NA</v>
      </c>
    </row>
    <row r="371" spans="1:91" ht="12" hidden="1" customHeight="1" outlineLevel="1" x14ac:dyDescent="0.2">
      <c r="A371" s="400"/>
      <c r="B371" s="459"/>
      <c r="C371" s="424"/>
      <c r="D371" s="459"/>
      <c r="E371" s="382"/>
      <c r="F371" s="459"/>
      <c r="G371" s="382"/>
      <c r="H371" s="459"/>
      <c r="I371" s="382"/>
      <c r="J371" s="459"/>
      <c r="K371" s="382"/>
      <c r="L371" s="459"/>
      <c r="M371" s="382"/>
      <c r="N371" s="459"/>
      <c r="O371" s="382"/>
      <c r="P371" s="459"/>
      <c r="Q371" s="382"/>
      <c r="R371" s="459"/>
      <c r="S371" s="382"/>
      <c r="T371" s="459"/>
      <c r="U371" s="382"/>
      <c r="V371" s="459"/>
      <c r="W371" s="382"/>
      <c r="X371" s="459"/>
      <c r="Y371" s="382"/>
      <c r="Z371" s="459"/>
      <c r="AA371" s="382"/>
      <c r="AB371" s="459"/>
      <c r="AC371" s="382"/>
      <c r="AD371" s="459"/>
      <c r="AE371" s="382"/>
      <c r="AF371" s="459"/>
      <c r="AG371" s="382"/>
      <c r="AH371" s="459"/>
      <c r="AI371" s="382"/>
      <c r="AJ371" s="459"/>
      <c r="AK371" s="382"/>
      <c r="AL371" s="459"/>
      <c r="AM371" s="382"/>
      <c r="AN371" s="459"/>
      <c r="AO371" s="382"/>
      <c r="AP371" s="459"/>
      <c r="AQ371" s="382"/>
      <c r="AR371" s="459"/>
      <c r="AS371" s="382"/>
      <c r="AT371" s="459"/>
      <c r="AU371" s="382"/>
      <c r="AV371" s="459"/>
      <c r="AW371" s="382"/>
      <c r="AX371" s="398"/>
      <c r="AY371" s="459"/>
      <c r="AZ371" s="424"/>
      <c r="BA371" s="459"/>
      <c r="BB371" s="424"/>
      <c r="BC371" s="459"/>
      <c r="BD371" s="424"/>
      <c r="BE371" s="459"/>
      <c r="BF371" s="382"/>
      <c r="BG371" s="459"/>
      <c r="BH371" s="382"/>
      <c r="BI371" s="459"/>
      <c r="BJ371" s="382"/>
      <c r="BK371" s="459"/>
      <c r="BL371" s="382"/>
      <c r="BM371" s="459"/>
      <c r="BN371" s="382"/>
      <c r="BO371" s="459"/>
      <c r="BP371" s="382"/>
      <c r="BQ371" s="459"/>
      <c r="BR371" s="382"/>
      <c r="BS371" s="459"/>
      <c r="BT371" s="382"/>
      <c r="BU371" s="459"/>
      <c r="BV371" s="382"/>
      <c r="BW371" s="459"/>
      <c r="BX371" s="382"/>
      <c r="BY371" s="459"/>
      <c r="BZ371" s="382"/>
      <c r="CA371" s="459"/>
      <c r="CB371" s="382"/>
      <c r="CC371" s="459"/>
      <c r="CD371" s="382"/>
      <c r="CE371" s="459"/>
      <c r="CF371" s="382"/>
      <c r="CG371" s="459"/>
      <c r="CH371" s="382"/>
      <c r="CI371" s="459"/>
      <c r="CJ371" s="382"/>
      <c r="CK371" s="459"/>
      <c r="CL371" s="382"/>
      <c r="CM371" s="424"/>
    </row>
    <row r="372" spans="1:91" ht="19.5" hidden="1" customHeight="1" outlineLevel="1" x14ac:dyDescent="0.25">
      <c r="A372" s="471" t="str">
        <f>+$A$1</f>
        <v>Principal Financial Group</v>
      </c>
      <c r="B372" s="381"/>
      <c r="C372" s="382"/>
      <c r="D372" s="381"/>
      <c r="E372" s="382"/>
      <c r="F372" s="381"/>
      <c r="G372" s="382"/>
      <c r="H372" s="381"/>
      <c r="I372" s="382"/>
      <c r="J372" s="381"/>
      <c r="K372" s="382"/>
      <c r="L372" s="381"/>
      <c r="M372" s="382"/>
      <c r="N372" s="381"/>
      <c r="O372" s="382"/>
      <c r="P372" s="381"/>
      <c r="Q372" s="382"/>
      <c r="R372" s="381"/>
      <c r="S372" s="382"/>
      <c r="T372" s="381"/>
      <c r="U372" s="382"/>
      <c r="V372" s="381"/>
      <c r="W372" s="382"/>
      <c r="X372" s="381"/>
      <c r="Y372" s="382"/>
      <c r="Z372" s="381"/>
      <c r="AA372" s="382"/>
      <c r="AB372" s="381"/>
      <c r="AC372" s="382"/>
      <c r="AD372" s="381"/>
      <c r="AE372" s="382"/>
      <c r="AF372" s="381"/>
      <c r="AG372" s="382"/>
      <c r="AH372" s="381"/>
      <c r="AI372" s="382"/>
      <c r="AJ372" s="381"/>
      <c r="AK372" s="382"/>
      <c r="AL372" s="381"/>
      <c r="AM372" s="382"/>
      <c r="AN372" s="381"/>
      <c r="AO372" s="382"/>
      <c r="AP372" s="381"/>
      <c r="AQ372" s="382"/>
      <c r="AR372" s="381"/>
      <c r="AS372" s="382"/>
      <c r="AT372" s="381"/>
      <c r="AU372" s="382"/>
      <c r="AV372" s="381"/>
      <c r="AW372" s="382"/>
      <c r="AX372" s="382"/>
      <c r="AY372" s="381"/>
      <c r="AZ372" s="382"/>
      <c r="BA372" s="381"/>
      <c r="BB372" s="382"/>
      <c r="BC372" s="381"/>
      <c r="BD372" s="382"/>
      <c r="BE372" s="381"/>
      <c r="BF372" s="382"/>
      <c r="BG372" s="381"/>
      <c r="BH372" s="382"/>
      <c r="BI372" s="381"/>
      <c r="BJ372" s="382"/>
      <c r="BK372" s="381"/>
      <c r="BL372" s="382"/>
      <c r="BM372" s="381"/>
      <c r="BN372" s="382"/>
      <c r="BO372" s="381"/>
      <c r="BP372" s="382"/>
      <c r="BQ372" s="381"/>
      <c r="BR372" s="382"/>
      <c r="BS372" s="381"/>
      <c r="BT372" s="382"/>
      <c r="BU372" s="381"/>
      <c r="BV372" s="382"/>
      <c r="BW372" s="381"/>
      <c r="BX372" s="382"/>
      <c r="BY372" s="381"/>
      <c r="BZ372" s="382"/>
      <c r="CA372" s="381"/>
      <c r="CB372" s="382"/>
      <c r="CC372" s="381"/>
      <c r="CD372" s="382"/>
      <c r="CE372" s="381"/>
      <c r="CF372" s="382"/>
      <c r="CG372" s="381"/>
      <c r="CH372" s="382"/>
      <c r="CI372" s="381"/>
      <c r="CJ372" s="382"/>
      <c r="CK372" s="381"/>
      <c r="CL372" s="382"/>
      <c r="CM372" s="382"/>
    </row>
    <row r="373" spans="1:91" ht="12" hidden="1" customHeight="1" outlineLevel="1" x14ac:dyDescent="0.2">
      <c r="A373" s="383" t="s">
        <v>505</v>
      </c>
      <c r="B373" s="384"/>
      <c r="C373" s="385"/>
      <c r="D373" s="384"/>
      <c r="E373" s="385"/>
      <c r="F373" s="384"/>
      <c r="G373" s="385"/>
      <c r="H373" s="384"/>
      <c r="I373" s="385"/>
      <c r="J373" s="384"/>
      <c r="K373" s="385"/>
      <c r="L373" s="384"/>
      <c r="M373" s="385"/>
      <c r="N373" s="384"/>
      <c r="O373" s="385"/>
      <c r="P373" s="384"/>
      <c r="Q373" s="385"/>
      <c r="R373" s="384"/>
      <c r="S373" s="385"/>
      <c r="T373" s="384"/>
      <c r="U373" s="385"/>
      <c r="V373" s="384"/>
      <c r="W373" s="385"/>
      <c r="X373" s="384"/>
      <c r="Y373" s="385"/>
      <c r="Z373" s="384"/>
      <c r="AA373" s="385"/>
      <c r="AB373" s="384"/>
      <c r="AC373" s="385"/>
      <c r="AD373" s="384"/>
      <c r="AE373" s="385"/>
      <c r="AF373" s="384"/>
      <c r="AG373" s="385"/>
      <c r="AH373" s="384"/>
      <c r="AI373" s="385"/>
      <c r="AJ373" s="384"/>
      <c r="AK373" s="385"/>
      <c r="AL373" s="384"/>
      <c r="AM373" s="385"/>
      <c r="AN373" s="384"/>
      <c r="AO373" s="385"/>
      <c r="AP373" s="384"/>
      <c r="AQ373" s="385"/>
      <c r="AR373" s="384"/>
      <c r="AS373" s="385"/>
      <c r="AT373" s="384"/>
      <c r="AU373" s="385"/>
      <c r="AV373" s="384"/>
      <c r="AW373" s="385"/>
      <c r="AX373" s="385"/>
      <c r="AY373" s="384"/>
      <c r="AZ373" s="385"/>
      <c r="BA373" s="384"/>
      <c r="BB373" s="385"/>
      <c r="BC373" s="384"/>
      <c r="BD373" s="385"/>
      <c r="BE373" s="384"/>
      <c r="BF373" s="385"/>
      <c r="BG373" s="384"/>
      <c r="BH373" s="385"/>
      <c r="BI373" s="384"/>
      <c r="BJ373" s="385"/>
      <c r="BK373" s="384"/>
      <c r="BL373" s="385"/>
      <c r="BM373" s="384"/>
      <c r="BN373" s="385"/>
      <c r="BO373" s="384"/>
      <c r="BP373" s="385"/>
      <c r="BQ373" s="384"/>
      <c r="BR373" s="385"/>
      <c r="BS373" s="384"/>
      <c r="BT373" s="385"/>
      <c r="BU373" s="384"/>
      <c r="BV373" s="385"/>
      <c r="BW373" s="384"/>
      <c r="BX373" s="385"/>
      <c r="BY373" s="384"/>
      <c r="BZ373" s="385"/>
      <c r="CA373" s="384"/>
      <c r="CB373" s="385"/>
      <c r="CC373" s="384"/>
      <c r="CD373" s="385"/>
      <c r="CE373" s="384"/>
      <c r="CF373" s="385"/>
      <c r="CG373" s="384"/>
      <c r="CH373" s="385"/>
      <c r="CI373" s="384"/>
      <c r="CJ373" s="385"/>
      <c r="CK373" s="384"/>
      <c r="CL373" s="385"/>
      <c r="CM373" s="385"/>
    </row>
    <row r="374" spans="1:91" s="374" customFormat="1" ht="12" hidden="1" customHeight="1" outlineLevel="1" x14ac:dyDescent="0.2">
      <c r="A374" s="378" t="s">
        <v>243</v>
      </c>
      <c r="B374" s="427"/>
      <c r="C374" s="428" t="str">
        <f>INPUT!D$4</f>
        <v>1Q13/</v>
      </c>
      <c r="D374" s="427"/>
      <c r="E374" s="428" t="str">
        <f>INPUT!F$4</f>
        <v>2Q13/</v>
      </c>
      <c r="F374" s="427"/>
      <c r="G374" s="428" t="str">
        <f>INPUT!H$4</f>
        <v>3Q13/</v>
      </c>
      <c r="H374" s="427"/>
      <c r="I374" s="428" t="str">
        <f>INPUT!J$4</f>
        <v>4Q13/</v>
      </c>
      <c r="J374" s="427"/>
      <c r="K374" s="428" t="str">
        <f>INPUT!L$4</f>
        <v>1Q14/</v>
      </c>
      <c r="L374" s="427"/>
      <c r="M374" s="428" t="str">
        <f>INPUT!N$4</f>
        <v>2Q14/</v>
      </c>
      <c r="N374" s="427"/>
      <c r="O374" s="428" t="str">
        <f>INPUT!P$4</f>
        <v>3Q14/</v>
      </c>
      <c r="P374" s="427"/>
      <c r="Q374" s="428" t="str">
        <f>INPUT!R$4</f>
        <v>4Q14/</v>
      </c>
      <c r="R374" s="427"/>
      <c r="S374" s="428" t="str">
        <f>INPUT!T$4</f>
        <v>1Q15/</v>
      </c>
      <c r="T374" s="427"/>
      <c r="U374" s="428" t="str">
        <f>INPUT!V$4</f>
        <v>2Q15/</v>
      </c>
      <c r="V374" s="427"/>
      <c r="W374" s="428" t="str">
        <f>INPUT!X$4</f>
        <v>3Q15/</v>
      </c>
      <c r="X374" s="427"/>
      <c r="Y374" s="428" t="str">
        <f>INPUT!Z$4</f>
        <v>4Q15/</v>
      </c>
      <c r="Z374" s="427"/>
      <c r="AA374" s="428" t="str">
        <f>INPUT!AB$4</f>
        <v>1Q16/</v>
      </c>
      <c r="AB374" s="427"/>
      <c r="AC374" s="428" t="str">
        <f>INPUT!AD$4</f>
        <v>2Q16/</v>
      </c>
      <c r="AD374" s="427"/>
      <c r="AE374" s="428" t="str">
        <f>INPUT!AF$4</f>
        <v>3Q16/</v>
      </c>
      <c r="AF374" s="427"/>
      <c r="AG374" s="428" t="str">
        <f>INPUT!AH$4</f>
        <v>4Q16/</v>
      </c>
      <c r="AH374" s="427"/>
      <c r="AI374" s="428" t="str">
        <f>INPUT!AJ$4</f>
        <v>1Q17/</v>
      </c>
      <c r="AJ374" s="427"/>
      <c r="AK374" s="428" t="str">
        <f>INPUT!AL$4</f>
        <v>2Q17/</v>
      </c>
      <c r="AL374" s="427"/>
      <c r="AM374" s="428" t="str">
        <f>INPUT!AN$4</f>
        <v>3Q17/</v>
      </c>
      <c r="AN374" s="427"/>
      <c r="AO374" s="428" t="str">
        <f>INPUT!AP$4</f>
        <v>4Q17/</v>
      </c>
      <c r="AP374" s="427"/>
      <c r="AQ374" s="428" t="str">
        <f>INPUT!AR$4</f>
        <v>1Q18E/</v>
      </c>
      <c r="AR374" s="427"/>
      <c r="AS374" s="428" t="str">
        <f>INPUT!AT$4</f>
        <v>2Q18E/</v>
      </c>
      <c r="AT374" s="427"/>
      <c r="AU374" s="428" t="str">
        <f>INPUT!AV$4</f>
        <v>3Q18E/</v>
      </c>
      <c r="AV374" s="427"/>
      <c r="AW374" s="428" t="str">
        <f>INPUT!AX$4</f>
        <v>4Q18E/</v>
      </c>
      <c r="AX374" s="427"/>
      <c r="AY374" s="427"/>
      <c r="AZ374" s="428"/>
      <c r="BA374" s="427"/>
      <c r="BB374" s="428"/>
      <c r="BC374" s="427"/>
      <c r="BD374" s="428"/>
      <c r="BE374" s="427"/>
      <c r="BF374" s="428"/>
      <c r="BG374" s="427"/>
      <c r="BH374" s="428"/>
      <c r="BI374" s="427"/>
      <c r="BJ374" s="428"/>
      <c r="BK374" s="427"/>
      <c r="BL374" s="428"/>
      <c r="BM374" s="427"/>
      <c r="BN374" s="428"/>
      <c r="BO374" s="427"/>
      <c r="BP374" s="428"/>
      <c r="BQ374" s="427"/>
      <c r="BR374" s="428"/>
      <c r="BS374" s="427"/>
      <c r="BT374" s="428" t="str">
        <f>INPUT!BC$4</f>
        <v>2013/</v>
      </c>
      <c r="BU374" s="427"/>
      <c r="BV374" s="428" t="str">
        <f>INPUT!BE$4</f>
        <v>2014/</v>
      </c>
      <c r="BW374" s="427"/>
      <c r="BX374" s="428" t="str">
        <f>INPUT!BG$4</f>
        <v>2015/</v>
      </c>
      <c r="BY374" s="427"/>
      <c r="BZ374" s="428" t="str">
        <f>INPUT!BI$4</f>
        <v>2016/</v>
      </c>
      <c r="CA374" s="427"/>
      <c r="CB374" s="428" t="str">
        <f>INPUT!BK$4</f>
        <v>2017/</v>
      </c>
      <c r="CC374" s="427"/>
      <c r="CD374" s="428" t="str">
        <f>INPUT!BM$4</f>
        <v>2018E/</v>
      </c>
      <c r="CE374" s="427"/>
      <c r="CF374" s="428" t="str">
        <f>INPUT!BO$4</f>
        <v>2019E/</v>
      </c>
      <c r="CG374" s="427"/>
      <c r="CH374" s="428" t="str">
        <f>INPUT!BQ$4</f>
        <v>2020E/</v>
      </c>
      <c r="CI374" s="427"/>
      <c r="CJ374" s="428" t="str">
        <f>INPUT!BS$4</f>
        <v>2021E/</v>
      </c>
      <c r="CK374" s="427"/>
      <c r="CL374" s="428" t="str">
        <f>INPUT!BU$4</f>
        <v>2022E/</v>
      </c>
      <c r="CM374" s="428" t="str">
        <f>INPUT!BV$4</f>
        <v>5-Yr</v>
      </c>
    </row>
    <row r="375" spans="1:91" s="374" customFormat="1" ht="12" hidden="1" customHeight="1" outlineLevel="1" x14ac:dyDescent="0.2">
      <c r="A375" s="387"/>
      <c r="B375" s="386"/>
      <c r="C375" s="385">
        <f>INPUT!D$5</f>
        <v>0</v>
      </c>
      <c r="D375" s="386"/>
      <c r="E375" s="385">
        <f>INPUT!F$5</f>
        <v>0</v>
      </c>
      <c r="F375" s="386"/>
      <c r="G375" s="385">
        <f>INPUT!H$5</f>
        <v>0</v>
      </c>
      <c r="H375" s="386"/>
      <c r="I375" s="385">
        <f>INPUT!J$5</f>
        <v>0</v>
      </c>
      <c r="J375" s="386"/>
      <c r="K375" s="385" t="str">
        <f>INPUT!L$5</f>
        <v>1Q13</v>
      </c>
      <c r="L375" s="386"/>
      <c r="M375" s="385" t="str">
        <f>INPUT!N$5</f>
        <v>2Q13</v>
      </c>
      <c r="N375" s="386"/>
      <c r="O375" s="385" t="str">
        <f>INPUT!P$5</f>
        <v>3Q13</v>
      </c>
      <c r="P375" s="386"/>
      <c r="Q375" s="385" t="str">
        <f>INPUT!R$5</f>
        <v>4Q13</v>
      </c>
      <c r="R375" s="386"/>
      <c r="S375" s="385" t="str">
        <f>INPUT!T$5</f>
        <v>1Q14</v>
      </c>
      <c r="T375" s="386"/>
      <c r="U375" s="385" t="str">
        <f>INPUT!V$5</f>
        <v>2Q14</v>
      </c>
      <c r="V375" s="386"/>
      <c r="W375" s="385" t="str">
        <f>INPUT!X$5</f>
        <v>3Q14</v>
      </c>
      <c r="X375" s="386"/>
      <c r="Y375" s="385" t="str">
        <f>INPUT!Z$5</f>
        <v>4Q14</v>
      </c>
      <c r="Z375" s="386"/>
      <c r="AA375" s="385" t="str">
        <f>INPUT!AB$5</f>
        <v>1Q15</v>
      </c>
      <c r="AB375" s="386"/>
      <c r="AC375" s="385" t="str">
        <f>INPUT!AD$5</f>
        <v>2Q15</v>
      </c>
      <c r="AD375" s="386"/>
      <c r="AE375" s="385" t="str">
        <f>INPUT!AF$5</f>
        <v>3Q15</v>
      </c>
      <c r="AF375" s="386"/>
      <c r="AG375" s="385" t="str">
        <f>INPUT!AH$5</f>
        <v>4Q15</v>
      </c>
      <c r="AH375" s="386"/>
      <c r="AI375" s="385" t="str">
        <f>INPUT!AJ$5</f>
        <v>1Q16</v>
      </c>
      <c r="AJ375" s="386"/>
      <c r="AK375" s="385" t="str">
        <f>INPUT!AL$5</f>
        <v>2Q16</v>
      </c>
      <c r="AL375" s="386"/>
      <c r="AM375" s="385" t="str">
        <f>INPUT!AN$5</f>
        <v>3Q16</v>
      </c>
      <c r="AN375" s="386"/>
      <c r="AO375" s="385" t="str">
        <f>INPUT!AP$5</f>
        <v>4Q16</v>
      </c>
      <c r="AP375" s="386"/>
      <c r="AQ375" s="385" t="str">
        <f>INPUT!AR$5</f>
        <v>1Q17</v>
      </c>
      <c r="AR375" s="386"/>
      <c r="AS375" s="385" t="str">
        <f>INPUT!AT$5</f>
        <v>2Q17</v>
      </c>
      <c r="AT375" s="386"/>
      <c r="AU375" s="385" t="str">
        <f>INPUT!AV$5</f>
        <v>3Q17</v>
      </c>
      <c r="AV375" s="386"/>
      <c r="AW375" s="385" t="str">
        <f>INPUT!AX$5</f>
        <v>4Q17</v>
      </c>
      <c r="AX375" s="386"/>
      <c r="AY375" s="386"/>
      <c r="AZ375" s="385"/>
      <c r="BA375" s="388"/>
      <c r="BB375" s="385"/>
      <c r="BC375" s="386"/>
      <c r="BD375" s="385"/>
      <c r="BE375" s="386"/>
      <c r="BF375" s="385"/>
      <c r="BG375" s="386"/>
      <c r="BH375" s="385"/>
      <c r="BI375" s="386"/>
      <c r="BJ375" s="385"/>
      <c r="BK375" s="386"/>
      <c r="BL375" s="385"/>
      <c r="BM375" s="386"/>
      <c r="BN375" s="385"/>
      <c r="BO375" s="386"/>
      <c r="BP375" s="385"/>
      <c r="BQ375" s="386"/>
      <c r="BR375" s="385"/>
      <c r="BS375" s="386"/>
      <c r="BT375" s="385">
        <f>INPUT!BC$5</f>
        <v>0</v>
      </c>
      <c r="BU375" s="386"/>
      <c r="BV375" s="385" t="str">
        <f>INPUT!BE$5</f>
        <v>2013</v>
      </c>
      <c r="BW375" s="386"/>
      <c r="BX375" s="385" t="str">
        <f>INPUT!BG$5</f>
        <v>2014</v>
      </c>
      <c r="BY375" s="386"/>
      <c r="BZ375" s="385" t="str">
        <f>INPUT!BI$5</f>
        <v>2015</v>
      </c>
      <c r="CA375" s="386"/>
      <c r="CB375" s="385" t="str">
        <f>INPUT!BK$5</f>
        <v>2016</v>
      </c>
      <c r="CC375" s="386"/>
      <c r="CD375" s="385" t="str">
        <f>INPUT!BM$5</f>
        <v>2017</v>
      </c>
      <c r="CE375" s="386"/>
      <c r="CF375" s="385" t="str">
        <f>INPUT!BO$5</f>
        <v>2018E</v>
      </c>
      <c r="CG375" s="386"/>
      <c r="CH375" s="385" t="str">
        <f>INPUT!BQ$5</f>
        <v>2019E</v>
      </c>
      <c r="CI375" s="386"/>
      <c r="CJ375" s="385" t="str">
        <f>INPUT!BS$5</f>
        <v>2020E</v>
      </c>
      <c r="CK375" s="386"/>
      <c r="CL375" s="385" t="str">
        <f>INPUT!BU$5</f>
        <v>2021E</v>
      </c>
      <c r="CM375" s="385" t="str">
        <f>INPUT!BV$5</f>
        <v>CAGR</v>
      </c>
    </row>
    <row r="376" spans="1:91" s="374" customFormat="1" ht="12" hidden="1" customHeight="1" outlineLevel="1" x14ac:dyDescent="0.2">
      <c r="A376" s="389"/>
      <c r="B376" s="390" t="str">
        <f>INPUT!C$6</f>
        <v>1Q13</v>
      </c>
      <c r="C376" s="391" t="str">
        <f>INPUT!D$6</f>
        <v>% Chg</v>
      </c>
      <c r="D376" s="390" t="str">
        <f>INPUT!E$6</f>
        <v>2Q13</v>
      </c>
      <c r="E376" s="391" t="str">
        <f>INPUT!F$6</f>
        <v>% Chg</v>
      </c>
      <c r="F376" s="390" t="str">
        <f>INPUT!G$6</f>
        <v>3Q13</v>
      </c>
      <c r="G376" s="391" t="str">
        <f>INPUT!H$6</f>
        <v>% Chg</v>
      </c>
      <c r="H376" s="390" t="str">
        <f>INPUT!I$6</f>
        <v>4Q13</v>
      </c>
      <c r="I376" s="391" t="str">
        <f>INPUT!J$6</f>
        <v>% Chg</v>
      </c>
      <c r="J376" s="390" t="str">
        <f>INPUT!K$6</f>
        <v>1Q14</v>
      </c>
      <c r="K376" s="391" t="str">
        <f>INPUT!L$6</f>
        <v>% Chg</v>
      </c>
      <c r="L376" s="390" t="str">
        <f>INPUT!M$6</f>
        <v>2Q14</v>
      </c>
      <c r="M376" s="391" t="str">
        <f>INPUT!N$6</f>
        <v>% Chg</v>
      </c>
      <c r="N376" s="390" t="str">
        <f>INPUT!O$6</f>
        <v>3Q14</v>
      </c>
      <c r="O376" s="391" t="str">
        <f>INPUT!P$6</f>
        <v>% Chg</v>
      </c>
      <c r="P376" s="390" t="str">
        <f>INPUT!Q$6</f>
        <v>4Q14</v>
      </c>
      <c r="Q376" s="391" t="str">
        <f>INPUT!R$6</f>
        <v>% Chg</v>
      </c>
      <c r="R376" s="390" t="str">
        <f>INPUT!S$6</f>
        <v>1Q15</v>
      </c>
      <c r="S376" s="391" t="str">
        <f>INPUT!T$6</f>
        <v>% Chg</v>
      </c>
      <c r="T376" s="390" t="str">
        <f>INPUT!U$6</f>
        <v>2Q15</v>
      </c>
      <c r="U376" s="391" t="str">
        <f>INPUT!V$6</f>
        <v>% Chg</v>
      </c>
      <c r="V376" s="390" t="str">
        <f>INPUT!W$6</f>
        <v>3Q15</v>
      </c>
      <c r="W376" s="391" t="str">
        <f>INPUT!X$6</f>
        <v>% Chg</v>
      </c>
      <c r="X376" s="390" t="str">
        <f>INPUT!Y$6</f>
        <v>4Q15</v>
      </c>
      <c r="Y376" s="391" t="str">
        <f>INPUT!Z$6</f>
        <v>% Chg</v>
      </c>
      <c r="Z376" s="390" t="str">
        <f>INPUT!AA$6</f>
        <v>1Q16</v>
      </c>
      <c r="AA376" s="391" t="str">
        <f>INPUT!AB$6</f>
        <v>% Chg</v>
      </c>
      <c r="AB376" s="390" t="str">
        <f>INPUT!AC$6</f>
        <v>2Q16</v>
      </c>
      <c r="AC376" s="391" t="str">
        <f>INPUT!AD$6</f>
        <v>% Chg</v>
      </c>
      <c r="AD376" s="390" t="str">
        <f>INPUT!AE$6</f>
        <v>3Q16</v>
      </c>
      <c r="AE376" s="391" t="str">
        <f>INPUT!AF$6</f>
        <v>% Chg</v>
      </c>
      <c r="AF376" s="390" t="str">
        <f>INPUT!AG$6</f>
        <v>4Q16</v>
      </c>
      <c r="AG376" s="391" t="str">
        <f>INPUT!AH$6</f>
        <v>% Chg</v>
      </c>
      <c r="AH376" s="390" t="str">
        <f>INPUT!AI$6</f>
        <v>1Q17</v>
      </c>
      <c r="AI376" s="391" t="str">
        <f>INPUT!AJ$6</f>
        <v>% Chg</v>
      </c>
      <c r="AJ376" s="390" t="str">
        <f>INPUT!AK$6</f>
        <v>2Q17</v>
      </c>
      <c r="AK376" s="391" t="str">
        <f>INPUT!AL$6</f>
        <v>% Chg</v>
      </c>
      <c r="AL376" s="390" t="str">
        <f>INPUT!AM$6</f>
        <v>3Q17</v>
      </c>
      <c r="AM376" s="391" t="str">
        <f>INPUT!AN$6</f>
        <v>% Chg</v>
      </c>
      <c r="AN376" s="390" t="str">
        <f>INPUT!AO$6</f>
        <v>4Q17</v>
      </c>
      <c r="AO376" s="391" t="str">
        <f>INPUT!AP$6</f>
        <v>% Chg</v>
      </c>
      <c r="AP376" s="390" t="str">
        <f>INPUT!AQ$6</f>
        <v>1Q18E</v>
      </c>
      <c r="AQ376" s="391" t="str">
        <f>INPUT!AR$6</f>
        <v>% Chg</v>
      </c>
      <c r="AR376" s="390" t="str">
        <f>INPUT!AS$6</f>
        <v>2Q18E</v>
      </c>
      <c r="AS376" s="391" t="str">
        <f>INPUT!AT$6</f>
        <v>% Chg</v>
      </c>
      <c r="AT376" s="390" t="str">
        <f>INPUT!AU$6</f>
        <v>3Q18E</v>
      </c>
      <c r="AU376" s="391" t="str">
        <f>INPUT!AV$6</f>
        <v>% Chg</v>
      </c>
      <c r="AV376" s="390" t="str">
        <f>INPUT!AW$6</f>
        <v>4Q18E</v>
      </c>
      <c r="AW376" s="391" t="str">
        <f>INPUT!AX$6</f>
        <v>% Chg</v>
      </c>
      <c r="AX376" s="390"/>
      <c r="AY376" s="392"/>
      <c r="AZ376" s="391"/>
      <c r="BA376" s="392"/>
      <c r="BB376" s="391"/>
      <c r="BC376" s="392"/>
      <c r="BD376" s="391"/>
      <c r="BE376" s="393"/>
      <c r="BF376" s="391"/>
      <c r="BG376" s="393"/>
      <c r="BH376" s="391"/>
      <c r="BI376" s="393"/>
      <c r="BJ376" s="391"/>
      <c r="BK376" s="393"/>
      <c r="BL376" s="391"/>
      <c r="BM376" s="390"/>
      <c r="BN376" s="391"/>
      <c r="BO376" s="390"/>
      <c r="BP376" s="391"/>
      <c r="BQ376" s="390"/>
      <c r="BR376" s="391"/>
      <c r="BS376" s="390" t="str">
        <f>INPUT!BB$6</f>
        <v>2013</v>
      </c>
      <c r="BT376" s="391" t="str">
        <f>INPUT!BC$6</f>
        <v>% Chg</v>
      </c>
      <c r="BU376" s="390" t="str">
        <f>INPUT!BD$6</f>
        <v>2014</v>
      </c>
      <c r="BV376" s="391" t="str">
        <f>INPUT!BE$6</f>
        <v>% Chg</v>
      </c>
      <c r="BW376" s="390" t="str">
        <f>INPUT!BF$6</f>
        <v>2015</v>
      </c>
      <c r="BX376" s="391" t="str">
        <f>INPUT!BG$6</f>
        <v>% Chg</v>
      </c>
      <c r="BY376" s="390" t="str">
        <f>INPUT!BH$6</f>
        <v>2016</v>
      </c>
      <c r="BZ376" s="391" t="str">
        <f>INPUT!BI$6</f>
        <v>% Chg</v>
      </c>
      <c r="CA376" s="390" t="str">
        <f>INPUT!BJ$6</f>
        <v>2017</v>
      </c>
      <c r="CB376" s="391" t="str">
        <f>INPUT!BK$6</f>
        <v>% Chg</v>
      </c>
      <c r="CC376" s="390" t="str">
        <f>INPUT!BL$6</f>
        <v>2018E</v>
      </c>
      <c r="CD376" s="391" t="str">
        <f>INPUT!BM$6</f>
        <v>% Chg</v>
      </c>
      <c r="CE376" s="390" t="str">
        <f>INPUT!BN$6</f>
        <v>2019E</v>
      </c>
      <c r="CF376" s="391" t="str">
        <f>INPUT!BO$6</f>
        <v>% Chg</v>
      </c>
      <c r="CG376" s="390" t="str">
        <f>INPUT!BP$6</f>
        <v>2020E</v>
      </c>
      <c r="CH376" s="391" t="str">
        <f>INPUT!BQ$6</f>
        <v>% Chg</v>
      </c>
      <c r="CI376" s="390" t="str">
        <f>INPUT!BR$6</f>
        <v>2021E</v>
      </c>
      <c r="CJ376" s="391" t="str">
        <f>INPUT!BS$6</f>
        <v>% Chg</v>
      </c>
      <c r="CK376" s="390" t="str">
        <f>INPUT!BT$6</f>
        <v>2022E</v>
      </c>
      <c r="CL376" s="391" t="str">
        <f>INPUT!BU$6</f>
        <v>% Chg</v>
      </c>
      <c r="CM376" s="391" t="str">
        <f>INPUT!BV$6</f>
        <v>(%)</v>
      </c>
    </row>
    <row r="377" spans="1:91" ht="12" hidden="1" customHeight="1" outlineLevel="1" x14ac:dyDescent="0.2">
      <c r="A377" s="394"/>
      <c r="B377" s="395"/>
      <c r="C377" s="422"/>
      <c r="D377" s="395"/>
      <c r="E377" s="396"/>
      <c r="F377" s="395"/>
      <c r="G377" s="396"/>
      <c r="H377" s="395"/>
      <c r="I377" s="396"/>
      <c r="J377" s="395"/>
      <c r="K377" s="396"/>
      <c r="L377" s="395"/>
      <c r="M377" s="396"/>
      <c r="N377" s="395"/>
      <c r="O377" s="396"/>
      <c r="P377" s="395"/>
      <c r="Q377" s="396"/>
      <c r="R377" s="395"/>
      <c r="S377" s="396"/>
      <c r="T377" s="395"/>
      <c r="U377" s="396"/>
      <c r="V377" s="395"/>
      <c r="W377" s="396"/>
      <c r="X377" s="395"/>
      <c r="Y377" s="396"/>
      <c r="Z377" s="395"/>
      <c r="AA377" s="396"/>
      <c r="AB377" s="395"/>
      <c r="AC377" s="396"/>
      <c r="AD377" s="395"/>
      <c r="AE377" s="396"/>
      <c r="AF377" s="395"/>
      <c r="AG377" s="396"/>
      <c r="AH377" s="395"/>
      <c r="AI377" s="396"/>
      <c r="AJ377" s="395"/>
      <c r="AK377" s="396"/>
      <c r="AL377" s="395"/>
      <c r="AM377" s="396"/>
      <c r="AN377" s="395"/>
      <c r="AO377" s="396"/>
      <c r="AP377" s="395"/>
      <c r="AQ377" s="396"/>
      <c r="AR377" s="395"/>
      <c r="AS377" s="396"/>
      <c r="AT377" s="395"/>
      <c r="AU377" s="396"/>
      <c r="AV377" s="395"/>
      <c r="AW377" s="396"/>
      <c r="AX377" s="395"/>
      <c r="AY377" s="395"/>
      <c r="AZ377" s="422"/>
      <c r="BA377" s="395"/>
      <c r="BB377" s="422"/>
      <c r="BC377" s="395"/>
      <c r="BD377" s="422"/>
      <c r="BE377" s="395"/>
      <c r="BF377" s="396"/>
      <c r="BG377" s="395"/>
      <c r="BH377" s="396"/>
      <c r="BI377" s="395"/>
      <c r="BJ377" s="396"/>
      <c r="BK377" s="395"/>
      <c r="BL377" s="396"/>
      <c r="BM377" s="395"/>
      <c r="BN377" s="396"/>
      <c r="BO377" s="395"/>
      <c r="BP377" s="396"/>
      <c r="BQ377" s="395"/>
      <c r="BR377" s="396"/>
      <c r="BS377" s="395"/>
      <c r="BT377" s="396"/>
      <c r="BU377" s="395"/>
      <c r="BV377" s="396"/>
      <c r="BW377" s="395"/>
      <c r="BX377" s="396"/>
      <c r="BY377" s="395"/>
      <c r="BZ377" s="396"/>
      <c r="CA377" s="395"/>
      <c r="CB377" s="396"/>
      <c r="CC377" s="395"/>
      <c r="CD377" s="396"/>
      <c r="CE377" s="395"/>
      <c r="CF377" s="396"/>
      <c r="CG377" s="395"/>
      <c r="CH377" s="396"/>
      <c r="CI377" s="395"/>
      <c r="CJ377" s="396"/>
      <c r="CK377" s="395"/>
      <c r="CL377" s="396"/>
      <c r="CM377" s="422"/>
    </row>
    <row r="378" spans="1:91" ht="12" hidden="1" customHeight="1" outlineLevel="1" x14ac:dyDescent="0.2">
      <c r="A378" s="394" t="s">
        <v>412</v>
      </c>
      <c r="B378" s="398"/>
      <c r="C378" s="424"/>
      <c r="D378" s="398"/>
      <c r="E378" s="382"/>
      <c r="F378" s="398"/>
      <c r="G378" s="382"/>
      <c r="H378" s="398"/>
      <c r="I378" s="382"/>
      <c r="J378" s="398"/>
      <c r="K378" s="382"/>
      <c r="L378" s="398"/>
      <c r="M378" s="382"/>
      <c r="N378" s="398"/>
      <c r="O378" s="382"/>
      <c r="P378" s="398"/>
      <c r="Q378" s="382"/>
      <c r="R378" s="398"/>
      <c r="S378" s="382"/>
      <c r="T378" s="398"/>
      <c r="U378" s="382"/>
      <c r="V378" s="398"/>
      <c r="W378" s="382"/>
      <c r="X378" s="398"/>
      <c r="Y378" s="382"/>
      <c r="Z378" s="398"/>
      <c r="AA378" s="382"/>
      <c r="AB378" s="398"/>
      <c r="AC378" s="382"/>
      <c r="AD378" s="398"/>
      <c r="AE378" s="382"/>
      <c r="AF378" s="398"/>
      <c r="AG378" s="382"/>
      <c r="AH378" s="398"/>
      <c r="AI378" s="382"/>
      <c r="AJ378" s="398"/>
      <c r="AK378" s="382"/>
      <c r="AL378" s="398"/>
      <c r="AM378" s="382"/>
      <c r="AN378" s="398"/>
      <c r="AO378" s="382"/>
      <c r="AP378" s="398"/>
      <c r="AQ378" s="382"/>
      <c r="AR378" s="398"/>
      <c r="AS378" s="382"/>
      <c r="AT378" s="398"/>
      <c r="AU378" s="382"/>
      <c r="AV378" s="398"/>
      <c r="AW378" s="382"/>
      <c r="AX378" s="398"/>
      <c r="AY378" s="398"/>
      <c r="AZ378" s="424"/>
      <c r="BA378" s="398"/>
      <c r="BB378" s="424"/>
      <c r="BC378" s="398"/>
      <c r="BD378" s="424"/>
      <c r="BE378" s="398"/>
      <c r="BF378" s="382"/>
      <c r="BG378" s="398"/>
      <c r="BH378" s="382"/>
      <c r="BI378" s="398"/>
      <c r="BJ378" s="382"/>
      <c r="BK378" s="398"/>
      <c r="BL378" s="382"/>
      <c r="BM378" s="398"/>
      <c r="BN378" s="382"/>
      <c r="BO378" s="398"/>
      <c r="BP378" s="382"/>
      <c r="BQ378" s="398"/>
      <c r="BR378" s="382"/>
      <c r="BS378" s="398"/>
      <c r="BT378" s="382"/>
      <c r="BU378" s="398"/>
      <c r="BV378" s="382"/>
      <c r="BW378" s="398"/>
      <c r="BX378" s="382"/>
      <c r="BY378" s="398"/>
      <c r="BZ378" s="382"/>
      <c r="CA378" s="398"/>
      <c r="CB378" s="382"/>
      <c r="CC378" s="398"/>
      <c r="CD378" s="382"/>
      <c r="CE378" s="398"/>
      <c r="CF378" s="382"/>
      <c r="CG378" s="398"/>
      <c r="CH378" s="382"/>
      <c r="CI378" s="398"/>
      <c r="CJ378" s="382"/>
      <c r="CK378" s="398"/>
      <c r="CL378" s="382"/>
      <c r="CM378" s="424"/>
    </row>
    <row r="379" spans="1:91" ht="12" hidden="1" customHeight="1" outlineLevel="1" x14ac:dyDescent="0.2">
      <c r="A379" s="400" t="str">
        <f>+INPUT!B637</f>
        <v>Pretax Margin (%)</v>
      </c>
      <c r="B379" s="457">
        <f>INPUT!C417</f>
        <v>8.3263598326359975</v>
      </c>
      <c r="C379" s="396" t="str">
        <f>INPUT!D417</f>
        <v>NA</v>
      </c>
      <c r="D379" s="457">
        <f>INPUT!E417</f>
        <v>13.333333333333327</v>
      </c>
      <c r="E379" s="458" t="str">
        <f>INPUT!F417</f>
        <v>NA</v>
      </c>
      <c r="F379" s="457">
        <f>INPUT!G417</f>
        <v>14.57658491439151</v>
      </c>
      <c r="G379" s="396" t="str">
        <f>INPUT!H417</f>
        <v>NA</v>
      </c>
      <c r="H379" s="457">
        <f>INPUT!I417</f>
        <v>20.931263858093121</v>
      </c>
      <c r="I379" s="458" t="str">
        <f>INPUT!J417</f>
        <v>NA</v>
      </c>
      <c r="J379" s="457">
        <f>INPUT!K417</f>
        <v>9.2924126172208066</v>
      </c>
      <c r="K379" s="458">
        <f>INPUT!L417</f>
        <v>11.602342488229596</v>
      </c>
      <c r="L379" s="457">
        <f>INPUT!M417</f>
        <v>11.91709844559584</v>
      </c>
      <c r="M379" s="458">
        <f>INPUT!N417</f>
        <v>-10.621761658031147</v>
      </c>
      <c r="N379" s="457">
        <f>INPUT!O417</f>
        <v>32.525510204081613</v>
      </c>
      <c r="O379" s="396" t="str">
        <f>INPUT!P417</f>
        <v>NM</v>
      </c>
      <c r="P379" s="457">
        <f>INPUT!Q417</f>
        <v>16.64532650448146</v>
      </c>
      <c r="Q379" s="458">
        <f>INPUT!R417</f>
        <v>-20.476247314394698</v>
      </c>
      <c r="R379" s="457">
        <f>INPUT!S417</f>
        <v>14.164648910411632</v>
      </c>
      <c r="S379" s="458">
        <f>INPUT!T417</f>
        <v>52.432414421218652</v>
      </c>
      <c r="T379" s="457">
        <f>INPUT!U417</f>
        <v>15.291666666666663</v>
      </c>
      <c r="U379" s="458">
        <f>INPUT!V417</f>
        <v>28.317028985507363</v>
      </c>
      <c r="V379" s="457">
        <f>INPUT!W417</f>
        <v>44.941471571906355</v>
      </c>
      <c r="W379" s="458">
        <f>INPUT!X417</f>
        <v>38.172994950488658</v>
      </c>
      <c r="X379" s="457">
        <f>INPUT!Y417</f>
        <v>12.463404433291515</v>
      </c>
      <c r="Y379" s="458">
        <f>INPUT!Z417</f>
        <v>-25.123701058456476</v>
      </c>
      <c r="Z379" s="457">
        <f>INPUT!AA417</f>
        <v>16.418495297805634</v>
      </c>
      <c r="AA379" s="458">
        <f>INPUT!AB417</f>
        <v>15.911770222114924</v>
      </c>
      <c r="AB379" s="457">
        <f>INPUT!AC417</f>
        <v>14.786767636508555</v>
      </c>
      <c r="AC379" s="458">
        <f>INPUT!AD417</f>
        <v>-3.3017920228323021</v>
      </c>
      <c r="AD379" s="457">
        <f>INPUT!AE417</f>
        <v>-1.5352697095435401</v>
      </c>
      <c r="AE379" s="396" t="str">
        <f>INPUT!AF417</f>
        <v>NM</v>
      </c>
      <c r="AF379" s="457">
        <f>INPUT!AG417</f>
        <v>14.056224899598394</v>
      </c>
      <c r="AG379" s="458">
        <f>INPUT!AH417</f>
        <v>12.779978976307873</v>
      </c>
      <c r="AH379" s="457">
        <f>INPUT!AI417</f>
        <v>15.074074074074071</v>
      </c>
      <c r="AI379" s="458">
        <f>INPUT!AJ417</f>
        <v>-8.1884557588614513</v>
      </c>
      <c r="AJ379" s="457">
        <f>INPUT!AK417</f>
        <v>15.099925980754996</v>
      </c>
      <c r="AK379" s="458">
        <f>INPUT!AL417</f>
        <v>2.1178282633809147</v>
      </c>
      <c r="AL379" s="457">
        <f>INPUT!AM417</f>
        <v>-0.21913805697590313</v>
      </c>
      <c r="AM379" s="458" t="str">
        <f>INPUT!AN417</f>
        <v>NM</v>
      </c>
      <c r="AN379" s="457">
        <f>INPUT!AO417</f>
        <v>18.002236302646295</v>
      </c>
      <c r="AO379" s="458">
        <f>INPUT!AP417</f>
        <v>28.073052553112205</v>
      </c>
      <c r="AP379" s="457">
        <f>INPUT!AQ417</f>
        <v>13.691017517704058</v>
      </c>
      <c r="AQ379" s="458">
        <f>INPUT!AR417</f>
        <v>-9.1750680643710893</v>
      </c>
      <c r="AR379" s="457">
        <f>INPUT!AS417</f>
        <v>14.500372717107727</v>
      </c>
      <c r="AS379" s="458">
        <f>INPUT!AT417</f>
        <v>-3.9705708783699123</v>
      </c>
      <c r="AT379" s="457">
        <f>INPUT!AU417</f>
        <v>15.714405516213207</v>
      </c>
      <c r="AU379" s="458" t="str">
        <f>INPUT!AV417</f>
        <v>NM</v>
      </c>
      <c r="AV379" s="457">
        <f>INPUT!AW417</f>
        <v>16.523760715616852</v>
      </c>
      <c r="AW379" s="458">
        <f>INPUT!AX417</f>
        <v>-8.2127329192546483</v>
      </c>
      <c r="AX379" s="398"/>
      <c r="AY379" s="457"/>
      <c r="AZ379" s="458"/>
      <c r="BA379" s="457"/>
      <c r="BB379" s="458"/>
      <c r="BC379" s="457"/>
      <c r="BD379" s="458"/>
      <c r="BE379" s="457"/>
      <c r="BF379" s="458"/>
      <c r="BG379" s="457"/>
      <c r="BH379" s="458"/>
      <c r="BI379" s="457"/>
      <c r="BJ379" s="458"/>
      <c r="BK379" s="457"/>
      <c r="BL379" s="458"/>
      <c r="BM379" s="457"/>
      <c r="BN379" s="458"/>
      <c r="BO379" s="457"/>
      <c r="BP379" s="458"/>
      <c r="BQ379" s="457"/>
      <c r="BR379" s="458"/>
      <c r="BS379" s="457">
        <f>INPUT!BB417</f>
        <v>14.199096020284443</v>
      </c>
      <c r="BT379" s="458" t="str">
        <f>INPUT!BC417</f>
        <v>NA</v>
      </c>
      <c r="BU379" s="457">
        <f>INPUT!BD417</f>
        <v>17.623169819386565</v>
      </c>
      <c r="BV379" s="458">
        <f>INPUT!BE417</f>
        <v>24.114730925198202</v>
      </c>
      <c r="BW379" s="457">
        <f>INPUT!BF417</f>
        <v>21.643722181968709</v>
      </c>
      <c r="BX379" s="458">
        <f>INPUT!BG417</f>
        <v>22.814013618363305</v>
      </c>
      <c r="BY379" s="457">
        <f>INPUT!BH417</f>
        <v>11.073185423150258</v>
      </c>
      <c r="BZ379" s="458">
        <f>INPUT!BI417</f>
        <v>-48.838811873240175</v>
      </c>
      <c r="CA379" s="457">
        <f>INPUT!BJ417</f>
        <v>11.937540423172878</v>
      </c>
      <c r="CB379" s="458">
        <f>INPUT!BK417</f>
        <v>7.805838762670291</v>
      </c>
      <c r="CC379" s="457">
        <f>INPUT!BL417</f>
        <v>15.119468795848665</v>
      </c>
      <c r="CD379" s="458">
        <f>INPUT!BM417</f>
        <v>26.654807103304961</v>
      </c>
      <c r="CE379" s="457">
        <f>INPUT!BN417</f>
        <v>15.281339835729366</v>
      </c>
      <c r="CF379" s="458">
        <f>INPUT!BO417</f>
        <v>1.0706132739607028</v>
      </c>
      <c r="CG379" s="457">
        <f>INPUT!BP417</f>
        <v>14.795726716087177</v>
      </c>
      <c r="CH379" s="458">
        <f>INPUT!BQ417</f>
        <v>-3.1778176839361549</v>
      </c>
      <c r="CI379" s="457">
        <f>INPUT!BR417</f>
        <v>14.471984636325724</v>
      </c>
      <c r="CJ379" s="458">
        <f>INPUT!BS417</f>
        <v>-2.1880782605254012</v>
      </c>
      <c r="CK379" s="457">
        <f>INPUT!BT417</f>
        <v>14.148242556564238</v>
      </c>
      <c r="CL379" s="458">
        <f>INPUT!BU417</f>
        <v>-2.2370261432483147</v>
      </c>
      <c r="CM379" s="424">
        <f>INPUT!BV417</f>
        <v>3.4564395982236817</v>
      </c>
    </row>
    <row r="380" spans="1:91" ht="12" hidden="1" customHeight="1" outlineLevel="1" x14ac:dyDescent="0.2">
      <c r="A380" s="400" t="str">
        <f>+INPUT!B739</f>
        <v>Core After-tax Margin (%)</v>
      </c>
      <c r="B380" s="457">
        <f>INPUT!C418</f>
        <v>8.3263598326359975</v>
      </c>
      <c r="C380" s="396" t="str">
        <f>INPUT!D421</f>
        <v>NA</v>
      </c>
      <c r="D380" s="457">
        <f>INPUT!E421</f>
        <v>9.4922737306843228</v>
      </c>
      <c r="E380" s="458" t="str">
        <f>INPUT!F421</f>
        <v>NA</v>
      </c>
      <c r="F380" s="457">
        <f>INPUT!G421</f>
        <v>10.319296621934315</v>
      </c>
      <c r="G380" s="396" t="str">
        <f>INPUT!H421</f>
        <v>NA</v>
      </c>
      <c r="H380" s="457">
        <f>INPUT!I421</f>
        <v>14.456762749445669</v>
      </c>
      <c r="I380" s="458" t="str">
        <f>INPUT!J421</f>
        <v>NA</v>
      </c>
      <c r="J380" s="457">
        <f>INPUT!K421</f>
        <v>7.3742540494458702</v>
      </c>
      <c r="K380" s="458">
        <f>INPUT!L421</f>
        <v>18.285014618628111</v>
      </c>
      <c r="L380" s="457">
        <f>INPUT!M421</f>
        <v>8.6355785837650973</v>
      </c>
      <c r="M380" s="458">
        <f>INPUT!N421</f>
        <v>-9.0251837570792759</v>
      </c>
      <c r="N380" s="457">
        <f>INPUT!O421</f>
        <v>0</v>
      </c>
      <c r="O380" s="396" t="str">
        <f>INPUT!P421</f>
        <v>NM</v>
      </c>
      <c r="P380" s="457">
        <f>INPUT!Q421</f>
        <v>0</v>
      </c>
      <c r="Q380" s="396" t="str">
        <f>INPUT!R421</f>
        <v>NM</v>
      </c>
      <c r="R380" s="457">
        <f>INPUT!S421</f>
        <v>0</v>
      </c>
      <c r="S380" s="396" t="str">
        <f>INPUT!T421</f>
        <v>NM</v>
      </c>
      <c r="T380" s="457">
        <f>INPUT!U421</f>
        <v>0</v>
      </c>
      <c r="U380" s="396" t="str">
        <f>INPUT!V421</f>
        <v>NM</v>
      </c>
      <c r="V380" s="457">
        <f>INPUT!W421</f>
        <v>0</v>
      </c>
      <c r="W380" s="396" t="str">
        <f>INPUT!X421</f>
        <v>NA</v>
      </c>
      <c r="X380" s="457">
        <f>INPUT!Y421</f>
        <v>0</v>
      </c>
      <c r="Y380" s="396" t="str">
        <f>INPUT!Z421</f>
        <v>NA</v>
      </c>
      <c r="Z380" s="457">
        <f>INPUT!AA421</f>
        <v>0</v>
      </c>
      <c r="AA380" s="396" t="str">
        <f>INPUT!AB421</f>
        <v>NA</v>
      </c>
      <c r="AB380" s="457">
        <f>INPUT!AC421</f>
        <v>0</v>
      </c>
      <c r="AC380" s="396" t="str">
        <f>INPUT!AD421</f>
        <v>NA</v>
      </c>
      <c r="AD380" s="457">
        <f>INPUT!AE421</f>
        <v>0</v>
      </c>
      <c r="AE380" s="396" t="str">
        <f>INPUT!AF421</f>
        <v>NA</v>
      </c>
      <c r="AF380" s="457">
        <f>INPUT!AG421</f>
        <v>0</v>
      </c>
      <c r="AG380" s="396" t="str">
        <f>INPUT!AH421</f>
        <v>NA</v>
      </c>
      <c r="AH380" s="457">
        <f>INPUT!AI421</f>
        <v>0</v>
      </c>
      <c r="AI380" s="396" t="str">
        <f>INPUT!AJ421</f>
        <v>NA</v>
      </c>
      <c r="AJ380" s="457">
        <f>INPUT!AK421</f>
        <v>0</v>
      </c>
      <c r="AK380" s="396" t="str">
        <f>INPUT!AL421</f>
        <v>NA</v>
      </c>
      <c r="AL380" s="457">
        <f>INPUT!AM421</f>
        <v>0</v>
      </c>
      <c r="AM380" s="396" t="str">
        <f>INPUT!AN421</f>
        <v>NA</v>
      </c>
      <c r="AN380" s="457">
        <f>INPUT!AO421</f>
        <v>0</v>
      </c>
      <c r="AO380" s="396" t="str">
        <f>INPUT!AP421</f>
        <v>NA</v>
      </c>
      <c r="AP380" s="457">
        <f>INPUT!AQ421</f>
        <v>0</v>
      </c>
      <c r="AQ380" s="396" t="str">
        <f>INPUT!AR421</f>
        <v>NA</v>
      </c>
      <c r="AR380" s="457">
        <f>INPUT!AS421</f>
        <v>0</v>
      </c>
      <c r="AS380" s="396" t="str">
        <f>INPUT!AT421</f>
        <v>NA</v>
      </c>
      <c r="AT380" s="457">
        <f>INPUT!AU421</f>
        <v>0</v>
      </c>
      <c r="AU380" s="396" t="str">
        <f>INPUT!AV421</f>
        <v>NA</v>
      </c>
      <c r="AV380" s="457">
        <f>INPUT!AW421</f>
        <v>0</v>
      </c>
      <c r="AW380" s="396" t="str">
        <f>INPUT!AX421</f>
        <v>NA</v>
      </c>
      <c r="AX380" s="398"/>
      <c r="AY380" s="457"/>
      <c r="AZ380" s="458"/>
      <c r="BA380" s="457"/>
      <c r="BB380" s="458"/>
      <c r="BC380" s="457"/>
      <c r="BD380" s="458"/>
      <c r="BE380" s="457"/>
      <c r="BF380" s="458"/>
      <c r="BG380" s="457"/>
      <c r="BH380" s="458"/>
      <c r="BI380" s="457"/>
      <c r="BJ380" s="458"/>
      <c r="BK380" s="457"/>
      <c r="BL380" s="458"/>
      <c r="BM380" s="457"/>
      <c r="BN380" s="458"/>
      <c r="BO380" s="457"/>
      <c r="BP380" s="458"/>
      <c r="BQ380" s="457"/>
      <c r="BR380" s="458"/>
      <c r="BS380" s="457">
        <f>INPUT!BB421</f>
        <v>0</v>
      </c>
      <c r="BT380" s="396" t="str">
        <f>INPUT!BC421</f>
        <v>NA</v>
      </c>
      <c r="BU380" s="457">
        <f>INPUT!BD421</f>
        <v>0</v>
      </c>
      <c r="BV380" s="396" t="str">
        <f>INPUT!BE421</f>
        <v>NA</v>
      </c>
      <c r="BW380" s="457">
        <f>INPUT!BF421</f>
        <v>0</v>
      </c>
      <c r="BX380" s="396" t="str">
        <f>INPUT!BG421</f>
        <v>NA</v>
      </c>
      <c r="BY380" s="457">
        <f>INPUT!BH421</f>
        <v>0</v>
      </c>
      <c r="BZ380" s="396" t="str">
        <f>INPUT!BI421</f>
        <v>NA</v>
      </c>
      <c r="CA380" s="457">
        <f>INPUT!BJ421</f>
        <v>0</v>
      </c>
      <c r="CB380" s="396" t="str">
        <f>INPUT!BK421</f>
        <v>NA</v>
      </c>
      <c r="CC380" s="457">
        <f>INPUT!BL421</f>
        <v>0</v>
      </c>
      <c r="CD380" s="396" t="str">
        <f>INPUT!BM421</f>
        <v>NA</v>
      </c>
      <c r="CE380" s="457">
        <f>INPUT!BN421</f>
        <v>0</v>
      </c>
      <c r="CF380" s="396" t="str">
        <f>INPUT!BO421</f>
        <v>NA</v>
      </c>
      <c r="CG380" s="457">
        <f>INPUT!BP421</f>
        <v>0</v>
      </c>
      <c r="CH380" s="396" t="str">
        <f>INPUT!BQ421</f>
        <v>NA</v>
      </c>
      <c r="CI380" s="457">
        <f>INPUT!BR421</f>
        <v>0</v>
      </c>
      <c r="CJ380" s="396" t="str">
        <f>INPUT!BS421</f>
        <v>NA</v>
      </c>
      <c r="CK380" s="457">
        <f>INPUT!BT421</f>
        <v>0</v>
      </c>
      <c r="CL380" s="396" t="str">
        <f>INPUT!BU421</f>
        <v>NA</v>
      </c>
      <c r="CM380" s="424" t="str">
        <f>INPUT!BV421</f>
        <v>NA</v>
      </c>
    </row>
    <row r="381" spans="1:91" ht="12" hidden="1" customHeight="1" outlineLevel="1" x14ac:dyDescent="0.2">
      <c r="A381" s="400"/>
      <c r="B381" s="461"/>
      <c r="C381" s="458"/>
      <c r="D381" s="461"/>
      <c r="E381" s="458"/>
      <c r="F381" s="461"/>
      <c r="G381" s="458"/>
      <c r="H381" s="461"/>
      <c r="I381" s="458"/>
      <c r="J381" s="461"/>
      <c r="K381" s="458"/>
      <c r="L381" s="461"/>
      <c r="M381" s="458"/>
      <c r="N381" s="461"/>
      <c r="O381" s="458"/>
      <c r="P381" s="461"/>
      <c r="Q381" s="458"/>
      <c r="R381" s="461"/>
      <c r="S381" s="458"/>
      <c r="T381" s="461"/>
      <c r="U381" s="458"/>
      <c r="V381" s="461"/>
      <c r="W381" s="458"/>
      <c r="X381" s="461"/>
      <c r="Y381" s="458"/>
      <c r="Z381" s="461"/>
      <c r="AA381" s="458"/>
      <c r="AB381" s="461"/>
      <c r="AC381" s="458"/>
      <c r="AD381" s="461"/>
      <c r="AE381" s="458"/>
      <c r="AF381" s="461"/>
      <c r="AG381" s="458"/>
      <c r="AH381" s="461"/>
      <c r="AI381" s="458"/>
      <c r="AJ381" s="461"/>
      <c r="AK381" s="458"/>
      <c r="AL381" s="461"/>
      <c r="AM381" s="458"/>
      <c r="AN381" s="461"/>
      <c r="AO381" s="458"/>
      <c r="AP381" s="461"/>
      <c r="AQ381" s="458"/>
      <c r="AR381" s="461"/>
      <c r="AS381" s="458"/>
      <c r="AT381" s="461"/>
      <c r="AU381" s="458"/>
      <c r="AV381" s="461"/>
      <c r="AW381" s="458"/>
      <c r="AX381" s="398"/>
      <c r="AY381" s="461"/>
      <c r="AZ381" s="458"/>
      <c r="BA381" s="461"/>
      <c r="BB381" s="458"/>
      <c r="BC381" s="461"/>
      <c r="BD381" s="458"/>
      <c r="BE381" s="461"/>
      <c r="BF381" s="458"/>
      <c r="BG381" s="461"/>
      <c r="BH381" s="458"/>
      <c r="BI381" s="461"/>
      <c r="BJ381" s="458"/>
      <c r="BK381" s="461"/>
      <c r="BL381" s="458"/>
      <c r="BM381" s="461"/>
      <c r="BN381" s="458"/>
      <c r="BO381" s="461"/>
      <c r="BP381" s="458"/>
      <c r="BQ381" s="461"/>
      <c r="BR381" s="458"/>
      <c r="BS381" s="461"/>
      <c r="BT381" s="458"/>
      <c r="BU381" s="461"/>
      <c r="BV381" s="458"/>
      <c r="BW381" s="461"/>
      <c r="BX381" s="458"/>
      <c r="BY381" s="461"/>
      <c r="BZ381" s="458"/>
      <c r="CA381" s="461"/>
      <c r="CB381" s="458"/>
      <c r="CC381" s="461"/>
      <c r="CD381" s="458"/>
      <c r="CE381" s="461"/>
      <c r="CF381" s="458"/>
      <c r="CG381" s="461"/>
      <c r="CH381" s="458"/>
      <c r="CI381" s="461"/>
      <c r="CJ381" s="458"/>
      <c r="CK381" s="461"/>
      <c r="CL381" s="458"/>
      <c r="CM381" s="424"/>
    </row>
    <row r="382" spans="1:91" ht="12" hidden="1" customHeight="1" outlineLevel="1" x14ac:dyDescent="0.2">
      <c r="A382" s="394" t="s">
        <v>219</v>
      </c>
      <c r="B382" s="461"/>
      <c r="C382" s="396"/>
      <c r="D382" s="461"/>
      <c r="E382" s="396"/>
      <c r="F382" s="461"/>
      <c r="G382" s="396"/>
      <c r="H382" s="461"/>
      <c r="I382" s="396"/>
      <c r="J382" s="461"/>
      <c r="K382" s="396"/>
      <c r="L382" s="461"/>
      <c r="M382" s="396"/>
      <c r="N382" s="461"/>
      <c r="O382" s="396"/>
      <c r="P382" s="461"/>
      <c r="Q382" s="396"/>
      <c r="R382" s="461"/>
      <c r="S382" s="396"/>
      <c r="T382" s="461"/>
      <c r="U382" s="396"/>
      <c r="V382" s="461"/>
      <c r="W382" s="396"/>
      <c r="X382" s="461"/>
      <c r="Y382" s="396"/>
      <c r="Z382" s="461"/>
      <c r="AA382" s="396"/>
      <c r="AB382" s="461"/>
      <c r="AC382" s="396"/>
      <c r="AD382" s="461"/>
      <c r="AE382" s="396"/>
      <c r="AF382" s="461"/>
      <c r="AG382" s="396"/>
      <c r="AH382" s="461"/>
      <c r="AI382" s="396"/>
      <c r="AJ382" s="461"/>
      <c r="AK382" s="396"/>
      <c r="AL382" s="461"/>
      <c r="AM382" s="396"/>
      <c r="AN382" s="461"/>
      <c r="AO382" s="396"/>
      <c r="AP382" s="461"/>
      <c r="AQ382" s="396"/>
      <c r="AR382" s="461"/>
      <c r="AS382" s="396"/>
      <c r="AT382" s="461"/>
      <c r="AU382" s="396"/>
      <c r="AV382" s="461"/>
      <c r="AW382" s="396"/>
      <c r="AX382" s="398"/>
      <c r="AY382" s="461"/>
      <c r="AZ382" s="396"/>
      <c r="BA382" s="461"/>
      <c r="BB382" s="396"/>
      <c r="BC382" s="461"/>
      <c r="BD382" s="396"/>
      <c r="BE382" s="461"/>
      <c r="BF382" s="396"/>
      <c r="BG382" s="461"/>
      <c r="BH382" s="396"/>
      <c r="BI382" s="461"/>
      <c r="BJ382" s="396"/>
      <c r="BK382" s="461"/>
      <c r="BL382" s="396"/>
      <c r="BM382" s="461"/>
      <c r="BN382" s="396"/>
      <c r="BO382" s="461"/>
      <c r="BP382" s="396"/>
      <c r="BQ382" s="461"/>
      <c r="BR382" s="396"/>
      <c r="BS382" s="461"/>
      <c r="BT382" s="396"/>
      <c r="BU382" s="461"/>
      <c r="BV382" s="396"/>
      <c r="BW382" s="461"/>
      <c r="BX382" s="396"/>
      <c r="BY382" s="461"/>
      <c r="BZ382" s="396"/>
      <c r="CA382" s="461"/>
      <c r="CB382" s="396"/>
      <c r="CC382" s="461"/>
      <c r="CD382" s="396"/>
      <c r="CE382" s="461"/>
      <c r="CF382" s="396"/>
      <c r="CG382" s="461"/>
      <c r="CH382" s="396"/>
      <c r="CI382" s="461"/>
      <c r="CJ382" s="396"/>
      <c r="CK382" s="461"/>
      <c r="CL382" s="396"/>
      <c r="CM382" s="424"/>
    </row>
    <row r="383" spans="1:91" ht="12" hidden="1" customHeight="1" outlineLevel="1" x14ac:dyDescent="0.2">
      <c r="A383" s="400" t="s">
        <v>420</v>
      </c>
      <c r="B383" s="423">
        <f>INPUT!C400</f>
        <v>74.28194993412383</v>
      </c>
      <c r="C383" s="424" t="str">
        <f>INPUT!D400</f>
        <v>NA</v>
      </c>
      <c r="D383" s="429">
        <f>INPUT!E400</f>
        <v>71.304347826086968</v>
      </c>
      <c r="E383" s="382" t="str">
        <f>INPUT!F400</f>
        <v>NA</v>
      </c>
      <c r="F383" s="429">
        <f>INPUT!G400</f>
        <v>69.589192169837318</v>
      </c>
      <c r="G383" s="382" t="str">
        <f>INPUT!H400</f>
        <v>NA</v>
      </c>
      <c r="H383" s="429">
        <f>INPUT!I400</f>
        <v>66.925965665236049</v>
      </c>
      <c r="I383" s="382" t="str">
        <f>INPUT!J400</f>
        <v>NA</v>
      </c>
      <c r="J383" s="429">
        <f>INPUT!K400</f>
        <v>74.153204794163628</v>
      </c>
      <c r="K383" s="382">
        <f>INPUT!L400</f>
        <v>-0.17331954811953665</v>
      </c>
      <c r="L383" s="429">
        <f>INPUT!M400</f>
        <v>73.560209424083766</v>
      </c>
      <c r="M383" s="382">
        <f>INPUT!N400</f>
        <v>3.1637083386540468</v>
      </c>
      <c r="N383" s="429">
        <f>INPUT!O400</f>
        <v>39.404233080742102</v>
      </c>
      <c r="O383" s="382">
        <f>INPUT!P400</f>
        <v>-43.375929721136444</v>
      </c>
      <c r="P383" s="429">
        <f>INPUT!Q400</f>
        <v>68.130165289256198</v>
      </c>
      <c r="Q383" s="382">
        <f>INPUT!R400</f>
        <v>1.7993010815018522</v>
      </c>
      <c r="R383" s="429">
        <f>INPUT!S400</f>
        <v>70.005058168942853</v>
      </c>
      <c r="S383" s="382">
        <f>INPUT!T400</f>
        <v>-5.5940220476448843</v>
      </c>
      <c r="T383" s="429">
        <f>INPUT!U400</f>
        <v>71.007121057985756</v>
      </c>
      <c r="U383" s="382">
        <f>INPUT!V400</f>
        <v>-3.4707464620976509</v>
      </c>
      <c r="V383" s="429">
        <f>INPUT!W400</f>
        <v>55.184804928131413</v>
      </c>
      <c r="W383" s="382">
        <f>INPUT!X400</f>
        <v>40.047910119336137</v>
      </c>
      <c r="X383" s="429">
        <f>INPUT!Y400</f>
        <v>70.44359949302914</v>
      </c>
      <c r="Y383" s="382">
        <f>INPUT!Z400</f>
        <v>3.3956092634605142</v>
      </c>
      <c r="Z383" s="429">
        <f>INPUT!AA400</f>
        <v>67.843137254901961</v>
      </c>
      <c r="AA383" s="382">
        <f>INPUT!AB400</f>
        <v>-3.0882352941176521</v>
      </c>
      <c r="AB383" s="429">
        <f>INPUT!AC400</f>
        <v>70.480605025616001</v>
      </c>
      <c r="AC383" s="382">
        <f>INPUT!AD400</f>
        <v>-0.74149750690469318</v>
      </c>
      <c r="AD383" s="429">
        <f>INPUT!AE400</f>
        <v>86.908635794743432</v>
      </c>
      <c r="AE383" s="382">
        <f>INPUT!AF400</f>
        <v>57.486532584335094</v>
      </c>
      <c r="AF383" s="429">
        <f>INPUT!AG400</f>
        <v>70.100318081722534</v>
      </c>
      <c r="AG383" s="382">
        <f>INPUT!AH400</f>
        <v>-0.48731384224704755</v>
      </c>
      <c r="AH383" s="429">
        <f>INPUT!AI400</f>
        <v>69.899509231128761</v>
      </c>
      <c r="AI383" s="382">
        <f>INPUT!AJ400</f>
        <v>3.0310685198718659</v>
      </c>
      <c r="AJ383" s="429">
        <f>INPUT!AK400</f>
        <v>70.258421781264417</v>
      </c>
      <c r="AK383" s="382">
        <f>INPUT!AL400</f>
        <v>-0.31524026258121296</v>
      </c>
      <c r="AL383" s="429">
        <f>INPUT!AM400</f>
        <v>71.336701883325688</v>
      </c>
      <c r="AM383" s="382">
        <f>INPUT!AN400</f>
        <v>-17.917591006945244</v>
      </c>
      <c r="AN383" s="429">
        <f>INPUT!AO400</f>
        <v>66.336633663366342</v>
      </c>
      <c r="AO383" s="382">
        <f>INPUT!AP400</f>
        <v>-5.3689976327475648</v>
      </c>
      <c r="AP383" s="429">
        <f>INPUT!AQ400</f>
        <v>69</v>
      </c>
      <c r="AQ383" s="382">
        <f>INPUT!AR400</f>
        <v>-1.2868605817452163</v>
      </c>
      <c r="AR383" s="429">
        <f>INPUT!AS400</f>
        <v>68.5</v>
      </c>
      <c r="AS383" s="382">
        <f>INPUT!AT400</f>
        <v>-2.5027914614121443</v>
      </c>
      <c r="AT383" s="429">
        <f>INPUT!AU400</f>
        <v>67.75</v>
      </c>
      <c r="AU383" s="382">
        <f>INPUT!AV400</f>
        <v>-5.0278493238892565</v>
      </c>
      <c r="AV383" s="429">
        <f>INPUT!AW400</f>
        <v>67.25</v>
      </c>
      <c r="AW383" s="382">
        <f>INPUT!AX400</f>
        <v>1.3768656716417951</v>
      </c>
      <c r="AX383" s="403"/>
      <c r="AY383" s="402"/>
      <c r="AZ383" s="432"/>
      <c r="BA383" s="402"/>
      <c r="BB383" s="432"/>
      <c r="BC383" s="402"/>
      <c r="BD383" s="432"/>
      <c r="BE383" s="402"/>
      <c r="BF383" s="382"/>
      <c r="BG383" s="402"/>
      <c r="BH383" s="382"/>
      <c r="BI383" s="402"/>
      <c r="BJ383" s="382"/>
      <c r="BK383" s="429"/>
      <c r="BL383" s="382"/>
      <c r="BM383" s="429"/>
      <c r="BN383" s="382"/>
      <c r="BO383" s="429"/>
      <c r="BP383" s="382"/>
      <c r="BQ383" s="429"/>
      <c r="BR383" s="382"/>
      <c r="BS383" s="429">
        <f>INPUT!BB400</f>
        <v>70.546190155091011</v>
      </c>
      <c r="BT383" s="382" t="str">
        <f>INPUT!BC400</f>
        <v>NA</v>
      </c>
      <c r="BU383" s="429">
        <f>INPUT!BD400</f>
        <v>63.827570489027799</v>
      </c>
      <c r="BV383" s="382">
        <f>INPUT!BE400</f>
        <v>-9.5237172288011323</v>
      </c>
      <c r="BW383" s="429">
        <f>INPUT!BF400</f>
        <v>66.694220130984945</v>
      </c>
      <c r="BX383" s="382">
        <f>INPUT!BG400</f>
        <v>4.4912404153780727</v>
      </c>
      <c r="BY383" s="429">
        <f>INPUT!BH400</f>
        <v>73.759301395978113</v>
      </c>
      <c r="BZ383" s="382">
        <f>INPUT!BI400</f>
        <v>10.593243689059733</v>
      </c>
      <c r="CA383" s="429">
        <f>INPUT!BJ400</f>
        <v>69.456961294049677</v>
      </c>
      <c r="CB383" s="382">
        <f>INPUT!BK400</f>
        <v>-5.8329458393745455</v>
      </c>
      <c r="CC383" s="429">
        <f>INPUT!BL400</f>
        <v>68.117537467358531</v>
      </c>
      <c r="CD383" s="382">
        <f>INPUT!BM400</f>
        <v>-1.9284227264429603</v>
      </c>
      <c r="CE383" s="429">
        <f>INPUT!BN400</f>
        <v>68.317537467358534</v>
      </c>
      <c r="CF383" s="382">
        <f>INPUT!BO400</f>
        <v>0.29361014422437393</v>
      </c>
      <c r="CG383" s="429">
        <f>INPUT!BP400</f>
        <v>68.617537467358531</v>
      </c>
      <c r="CH383" s="382">
        <f>INPUT!BQ400</f>
        <v>0.43912589815364811</v>
      </c>
      <c r="CI383" s="429">
        <f>INPUT!BR400</f>
        <v>68.817537467358534</v>
      </c>
      <c r="CJ383" s="382">
        <f>INPUT!BS400</f>
        <v>0.29147067554727357</v>
      </c>
      <c r="CK383" s="429">
        <f>INPUT!BT400</f>
        <v>69.017537467358537</v>
      </c>
      <c r="CL383" s="382">
        <f>INPUT!BU400</f>
        <v>0.29062359299744855</v>
      </c>
      <c r="CM383" s="424">
        <f>INPUT!BV400</f>
        <v>-0.12685267981400461</v>
      </c>
    </row>
    <row r="384" spans="1:91" ht="12" hidden="1" customHeight="1" outlineLevel="1" x14ac:dyDescent="0.2">
      <c r="A384" s="400" t="s">
        <v>386</v>
      </c>
      <c r="B384" s="423">
        <f>INPUT!C402</f>
        <v>8.9064558629776016</v>
      </c>
      <c r="C384" s="424" t="str">
        <f>INPUT!D402</f>
        <v>NA</v>
      </c>
      <c r="D384" s="429">
        <f>INPUT!E402</f>
        <v>7.0923913043478271</v>
      </c>
      <c r="E384" s="382" t="str">
        <f>INPUT!F402</f>
        <v>NA</v>
      </c>
      <c r="F384" s="429">
        <f>INPUT!G402</f>
        <v>4.5767852219465119</v>
      </c>
      <c r="G384" s="382" t="str">
        <f>INPUT!H402</f>
        <v>NA</v>
      </c>
      <c r="H384" s="429">
        <f>INPUT!I402</f>
        <v>5.5257510729613735</v>
      </c>
      <c r="I384" s="382" t="str">
        <f>INPUT!J402</f>
        <v>NA</v>
      </c>
      <c r="J384" s="429">
        <f>INPUT!K402</f>
        <v>5.9666492965085984</v>
      </c>
      <c r="K384" s="382">
        <f>INPUT!L402</f>
        <v>-33.007591478549898</v>
      </c>
      <c r="L384" s="429">
        <f>INPUT!M402</f>
        <v>5.6282722513088999</v>
      </c>
      <c r="M384" s="382">
        <f>INPUT!N402</f>
        <v>-20.643517682694451</v>
      </c>
      <c r="N384" s="429">
        <f>INPUT!O402</f>
        <v>5.3566762477136143</v>
      </c>
      <c r="O384" s="382">
        <f>INPUT!P402</f>
        <v>17.040149099140251</v>
      </c>
      <c r="P384" s="429">
        <f>INPUT!Q402</f>
        <v>6.1983471074380159</v>
      </c>
      <c r="Q384" s="382">
        <f>INPUT!R402</f>
        <v>12.172029206451086</v>
      </c>
      <c r="R384" s="429">
        <f>INPUT!S402</f>
        <v>5.9180576631259481</v>
      </c>
      <c r="S384" s="382">
        <f>INPUT!T402</f>
        <v>-0.81438728787166781</v>
      </c>
      <c r="T384" s="429">
        <f>INPUT!U402</f>
        <v>5.3407934893184139</v>
      </c>
      <c r="U384" s="382">
        <f>INPUT!V402</f>
        <v>-5.1077621897844523</v>
      </c>
      <c r="V384" s="429">
        <f>INPUT!W402</f>
        <v>4.9537987679671458</v>
      </c>
      <c r="W384" s="382">
        <f>INPUT!X402</f>
        <v>-7.5210347072669919</v>
      </c>
      <c r="X384" s="429">
        <f>INPUT!Y402</f>
        <v>5.7034220532319395</v>
      </c>
      <c r="Y384" s="382">
        <f>INPUT!Z402</f>
        <v>-7.9847908745246912</v>
      </c>
      <c r="Z384" s="429">
        <f>INPUT!AA402</f>
        <v>5.5147058823529411</v>
      </c>
      <c r="AA384" s="382">
        <f>INPUT!AB402</f>
        <v>-6.8156108597285083</v>
      </c>
      <c r="AB384" s="429">
        <f>INPUT!AC402</f>
        <v>5.6843132471334474</v>
      </c>
      <c r="AC384" s="382">
        <f>INPUT!AD402</f>
        <v>6.4319985129938715</v>
      </c>
      <c r="AD384" s="429">
        <f>INPUT!AE402</f>
        <v>5.2315394242803501</v>
      </c>
      <c r="AE384" s="382">
        <f>INPUT!AF402</f>
        <v>5.6066196735556701</v>
      </c>
      <c r="AF384" s="429">
        <f>INPUT!AG402</f>
        <v>6.4595057499388302</v>
      </c>
      <c r="AG384" s="382">
        <f>INPUT!AH402</f>
        <v>13.256667482260823</v>
      </c>
      <c r="AH384" s="429">
        <f>INPUT!AI402</f>
        <v>5.9827062397756494</v>
      </c>
      <c r="AI384" s="382">
        <f>INPUT!AJ402</f>
        <v>8.4864064812651065</v>
      </c>
      <c r="AJ384" s="429">
        <f>INPUT!AK402</f>
        <v>5.652976465159206</v>
      </c>
      <c r="AK384" s="382">
        <f>INPUT!AL402</f>
        <v>-0.55128527601895883</v>
      </c>
      <c r="AL384" s="429">
        <f>INPUT!AM402</f>
        <v>5.420303169499312</v>
      </c>
      <c r="AM384" s="382">
        <f>INPUT!AN402</f>
        <v>3.6081873787069583</v>
      </c>
      <c r="AN384" s="429">
        <f>INPUT!AO402</f>
        <v>6.2859774349527973</v>
      </c>
      <c r="AO384" s="382">
        <f>INPUT!AP402</f>
        <v>-2.6864023611663583</v>
      </c>
      <c r="AP384" s="429">
        <f>INPUT!AQ402</f>
        <v>6.2859774349527973</v>
      </c>
      <c r="AQ384" s="382">
        <f>INPUT!AR402</f>
        <v>5.0691306412617791</v>
      </c>
      <c r="AR384" s="429">
        <f>INPUT!AS402</f>
        <v>6.2859774349527973</v>
      </c>
      <c r="AS384" s="382">
        <f>INPUT!AT402</f>
        <v>11.197657971777247</v>
      </c>
      <c r="AT384" s="429">
        <f>INPUT!AU402</f>
        <v>6.2859774349527973</v>
      </c>
      <c r="AU384" s="382">
        <f>INPUT!AV402</f>
        <v>15.970956575357945</v>
      </c>
      <c r="AV384" s="429">
        <f>INPUT!AW402</f>
        <v>6.2859774349527973</v>
      </c>
      <c r="AW384" s="382">
        <f>INPUT!AX402</f>
        <v>0</v>
      </c>
      <c r="AX384" s="403"/>
      <c r="AY384" s="402"/>
      <c r="AZ384" s="432"/>
      <c r="BA384" s="402"/>
      <c r="BB384" s="432"/>
      <c r="BC384" s="402"/>
      <c r="BD384" s="432"/>
      <c r="BE384" s="402"/>
      <c r="BF384" s="382"/>
      <c r="BG384" s="402"/>
      <c r="BH384" s="382"/>
      <c r="BI384" s="402"/>
      <c r="BJ384" s="382"/>
      <c r="BK384" s="429"/>
      <c r="BL384" s="382"/>
      <c r="BM384" s="429"/>
      <c r="BN384" s="382"/>
      <c r="BO384" s="429"/>
      <c r="BP384" s="382"/>
      <c r="BQ384" s="429"/>
      <c r="BR384" s="382"/>
      <c r="BS384" s="429">
        <f>INPUT!BB402</f>
        <v>6.5475387727579228</v>
      </c>
      <c r="BT384" s="382" t="str">
        <f>INPUT!BC402</f>
        <v>NA</v>
      </c>
      <c r="BU384" s="429">
        <f>INPUT!BD402</f>
        <v>5.788891059451716</v>
      </c>
      <c r="BV384" s="382">
        <f>INPUT!BE402</f>
        <v>-11.586761676962979</v>
      </c>
      <c r="BW384" s="429">
        <f>INPUT!BF402</f>
        <v>5.4810199020792272</v>
      </c>
      <c r="BX384" s="382">
        <f>INPUT!BG402</f>
        <v>-5.318309745522285</v>
      </c>
      <c r="BY384" s="429">
        <f>INPUT!BH402</f>
        <v>5.7253551442100727</v>
      </c>
      <c r="BZ384" s="382">
        <f>INPUT!BI402</f>
        <v>4.4578426368814519</v>
      </c>
      <c r="CA384" s="429">
        <f>INPUT!BJ402</f>
        <v>5.834777585210861</v>
      </c>
      <c r="CB384" s="382">
        <f>INPUT!BK402</f>
        <v>1.9111904544724041</v>
      </c>
      <c r="CC384" s="429">
        <f>INPUT!BL402</f>
        <v>6.2859774349527973</v>
      </c>
      <c r="CD384" s="382">
        <f>INPUT!BM402</f>
        <v>7.7329399990425003</v>
      </c>
      <c r="CE384" s="429">
        <f>INPUT!BN402</f>
        <v>6.2859774349527973</v>
      </c>
      <c r="CF384" s="382">
        <f>INPUT!BO402</f>
        <v>0</v>
      </c>
      <c r="CG384" s="429">
        <f>INPUT!BP402</f>
        <v>6.2859774349527973</v>
      </c>
      <c r="CH384" s="382">
        <f>INPUT!BQ402</f>
        <v>0</v>
      </c>
      <c r="CI384" s="429">
        <f>INPUT!BR402</f>
        <v>6.2859774349527973</v>
      </c>
      <c r="CJ384" s="382">
        <f>INPUT!BS402</f>
        <v>0</v>
      </c>
      <c r="CK384" s="429">
        <f>INPUT!BT402</f>
        <v>6.2859774349527973</v>
      </c>
      <c r="CL384" s="382">
        <f>INPUT!BU402</f>
        <v>0</v>
      </c>
      <c r="CM384" s="424">
        <f>INPUT!BV402</f>
        <v>1.5008554154861686</v>
      </c>
    </row>
    <row r="385" spans="1:91" ht="12" hidden="1" customHeight="1" outlineLevel="1" x14ac:dyDescent="0.2">
      <c r="A385" s="400" t="s">
        <v>387</v>
      </c>
      <c r="B385" s="423">
        <f>INPUT!C403</f>
        <v>-14.308300395256914</v>
      </c>
      <c r="C385" s="424" t="str">
        <f>INPUT!D403</f>
        <v>NA</v>
      </c>
      <c r="D385" s="429">
        <f>INPUT!E403</f>
        <v>-9.5380434782608692</v>
      </c>
      <c r="E385" s="382" t="str">
        <f>INPUT!F403</f>
        <v>NA</v>
      </c>
      <c r="F385" s="429">
        <f>INPUT!G403</f>
        <v>-5.5969120485249508</v>
      </c>
      <c r="G385" s="382" t="str">
        <f>INPUT!H403</f>
        <v>NA</v>
      </c>
      <c r="H385" s="429">
        <f>INPUT!I403</f>
        <v>-8.9324034334763969</v>
      </c>
      <c r="I385" s="382" t="str">
        <f>INPUT!J403</f>
        <v>NA</v>
      </c>
      <c r="J385" s="429">
        <f>INPUT!K403</f>
        <v>-6.1229807191245449</v>
      </c>
      <c r="K385" s="382" t="str">
        <f>INPUT!L403</f>
        <v>NM</v>
      </c>
      <c r="L385" s="429">
        <f>INPUT!M403</f>
        <v>-7.1204188481675379</v>
      </c>
      <c r="M385" s="382">
        <f>INPUT!N403</f>
        <v>-25.347175608955723</v>
      </c>
      <c r="N385" s="429">
        <f>INPUT!O403</f>
        <v>13.744447347792002</v>
      </c>
      <c r="O385" s="382" t="str">
        <f>INPUT!P403</f>
        <v>NM</v>
      </c>
      <c r="P385" s="429">
        <f>INPUT!Q403</f>
        <v>-8.0061983471074374</v>
      </c>
      <c r="Q385" s="382">
        <f>INPUT!R403</f>
        <v>-10.369046732683117</v>
      </c>
      <c r="R385" s="429">
        <f>INPUT!S403</f>
        <v>-6.2215477996965101</v>
      </c>
      <c r="S385" s="382">
        <f>INPUT!T403</f>
        <v>1.6097891712136203</v>
      </c>
      <c r="T385" s="429">
        <f>INPUT!U403</f>
        <v>-6.6632756866734493</v>
      </c>
      <c r="U385" s="382">
        <f>INPUT!V403</f>
        <v>-6.4201723415714014</v>
      </c>
      <c r="V385" s="429">
        <f>INPUT!W403</f>
        <v>-8.9579055441478435</v>
      </c>
      <c r="W385" s="382" t="str">
        <f>INPUT!X403</f>
        <v>NM</v>
      </c>
      <c r="X385" s="429">
        <f>INPUT!Y403</f>
        <v>-5.6780735107731308</v>
      </c>
      <c r="Y385" s="382">
        <f>INPUT!Z403</f>
        <v>-29.079030213827224</v>
      </c>
      <c r="Z385" s="429">
        <f>INPUT!AA403</f>
        <v>-4.2647058823529402</v>
      </c>
      <c r="AA385" s="382">
        <f>INPUT!AB403</f>
        <v>-31.452654232424692</v>
      </c>
      <c r="AB385" s="429">
        <f>INPUT!AC403</f>
        <v>-5.9282751890705043</v>
      </c>
      <c r="AC385" s="382">
        <f>INPUT!AD403</f>
        <v>-11.030618154865564</v>
      </c>
      <c r="AD385" s="429">
        <f>INPUT!AE403</f>
        <v>-12.015018773466833</v>
      </c>
      <c r="AE385" s="382">
        <f>INPUT!AF403</f>
        <v>34.127544817841795</v>
      </c>
      <c r="AF385" s="429">
        <f>INPUT!AG403</f>
        <v>-8.1722534866650349</v>
      </c>
      <c r="AG385" s="382">
        <f>INPUT!AH403</f>
        <v>43.926517878989102</v>
      </c>
      <c r="AH385" s="429">
        <f>INPUT!AI403</f>
        <v>-6.3566253797616268</v>
      </c>
      <c r="AI385" s="382">
        <f>INPUT!AJ403</f>
        <v>49.051905456479545</v>
      </c>
      <c r="AJ385" s="429">
        <f>INPUT!AK403</f>
        <v>-6.4374711582833406</v>
      </c>
      <c r="AK385" s="382">
        <f>INPUT!AL403</f>
        <v>8.5892768633885481</v>
      </c>
      <c r="AL385" s="429">
        <f>INPUT!AM403</f>
        <v>2.6182820395039044</v>
      </c>
      <c r="AM385" s="382" t="str">
        <f>INPUT!AN403</f>
        <v>NM</v>
      </c>
      <c r="AN385" s="429">
        <f>INPUT!AO403</f>
        <v>-7.5063320285516921</v>
      </c>
      <c r="AO385" s="382">
        <f>INPUT!AP403</f>
        <v>-8.1485658661952982</v>
      </c>
      <c r="AP385" s="429">
        <f>INPUT!AQ403</f>
        <v>-7.5063320285516921</v>
      </c>
      <c r="AQ385" s="382">
        <f>INPUT!AR403</f>
        <v>18.086745405046642</v>
      </c>
      <c r="AR385" s="429">
        <f>INPUT!AS403</f>
        <v>-7.5063320285516921</v>
      </c>
      <c r="AS385" s="382">
        <f>INPUT!AT403</f>
        <v>16.603738393344216</v>
      </c>
      <c r="AT385" s="429">
        <f>INPUT!AU403</f>
        <v>-7.5063320285516921</v>
      </c>
      <c r="AU385" s="382" t="str">
        <f>INPUT!AV403</f>
        <v>NM</v>
      </c>
      <c r="AV385" s="429">
        <f>INPUT!AW403</f>
        <v>-7.5063320285516921</v>
      </c>
      <c r="AW385" s="382">
        <f>INPUT!AX403</f>
        <v>0</v>
      </c>
      <c r="AX385" s="403"/>
      <c r="AY385" s="402"/>
      <c r="AZ385" s="432"/>
      <c r="BA385" s="402"/>
      <c r="BB385" s="432"/>
      <c r="BC385" s="402"/>
      <c r="BD385" s="432"/>
      <c r="BE385" s="402"/>
      <c r="BF385" s="382"/>
      <c r="BG385" s="402"/>
      <c r="BH385" s="382"/>
      <c r="BI385" s="402"/>
      <c r="BJ385" s="382"/>
      <c r="BK385" s="429"/>
      <c r="BL385" s="382"/>
      <c r="BM385" s="429"/>
      <c r="BN385" s="382"/>
      <c r="BO385" s="429"/>
      <c r="BP385" s="382"/>
      <c r="BQ385" s="429"/>
      <c r="BR385" s="382"/>
      <c r="BS385" s="429">
        <f>INPUT!BB403</f>
        <v>-9.6426163182737703</v>
      </c>
      <c r="BT385" s="382" t="str">
        <f>INPUT!BC403</f>
        <v>NA</v>
      </c>
      <c r="BU385" s="429">
        <f>INPUT!BD403</f>
        <v>-1.8949013479195156</v>
      </c>
      <c r="BV385" s="382" t="str">
        <f>INPUT!BE403</f>
        <v>NM</v>
      </c>
      <c r="BW385" s="429">
        <f>INPUT!BF403</f>
        <v>-6.8735295987791698</v>
      </c>
      <c r="BX385" s="382" t="str">
        <f>INPUT!BG403</f>
        <v>NM</v>
      </c>
      <c r="BY385" s="429">
        <f>INPUT!BH403</f>
        <v>-7.5702601316032219</v>
      </c>
      <c r="BZ385" s="382">
        <f>INPUT!BI403</f>
        <v>10.136430240262612</v>
      </c>
      <c r="CA385" s="429">
        <f>INPUT!BJ403</f>
        <v>-4.4078567302137506</v>
      </c>
      <c r="CB385" s="382">
        <f>INPUT!BK403</f>
        <v>-41.774038757103327</v>
      </c>
      <c r="CC385" s="429">
        <f>INPUT!BL403</f>
        <v>-7.5063320285516921</v>
      </c>
      <c r="CD385" s="382">
        <f>INPUT!BM403</f>
        <v>70.294374068453152</v>
      </c>
      <c r="CE385" s="429">
        <f>INPUT!BN403</f>
        <v>-8.006332028551693</v>
      </c>
      <c r="CF385" s="382">
        <f>INPUT!BO403</f>
        <v>6.6610429447852937</v>
      </c>
      <c r="CG385" s="429">
        <f>INPUT!BP403</f>
        <v>-8.006332028551693</v>
      </c>
      <c r="CH385" s="382">
        <f>INPUT!BQ403</f>
        <v>0</v>
      </c>
      <c r="CI385" s="429">
        <f>INPUT!BR403</f>
        <v>-8.006332028551693</v>
      </c>
      <c r="CJ385" s="382">
        <f>INPUT!BS403</f>
        <v>0</v>
      </c>
      <c r="CK385" s="429">
        <f>INPUT!BT403</f>
        <v>-8.006332028551693</v>
      </c>
      <c r="CL385" s="382">
        <f>INPUT!BU403</f>
        <v>0</v>
      </c>
      <c r="CM385" s="424">
        <f>INPUT!BV403</f>
        <v>12.678543687395671</v>
      </c>
    </row>
    <row r="386" spans="1:91" ht="12" hidden="1" customHeight="1" outlineLevel="1" x14ac:dyDescent="0.2">
      <c r="A386" s="400" t="s">
        <v>483</v>
      </c>
      <c r="B386" s="423">
        <f>INPUT!C404</f>
        <v>25.87615283267457</v>
      </c>
      <c r="C386" s="424" t="str">
        <f>INPUT!D404</f>
        <v>NA</v>
      </c>
      <c r="D386" s="429">
        <f>INPUT!E404</f>
        <v>22.934782608695649</v>
      </c>
      <c r="E386" s="382" t="str">
        <f>INPUT!F404</f>
        <v>NA</v>
      </c>
      <c r="F386" s="429">
        <f>INPUT!G404</f>
        <v>22.746071133167906</v>
      </c>
      <c r="G386" s="382" t="str">
        <f>INPUT!H404</f>
        <v>NA</v>
      </c>
      <c r="H386" s="429">
        <f>INPUT!I404</f>
        <v>23.819742489270386</v>
      </c>
      <c r="I386" s="382" t="str">
        <f>INPUT!J404</f>
        <v>NA</v>
      </c>
      <c r="J386" s="429">
        <f>INPUT!K404</f>
        <v>20.32308494007296</v>
      </c>
      <c r="K386" s="382">
        <f>INPUT!L404</f>
        <v>-21.460175817131471</v>
      </c>
      <c r="L386" s="429">
        <f>INPUT!M404</f>
        <v>20.706806282722511</v>
      </c>
      <c r="M386" s="382">
        <f>INPUT!N404</f>
        <v>-9.7143991464231618</v>
      </c>
      <c r="N386" s="429">
        <f>INPUT!O404</f>
        <v>21.505095374967336</v>
      </c>
      <c r="O386" s="382">
        <f>INPUT!P404</f>
        <v>-5.4557806969617815</v>
      </c>
      <c r="P386" s="429">
        <f>INPUT!Q404</f>
        <v>23.605371900826441</v>
      </c>
      <c r="Q386" s="382">
        <f>INPUT!R404</f>
        <v>-0.89997021815206324</v>
      </c>
      <c r="R386" s="429">
        <f>INPUT!S404</f>
        <v>21.4213454729388</v>
      </c>
      <c r="S386" s="382">
        <f>INPUT!T404</f>
        <v>5.4040050322295912</v>
      </c>
      <c r="T386" s="429">
        <f>INPUT!U404</f>
        <v>20.981688708036621</v>
      </c>
      <c r="U386" s="382">
        <f>INPUT!V404</f>
        <v>1.3274979326168221</v>
      </c>
      <c r="V386" s="429">
        <f>INPUT!W404</f>
        <v>21.226899383983572</v>
      </c>
      <c r="W386" s="382">
        <f>INPUT!X404</f>
        <v>-1.2936282594105251</v>
      </c>
      <c r="X386" s="429">
        <f>INPUT!Y404</f>
        <v>21.977186311787069</v>
      </c>
      <c r="Y386" s="382">
        <f>INPUT!Z404</f>
        <v>-6.8975214450333198</v>
      </c>
      <c r="Z386" s="429">
        <f>INPUT!AA404</f>
        <v>20.637254901960787</v>
      </c>
      <c r="AA386" s="382">
        <f>INPUT!AB404</f>
        <v>-3.6603236335856764</v>
      </c>
      <c r="AB386" s="429">
        <f>INPUT!AC404</f>
        <v>20.71236887045621</v>
      </c>
      <c r="AC386" s="382">
        <f>INPUT!AD404</f>
        <v>-1.2835946683226354</v>
      </c>
      <c r="AD386" s="429">
        <f>INPUT!AE404</f>
        <v>20.801001251564454</v>
      </c>
      <c r="AE386" s="382">
        <f>INPUT!AF404</f>
        <v>-2.0064076468015628</v>
      </c>
      <c r="AF386" s="429">
        <f>INPUT!AG404</f>
        <v>23.048690971372647</v>
      </c>
      <c r="AG386" s="382">
        <f>INPUT!AH404</f>
        <v>4.875531582543374</v>
      </c>
      <c r="AH386" s="429">
        <f>INPUT!AI404</f>
        <v>20.962841785463894</v>
      </c>
      <c r="AI386" s="382">
        <f>INPUT!AJ404</f>
        <v>1.5776656587799067</v>
      </c>
      <c r="AJ386" s="429">
        <f>INPUT!AK404</f>
        <v>21.112136594370096</v>
      </c>
      <c r="AK386" s="382">
        <f>INPUT!AL404</f>
        <v>1.9300917553863712</v>
      </c>
      <c r="AL386" s="429">
        <f>INPUT!AM404</f>
        <v>20.762517225539735</v>
      </c>
      <c r="AM386" s="382">
        <f>INPUT!AN404</f>
        <v>-0.18501045002255978</v>
      </c>
      <c r="AN386" s="429">
        <f>INPUT!AO404</f>
        <v>23.762376237623762</v>
      </c>
      <c r="AO386" s="382">
        <f>INPUT!AP404</f>
        <v>3.0964242921107257</v>
      </c>
      <c r="AP386" s="429">
        <f>INPUT!AQ404</f>
        <v>23.762376237623762</v>
      </c>
      <c r="AQ386" s="382">
        <f>INPUT!AR404</f>
        <v>13.354746845922037</v>
      </c>
      <c r="AR386" s="429">
        <f>INPUT!AS404</f>
        <v>23.762376237623762</v>
      </c>
      <c r="AS386" s="382">
        <f>INPUT!AT404</f>
        <v>12.553156955039782</v>
      </c>
      <c r="AT386" s="429">
        <f>INPUT!AU404</f>
        <v>23.762376237623762</v>
      </c>
      <c r="AU386" s="382">
        <f>INPUT!AV404</f>
        <v>14.448435994041859</v>
      </c>
      <c r="AV386" s="429">
        <f>INPUT!AW404</f>
        <v>23.762376237623762</v>
      </c>
      <c r="AW386" s="382">
        <f>INPUT!AX404</f>
        <v>0</v>
      </c>
      <c r="AX386" s="403"/>
      <c r="AY386" s="402"/>
      <c r="AZ386" s="432"/>
      <c r="BA386" s="402"/>
      <c r="BB386" s="432"/>
      <c r="BC386" s="402"/>
      <c r="BD386" s="432"/>
      <c r="BE386" s="402"/>
      <c r="BF386" s="382"/>
      <c r="BG386" s="402"/>
      <c r="BH386" s="382"/>
      <c r="BI386" s="402"/>
      <c r="BJ386" s="382"/>
      <c r="BK386" s="429"/>
      <c r="BL386" s="382"/>
      <c r="BM386" s="429"/>
      <c r="BN386" s="382"/>
      <c r="BO386" s="429"/>
      <c r="BP386" s="382"/>
      <c r="BQ386" s="429"/>
      <c r="BR386" s="382"/>
      <c r="BS386" s="429">
        <f>INPUT!BB404</f>
        <v>23.863789615643967</v>
      </c>
      <c r="BT386" s="382" t="str">
        <f>INPUT!BC404</f>
        <v>NA</v>
      </c>
      <c r="BU386" s="429">
        <f>INPUT!BD404</f>
        <v>21.540665494562734</v>
      </c>
      <c r="BV386" s="382">
        <f>INPUT!BE404</f>
        <v>-9.7349337992751259</v>
      </c>
      <c r="BW386" s="429">
        <f>INPUT!BF404</f>
        <v>21.40268328352515</v>
      </c>
      <c r="BX386" s="382">
        <f>INPUT!BG404</f>
        <v>-0.6405661471899009</v>
      </c>
      <c r="BY386" s="429">
        <f>INPUT!BH404</f>
        <v>21.302502921099567</v>
      </c>
      <c r="BZ386" s="382">
        <f>INPUT!BI404</f>
        <v>-0.4680738442861383</v>
      </c>
      <c r="CA386" s="429">
        <f>INPUT!BJ404</f>
        <v>21.652224147891395</v>
      </c>
      <c r="CB386" s="382">
        <f>INPUT!BK404</f>
        <v>1.6416907820040194</v>
      </c>
      <c r="CC386" s="429">
        <f>INPUT!BL404</f>
        <v>23.762376237623766</v>
      </c>
      <c r="CD386" s="382">
        <f>INPUT!BM404</f>
        <v>9.7456597313946958</v>
      </c>
      <c r="CE386" s="429">
        <f>INPUT!BN404</f>
        <v>23.962376237623765</v>
      </c>
      <c r="CF386" s="382">
        <f>INPUT!BO404</f>
        <v>0.84166666666666856</v>
      </c>
      <c r="CG386" s="429">
        <f>INPUT!BP404</f>
        <v>23.962376237623765</v>
      </c>
      <c r="CH386" s="382">
        <f>INPUT!BQ404</f>
        <v>0</v>
      </c>
      <c r="CI386" s="429">
        <f>INPUT!BR404</f>
        <v>23.962376237623765</v>
      </c>
      <c r="CJ386" s="382">
        <f>INPUT!BS404</f>
        <v>0</v>
      </c>
      <c r="CK386" s="429">
        <f>INPUT!BT404</f>
        <v>23.962376237623765</v>
      </c>
      <c r="CL386" s="382">
        <f>INPUT!BU404</f>
        <v>0</v>
      </c>
      <c r="CM386" s="424">
        <f>INPUT!BV404</f>
        <v>2.0482293663787843</v>
      </c>
    </row>
    <row r="387" spans="1:91" ht="12" hidden="1" customHeight="1" outlineLevel="1" x14ac:dyDescent="0.2">
      <c r="A387" s="454"/>
      <c r="B387" s="398"/>
      <c r="C387" s="399"/>
      <c r="D387" s="398"/>
      <c r="E387" s="396"/>
      <c r="F387" s="398"/>
      <c r="G387" s="396"/>
      <c r="H387" s="398"/>
      <c r="I387" s="396"/>
      <c r="J387" s="398"/>
      <c r="K387" s="396"/>
      <c r="L387" s="398"/>
      <c r="M387" s="396"/>
      <c r="N387" s="398"/>
      <c r="O387" s="396"/>
      <c r="P387" s="398"/>
      <c r="Q387" s="396"/>
      <c r="R387" s="398"/>
      <c r="S387" s="396"/>
      <c r="T387" s="398"/>
      <c r="U387" s="396"/>
      <c r="V387" s="398"/>
      <c r="W387" s="396"/>
      <c r="X387" s="398"/>
      <c r="Y387" s="396"/>
      <c r="Z387" s="398"/>
      <c r="AA387" s="396"/>
      <c r="AB387" s="398"/>
      <c r="AC387" s="396"/>
      <c r="AD387" s="398"/>
      <c r="AE387" s="396"/>
      <c r="AF387" s="398"/>
      <c r="AG387" s="396"/>
      <c r="AH387" s="398"/>
      <c r="AI387" s="396"/>
      <c r="AJ387" s="398"/>
      <c r="AK387" s="396"/>
      <c r="AL387" s="398"/>
      <c r="AM387" s="396"/>
      <c r="AN387" s="398"/>
      <c r="AO387" s="396"/>
      <c r="AP387" s="398"/>
      <c r="AQ387" s="396"/>
      <c r="AR387" s="398"/>
      <c r="AS387" s="396"/>
      <c r="AT387" s="398"/>
      <c r="AU387" s="396"/>
      <c r="AV387" s="398"/>
      <c r="AW387" s="396"/>
      <c r="AX387" s="398"/>
      <c r="AY387" s="398"/>
      <c r="AZ387" s="399"/>
      <c r="BA387" s="398"/>
      <c r="BB387" s="399"/>
      <c r="BC387" s="398"/>
      <c r="BD387" s="399"/>
      <c r="BE387" s="398"/>
      <c r="BF387" s="396"/>
      <c r="BG387" s="398"/>
      <c r="BH387" s="396"/>
      <c r="BI387" s="398"/>
      <c r="BJ387" s="396"/>
      <c r="BK387" s="398"/>
      <c r="BL387" s="396"/>
      <c r="BM387" s="398"/>
      <c r="BN387" s="396"/>
      <c r="BO387" s="398"/>
      <c r="BP387" s="396"/>
      <c r="BQ387" s="398"/>
      <c r="BR387" s="396"/>
      <c r="BS387" s="398"/>
      <c r="BT387" s="396"/>
      <c r="BU387" s="398"/>
      <c r="BV387" s="396"/>
      <c r="BW387" s="398"/>
      <c r="BX387" s="396"/>
      <c r="BY387" s="398"/>
      <c r="BZ387" s="396"/>
      <c r="CA387" s="398"/>
      <c r="CB387" s="396"/>
      <c r="CC387" s="398"/>
      <c r="CD387" s="396"/>
      <c r="CE387" s="398"/>
      <c r="CF387" s="396"/>
      <c r="CG387" s="398"/>
      <c r="CH387" s="396"/>
      <c r="CI387" s="398"/>
      <c r="CJ387" s="396"/>
      <c r="CK387" s="398"/>
      <c r="CL387" s="396"/>
      <c r="CM387" s="399"/>
    </row>
    <row r="388" spans="1:91" ht="19.5" hidden="1" customHeight="1" outlineLevel="1" x14ac:dyDescent="0.25">
      <c r="A388" s="471" t="str">
        <f>+$A$1</f>
        <v>Principal Financial Group</v>
      </c>
      <c r="B388" s="381"/>
      <c r="C388" s="382"/>
      <c r="D388" s="381"/>
      <c r="E388" s="382"/>
      <c r="F388" s="381"/>
      <c r="G388" s="382"/>
      <c r="H388" s="381"/>
      <c r="I388" s="382"/>
      <c r="J388" s="381"/>
      <c r="K388" s="382"/>
      <c r="L388" s="381"/>
      <c r="M388" s="382"/>
      <c r="N388" s="381"/>
      <c r="O388" s="382"/>
      <c r="P388" s="381"/>
      <c r="Q388" s="382"/>
      <c r="R388" s="381"/>
      <c r="S388" s="382"/>
      <c r="T388" s="381"/>
      <c r="U388" s="382"/>
      <c r="V388" s="381"/>
      <c r="W388" s="382"/>
      <c r="X388" s="381"/>
      <c r="Y388" s="382"/>
      <c r="Z388" s="381"/>
      <c r="AA388" s="382"/>
      <c r="AB388" s="381"/>
      <c r="AC388" s="382"/>
      <c r="AD388" s="381"/>
      <c r="AE388" s="382"/>
      <c r="AF388" s="381"/>
      <c r="AG388" s="382"/>
      <c r="AH388" s="381"/>
      <c r="AI388" s="382"/>
      <c r="AJ388" s="381"/>
      <c r="AK388" s="382"/>
      <c r="AL388" s="381"/>
      <c r="AM388" s="382"/>
      <c r="AN388" s="381"/>
      <c r="AO388" s="382"/>
      <c r="AP388" s="381"/>
      <c r="AQ388" s="382"/>
      <c r="AR388" s="381"/>
      <c r="AS388" s="382"/>
      <c r="AT388" s="381"/>
      <c r="AU388" s="382"/>
      <c r="AV388" s="381"/>
      <c r="AW388" s="382"/>
      <c r="AX388" s="382"/>
      <c r="AY388" s="381"/>
      <c r="AZ388" s="382"/>
      <c r="BA388" s="381"/>
      <c r="BB388" s="382"/>
      <c r="BC388" s="381"/>
      <c r="BD388" s="382"/>
      <c r="BE388" s="381"/>
      <c r="BF388" s="382"/>
      <c r="BG388" s="381"/>
      <c r="BH388" s="382"/>
      <c r="BI388" s="381"/>
      <c r="BJ388" s="382"/>
      <c r="BK388" s="381"/>
      <c r="BL388" s="382"/>
      <c r="BM388" s="381"/>
      <c r="BN388" s="382"/>
      <c r="BO388" s="381"/>
      <c r="BP388" s="382"/>
      <c r="BQ388" s="381"/>
      <c r="BR388" s="382"/>
      <c r="BS388" s="381"/>
      <c r="BT388" s="382"/>
      <c r="BU388" s="381"/>
      <c r="BV388" s="382"/>
      <c r="BW388" s="381"/>
      <c r="BX388" s="382"/>
      <c r="BY388" s="381"/>
      <c r="BZ388" s="382"/>
      <c r="CA388" s="381"/>
      <c r="CB388" s="382"/>
      <c r="CC388" s="381"/>
      <c r="CD388" s="382"/>
      <c r="CE388" s="381"/>
      <c r="CF388" s="382"/>
      <c r="CG388" s="381"/>
      <c r="CH388" s="382"/>
      <c r="CI388" s="381"/>
      <c r="CJ388" s="382"/>
      <c r="CK388" s="381"/>
      <c r="CL388" s="382"/>
      <c r="CM388" s="382"/>
    </row>
    <row r="389" spans="1:91" ht="12" hidden="1" customHeight="1" outlineLevel="1" x14ac:dyDescent="0.2">
      <c r="A389" s="383" t="s">
        <v>507</v>
      </c>
      <c r="B389" s="384"/>
      <c r="C389" s="385"/>
      <c r="D389" s="384"/>
      <c r="E389" s="385"/>
      <c r="F389" s="384"/>
      <c r="G389" s="385"/>
      <c r="H389" s="384"/>
      <c r="I389" s="385"/>
      <c r="J389" s="384"/>
      <c r="K389" s="385"/>
      <c r="L389" s="384"/>
      <c r="M389" s="385"/>
      <c r="N389" s="384"/>
      <c r="O389" s="385"/>
      <c r="P389" s="384"/>
      <c r="Q389" s="385"/>
      <c r="R389" s="384"/>
      <c r="S389" s="385"/>
      <c r="T389" s="384"/>
      <c r="U389" s="385"/>
      <c r="V389" s="384"/>
      <c r="W389" s="385"/>
      <c r="X389" s="384"/>
      <c r="Y389" s="385"/>
      <c r="Z389" s="384"/>
      <c r="AA389" s="385"/>
      <c r="AB389" s="384"/>
      <c r="AC389" s="385"/>
      <c r="AD389" s="384"/>
      <c r="AE389" s="385"/>
      <c r="AF389" s="384"/>
      <c r="AG389" s="385"/>
      <c r="AH389" s="384"/>
      <c r="AI389" s="385"/>
      <c r="AJ389" s="384"/>
      <c r="AK389" s="385"/>
      <c r="AL389" s="384"/>
      <c r="AM389" s="385"/>
      <c r="AN389" s="384"/>
      <c r="AO389" s="385"/>
      <c r="AP389" s="384"/>
      <c r="AQ389" s="385"/>
      <c r="AR389" s="384"/>
      <c r="AS389" s="385"/>
      <c r="AT389" s="384"/>
      <c r="AU389" s="385"/>
      <c r="AV389" s="384"/>
      <c r="AW389" s="385"/>
      <c r="AX389" s="385"/>
      <c r="AY389" s="384"/>
      <c r="AZ389" s="385"/>
      <c r="BA389" s="384"/>
      <c r="BB389" s="385"/>
      <c r="BC389" s="384"/>
      <c r="BD389" s="385"/>
      <c r="BE389" s="384"/>
      <c r="BF389" s="385"/>
      <c r="BG389" s="384"/>
      <c r="BH389" s="385"/>
      <c r="BI389" s="384"/>
      <c r="BJ389" s="385"/>
      <c r="BK389" s="384"/>
      <c r="BL389" s="385"/>
      <c r="BM389" s="384"/>
      <c r="BN389" s="385"/>
      <c r="BO389" s="384"/>
      <c r="BP389" s="385"/>
      <c r="BQ389" s="384"/>
      <c r="BR389" s="385"/>
      <c r="BS389" s="384"/>
      <c r="BT389" s="385"/>
      <c r="BU389" s="384"/>
      <c r="BV389" s="385"/>
      <c r="BW389" s="384"/>
      <c r="BX389" s="385"/>
      <c r="BY389" s="384"/>
      <c r="BZ389" s="385"/>
      <c r="CA389" s="384"/>
      <c r="CB389" s="385"/>
      <c r="CC389" s="384"/>
      <c r="CD389" s="385"/>
      <c r="CE389" s="384"/>
      <c r="CF389" s="385"/>
      <c r="CG389" s="384"/>
      <c r="CH389" s="385"/>
      <c r="CI389" s="384"/>
      <c r="CJ389" s="385"/>
      <c r="CK389" s="384"/>
      <c r="CL389" s="385"/>
      <c r="CM389" s="385"/>
    </row>
    <row r="390" spans="1:91" s="374" customFormat="1" ht="12" hidden="1" customHeight="1" outlineLevel="1" x14ac:dyDescent="0.2">
      <c r="A390" s="378" t="s">
        <v>243</v>
      </c>
      <c r="B390" s="427"/>
      <c r="C390" s="428" t="str">
        <f>INPUT!D$4</f>
        <v>1Q13/</v>
      </c>
      <c r="D390" s="427"/>
      <c r="E390" s="428" t="str">
        <f>INPUT!F$4</f>
        <v>2Q13/</v>
      </c>
      <c r="F390" s="427"/>
      <c r="G390" s="428" t="str">
        <f>INPUT!H$4</f>
        <v>3Q13/</v>
      </c>
      <c r="H390" s="427"/>
      <c r="I390" s="428" t="str">
        <f>INPUT!J$4</f>
        <v>4Q13/</v>
      </c>
      <c r="J390" s="427"/>
      <c r="K390" s="428" t="str">
        <f>INPUT!L$4</f>
        <v>1Q14/</v>
      </c>
      <c r="L390" s="427"/>
      <c r="M390" s="428" t="str">
        <f>INPUT!N$4</f>
        <v>2Q14/</v>
      </c>
      <c r="N390" s="427"/>
      <c r="O390" s="428" t="str">
        <f>INPUT!P$4</f>
        <v>3Q14/</v>
      </c>
      <c r="P390" s="427"/>
      <c r="Q390" s="428" t="str">
        <f>INPUT!R$4</f>
        <v>4Q14/</v>
      </c>
      <c r="R390" s="427"/>
      <c r="S390" s="428" t="str">
        <f>INPUT!T$4</f>
        <v>1Q15/</v>
      </c>
      <c r="T390" s="427"/>
      <c r="U390" s="428" t="str">
        <f>INPUT!V$4</f>
        <v>2Q15/</v>
      </c>
      <c r="V390" s="427"/>
      <c r="W390" s="428" t="str">
        <f>INPUT!X$4</f>
        <v>3Q15/</v>
      </c>
      <c r="X390" s="427"/>
      <c r="Y390" s="428" t="str">
        <f>INPUT!Z$4</f>
        <v>4Q15/</v>
      </c>
      <c r="Z390" s="427"/>
      <c r="AA390" s="428" t="str">
        <f>INPUT!AB$4</f>
        <v>1Q16/</v>
      </c>
      <c r="AB390" s="427"/>
      <c r="AC390" s="428" t="str">
        <f>INPUT!AD$4</f>
        <v>2Q16/</v>
      </c>
      <c r="AD390" s="427"/>
      <c r="AE390" s="428" t="str">
        <f>INPUT!AF$4</f>
        <v>3Q16/</v>
      </c>
      <c r="AF390" s="427"/>
      <c r="AG390" s="428" t="str">
        <f>INPUT!AH$4</f>
        <v>4Q16/</v>
      </c>
      <c r="AH390" s="427"/>
      <c r="AI390" s="428" t="str">
        <f>INPUT!AJ$4</f>
        <v>1Q17/</v>
      </c>
      <c r="AJ390" s="427"/>
      <c r="AK390" s="428" t="str">
        <f>INPUT!AL$4</f>
        <v>2Q17/</v>
      </c>
      <c r="AL390" s="427"/>
      <c r="AM390" s="428" t="str">
        <f>INPUT!AN$4</f>
        <v>3Q17/</v>
      </c>
      <c r="AN390" s="427"/>
      <c r="AO390" s="428" t="str">
        <f>INPUT!AP$4</f>
        <v>4Q17/</v>
      </c>
      <c r="AP390" s="427"/>
      <c r="AQ390" s="428" t="str">
        <f>INPUT!AR$4</f>
        <v>1Q18E/</v>
      </c>
      <c r="AR390" s="427"/>
      <c r="AS390" s="428" t="str">
        <f>INPUT!AT$4</f>
        <v>2Q18E/</v>
      </c>
      <c r="AT390" s="427"/>
      <c r="AU390" s="428" t="str">
        <f>INPUT!AV$4</f>
        <v>3Q18E/</v>
      </c>
      <c r="AV390" s="427"/>
      <c r="AW390" s="428" t="str">
        <f>INPUT!AX$4</f>
        <v>4Q18E/</v>
      </c>
      <c r="AX390" s="427"/>
      <c r="AY390" s="427"/>
      <c r="AZ390" s="428"/>
      <c r="BA390" s="427"/>
      <c r="BB390" s="428"/>
      <c r="BC390" s="427"/>
      <c r="BD390" s="428"/>
      <c r="BE390" s="427"/>
      <c r="BF390" s="428"/>
      <c r="BG390" s="427"/>
      <c r="BH390" s="428"/>
      <c r="BI390" s="427"/>
      <c r="BJ390" s="428"/>
      <c r="BK390" s="427"/>
      <c r="BL390" s="428"/>
      <c r="BM390" s="427"/>
      <c r="BN390" s="428"/>
      <c r="BO390" s="427"/>
      <c r="BP390" s="428"/>
      <c r="BQ390" s="427"/>
      <c r="BR390" s="428"/>
      <c r="BS390" s="427"/>
      <c r="BT390" s="428" t="str">
        <f>INPUT!BC$4</f>
        <v>2013/</v>
      </c>
      <c r="BU390" s="427"/>
      <c r="BV390" s="428" t="str">
        <f>INPUT!BE$4</f>
        <v>2014/</v>
      </c>
      <c r="BW390" s="427"/>
      <c r="BX390" s="428" t="str">
        <f>INPUT!BG$4</f>
        <v>2015/</v>
      </c>
      <c r="BY390" s="427"/>
      <c r="BZ390" s="428" t="str">
        <f>INPUT!BI$4</f>
        <v>2016/</v>
      </c>
      <c r="CA390" s="427"/>
      <c r="CB390" s="428" t="str">
        <f>INPUT!BK$4</f>
        <v>2017/</v>
      </c>
      <c r="CC390" s="427"/>
      <c r="CD390" s="428" t="str">
        <f>INPUT!BM$4</f>
        <v>2018E/</v>
      </c>
      <c r="CE390" s="427"/>
      <c r="CF390" s="428" t="str">
        <f>INPUT!BO$4</f>
        <v>2019E/</v>
      </c>
      <c r="CG390" s="427"/>
      <c r="CH390" s="428" t="str">
        <f>INPUT!BQ$4</f>
        <v>2020E/</v>
      </c>
      <c r="CI390" s="427"/>
      <c r="CJ390" s="428" t="str">
        <f>INPUT!BS$4</f>
        <v>2021E/</v>
      </c>
      <c r="CK390" s="427"/>
      <c r="CL390" s="428" t="str">
        <f>INPUT!BU$4</f>
        <v>2022E/</v>
      </c>
      <c r="CM390" s="428" t="str">
        <f>INPUT!BV$4</f>
        <v>5-Yr</v>
      </c>
    </row>
    <row r="391" spans="1:91" s="374" customFormat="1" ht="12" hidden="1" customHeight="1" outlineLevel="1" x14ac:dyDescent="0.2">
      <c r="A391" s="387"/>
      <c r="B391" s="386"/>
      <c r="C391" s="385">
        <f>INPUT!D$5</f>
        <v>0</v>
      </c>
      <c r="D391" s="386"/>
      <c r="E391" s="385">
        <f>INPUT!F$5</f>
        <v>0</v>
      </c>
      <c r="F391" s="386"/>
      <c r="G391" s="385">
        <f>INPUT!H$5</f>
        <v>0</v>
      </c>
      <c r="H391" s="386"/>
      <c r="I391" s="385">
        <f>INPUT!J$5</f>
        <v>0</v>
      </c>
      <c r="J391" s="386"/>
      <c r="K391" s="385" t="str">
        <f>INPUT!L$5</f>
        <v>1Q13</v>
      </c>
      <c r="L391" s="386"/>
      <c r="M391" s="385" t="str">
        <f>INPUT!N$5</f>
        <v>2Q13</v>
      </c>
      <c r="N391" s="386"/>
      <c r="O391" s="385" t="str">
        <f>INPUT!P$5</f>
        <v>3Q13</v>
      </c>
      <c r="P391" s="386"/>
      <c r="Q391" s="385" t="str">
        <f>INPUT!R$5</f>
        <v>4Q13</v>
      </c>
      <c r="R391" s="386"/>
      <c r="S391" s="385" t="str">
        <f>INPUT!T$5</f>
        <v>1Q14</v>
      </c>
      <c r="T391" s="386"/>
      <c r="U391" s="385" t="str">
        <f>INPUT!V$5</f>
        <v>2Q14</v>
      </c>
      <c r="V391" s="386"/>
      <c r="W391" s="385" t="str">
        <f>INPUT!X$5</f>
        <v>3Q14</v>
      </c>
      <c r="X391" s="386"/>
      <c r="Y391" s="385" t="str">
        <f>INPUT!Z$5</f>
        <v>4Q14</v>
      </c>
      <c r="Z391" s="386"/>
      <c r="AA391" s="385" t="str">
        <f>INPUT!AB$5</f>
        <v>1Q15</v>
      </c>
      <c r="AB391" s="386"/>
      <c r="AC391" s="385" t="str">
        <f>INPUT!AD$5</f>
        <v>2Q15</v>
      </c>
      <c r="AD391" s="386"/>
      <c r="AE391" s="385" t="str">
        <f>INPUT!AF$5</f>
        <v>3Q15</v>
      </c>
      <c r="AF391" s="386"/>
      <c r="AG391" s="385" t="str">
        <f>INPUT!AH$5</f>
        <v>4Q15</v>
      </c>
      <c r="AH391" s="386"/>
      <c r="AI391" s="385" t="str">
        <f>INPUT!AJ$5</f>
        <v>1Q16</v>
      </c>
      <c r="AJ391" s="386"/>
      <c r="AK391" s="385" t="str">
        <f>INPUT!AL$5</f>
        <v>2Q16</v>
      </c>
      <c r="AL391" s="386"/>
      <c r="AM391" s="385" t="str">
        <f>INPUT!AN$5</f>
        <v>3Q16</v>
      </c>
      <c r="AN391" s="386"/>
      <c r="AO391" s="385" t="str">
        <f>INPUT!AP$5</f>
        <v>4Q16</v>
      </c>
      <c r="AP391" s="386"/>
      <c r="AQ391" s="385" t="str">
        <f>INPUT!AR$5</f>
        <v>1Q17</v>
      </c>
      <c r="AR391" s="386"/>
      <c r="AS391" s="385" t="str">
        <f>INPUT!AT$5</f>
        <v>2Q17</v>
      </c>
      <c r="AT391" s="386"/>
      <c r="AU391" s="385" t="str">
        <f>INPUT!AV$5</f>
        <v>3Q17</v>
      </c>
      <c r="AV391" s="386"/>
      <c r="AW391" s="385" t="str">
        <f>INPUT!AX$5</f>
        <v>4Q17</v>
      </c>
      <c r="AX391" s="386"/>
      <c r="AY391" s="386"/>
      <c r="AZ391" s="385"/>
      <c r="BA391" s="388"/>
      <c r="BB391" s="385"/>
      <c r="BC391" s="386"/>
      <c r="BD391" s="385"/>
      <c r="BE391" s="386"/>
      <c r="BF391" s="385"/>
      <c r="BG391" s="386"/>
      <c r="BH391" s="385"/>
      <c r="BI391" s="386"/>
      <c r="BJ391" s="385"/>
      <c r="BK391" s="386"/>
      <c r="BL391" s="385"/>
      <c r="BM391" s="386"/>
      <c r="BN391" s="385"/>
      <c r="BO391" s="386"/>
      <c r="BP391" s="385"/>
      <c r="BQ391" s="386"/>
      <c r="BR391" s="385"/>
      <c r="BS391" s="386"/>
      <c r="BT391" s="385">
        <f>INPUT!BC$5</f>
        <v>0</v>
      </c>
      <c r="BU391" s="386"/>
      <c r="BV391" s="385" t="str">
        <f>INPUT!BE$5</f>
        <v>2013</v>
      </c>
      <c r="BW391" s="386"/>
      <c r="BX391" s="385" t="str">
        <f>INPUT!BG$5</f>
        <v>2014</v>
      </c>
      <c r="BY391" s="386"/>
      <c r="BZ391" s="385" t="str">
        <f>INPUT!BI$5</f>
        <v>2015</v>
      </c>
      <c r="CA391" s="386"/>
      <c r="CB391" s="385" t="str">
        <f>INPUT!BK$5</f>
        <v>2016</v>
      </c>
      <c r="CC391" s="386"/>
      <c r="CD391" s="385" t="str">
        <f>INPUT!BM$5</f>
        <v>2017</v>
      </c>
      <c r="CE391" s="386"/>
      <c r="CF391" s="385" t="str">
        <f>INPUT!BO$5</f>
        <v>2018E</v>
      </c>
      <c r="CG391" s="386"/>
      <c r="CH391" s="385" t="str">
        <f>INPUT!BQ$5</f>
        <v>2019E</v>
      </c>
      <c r="CI391" s="386"/>
      <c r="CJ391" s="385" t="str">
        <f>INPUT!BS$5</f>
        <v>2020E</v>
      </c>
      <c r="CK391" s="386"/>
      <c r="CL391" s="385" t="str">
        <f>INPUT!BU$5</f>
        <v>2021E</v>
      </c>
      <c r="CM391" s="385" t="str">
        <f>INPUT!BV$5</f>
        <v>CAGR</v>
      </c>
    </row>
    <row r="392" spans="1:91" s="374" customFormat="1" ht="12" hidden="1" customHeight="1" outlineLevel="1" x14ac:dyDescent="0.2">
      <c r="A392" s="389"/>
      <c r="B392" s="390" t="str">
        <f>INPUT!C$6</f>
        <v>1Q13</v>
      </c>
      <c r="C392" s="391" t="str">
        <f>INPUT!D$6</f>
        <v>% Chg</v>
      </c>
      <c r="D392" s="390" t="str">
        <f>INPUT!E$6</f>
        <v>2Q13</v>
      </c>
      <c r="E392" s="391" t="str">
        <f>INPUT!F$6</f>
        <v>% Chg</v>
      </c>
      <c r="F392" s="390" t="str">
        <f>INPUT!G$6</f>
        <v>3Q13</v>
      </c>
      <c r="G392" s="391" t="str">
        <f>INPUT!H$6</f>
        <v>% Chg</v>
      </c>
      <c r="H392" s="390" t="str">
        <f>INPUT!I$6</f>
        <v>4Q13</v>
      </c>
      <c r="I392" s="391" t="str">
        <f>INPUT!J$6</f>
        <v>% Chg</v>
      </c>
      <c r="J392" s="390" t="str">
        <f>INPUT!K$6</f>
        <v>1Q14</v>
      </c>
      <c r="K392" s="391" t="str">
        <f>INPUT!L$6</f>
        <v>% Chg</v>
      </c>
      <c r="L392" s="390" t="str">
        <f>INPUT!M$6</f>
        <v>2Q14</v>
      </c>
      <c r="M392" s="391" t="str">
        <f>INPUT!N$6</f>
        <v>% Chg</v>
      </c>
      <c r="N392" s="390" t="str">
        <f>INPUT!O$6</f>
        <v>3Q14</v>
      </c>
      <c r="O392" s="391" t="str">
        <f>INPUT!P$6</f>
        <v>% Chg</v>
      </c>
      <c r="P392" s="390" t="str">
        <f>INPUT!Q$6</f>
        <v>4Q14</v>
      </c>
      <c r="Q392" s="391" t="str">
        <f>INPUT!R$6</f>
        <v>% Chg</v>
      </c>
      <c r="R392" s="390" t="str">
        <f>INPUT!S$6</f>
        <v>1Q15</v>
      </c>
      <c r="S392" s="391" t="str">
        <f>INPUT!T$6</f>
        <v>% Chg</v>
      </c>
      <c r="T392" s="390" t="str">
        <f>INPUT!U$6</f>
        <v>2Q15</v>
      </c>
      <c r="U392" s="391" t="str">
        <f>INPUT!V$6</f>
        <v>% Chg</v>
      </c>
      <c r="V392" s="390" t="str">
        <f>INPUT!W$6</f>
        <v>3Q15</v>
      </c>
      <c r="W392" s="391" t="str">
        <f>INPUT!X$6</f>
        <v>% Chg</v>
      </c>
      <c r="X392" s="390" t="str">
        <f>INPUT!Y$6</f>
        <v>4Q15</v>
      </c>
      <c r="Y392" s="391" t="str">
        <f>INPUT!Z$6</f>
        <v>% Chg</v>
      </c>
      <c r="Z392" s="390" t="str">
        <f>INPUT!AA$6</f>
        <v>1Q16</v>
      </c>
      <c r="AA392" s="391" t="str">
        <f>INPUT!AB$6</f>
        <v>% Chg</v>
      </c>
      <c r="AB392" s="390" t="str">
        <f>INPUT!AC$6</f>
        <v>2Q16</v>
      </c>
      <c r="AC392" s="391" t="str">
        <f>INPUT!AD$6</f>
        <v>% Chg</v>
      </c>
      <c r="AD392" s="390" t="str">
        <f>INPUT!AE$6</f>
        <v>3Q16</v>
      </c>
      <c r="AE392" s="391" t="str">
        <f>INPUT!AF$6</f>
        <v>% Chg</v>
      </c>
      <c r="AF392" s="390" t="str">
        <f>INPUT!AG$6</f>
        <v>4Q16</v>
      </c>
      <c r="AG392" s="391" t="str">
        <f>INPUT!AH$6</f>
        <v>% Chg</v>
      </c>
      <c r="AH392" s="390" t="str">
        <f>INPUT!AI$6</f>
        <v>1Q17</v>
      </c>
      <c r="AI392" s="391" t="str">
        <f>INPUT!AJ$6</f>
        <v>% Chg</v>
      </c>
      <c r="AJ392" s="390" t="str">
        <f>INPUT!AK$6</f>
        <v>2Q17</v>
      </c>
      <c r="AK392" s="391" t="str">
        <f>INPUT!AL$6</f>
        <v>% Chg</v>
      </c>
      <c r="AL392" s="390" t="str">
        <f>INPUT!AM$6</f>
        <v>3Q17</v>
      </c>
      <c r="AM392" s="391" t="str">
        <f>INPUT!AN$6</f>
        <v>% Chg</v>
      </c>
      <c r="AN392" s="390" t="str">
        <f>INPUT!AO$6</f>
        <v>4Q17</v>
      </c>
      <c r="AO392" s="391" t="str">
        <f>INPUT!AP$6</f>
        <v>% Chg</v>
      </c>
      <c r="AP392" s="390" t="str">
        <f>INPUT!AQ$6</f>
        <v>1Q18E</v>
      </c>
      <c r="AQ392" s="391" t="str">
        <f>INPUT!AR$6</f>
        <v>% Chg</v>
      </c>
      <c r="AR392" s="390" t="str">
        <f>INPUT!AS$6</f>
        <v>2Q18E</v>
      </c>
      <c r="AS392" s="391" t="str">
        <f>INPUT!AT$6</f>
        <v>% Chg</v>
      </c>
      <c r="AT392" s="390" t="str">
        <f>INPUT!AU$6</f>
        <v>3Q18E</v>
      </c>
      <c r="AU392" s="391" t="str">
        <f>INPUT!AV$6</f>
        <v>% Chg</v>
      </c>
      <c r="AV392" s="390" t="str">
        <f>INPUT!AW$6</f>
        <v>4Q18E</v>
      </c>
      <c r="AW392" s="391" t="str">
        <f>INPUT!AX$6</f>
        <v>% Chg</v>
      </c>
      <c r="AX392" s="390"/>
      <c r="AY392" s="392"/>
      <c r="AZ392" s="391"/>
      <c r="BA392" s="392"/>
      <c r="BB392" s="391"/>
      <c r="BC392" s="392"/>
      <c r="BD392" s="391"/>
      <c r="BE392" s="393"/>
      <c r="BF392" s="391"/>
      <c r="BG392" s="393"/>
      <c r="BH392" s="391"/>
      <c r="BI392" s="393"/>
      <c r="BJ392" s="391"/>
      <c r="BK392" s="393"/>
      <c r="BL392" s="391"/>
      <c r="BM392" s="390"/>
      <c r="BN392" s="391"/>
      <c r="BO392" s="390"/>
      <c r="BP392" s="391"/>
      <c r="BQ392" s="390"/>
      <c r="BR392" s="391"/>
      <c r="BS392" s="390" t="str">
        <f>INPUT!BB$6</f>
        <v>2013</v>
      </c>
      <c r="BT392" s="391" t="str">
        <f>INPUT!BC$6</f>
        <v>% Chg</v>
      </c>
      <c r="BU392" s="390" t="str">
        <f>INPUT!BD$6</f>
        <v>2014</v>
      </c>
      <c r="BV392" s="391" t="str">
        <f>INPUT!BE$6</f>
        <v>% Chg</v>
      </c>
      <c r="BW392" s="390" t="str">
        <f>INPUT!BF$6</f>
        <v>2015</v>
      </c>
      <c r="BX392" s="391" t="str">
        <f>INPUT!BG$6</f>
        <v>% Chg</v>
      </c>
      <c r="BY392" s="390" t="str">
        <f>INPUT!BH$6</f>
        <v>2016</v>
      </c>
      <c r="BZ392" s="391" t="str">
        <f>INPUT!BI$6</f>
        <v>% Chg</v>
      </c>
      <c r="CA392" s="390" t="str">
        <f>INPUT!BJ$6</f>
        <v>2017</v>
      </c>
      <c r="CB392" s="391" t="str">
        <f>INPUT!BK$6</f>
        <v>% Chg</v>
      </c>
      <c r="CC392" s="390" t="str">
        <f>INPUT!BL$6</f>
        <v>2018E</v>
      </c>
      <c r="CD392" s="391" t="str">
        <f>INPUT!BM$6</f>
        <v>% Chg</v>
      </c>
      <c r="CE392" s="390" t="str">
        <f>INPUT!BN$6</f>
        <v>2019E</v>
      </c>
      <c r="CF392" s="391" t="str">
        <f>INPUT!BO$6</f>
        <v>% Chg</v>
      </c>
      <c r="CG392" s="390" t="str">
        <f>INPUT!BP$6</f>
        <v>2020E</v>
      </c>
      <c r="CH392" s="391" t="str">
        <f>INPUT!BQ$6</f>
        <v>% Chg</v>
      </c>
      <c r="CI392" s="390" t="str">
        <f>INPUT!BR$6</f>
        <v>2021E</v>
      </c>
      <c r="CJ392" s="391" t="str">
        <f>INPUT!BS$6</f>
        <v>% Chg</v>
      </c>
      <c r="CK392" s="390" t="str">
        <f>INPUT!BT$6</f>
        <v>2022E</v>
      </c>
      <c r="CL392" s="391" t="str">
        <f>INPUT!BU$6</f>
        <v>% Chg</v>
      </c>
      <c r="CM392" s="391" t="str">
        <f>INPUT!BV$6</f>
        <v>(%)</v>
      </c>
    </row>
    <row r="393" spans="1:91" ht="12" hidden="1" customHeight="1" outlineLevel="1" x14ac:dyDescent="0.2">
      <c r="A393" s="394"/>
      <c r="B393" s="395"/>
      <c r="C393" s="422"/>
      <c r="D393" s="395"/>
      <c r="E393" s="396"/>
      <c r="F393" s="395"/>
      <c r="G393" s="396"/>
      <c r="H393" s="395"/>
      <c r="I393" s="396"/>
      <c r="J393" s="395"/>
      <c r="K393" s="396"/>
      <c r="L393" s="395"/>
      <c r="M393" s="396"/>
      <c r="N393" s="395"/>
      <c r="O393" s="396"/>
      <c r="P393" s="395"/>
      <c r="Q393" s="396"/>
      <c r="R393" s="395"/>
      <c r="S393" s="396"/>
      <c r="T393" s="395"/>
      <c r="U393" s="396"/>
      <c r="V393" s="395"/>
      <c r="W393" s="396"/>
      <c r="X393" s="395"/>
      <c r="Y393" s="396"/>
      <c r="Z393" s="395"/>
      <c r="AA393" s="396"/>
      <c r="AB393" s="395"/>
      <c r="AC393" s="396"/>
      <c r="AD393" s="395"/>
      <c r="AE393" s="396"/>
      <c r="AF393" s="395"/>
      <c r="AG393" s="396"/>
      <c r="AH393" s="395"/>
      <c r="AI393" s="396"/>
      <c r="AJ393" s="395"/>
      <c r="AK393" s="396"/>
      <c r="AL393" s="395"/>
      <c r="AM393" s="396"/>
      <c r="AN393" s="395"/>
      <c r="AO393" s="396"/>
      <c r="AP393" s="395"/>
      <c r="AQ393" s="396"/>
      <c r="AR393" s="395"/>
      <c r="AS393" s="396"/>
      <c r="AT393" s="395"/>
      <c r="AU393" s="396"/>
      <c r="AV393" s="395"/>
      <c r="AW393" s="396"/>
      <c r="AX393" s="395"/>
      <c r="AY393" s="395"/>
      <c r="AZ393" s="422"/>
      <c r="BA393" s="395"/>
      <c r="BB393" s="422"/>
      <c r="BC393" s="395"/>
      <c r="BD393" s="422"/>
      <c r="BE393" s="395"/>
      <c r="BF393" s="396"/>
      <c r="BG393" s="395"/>
      <c r="BH393" s="396"/>
      <c r="BI393" s="395"/>
      <c r="BJ393" s="396"/>
      <c r="BK393" s="395"/>
      <c r="BL393" s="396"/>
      <c r="BM393" s="395"/>
      <c r="BN393" s="396"/>
      <c r="BO393" s="395"/>
      <c r="BP393" s="396"/>
      <c r="BQ393" s="395"/>
      <c r="BR393" s="396"/>
      <c r="BS393" s="395"/>
      <c r="BT393" s="396"/>
      <c r="BU393" s="395"/>
      <c r="BV393" s="396"/>
      <c r="BW393" s="395"/>
      <c r="BX393" s="396"/>
      <c r="BY393" s="395"/>
      <c r="BZ393" s="396"/>
      <c r="CA393" s="395"/>
      <c r="CB393" s="396"/>
      <c r="CC393" s="395"/>
      <c r="CD393" s="396"/>
      <c r="CE393" s="395"/>
      <c r="CF393" s="396"/>
      <c r="CG393" s="395"/>
      <c r="CH393" s="396"/>
      <c r="CI393" s="395"/>
      <c r="CJ393" s="396"/>
      <c r="CK393" s="395"/>
      <c r="CL393" s="396"/>
      <c r="CM393" s="422"/>
    </row>
    <row r="394" spans="1:91" ht="12" hidden="1" customHeight="1" outlineLevel="1" x14ac:dyDescent="0.2">
      <c r="A394" s="454" t="str">
        <f>+INPUT!B476</f>
        <v>Revenues</v>
      </c>
      <c r="B394" s="462"/>
      <c r="C394" s="463"/>
      <c r="D394" s="462"/>
      <c r="E394" s="464"/>
      <c r="F394" s="462"/>
      <c r="G394" s="464"/>
      <c r="H394" s="462"/>
      <c r="I394" s="464"/>
      <c r="J394" s="462"/>
      <c r="K394" s="464"/>
      <c r="L394" s="462"/>
      <c r="M394" s="464"/>
      <c r="N394" s="462"/>
      <c r="O394" s="464"/>
      <c r="P394" s="462"/>
      <c r="Q394" s="464"/>
      <c r="R394" s="462"/>
      <c r="S394" s="464"/>
      <c r="T394" s="462"/>
      <c r="U394" s="464"/>
      <c r="V394" s="462"/>
      <c r="W394" s="464"/>
      <c r="X394" s="462"/>
      <c r="Y394" s="464"/>
      <c r="Z394" s="462"/>
      <c r="AA394" s="464"/>
      <c r="AB394" s="462"/>
      <c r="AC394" s="464"/>
      <c r="AD394" s="462"/>
      <c r="AE394" s="464"/>
      <c r="AF394" s="462"/>
      <c r="AG394" s="464"/>
      <c r="AH394" s="462"/>
      <c r="AI394" s="464"/>
      <c r="AJ394" s="462"/>
      <c r="AK394" s="464"/>
      <c r="AL394" s="462"/>
      <c r="AM394" s="464"/>
      <c r="AN394" s="462"/>
      <c r="AO394" s="464"/>
      <c r="AP394" s="462"/>
      <c r="AQ394" s="464"/>
      <c r="AR394" s="462"/>
      <c r="AS394" s="464"/>
      <c r="AT394" s="462"/>
      <c r="AU394" s="464"/>
      <c r="AV394" s="462"/>
      <c r="AW394" s="464"/>
      <c r="AX394" s="462"/>
      <c r="AY394" s="462"/>
      <c r="AZ394" s="463"/>
      <c r="BA394" s="462"/>
      <c r="BB394" s="463"/>
      <c r="BC394" s="462"/>
      <c r="BD394" s="463"/>
      <c r="BE394" s="462"/>
      <c r="BF394" s="464"/>
      <c r="BG394" s="462"/>
      <c r="BH394" s="464"/>
      <c r="BI394" s="462"/>
      <c r="BJ394" s="464"/>
      <c r="BK394" s="462"/>
      <c r="BL394" s="464"/>
      <c r="BM394" s="462"/>
      <c r="BN394" s="464"/>
      <c r="BO394" s="462"/>
      <c r="BP394" s="464"/>
      <c r="BQ394" s="462"/>
      <c r="BR394" s="464"/>
      <c r="BS394" s="462"/>
      <c r="BT394" s="464"/>
      <c r="BU394" s="462"/>
      <c r="BV394" s="464"/>
      <c r="BW394" s="462"/>
      <c r="BX394" s="464"/>
      <c r="BY394" s="462"/>
      <c r="BZ394" s="464"/>
      <c r="CA394" s="462"/>
      <c r="CB394" s="464"/>
      <c r="CC394" s="462"/>
      <c r="CD394" s="464"/>
      <c r="CE394" s="462"/>
      <c r="CF394" s="464"/>
      <c r="CG394" s="462"/>
      <c r="CH394" s="464"/>
      <c r="CI394" s="462"/>
      <c r="CJ394" s="464"/>
      <c r="CK394" s="462"/>
      <c r="CL394" s="464"/>
      <c r="CM394" s="463"/>
    </row>
    <row r="395" spans="1:91" ht="12" hidden="1" customHeight="1" outlineLevel="1" x14ac:dyDescent="0.2">
      <c r="A395" s="420" t="s">
        <v>374</v>
      </c>
      <c r="B395" s="425">
        <f>INPUT!C477</f>
        <v>366.7</v>
      </c>
      <c r="C395" s="424" t="str">
        <f>INPUT!D477</f>
        <v>NA</v>
      </c>
      <c r="D395" s="425">
        <f>INPUT!E477</f>
        <v>372.3</v>
      </c>
      <c r="E395" s="382" t="str">
        <f>INPUT!F477</f>
        <v>NA</v>
      </c>
      <c r="F395" s="425">
        <f>INPUT!G477</f>
        <v>371.9</v>
      </c>
      <c r="G395" s="382" t="str">
        <f>INPUT!H477</f>
        <v>NA</v>
      </c>
      <c r="H395" s="425">
        <f>INPUT!I477</f>
        <v>381.8</v>
      </c>
      <c r="I395" s="382" t="str">
        <f>INPUT!J477</f>
        <v>NA</v>
      </c>
      <c r="J395" s="425">
        <f>INPUT!K477</f>
        <v>385.1</v>
      </c>
      <c r="K395" s="382">
        <f>INPUT!L477</f>
        <v>5.0177256613035155</v>
      </c>
      <c r="L395" s="425">
        <f>INPUT!M477</f>
        <v>394.9</v>
      </c>
      <c r="M395" s="382">
        <f>INPUT!N477</f>
        <v>6.0703733548213705</v>
      </c>
      <c r="N395" s="425">
        <f>INPUT!O477</f>
        <v>405.1</v>
      </c>
      <c r="O395" s="382">
        <f>INPUT!P477</f>
        <v>8.9271309491798974</v>
      </c>
      <c r="P395" s="425">
        <f>INPUT!Q477</f>
        <v>406.29999999999995</v>
      </c>
      <c r="Q395" s="382">
        <f>INPUT!R477</f>
        <v>6.4169722367731481</v>
      </c>
      <c r="R395" s="425">
        <f>INPUT!S477</f>
        <v>435.6</v>
      </c>
      <c r="S395" s="382">
        <f>INPUT!T477</f>
        <v>13.113477018956104</v>
      </c>
      <c r="T395" s="425">
        <f>INPUT!U477</f>
        <v>428.2</v>
      </c>
      <c r="U395" s="382">
        <f>INPUT!V477</f>
        <v>8.4325145606482579</v>
      </c>
      <c r="V395" s="425">
        <f>INPUT!W477</f>
        <v>429.6</v>
      </c>
      <c r="W395" s="382">
        <f>INPUT!X477</f>
        <v>6.0478894100222078</v>
      </c>
      <c r="X395" s="425">
        <f>INPUT!Y477</f>
        <v>439.2</v>
      </c>
      <c r="Y395" s="382">
        <f>INPUT!Z477</f>
        <v>8.0974649273935597</v>
      </c>
      <c r="Z395" s="425">
        <f>INPUT!AA477</f>
        <v>449.7</v>
      </c>
      <c r="AA395" s="382">
        <f>INPUT!AB477</f>
        <v>3.2369146005509606</v>
      </c>
      <c r="AB395" s="425">
        <f>INPUT!AC477</f>
        <v>464.20000000000005</v>
      </c>
      <c r="AC395" s="382">
        <f>INPUT!AD477</f>
        <v>8.4072863148061856</v>
      </c>
      <c r="AD395" s="425">
        <f>INPUT!AE477</f>
        <v>469.3</v>
      </c>
      <c r="AE395" s="382">
        <f>INPUT!AF477</f>
        <v>9.2411545623836133</v>
      </c>
      <c r="AF395" s="425">
        <f>INPUT!AG477</f>
        <v>479.1</v>
      </c>
      <c r="AG395" s="382">
        <f>INPUT!AH477</f>
        <v>9.0846994535519201</v>
      </c>
      <c r="AH395" s="425">
        <f>INPUT!AI477</f>
        <v>487.59999999999997</v>
      </c>
      <c r="AI395" s="382">
        <f>INPUT!AJ477</f>
        <v>8.427840782744056</v>
      </c>
      <c r="AJ395" s="425">
        <f>INPUT!AK477</f>
        <v>499.2</v>
      </c>
      <c r="AK395" s="382">
        <f>INPUT!AL477</f>
        <v>7.5398535114174763</v>
      </c>
      <c r="AL395" s="425">
        <f>INPUT!AM477</f>
        <v>513.70000000000005</v>
      </c>
      <c r="AM395" s="382">
        <f>INPUT!AN477</f>
        <v>9.4608992115917374</v>
      </c>
      <c r="AN395" s="425">
        <f>INPUT!AO477</f>
        <v>520.6</v>
      </c>
      <c r="AO395" s="382">
        <f>INPUT!AP477</f>
        <v>8.6620747234397868</v>
      </c>
      <c r="AP395" s="425">
        <f>INPUT!AQ477</f>
        <v>521.73199999999997</v>
      </c>
      <c r="AQ395" s="382">
        <f>INPUT!AR477</f>
        <v>7</v>
      </c>
      <c r="AR395" s="425">
        <f>INPUT!AS477</f>
        <v>534.14400000000001</v>
      </c>
      <c r="AS395" s="382">
        <f>INPUT!AT477</f>
        <v>7</v>
      </c>
      <c r="AT395" s="425">
        <f>INPUT!AU477</f>
        <v>549.65900000000011</v>
      </c>
      <c r="AU395" s="382">
        <f>INPUT!AV477</f>
        <v>7</v>
      </c>
      <c r="AV395" s="425">
        <f>INPUT!AW477</f>
        <v>557.04200000000003</v>
      </c>
      <c r="AW395" s="382">
        <f>INPUT!AX477</f>
        <v>7</v>
      </c>
      <c r="AX395" s="465"/>
      <c r="AY395" s="425"/>
      <c r="AZ395" s="424"/>
      <c r="BA395" s="425"/>
      <c r="BB395" s="424"/>
      <c r="BC395" s="425"/>
      <c r="BD395" s="424"/>
      <c r="BE395" s="425"/>
      <c r="BF395" s="382"/>
      <c r="BG395" s="425"/>
      <c r="BH395" s="382"/>
      <c r="BI395" s="425"/>
      <c r="BJ395" s="382"/>
      <c r="BK395" s="425"/>
      <c r="BL395" s="382"/>
      <c r="BM395" s="425"/>
      <c r="BN395" s="382"/>
      <c r="BO395" s="425"/>
      <c r="BP395" s="382"/>
      <c r="BQ395" s="425"/>
      <c r="BR395" s="382"/>
      <c r="BS395" s="425">
        <f>INPUT!BB477</f>
        <v>1492.7</v>
      </c>
      <c r="BT395" s="382" t="str">
        <f>INPUT!BC477</f>
        <v>NA</v>
      </c>
      <c r="BU395" s="425">
        <f>INPUT!BD477</f>
        <v>1591.3999999999999</v>
      </c>
      <c r="BV395" s="382">
        <f>INPUT!BE477</f>
        <v>6.6121792724593007</v>
      </c>
      <c r="BW395" s="425">
        <f>INPUT!BF477</f>
        <v>1732.6000000000001</v>
      </c>
      <c r="BX395" s="382">
        <f>INPUT!BG477</f>
        <v>8.8726907125801517</v>
      </c>
      <c r="BY395" s="425">
        <f>INPUT!BH477</f>
        <v>1862.3000000000002</v>
      </c>
      <c r="BZ395" s="382">
        <f>INPUT!BI477</f>
        <v>7.4858594020547002</v>
      </c>
      <c r="CA395" s="425">
        <f>INPUT!BJ477</f>
        <v>2021.1</v>
      </c>
      <c r="CB395" s="382">
        <f>INPUT!BK477</f>
        <v>8.5270901573323101</v>
      </c>
      <c r="CC395" s="425">
        <f>INPUT!BL477</f>
        <v>2162.5770000000002</v>
      </c>
      <c r="CD395" s="382">
        <f>INPUT!BM477</f>
        <v>7</v>
      </c>
      <c r="CE395" s="425">
        <f>INPUT!BN477</f>
        <v>2313.9573900000005</v>
      </c>
      <c r="CF395" s="382">
        <f>INPUT!BO477</f>
        <v>7</v>
      </c>
      <c r="CG395" s="425">
        <f>INPUT!BP477</f>
        <v>2475.9344073000007</v>
      </c>
      <c r="CH395" s="382">
        <f>INPUT!BQ477</f>
        <v>7</v>
      </c>
      <c r="CI395" s="425">
        <f>INPUT!BR477</f>
        <v>2649.2498158110006</v>
      </c>
      <c r="CJ395" s="382">
        <f>INPUT!BS477</f>
        <v>7</v>
      </c>
      <c r="CK395" s="425">
        <f>INPUT!BT477</f>
        <v>2834.6973029177707</v>
      </c>
      <c r="CL395" s="382">
        <f>INPUT!BU477</f>
        <v>7</v>
      </c>
      <c r="CM395" s="424">
        <f>INPUT!BV477</f>
        <v>7.0000000000000062</v>
      </c>
    </row>
    <row r="396" spans="1:91" ht="12" hidden="1" customHeight="1" outlineLevel="1" x14ac:dyDescent="0.2">
      <c r="A396" s="420" t="str">
        <f>+INPUT!B478</f>
        <v>Net Investment Income</v>
      </c>
      <c r="B396" s="425">
        <f>INPUT!C478</f>
        <v>31.8</v>
      </c>
      <c r="C396" s="424" t="str">
        <f>INPUT!D478</f>
        <v>NA</v>
      </c>
      <c r="D396" s="425">
        <f>INPUT!E478</f>
        <v>32.799999999999997</v>
      </c>
      <c r="E396" s="382" t="str">
        <f>INPUT!F478</f>
        <v>NA</v>
      </c>
      <c r="F396" s="425">
        <f>INPUT!G478</f>
        <v>33.1</v>
      </c>
      <c r="G396" s="382" t="str">
        <f>INPUT!H478</f>
        <v>NA</v>
      </c>
      <c r="H396" s="425">
        <f>INPUT!I478</f>
        <v>33.200000000000003</v>
      </c>
      <c r="I396" s="382" t="str">
        <f>INPUT!J478</f>
        <v>NA</v>
      </c>
      <c r="J396" s="425">
        <f>INPUT!K478</f>
        <v>35.5</v>
      </c>
      <c r="K396" s="382">
        <f>INPUT!L478</f>
        <v>11.635220125786176</v>
      </c>
      <c r="L396" s="425">
        <f>INPUT!M478</f>
        <v>34.6</v>
      </c>
      <c r="M396" s="382">
        <f>INPUT!N478</f>
        <v>5.4878048780487916</v>
      </c>
      <c r="N396" s="425">
        <f>INPUT!O478</f>
        <v>33.200000000000003</v>
      </c>
      <c r="O396" s="382">
        <f>INPUT!P478</f>
        <v>0.30211480362538623</v>
      </c>
      <c r="P396" s="425">
        <f>INPUT!Q478</f>
        <v>32.4</v>
      </c>
      <c r="Q396" s="382">
        <f>INPUT!R478</f>
        <v>-2.409638554216869</v>
      </c>
      <c r="R396" s="425">
        <f>INPUT!S478</f>
        <v>30.7</v>
      </c>
      <c r="S396" s="382">
        <f>INPUT!T478</f>
        <v>-13.521126760563391</v>
      </c>
      <c r="T396" s="425">
        <f>INPUT!U478</f>
        <v>36.5</v>
      </c>
      <c r="U396" s="382">
        <f>INPUT!V478</f>
        <v>5.4913294797687797</v>
      </c>
      <c r="V396" s="425">
        <f>INPUT!W478</f>
        <v>34</v>
      </c>
      <c r="W396" s="382">
        <f>INPUT!X478</f>
        <v>2.4096385542168548</v>
      </c>
      <c r="X396" s="425">
        <f>INPUT!Y478</f>
        <v>34.299999999999997</v>
      </c>
      <c r="Y396" s="382">
        <f>INPUT!Z478</f>
        <v>5.8641975308642031</v>
      </c>
      <c r="Z396" s="425">
        <f>INPUT!AA478</f>
        <v>33.200000000000003</v>
      </c>
      <c r="AA396" s="382">
        <f>INPUT!AB478</f>
        <v>8.1433224755700309</v>
      </c>
      <c r="AB396" s="425">
        <f>INPUT!AC478</f>
        <v>34</v>
      </c>
      <c r="AC396" s="382">
        <f>INPUT!AD478</f>
        <v>-6.849315068493155</v>
      </c>
      <c r="AD396" s="425">
        <f>INPUT!AE478</f>
        <v>41.6</v>
      </c>
      <c r="AE396" s="382">
        <f>INPUT!AF478</f>
        <v>22.352941176470594</v>
      </c>
      <c r="AF396" s="425">
        <f>INPUT!AG478</f>
        <v>40.299999999999997</v>
      </c>
      <c r="AG396" s="382">
        <f>INPUT!AH478</f>
        <v>17.492711370262384</v>
      </c>
      <c r="AH396" s="425">
        <f>INPUT!AI478</f>
        <v>40.9</v>
      </c>
      <c r="AI396" s="382">
        <f>INPUT!AJ478</f>
        <v>23.192771084337323</v>
      </c>
      <c r="AJ396" s="425">
        <f>INPUT!AK478</f>
        <v>38.1</v>
      </c>
      <c r="AK396" s="382">
        <f>INPUT!AL478</f>
        <v>12.058823529411768</v>
      </c>
      <c r="AL396" s="425">
        <f>INPUT!AM478</f>
        <v>36.4</v>
      </c>
      <c r="AM396" s="382">
        <f>INPUT!AN478</f>
        <v>-12.500000000000014</v>
      </c>
      <c r="AN396" s="425">
        <f>INPUT!AO478</f>
        <v>35.299999999999997</v>
      </c>
      <c r="AO396" s="382">
        <f>INPUT!AP478</f>
        <v>-12.40694789081887</v>
      </c>
      <c r="AP396" s="425">
        <f>INPUT!AQ478</f>
        <v>42.127000000000002</v>
      </c>
      <c r="AQ396" s="382">
        <f>INPUT!AR478</f>
        <v>3</v>
      </c>
      <c r="AR396" s="425">
        <f>INPUT!AS478</f>
        <v>39.243000000000002</v>
      </c>
      <c r="AS396" s="382">
        <f>INPUT!AT478</f>
        <v>3</v>
      </c>
      <c r="AT396" s="425">
        <f>INPUT!AU478</f>
        <v>37.491999999999997</v>
      </c>
      <c r="AU396" s="382">
        <f>INPUT!AV478</f>
        <v>3</v>
      </c>
      <c r="AV396" s="425">
        <f>INPUT!AW478</f>
        <v>36.358999999999995</v>
      </c>
      <c r="AW396" s="382">
        <f>INPUT!AX478</f>
        <v>3</v>
      </c>
      <c r="AX396" s="465"/>
      <c r="AY396" s="425"/>
      <c r="AZ396" s="424"/>
      <c r="BA396" s="425"/>
      <c r="BB396" s="424"/>
      <c r="BC396" s="425"/>
      <c r="BD396" s="424"/>
      <c r="BE396" s="425"/>
      <c r="BF396" s="382"/>
      <c r="BG396" s="425"/>
      <c r="BH396" s="382"/>
      <c r="BI396" s="425"/>
      <c r="BJ396" s="382"/>
      <c r="BK396" s="425"/>
      <c r="BL396" s="382"/>
      <c r="BM396" s="425"/>
      <c r="BN396" s="382"/>
      <c r="BO396" s="425"/>
      <c r="BP396" s="382"/>
      <c r="BQ396" s="425"/>
      <c r="BR396" s="382"/>
      <c r="BS396" s="425">
        <f>INPUT!BB478</f>
        <v>130.89999999999998</v>
      </c>
      <c r="BT396" s="382" t="str">
        <f>INPUT!BC478</f>
        <v>NA</v>
      </c>
      <c r="BU396" s="425">
        <f>INPUT!BD478</f>
        <v>135.69999999999999</v>
      </c>
      <c r="BV396" s="382">
        <f>INPUT!BE478</f>
        <v>3.66692131398014</v>
      </c>
      <c r="BW396" s="425">
        <f>INPUT!BF478</f>
        <v>135.5</v>
      </c>
      <c r="BX396" s="382">
        <f>INPUT!BG478</f>
        <v>-0.14738393515105486</v>
      </c>
      <c r="BY396" s="425">
        <f>INPUT!BH478</f>
        <v>149.10000000000002</v>
      </c>
      <c r="BZ396" s="382">
        <f>INPUT!BI478</f>
        <v>10.036900369003703</v>
      </c>
      <c r="CA396" s="425">
        <f>INPUT!BJ478</f>
        <v>150.69999999999999</v>
      </c>
      <c r="CB396" s="382">
        <f>INPUT!BK478</f>
        <v>1.0731052984573921</v>
      </c>
      <c r="CC396" s="425">
        <f>INPUT!BL478</f>
        <v>155.221</v>
      </c>
      <c r="CD396" s="382">
        <f>INPUT!BM478</f>
        <v>3</v>
      </c>
      <c r="CE396" s="425">
        <f>INPUT!BN478</f>
        <v>162.98205000000002</v>
      </c>
      <c r="CF396" s="382">
        <f>INPUT!BO478</f>
        <v>5</v>
      </c>
      <c r="CG396" s="425">
        <f>INPUT!BP478</f>
        <v>171.13115250000001</v>
      </c>
      <c r="CH396" s="382">
        <f>INPUT!BQ478</f>
        <v>5</v>
      </c>
      <c r="CI396" s="425">
        <f>INPUT!BR478</f>
        <v>179.68771012500002</v>
      </c>
      <c r="CJ396" s="382">
        <f>INPUT!BS478</f>
        <v>5</v>
      </c>
      <c r="CK396" s="425">
        <f>INPUT!BT478</f>
        <v>188.67209563125004</v>
      </c>
      <c r="CL396" s="382">
        <f>INPUT!BU478</f>
        <v>5</v>
      </c>
      <c r="CM396" s="424">
        <f>INPUT!BV478</f>
        <v>4.5969170797945047</v>
      </c>
    </row>
    <row r="397" spans="1:91" s="767" customFormat="1" ht="12" hidden="1" customHeight="1" outlineLevel="1" x14ac:dyDescent="0.2">
      <c r="A397" s="394" t="str">
        <f>+INPUT!B479</f>
        <v>Total Operating Revenues</v>
      </c>
      <c r="B397" s="430">
        <f>INPUT!C479</f>
        <v>398.5</v>
      </c>
      <c r="C397" s="763" t="str">
        <f>INPUT!D479</f>
        <v>NA</v>
      </c>
      <c r="D397" s="444">
        <f>INPUT!E479</f>
        <v>405.1</v>
      </c>
      <c r="E397" s="764" t="str">
        <f>INPUT!F479</f>
        <v>NA</v>
      </c>
      <c r="F397" s="444">
        <f>INPUT!G479</f>
        <v>405</v>
      </c>
      <c r="G397" s="764" t="str">
        <f>INPUT!H479</f>
        <v>NA</v>
      </c>
      <c r="H397" s="444">
        <f>INPUT!I479</f>
        <v>415</v>
      </c>
      <c r="I397" s="764" t="str">
        <f>INPUT!J479</f>
        <v>NA</v>
      </c>
      <c r="J397" s="444">
        <f>INPUT!K479</f>
        <v>420.6</v>
      </c>
      <c r="K397" s="764">
        <f>INPUT!L479</f>
        <v>5.5457967377666222</v>
      </c>
      <c r="L397" s="444">
        <f>INPUT!M479</f>
        <v>429.5</v>
      </c>
      <c r="M397" s="764">
        <f>INPUT!N479</f>
        <v>6.0232041471241615</v>
      </c>
      <c r="N397" s="444">
        <f>INPUT!O479</f>
        <v>438.3</v>
      </c>
      <c r="O397" s="764">
        <f>INPUT!P479</f>
        <v>8.2222222222222143</v>
      </c>
      <c r="P397" s="444">
        <f>INPUT!Q479</f>
        <v>438.69999999999993</v>
      </c>
      <c r="Q397" s="764">
        <f>INPUT!R479</f>
        <v>5.7108433734939723</v>
      </c>
      <c r="R397" s="444">
        <f>INPUT!S479</f>
        <v>466.3</v>
      </c>
      <c r="S397" s="764">
        <f>INPUT!T479</f>
        <v>10.865430337612935</v>
      </c>
      <c r="T397" s="444">
        <f>INPUT!U479</f>
        <v>464.7</v>
      </c>
      <c r="U397" s="764">
        <f>INPUT!V479</f>
        <v>8.1955762514551793</v>
      </c>
      <c r="V397" s="444">
        <f>INPUT!W479</f>
        <v>463.6</v>
      </c>
      <c r="W397" s="764">
        <f>INPUT!X479</f>
        <v>5.7723020762035162</v>
      </c>
      <c r="X397" s="444">
        <f>INPUT!Y479</f>
        <v>473.5</v>
      </c>
      <c r="Y397" s="764">
        <f>INPUT!Z479</f>
        <v>7.9325279234100776</v>
      </c>
      <c r="Z397" s="444">
        <f>INPUT!AA479</f>
        <v>482.9</v>
      </c>
      <c r="AA397" s="764">
        <f>INPUT!AB479</f>
        <v>3.5599399528200735</v>
      </c>
      <c r="AB397" s="444">
        <f>INPUT!AC479</f>
        <v>498.20000000000005</v>
      </c>
      <c r="AC397" s="764">
        <f>INPUT!AD479</f>
        <v>7.2089520120508013</v>
      </c>
      <c r="AD397" s="444">
        <f>INPUT!AE479</f>
        <v>510.90000000000003</v>
      </c>
      <c r="AE397" s="764">
        <f>INPUT!AF479</f>
        <v>10.202761000862807</v>
      </c>
      <c r="AF397" s="444">
        <f>INPUT!AG479</f>
        <v>519.4</v>
      </c>
      <c r="AG397" s="764">
        <f>INPUT!AH479</f>
        <v>9.6937697993664216</v>
      </c>
      <c r="AH397" s="444">
        <f>INPUT!AI479</f>
        <v>528.5</v>
      </c>
      <c r="AI397" s="764">
        <f>INPUT!AJ479</f>
        <v>9.4429488506937247</v>
      </c>
      <c r="AJ397" s="444">
        <f>INPUT!AK479</f>
        <v>537.29999999999995</v>
      </c>
      <c r="AK397" s="764">
        <f>INPUT!AL479</f>
        <v>7.8482537133681092</v>
      </c>
      <c r="AL397" s="444">
        <f>INPUT!AM479</f>
        <v>550.1</v>
      </c>
      <c r="AM397" s="764">
        <f>INPUT!AN479</f>
        <v>7.6727343902916374</v>
      </c>
      <c r="AN397" s="444">
        <f>INPUT!AO479</f>
        <v>555.9</v>
      </c>
      <c r="AO397" s="764">
        <f>INPUT!AP479</f>
        <v>7.0273392375818275</v>
      </c>
      <c r="AP397" s="444">
        <f>INPUT!AQ479</f>
        <v>563.85899999999992</v>
      </c>
      <c r="AQ397" s="764">
        <f>INPUT!AR479</f>
        <v>6.6904446546830485</v>
      </c>
      <c r="AR397" s="444">
        <f>INPUT!AS479</f>
        <v>573.38700000000006</v>
      </c>
      <c r="AS397" s="764">
        <f>INPUT!AT479</f>
        <v>6.7163595756560852</v>
      </c>
      <c r="AT397" s="444">
        <f>INPUT!AU479</f>
        <v>587.15100000000007</v>
      </c>
      <c r="AU397" s="764">
        <f>INPUT!AV479</f>
        <v>6.7353208507544053</v>
      </c>
      <c r="AV397" s="444">
        <f>INPUT!AW479</f>
        <v>593.40100000000007</v>
      </c>
      <c r="AW397" s="764">
        <f>INPUT!AX479</f>
        <v>6.7459974815614316</v>
      </c>
      <c r="AX397" s="431"/>
      <c r="AY397" s="765"/>
      <c r="AZ397" s="766"/>
      <c r="BA397" s="765"/>
      <c r="BB397" s="766"/>
      <c r="BC397" s="765"/>
      <c r="BD397" s="766"/>
      <c r="BE397" s="765"/>
      <c r="BF397" s="764"/>
      <c r="BG397" s="765"/>
      <c r="BH397" s="764"/>
      <c r="BI397" s="765"/>
      <c r="BJ397" s="764"/>
      <c r="BK397" s="444"/>
      <c r="BL397" s="764"/>
      <c r="BM397" s="444"/>
      <c r="BN397" s="764"/>
      <c r="BO397" s="444"/>
      <c r="BP397" s="764"/>
      <c r="BQ397" s="444"/>
      <c r="BR397" s="764"/>
      <c r="BS397" s="444">
        <f>INPUT!BB479</f>
        <v>1623.6</v>
      </c>
      <c r="BT397" s="764" t="str">
        <f>INPUT!BC479</f>
        <v>NA</v>
      </c>
      <c r="BU397" s="444">
        <f>INPUT!BD479</f>
        <v>1727.1</v>
      </c>
      <c r="BV397" s="764">
        <f>INPUT!BE479</f>
        <v>6.3747228381374725</v>
      </c>
      <c r="BW397" s="444">
        <f>INPUT!BF479</f>
        <v>1868.1000000000001</v>
      </c>
      <c r="BX397" s="764">
        <f>INPUT!BG479</f>
        <v>8.1639742921660599</v>
      </c>
      <c r="BY397" s="444">
        <f>INPUT!BH479</f>
        <v>2011.4</v>
      </c>
      <c r="BZ397" s="764">
        <f>INPUT!BI479</f>
        <v>7.6708955623360708</v>
      </c>
      <c r="CA397" s="444">
        <f>INPUT!BJ479</f>
        <v>2171.7999999999997</v>
      </c>
      <c r="CB397" s="764">
        <f>INPUT!BK479</f>
        <v>7.9745450929700468</v>
      </c>
      <c r="CC397" s="444">
        <f>INPUT!BL479</f>
        <v>2317.7980000000002</v>
      </c>
      <c r="CD397" s="764">
        <f>INPUT!BM479</f>
        <v>6.7224422138318687</v>
      </c>
      <c r="CE397" s="444">
        <f>INPUT!BN479</f>
        <v>2476.9394400000006</v>
      </c>
      <c r="CF397" s="764">
        <f>INPUT!BO479</f>
        <v>6.8660616671513424</v>
      </c>
      <c r="CG397" s="444">
        <f>INPUT!BP479</f>
        <v>2647.0655598000008</v>
      </c>
      <c r="CH397" s="764">
        <f>INPUT!BQ479</f>
        <v>6.8684004563309031</v>
      </c>
      <c r="CI397" s="444">
        <f>INPUT!BR479</f>
        <v>2828.9375259360008</v>
      </c>
      <c r="CJ397" s="764">
        <f>INPUT!BS479</f>
        <v>6.8707012360412136</v>
      </c>
      <c r="CK397" s="444">
        <f>INPUT!BT479</f>
        <v>3023.3693985490208</v>
      </c>
      <c r="CL397" s="764">
        <f>INPUT!BU479</f>
        <v>6.8729645257432423</v>
      </c>
      <c r="CM397" s="763">
        <f>INPUT!BV479</f>
        <v>6.8400977859222722</v>
      </c>
    </row>
    <row r="398" spans="1:91" ht="12" hidden="1" customHeight="1" outlineLevel="1" x14ac:dyDescent="0.2">
      <c r="A398" s="420"/>
      <c r="B398" s="433"/>
      <c r="C398" s="434"/>
      <c r="D398" s="433"/>
      <c r="E398" s="435"/>
      <c r="F398" s="433"/>
      <c r="G398" s="435"/>
      <c r="H398" s="433"/>
      <c r="I398" s="435"/>
      <c r="J398" s="433"/>
      <c r="K398" s="435"/>
      <c r="L398" s="433"/>
      <c r="M398" s="435"/>
      <c r="N398" s="433"/>
      <c r="O398" s="435"/>
      <c r="P398" s="433"/>
      <c r="Q398" s="435"/>
      <c r="R398" s="433"/>
      <c r="S398" s="435"/>
      <c r="T398" s="433"/>
      <c r="U398" s="435"/>
      <c r="V398" s="433"/>
      <c r="W398" s="435"/>
      <c r="X398" s="433"/>
      <c r="Y398" s="435"/>
      <c r="Z398" s="433"/>
      <c r="AA398" s="435"/>
      <c r="AB398" s="433"/>
      <c r="AC398" s="435"/>
      <c r="AD398" s="433"/>
      <c r="AE398" s="435"/>
      <c r="AF398" s="433"/>
      <c r="AG398" s="435"/>
      <c r="AH398" s="433"/>
      <c r="AI398" s="435"/>
      <c r="AJ398" s="433"/>
      <c r="AK398" s="435"/>
      <c r="AL398" s="433"/>
      <c r="AM398" s="435"/>
      <c r="AN398" s="433"/>
      <c r="AO398" s="435"/>
      <c r="AP398" s="433"/>
      <c r="AQ398" s="435"/>
      <c r="AR398" s="433"/>
      <c r="AS398" s="435"/>
      <c r="AT398" s="433"/>
      <c r="AU398" s="435"/>
      <c r="AV398" s="433"/>
      <c r="AW398" s="435"/>
      <c r="AX398" s="465"/>
      <c r="AY398" s="433"/>
      <c r="AZ398" s="434"/>
      <c r="BA398" s="433"/>
      <c r="BB398" s="434"/>
      <c r="BC398" s="433"/>
      <c r="BD398" s="434"/>
      <c r="BE398" s="433"/>
      <c r="BF398" s="435"/>
      <c r="BG398" s="433"/>
      <c r="BH398" s="435"/>
      <c r="BI398" s="433"/>
      <c r="BJ398" s="435"/>
      <c r="BK398" s="433"/>
      <c r="BL398" s="435"/>
      <c r="BM398" s="433"/>
      <c r="BN398" s="435"/>
      <c r="BO398" s="433"/>
      <c r="BP398" s="435"/>
      <c r="BQ398" s="433"/>
      <c r="BR398" s="435"/>
      <c r="BS398" s="433"/>
      <c r="BT398" s="435"/>
      <c r="BU398" s="433"/>
      <c r="BV398" s="435"/>
      <c r="BW398" s="433"/>
      <c r="BX398" s="435"/>
      <c r="BY398" s="433"/>
      <c r="BZ398" s="435"/>
      <c r="CA398" s="433"/>
      <c r="CB398" s="435"/>
      <c r="CC398" s="433"/>
      <c r="CD398" s="435"/>
      <c r="CE398" s="433"/>
      <c r="CF398" s="435"/>
      <c r="CG398" s="433"/>
      <c r="CH398" s="435"/>
      <c r="CI398" s="433"/>
      <c r="CJ398" s="435"/>
      <c r="CK398" s="433"/>
      <c r="CL398" s="435"/>
      <c r="CM398" s="424"/>
    </row>
    <row r="399" spans="1:91" ht="12" hidden="1" customHeight="1" outlineLevel="1" x14ac:dyDescent="0.2">
      <c r="A399" s="454" t="str">
        <f>+INPUT!B481</f>
        <v>Expenses</v>
      </c>
      <c r="B399" s="433"/>
      <c r="C399" s="434"/>
      <c r="D399" s="433"/>
      <c r="E399" s="435"/>
      <c r="F399" s="433"/>
      <c r="G399" s="435"/>
      <c r="H399" s="433"/>
      <c r="I399" s="435"/>
      <c r="J399" s="433"/>
      <c r="K399" s="435"/>
      <c r="L399" s="433"/>
      <c r="M399" s="435"/>
      <c r="N399" s="433"/>
      <c r="O399" s="435"/>
      <c r="P399" s="433"/>
      <c r="Q399" s="435"/>
      <c r="R399" s="433"/>
      <c r="S399" s="435"/>
      <c r="T399" s="433"/>
      <c r="U399" s="435"/>
      <c r="V399" s="433"/>
      <c r="W399" s="435"/>
      <c r="X399" s="433"/>
      <c r="Y399" s="435"/>
      <c r="Z399" s="433"/>
      <c r="AA399" s="435"/>
      <c r="AB399" s="433"/>
      <c r="AC399" s="435"/>
      <c r="AD399" s="433"/>
      <c r="AE399" s="435"/>
      <c r="AF399" s="433"/>
      <c r="AG399" s="435"/>
      <c r="AH399" s="433"/>
      <c r="AI399" s="435"/>
      <c r="AJ399" s="433"/>
      <c r="AK399" s="435"/>
      <c r="AL399" s="433"/>
      <c r="AM399" s="435"/>
      <c r="AN399" s="433"/>
      <c r="AO399" s="435"/>
      <c r="AP399" s="433"/>
      <c r="AQ399" s="435"/>
      <c r="AR399" s="433"/>
      <c r="AS399" s="435"/>
      <c r="AT399" s="433"/>
      <c r="AU399" s="435"/>
      <c r="AV399" s="433"/>
      <c r="AW399" s="435"/>
      <c r="AX399" s="466"/>
      <c r="AY399" s="433"/>
      <c r="AZ399" s="434"/>
      <c r="BA399" s="433"/>
      <c r="BB399" s="434"/>
      <c r="BC399" s="433"/>
      <c r="BD399" s="434"/>
      <c r="BE399" s="433"/>
      <c r="BF399" s="435"/>
      <c r="BG399" s="433"/>
      <c r="BH399" s="435"/>
      <c r="BI399" s="433"/>
      <c r="BJ399" s="435"/>
      <c r="BK399" s="433"/>
      <c r="BL399" s="435"/>
      <c r="BM399" s="433"/>
      <c r="BN399" s="435"/>
      <c r="BO399" s="433"/>
      <c r="BP399" s="435"/>
      <c r="BQ399" s="433"/>
      <c r="BR399" s="435"/>
      <c r="BS399" s="433"/>
      <c r="BT399" s="435"/>
      <c r="BU399" s="433"/>
      <c r="BV399" s="435"/>
      <c r="BW399" s="433"/>
      <c r="BX399" s="435"/>
      <c r="BY399" s="433"/>
      <c r="BZ399" s="435"/>
      <c r="CA399" s="433"/>
      <c r="CB399" s="435"/>
      <c r="CC399" s="433"/>
      <c r="CD399" s="435"/>
      <c r="CE399" s="433"/>
      <c r="CF399" s="435"/>
      <c r="CG399" s="433"/>
      <c r="CH399" s="435"/>
      <c r="CI399" s="433"/>
      <c r="CJ399" s="435"/>
      <c r="CK399" s="433"/>
      <c r="CL399" s="435"/>
      <c r="CM399" s="424"/>
    </row>
    <row r="400" spans="1:91" ht="12" hidden="1" customHeight="1" outlineLevel="1" x14ac:dyDescent="0.2">
      <c r="A400" s="400" t="s">
        <v>434</v>
      </c>
      <c r="B400" s="425">
        <f>INPUT!C482</f>
        <v>243.6</v>
      </c>
      <c r="C400" s="424" t="str">
        <f>INPUT!D482</f>
        <v>NA</v>
      </c>
      <c r="D400" s="436">
        <f>INPUT!E482</f>
        <v>244.8</v>
      </c>
      <c r="E400" s="382" t="str">
        <f>INPUT!F482</f>
        <v>NA</v>
      </c>
      <c r="F400" s="436">
        <f>INPUT!G482</f>
        <v>241.8</v>
      </c>
      <c r="G400" s="382" t="str">
        <f>INPUT!H482</f>
        <v>NA</v>
      </c>
      <c r="H400" s="436">
        <f>INPUT!I482</f>
        <v>247.3</v>
      </c>
      <c r="I400" s="382" t="str">
        <f>INPUT!J482</f>
        <v>NA</v>
      </c>
      <c r="J400" s="436">
        <f>INPUT!K482</f>
        <v>258.7</v>
      </c>
      <c r="K400" s="382">
        <f>INPUT!L482</f>
        <v>6.1986863711001661</v>
      </c>
      <c r="L400" s="436">
        <f>INPUT!M482</f>
        <v>259.2</v>
      </c>
      <c r="M400" s="382">
        <f>INPUT!N482</f>
        <v>5.8823529411764781</v>
      </c>
      <c r="N400" s="436">
        <f>INPUT!O482</f>
        <v>259.7</v>
      </c>
      <c r="O400" s="382">
        <f>INPUT!P482</f>
        <v>7.4028122415219002</v>
      </c>
      <c r="P400" s="436">
        <f>INPUT!Q482</f>
        <v>261.3</v>
      </c>
      <c r="Q400" s="382">
        <f>INPUT!R482</f>
        <v>5.6611403154063851</v>
      </c>
      <c r="R400" s="436">
        <f>INPUT!S482</f>
        <v>273.39999999999998</v>
      </c>
      <c r="S400" s="382">
        <f>INPUT!T482</f>
        <v>5.6822574410513909</v>
      </c>
      <c r="T400" s="436">
        <f>INPUT!U482</f>
        <v>277.3</v>
      </c>
      <c r="U400" s="382">
        <f>INPUT!V482</f>
        <v>6.9830246913580254</v>
      </c>
      <c r="V400" s="436">
        <f>INPUT!W482</f>
        <v>257.60000000000002</v>
      </c>
      <c r="W400" s="382">
        <f>INPUT!X482</f>
        <v>-0.80862533692722138</v>
      </c>
      <c r="X400" s="436">
        <f>INPUT!Y482</f>
        <v>270.10000000000002</v>
      </c>
      <c r="Y400" s="382">
        <f>INPUT!Z482</f>
        <v>3.3677765021048742</v>
      </c>
      <c r="Z400" s="436">
        <f>INPUT!AA482</f>
        <v>297.2</v>
      </c>
      <c r="AA400" s="382">
        <f>INPUT!AB482</f>
        <v>8.7051938551572903</v>
      </c>
      <c r="AB400" s="436">
        <f>INPUT!AC482</f>
        <v>284.2</v>
      </c>
      <c r="AC400" s="382">
        <f>INPUT!AD482</f>
        <v>2.4882798413270706</v>
      </c>
      <c r="AD400" s="436">
        <f>INPUT!AE482</f>
        <v>303</v>
      </c>
      <c r="AE400" s="382">
        <f>INPUT!AF482</f>
        <v>17.624223602484463</v>
      </c>
      <c r="AF400" s="436">
        <f>INPUT!AG482</f>
        <v>292.89999999999998</v>
      </c>
      <c r="AG400" s="382">
        <f>INPUT!AH482</f>
        <v>8.4413180303590991</v>
      </c>
      <c r="AH400" s="436">
        <f>INPUT!AI482</f>
        <v>321.7</v>
      </c>
      <c r="AI400" s="382">
        <f>INPUT!AJ482</f>
        <v>8.2436069986541014</v>
      </c>
      <c r="AJ400" s="436">
        <f>INPUT!AK482</f>
        <v>316.3</v>
      </c>
      <c r="AK400" s="382">
        <f>INPUT!AL482</f>
        <v>11.294862772695296</v>
      </c>
      <c r="AL400" s="436">
        <f>INPUT!AM482</f>
        <v>310.10000000000002</v>
      </c>
      <c r="AM400" s="382">
        <f>INPUT!AN482</f>
        <v>2.3432343234323554</v>
      </c>
      <c r="AN400" s="436">
        <f>INPUT!AO482</f>
        <v>320.3</v>
      </c>
      <c r="AO400" s="382">
        <f>INPUT!AP482</f>
        <v>9.3547285763059307</v>
      </c>
      <c r="AP400" s="436">
        <f>INPUT!AQ482</f>
        <v>333.90848</v>
      </c>
      <c r="AQ400" s="382">
        <f>INPUT!AR482</f>
        <v>3.7949891202984105</v>
      </c>
      <c r="AR400" s="436">
        <f>INPUT!AS482</f>
        <v>338.44099999999997</v>
      </c>
      <c r="AS400" s="382">
        <f>INPUT!AT482</f>
        <v>6.9999999999999858</v>
      </c>
      <c r="AT400" s="436">
        <f>INPUT!AU482</f>
        <v>340.78858000000008</v>
      </c>
      <c r="AU400" s="382">
        <f>INPUT!AV482</f>
        <v>9.8963495646565747</v>
      </c>
      <c r="AV400" s="436">
        <f>INPUT!AW482</f>
        <v>339.79561999999999</v>
      </c>
      <c r="AW400" s="382">
        <f>INPUT!AX482</f>
        <v>6.0866749921948156</v>
      </c>
      <c r="AX400" s="403"/>
      <c r="AY400" s="402"/>
      <c r="AZ400" s="432"/>
      <c r="BA400" s="402"/>
      <c r="BB400" s="432"/>
      <c r="BC400" s="402"/>
      <c r="BD400" s="432"/>
      <c r="BE400" s="402"/>
      <c r="BF400" s="382"/>
      <c r="BG400" s="402"/>
      <c r="BH400" s="382"/>
      <c r="BI400" s="402"/>
      <c r="BJ400" s="382"/>
      <c r="BK400" s="436"/>
      <c r="BL400" s="382"/>
      <c r="BM400" s="436"/>
      <c r="BN400" s="382"/>
      <c r="BO400" s="436"/>
      <c r="BP400" s="382"/>
      <c r="BQ400" s="436"/>
      <c r="BR400" s="382"/>
      <c r="BS400" s="436">
        <f>INPUT!BB482</f>
        <v>977.5</v>
      </c>
      <c r="BT400" s="382" t="str">
        <f>INPUT!BC482</f>
        <v>NA</v>
      </c>
      <c r="BU400" s="436">
        <f>INPUT!BD482</f>
        <v>1038.8999999999999</v>
      </c>
      <c r="BV400" s="382">
        <f>INPUT!BE482</f>
        <v>6.2813299232736313</v>
      </c>
      <c r="BW400" s="436">
        <f>INPUT!BF482</f>
        <v>1078.4000000000001</v>
      </c>
      <c r="BX400" s="382">
        <f>INPUT!BG482</f>
        <v>3.8020983732794491</v>
      </c>
      <c r="BY400" s="436">
        <f>INPUT!BH482</f>
        <v>1177.3</v>
      </c>
      <c r="BZ400" s="382">
        <f>INPUT!BI482</f>
        <v>9.1709940652818744</v>
      </c>
      <c r="CA400" s="436">
        <f>INPUT!BJ482</f>
        <v>1268.4000000000001</v>
      </c>
      <c r="CB400" s="382">
        <f>INPUT!BK482</f>
        <v>7.7380446785016801</v>
      </c>
      <c r="CC400" s="436">
        <f>INPUT!BL482</f>
        <v>1352.9336800000001</v>
      </c>
      <c r="CD400" s="382">
        <f>INPUT!BM482</f>
        <v>6.6645916114790253</v>
      </c>
      <c r="CE400" s="436">
        <f>INPUT!BN482</f>
        <v>1452.2669523800002</v>
      </c>
      <c r="CF400" s="382">
        <f>INPUT!BO482</f>
        <v>7.3420651616862784</v>
      </c>
      <c r="CG400" s="436">
        <f>INPUT!BP482</f>
        <v>1558.8775078612005</v>
      </c>
      <c r="CH400" s="382">
        <f>INPUT!BQ482</f>
        <v>7.3409751083631818</v>
      </c>
      <c r="CI400" s="436">
        <f>INPUT!BR482</f>
        <v>1673.2974330431066</v>
      </c>
      <c r="CJ400" s="382">
        <f>INPUT!BS482</f>
        <v>7.3398919802808393</v>
      </c>
      <c r="CK400" s="436">
        <f>INPUT!BT482</f>
        <v>1796.0976479619596</v>
      </c>
      <c r="CL400" s="382">
        <f>INPUT!BU482</f>
        <v>7.3388157116529555</v>
      </c>
      <c r="CM400" s="424">
        <f>INPUT!BV482</f>
        <v>7.2049261925874575</v>
      </c>
    </row>
    <row r="401" spans="1:91" ht="12" hidden="1" customHeight="1" outlineLevel="1" x14ac:dyDescent="0.2">
      <c r="A401" s="400" t="s">
        <v>436</v>
      </c>
      <c r="B401" s="425">
        <f>INPUT!C483</f>
        <v>36.4</v>
      </c>
      <c r="C401" s="424" t="str">
        <f>INPUT!D483</f>
        <v>NA</v>
      </c>
      <c r="D401" s="436">
        <f>INPUT!E483</f>
        <v>35.799999999999997</v>
      </c>
      <c r="E401" s="382" t="str">
        <f>INPUT!F483</f>
        <v>NA</v>
      </c>
      <c r="F401" s="436">
        <f>INPUT!G483</f>
        <v>35.4</v>
      </c>
      <c r="G401" s="382" t="str">
        <f>INPUT!H483</f>
        <v>NA</v>
      </c>
      <c r="H401" s="436">
        <f>INPUT!I483</f>
        <v>38.299999999999997</v>
      </c>
      <c r="I401" s="382" t="str">
        <f>INPUT!J483</f>
        <v>NA</v>
      </c>
      <c r="J401" s="436">
        <f>INPUT!K483</f>
        <v>36.9</v>
      </c>
      <c r="K401" s="382">
        <f>INPUT!L483</f>
        <v>1.3736263736263652</v>
      </c>
      <c r="L401" s="436">
        <f>INPUT!M483</f>
        <v>37.700000000000003</v>
      </c>
      <c r="M401" s="382">
        <f>INPUT!N483</f>
        <v>5.3072625698324316</v>
      </c>
      <c r="N401" s="436">
        <f>INPUT!O483</f>
        <v>40.700000000000003</v>
      </c>
      <c r="O401" s="382">
        <f>INPUT!P483</f>
        <v>14.971751412429384</v>
      </c>
      <c r="P401" s="436">
        <f>INPUT!Q483</f>
        <v>39.9</v>
      </c>
      <c r="Q401" s="382">
        <f>INPUT!R483</f>
        <v>4.1775456919060048</v>
      </c>
      <c r="R401" s="436">
        <f>INPUT!S483</f>
        <v>55.9</v>
      </c>
      <c r="S401" s="382">
        <f>INPUT!T483</f>
        <v>51.490514905149041</v>
      </c>
      <c r="T401" s="436">
        <f>INPUT!U483</f>
        <v>42.4</v>
      </c>
      <c r="U401" s="382">
        <f>INPUT!V483</f>
        <v>12.466843501326252</v>
      </c>
      <c r="V401" s="436">
        <f>INPUT!W483</f>
        <v>46.5</v>
      </c>
      <c r="W401" s="382">
        <f>INPUT!X483</f>
        <v>14.250614250614248</v>
      </c>
      <c r="X401" s="436">
        <f>INPUT!Y483</f>
        <v>45.8</v>
      </c>
      <c r="Y401" s="382">
        <f>INPUT!Z483</f>
        <v>14.786967418546368</v>
      </c>
      <c r="Z401" s="436">
        <f>INPUT!AA483</f>
        <v>44.7</v>
      </c>
      <c r="AA401" s="382">
        <f>INPUT!AB483</f>
        <v>-20.035778175313055</v>
      </c>
      <c r="AB401" s="436">
        <f>INPUT!AC483</f>
        <v>47.4</v>
      </c>
      <c r="AC401" s="382">
        <f>INPUT!AD483</f>
        <v>11.79245283018868</v>
      </c>
      <c r="AD401" s="436">
        <f>INPUT!AE483</f>
        <v>46.9</v>
      </c>
      <c r="AE401" s="382">
        <f>INPUT!AF483</f>
        <v>0.8602150537634401</v>
      </c>
      <c r="AF401" s="436">
        <f>INPUT!AG483</f>
        <v>48.2</v>
      </c>
      <c r="AG401" s="382">
        <f>INPUT!AH483</f>
        <v>5.2401746724890899</v>
      </c>
      <c r="AH401" s="436">
        <f>INPUT!AI483</f>
        <v>50.7</v>
      </c>
      <c r="AI401" s="382">
        <f>INPUT!AJ483</f>
        <v>13.422818791946312</v>
      </c>
      <c r="AJ401" s="436">
        <f>INPUT!AK483</f>
        <v>52.5</v>
      </c>
      <c r="AK401" s="382">
        <f>INPUT!AL483</f>
        <v>10.759493670886087</v>
      </c>
      <c r="AL401" s="436">
        <f>INPUT!AM483</f>
        <v>52.9</v>
      </c>
      <c r="AM401" s="382">
        <f>INPUT!AN483</f>
        <v>12.793176972281444</v>
      </c>
      <c r="AN401" s="436">
        <f>INPUT!AO483</f>
        <v>53.6</v>
      </c>
      <c r="AO401" s="382">
        <f>INPUT!AP483</f>
        <v>11.203319502074692</v>
      </c>
      <c r="AP401" s="436">
        <f>INPUT!AQ483</f>
        <v>54.367408526713433</v>
      </c>
      <c r="AQ401" s="382">
        <f>INPUT!AR483</f>
        <v>7.2335473899673133</v>
      </c>
      <c r="AR401" s="436">
        <f>INPUT!AS483</f>
        <v>55.286100377765798</v>
      </c>
      <c r="AS401" s="382">
        <f>INPUT!AT483</f>
        <v>5.3068578624110501</v>
      </c>
      <c r="AT401" s="436">
        <f>INPUT!AU483</f>
        <v>56.613228278467361</v>
      </c>
      <c r="AU401" s="382">
        <f>INPUT!AV483</f>
        <v>7.0193351199761054</v>
      </c>
      <c r="AV401" s="436">
        <f>INPUT!AW483</f>
        <v>57.215854650116945</v>
      </c>
      <c r="AW401" s="382">
        <f>INPUT!AX483</f>
        <v>6.7459974815614601</v>
      </c>
      <c r="AX401" s="403"/>
      <c r="AY401" s="402"/>
      <c r="AZ401" s="432"/>
      <c r="BA401" s="402"/>
      <c r="BB401" s="432"/>
      <c r="BC401" s="402"/>
      <c r="BD401" s="432"/>
      <c r="BE401" s="402"/>
      <c r="BF401" s="382"/>
      <c r="BG401" s="402"/>
      <c r="BH401" s="382"/>
      <c r="BI401" s="402"/>
      <c r="BJ401" s="382"/>
      <c r="BK401" s="436"/>
      <c r="BL401" s="382"/>
      <c r="BM401" s="436"/>
      <c r="BN401" s="382"/>
      <c r="BO401" s="436"/>
      <c r="BP401" s="382"/>
      <c r="BQ401" s="436"/>
      <c r="BR401" s="382"/>
      <c r="BS401" s="436">
        <f>INPUT!BB483</f>
        <v>145.89999999999998</v>
      </c>
      <c r="BT401" s="382" t="str">
        <f>INPUT!BC483</f>
        <v>NA</v>
      </c>
      <c r="BU401" s="436">
        <f>INPUT!BD483</f>
        <v>155.19999999999999</v>
      </c>
      <c r="BV401" s="382">
        <f>INPUT!BE483</f>
        <v>6.3742289239204979</v>
      </c>
      <c r="BW401" s="436">
        <f>INPUT!BF483</f>
        <v>190.60000000000002</v>
      </c>
      <c r="BX401" s="382">
        <f>INPUT!BG483</f>
        <v>22.809278350515498</v>
      </c>
      <c r="BY401" s="436">
        <f>INPUT!BH483</f>
        <v>187.2</v>
      </c>
      <c r="BZ401" s="382">
        <f>INPUT!BI483</f>
        <v>-1.7838405036726357</v>
      </c>
      <c r="CA401" s="436">
        <f>INPUT!BJ483</f>
        <v>209.7</v>
      </c>
      <c r="CB401" s="382">
        <f>INPUT!BK483</f>
        <v>12.019230769230774</v>
      </c>
      <c r="CC401" s="436">
        <f>INPUT!BL483</f>
        <v>223.48259183306354</v>
      </c>
      <c r="CD401" s="382">
        <f>INPUT!BM483</f>
        <v>6.5725282942601666</v>
      </c>
      <c r="CE401" s="436">
        <f>INPUT!BN483</f>
        <v>239.12637326137801</v>
      </c>
      <c r="CF401" s="382">
        <f>INPUT!BO483</f>
        <v>7</v>
      </c>
      <c r="CG401" s="436">
        <f>INPUT!BP483</f>
        <v>258.34115379697448</v>
      </c>
      <c r="CH401" s="382">
        <f>INPUT!BQ483</f>
        <v>8.0354083380814245</v>
      </c>
      <c r="CI401" s="436">
        <f>INPUT!BR483</f>
        <v>279.07428437857362</v>
      </c>
      <c r="CJ401" s="382">
        <f>INPUT!BS483</f>
        <v>8.025485013469023</v>
      </c>
      <c r="CK401" s="436">
        <f>INPUT!BT483</f>
        <v>301.44418158799158</v>
      </c>
      <c r="CL401" s="382">
        <f>INPUT!BU483</f>
        <v>8.0157500929295367</v>
      </c>
      <c r="CM401" s="424">
        <f>INPUT!BV483</f>
        <v>7.5280314308900032</v>
      </c>
    </row>
    <row r="402" spans="1:91" ht="12" hidden="1" customHeight="1" outlineLevel="1" x14ac:dyDescent="0.2">
      <c r="A402" s="400" t="s">
        <v>391</v>
      </c>
      <c r="B402" s="425">
        <f>INPUT!C484</f>
        <v>-7.1999999999999993</v>
      </c>
      <c r="C402" s="424" t="str">
        <f>INPUT!D484</f>
        <v>NA</v>
      </c>
      <c r="D402" s="436">
        <f>INPUT!E484</f>
        <v>-7.3000000000000007</v>
      </c>
      <c r="E402" s="382" t="str">
        <f>INPUT!F484</f>
        <v>NA</v>
      </c>
      <c r="F402" s="436">
        <f>INPUT!G484</f>
        <v>-7.5</v>
      </c>
      <c r="G402" s="382" t="str">
        <f>INPUT!H484</f>
        <v>NA</v>
      </c>
      <c r="H402" s="436">
        <f>INPUT!I484</f>
        <v>-7.9</v>
      </c>
      <c r="I402" s="382" t="str">
        <f>INPUT!J484</f>
        <v>NA</v>
      </c>
      <c r="J402" s="436">
        <f>INPUT!K484</f>
        <v>-6.5000000000000009</v>
      </c>
      <c r="K402" s="382">
        <f>INPUT!L484</f>
        <v>-9.7222222222222001</v>
      </c>
      <c r="L402" s="436">
        <f>INPUT!M484</f>
        <v>-6</v>
      </c>
      <c r="M402" s="382">
        <f>INPUT!N484</f>
        <v>-17.808219178082197</v>
      </c>
      <c r="N402" s="436">
        <f>INPUT!O484</f>
        <v>-8.3000000000000007</v>
      </c>
      <c r="O402" s="382">
        <f>INPUT!P484</f>
        <v>10.666666666666671</v>
      </c>
      <c r="P402" s="436">
        <f>INPUT!Q484</f>
        <v>-6.8000000000000007</v>
      </c>
      <c r="Q402" s="382">
        <f>INPUT!R484</f>
        <v>-13.924050632911388</v>
      </c>
      <c r="R402" s="436">
        <f>INPUT!S484</f>
        <v>-10.6</v>
      </c>
      <c r="S402" s="382">
        <f>INPUT!T484</f>
        <v>63.076923076923066</v>
      </c>
      <c r="T402" s="436">
        <f>INPUT!U484</f>
        <v>-6.5</v>
      </c>
      <c r="U402" s="382">
        <f>INPUT!V484</f>
        <v>8.3333333333333286</v>
      </c>
      <c r="V402" s="436">
        <f>INPUT!W484</f>
        <v>-8.2000000000000011</v>
      </c>
      <c r="W402" s="382">
        <f>INPUT!X484</f>
        <v>-1.2048192771084274</v>
      </c>
      <c r="X402" s="436">
        <f>INPUT!Y484</f>
        <v>-7.1000000000000014</v>
      </c>
      <c r="Y402" s="382">
        <f>INPUT!Z484</f>
        <v>4.4117647058823621</v>
      </c>
      <c r="Z402" s="436">
        <f>INPUT!AA484</f>
        <v>-5.8999999999999986</v>
      </c>
      <c r="AA402" s="382">
        <f>INPUT!AB484</f>
        <v>-44.339622641509443</v>
      </c>
      <c r="AB402" s="436">
        <f>INPUT!AC484</f>
        <v>-7.5</v>
      </c>
      <c r="AC402" s="382">
        <f>INPUT!AD484</f>
        <v>15.384615384615373</v>
      </c>
      <c r="AD402" s="436">
        <f>INPUT!AE484</f>
        <v>-8.6</v>
      </c>
      <c r="AE402" s="382">
        <f>INPUT!AF484</f>
        <v>4.8780487804877879</v>
      </c>
      <c r="AF402" s="436">
        <f>INPUT!AG484</f>
        <v>-8.2000000000000011</v>
      </c>
      <c r="AG402" s="382">
        <f>INPUT!AH484</f>
        <v>15.492957746478879</v>
      </c>
      <c r="AH402" s="436">
        <f>INPUT!AI484</f>
        <v>-7.8999999999999986</v>
      </c>
      <c r="AI402" s="382">
        <f>INPUT!AJ484</f>
        <v>33.898305084745772</v>
      </c>
      <c r="AJ402" s="436">
        <f>INPUT!AK484</f>
        <v>-8.8000000000000007</v>
      </c>
      <c r="AK402" s="382">
        <f>INPUT!AL484</f>
        <v>17.333333333333329</v>
      </c>
      <c r="AL402" s="436">
        <f>INPUT!AM484</f>
        <v>-8.9</v>
      </c>
      <c r="AM402" s="382">
        <f>INPUT!AN484</f>
        <v>3.4883720930232585</v>
      </c>
      <c r="AN402" s="436">
        <f>INPUT!AO484</f>
        <v>-7.1999999999999993</v>
      </c>
      <c r="AO402" s="382">
        <f>INPUT!AP484</f>
        <v>-12.195121951219534</v>
      </c>
      <c r="AP402" s="436">
        <f>INPUT!AQ484</f>
        <v>-7.3030847274689679</v>
      </c>
      <c r="AQ402" s="382">
        <f>INPUT!AR484</f>
        <v>-7.5558895257092473</v>
      </c>
      <c r="AR402" s="436">
        <f>INPUT!AS484</f>
        <v>-7.4264910955207775</v>
      </c>
      <c r="AS402" s="382">
        <f>INPUT!AT484</f>
        <v>-15.608055732718441</v>
      </c>
      <c r="AT402" s="436">
        <f>INPUT!AU484</f>
        <v>-7.6047620075553164</v>
      </c>
      <c r="AU402" s="382">
        <f>INPUT!AV484</f>
        <v>-14.553235870164983</v>
      </c>
      <c r="AV402" s="436">
        <f>INPUT!AW484</f>
        <v>-7.6857118186724236</v>
      </c>
      <c r="AW402" s="382">
        <f>INPUT!AX484</f>
        <v>6.7459974815614316</v>
      </c>
      <c r="AX402" s="403"/>
      <c r="AY402" s="402"/>
      <c r="AZ402" s="432"/>
      <c r="BA402" s="402"/>
      <c r="BB402" s="432"/>
      <c r="BC402" s="402"/>
      <c r="BD402" s="432"/>
      <c r="BE402" s="402"/>
      <c r="BF402" s="382"/>
      <c r="BG402" s="402"/>
      <c r="BH402" s="382"/>
      <c r="BI402" s="402"/>
      <c r="BJ402" s="382"/>
      <c r="BK402" s="436"/>
      <c r="BL402" s="382"/>
      <c r="BM402" s="436"/>
      <c r="BN402" s="382"/>
      <c r="BO402" s="436"/>
      <c r="BP402" s="382"/>
      <c r="BQ402" s="436"/>
      <c r="BR402" s="382"/>
      <c r="BS402" s="436">
        <f>INPUT!BB484</f>
        <v>-29.9</v>
      </c>
      <c r="BT402" s="382" t="str">
        <f>INPUT!BC484</f>
        <v>NA</v>
      </c>
      <c r="BU402" s="436">
        <f>INPUT!BD484</f>
        <v>-27.6</v>
      </c>
      <c r="BV402" s="382">
        <f>INPUT!BE484</f>
        <v>-7.6923076923076934</v>
      </c>
      <c r="BW402" s="436">
        <f>INPUT!BF484</f>
        <v>-32.400000000000006</v>
      </c>
      <c r="BX402" s="382">
        <f>INPUT!BG484</f>
        <v>17.391304347826093</v>
      </c>
      <c r="BY402" s="436">
        <f>INPUT!BH484</f>
        <v>-30.200000000000003</v>
      </c>
      <c r="BZ402" s="382">
        <f>INPUT!BI484</f>
        <v>-6.790123456790127</v>
      </c>
      <c r="CA402" s="436">
        <f>INPUT!BJ484</f>
        <v>-32.799999999999997</v>
      </c>
      <c r="CB402" s="382">
        <f>INPUT!BK484</f>
        <v>8.6092715231787906</v>
      </c>
      <c r="CC402" s="436">
        <f>INPUT!BL484</f>
        <v>-30.020049649217484</v>
      </c>
      <c r="CD402" s="382">
        <f>INPUT!BM484</f>
        <v>-8.4754583865320541</v>
      </c>
      <c r="CE402" s="436">
        <f>INPUT!BN484</f>
        <v>-34.383906314968186</v>
      </c>
      <c r="CF402" s="382">
        <f>INPUT!BO484</f>
        <v>14.536473845786773</v>
      </c>
      <c r="CG402" s="436">
        <f>INPUT!BP484</f>
        <v>-36.745530693209851</v>
      </c>
      <c r="CH402" s="382">
        <f>INPUT!BQ484</f>
        <v>6.8684004563309031</v>
      </c>
      <c r="CI402" s="436">
        <f>INPUT!BR484</f>
        <v>-39.270206324738126</v>
      </c>
      <c r="CJ402" s="382">
        <f>INPUT!BS484</f>
        <v>6.8707012360412136</v>
      </c>
      <c r="CK402" s="436">
        <f>INPUT!BT484</f>
        <v>-41.969233674623567</v>
      </c>
      <c r="CL402" s="382">
        <f>INPUT!BU484</f>
        <v>6.8729645257432708</v>
      </c>
      <c r="CM402" s="424">
        <f>INPUT!BV484</f>
        <v>5.0537208610435647</v>
      </c>
    </row>
    <row r="403" spans="1:91" ht="12" hidden="1" customHeight="1" outlineLevel="1" x14ac:dyDescent="0.2">
      <c r="A403" s="400" t="s">
        <v>481</v>
      </c>
      <c r="B403" s="425">
        <f>INPUT!C485</f>
        <v>93.800000000000011</v>
      </c>
      <c r="C403" s="424" t="str">
        <f>INPUT!D485</f>
        <v>NA</v>
      </c>
      <c r="D403" s="436">
        <f>INPUT!E485</f>
        <v>92.3</v>
      </c>
      <c r="E403" s="382" t="str">
        <f>INPUT!F485</f>
        <v>NA</v>
      </c>
      <c r="F403" s="436">
        <f>INPUT!G485</f>
        <v>86.6</v>
      </c>
      <c r="G403" s="382" t="str">
        <f>INPUT!H485</f>
        <v>NA</v>
      </c>
      <c r="H403" s="436">
        <f>INPUT!I485</f>
        <v>95.6</v>
      </c>
      <c r="I403" s="382" t="str">
        <f>INPUT!J485</f>
        <v>NA</v>
      </c>
      <c r="J403" s="436">
        <f>INPUT!K485</f>
        <v>90.6</v>
      </c>
      <c r="K403" s="382">
        <f>INPUT!L485</f>
        <v>-3.4115138592750753</v>
      </c>
      <c r="L403" s="436">
        <f>INPUT!M485</f>
        <v>93</v>
      </c>
      <c r="M403" s="382">
        <f>INPUT!N485</f>
        <v>0.75839653304441867</v>
      </c>
      <c r="N403" s="436">
        <f>INPUT!O485</f>
        <v>97.600000000000009</v>
      </c>
      <c r="O403" s="382">
        <f>INPUT!P485</f>
        <v>12.702078521939967</v>
      </c>
      <c r="P403" s="436">
        <f>INPUT!Q485</f>
        <v>100.19999999999999</v>
      </c>
      <c r="Q403" s="382">
        <f>INPUT!R485</f>
        <v>4.8117154811715466</v>
      </c>
      <c r="R403" s="436">
        <f>INPUT!S485</f>
        <v>100.8</v>
      </c>
      <c r="S403" s="382">
        <f>INPUT!T485</f>
        <v>11.258278145695371</v>
      </c>
      <c r="T403" s="436">
        <f>INPUT!U485</f>
        <v>100.1</v>
      </c>
      <c r="U403" s="382">
        <f>INPUT!V485</f>
        <v>7.6344086021505291</v>
      </c>
      <c r="V403" s="436">
        <f>INPUT!W485</f>
        <v>102.3</v>
      </c>
      <c r="W403" s="382">
        <f>INPUT!X485</f>
        <v>4.8155737704917954</v>
      </c>
      <c r="X403" s="436">
        <f>INPUT!Y485</f>
        <v>107.89999999999999</v>
      </c>
      <c r="Y403" s="382">
        <f>INPUT!Z485</f>
        <v>7.6846307385229693</v>
      </c>
      <c r="Z403" s="436">
        <f>INPUT!AA485</f>
        <v>108.3</v>
      </c>
      <c r="AA403" s="382">
        <f>INPUT!AB485</f>
        <v>7.4404761904761898</v>
      </c>
      <c r="AB403" s="436">
        <f>INPUT!AC485</f>
        <v>107.6</v>
      </c>
      <c r="AC403" s="382">
        <f>INPUT!AD485</f>
        <v>7.4925074925074995</v>
      </c>
      <c r="AD403" s="436">
        <f>INPUT!AE485</f>
        <v>95.7</v>
      </c>
      <c r="AE403" s="382">
        <f>INPUT!AF485</f>
        <v>-6.4516129032257936</v>
      </c>
      <c r="AF403" s="436">
        <f>INPUT!AG485</f>
        <v>114.6</v>
      </c>
      <c r="AG403" s="382">
        <f>INPUT!AH485</f>
        <v>6.2094531974049971</v>
      </c>
      <c r="AH403" s="436">
        <f>INPUT!AI485</f>
        <v>118.5</v>
      </c>
      <c r="AI403" s="382">
        <f>INPUT!AJ485</f>
        <v>9.418282548476455</v>
      </c>
      <c r="AJ403" s="436">
        <f>INPUT!AK485</f>
        <v>113.7</v>
      </c>
      <c r="AK403" s="382">
        <f>INPUT!AL485</f>
        <v>5.6691449814126429</v>
      </c>
      <c r="AL403" s="436">
        <f>INPUT!AM485</f>
        <v>112.2</v>
      </c>
      <c r="AM403" s="382">
        <f>INPUT!AN485</f>
        <v>17.241379310344811</v>
      </c>
      <c r="AN403" s="436">
        <f>INPUT!AO485</f>
        <v>126.6</v>
      </c>
      <c r="AO403" s="382">
        <f>INPUT!AP485</f>
        <v>10.471204188481693</v>
      </c>
      <c r="AP403" s="436">
        <f>INPUT!AQ485</f>
        <v>126.42817691579943</v>
      </c>
      <c r="AQ403" s="382">
        <f>INPUT!AR485</f>
        <v>6.6904446546830627</v>
      </c>
      <c r="AR403" s="436">
        <f>INPUT!AS485</f>
        <v>121.33650083752096</v>
      </c>
      <c r="AS403" s="382">
        <f>INPUT!AT485</f>
        <v>6.7163595756560852</v>
      </c>
      <c r="AT403" s="436">
        <f>INPUT!AU485</f>
        <v>122.10563399454647</v>
      </c>
      <c r="AU403" s="382">
        <f>INPUT!AV485</f>
        <v>8.8285507972784956</v>
      </c>
      <c r="AV403" s="436">
        <f>INPUT!AW485</f>
        <v>123.99880321850574</v>
      </c>
      <c r="AW403" s="382">
        <f>INPUT!AX485</f>
        <v>-2.054657805287718</v>
      </c>
      <c r="AX403" s="403"/>
      <c r="AY403" s="402"/>
      <c r="AZ403" s="432"/>
      <c r="BA403" s="402"/>
      <c r="BB403" s="432"/>
      <c r="BC403" s="402"/>
      <c r="BD403" s="432"/>
      <c r="BE403" s="402"/>
      <c r="BF403" s="382"/>
      <c r="BG403" s="402"/>
      <c r="BH403" s="382"/>
      <c r="BI403" s="402"/>
      <c r="BJ403" s="382"/>
      <c r="BK403" s="436"/>
      <c r="BL403" s="382"/>
      <c r="BM403" s="436"/>
      <c r="BN403" s="382"/>
      <c r="BO403" s="436"/>
      <c r="BP403" s="382"/>
      <c r="BQ403" s="436"/>
      <c r="BR403" s="382"/>
      <c r="BS403" s="436">
        <f>INPUT!BB485</f>
        <v>368.30000000000007</v>
      </c>
      <c r="BT403" s="382" t="str">
        <f>INPUT!BC485</f>
        <v>NA</v>
      </c>
      <c r="BU403" s="436">
        <f>INPUT!BD485</f>
        <v>381.4</v>
      </c>
      <c r="BV403" s="382">
        <f>INPUT!BE485</f>
        <v>3.5568829758348954</v>
      </c>
      <c r="BW403" s="436">
        <f>INPUT!BF485</f>
        <v>411.09999999999997</v>
      </c>
      <c r="BX403" s="382">
        <f>INPUT!BG485</f>
        <v>7.7871001573151659</v>
      </c>
      <c r="BY403" s="436">
        <f>INPUT!BH485</f>
        <v>426.19999999999993</v>
      </c>
      <c r="BZ403" s="382">
        <f>INPUT!BI485</f>
        <v>3.6730722451958115</v>
      </c>
      <c r="CA403" s="436">
        <f>INPUT!BJ485</f>
        <v>471</v>
      </c>
      <c r="CB403" s="382">
        <f>INPUT!BK485</f>
        <v>10.511496949788864</v>
      </c>
      <c r="CC403" s="436">
        <f>INPUT!BL485</f>
        <v>493.86911496637254</v>
      </c>
      <c r="CD403" s="382">
        <f>INPUT!BM485</f>
        <v>4.8554384217351441</v>
      </c>
      <c r="CE403" s="436">
        <f>INPUT!BN485</f>
        <v>527.77847295497816</v>
      </c>
      <c r="CF403" s="382">
        <f>INPUT!BO485</f>
        <v>6.8660616671513424</v>
      </c>
      <c r="CG403" s="436">
        <f>INPUT!BP485</f>
        <v>564.02841199983413</v>
      </c>
      <c r="CH403" s="382">
        <f>INPUT!BQ485</f>
        <v>6.8684004563309031</v>
      </c>
      <c r="CI403" s="436">
        <f>INPUT!BR485</f>
        <v>602.78111907473044</v>
      </c>
      <c r="CJ403" s="382">
        <f>INPUT!BS485</f>
        <v>6.8707012360412278</v>
      </c>
      <c r="CK403" s="436">
        <f>INPUT!BT485</f>
        <v>644.21005155661487</v>
      </c>
      <c r="CL403" s="382">
        <f>INPUT!BU485</f>
        <v>6.8729645257432708</v>
      </c>
      <c r="CM403" s="424">
        <f>INPUT!BV485</f>
        <v>6.4636417850260752</v>
      </c>
    </row>
    <row r="404" spans="1:91" s="767" customFormat="1" ht="12" hidden="1" customHeight="1" outlineLevel="1" x14ac:dyDescent="0.2">
      <c r="A404" s="394" t="str">
        <f>+INPUT!B486</f>
        <v>Total Expenses</v>
      </c>
      <c r="B404" s="430">
        <f>INPUT!C486</f>
        <v>366.6</v>
      </c>
      <c r="C404" s="763" t="str">
        <f>INPUT!D486</f>
        <v>NA</v>
      </c>
      <c r="D404" s="444">
        <f>INPUT!E486</f>
        <v>365.6</v>
      </c>
      <c r="E404" s="764" t="str">
        <f>INPUT!F486</f>
        <v>NA</v>
      </c>
      <c r="F404" s="444">
        <f>INPUT!G486</f>
        <v>356.29999999999995</v>
      </c>
      <c r="G404" s="764" t="str">
        <f>INPUT!H486</f>
        <v>NA</v>
      </c>
      <c r="H404" s="444">
        <f>INPUT!I486</f>
        <v>373.30000000000007</v>
      </c>
      <c r="I404" s="764" t="str">
        <f>INPUT!J486</f>
        <v>NA</v>
      </c>
      <c r="J404" s="444">
        <f>INPUT!K486</f>
        <v>379.69999999999993</v>
      </c>
      <c r="K404" s="764">
        <f>INPUT!L486</f>
        <v>3.5733769776322646</v>
      </c>
      <c r="L404" s="444">
        <f>INPUT!M486</f>
        <v>383.9</v>
      </c>
      <c r="M404" s="764">
        <f>INPUT!N486</f>
        <v>5.0054704595185768</v>
      </c>
      <c r="N404" s="444">
        <f>INPUT!O486</f>
        <v>389.7</v>
      </c>
      <c r="O404" s="764">
        <f>INPUT!P486</f>
        <v>9.3741229301150781</v>
      </c>
      <c r="P404" s="444">
        <f>INPUT!Q486</f>
        <v>394.59999999999997</v>
      </c>
      <c r="Q404" s="764">
        <f>INPUT!R486</f>
        <v>5.7058665952316971</v>
      </c>
      <c r="R404" s="444">
        <f>INPUT!S486</f>
        <v>419.49999999999994</v>
      </c>
      <c r="S404" s="764">
        <f>INPUT!T486</f>
        <v>10.481959441664486</v>
      </c>
      <c r="T404" s="444">
        <f>INPUT!U486</f>
        <v>413.29999999999995</v>
      </c>
      <c r="U404" s="764">
        <f>INPUT!V486</f>
        <v>7.658244334462097</v>
      </c>
      <c r="V404" s="444">
        <f>INPUT!W486</f>
        <v>398.20000000000005</v>
      </c>
      <c r="W404" s="764">
        <f>INPUT!X486</f>
        <v>2.1811649987169659</v>
      </c>
      <c r="X404" s="444">
        <f>INPUT!Y486</f>
        <v>416.7</v>
      </c>
      <c r="Y404" s="764">
        <f>INPUT!Z486</f>
        <v>5.6006082108464312</v>
      </c>
      <c r="Z404" s="444">
        <f>INPUT!AA486</f>
        <v>444.3</v>
      </c>
      <c r="AA404" s="764">
        <f>INPUT!AB486</f>
        <v>5.9117997616209976</v>
      </c>
      <c r="AB404" s="444">
        <f>INPUT!AC486</f>
        <v>431.69999999999993</v>
      </c>
      <c r="AC404" s="764">
        <f>INPUT!AD486</f>
        <v>4.4519719332204204</v>
      </c>
      <c r="AD404" s="444">
        <f>INPUT!AE486</f>
        <v>436.99999999999994</v>
      </c>
      <c r="AE404" s="764">
        <f>INPUT!AF486</f>
        <v>9.743847312908045</v>
      </c>
      <c r="AF404" s="444">
        <f>INPUT!AG486</f>
        <v>447.5</v>
      </c>
      <c r="AG404" s="764">
        <f>INPUT!AH486</f>
        <v>7.3914086873050167</v>
      </c>
      <c r="AH404" s="444">
        <f>INPUT!AI486</f>
        <v>483</v>
      </c>
      <c r="AI404" s="764">
        <f>INPUT!AJ486</f>
        <v>8.7103308575287031</v>
      </c>
      <c r="AJ404" s="444">
        <f>INPUT!AK486</f>
        <v>473.7</v>
      </c>
      <c r="AK404" s="764">
        <f>INPUT!AL486</f>
        <v>9.728978457261988</v>
      </c>
      <c r="AL404" s="444">
        <f>INPUT!AM486</f>
        <v>466.3</v>
      </c>
      <c r="AM404" s="764">
        <f>INPUT!AN486</f>
        <v>6.7048054919908679</v>
      </c>
      <c r="AN404" s="444">
        <f>INPUT!AO486</f>
        <v>493.30000000000007</v>
      </c>
      <c r="AO404" s="764">
        <f>INPUT!AP486</f>
        <v>10.234636871508386</v>
      </c>
      <c r="AP404" s="444">
        <f>INPUT!AQ486</f>
        <v>507.40098071504389</v>
      </c>
      <c r="AQ404" s="764">
        <f>INPUT!AR486</f>
        <v>5.0519628809614545</v>
      </c>
      <c r="AR404" s="444">
        <f>INPUT!AS486</f>
        <v>507.63711011976602</v>
      </c>
      <c r="AS404" s="764">
        <f>INPUT!AT486</f>
        <v>7.1642622165433778</v>
      </c>
      <c r="AT404" s="444">
        <f>INPUT!AU486</f>
        <v>511.90268026545857</v>
      </c>
      <c r="AU404" s="764">
        <f>INPUT!AV486</f>
        <v>9.7796869537762205</v>
      </c>
      <c r="AV404" s="444">
        <f>INPUT!AW486</f>
        <v>513.32456604995025</v>
      </c>
      <c r="AW404" s="764">
        <f>INPUT!AX486</f>
        <v>4.0593079363369498</v>
      </c>
      <c r="AX404" s="431"/>
      <c r="AY404" s="765"/>
      <c r="AZ404" s="766"/>
      <c r="BA404" s="765"/>
      <c r="BB404" s="766"/>
      <c r="BC404" s="765"/>
      <c r="BD404" s="766"/>
      <c r="BE404" s="765"/>
      <c r="BF404" s="764"/>
      <c r="BG404" s="765"/>
      <c r="BH404" s="764"/>
      <c r="BI404" s="765"/>
      <c r="BJ404" s="764"/>
      <c r="BK404" s="444"/>
      <c r="BL404" s="764"/>
      <c r="BM404" s="444"/>
      <c r="BN404" s="764"/>
      <c r="BO404" s="444"/>
      <c r="BP404" s="764"/>
      <c r="BQ404" s="444"/>
      <c r="BR404" s="764"/>
      <c r="BS404" s="444">
        <f>INPUT!BB486</f>
        <v>1461.8000000000002</v>
      </c>
      <c r="BT404" s="764" t="str">
        <f>INPUT!BC486</f>
        <v>NA</v>
      </c>
      <c r="BU404" s="444">
        <f>INPUT!BD486</f>
        <v>1547.9</v>
      </c>
      <c r="BV404" s="764">
        <f>INPUT!BE486</f>
        <v>5.8899986318237723</v>
      </c>
      <c r="BW404" s="444">
        <f>INPUT!BF486</f>
        <v>1647.6999999999998</v>
      </c>
      <c r="BX404" s="764">
        <f>INPUT!BG486</f>
        <v>6.4474449253827686</v>
      </c>
      <c r="BY404" s="444">
        <f>INPUT!BH486</f>
        <v>1760.5</v>
      </c>
      <c r="BZ404" s="764">
        <f>INPUT!BI486</f>
        <v>6.8459064150027302</v>
      </c>
      <c r="CA404" s="444">
        <f>INPUT!BJ486</f>
        <v>1916.3000000000002</v>
      </c>
      <c r="CB404" s="764">
        <f>INPUT!BK486</f>
        <v>8.8497585913092962</v>
      </c>
      <c r="CC404" s="444">
        <f>INPUT!BL486</f>
        <v>2040.2653371502186</v>
      </c>
      <c r="CD404" s="764">
        <f>INPUT!BM486</f>
        <v>6.4689942676104124</v>
      </c>
      <c r="CE404" s="444">
        <f>INPUT!BN486</f>
        <v>2184.7878922813879</v>
      </c>
      <c r="CF404" s="764">
        <f>INPUT!BO486</f>
        <v>7.0835176434960232</v>
      </c>
      <c r="CG404" s="444">
        <f>INPUT!BP486</f>
        <v>2344.5015429647992</v>
      </c>
      <c r="CH404" s="764">
        <f>INPUT!BQ486</f>
        <v>7.310258869872996</v>
      </c>
      <c r="CI404" s="444">
        <f>INPUT!BR486</f>
        <v>2515.8826301716726</v>
      </c>
      <c r="CJ404" s="764">
        <f>INPUT!BS486</f>
        <v>7.3099157354424023</v>
      </c>
      <c r="CK404" s="444">
        <f>INPUT!BT486</f>
        <v>2699.7826474319427</v>
      </c>
      <c r="CL404" s="764">
        <f>INPUT!BU486</f>
        <v>7.3095626582437774</v>
      </c>
      <c r="CM404" s="763">
        <f>INPUT!BV486</f>
        <v>7.0959531529841913</v>
      </c>
    </row>
    <row r="405" spans="1:91" ht="12" hidden="1" customHeight="1" outlineLevel="1" x14ac:dyDescent="0.2">
      <c r="A405" s="420"/>
      <c r="B405" s="433"/>
      <c r="C405" s="434"/>
      <c r="D405" s="433"/>
      <c r="E405" s="435"/>
      <c r="F405" s="433"/>
      <c r="G405" s="435"/>
      <c r="H405" s="433"/>
      <c r="I405" s="435"/>
      <c r="J405" s="433"/>
      <c r="K405" s="435"/>
      <c r="L405" s="433"/>
      <c r="M405" s="435"/>
      <c r="N405" s="433"/>
      <c r="O405" s="435"/>
      <c r="P405" s="433"/>
      <c r="Q405" s="435"/>
      <c r="R405" s="433"/>
      <c r="S405" s="435"/>
      <c r="T405" s="433"/>
      <c r="U405" s="435"/>
      <c r="V405" s="433"/>
      <c r="W405" s="435"/>
      <c r="X405" s="433"/>
      <c r="Y405" s="435"/>
      <c r="Z405" s="433"/>
      <c r="AA405" s="435"/>
      <c r="AB405" s="433"/>
      <c r="AC405" s="435"/>
      <c r="AD405" s="433"/>
      <c r="AE405" s="435"/>
      <c r="AF405" s="433"/>
      <c r="AG405" s="435"/>
      <c r="AH405" s="433"/>
      <c r="AI405" s="435"/>
      <c r="AJ405" s="433"/>
      <c r="AK405" s="435"/>
      <c r="AL405" s="433"/>
      <c r="AM405" s="435"/>
      <c r="AN405" s="433"/>
      <c r="AO405" s="435"/>
      <c r="AP405" s="433"/>
      <c r="AQ405" s="435"/>
      <c r="AR405" s="433"/>
      <c r="AS405" s="435"/>
      <c r="AT405" s="433"/>
      <c r="AU405" s="435"/>
      <c r="AV405" s="433"/>
      <c r="AW405" s="435"/>
      <c r="AX405" s="465"/>
      <c r="AY405" s="433"/>
      <c r="AZ405" s="434"/>
      <c r="BA405" s="433"/>
      <c r="BB405" s="434"/>
      <c r="BC405" s="433"/>
      <c r="BD405" s="434"/>
      <c r="BE405" s="433"/>
      <c r="BF405" s="435"/>
      <c r="BG405" s="433"/>
      <c r="BH405" s="435"/>
      <c r="BI405" s="433"/>
      <c r="BJ405" s="435"/>
      <c r="BK405" s="433"/>
      <c r="BL405" s="435"/>
      <c r="BM405" s="433"/>
      <c r="BN405" s="435"/>
      <c r="BO405" s="433"/>
      <c r="BP405" s="435"/>
      <c r="BQ405" s="433"/>
      <c r="BR405" s="435"/>
      <c r="BS405" s="433"/>
      <c r="BT405" s="435"/>
      <c r="BU405" s="433"/>
      <c r="BV405" s="435"/>
      <c r="BW405" s="433"/>
      <c r="BX405" s="435"/>
      <c r="BY405" s="433"/>
      <c r="BZ405" s="435"/>
      <c r="CA405" s="433"/>
      <c r="CB405" s="435"/>
      <c r="CC405" s="433"/>
      <c r="CD405" s="435"/>
      <c r="CE405" s="433"/>
      <c r="CF405" s="435"/>
      <c r="CG405" s="433"/>
      <c r="CH405" s="435"/>
      <c r="CI405" s="433"/>
      <c r="CJ405" s="435"/>
      <c r="CK405" s="433"/>
      <c r="CL405" s="435"/>
      <c r="CM405" s="424"/>
    </row>
    <row r="406" spans="1:91" ht="12" hidden="1" customHeight="1" outlineLevel="1" x14ac:dyDescent="0.2">
      <c r="A406" s="420" t="str">
        <f>+INPUT!B494</f>
        <v>Operating Earnings before Tax</v>
      </c>
      <c r="B406" s="425">
        <f>INPUT!C494</f>
        <v>31.899999999999977</v>
      </c>
      <c r="C406" s="424" t="str">
        <f>INPUT!D494</f>
        <v>NA</v>
      </c>
      <c r="D406" s="425">
        <f>INPUT!E494</f>
        <v>39.5</v>
      </c>
      <c r="E406" s="382" t="str">
        <f>INPUT!F494</f>
        <v>NA</v>
      </c>
      <c r="F406" s="425">
        <f>INPUT!G494</f>
        <v>48.700000000000045</v>
      </c>
      <c r="G406" s="382" t="str">
        <f>INPUT!H494</f>
        <v>NA</v>
      </c>
      <c r="H406" s="425">
        <f>INPUT!I494</f>
        <v>41.699999999999932</v>
      </c>
      <c r="I406" s="382" t="str">
        <f>INPUT!J494</f>
        <v>NA</v>
      </c>
      <c r="J406" s="425">
        <f>INPUT!K494</f>
        <v>40.900000000000091</v>
      </c>
      <c r="K406" s="382">
        <f>INPUT!L494</f>
        <v>28.213166144200983</v>
      </c>
      <c r="L406" s="425">
        <f>INPUT!M494</f>
        <v>45.600000000000023</v>
      </c>
      <c r="M406" s="382">
        <f>INPUT!N494</f>
        <v>15.443037974683605</v>
      </c>
      <c r="N406" s="425">
        <f>INPUT!O494</f>
        <v>48.600000000000023</v>
      </c>
      <c r="O406" s="382">
        <f>INPUT!P494</f>
        <v>-0.20533880903495572</v>
      </c>
      <c r="P406" s="425">
        <f>INPUT!Q494</f>
        <v>44.099999999999966</v>
      </c>
      <c r="Q406" s="382">
        <f>INPUT!R494</f>
        <v>5.7553956834533295</v>
      </c>
      <c r="R406" s="425">
        <f>INPUT!S494</f>
        <v>46.800000000000068</v>
      </c>
      <c r="S406" s="382">
        <f>INPUT!T494</f>
        <v>14.425427872860539</v>
      </c>
      <c r="T406" s="425">
        <f>INPUT!U494</f>
        <v>51.400000000000034</v>
      </c>
      <c r="U406" s="382">
        <f>INPUT!V494</f>
        <v>12.71929824561407</v>
      </c>
      <c r="V406" s="425">
        <f>INPUT!W494</f>
        <v>65.399999999999977</v>
      </c>
      <c r="W406" s="382">
        <f>INPUT!X494</f>
        <v>34.567901234567785</v>
      </c>
      <c r="X406" s="425">
        <f>INPUT!Y494</f>
        <v>56.800000000000011</v>
      </c>
      <c r="Y406" s="382">
        <f>INPUT!Z494</f>
        <v>28.798185941043215</v>
      </c>
      <c r="Z406" s="425">
        <f>INPUT!AA494</f>
        <v>38.599999999999966</v>
      </c>
      <c r="AA406" s="382">
        <f>INPUT!AB494</f>
        <v>-17.521367521367708</v>
      </c>
      <c r="AB406" s="425">
        <f>INPUT!AC494</f>
        <v>66.500000000000114</v>
      </c>
      <c r="AC406" s="382">
        <f>INPUT!AD494</f>
        <v>29.37743190661493</v>
      </c>
      <c r="AD406" s="425">
        <f>INPUT!AE494</f>
        <v>73.900000000000091</v>
      </c>
      <c r="AE406" s="382">
        <f>INPUT!AF494</f>
        <v>12.996941896024651</v>
      </c>
      <c r="AF406" s="425">
        <f>INPUT!AG494</f>
        <v>71.899999999999977</v>
      </c>
      <c r="AG406" s="382">
        <f>INPUT!AH494</f>
        <v>26.584507042253463</v>
      </c>
      <c r="AH406" s="425">
        <f>INPUT!AI494</f>
        <v>45.5</v>
      </c>
      <c r="AI406" s="382">
        <f>INPUT!AJ494</f>
        <v>17.875647668393896</v>
      </c>
      <c r="AJ406" s="425">
        <f>INPUT!AK494</f>
        <v>63.599999999999966</v>
      </c>
      <c r="AK406" s="382">
        <f>INPUT!AL494</f>
        <v>-4.3609022556393029</v>
      </c>
      <c r="AL406" s="425">
        <f>INPUT!AM494</f>
        <v>83.800000000000011</v>
      </c>
      <c r="AM406" s="382">
        <f>INPUT!AN494</f>
        <v>13.396481732070242</v>
      </c>
      <c r="AN406" s="425">
        <f>INPUT!AO494</f>
        <v>62.599999999999909</v>
      </c>
      <c r="AO406" s="382">
        <f>INPUT!AP494</f>
        <v>-12.934631432545302</v>
      </c>
      <c r="AP406" s="425">
        <f>INPUT!AQ494</f>
        <v>56.458019284956038</v>
      </c>
      <c r="AQ406" s="382">
        <f>INPUT!AR494</f>
        <v>24.08355886803524</v>
      </c>
      <c r="AR406" s="425">
        <f>INPUT!AS494</f>
        <v>65.749889880234036</v>
      </c>
      <c r="AS406" s="382">
        <f>INPUT!AT494</f>
        <v>3.3803300003680334</v>
      </c>
      <c r="AT406" s="425">
        <f>INPUT!AU494</f>
        <v>75.248319734541496</v>
      </c>
      <c r="AU406" s="382">
        <f>INPUT!AV494</f>
        <v>-10.204869051859802</v>
      </c>
      <c r="AV406" s="425">
        <f>INPUT!AW494</f>
        <v>80.076433950049818</v>
      </c>
      <c r="AW406" s="382">
        <f>INPUT!AX494</f>
        <v>27.917626118290627</v>
      </c>
      <c r="AX406" s="465"/>
      <c r="AY406" s="425"/>
      <c r="AZ406" s="424"/>
      <c r="BA406" s="425"/>
      <c r="BB406" s="424"/>
      <c r="BC406" s="425"/>
      <c r="BD406" s="424"/>
      <c r="BE406" s="425"/>
      <c r="BF406" s="382"/>
      <c r="BG406" s="425"/>
      <c r="BH406" s="382"/>
      <c r="BI406" s="425"/>
      <c r="BJ406" s="382"/>
      <c r="BK406" s="425"/>
      <c r="BL406" s="382"/>
      <c r="BM406" s="425"/>
      <c r="BN406" s="382"/>
      <c r="BO406" s="425"/>
      <c r="BP406" s="382"/>
      <c r="BQ406" s="425"/>
      <c r="BR406" s="382"/>
      <c r="BS406" s="425">
        <f>INPUT!BB494</f>
        <v>161.79999999999973</v>
      </c>
      <c r="BT406" s="382" t="str">
        <f>INPUT!BC494</f>
        <v>NA</v>
      </c>
      <c r="BU406" s="425">
        <f>INPUT!BD494</f>
        <v>179.19999999999982</v>
      </c>
      <c r="BV406" s="382">
        <f>INPUT!BE494</f>
        <v>10.754017305315287</v>
      </c>
      <c r="BW406" s="425">
        <f>INPUT!BF494</f>
        <v>220.40000000000032</v>
      </c>
      <c r="BX406" s="382">
        <f>INPUT!BG494</f>
        <v>22.991071428571729</v>
      </c>
      <c r="BY406" s="425">
        <f>INPUT!BH494</f>
        <v>250.90000000000009</v>
      </c>
      <c r="BZ406" s="382">
        <f>INPUT!BI494</f>
        <v>13.838475499092425</v>
      </c>
      <c r="CA406" s="425">
        <f>INPUT!BJ494</f>
        <v>255.49999999999955</v>
      </c>
      <c r="CB406" s="382">
        <f>INPUT!BK494</f>
        <v>1.8333997608606722</v>
      </c>
      <c r="CC406" s="425">
        <f>INPUT!BL494</f>
        <v>277.53266284978167</v>
      </c>
      <c r="CD406" s="382">
        <f>INPUT!BM494</f>
        <v>8.6233514089167045</v>
      </c>
      <c r="CE406" s="425">
        <f>INPUT!BN494</f>
        <v>292.15154771861262</v>
      </c>
      <c r="CF406" s="382">
        <f>INPUT!BO494</f>
        <v>5.2674466200555372</v>
      </c>
      <c r="CG406" s="425">
        <f>INPUT!BP494</f>
        <v>302.56401683520153</v>
      </c>
      <c r="CH406" s="382">
        <f>INPUT!BQ494</f>
        <v>3.564064335068224</v>
      </c>
      <c r="CI406" s="425">
        <f>INPUT!BR494</f>
        <v>313.05489576432819</v>
      </c>
      <c r="CJ406" s="382">
        <f>INPUT!BS494</f>
        <v>3.467325374266423</v>
      </c>
      <c r="CK406" s="425">
        <f>INPUT!BT494</f>
        <v>323.58675111707817</v>
      </c>
      <c r="CL406" s="382">
        <f>INPUT!BU494</f>
        <v>3.3642199803444441</v>
      </c>
      <c r="CM406" s="424">
        <f>INPUT!BV494</f>
        <v>4.8382988843020058</v>
      </c>
    </row>
    <row r="407" spans="1:91" ht="12" hidden="1" customHeight="1" outlineLevel="1" x14ac:dyDescent="0.2">
      <c r="A407" s="420" t="s">
        <v>59</v>
      </c>
      <c r="B407" s="425">
        <f>INPUT!C499</f>
        <v>0</v>
      </c>
      <c r="C407" s="424" t="str">
        <f>INPUT!D499</f>
        <v>NA</v>
      </c>
      <c r="D407" s="425">
        <f>INPUT!E499</f>
        <v>0</v>
      </c>
      <c r="E407" s="382" t="str">
        <f>INPUT!F499</f>
        <v>NA</v>
      </c>
      <c r="F407" s="425">
        <f>INPUT!G499</f>
        <v>0</v>
      </c>
      <c r="G407" s="382" t="str">
        <f>INPUT!H499</f>
        <v>NA</v>
      </c>
      <c r="H407" s="425">
        <f>INPUT!I499</f>
        <v>0</v>
      </c>
      <c r="I407" s="382" t="str">
        <f>INPUT!J499</f>
        <v>NA</v>
      </c>
      <c r="J407" s="425">
        <f>INPUT!K499</f>
        <v>0</v>
      </c>
      <c r="K407" s="382" t="str">
        <f>INPUT!L499</f>
        <v>NA</v>
      </c>
      <c r="L407" s="425">
        <f>INPUT!M499</f>
        <v>0</v>
      </c>
      <c r="M407" s="382" t="str">
        <f>INPUT!N499</f>
        <v>NA</v>
      </c>
      <c r="N407" s="425">
        <f>INPUT!O499</f>
        <v>0</v>
      </c>
      <c r="O407" s="382" t="str">
        <f>INPUT!P499</f>
        <v>NA</v>
      </c>
      <c r="P407" s="425">
        <f>INPUT!Q499</f>
        <v>0</v>
      </c>
      <c r="Q407" s="382" t="str">
        <f>INPUT!R499</f>
        <v>NA</v>
      </c>
      <c r="R407" s="425">
        <f>INPUT!S499</f>
        <v>4.615384615384615</v>
      </c>
      <c r="S407" s="382" t="str">
        <f>INPUT!T499</f>
        <v>NA</v>
      </c>
      <c r="T407" s="425">
        <f>INPUT!U499</f>
        <v>0</v>
      </c>
      <c r="U407" s="382" t="str">
        <f>INPUT!V499</f>
        <v>NA</v>
      </c>
      <c r="V407" s="425">
        <f>INPUT!W499</f>
        <v>12.153846153846153</v>
      </c>
      <c r="W407" s="382" t="str">
        <f>INPUT!X499</f>
        <v>NA</v>
      </c>
      <c r="X407" s="425">
        <f>INPUT!Y499</f>
        <v>0</v>
      </c>
      <c r="Y407" s="382" t="str">
        <f>INPUT!Z499</f>
        <v>NA</v>
      </c>
      <c r="Z407" s="425">
        <f>INPUT!AA499</f>
        <v>0</v>
      </c>
      <c r="AA407" s="382" t="str">
        <f>INPUT!AB499</f>
        <v>NM</v>
      </c>
      <c r="AB407" s="425">
        <f>INPUT!AC499</f>
        <v>0</v>
      </c>
      <c r="AC407" s="382" t="str">
        <f>INPUT!AD499</f>
        <v>NA</v>
      </c>
      <c r="AD407" s="425">
        <f>INPUT!AE499</f>
        <v>17.899999999999999</v>
      </c>
      <c r="AE407" s="382">
        <f>INPUT!AF499</f>
        <v>47.278481012658204</v>
      </c>
      <c r="AF407" s="425">
        <f>INPUT!AG499</f>
        <v>5</v>
      </c>
      <c r="AG407" s="382" t="str">
        <f>INPUT!AH499</f>
        <v>NA</v>
      </c>
      <c r="AH407" s="425">
        <f>INPUT!AI499</f>
        <v>0</v>
      </c>
      <c r="AI407" s="382" t="str">
        <f>INPUT!AJ499</f>
        <v>NA</v>
      </c>
      <c r="AJ407" s="425">
        <f>INPUT!AK499</f>
        <v>0</v>
      </c>
      <c r="AK407" s="382" t="str">
        <f>INPUT!AL499</f>
        <v>NA</v>
      </c>
      <c r="AL407" s="425">
        <f>INPUT!AM499</f>
        <v>14</v>
      </c>
      <c r="AM407" s="382">
        <f>INPUT!AN499</f>
        <v>-21.787709497206691</v>
      </c>
      <c r="AN407" s="425">
        <f>INPUT!AO499</f>
        <v>0</v>
      </c>
      <c r="AO407" s="382" t="str">
        <f>INPUT!AP499</f>
        <v>NM</v>
      </c>
      <c r="AP407" s="425">
        <f>INPUT!AQ499</f>
        <v>0</v>
      </c>
      <c r="AQ407" s="382" t="str">
        <f>INPUT!AR499</f>
        <v>NA</v>
      </c>
      <c r="AR407" s="425">
        <f>INPUT!AS499</f>
        <v>0</v>
      </c>
      <c r="AS407" s="382" t="str">
        <f>INPUT!AT499</f>
        <v>NA</v>
      </c>
      <c r="AT407" s="425">
        <f>INPUT!AU499</f>
        <v>0</v>
      </c>
      <c r="AU407" s="382" t="str">
        <f>INPUT!AV499</f>
        <v>NM</v>
      </c>
      <c r="AV407" s="425">
        <f>INPUT!AW499</f>
        <v>0</v>
      </c>
      <c r="AW407" s="382" t="str">
        <f>INPUT!AX499</f>
        <v>NA</v>
      </c>
      <c r="AX407" s="465"/>
      <c r="AY407" s="425"/>
      <c r="AZ407" s="424"/>
      <c r="BA407" s="425"/>
      <c r="BB407" s="424"/>
      <c r="BC407" s="425"/>
      <c r="BD407" s="424"/>
      <c r="BE407" s="425"/>
      <c r="BF407" s="382"/>
      <c r="BG407" s="425"/>
      <c r="BH407" s="382"/>
      <c r="BI407" s="425"/>
      <c r="BJ407" s="382"/>
      <c r="BK407" s="425"/>
      <c r="BL407" s="382"/>
      <c r="BM407" s="425"/>
      <c r="BN407" s="382"/>
      <c r="BO407" s="425"/>
      <c r="BP407" s="382"/>
      <c r="BQ407" s="425"/>
      <c r="BR407" s="382"/>
      <c r="BS407" s="425">
        <f>INPUT!BB499</f>
        <v>0</v>
      </c>
      <c r="BT407" s="382" t="str">
        <f>INPUT!BC499</f>
        <v>NA</v>
      </c>
      <c r="BU407" s="425">
        <f>INPUT!BD499</f>
        <v>0</v>
      </c>
      <c r="BV407" s="382" t="str">
        <f>INPUT!BE499</f>
        <v>NA</v>
      </c>
      <c r="BW407" s="425">
        <f>INPUT!BF499</f>
        <v>16.769230769230766</v>
      </c>
      <c r="BX407" s="382" t="str">
        <f>INPUT!BG499</f>
        <v>NA</v>
      </c>
      <c r="BY407" s="425">
        <f>INPUT!BH499</f>
        <v>22.9</v>
      </c>
      <c r="BZ407" s="382">
        <f>INPUT!BI499</f>
        <v>36.559633027522949</v>
      </c>
      <c r="CA407" s="425">
        <f>INPUT!BJ499</f>
        <v>14</v>
      </c>
      <c r="CB407" s="382">
        <f>INPUT!BK499</f>
        <v>-38.864628820960689</v>
      </c>
      <c r="CC407" s="425">
        <f>INPUT!BL499</f>
        <v>0</v>
      </c>
      <c r="CD407" s="382" t="str">
        <f>INPUT!BM499</f>
        <v>NM</v>
      </c>
      <c r="CE407" s="425">
        <f>INPUT!BN499</f>
        <v>0</v>
      </c>
      <c r="CF407" s="382" t="str">
        <f>INPUT!BO499</f>
        <v>NA</v>
      </c>
      <c r="CG407" s="425">
        <f>INPUT!BP499</f>
        <v>0</v>
      </c>
      <c r="CH407" s="382" t="str">
        <f>INPUT!BQ499</f>
        <v>NA</v>
      </c>
      <c r="CI407" s="425">
        <f>INPUT!BR499</f>
        <v>0</v>
      </c>
      <c r="CJ407" s="382" t="str">
        <f>INPUT!BS499</f>
        <v>NA</v>
      </c>
      <c r="CK407" s="425">
        <f>INPUT!BT499</f>
        <v>0</v>
      </c>
      <c r="CL407" s="382" t="str">
        <f>INPUT!BU499</f>
        <v>NA</v>
      </c>
      <c r="CM407" s="424" t="str">
        <f>INPUT!BV499</f>
        <v>NM</v>
      </c>
    </row>
    <row r="408" spans="1:91" ht="12" hidden="1" customHeight="1" outlineLevel="1" x14ac:dyDescent="0.2">
      <c r="A408" s="437" t="s">
        <v>466</v>
      </c>
      <c r="B408" s="438">
        <f>INPUT!C500</f>
        <v>31.899999999999977</v>
      </c>
      <c r="C408" s="439" t="str">
        <f>INPUT!D500</f>
        <v>NA</v>
      </c>
      <c r="D408" s="438">
        <f>INPUT!E500</f>
        <v>39.5</v>
      </c>
      <c r="E408" s="440" t="str">
        <f>INPUT!F500</f>
        <v>NA</v>
      </c>
      <c r="F408" s="438">
        <f>INPUT!G500</f>
        <v>48.700000000000045</v>
      </c>
      <c r="G408" s="440" t="str">
        <f>INPUT!H500</f>
        <v>NA</v>
      </c>
      <c r="H408" s="438">
        <f>INPUT!I500</f>
        <v>41.699999999999932</v>
      </c>
      <c r="I408" s="440" t="str">
        <f>INPUT!J500</f>
        <v>NA</v>
      </c>
      <c r="J408" s="438">
        <f>INPUT!K500</f>
        <v>40.900000000000091</v>
      </c>
      <c r="K408" s="440">
        <f>INPUT!L500</f>
        <v>28.213166144200983</v>
      </c>
      <c r="L408" s="438">
        <f>INPUT!M500</f>
        <v>45.600000000000023</v>
      </c>
      <c r="M408" s="440">
        <f>INPUT!N500</f>
        <v>15.443037974683605</v>
      </c>
      <c r="N408" s="438">
        <f>INPUT!O500</f>
        <v>48.600000000000023</v>
      </c>
      <c r="O408" s="440">
        <f>INPUT!P500</f>
        <v>-0.20533880903495572</v>
      </c>
      <c r="P408" s="438">
        <f>INPUT!Q500</f>
        <v>44.099999999999966</v>
      </c>
      <c r="Q408" s="440">
        <f>INPUT!R500</f>
        <v>5.7553956834533295</v>
      </c>
      <c r="R408" s="438">
        <f>INPUT!S500</f>
        <v>42.184615384615455</v>
      </c>
      <c r="S408" s="440">
        <f>INPUT!T500</f>
        <v>3.1408689110400019</v>
      </c>
      <c r="T408" s="438">
        <f>INPUT!U500</f>
        <v>51.400000000000034</v>
      </c>
      <c r="U408" s="440">
        <f>INPUT!V500</f>
        <v>12.71929824561407</v>
      </c>
      <c r="V408" s="438">
        <f>INPUT!W500</f>
        <v>53.246153846153824</v>
      </c>
      <c r="W408" s="440">
        <f>INPUT!X500</f>
        <v>9.5599873377650226</v>
      </c>
      <c r="X408" s="438">
        <f>INPUT!Y500</f>
        <v>56.800000000000011</v>
      </c>
      <c r="Y408" s="440">
        <f>INPUT!Z500</f>
        <v>28.798185941043215</v>
      </c>
      <c r="Z408" s="438">
        <f>INPUT!AA500</f>
        <v>38.599999999999966</v>
      </c>
      <c r="AA408" s="440">
        <f>INPUT!AB500</f>
        <v>-8.4974471188915572</v>
      </c>
      <c r="AB408" s="438">
        <f>INPUT!AC500</f>
        <v>66.500000000000114</v>
      </c>
      <c r="AC408" s="440">
        <f>INPUT!AD500</f>
        <v>29.37743190661493</v>
      </c>
      <c r="AD408" s="438">
        <f>INPUT!AE500</f>
        <v>56.000000000000092</v>
      </c>
      <c r="AE408" s="440">
        <f>INPUT!AF500</f>
        <v>5.171915631320644</v>
      </c>
      <c r="AF408" s="438">
        <f>INPUT!AG500</f>
        <v>66.899999999999977</v>
      </c>
      <c r="AG408" s="440">
        <f>INPUT!AH500</f>
        <v>17.781690140845001</v>
      </c>
      <c r="AH408" s="438">
        <f>INPUT!AI500</f>
        <v>45.5</v>
      </c>
      <c r="AI408" s="440">
        <f>INPUT!AJ500</f>
        <v>17.875647668393896</v>
      </c>
      <c r="AJ408" s="438">
        <f>INPUT!AK500</f>
        <v>63.599999999999966</v>
      </c>
      <c r="AK408" s="440">
        <f>INPUT!AL500</f>
        <v>-4.3609022556393029</v>
      </c>
      <c r="AL408" s="438">
        <f>INPUT!AM500</f>
        <v>69.800000000000011</v>
      </c>
      <c r="AM408" s="440">
        <f>INPUT!AN500</f>
        <v>24.642857142856968</v>
      </c>
      <c r="AN408" s="438">
        <f>INPUT!AO500</f>
        <v>62.599999999999909</v>
      </c>
      <c r="AO408" s="440">
        <f>INPUT!AP500</f>
        <v>-6.4275037369208832</v>
      </c>
      <c r="AP408" s="438">
        <f>INPUT!AQ500</f>
        <v>56.458019284956038</v>
      </c>
      <c r="AQ408" s="440">
        <f>INPUT!AR500</f>
        <v>24.08355886803524</v>
      </c>
      <c r="AR408" s="438">
        <f>INPUT!AS500</f>
        <v>65.749889880234036</v>
      </c>
      <c r="AS408" s="440">
        <f>INPUT!AT500</f>
        <v>3.3803300003680334</v>
      </c>
      <c r="AT408" s="438">
        <f>INPUT!AU500</f>
        <v>75.248319734541496</v>
      </c>
      <c r="AU408" s="440">
        <f>INPUT!AV500</f>
        <v>7.8056156655322155</v>
      </c>
      <c r="AV408" s="438">
        <f>INPUT!AW500</f>
        <v>80.076433950049818</v>
      </c>
      <c r="AW408" s="440">
        <f>INPUT!AX500</f>
        <v>27.917626118290627</v>
      </c>
      <c r="AX408" s="467"/>
      <c r="AY408" s="438"/>
      <c r="AZ408" s="439"/>
      <c r="BA408" s="438"/>
      <c r="BB408" s="439"/>
      <c r="BC408" s="438"/>
      <c r="BD408" s="439"/>
      <c r="BE408" s="438"/>
      <c r="BF408" s="440"/>
      <c r="BG408" s="438"/>
      <c r="BH408" s="440"/>
      <c r="BI408" s="438"/>
      <c r="BJ408" s="440"/>
      <c r="BK408" s="438"/>
      <c r="BL408" s="440"/>
      <c r="BM408" s="438"/>
      <c r="BN408" s="440"/>
      <c r="BO408" s="438"/>
      <c r="BP408" s="440"/>
      <c r="BQ408" s="438"/>
      <c r="BR408" s="440"/>
      <c r="BS408" s="438">
        <f>INPUT!BB500</f>
        <v>161.79999999999973</v>
      </c>
      <c r="BT408" s="440" t="str">
        <f>INPUT!BC500</f>
        <v>NA</v>
      </c>
      <c r="BU408" s="438">
        <f>INPUT!BD500</f>
        <v>179.19999999999982</v>
      </c>
      <c r="BV408" s="440">
        <f>INPUT!BE500</f>
        <v>10.754017305315287</v>
      </c>
      <c r="BW408" s="438">
        <f>INPUT!BF500</f>
        <v>203.63076923076954</v>
      </c>
      <c r="BX408" s="440">
        <f>INPUT!BG500</f>
        <v>13.63324175824205</v>
      </c>
      <c r="BY408" s="438">
        <f>INPUT!BH500</f>
        <v>228.00000000000009</v>
      </c>
      <c r="BZ408" s="440">
        <f>INPUT!BI500</f>
        <v>11.967361740707034</v>
      </c>
      <c r="CA408" s="438">
        <f>INPUT!BJ500</f>
        <v>241.49999999999955</v>
      </c>
      <c r="CB408" s="440">
        <f>INPUT!BK500</f>
        <v>5.9210526315787178</v>
      </c>
      <c r="CC408" s="438">
        <f>INPUT!BL500</f>
        <v>277.53266284978167</v>
      </c>
      <c r="CD408" s="440">
        <f>INPUT!BM500</f>
        <v>14.9203572876945</v>
      </c>
      <c r="CE408" s="438">
        <f>INPUT!BN500</f>
        <v>292.15154771861262</v>
      </c>
      <c r="CF408" s="440">
        <f>INPUT!BO500</f>
        <v>5.2674466200555372</v>
      </c>
      <c r="CG408" s="438">
        <f>INPUT!BP500</f>
        <v>302.56401683520153</v>
      </c>
      <c r="CH408" s="440">
        <f>INPUT!BQ500</f>
        <v>3.564064335068224</v>
      </c>
      <c r="CI408" s="438">
        <f>INPUT!BR500</f>
        <v>313.05489576432819</v>
      </c>
      <c r="CJ408" s="440">
        <f>INPUT!BS500</f>
        <v>3.467325374266423</v>
      </c>
      <c r="CK408" s="438">
        <f>INPUT!BT500</f>
        <v>323.58675111707817</v>
      </c>
      <c r="CL408" s="440">
        <f>INPUT!BU500</f>
        <v>3.3642199803444441</v>
      </c>
      <c r="CM408" s="439">
        <f>INPUT!BV500</f>
        <v>6.0265717735567659</v>
      </c>
    </row>
    <row r="409" spans="1:91" ht="12" hidden="1" customHeight="1" outlineLevel="2" x14ac:dyDescent="0.2">
      <c r="A409" s="405" t="s">
        <v>167</v>
      </c>
      <c r="B409" s="441">
        <f>(B395+B396-B400-B401-B402-B403-B407)-B408</f>
        <v>0</v>
      </c>
      <c r="C409" s="442"/>
      <c r="D409" s="441">
        <f>(D395+D396-D400-D401-D402-D403-D407)-D408</f>
        <v>0</v>
      </c>
      <c r="E409" s="442"/>
      <c r="F409" s="441">
        <f>(F395+F396-F400-F401-F402-F403-F407)-F408</f>
        <v>-5.6843418860808015E-14</v>
      </c>
      <c r="G409" s="442"/>
      <c r="H409" s="441">
        <f>(H395+H396-H400-H401-H402-H403-H407)-H408</f>
        <v>5.6843418860808015E-14</v>
      </c>
      <c r="I409" s="442"/>
      <c r="J409" s="441">
        <f>(J395+J396-J400-J401-J402-J403-J407)-J408</f>
        <v>-5.6843418860808015E-14</v>
      </c>
      <c r="K409" s="442"/>
      <c r="L409" s="441">
        <f>(L395+L396-L400-L401-L402-L403-L407)-L408</f>
        <v>0</v>
      </c>
      <c r="M409" s="442"/>
      <c r="N409" s="441">
        <f>(N395+N396-N400-N401-N402-N403-N407)-N408</f>
        <v>0</v>
      </c>
      <c r="O409" s="442"/>
      <c r="P409" s="441">
        <f>(P395+P396-P400-P401-P402-P403-P407)-P408</f>
        <v>0</v>
      </c>
      <c r="Q409" s="442"/>
      <c r="R409" s="441">
        <f>(R395+R396-R400-R401-R402-R403-R407)-R408</f>
        <v>0</v>
      </c>
      <c r="S409" s="442"/>
      <c r="T409" s="441">
        <f>(T395+T396-T400-T401-T402-T403-T407)-T408</f>
        <v>-5.6843418860808015E-14</v>
      </c>
      <c r="U409" s="442"/>
      <c r="V409" s="441">
        <f>(V395+V396-V400-V401-V402-V403-V407)-V408</f>
        <v>0</v>
      </c>
      <c r="W409" s="442"/>
      <c r="X409" s="441">
        <f>(X395+X396-X400-X401-X402-X403-X407)-X408</f>
        <v>0</v>
      </c>
      <c r="Y409" s="442"/>
      <c r="Z409" s="441">
        <f>(Z395+Z396-Z400-Z401-Z402-Z403-Z407)-Z408</f>
        <v>0</v>
      </c>
      <c r="AA409" s="442"/>
      <c r="AB409" s="441">
        <f>(AB395+AB396-AB400-AB401-AB402-AB403-AB407)-AB408</f>
        <v>0</v>
      </c>
      <c r="AC409" s="442"/>
      <c r="AD409" s="441">
        <f>(AD395+AD396-AD400-AD401-AD402-AD403-AD407)-AD408</f>
        <v>-7.1054273576010019E-14</v>
      </c>
      <c r="AE409" s="442"/>
      <c r="AF409" s="441">
        <f>(AF395+AF396-AF400-AF401-AF402-AF403-AF407)-AF408</f>
        <v>0</v>
      </c>
      <c r="AG409" s="442"/>
      <c r="AH409" s="441">
        <f t="shared" ref="AH409" si="196">(AH395+AH396-AH400-AH401-AH402-AH403-AH407)-AH408</f>
        <v>0</v>
      </c>
      <c r="AI409" s="442"/>
      <c r="AJ409" s="441">
        <f t="shared" ref="AJ409" si="197">(AJ395+AJ396-AJ400-AJ401-AJ402-AJ403-AJ407)-AJ408</f>
        <v>0</v>
      </c>
      <c r="AK409" s="442"/>
      <c r="AL409" s="441">
        <f t="shared" ref="AL409" si="198">(AL395+AL396-AL400-AL401-AL402-AL403-AL407)-AL408</f>
        <v>0</v>
      </c>
      <c r="AM409" s="442"/>
      <c r="AN409" s="441">
        <f t="shared" ref="AN409" si="199">(AN395+AN396-AN400-AN401-AN402-AN403-AN407)-AN408</f>
        <v>5.6843418860808015E-14</v>
      </c>
      <c r="AO409" s="442"/>
      <c r="AP409" s="441">
        <f t="shared" ref="AP409" si="200">(AP395+AP396-AP400-AP401-AP402-AP403-AP407)-AP408</f>
        <v>0</v>
      </c>
      <c r="AQ409" s="442"/>
      <c r="AR409" s="441">
        <f t="shared" ref="AR409" si="201">(AR395+AR396-AR400-AR401-AR402-AR403-AR407)-AR408</f>
        <v>0</v>
      </c>
      <c r="AS409" s="442"/>
      <c r="AT409" s="441">
        <f t="shared" ref="AT409" si="202">(AT395+AT396-AT400-AT401-AT402-AT403-AT407)-AT408</f>
        <v>0</v>
      </c>
      <c r="AU409" s="442"/>
      <c r="AV409" s="441">
        <f t="shared" ref="AV409" si="203">(AV395+AV396-AV400-AV401-AV402-AV403-AV407)-AV408</f>
        <v>0</v>
      </c>
      <c r="AW409" s="442"/>
      <c r="AX409" s="409"/>
      <c r="AY409" s="441"/>
      <c r="AZ409" s="442"/>
      <c r="BA409" s="441"/>
      <c r="BB409" s="442"/>
      <c r="BC409" s="441"/>
      <c r="BD409" s="442"/>
      <c r="BE409" s="441"/>
      <c r="BF409" s="442"/>
      <c r="BG409" s="441"/>
      <c r="BH409" s="442"/>
      <c r="BI409" s="441"/>
      <c r="BJ409" s="442"/>
      <c r="BK409" s="441"/>
      <c r="BL409" s="442"/>
      <c r="BM409" s="441"/>
      <c r="BN409" s="442"/>
      <c r="BO409" s="441"/>
      <c r="BP409" s="442"/>
      <c r="BQ409" s="441"/>
      <c r="BR409" s="442"/>
      <c r="BS409" s="441">
        <f>(BS395+BS396-BS400-BS401-BS402-BS403-BS407)-BS408</f>
        <v>0</v>
      </c>
      <c r="BT409" s="442"/>
      <c r="BU409" s="441">
        <f>(BU395+BU396-BU400-BU401-BU402-BU403-BU407)-BU408</f>
        <v>2.2737367544323206E-13</v>
      </c>
      <c r="BV409" s="442"/>
      <c r="BW409" s="441">
        <f>(BW395+BW396-BW400-BW401-BW402-BW403-BW407)-BW408</f>
        <v>-2.8421709430404007E-13</v>
      </c>
      <c r="BX409" s="442"/>
      <c r="BY409" s="441">
        <f>(BY395+BY396-BY400-BY401-BY402-BY403-BY407)-BY408</f>
        <v>0</v>
      </c>
      <c r="BZ409" s="442"/>
      <c r="CA409" s="441">
        <f>(CA395+CA396-CA400-CA401-CA402-CA403-CA407)-CA408</f>
        <v>0</v>
      </c>
      <c r="CB409" s="442"/>
      <c r="CC409" s="441">
        <f>(CC395+CC396-CC400-CC401-CC402-CC403-CC407)-CC408</f>
        <v>0</v>
      </c>
      <c r="CD409" s="442"/>
      <c r="CE409" s="441">
        <f>(CE395+CE396-CE400-CE401-CE402-CE403-CE407)-CE408</f>
        <v>0</v>
      </c>
      <c r="CF409" s="442"/>
      <c r="CG409" s="441">
        <f>(CG395+CG396-CG400-CG401-CG402-CG403-CG407)-CG408</f>
        <v>0</v>
      </c>
      <c r="CH409" s="442"/>
      <c r="CI409" s="441">
        <f>(CI395+CI396-CI400-CI401-CI402-CI403-CI407)-CI408</f>
        <v>0</v>
      </c>
      <c r="CJ409" s="442"/>
      <c r="CK409" s="441">
        <f>(CK395+CK396-CK400-CK401-CK402-CK403-CK407)-CK408</f>
        <v>0</v>
      </c>
      <c r="CL409" s="442"/>
      <c r="CM409" s="442"/>
    </row>
    <row r="410" spans="1:91" ht="12" hidden="1" customHeight="1" outlineLevel="1" x14ac:dyDescent="0.2">
      <c r="A410" s="420"/>
      <c r="B410" s="425"/>
      <c r="C410" s="424"/>
      <c r="D410" s="425"/>
      <c r="E410" s="382"/>
      <c r="F410" s="425"/>
      <c r="G410" s="382"/>
      <c r="H410" s="425"/>
      <c r="I410" s="382"/>
      <c r="J410" s="425"/>
      <c r="K410" s="382"/>
      <c r="L410" s="425"/>
      <c r="M410" s="382"/>
      <c r="N410" s="425"/>
      <c r="O410" s="382"/>
      <c r="P410" s="425"/>
      <c r="Q410" s="382"/>
      <c r="R410" s="425"/>
      <c r="S410" s="382"/>
      <c r="T410" s="425"/>
      <c r="U410" s="382"/>
      <c r="V410" s="425"/>
      <c r="W410" s="382"/>
      <c r="X410" s="425"/>
      <c r="Y410" s="382"/>
      <c r="Z410" s="425"/>
      <c r="AA410" s="382"/>
      <c r="AB410" s="425"/>
      <c r="AC410" s="382"/>
      <c r="AD410" s="425"/>
      <c r="AE410" s="382"/>
      <c r="AF410" s="425"/>
      <c r="AG410" s="382"/>
      <c r="AH410" s="425"/>
      <c r="AI410" s="382"/>
      <c r="AJ410" s="425"/>
      <c r="AK410" s="382"/>
      <c r="AL410" s="425"/>
      <c r="AM410" s="382"/>
      <c r="AN410" s="425"/>
      <c r="AO410" s="382"/>
      <c r="AP410" s="425"/>
      <c r="AQ410" s="382"/>
      <c r="AR410" s="425"/>
      <c r="AS410" s="382"/>
      <c r="AT410" s="425"/>
      <c r="AU410" s="382"/>
      <c r="AV410" s="425"/>
      <c r="AW410" s="382"/>
      <c r="AX410" s="465"/>
      <c r="AY410" s="425"/>
      <c r="AZ410" s="424"/>
      <c r="BA410" s="425"/>
      <c r="BB410" s="424"/>
      <c r="BC410" s="425"/>
      <c r="BD410" s="424"/>
      <c r="BE410" s="425"/>
      <c r="BF410" s="382"/>
      <c r="BG410" s="425"/>
      <c r="BH410" s="382"/>
      <c r="BI410" s="425"/>
      <c r="BJ410" s="382"/>
      <c r="BK410" s="425"/>
      <c r="BL410" s="382"/>
      <c r="BM410" s="425"/>
      <c r="BN410" s="382"/>
      <c r="BO410" s="425"/>
      <c r="BP410" s="382"/>
      <c r="BQ410" s="425"/>
      <c r="BR410" s="382"/>
      <c r="BS410" s="425"/>
      <c r="BT410" s="382"/>
      <c r="BU410" s="425"/>
      <c r="BV410" s="382"/>
      <c r="BW410" s="425"/>
      <c r="BX410" s="382"/>
      <c r="BY410" s="425"/>
      <c r="BZ410" s="382"/>
      <c r="CA410" s="425"/>
      <c r="CB410" s="382"/>
      <c r="CC410" s="425"/>
      <c r="CD410" s="382"/>
      <c r="CE410" s="425"/>
      <c r="CF410" s="382"/>
      <c r="CG410" s="425"/>
      <c r="CH410" s="382"/>
      <c r="CI410" s="425"/>
      <c r="CJ410" s="382"/>
      <c r="CK410" s="425"/>
      <c r="CL410" s="382"/>
      <c r="CM410" s="424"/>
    </row>
    <row r="411" spans="1:91" ht="12" hidden="1" customHeight="1" outlineLevel="1" x14ac:dyDescent="0.2">
      <c r="A411" s="394" t="s">
        <v>409</v>
      </c>
      <c r="B411" s="398"/>
      <c r="C411" s="399"/>
      <c r="D411" s="398"/>
      <c r="E411" s="396"/>
      <c r="F411" s="398"/>
      <c r="G411" s="396"/>
      <c r="H411" s="398"/>
      <c r="I411" s="396"/>
      <c r="J411" s="398"/>
      <c r="K411" s="396"/>
      <c r="L411" s="398"/>
      <c r="M411" s="396"/>
      <c r="N411" s="398"/>
      <c r="O411" s="396"/>
      <c r="P411" s="398"/>
      <c r="Q411" s="396"/>
      <c r="R411" s="398"/>
      <c r="S411" s="396"/>
      <c r="T411" s="398"/>
      <c r="U411" s="396"/>
      <c r="V411" s="398"/>
      <c r="W411" s="396"/>
      <c r="X411" s="398"/>
      <c r="Y411" s="396"/>
      <c r="Z411" s="398"/>
      <c r="AA411" s="396"/>
      <c r="AB411" s="398"/>
      <c r="AC411" s="396"/>
      <c r="AD411" s="398"/>
      <c r="AE411" s="396"/>
      <c r="AF411" s="398"/>
      <c r="AG411" s="396"/>
      <c r="AH411" s="398"/>
      <c r="AI411" s="396"/>
      <c r="AJ411" s="398"/>
      <c r="AK411" s="396"/>
      <c r="AL411" s="398"/>
      <c r="AM411" s="396"/>
      <c r="AN411" s="398"/>
      <c r="AO411" s="396"/>
      <c r="AP411" s="398"/>
      <c r="AQ411" s="396"/>
      <c r="AR411" s="398"/>
      <c r="AS411" s="396"/>
      <c r="AT411" s="398"/>
      <c r="AU411" s="396"/>
      <c r="AV411" s="398"/>
      <c r="AW411" s="396"/>
      <c r="AX411" s="398"/>
      <c r="AY411" s="398"/>
      <c r="AZ411" s="399"/>
      <c r="BA411" s="398"/>
      <c r="BB411" s="399"/>
      <c r="BC411" s="398"/>
      <c r="BD411" s="399"/>
      <c r="BE411" s="398"/>
      <c r="BF411" s="396"/>
      <c r="BG411" s="398"/>
      <c r="BH411" s="396"/>
      <c r="BI411" s="398"/>
      <c r="BJ411" s="396"/>
      <c r="BK411" s="398"/>
      <c r="BL411" s="396"/>
      <c r="BM411" s="398"/>
      <c r="BN411" s="396"/>
      <c r="BO411" s="398"/>
      <c r="BP411" s="396"/>
      <c r="BQ411" s="398"/>
      <c r="BR411" s="396"/>
      <c r="BS411" s="398"/>
      <c r="BT411" s="396"/>
      <c r="BU411" s="398"/>
      <c r="BV411" s="396"/>
      <c r="BW411" s="398"/>
      <c r="BX411" s="396"/>
      <c r="BY411" s="398"/>
      <c r="BZ411" s="396"/>
      <c r="CA411" s="398"/>
      <c r="CB411" s="396"/>
      <c r="CC411" s="398"/>
      <c r="CD411" s="396"/>
      <c r="CE411" s="398"/>
      <c r="CF411" s="396"/>
      <c r="CG411" s="398"/>
      <c r="CH411" s="396"/>
      <c r="CI411" s="398"/>
      <c r="CJ411" s="396"/>
      <c r="CK411" s="398"/>
      <c r="CL411" s="396"/>
      <c r="CM411" s="399"/>
    </row>
    <row r="412" spans="1:91" ht="12" hidden="1" customHeight="1" outlineLevel="1" x14ac:dyDescent="0.2">
      <c r="A412" s="453" t="s">
        <v>41</v>
      </c>
      <c r="B412" s="457">
        <f>+INPUT!C666/(INPUT!C664)*100</f>
        <v>61.583011583011526</v>
      </c>
      <c r="C412" s="396" t="str">
        <f>IF(ISERROR(INPUT!D666/INPUT!D664),"NM",INPUT!D666/INPUT!D664*100)</f>
        <v>NM</v>
      </c>
      <c r="D412" s="457">
        <f>+INPUT!E666/(INPUT!E664)*100</f>
        <v>56.671449067431858</v>
      </c>
      <c r="E412" s="396" t="str">
        <f>IF(ISERROR(INPUT!F666/INPUT!F664),"NM",INPUT!F666/INPUT!F664*100)</f>
        <v>NM</v>
      </c>
      <c r="F412" s="457">
        <f>+INPUT!G666/(INPUT!G664)*100</f>
        <v>60.723192019950098</v>
      </c>
      <c r="G412" s="396" t="str">
        <f>IF(ISERROR(INPUT!H666/INPUT!H664),"NM",INPUT!H666/INPUT!H664*100)</f>
        <v>NM</v>
      </c>
      <c r="H412" s="457">
        <f>+INPUT!I666/(INPUT!I664)*100</f>
        <v>49.475221319704268</v>
      </c>
      <c r="I412" s="396" t="str">
        <f>IF(ISERROR(INPUT!J666/INPUT!J664),"NM",INPUT!J666/INPUT!J664*100)</f>
        <v>NM</v>
      </c>
      <c r="J412" s="457">
        <f>+INPUT!K666/(INPUT!K664)*100</f>
        <v>65.231259968102108</v>
      </c>
      <c r="K412" s="396">
        <f>IF(ISERROR(INPUT!L666/INPUT!L664),"NM",INPUT!L666/INPUT!L664*100)</f>
        <v>134.07724828161466</v>
      </c>
      <c r="L412" s="457">
        <f>+INPUT!M666/(INPUT!M664)*100</f>
        <v>62.29508196721315</v>
      </c>
      <c r="M412" s="396">
        <f>IF(ISERROR(INPUT!N666/INPUT!N664),"NM",INPUT!N666/INPUT!N664*100)</f>
        <v>307.53707052441297</v>
      </c>
      <c r="N412" s="457">
        <f>+INPUT!O666/(INPUT!O664)*100</f>
        <v>74.654377880184413</v>
      </c>
      <c r="O412" s="396">
        <f>IF(ISERROR(INPUT!P666/INPUT!P664),"NM",INPUT!P666/INPUT!P664*100)</f>
        <v>1.0906074493114786</v>
      </c>
      <c r="P412" s="457">
        <f>+INPUT!Q666/(INPUT!Q664)*100</f>
        <v>53.068592057761677</v>
      </c>
      <c r="Q412" s="396">
        <f>IF(ISERROR(INPUT!R666/INPUT!R664),"NM",INPUT!R666/INPUT!R664*100)</f>
        <v>-409.49266560781757</v>
      </c>
      <c r="R412" s="457">
        <f>+INPUT!S666/(INPUT!S664)*100</f>
        <v>54.583457748581687</v>
      </c>
      <c r="S412" s="396">
        <f>IF(ISERROR(INPUT!T666/INPUT!T664),"NM",INPUT!T666/INPUT!T664*100)</f>
        <v>13.502754479898268</v>
      </c>
      <c r="T412" s="457">
        <f>+INPUT!U666/(INPUT!U664)*100</f>
        <v>58.342792281498326</v>
      </c>
      <c r="U412" s="396">
        <f>IF(ISERROR(INPUT!V666/INPUT!V664),"NM",INPUT!V666/INPUT!V664*100)</f>
        <v>62.486753797244809</v>
      </c>
      <c r="V412" s="457">
        <f>+INPUT!W666/(INPUT!W664)*100</f>
        <v>55.746154465651919</v>
      </c>
      <c r="W412" s="396">
        <f>IF(ISERROR(INPUT!X666/INPUT!X664),"NM",INPUT!X666/INPUT!X664*100)</f>
        <v>20.461854537052439</v>
      </c>
      <c r="X412" s="457">
        <f>+INPUT!Y666/(INPUT!Y664)*100</f>
        <v>65.58891454965358</v>
      </c>
      <c r="Y412" s="396">
        <f>IF(ISERROR(INPUT!Z666/INPUT!Z664),"NM",INPUT!Z666/INPUT!Z664*100)</f>
        <v>683.75121477162406</v>
      </c>
      <c r="Z412" s="457">
        <f>+INPUT!AA666/(INPUT!AA664)*100</f>
        <v>47.950310559006205</v>
      </c>
      <c r="AA412" s="396">
        <f>IF(ISERROR(INPUT!AB666/INPUT!AB664),"NM",INPUT!AB666/INPUT!AB664*100)</f>
        <v>-204.24366316628601</v>
      </c>
      <c r="AB412" s="457">
        <f>+INPUT!AC666/(INPUT!AC664)*100</f>
        <v>64.18918918918925</v>
      </c>
      <c r="AC412" s="396">
        <f>IF(ISERROR(INPUT!AD666/INPUT!AD664),"NM",INPUT!AD666/INPUT!AD664*100)</f>
        <v>166.97753232082374</v>
      </c>
      <c r="AD412" s="457">
        <f>+INPUT!AE666/(INPUT!AE664)*100</f>
        <v>58.638743455497377</v>
      </c>
      <c r="AE412" s="396">
        <f>IF(ISERROR(INPUT!AF666/INPUT!AF664),"NM",INPUT!AF666/INPUT!AF664*100)</f>
        <v>-32109.838197468242</v>
      </c>
      <c r="AF412" s="457">
        <f>+INPUT!AG666/(INPUT!AG664)*100</f>
        <v>65.652600588812547</v>
      </c>
      <c r="AG412" s="396">
        <f>IF(ISERROR(INPUT!AH666/INPUT!AH664),"NM",INPUT!AH666/INPUT!AH664*100)</f>
        <v>100.64669060112297</v>
      </c>
      <c r="AH412" s="457">
        <f>+INPUT!AI666/(INPUT!AI664)*100</f>
        <v>52.784222737819029</v>
      </c>
      <c r="AI412" s="396">
        <f>IF(ISERROR(INPUT!AJ666/INPUT!AJ664),"NM",INPUT!AJ666/INPUT!AJ664*100)</f>
        <v>252.45432233433306</v>
      </c>
      <c r="AJ412" s="457">
        <f>+INPUT!AK666/(INPUT!AK664)*100</f>
        <v>62.721893491124234</v>
      </c>
      <c r="AK412" s="396">
        <f>IF(ISERROR(INPUT!AL666/INPUT!AL664),"NM",INPUT!AL666/INPUT!AL664*100)</f>
        <v>205.3588516746419</v>
      </c>
      <c r="AL412" s="457">
        <f>+INPUT!AM666/(INPUT!AM664)*100</f>
        <v>60.068846815834789</v>
      </c>
      <c r="AM412" s="396">
        <f>IF(ISERROR(INPUT!AN666/INPUT!AN664),"NM",INPUT!AN666/INPUT!AN664*100)</f>
        <v>113.69047619047659</v>
      </c>
      <c r="AN412" s="457">
        <f>+INPUT!AO666/(INPUT!AO664)*100</f>
        <v>56.447249774571638</v>
      </c>
      <c r="AO412" s="396">
        <f>IF(ISERROR(INPUT!AP666/INPUT!AP664),"NM",INPUT!AP666/INPUT!AP664*100)</f>
        <v>-72.77362564358242</v>
      </c>
      <c r="AP412" s="457">
        <f>+INPUT!AQ666/(INPUT!AQ664)*100</f>
        <v>60.345249479550574</v>
      </c>
      <c r="AQ412" s="396">
        <f>IF(ISERROR(INPUT!AR666/INPUT!AR664),"NM",INPUT!AR666/INPUT!AR664*100)</f>
        <v>282.12887076031785</v>
      </c>
      <c r="AR412" s="457">
        <f>+INPUT!AS666/(INPUT!AS664)*100</f>
        <v>62.359781235166565</v>
      </c>
      <c r="AS412" s="396">
        <f>IF(ISERROR(INPUT!AT666/INPUT!AT664),"NM",INPUT!AT666/INPUT!AT664*100)</f>
        <v>84.919230396146233</v>
      </c>
      <c r="AT412" s="457">
        <f>+INPUT!AU666/(INPUT!AU664)*100</f>
        <v>63.400314390384537</v>
      </c>
      <c r="AU412" s="396">
        <f>IF(ISERROR(INPUT!AV666/INPUT!AV664),"NM",INPUT!AV666/INPUT!AV664*100)</f>
        <v>364.61160519456342</v>
      </c>
      <c r="AV412" s="457">
        <f>+INPUT!AW666/(INPUT!AW664)*100</f>
        <v>63.447085116324253</v>
      </c>
      <c r="AW412" s="396">
        <f>IF(ISERROR(INPUT!AX666/INPUT!AX664),"NM",INPUT!AX666/INPUT!AX664*100)</f>
        <v>202.2277508383448</v>
      </c>
      <c r="AX412" s="398"/>
      <c r="AY412" s="457"/>
      <c r="AZ412" s="396"/>
      <c r="BA412" s="457"/>
      <c r="BB412" s="396"/>
      <c r="BC412" s="457"/>
      <c r="BD412" s="396"/>
      <c r="BE412" s="457"/>
      <c r="BF412" s="396"/>
      <c r="BG412" s="457"/>
      <c r="BH412" s="396"/>
      <c r="BI412" s="457"/>
      <c r="BJ412" s="396"/>
      <c r="BK412" s="457"/>
      <c r="BL412" s="396"/>
      <c r="BM412" s="457"/>
      <c r="BN412" s="396"/>
      <c r="BO412" s="457"/>
      <c r="BP412" s="396"/>
      <c r="BQ412" s="457"/>
      <c r="BR412" s="396"/>
      <c r="BS412" s="457">
        <f>+INPUT!BB666/(INPUT!BB664)*100</f>
        <v>56.576469955349864</v>
      </c>
      <c r="BT412" s="396" t="str">
        <f>IF(ISERROR(INPUT!BC666/INPUT!BC664),"NM",INPUT!BC666/INPUT!BC664*100)</f>
        <v>NM</v>
      </c>
      <c r="BU412" s="457">
        <f>+INPUT!BD666/(INPUT!BD664)*100</f>
        <v>63.076381555790171</v>
      </c>
      <c r="BV412" s="396">
        <f>IF(ISERROR(INPUT!BE666/INPUT!BE664),"NM",INPUT!BE666/INPUT!BE664*100)</f>
        <v>-1631.8892056204818</v>
      </c>
      <c r="BW412" s="457">
        <f>+INPUT!BF666/(INPUT!BF664)*100</f>
        <v>58.598782512451663</v>
      </c>
      <c r="BX412" s="396">
        <f>IF(ISERROR(INPUT!BG666/INPUT!BG664),"NM",INPUT!BG666/INPUT!BG664*100)</f>
        <v>61.091545481333753</v>
      </c>
      <c r="BY412" s="457">
        <f>+INPUT!BH666/(INPUT!BH664)*100</f>
        <v>59.764089121887331</v>
      </c>
      <c r="BZ412" s="396">
        <f>IF(ISERROR(INPUT!BI666/INPUT!BI664),"NM",INPUT!BI666/INPUT!BI664*100)</f>
        <v>122.31347661457983</v>
      </c>
      <c r="CA412" s="457">
        <f>+INPUT!BJ666/(INPUT!BJ664)*100</f>
        <v>58.234868579696112</v>
      </c>
      <c r="CB412" s="396">
        <f>IF(ISERROR(INPUT!BK666/INPUT!BK664),"NM",INPUT!BK666/INPUT!BK664*100)</f>
        <v>68.038601775520874</v>
      </c>
      <c r="CC412" s="457">
        <f>+INPUT!BL666/(INPUT!BL664)*100</f>
        <v>62.522547193627055</v>
      </c>
      <c r="CD412" s="396">
        <f>IF(ISERROR(INPUT!BM666/INPUT!BM664),"NM",INPUT!BM666/INPUT!BM664*100)</f>
        <v>211.95690050127124</v>
      </c>
      <c r="CE412" s="457">
        <f>+INPUT!BN666/(INPUT!BN664)*100</f>
        <v>62.556847374536495</v>
      </c>
      <c r="CF412" s="396">
        <f>IF(ISERROR(INPUT!BO666/INPUT!BO664),"NM",INPUT!BO666/INPUT!BO664*100)</f>
        <v>101.10790007804293</v>
      </c>
      <c r="CG412" s="457">
        <f>+INPUT!BP666/(INPUT!BP664)*100</f>
        <v>63.212533919767324</v>
      </c>
      <c r="CH412" s="396">
        <f>IF(ISERROR(INPUT!BQ666/INPUT!BQ664),"NM",INPUT!BQ666/INPUT!BQ664*100)</f>
        <v>143.14533174095163</v>
      </c>
      <c r="CI412" s="457">
        <f>+INPUT!BR666/(INPUT!BR664)*100</f>
        <v>63.606699458388697</v>
      </c>
      <c r="CJ412" s="396">
        <f>IF(ISERROR(INPUT!BS666/INPUT!BS664),"NM",INPUT!BS666/INPUT!BS664*100)</f>
        <v>122.68737762332069</v>
      </c>
      <c r="CK412" s="457">
        <f>+INPUT!BT666/(INPUT!BT664)*100</f>
        <v>63.987607918810582</v>
      </c>
      <c r="CL412" s="396">
        <f>IF(ISERROR(INPUT!BU666/INPUT!BU664),"NM",INPUT!BU666/INPUT!BU664*100)</f>
        <v>122.38384459062972</v>
      </c>
      <c r="CM412" s="424">
        <f>IF(ISERROR(((CH412/BW412)^0.2-1)*100),"NA",IF((((CH412/BW412)^0.2-1)*100)&gt;100,"NM",IF((((CH412/BW412)^0.2-1)*100)&lt;-50,"NM",((CH412/BW412)^0.2-1)*100)))</f>
        <v>19.557746142699273</v>
      </c>
    </row>
    <row r="413" spans="1:91" ht="12" hidden="1" customHeight="1" outlineLevel="1" x14ac:dyDescent="0.2">
      <c r="A413" s="400" t="s">
        <v>250</v>
      </c>
      <c r="B413" s="457">
        <f>INPUT!C666</f>
        <v>31.899999999999977</v>
      </c>
      <c r="C413" s="396" t="str">
        <f>INPUT!D666</f>
        <v>NA</v>
      </c>
      <c r="D413" s="457">
        <f>INPUT!E666</f>
        <v>39.5</v>
      </c>
      <c r="E413" s="396" t="str">
        <f>INPUT!F666</f>
        <v>NA</v>
      </c>
      <c r="F413" s="457">
        <f>INPUT!G666</f>
        <v>48.700000000000045</v>
      </c>
      <c r="G413" s="396" t="str">
        <f>INPUT!H666</f>
        <v>NA</v>
      </c>
      <c r="H413" s="457">
        <f>INPUT!I666</f>
        <v>41.699999999999932</v>
      </c>
      <c r="I413" s="396" t="str">
        <f>INPUT!J666</f>
        <v>NA</v>
      </c>
      <c r="J413" s="457">
        <f>INPUT!K666</f>
        <v>40.900000000000091</v>
      </c>
      <c r="K413" s="396">
        <f>INPUT!L666</f>
        <v>28.213166144200983</v>
      </c>
      <c r="L413" s="457">
        <f>INPUT!M666</f>
        <v>45.600000000000023</v>
      </c>
      <c r="M413" s="396">
        <f>INPUT!N666</f>
        <v>15.443037974683605</v>
      </c>
      <c r="N413" s="457">
        <f>INPUT!O666</f>
        <v>48.600000000000023</v>
      </c>
      <c r="O413" s="396">
        <f>INPUT!P666</f>
        <v>-0.20533880903495572</v>
      </c>
      <c r="P413" s="457">
        <f>INPUT!Q666</f>
        <v>44.099999999999966</v>
      </c>
      <c r="Q413" s="396">
        <f>INPUT!R666</f>
        <v>5.7553956834533295</v>
      </c>
      <c r="R413" s="457">
        <f>INPUT!S666</f>
        <v>42.184615384615455</v>
      </c>
      <c r="S413" s="396">
        <f>INPUT!T666</f>
        <v>3.1408689110400019</v>
      </c>
      <c r="T413" s="457">
        <f>INPUT!U666</f>
        <v>51.400000000000034</v>
      </c>
      <c r="U413" s="396">
        <f>INPUT!V666</f>
        <v>12.71929824561407</v>
      </c>
      <c r="V413" s="457">
        <f>INPUT!W666</f>
        <v>53.246153846153824</v>
      </c>
      <c r="W413" s="396">
        <f>INPUT!X666</f>
        <v>9.5599873377650226</v>
      </c>
      <c r="X413" s="457">
        <f>INPUT!Y666</f>
        <v>56.800000000000011</v>
      </c>
      <c r="Y413" s="396">
        <f>INPUT!Z666</f>
        <v>28.798185941043215</v>
      </c>
      <c r="Z413" s="457">
        <f>INPUT!AA666</f>
        <v>38.599999999999966</v>
      </c>
      <c r="AA413" s="396">
        <f>INPUT!AB666</f>
        <v>-8.4974471188915572</v>
      </c>
      <c r="AB413" s="457">
        <f>INPUT!AC666</f>
        <v>66.500000000000114</v>
      </c>
      <c r="AC413" s="396">
        <f>INPUT!AD666</f>
        <v>29.37743190661493</v>
      </c>
      <c r="AD413" s="457">
        <f>INPUT!AE666</f>
        <v>56.000000000000092</v>
      </c>
      <c r="AE413" s="396">
        <f>INPUT!AF666</f>
        <v>5.171915631320644</v>
      </c>
      <c r="AF413" s="457">
        <f>INPUT!AG666</f>
        <v>66.899999999999977</v>
      </c>
      <c r="AG413" s="396">
        <f>INPUT!AH666</f>
        <v>17.781690140845001</v>
      </c>
      <c r="AH413" s="457">
        <f>INPUT!AI666</f>
        <v>45.5</v>
      </c>
      <c r="AI413" s="396">
        <f>INPUT!AJ666</f>
        <v>17.875647668393896</v>
      </c>
      <c r="AJ413" s="457">
        <f>INPUT!AK666</f>
        <v>63.599999999999966</v>
      </c>
      <c r="AK413" s="396">
        <f>INPUT!AL666</f>
        <v>-4.3609022556393029</v>
      </c>
      <c r="AL413" s="457">
        <f>INPUT!AM666</f>
        <v>69.800000000000011</v>
      </c>
      <c r="AM413" s="396">
        <f>INPUT!AN666</f>
        <v>24.642857142856968</v>
      </c>
      <c r="AN413" s="457">
        <f>INPUT!AO666</f>
        <v>62.599999999999909</v>
      </c>
      <c r="AO413" s="396">
        <f>INPUT!AP666</f>
        <v>-6.4275037369208832</v>
      </c>
      <c r="AP413" s="457">
        <f>INPUT!AQ666</f>
        <v>56.458019284956038</v>
      </c>
      <c r="AQ413" s="396">
        <f>INPUT!AR666</f>
        <v>24.08355886803524</v>
      </c>
      <c r="AR413" s="457">
        <f>INPUT!AS666</f>
        <v>65.749889880234036</v>
      </c>
      <c r="AS413" s="396">
        <f>INPUT!AT666</f>
        <v>3.3803300003680334</v>
      </c>
      <c r="AT413" s="457">
        <f>INPUT!AU666</f>
        <v>75.248319734541496</v>
      </c>
      <c r="AU413" s="396">
        <f>INPUT!AV666</f>
        <v>7.8056156655322155</v>
      </c>
      <c r="AV413" s="457">
        <f>INPUT!AW666</f>
        <v>80.076433950049818</v>
      </c>
      <c r="AW413" s="396">
        <f>INPUT!AX666</f>
        <v>27.917626118290627</v>
      </c>
      <c r="AX413" s="398"/>
      <c r="AY413" s="457"/>
      <c r="AZ413" s="396"/>
      <c r="BA413" s="457"/>
      <c r="BB413" s="396"/>
      <c r="BC413" s="457"/>
      <c r="BD413" s="396"/>
      <c r="BE413" s="457"/>
      <c r="BF413" s="396"/>
      <c r="BG413" s="457"/>
      <c r="BH413" s="396"/>
      <c r="BI413" s="457"/>
      <c r="BJ413" s="396"/>
      <c r="BK413" s="457"/>
      <c r="BL413" s="396"/>
      <c r="BM413" s="457"/>
      <c r="BN413" s="396"/>
      <c r="BO413" s="457"/>
      <c r="BP413" s="396"/>
      <c r="BQ413" s="457"/>
      <c r="BR413" s="396"/>
      <c r="BS413" s="457">
        <f>INPUT!BB666</f>
        <v>161.79999999999973</v>
      </c>
      <c r="BT413" s="396" t="str">
        <f>INPUT!BC666</f>
        <v>NA</v>
      </c>
      <c r="BU413" s="457">
        <f>INPUT!BD666</f>
        <v>179.19999999999982</v>
      </c>
      <c r="BV413" s="396">
        <f>INPUT!BE666</f>
        <v>10.754017305315287</v>
      </c>
      <c r="BW413" s="457">
        <f>INPUT!BF666</f>
        <v>203.63076923076954</v>
      </c>
      <c r="BX413" s="396">
        <f>INPUT!BG666</f>
        <v>13.63324175824205</v>
      </c>
      <c r="BY413" s="457">
        <f>INPUT!BH666</f>
        <v>228.00000000000009</v>
      </c>
      <c r="BZ413" s="396">
        <f>INPUT!BI666</f>
        <v>11.967361740707034</v>
      </c>
      <c r="CA413" s="457">
        <f>INPUT!BJ666</f>
        <v>241.49999999999955</v>
      </c>
      <c r="CB413" s="396">
        <f>INPUT!BK666</f>
        <v>5.9210526315787178</v>
      </c>
      <c r="CC413" s="457">
        <f>INPUT!BL666</f>
        <v>277.53266284978167</v>
      </c>
      <c r="CD413" s="396">
        <f>INPUT!BM666</f>
        <v>14.9203572876945</v>
      </c>
      <c r="CE413" s="457">
        <f>INPUT!BN666</f>
        <v>292.15154771861262</v>
      </c>
      <c r="CF413" s="396">
        <f>INPUT!BO666</f>
        <v>5.2674466200555372</v>
      </c>
      <c r="CG413" s="457">
        <f>INPUT!BP666</f>
        <v>302.56401683520153</v>
      </c>
      <c r="CH413" s="396">
        <f>INPUT!BQ666</f>
        <v>3.564064335068224</v>
      </c>
      <c r="CI413" s="457">
        <f>INPUT!BR666</f>
        <v>313.05489576432819</v>
      </c>
      <c r="CJ413" s="396">
        <f>INPUT!BS666</f>
        <v>3.467325374266423</v>
      </c>
      <c r="CK413" s="457">
        <f>INPUT!BT666</f>
        <v>323.58675111707817</v>
      </c>
      <c r="CL413" s="396">
        <f>INPUT!BU666</f>
        <v>3.3642199803444441</v>
      </c>
      <c r="CM413" s="424">
        <f>INPUT!BV666</f>
        <v>6.0265717735567659</v>
      </c>
    </row>
    <row r="414" spans="1:91" ht="12" hidden="1" customHeight="1" outlineLevel="1" x14ac:dyDescent="0.2">
      <c r="A414" s="400"/>
      <c r="B414" s="398"/>
      <c r="C414" s="396"/>
      <c r="D414" s="398"/>
      <c r="E414" s="396"/>
      <c r="F414" s="398"/>
      <c r="G414" s="396"/>
      <c r="H414" s="398"/>
      <c r="I414" s="396"/>
      <c r="J414" s="398"/>
      <c r="K414" s="396"/>
      <c r="L414" s="398"/>
      <c r="M414" s="396"/>
      <c r="N414" s="398"/>
      <c r="O414" s="396"/>
      <c r="P414" s="398"/>
      <c r="Q414" s="396"/>
      <c r="R414" s="398"/>
      <c r="S414" s="396"/>
      <c r="T414" s="398"/>
      <c r="U414" s="396"/>
      <c r="V414" s="398"/>
      <c r="W414" s="396"/>
      <c r="X414" s="398"/>
      <c r="Y414" s="396"/>
      <c r="Z414" s="398"/>
      <c r="AA414" s="396"/>
      <c r="AB414" s="398"/>
      <c r="AC414" s="396"/>
      <c r="AD414" s="398"/>
      <c r="AE414" s="396"/>
      <c r="AF414" s="398"/>
      <c r="AG414" s="396"/>
      <c r="AH414" s="398"/>
      <c r="AI414" s="396"/>
      <c r="AJ414" s="398"/>
      <c r="AK414" s="396"/>
      <c r="AL414" s="398"/>
      <c r="AM414" s="396"/>
      <c r="AN414" s="398"/>
      <c r="AO414" s="396"/>
      <c r="AP414" s="398"/>
      <c r="AQ414" s="396"/>
      <c r="AR414" s="398"/>
      <c r="AS414" s="396"/>
      <c r="AT414" s="398"/>
      <c r="AU414" s="396"/>
      <c r="AV414" s="398"/>
      <c r="AW414" s="396"/>
      <c r="AX414" s="398"/>
      <c r="AY414" s="398"/>
      <c r="AZ414" s="396"/>
      <c r="BA414" s="398"/>
      <c r="BB414" s="396"/>
      <c r="BC414" s="398"/>
      <c r="BD414" s="396"/>
      <c r="BE414" s="398"/>
      <c r="BF414" s="396"/>
      <c r="BG414" s="398"/>
      <c r="BH414" s="396"/>
      <c r="BI414" s="398"/>
      <c r="BJ414" s="396"/>
      <c r="BK414" s="398"/>
      <c r="BL414" s="396"/>
      <c r="BM414" s="398"/>
      <c r="BN414" s="396"/>
      <c r="BO414" s="398"/>
      <c r="BP414" s="396"/>
      <c r="BQ414" s="398"/>
      <c r="BR414" s="396"/>
      <c r="BS414" s="398"/>
      <c r="BT414" s="396"/>
      <c r="BU414" s="398"/>
      <c r="BV414" s="396"/>
      <c r="BW414" s="398"/>
      <c r="BX414" s="396"/>
      <c r="BY414" s="398"/>
      <c r="BZ414" s="396"/>
      <c r="CA414" s="398"/>
      <c r="CB414" s="396"/>
      <c r="CC414" s="398"/>
      <c r="CD414" s="396"/>
      <c r="CE414" s="398"/>
      <c r="CF414" s="396"/>
      <c r="CG414" s="398"/>
      <c r="CH414" s="396"/>
      <c r="CI414" s="398"/>
      <c r="CJ414" s="396"/>
      <c r="CK414" s="398"/>
      <c r="CL414" s="396"/>
      <c r="CM414" s="424"/>
    </row>
    <row r="415" spans="1:91" ht="12" hidden="1" customHeight="1" outlineLevel="1" x14ac:dyDescent="0.2">
      <c r="A415" s="394" t="s">
        <v>412</v>
      </c>
      <c r="B415" s="398"/>
      <c r="C415" s="396"/>
      <c r="D415" s="398"/>
      <c r="E415" s="396"/>
      <c r="F415" s="398"/>
      <c r="G415" s="396"/>
      <c r="H415" s="398"/>
      <c r="I415" s="396"/>
      <c r="J415" s="398"/>
      <c r="K415" s="396"/>
      <c r="L415" s="398"/>
      <c r="M415" s="396"/>
      <c r="N415" s="398"/>
      <c r="O415" s="396"/>
      <c r="P415" s="398"/>
      <c r="Q415" s="396"/>
      <c r="R415" s="398"/>
      <c r="S415" s="396"/>
      <c r="T415" s="398"/>
      <c r="U415" s="396"/>
      <c r="V415" s="398"/>
      <c r="W415" s="396"/>
      <c r="X415" s="398"/>
      <c r="Y415" s="396"/>
      <c r="Z415" s="398"/>
      <c r="AA415" s="396"/>
      <c r="AB415" s="398"/>
      <c r="AC415" s="396"/>
      <c r="AD415" s="398"/>
      <c r="AE415" s="396"/>
      <c r="AF415" s="398"/>
      <c r="AG415" s="396"/>
      <c r="AH415" s="398"/>
      <c r="AI415" s="396"/>
      <c r="AJ415" s="398"/>
      <c r="AK415" s="396"/>
      <c r="AL415" s="398"/>
      <c r="AM415" s="396"/>
      <c r="AN415" s="398"/>
      <c r="AO415" s="396"/>
      <c r="AP415" s="398"/>
      <c r="AQ415" s="396"/>
      <c r="AR415" s="398"/>
      <c r="AS415" s="396"/>
      <c r="AT415" s="398"/>
      <c r="AU415" s="396"/>
      <c r="AV415" s="398"/>
      <c r="AW415" s="396"/>
      <c r="AX415" s="398"/>
      <c r="AY415" s="398"/>
      <c r="AZ415" s="396"/>
      <c r="BA415" s="398"/>
      <c r="BB415" s="396"/>
      <c r="BC415" s="398"/>
      <c r="BD415" s="396"/>
      <c r="BE415" s="398"/>
      <c r="BF415" s="396"/>
      <c r="BG415" s="398"/>
      <c r="BH415" s="396"/>
      <c r="BI415" s="398"/>
      <c r="BJ415" s="396"/>
      <c r="BK415" s="398"/>
      <c r="BL415" s="396"/>
      <c r="BM415" s="398"/>
      <c r="BN415" s="396"/>
      <c r="BO415" s="398"/>
      <c r="BP415" s="396"/>
      <c r="BQ415" s="398"/>
      <c r="BR415" s="396"/>
      <c r="BS415" s="398"/>
      <c r="BT415" s="396"/>
      <c r="BU415" s="398"/>
      <c r="BV415" s="396"/>
      <c r="BW415" s="398"/>
      <c r="BX415" s="396"/>
      <c r="BY415" s="398"/>
      <c r="BZ415" s="396"/>
      <c r="CA415" s="398"/>
      <c r="CB415" s="396"/>
      <c r="CC415" s="398"/>
      <c r="CD415" s="396"/>
      <c r="CE415" s="398"/>
      <c r="CF415" s="396"/>
      <c r="CG415" s="398"/>
      <c r="CH415" s="396"/>
      <c r="CI415" s="398"/>
      <c r="CJ415" s="396"/>
      <c r="CK415" s="398"/>
      <c r="CL415" s="396"/>
      <c r="CM415" s="424"/>
    </row>
    <row r="416" spans="1:91" ht="12" hidden="1" customHeight="1" outlineLevel="1" x14ac:dyDescent="0.2">
      <c r="A416" s="400" t="s">
        <v>372</v>
      </c>
      <c r="B416" s="423">
        <f>+INPUT!C653</f>
        <v>8.0050188205771597</v>
      </c>
      <c r="C416" s="424" t="str">
        <f>+INPUT!D653</f>
        <v>NA</v>
      </c>
      <c r="D416" s="429">
        <f>+INPUT!E653</f>
        <v>9.7506788447296966</v>
      </c>
      <c r="E416" s="382" t="str">
        <f>+INPUT!F653</f>
        <v>NA</v>
      </c>
      <c r="F416" s="429">
        <f>+INPUT!G653</f>
        <v>12.024691358024702</v>
      </c>
      <c r="G416" s="382" t="str">
        <f>+INPUT!H653</f>
        <v>NA</v>
      </c>
      <c r="H416" s="429">
        <f>+INPUT!I653</f>
        <v>10.04819277108432</v>
      </c>
      <c r="I416" s="382" t="str">
        <f>+INPUT!J653</f>
        <v>NA</v>
      </c>
      <c r="J416" s="429">
        <f>+INPUT!K653</f>
        <v>9.7242035187827121</v>
      </c>
      <c r="K416" s="382">
        <f>+INPUT!L653</f>
        <v>21.476335493257466</v>
      </c>
      <c r="L416" s="429">
        <f>+INPUT!M653</f>
        <v>10.616996507566943</v>
      </c>
      <c r="M416" s="382">
        <f>+INPUT!N653</f>
        <v>8.8846907649460434</v>
      </c>
      <c r="N416" s="429">
        <f>+INPUT!O653</f>
        <v>11.088295687885015</v>
      </c>
      <c r="O416" s="382">
        <f>+INPUT!P653</f>
        <v>-7.7872740535230491</v>
      </c>
      <c r="P416" s="429">
        <f>+INPUT!Q653</f>
        <v>10.052427627080004</v>
      </c>
      <c r="Q416" s="382">
        <f>+INPUT!R653</f>
        <v>4.2145449357519738E-2</v>
      </c>
      <c r="R416" s="429">
        <f>+INPUT!S653</f>
        <v>10.036457216384315</v>
      </c>
      <c r="S416" s="382">
        <f>+INPUT!T653</f>
        <v>3.2110979269250493</v>
      </c>
      <c r="T416" s="429">
        <f>+INPUT!U653</f>
        <v>11.060899505057034</v>
      </c>
      <c r="U416" s="382">
        <f>+INPUT!V653</f>
        <v>4.1810600311840744</v>
      </c>
      <c r="V416" s="429">
        <f>+INPUT!W653</f>
        <v>14.106988783433987</v>
      </c>
      <c r="W416" s="382">
        <f>+INPUT!X653</f>
        <v>27.224139583932399</v>
      </c>
      <c r="X416" s="429">
        <f>+INPUT!Y653</f>
        <v>11.995776135163677</v>
      </c>
      <c r="Y416" s="382">
        <f>+INPUT!Z653</f>
        <v>19.332131303771163</v>
      </c>
      <c r="Z416" s="429">
        <f>+INPUT!AA653</f>
        <v>7.9933733692275775</v>
      </c>
      <c r="AA416" s="382">
        <f>+INPUT!AB653</f>
        <v>-20.356623887375761</v>
      </c>
      <c r="AB416" s="429">
        <f>+INPUT!AC653</f>
        <v>13.348052990766782</v>
      </c>
      <c r="AC416" s="382">
        <f>+INPUT!AD653</f>
        <v>20.677825385395309</v>
      </c>
      <c r="AD416" s="429">
        <f>+INPUT!AE653</f>
        <v>14.464670189861046</v>
      </c>
      <c r="AE416" s="382">
        <f>+INPUT!AF653</f>
        <v>2.5354908259875373</v>
      </c>
      <c r="AF416" s="429">
        <f>+INPUT!AG653</f>
        <v>13.842895648825564</v>
      </c>
      <c r="AG416" s="382">
        <f>+INPUT!AH653</f>
        <v>15.398082565473658</v>
      </c>
      <c r="AH416" s="429">
        <f>+INPUT!AI653</f>
        <v>8.6092715231788084</v>
      </c>
      <c r="AI416" s="382">
        <f>+INPUT!AJ653</f>
        <v>7.705109288680049</v>
      </c>
      <c r="AJ416" s="429">
        <f>+INPUT!AK653</f>
        <v>11.83696259073143</v>
      </c>
      <c r="AK416" s="382">
        <f>+INPUT!AL653</f>
        <v>-11.320680260114457</v>
      </c>
      <c r="AL416" s="429">
        <f>+INPUT!AM653</f>
        <v>15.233593892019634</v>
      </c>
      <c r="AM416" s="382">
        <f>+INPUT!AN653</f>
        <v>5.3158744172235686</v>
      </c>
      <c r="AN416" s="429">
        <f>+INPUT!AO653</f>
        <v>11.261018168735367</v>
      </c>
      <c r="AO416" s="382">
        <f>+INPUT!AP653</f>
        <v>-18.651281824184267</v>
      </c>
      <c r="AP416" s="429">
        <f>+INPUT!AQ653</f>
        <v>10.012790304837919</v>
      </c>
      <c r="AQ416" s="382">
        <f>+INPUT!AR653</f>
        <v>16.302410463886588</v>
      </c>
      <c r="AR416" s="429">
        <f>+INPUT!AS653</f>
        <v>11.466930690830806</v>
      </c>
      <c r="AS416" s="382">
        <f>+INPUT!AT653</f>
        <v>-3.1260713807642446</v>
      </c>
      <c r="AT416" s="429">
        <f>+INPUT!AU653</f>
        <v>12.815837788667906</v>
      </c>
      <c r="AU416" s="382">
        <f>+INPUT!AV653</f>
        <v>-15.871212797777872</v>
      </c>
      <c r="AV416" s="429">
        <f>+INPUT!AW653</f>
        <v>13.494489215564148</v>
      </c>
      <c r="AW416" s="382">
        <f>+INPUT!AX653</f>
        <v>19.833651037254313</v>
      </c>
      <c r="AX416" s="403"/>
      <c r="AY416" s="402"/>
      <c r="AZ416" s="432"/>
      <c r="BA416" s="402"/>
      <c r="BB416" s="432"/>
      <c r="BC416" s="402"/>
      <c r="BD416" s="432"/>
      <c r="BE416" s="402"/>
      <c r="BF416" s="382"/>
      <c r="BG416" s="402"/>
      <c r="BH416" s="382"/>
      <c r="BI416" s="402"/>
      <c r="BJ416" s="382"/>
      <c r="BK416" s="429"/>
      <c r="BL416" s="382"/>
      <c r="BM416" s="429"/>
      <c r="BN416" s="382"/>
      <c r="BO416" s="429"/>
      <c r="BP416" s="382"/>
      <c r="BQ416" s="429"/>
      <c r="BR416" s="382"/>
      <c r="BS416" s="429">
        <f>+INPUT!BB653</f>
        <v>9.9655087459965355</v>
      </c>
      <c r="BT416" s="382" t="str">
        <f>+INPUT!BC653</f>
        <v>NA</v>
      </c>
      <c r="BU416" s="429">
        <f>+INPUT!BD653</f>
        <v>10.375774419547207</v>
      </c>
      <c r="BV416" s="382">
        <f>+INPUT!BE653</f>
        <v>4.1168562891030263</v>
      </c>
      <c r="BW416" s="429">
        <f>+INPUT!BF653</f>
        <v>11.798083614367554</v>
      </c>
      <c r="BX416" s="382">
        <f>+INPUT!BG653</f>
        <v>13.707981084677584</v>
      </c>
      <c r="BY416" s="429">
        <f>+INPUT!BH653</f>
        <v>12.473898776971268</v>
      </c>
      <c r="BZ416" s="382">
        <f>+INPUT!BI653</f>
        <v>5.7281774285843738</v>
      </c>
      <c r="CA416" s="429">
        <f>+INPUT!BJ653</f>
        <v>11.764435030849967</v>
      </c>
      <c r="CB416" s="382">
        <f>+INPUT!BK653</f>
        <v>-5.6875862054539112</v>
      </c>
      <c r="CC416" s="429">
        <f>+INPUT!BL653</f>
        <v>11.973979736361049</v>
      </c>
      <c r="CD416" s="382">
        <f>+INPUT!BM653</f>
        <v>1.7811710036358903</v>
      </c>
      <c r="CE416" s="429">
        <f>+INPUT!BN653</f>
        <v>11.794860342593299</v>
      </c>
      <c r="CF416" s="382">
        <f>+INPUT!BO653</f>
        <v>-1.4959052688541163</v>
      </c>
      <c r="CG416" s="429">
        <f>+INPUT!BP653</f>
        <v>11.430167103910406</v>
      </c>
      <c r="CH416" s="382">
        <f>+INPUT!BQ653</f>
        <v>-3.0919674170784504</v>
      </c>
      <c r="CI416" s="429">
        <f>+INPUT!BR653</f>
        <v>11.066165049394252</v>
      </c>
      <c r="CJ416" s="382">
        <f>+INPUT!BS653</f>
        <v>-3.1845733418160052</v>
      </c>
      <c r="CK416" s="429">
        <f>+INPUT!BT653</f>
        <v>10.702851966166433</v>
      </c>
      <c r="CL416" s="382">
        <f>+INPUT!BU653</f>
        <v>-3.2830983597854981</v>
      </c>
      <c r="CM416" s="424">
        <f>+INPUT!BV653</f>
        <v>-1.8736400874803771</v>
      </c>
    </row>
    <row r="417" spans="1:91" ht="12" hidden="1" customHeight="1" outlineLevel="1" x14ac:dyDescent="0.2">
      <c r="A417" s="400" t="s">
        <v>266</v>
      </c>
      <c r="B417" s="423">
        <f>+INPUT!C504</f>
        <v>8.6992091628033759</v>
      </c>
      <c r="C417" s="424" t="str">
        <f>+INPUT!D504</f>
        <v>NA</v>
      </c>
      <c r="D417" s="429">
        <f>+INPUT!E504</f>
        <v>10.609723341391351</v>
      </c>
      <c r="E417" s="382" t="str">
        <f>+INPUT!F504</f>
        <v>NA</v>
      </c>
      <c r="F417" s="429">
        <f>+INPUT!G504</f>
        <v>13.094917988706655</v>
      </c>
      <c r="G417" s="382" t="str">
        <f>+INPUT!H504</f>
        <v>NA</v>
      </c>
      <c r="H417" s="429">
        <f>+INPUT!I504</f>
        <v>10.921948664222088</v>
      </c>
      <c r="I417" s="382" t="str">
        <f>+INPUT!J504</f>
        <v>NA</v>
      </c>
      <c r="J417" s="429">
        <f>+INPUT!K504</f>
        <v>10.620618021293193</v>
      </c>
      <c r="K417" s="382">
        <f>+INPUT!L504</f>
        <v>22.087167034740347</v>
      </c>
      <c r="L417" s="429">
        <f>+INPUT!M504</f>
        <v>11.547227146112947</v>
      </c>
      <c r="M417" s="382">
        <f>+INPUT!N504</f>
        <v>8.8362700379202437</v>
      </c>
      <c r="N417" s="429">
        <f>+INPUT!O504</f>
        <v>11.997037768452239</v>
      </c>
      <c r="O417" s="382">
        <f>+INPUT!P504</f>
        <v>-8.3840175341399714</v>
      </c>
      <c r="P417" s="429">
        <f>+INPUT!Q504</f>
        <v>10.854048732463689</v>
      </c>
      <c r="Q417" s="382">
        <f>+INPUT!R504</f>
        <v>-0.62168330804213667</v>
      </c>
      <c r="R417" s="429">
        <f>+INPUT!S504</f>
        <v>9.6842551388006086</v>
      </c>
      <c r="S417" s="382">
        <f>+INPUT!T504</f>
        <v>-8.8164632285548663</v>
      </c>
      <c r="T417" s="429">
        <f>+INPUT!U504</f>
        <v>12.003736571695478</v>
      </c>
      <c r="U417" s="382">
        <f>+INPUT!V504</f>
        <v>3.9534116702311763</v>
      </c>
      <c r="V417" s="429">
        <f>+INPUT!W504</f>
        <v>12.394356109439903</v>
      </c>
      <c r="W417" s="382">
        <f>+INPUT!X504</f>
        <v>3.3118037023477882</v>
      </c>
      <c r="X417" s="429">
        <f>+INPUT!Y504</f>
        <v>12.932604735883427</v>
      </c>
      <c r="Y417" s="382">
        <f>+INPUT!Z504</f>
        <v>19.150052249193664</v>
      </c>
      <c r="Z417" s="429">
        <f>+INPUT!AA504</f>
        <v>8.5835001111852272</v>
      </c>
      <c r="AA417" s="382">
        <f>+INPUT!AB504</f>
        <v>-11.366439770934306</v>
      </c>
      <c r="AB417" s="429">
        <f>+INPUT!AC504</f>
        <v>14.325721671693259</v>
      </c>
      <c r="AC417" s="382">
        <f>+INPUT!AD504</f>
        <v>19.343852525662413</v>
      </c>
      <c r="AD417" s="429">
        <f>+INPUT!AE504</f>
        <v>11.93266567227788</v>
      </c>
      <c r="AE417" s="382">
        <f>+INPUT!AF504</f>
        <v>-3.7250054225115008</v>
      </c>
      <c r="AF417" s="429">
        <f>+INPUT!AG504</f>
        <v>13.963681903569187</v>
      </c>
      <c r="AG417" s="382">
        <f>+INPUT!AH504</f>
        <v>7.9726952825279085</v>
      </c>
      <c r="AH417" s="429">
        <f>+INPUT!AI504</f>
        <v>9.3314191960623472</v>
      </c>
      <c r="AI417" s="382">
        <f>+INPUT!AJ504</f>
        <v>8.7134511002393964</v>
      </c>
      <c r="AJ417" s="429">
        <f>+INPUT!AK504</f>
        <v>12.74038461538461</v>
      </c>
      <c r="AK417" s="382">
        <f>+INPUT!AL504</f>
        <v>-11.066367842683817</v>
      </c>
      <c r="AL417" s="429">
        <f>+INPUT!AM504</f>
        <v>13.587697099474402</v>
      </c>
      <c r="AM417" s="382">
        <f>+INPUT!AN504</f>
        <v>13.869754442559397</v>
      </c>
      <c r="AN417" s="429">
        <f>+INPUT!AO504</f>
        <v>12.024587014982695</v>
      </c>
      <c r="AO417" s="382">
        <f>+INPUT!AP504</f>
        <v>-13.886701959966956</v>
      </c>
      <c r="AP417" s="429">
        <f>+INPUT!AQ504</f>
        <v>10.821268253616042</v>
      </c>
      <c r="AQ417" s="382">
        <f>+INPUT!AR504</f>
        <v>15.965942867322667</v>
      </c>
      <c r="AR417" s="429">
        <f>+INPUT!AS504</f>
        <v>12.309394073552083</v>
      </c>
      <c r="AS417" s="382">
        <f>+INPUT!AT504</f>
        <v>-3.3828691585345467</v>
      </c>
      <c r="AT417" s="429">
        <f>+INPUT!AU504</f>
        <v>13.690000479304713</v>
      </c>
      <c r="AU417" s="382">
        <f>+INPUT!AV504</f>
        <v>0.75291183694599795</v>
      </c>
      <c r="AV417" s="429">
        <f>+INPUT!AW504</f>
        <v>14.37529557018139</v>
      </c>
      <c r="AW417" s="382">
        <f>+INPUT!AX504</f>
        <v>19.54918328812208</v>
      </c>
      <c r="AX417" s="403"/>
      <c r="AY417" s="402"/>
      <c r="AZ417" s="432"/>
      <c r="BA417" s="402"/>
      <c r="BB417" s="432"/>
      <c r="BC417" s="402"/>
      <c r="BD417" s="432"/>
      <c r="BE417" s="402"/>
      <c r="BF417" s="382"/>
      <c r="BG417" s="402"/>
      <c r="BH417" s="382"/>
      <c r="BI417" s="402"/>
      <c r="BJ417" s="382"/>
      <c r="BK417" s="429"/>
      <c r="BL417" s="382"/>
      <c r="BM417" s="429"/>
      <c r="BN417" s="382"/>
      <c r="BO417" s="429"/>
      <c r="BP417" s="382"/>
      <c r="BQ417" s="429"/>
      <c r="BR417" s="382"/>
      <c r="BS417" s="429">
        <f>+INPUT!BB504</f>
        <v>10.839418503383111</v>
      </c>
      <c r="BT417" s="382" t="str">
        <f>+INPUT!BC504</f>
        <v>NA</v>
      </c>
      <c r="BU417" s="429">
        <f>+INPUT!BD504</f>
        <v>11.260525323614418</v>
      </c>
      <c r="BV417" s="382">
        <f>+INPUT!BE504</f>
        <v>3.8849576672390214</v>
      </c>
      <c r="BW417" s="429">
        <f>+INPUT!BF504</f>
        <v>11.752901375434002</v>
      </c>
      <c r="BX417" s="382">
        <f>+INPUT!BG504</f>
        <v>4.3725850941165589</v>
      </c>
      <c r="BY417" s="429">
        <f>+INPUT!BH504</f>
        <v>12.242925414809648</v>
      </c>
      <c r="BZ417" s="382">
        <f>+INPUT!BI504</f>
        <v>4.1693878279273093</v>
      </c>
      <c r="CA417" s="429">
        <f>+INPUT!BJ504</f>
        <v>11.948938696749273</v>
      </c>
      <c r="CB417" s="382">
        <f>+INPUT!BK504</f>
        <v>-2.4012783554554176</v>
      </c>
      <c r="CC417" s="429">
        <f>+INPUT!BL504</f>
        <v>12.833423404104529</v>
      </c>
      <c r="CD417" s="382">
        <f>+INPUT!BM504</f>
        <v>7.4022030726116412</v>
      </c>
      <c r="CE417" s="429">
        <f>+INPUT!BN504</f>
        <v>12.625623487328458</v>
      </c>
      <c r="CF417" s="382">
        <f>+INPUT!BO504</f>
        <v>-1.6192087663032311</v>
      </c>
      <c r="CG417" s="429">
        <f>+INPUT!BP504</f>
        <v>12.220195169271335</v>
      </c>
      <c r="CH417" s="382">
        <f>+INPUT!BQ504</f>
        <v>-3.2111548270390387</v>
      </c>
      <c r="CI417" s="429">
        <f>+INPUT!BR504</f>
        <v>11.816737473981643</v>
      </c>
      <c r="CJ417" s="382">
        <f>+INPUT!BS504</f>
        <v>-3.3015650707790485</v>
      </c>
      <c r="CK417" s="429">
        <f>+INPUT!BT504</f>
        <v>11.415213567388955</v>
      </c>
      <c r="CL417" s="382">
        <f>+INPUT!BU504</f>
        <v>-3.3979252520145451</v>
      </c>
      <c r="CM417" s="424">
        <f>+INPUT!BV504</f>
        <v>-0.90974600602172773</v>
      </c>
    </row>
    <row r="418" spans="1:91" ht="12" hidden="1" customHeight="1" outlineLevel="1" x14ac:dyDescent="0.2">
      <c r="A418" s="400"/>
      <c r="B418" s="461"/>
      <c r="C418" s="458"/>
      <c r="D418" s="461"/>
      <c r="E418" s="458"/>
      <c r="F418" s="461"/>
      <c r="G418" s="458"/>
      <c r="H418" s="461"/>
      <c r="I418" s="458"/>
      <c r="J418" s="461"/>
      <c r="K418" s="458"/>
      <c r="L418" s="461"/>
      <c r="M418" s="458"/>
      <c r="N418" s="461"/>
      <c r="O418" s="458"/>
      <c r="P418" s="461"/>
      <c r="Q418" s="458"/>
      <c r="R418" s="461"/>
      <c r="S418" s="458"/>
      <c r="T418" s="461"/>
      <c r="U418" s="458"/>
      <c r="V418" s="461"/>
      <c r="W418" s="458"/>
      <c r="X418" s="461"/>
      <c r="Y418" s="458"/>
      <c r="Z418" s="461"/>
      <c r="AA418" s="458"/>
      <c r="AB418" s="461"/>
      <c r="AC418" s="458"/>
      <c r="AD418" s="461"/>
      <c r="AE418" s="458"/>
      <c r="AF418" s="461"/>
      <c r="AG418" s="458"/>
      <c r="AH418" s="461"/>
      <c r="AI418" s="458"/>
      <c r="AJ418" s="461"/>
      <c r="AK418" s="458"/>
      <c r="AL418" s="461"/>
      <c r="AM418" s="458"/>
      <c r="AN418" s="461"/>
      <c r="AO418" s="458"/>
      <c r="AP418" s="461"/>
      <c r="AQ418" s="458"/>
      <c r="AR418" s="461"/>
      <c r="AS418" s="458"/>
      <c r="AT418" s="461"/>
      <c r="AU418" s="458"/>
      <c r="AV418" s="461"/>
      <c r="AW418" s="458"/>
      <c r="AX418" s="398"/>
      <c r="AY418" s="461"/>
      <c r="AZ418" s="458"/>
      <c r="BA418" s="461"/>
      <c r="BB418" s="458"/>
      <c r="BC418" s="461"/>
      <c r="BD418" s="458"/>
      <c r="BE418" s="461"/>
      <c r="BF418" s="458"/>
      <c r="BG418" s="461"/>
      <c r="BH418" s="458"/>
      <c r="BI418" s="461"/>
      <c r="BJ418" s="458"/>
      <c r="BK418" s="461"/>
      <c r="BL418" s="458"/>
      <c r="BM418" s="461"/>
      <c r="BN418" s="458"/>
      <c r="BO418" s="461"/>
      <c r="BP418" s="458"/>
      <c r="BQ418" s="461"/>
      <c r="BR418" s="458"/>
      <c r="BS418" s="461"/>
      <c r="BT418" s="458"/>
      <c r="BU418" s="461"/>
      <c r="BV418" s="458"/>
      <c r="BW418" s="461"/>
      <c r="BX418" s="458"/>
      <c r="BY418" s="461"/>
      <c r="BZ418" s="458"/>
      <c r="CA418" s="461"/>
      <c r="CB418" s="458"/>
      <c r="CC418" s="461"/>
      <c r="CD418" s="458"/>
      <c r="CE418" s="461"/>
      <c r="CF418" s="458"/>
      <c r="CG418" s="461"/>
      <c r="CH418" s="458"/>
      <c r="CI418" s="461"/>
      <c r="CJ418" s="458"/>
      <c r="CK418" s="461"/>
      <c r="CL418" s="458"/>
      <c r="CM418" s="424"/>
    </row>
    <row r="419" spans="1:91" ht="12" hidden="1" customHeight="1" outlineLevel="1" x14ac:dyDescent="0.2">
      <c r="A419" s="394" t="s">
        <v>219</v>
      </c>
      <c r="B419" s="461"/>
      <c r="C419" s="396"/>
      <c r="D419" s="461"/>
      <c r="E419" s="396"/>
      <c r="F419" s="461"/>
      <c r="G419" s="396"/>
      <c r="H419" s="461"/>
      <c r="I419" s="396"/>
      <c r="J419" s="461"/>
      <c r="K419" s="396"/>
      <c r="L419" s="461"/>
      <c r="M419" s="396"/>
      <c r="N419" s="461"/>
      <c r="O419" s="396"/>
      <c r="P419" s="461"/>
      <c r="Q419" s="396"/>
      <c r="R419" s="461"/>
      <c r="S419" s="396"/>
      <c r="T419" s="461"/>
      <c r="U419" s="396"/>
      <c r="V419" s="461"/>
      <c r="W419" s="396"/>
      <c r="X419" s="461"/>
      <c r="Y419" s="396"/>
      <c r="Z419" s="461"/>
      <c r="AA419" s="396"/>
      <c r="AB419" s="461"/>
      <c r="AC419" s="396"/>
      <c r="AD419" s="461"/>
      <c r="AE419" s="396"/>
      <c r="AF419" s="461"/>
      <c r="AG419" s="396"/>
      <c r="AH419" s="461"/>
      <c r="AI419" s="396"/>
      <c r="AJ419" s="461"/>
      <c r="AK419" s="396"/>
      <c r="AL419" s="461"/>
      <c r="AM419" s="396"/>
      <c r="AN419" s="461"/>
      <c r="AO419" s="396"/>
      <c r="AP419" s="461"/>
      <c r="AQ419" s="396"/>
      <c r="AR419" s="461"/>
      <c r="AS419" s="396"/>
      <c r="AT419" s="461"/>
      <c r="AU419" s="396"/>
      <c r="AV419" s="461"/>
      <c r="AW419" s="396"/>
      <c r="AX419" s="398"/>
      <c r="AY419" s="461"/>
      <c r="AZ419" s="396"/>
      <c r="BA419" s="461"/>
      <c r="BB419" s="396"/>
      <c r="BC419" s="461"/>
      <c r="BD419" s="396"/>
      <c r="BE419" s="461"/>
      <c r="BF419" s="396"/>
      <c r="BG419" s="461"/>
      <c r="BH419" s="396"/>
      <c r="BI419" s="461"/>
      <c r="BJ419" s="396"/>
      <c r="BK419" s="461"/>
      <c r="BL419" s="396"/>
      <c r="BM419" s="461"/>
      <c r="BN419" s="396"/>
      <c r="BO419" s="461"/>
      <c r="BP419" s="396"/>
      <c r="BQ419" s="461"/>
      <c r="BR419" s="396"/>
      <c r="BS419" s="461"/>
      <c r="BT419" s="396"/>
      <c r="BU419" s="461"/>
      <c r="BV419" s="396"/>
      <c r="BW419" s="461"/>
      <c r="BX419" s="396"/>
      <c r="BY419" s="461"/>
      <c r="BZ419" s="396"/>
      <c r="CA419" s="461"/>
      <c r="CB419" s="396"/>
      <c r="CC419" s="461"/>
      <c r="CD419" s="396"/>
      <c r="CE419" s="461"/>
      <c r="CF419" s="396"/>
      <c r="CG419" s="461"/>
      <c r="CH419" s="396"/>
      <c r="CI419" s="461"/>
      <c r="CJ419" s="396"/>
      <c r="CK419" s="461"/>
      <c r="CL419" s="396"/>
      <c r="CM419" s="424"/>
    </row>
    <row r="420" spans="1:91" ht="12" hidden="1" customHeight="1" outlineLevel="1" x14ac:dyDescent="0.2">
      <c r="A420" s="400" t="s">
        <v>272</v>
      </c>
      <c r="B420" s="423">
        <f>INPUT!C488</f>
        <v>66.430324515953103</v>
      </c>
      <c r="C420" s="424" t="str">
        <f>INPUT!D488</f>
        <v>NA</v>
      </c>
      <c r="D420" s="429">
        <f>INPUT!E488</f>
        <v>65.753424657534239</v>
      </c>
      <c r="E420" s="382" t="str">
        <f>INPUT!F488</f>
        <v>NA</v>
      </c>
      <c r="F420" s="429">
        <f>INPUT!G488</f>
        <v>65.017477816617372</v>
      </c>
      <c r="G420" s="382" t="str">
        <f>INPUT!H488</f>
        <v>NA</v>
      </c>
      <c r="H420" s="429">
        <f>INPUT!I488</f>
        <v>64.772132006286014</v>
      </c>
      <c r="I420" s="382" t="str">
        <f>INPUT!J488</f>
        <v>NA</v>
      </c>
      <c r="J420" s="429">
        <f>INPUT!K488</f>
        <v>67.17735653077122</v>
      </c>
      <c r="K420" s="382">
        <f>INPUT!L488</f>
        <v>1.1245346462799688</v>
      </c>
      <c r="L420" s="429">
        <f>INPUT!M488</f>
        <v>65.636870093694611</v>
      </c>
      <c r="M420" s="382">
        <f>INPUT!N488</f>
        <v>-0.17726006583943388</v>
      </c>
      <c r="N420" s="429">
        <f>INPUT!O488</f>
        <v>64.107627746235494</v>
      </c>
      <c r="O420" s="382">
        <f>INPUT!P488</f>
        <v>-1.3993930569686626</v>
      </c>
      <c r="P420" s="429">
        <f>INPUT!Q488</f>
        <v>64.312084666502585</v>
      </c>
      <c r="Q420" s="382">
        <f>INPUT!R488</f>
        <v>-0.71025505187752458</v>
      </c>
      <c r="R420" s="429">
        <f>INPUT!S488</f>
        <v>62.764003673094571</v>
      </c>
      <c r="S420" s="382">
        <f>INPUT!T488</f>
        <v>-6.569703074956621</v>
      </c>
      <c r="T420" s="429">
        <f>INPUT!U488</f>
        <v>64.759458197104152</v>
      </c>
      <c r="U420" s="382">
        <f>INPUT!V488</f>
        <v>-1.3367668131310637</v>
      </c>
      <c r="V420" s="429">
        <f>INPUT!W488</f>
        <v>59.962756052141529</v>
      </c>
      <c r="W420" s="382">
        <f>INPUT!X488</f>
        <v>-6.46548911543114</v>
      </c>
      <c r="X420" s="429">
        <f>INPUT!Y488</f>
        <v>61.498178506375233</v>
      </c>
      <c r="Y420" s="382">
        <f>INPUT!Z488</f>
        <v>-4.3753925482577216</v>
      </c>
      <c r="Z420" s="429">
        <f>INPUT!AA488</f>
        <v>66.08850344674228</v>
      </c>
      <c r="AA420" s="382">
        <f>INPUT!AB488</f>
        <v>5.2968255354826113</v>
      </c>
      <c r="AB420" s="429">
        <f>INPUT!AC488</f>
        <v>61.223610512710025</v>
      </c>
      <c r="AC420" s="382">
        <f>INPUT!AD488</f>
        <v>-5.4599710726922694</v>
      </c>
      <c r="AD420" s="429">
        <f>INPUT!AE488</f>
        <v>64.564244619646288</v>
      </c>
      <c r="AE420" s="382">
        <f>INPUT!AF488</f>
        <v>7.6739110582299901</v>
      </c>
      <c r="AF420" s="429">
        <f>INPUT!AG488</f>
        <v>61.13546232519306</v>
      </c>
      <c r="AG420" s="382">
        <f>INPUT!AH488</f>
        <v>-0.58979987699078151</v>
      </c>
      <c r="AH420" s="429">
        <f>INPUT!AI488</f>
        <v>65.976210008203452</v>
      </c>
      <c r="AI420" s="382">
        <f>INPUT!AJ488</f>
        <v>-0.16991372581060205</v>
      </c>
      <c r="AJ420" s="429">
        <f>INPUT!AK488</f>
        <v>63.361378205128204</v>
      </c>
      <c r="AK420" s="382">
        <f>INPUT!AL488</f>
        <v>3.4917373779750847</v>
      </c>
      <c r="AL420" s="429">
        <f>INPUT!AM488</f>
        <v>60.365972357407053</v>
      </c>
      <c r="AM420" s="382">
        <f>INPUT!AN488</f>
        <v>-6.5024725170589903</v>
      </c>
      <c r="AN420" s="429">
        <f>INPUT!AO488</f>
        <v>61.525163273146369</v>
      </c>
      <c r="AO420" s="382">
        <f>INPUT!AP488</f>
        <v>0.63743845737258198</v>
      </c>
      <c r="AP420" s="429">
        <f>INPUT!AQ488</f>
        <v>64</v>
      </c>
      <c r="AQ420" s="382">
        <f>INPUT!AR488</f>
        <v>-2.995337270749161</v>
      </c>
      <c r="AR420" s="429">
        <f>INPUT!AS488</f>
        <v>63.361378205128204</v>
      </c>
      <c r="AS420" s="382">
        <f>INPUT!AT488</f>
        <v>0</v>
      </c>
      <c r="AT420" s="429">
        <f>INPUT!AU488</f>
        <v>62</v>
      </c>
      <c r="AU420" s="382">
        <f>INPUT!AV488</f>
        <v>2.7068687520154668</v>
      </c>
      <c r="AV420" s="429">
        <f>INPUT!AW488</f>
        <v>61</v>
      </c>
      <c r="AW420" s="382">
        <f>INPUT!AX488</f>
        <v>-0.85357477364969725</v>
      </c>
      <c r="AX420" s="403"/>
      <c r="AY420" s="402"/>
      <c r="AZ420" s="432"/>
      <c r="BA420" s="402"/>
      <c r="BB420" s="432"/>
      <c r="BC420" s="402"/>
      <c r="BD420" s="432"/>
      <c r="BE420" s="402"/>
      <c r="BF420" s="382"/>
      <c r="BG420" s="402"/>
      <c r="BH420" s="382"/>
      <c r="BI420" s="402"/>
      <c r="BJ420" s="382"/>
      <c r="BK420" s="429"/>
      <c r="BL420" s="382"/>
      <c r="BM420" s="429"/>
      <c r="BN420" s="382"/>
      <c r="BO420" s="429"/>
      <c r="BP420" s="382"/>
      <c r="BQ420" s="429"/>
      <c r="BR420" s="382"/>
      <c r="BS420" s="429">
        <f>INPUT!BB488</f>
        <v>65.485362095531585</v>
      </c>
      <c r="BT420" s="382" t="str">
        <f>INPUT!BC488</f>
        <v>NA</v>
      </c>
      <c r="BU420" s="429">
        <f>INPUT!BD488</f>
        <v>65.282141510619567</v>
      </c>
      <c r="BV420" s="382">
        <f>INPUT!BE488</f>
        <v>-0.31032978731269623</v>
      </c>
      <c r="BW420" s="429">
        <f>INPUT!BF488</f>
        <v>62.241717649774905</v>
      </c>
      <c r="BX420" s="382">
        <f>INPUT!BG488</f>
        <v>-4.6573592570489808</v>
      </c>
      <c r="BY420" s="429">
        <f>INPUT!BH488</f>
        <v>63.217526714278037</v>
      </c>
      <c r="BZ420" s="382">
        <f>INPUT!BI488</f>
        <v>1.5677733541896544</v>
      </c>
      <c r="CA420" s="429">
        <f>INPUT!BJ488</f>
        <v>62.757904111622388</v>
      </c>
      <c r="CB420" s="382">
        <f>INPUT!BK488</f>
        <v>-0.72704932721109117</v>
      </c>
      <c r="CC420" s="429">
        <f>INPUT!BL488</f>
        <v>62.561179555687495</v>
      </c>
      <c r="CD420" s="382">
        <f>INPUT!BM488</f>
        <v>-0.3134657836644692</v>
      </c>
      <c r="CE420" s="429">
        <f>INPUT!BN488</f>
        <v>62.761179555687498</v>
      </c>
      <c r="CF420" s="382">
        <f>INPUT!BO488</f>
        <v>0.31968706699652216</v>
      </c>
      <c r="CG420" s="429">
        <f>INPUT!BP488</f>
        <v>62.961179555687501</v>
      </c>
      <c r="CH420" s="382">
        <f>INPUT!BQ488</f>
        <v>0.31866832557305713</v>
      </c>
      <c r="CI420" s="429">
        <f>INPUT!BR488</f>
        <v>63.161179555687504</v>
      </c>
      <c r="CJ420" s="382">
        <f>INPUT!BS488</f>
        <v>0.31765605633724192</v>
      </c>
      <c r="CK420" s="429">
        <f>INPUT!BT488</f>
        <v>63.361179555687507</v>
      </c>
      <c r="CL420" s="382">
        <f>INPUT!BU488</f>
        <v>0.31665019780649573</v>
      </c>
      <c r="CM420" s="424">
        <f>INPUT!BV488</f>
        <v>0.19151980615650377</v>
      </c>
    </row>
    <row r="421" spans="1:91" ht="12" hidden="1" customHeight="1" outlineLevel="1" x14ac:dyDescent="0.2">
      <c r="A421" s="400" t="s">
        <v>386</v>
      </c>
      <c r="B421" s="423">
        <f>INPUT!C490</f>
        <v>9.1342534504391466</v>
      </c>
      <c r="C421" s="424" t="str">
        <f>INPUT!D490</f>
        <v>NA</v>
      </c>
      <c r="D421" s="429">
        <f>INPUT!E490</f>
        <v>8.8373241175018507</v>
      </c>
      <c r="E421" s="382" t="str">
        <f>INPUT!F490</f>
        <v>NA</v>
      </c>
      <c r="F421" s="429">
        <f>INPUT!G490</f>
        <v>8.7407407407407405</v>
      </c>
      <c r="G421" s="382" t="str">
        <f>INPUT!H490</f>
        <v>NA</v>
      </c>
      <c r="H421" s="429">
        <f>INPUT!I490</f>
        <v>9.2289156626506017</v>
      </c>
      <c r="I421" s="382" t="str">
        <f>INPUT!J490</f>
        <v>NA</v>
      </c>
      <c r="J421" s="429">
        <f>INPUT!K490</f>
        <v>8.7731811697574873</v>
      </c>
      <c r="K421" s="382">
        <f>INPUT!L490</f>
        <v>-3.9529479080121206</v>
      </c>
      <c r="L421" s="429">
        <f>INPUT!M490</f>
        <v>8.7776484284051222</v>
      </c>
      <c r="M421" s="382">
        <f>INPUT!N490</f>
        <v>-0.67526876125934621</v>
      </c>
      <c r="N421" s="429">
        <f>INPUT!O490</f>
        <v>9.2858772530230436</v>
      </c>
      <c r="O421" s="382">
        <f>INPUT!P490</f>
        <v>6.2367312845856588</v>
      </c>
      <c r="P421" s="429">
        <f>INPUT!Q490</f>
        <v>9.0950535673581054</v>
      </c>
      <c r="Q421" s="382">
        <f>INPUT!R490</f>
        <v>-1.4504639568247057</v>
      </c>
      <c r="R421" s="429">
        <f>INPUT!S490</f>
        <v>11.987990564014583</v>
      </c>
      <c r="S421" s="382">
        <f>INPUT!T490</f>
        <v>36.643599762182504</v>
      </c>
      <c r="T421" s="429">
        <f>INPUT!U490</f>
        <v>9.1241661286851716</v>
      </c>
      <c r="U421" s="382">
        <f>INPUT!V490</f>
        <v>3.9477281769305392</v>
      </c>
      <c r="V421" s="429">
        <f>INPUT!W490</f>
        <v>10.030198446937014</v>
      </c>
      <c r="W421" s="382">
        <f>INPUT!X490</f>
        <v>8.0156260268425825</v>
      </c>
      <c r="X421" s="429">
        <f>INPUT!Y490</f>
        <v>9.6726504751847937</v>
      </c>
      <c r="Y421" s="382">
        <f>INPUT!Z490</f>
        <v>6.3506707634979591</v>
      </c>
      <c r="Z421" s="429">
        <f>INPUT!AA490</f>
        <v>9.2565748602195068</v>
      </c>
      <c r="AA421" s="382">
        <f>INPUT!AB490</f>
        <v>-22.784600047936394</v>
      </c>
      <c r="AB421" s="429">
        <f>INPUT!AC490</f>
        <v>9.5142513046969075</v>
      </c>
      <c r="AC421" s="382">
        <f>INPUT!AD490</f>
        <v>4.2752967286003241</v>
      </c>
      <c r="AD421" s="429">
        <f>INPUT!AE490</f>
        <v>9.1798786455274985</v>
      </c>
      <c r="AE421" s="382">
        <f>INPUT!AF490</f>
        <v>-8.4775969878161561</v>
      </c>
      <c r="AF421" s="429">
        <f>INPUT!AG490</f>
        <v>9.2799383904505213</v>
      </c>
      <c r="AG421" s="382">
        <f>INPUT!AH490</f>
        <v>-4.0600255921763733</v>
      </c>
      <c r="AH421" s="429">
        <f>INPUT!AI490</f>
        <v>9.5931882686849566</v>
      </c>
      <c r="AI421" s="382">
        <f>INPUT!AJ490</f>
        <v>3.636479081609977</v>
      </c>
      <c r="AJ421" s="429">
        <f>INPUT!AK490</f>
        <v>9.7710776102735917</v>
      </c>
      <c r="AK421" s="382">
        <f>INPUT!AL490</f>
        <v>2.6993853467996587</v>
      </c>
      <c r="AL421" s="429">
        <f>INPUT!AM490</f>
        <v>9.6164333757498621</v>
      </c>
      <c r="AM421" s="382">
        <f>INPUT!AN490</f>
        <v>4.7555610164308177</v>
      </c>
      <c r="AN421" s="429">
        <f>INPUT!AO490</f>
        <v>9.6420219463932373</v>
      </c>
      <c r="AO421" s="382">
        <f>INPUT!AP490</f>
        <v>3.9017883600964041</v>
      </c>
      <c r="AP421" s="429">
        <f>INPUT!AQ490</f>
        <v>9.6420219463932373</v>
      </c>
      <c r="AQ421" s="382">
        <f>INPUT!AR490</f>
        <v>0.50904533863563017</v>
      </c>
      <c r="AR421" s="429">
        <f>INPUT!AS490</f>
        <v>9.6420219463932373</v>
      </c>
      <c r="AS421" s="382">
        <f>INPUT!AT490</f>
        <v>-1.320792537198372</v>
      </c>
      <c r="AT421" s="429">
        <f>INPUT!AU490</f>
        <v>9.6420219463932373</v>
      </c>
      <c r="AU421" s="382">
        <f>INPUT!AV490</f>
        <v>0.26609211173762048</v>
      </c>
      <c r="AV421" s="429">
        <f>INPUT!AW490</f>
        <v>9.6420219463932373</v>
      </c>
      <c r="AW421" s="382">
        <f>INPUT!AX490</f>
        <v>0</v>
      </c>
      <c r="AX421" s="403"/>
      <c r="AY421" s="402"/>
      <c r="AZ421" s="432"/>
      <c r="BA421" s="402"/>
      <c r="BB421" s="432"/>
      <c r="BC421" s="402"/>
      <c r="BD421" s="432"/>
      <c r="BE421" s="402"/>
      <c r="BF421" s="382"/>
      <c r="BG421" s="402"/>
      <c r="BH421" s="382"/>
      <c r="BI421" s="402"/>
      <c r="BJ421" s="382"/>
      <c r="BK421" s="429"/>
      <c r="BL421" s="382"/>
      <c r="BM421" s="429"/>
      <c r="BN421" s="382"/>
      <c r="BO421" s="429"/>
      <c r="BP421" s="382"/>
      <c r="BQ421" s="429"/>
      <c r="BR421" s="382"/>
      <c r="BS421" s="429">
        <f>INPUT!BB490</f>
        <v>9.7742346084276797</v>
      </c>
      <c r="BT421" s="382" t="str">
        <f>INPUT!BC490</f>
        <v>NA</v>
      </c>
      <c r="BU421" s="429">
        <f>INPUT!BD490</f>
        <v>9.7524192534874956</v>
      </c>
      <c r="BV421" s="382">
        <f>INPUT!BE490</f>
        <v>-0.22319246277733384</v>
      </c>
      <c r="BW421" s="429">
        <f>INPUT!BF490</f>
        <v>11.000808034168303</v>
      </c>
      <c r="BX421" s="382">
        <f>INPUT!BG490</f>
        <v>12.80081124726442</v>
      </c>
      <c r="BY421" s="429">
        <f>INPUT!BH490</f>
        <v>10.052086130054233</v>
      </c>
      <c r="BZ421" s="382">
        <f>INPUT!BI490</f>
        <v>-8.6241110759078623</v>
      </c>
      <c r="CA421" s="429">
        <f>INPUT!BJ490</f>
        <v>10.375538073326407</v>
      </c>
      <c r="CB421" s="382">
        <f>INPUT!BK490</f>
        <v>3.2177593694218416</v>
      </c>
      <c r="CC421" s="429">
        <f>INPUT!BL490</f>
        <v>10.334087148483661</v>
      </c>
      <c r="CD421" s="382">
        <f>INPUT!BM490</f>
        <v>-0.39950626704660408</v>
      </c>
      <c r="CE421" s="429">
        <f>INPUT!BN490</f>
        <v>10.334087148483661</v>
      </c>
      <c r="CF421" s="382">
        <f>INPUT!BO490</f>
        <v>0</v>
      </c>
      <c r="CG421" s="429">
        <f>INPUT!BP490</f>
        <v>10.434087148483661</v>
      </c>
      <c r="CH421" s="382">
        <f>INPUT!BQ490</f>
        <v>0.96767134400133159</v>
      </c>
      <c r="CI421" s="429">
        <f>INPUT!BR490</f>
        <v>10.53408714848366</v>
      </c>
      <c r="CJ421" s="382">
        <f>INPUT!BS490</f>
        <v>0.95839720884957558</v>
      </c>
      <c r="CK421" s="429">
        <f>INPUT!BT490</f>
        <v>10.63408714848366</v>
      </c>
      <c r="CL421" s="382">
        <f>INPUT!BU490</f>
        <v>0.94929915227058359</v>
      </c>
      <c r="CM421" s="424">
        <f>INPUT!BV490</f>
        <v>0.49348731858878114</v>
      </c>
    </row>
    <row r="422" spans="1:91" ht="12" hidden="1" customHeight="1" outlineLevel="1" x14ac:dyDescent="0.2">
      <c r="A422" s="400" t="s">
        <v>387</v>
      </c>
      <c r="B422" s="423">
        <f>INPUT!C491</f>
        <v>-1.8067754077791716</v>
      </c>
      <c r="C422" s="424" t="str">
        <f>INPUT!D491</f>
        <v>NA</v>
      </c>
      <c r="D422" s="429">
        <f>INPUT!E491</f>
        <v>-1.8020241915576403</v>
      </c>
      <c r="E422" s="382" t="str">
        <f>INPUT!F491</f>
        <v>NA</v>
      </c>
      <c r="F422" s="429">
        <f>INPUT!G491</f>
        <v>-1.8518518518518516</v>
      </c>
      <c r="G422" s="382" t="str">
        <f>INPUT!H491</f>
        <v>NA</v>
      </c>
      <c r="H422" s="429">
        <f>INPUT!I491</f>
        <v>-1.9036144578313252</v>
      </c>
      <c r="I422" s="382" t="str">
        <f>INPUT!J491</f>
        <v>NA</v>
      </c>
      <c r="J422" s="429">
        <f>INPUT!K491</f>
        <v>-1.5454113171659536</v>
      </c>
      <c r="K422" s="382">
        <f>INPUT!L491</f>
        <v>-14.465776404078795</v>
      </c>
      <c r="L422" s="429">
        <f>INPUT!M491</f>
        <v>-1.3969732246798603</v>
      </c>
      <c r="M422" s="382">
        <f>INPUT!N491</f>
        <v>-22.477554340025847</v>
      </c>
      <c r="N422" s="429">
        <f>INPUT!O491</f>
        <v>-1.8936801277663702</v>
      </c>
      <c r="O422" s="382">
        <f>INPUT!P491</f>
        <v>2.2587268993840013</v>
      </c>
      <c r="P422" s="429">
        <f>INPUT!Q491</f>
        <v>-1.5500341919307048</v>
      </c>
      <c r="Q422" s="382">
        <f>INPUT!R491</f>
        <v>-18.574153208703478</v>
      </c>
      <c r="R422" s="429">
        <f>INPUT!S491</f>
        <v>-2.2732146686682393</v>
      </c>
      <c r="S422" s="382">
        <f>INPUT!T491</f>
        <v>47.094475329517138</v>
      </c>
      <c r="T422" s="429">
        <f>INPUT!U491</f>
        <v>-1.398751882935227</v>
      </c>
      <c r="U422" s="382">
        <f>INPUT!V491</f>
        <v>0.12732228678001434</v>
      </c>
      <c r="V422" s="429">
        <f>INPUT!W491</f>
        <v>-1.7687661777394306</v>
      </c>
      <c r="W422" s="382">
        <f>INPUT!X491</f>
        <v>-6.5963595538322437</v>
      </c>
      <c r="X422" s="429">
        <f>INPUT!Y491</f>
        <v>-1.4994720168954596</v>
      </c>
      <c r="Y422" s="382">
        <f>INPUT!Z491</f>
        <v>-3.2620038511708884</v>
      </c>
      <c r="Z422" s="429">
        <f>INPUT!AA491</f>
        <v>-1.2217850486643196</v>
      </c>
      <c r="AA422" s="382">
        <f>INPUT!AB491</f>
        <v>-46.252984132813943</v>
      </c>
      <c r="AB422" s="429">
        <f>INPUT!AC491</f>
        <v>-1.5054195102368524</v>
      </c>
      <c r="AC422" s="382">
        <f>INPUT!AD491</f>
        <v>7.6259148318561927</v>
      </c>
      <c r="AD422" s="429">
        <f>INPUT!AE491</f>
        <v>-1.6833039733803092</v>
      </c>
      <c r="AE422" s="382">
        <f>INPUT!AF491</f>
        <v>-4.8317412123034984</v>
      </c>
      <c r="AF422" s="429">
        <f>INPUT!AG491</f>
        <v>-1.5787447054293418</v>
      </c>
      <c r="AG422" s="382">
        <f>INPUT!AH491</f>
        <v>5.286706763491992</v>
      </c>
      <c r="AH422" s="429">
        <f>INPUT!AI491</f>
        <v>-1.4947965941343422</v>
      </c>
      <c r="AI422" s="382">
        <f>INPUT!AJ491</f>
        <v>22.345300899571853</v>
      </c>
      <c r="AJ422" s="429">
        <f>INPUT!AK491</f>
        <v>-1.6378187232458592</v>
      </c>
      <c r="AK422" s="382">
        <f>INPUT!AL491</f>
        <v>8.7948383894783007</v>
      </c>
      <c r="AL422" s="429">
        <f>INPUT!AM491</f>
        <v>-1.6178876567896745</v>
      </c>
      <c r="AM422" s="382">
        <f>INPUT!AN491</f>
        <v>-3.8861855983901421</v>
      </c>
      <c r="AN422" s="429">
        <f>INPUT!AO491</f>
        <v>-1.2951969778737182</v>
      </c>
      <c r="AO422" s="382">
        <f>INPUT!AP491</f>
        <v>-17.96032801126718</v>
      </c>
      <c r="AP422" s="429">
        <f>INPUT!AQ491</f>
        <v>-1.2951969778737182</v>
      </c>
      <c r="AQ422" s="382">
        <f>INPUT!AR491</f>
        <v>-13.352961670093649</v>
      </c>
      <c r="AR422" s="429">
        <f>INPUT!AS491</f>
        <v>-1.2951969778737182</v>
      </c>
      <c r="AS422" s="382">
        <f>INPUT!AT491</f>
        <v>-20.919393612324015</v>
      </c>
      <c r="AT422" s="429">
        <f>INPUT!AU491</f>
        <v>-1.2951969778737182</v>
      </c>
      <c r="AU422" s="382">
        <f>INPUT!AV491</f>
        <v>-19.945184547378375</v>
      </c>
      <c r="AV422" s="429">
        <f>INPUT!AW491</f>
        <v>-1.2951969778737182</v>
      </c>
      <c r="AW422" s="382">
        <f>INPUT!AX491</f>
        <v>0</v>
      </c>
      <c r="AX422" s="403"/>
      <c r="AY422" s="402"/>
      <c r="AZ422" s="432"/>
      <c r="BA422" s="402"/>
      <c r="BB422" s="432"/>
      <c r="BC422" s="402"/>
      <c r="BD422" s="432"/>
      <c r="BE422" s="402"/>
      <c r="BF422" s="382"/>
      <c r="BG422" s="402"/>
      <c r="BH422" s="382"/>
      <c r="BI422" s="402"/>
      <c r="BJ422" s="382"/>
      <c r="BK422" s="429"/>
      <c r="BL422" s="382"/>
      <c r="BM422" s="429"/>
      <c r="BN422" s="382"/>
      <c r="BO422" s="429"/>
      <c r="BP422" s="382"/>
      <c r="BQ422" s="429"/>
      <c r="BR422" s="382"/>
      <c r="BS422" s="429">
        <f>INPUT!BB491</f>
        <v>-2.0030816640986133</v>
      </c>
      <c r="BT422" s="382" t="str">
        <f>INPUT!BC491</f>
        <v>NA</v>
      </c>
      <c r="BU422" s="429">
        <f>INPUT!BD491</f>
        <v>-1.7343219806459722</v>
      </c>
      <c r="BV422" s="382">
        <f>INPUT!BE491</f>
        <v>-13.417310350828004</v>
      </c>
      <c r="BW422" s="429">
        <f>INPUT!BF491</f>
        <v>-1.870021932355997</v>
      </c>
      <c r="BX422" s="382">
        <f>INPUT!BG491</f>
        <v>7.8243805489613578</v>
      </c>
      <c r="BY422" s="429">
        <f>INPUT!BH491</f>
        <v>-1.6216506470493477</v>
      </c>
      <c r="BZ422" s="382">
        <f>INPUT!BI491</f>
        <v>-13.281731139577175</v>
      </c>
      <c r="CA422" s="429">
        <f>INPUT!BJ491</f>
        <v>-1.6228786304487657</v>
      </c>
      <c r="CB422" s="382">
        <f>INPUT!BK491</f>
        <v>7.5724287574047366E-2</v>
      </c>
      <c r="CC422" s="429">
        <f>INPUT!BL491</f>
        <v>-1.3881609602440736</v>
      </c>
      <c r="CD422" s="382">
        <f>INPUT!BM491</f>
        <v>-14.463045221058024</v>
      </c>
      <c r="CE422" s="429">
        <f>INPUT!BN491</f>
        <v>-1.3881609602440736</v>
      </c>
      <c r="CF422" s="382">
        <f>INPUT!BO491</f>
        <v>0</v>
      </c>
      <c r="CG422" s="429">
        <f>INPUT!BP491</f>
        <v>-1.3881609602440736</v>
      </c>
      <c r="CH422" s="382">
        <f>INPUT!BQ491</f>
        <v>0</v>
      </c>
      <c r="CI422" s="429">
        <f>INPUT!BR491</f>
        <v>-1.3881609602440736</v>
      </c>
      <c r="CJ422" s="382">
        <f>INPUT!BS491</f>
        <v>0</v>
      </c>
      <c r="CK422" s="429">
        <f>INPUT!BT491</f>
        <v>-1.3881609602440736</v>
      </c>
      <c r="CL422" s="382">
        <f>INPUT!BU491</f>
        <v>0</v>
      </c>
      <c r="CM422" s="424">
        <f>INPUT!BV491</f>
        <v>-3.0761276505486213</v>
      </c>
    </row>
    <row r="423" spans="1:91" ht="12" hidden="1" customHeight="1" outlineLevel="1" x14ac:dyDescent="0.2">
      <c r="A423" s="400" t="s">
        <v>138</v>
      </c>
      <c r="B423" s="423">
        <f>INPUT!C492</f>
        <v>23.538268506900881</v>
      </c>
      <c r="C423" s="424" t="str">
        <f>INPUT!D492</f>
        <v>NA</v>
      </c>
      <c r="D423" s="429">
        <f>INPUT!E492</f>
        <v>22.784497654900022</v>
      </c>
      <c r="E423" s="382" t="str">
        <f>INPUT!F492</f>
        <v>NA</v>
      </c>
      <c r="F423" s="429">
        <f>INPUT!G492</f>
        <v>21.382716049382715</v>
      </c>
      <c r="G423" s="382" t="str">
        <f>INPUT!H492</f>
        <v>NA</v>
      </c>
      <c r="H423" s="429">
        <f>INPUT!I492</f>
        <v>23.036144578313252</v>
      </c>
      <c r="I423" s="382" t="str">
        <f>INPUT!J492</f>
        <v>NA</v>
      </c>
      <c r="J423" s="429">
        <f>INPUT!K492</f>
        <v>21.540656205420824</v>
      </c>
      <c r="K423" s="382">
        <f>INPUT!L492</f>
        <v>-8.4866578053283916</v>
      </c>
      <c r="L423" s="429">
        <f>INPUT!M492</f>
        <v>21.653084982537834</v>
      </c>
      <c r="M423" s="382">
        <f>INPUT!N492</f>
        <v>-4.9657126064346926</v>
      </c>
      <c r="N423" s="429">
        <f>INPUT!O492</f>
        <v>22.267853068674427</v>
      </c>
      <c r="O423" s="382">
        <f>INPUT!P492</f>
        <v>4.1394976075420686</v>
      </c>
      <c r="P423" s="429">
        <f>INPUT!Q492</f>
        <v>22.840209710508322</v>
      </c>
      <c r="Q423" s="382">
        <f>INPUT!R492</f>
        <v>-0.85055408095236373</v>
      </c>
      <c r="R423" s="429">
        <f>INPUT!S492</f>
        <v>21.616984773750801</v>
      </c>
      <c r="S423" s="382">
        <f>INPUT!T492</f>
        <v>0.3543465324457884</v>
      </c>
      <c r="T423" s="429">
        <f>INPUT!U492</f>
        <v>21.540778997202494</v>
      </c>
      <c r="U423" s="382">
        <f>INPUT!V492</f>
        <v>-0.51866043765083703</v>
      </c>
      <c r="V423" s="429">
        <f>INPUT!W492</f>
        <v>22.066436583261432</v>
      </c>
      <c r="W423" s="382">
        <f>INPUT!X492</f>
        <v>-0.90451686021020805</v>
      </c>
      <c r="X423" s="429">
        <f>INPUT!Y492</f>
        <v>22.787750791974656</v>
      </c>
      <c r="Y423" s="382">
        <f>INPUT!Z492</f>
        <v>-0.22967791976765284</v>
      </c>
      <c r="Z423" s="429">
        <f>INPUT!AA492</f>
        <v>22.427003520397598</v>
      </c>
      <c r="AA423" s="382">
        <f>INPUT!AB492</f>
        <v>3.7471402932678757</v>
      </c>
      <c r="AB423" s="429">
        <f>INPUT!AC492</f>
        <v>21.597751906864708</v>
      </c>
      <c r="AC423" s="382">
        <f>INPUT!AD492</f>
        <v>0.26448862257772987</v>
      </c>
      <c r="AD423" s="429">
        <f>INPUT!AE492</f>
        <v>18.731650029359955</v>
      </c>
      <c r="AE423" s="382">
        <f>INPUT!AF492</f>
        <v>-15.112483346908363</v>
      </c>
      <c r="AF423" s="429">
        <f>INPUT!AG492</f>
        <v>22.063919907585674</v>
      </c>
      <c r="AG423" s="382">
        <f>INPUT!AH492</f>
        <v>-3.1764033712528601</v>
      </c>
      <c r="AH423" s="429">
        <f>INPUT!AI492</f>
        <v>22.421948912015139</v>
      </c>
      <c r="AI423" s="382">
        <f>INPUT!AJ492</f>
        <v>-2.2538046056226335E-2</v>
      </c>
      <c r="AJ423" s="429">
        <f>INPUT!AK492</f>
        <v>21.16136236739252</v>
      </c>
      <c r="AK423" s="382">
        <f>INPUT!AL492</f>
        <v>-2.0205322357346063</v>
      </c>
      <c r="AL423" s="429">
        <f>INPUT!AM492</f>
        <v>20.396291583348482</v>
      </c>
      <c r="AM423" s="382">
        <f>INPUT!AN492</f>
        <v>8.8867854747412593</v>
      </c>
      <c r="AN423" s="429">
        <f>INPUT!AO492</f>
        <v>22.773880194279545</v>
      </c>
      <c r="AO423" s="382">
        <f>INPUT!AP492</f>
        <v>3.2177432190994466</v>
      </c>
      <c r="AP423" s="429">
        <f>INPUT!AQ492</f>
        <v>22.421948912015139</v>
      </c>
      <c r="AQ423" s="382">
        <f>INPUT!AR492</f>
        <v>0</v>
      </c>
      <c r="AR423" s="429">
        <f>INPUT!AS492</f>
        <v>21.16136236739252</v>
      </c>
      <c r="AS423" s="382">
        <f>INPUT!AT492</f>
        <v>0</v>
      </c>
      <c r="AT423" s="429">
        <f>INPUT!AU492</f>
        <v>20.796291583348481</v>
      </c>
      <c r="AU423" s="382">
        <f>INPUT!AV492</f>
        <v>1.9611408199643421</v>
      </c>
      <c r="AV423" s="429">
        <f>INPUT!AW492</f>
        <v>20.896291583348482</v>
      </c>
      <c r="AW423" s="382">
        <f>INPUT!AX492</f>
        <v>-8.2444826920740724</v>
      </c>
      <c r="AX423" s="403"/>
      <c r="AY423" s="402"/>
      <c r="AZ423" s="432"/>
      <c r="BA423" s="402"/>
      <c r="BB423" s="432"/>
      <c r="BC423" s="402"/>
      <c r="BD423" s="432"/>
      <c r="BE423" s="402"/>
      <c r="BF423" s="382"/>
      <c r="BG423" s="402"/>
      <c r="BH423" s="382"/>
      <c r="BI423" s="402"/>
      <c r="BJ423" s="382"/>
      <c r="BK423" s="429"/>
      <c r="BL423" s="382"/>
      <c r="BM423" s="429"/>
      <c r="BN423" s="382"/>
      <c r="BO423" s="429"/>
      <c r="BP423" s="382"/>
      <c r="BQ423" s="429"/>
      <c r="BR423" s="382"/>
      <c r="BS423" s="429">
        <f>INPUT!BB492</f>
        <v>22.684158659768421</v>
      </c>
      <c r="BT423" s="382" t="str">
        <f>INPUT!BC492</f>
        <v>NA</v>
      </c>
      <c r="BU423" s="429">
        <f>INPUT!BD492</f>
        <v>22.083260957674714</v>
      </c>
      <c r="BV423" s="382">
        <f>INPUT!BE492</f>
        <v>-2.6489750451244731</v>
      </c>
      <c r="BW423" s="429">
        <f>INPUT!BF492</f>
        <v>22.006316578341629</v>
      </c>
      <c r="BX423" s="382">
        <f>INPUT!BG492</f>
        <v>-0.34842852004763358</v>
      </c>
      <c r="BY423" s="429">
        <f>INPUT!BH492</f>
        <v>21.189221437804509</v>
      </c>
      <c r="BZ423" s="382">
        <f>INPUT!BI492</f>
        <v>-3.713002753678893</v>
      </c>
      <c r="CA423" s="429">
        <f>INPUT!BJ492</f>
        <v>21.687079841606042</v>
      </c>
      <c r="CB423" s="382">
        <f>INPUT!BK492</f>
        <v>2.3495832787574074</v>
      </c>
      <c r="CC423" s="429">
        <f>INPUT!BL492</f>
        <v>21.30768578479973</v>
      </c>
      <c r="CD423" s="382">
        <f>INPUT!BM492</f>
        <v>-1.7494013005773752</v>
      </c>
      <c r="CE423" s="429">
        <f>INPUT!BN492</f>
        <v>21.30768578479973</v>
      </c>
      <c r="CF423" s="382">
        <f>INPUT!BO492</f>
        <v>0</v>
      </c>
      <c r="CG423" s="429">
        <f>INPUT!BP492</f>
        <v>21.30768578479973</v>
      </c>
      <c r="CH423" s="382">
        <f>INPUT!BQ492</f>
        <v>0</v>
      </c>
      <c r="CI423" s="429">
        <f>INPUT!BR492</f>
        <v>21.30768578479973</v>
      </c>
      <c r="CJ423" s="382">
        <f>INPUT!BS492</f>
        <v>0</v>
      </c>
      <c r="CK423" s="429">
        <f>INPUT!BT492</f>
        <v>21.30768578479973</v>
      </c>
      <c r="CL423" s="382">
        <f>INPUT!BU492</f>
        <v>0</v>
      </c>
      <c r="CM423" s="424">
        <f>INPUT!BV492</f>
        <v>-0.3523546015939627</v>
      </c>
    </row>
    <row r="424" spans="1:91" ht="12" hidden="1" customHeight="1" outlineLevel="1" x14ac:dyDescent="0.2">
      <c r="A424" s="400"/>
      <c r="B424" s="461"/>
      <c r="C424" s="458"/>
      <c r="D424" s="461"/>
      <c r="E424" s="458"/>
      <c r="F424" s="461"/>
      <c r="G424" s="458"/>
      <c r="H424" s="461"/>
      <c r="I424" s="458"/>
      <c r="J424" s="461"/>
      <c r="K424" s="458"/>
      <c r="L424" s="461"/>
      <c r="M424" s="458"/>
      <c r="N424" s="461"/>
      <c r="O424" s="458"/>
      <c r="P424" s="461"/>
      <c r="Q424" s="458"/>
      <c r="R424" s="461"/>
      <c r="S424" s="458"/>
      <c r="T424" s="461"/>
      <c r="U424" s="458"/>
      <c r="V424" s="461"/>
      <c r="W424" s="458"/>
      <c r="X424" s="461"/>
      <c r="Y424" s="458"/>
      <c r="Z424" s="461"/>
      <c r="AA424" s="458"/>
      <c r="AB424" s="461"/>
      <c r="AC424" s="458"/>
      <c r="AD424" s="461"/>
      <c r="AE424" s="458"/>
      <c r="AF424" s="461"/>
      <c r="AG424" s="458"/>
      <c r="AH424" s="461"/>
      <c r="AI424" s="458"/>
      <c r="AJ424" s="461"/>
      <c r="AK424" s="458"/>
      <c r="AL424" s="461"/>
      <c r="AM424" s="458"/>
      <c r="AN424" s="461"/>
      <c r="AO424" s="458"/>
      <c r="AP424" s="461"/>
      <c r="AQ424" s="458"/>
      <c r="AR424" s="461"/>
      <c r="AS424" s="458"/>
      <c r="AT424" s="461"/>
      <c r="AU424" s="458"/>
      <c r="AV424" s="461"/>
      <c r="AW424" s="458"/>
      <c r="AX424" s="398"/>
      <c r="AY424" s="461"/>
      <c r="AZ424" s="458"/>
      <c r="BA424" s="461"/>
      <c r="BB424" s="458"/>
      <c r="BC424" s="461"/>
      <c r="BD424" s="458"/>
      <c r="BE424" s="461"/>
      <c r="BF424" s="458"/>
      <c r="BG424" s="461"/>
      <c r="BH424" s="458"/>
      <c r="BI424" s="461"/>
      <c r="BJ424" s="458"/>
      <c r="BK424" s="461"/>
      <c r="BL424" s="458"/>
      <c r="BM424" s="461"/>
      <c r="BN424" s="458"/>
      <c r="BO424" s="461"/>
      <c r="BP424" s="458"/>
      <c r="BQ424" s="461"/>
      <c r="BR424" s="458"/>
      <c r="BS424" s="461"/>
      <c r="BT424" s="458"/>
      <c r="BU424" s="461"/>
      <c r="BV424" s="458"/>
      <c r="BW424" s="461"/>
      <c r="BX424" s="458"/>
      <c r="BY424" s="461"/>
      <c r="BZ424" s="458"/>
      <c r="CA424" s="461"/>
      <c r="CB424" s="458"/>
      <c r="CC424" s="461"/>
      <c r="CD424" s="458"/>
      <c r="CE424" s="461"/>
      <c r="CF424" s="458"/>
      <c r="CG424" s="461"/>
      <c r="CH424" s="458"/>
      <c r="CI424" s="461"/>
      <c r="CJ424" s="458"/>
      <c r="CK424" s="461"/>
      <c r="CL424" s="458"/>
      <c r="CM424" s="424"/>
    </row>
    <row r="425" spans="1:91" ht="12" hidden="1" customHeight="1" outlineLevel="1" x14ac:dyDescent="0.2">
      <c r="A425" s="394" t="str">
        <f>INPUT!B468</f>
        <v>Reserves</v>
      </c>
      <c r="B425" s="461"/>
      <c r="C425" s="458"/>
      <c r="D425" s="461"/>
      <c r="E425" s="458"/>
      <c r="F425" s="461"/>
      <c r="G425" s="458"/>
      <c r="H425" s="461"/>
      <c r="I425" s="458"/>
      <c r="J425" s="461"/>
      <c r="K425" s="458"/>
      <c r="L425" s="461"/>
      <c r="M425" s="458"/>
      <c r="N425" s="461"/>
      <c r="O425" s="458"/>
      <c r="P425" s="461"/>
      <c r="Q425" s="458"/>
      <c r="R425" s="461"/>
      <c r="S425" s="458"/>
      <c r="T425" s="461"/>
      <c r="U425" s="458"/>
      <c r="V425" s="461"/>
      <c r="W425" s="458"/>
      <c r="X425" s="461"/>
      <c r="Y425" s="458"/>
      <c r="Z425" s="461"/>
      <c r="AA425" s="458"/>
      <c r="AB425" s="461"/>
      <c r="AC425" s="458"/>
      <c r="AD425" s="461"/>
      <c r="AE425" s="458"/>
      <c r="AF425" s="461"/>
      <c r="AG425" s="458"/>
      <c r="AH425" s="461"/>
      <c r="AI425" s="458"/>
      <c r="AJ425" s="461"/>
      <c r="AK425" s="458"/>
      <c r="AL425" s="461"/>
      <c r="AM425" s="458"/>
      <c r="AN425" s="461"/>
      <c r="AO425" s="458"/>
      <c r="AP425" s="461"/>
      <c r="AQ425" s="458"/>
      <c r="AR425" s="461"/>
      <c r="AS425" s="458"/>
      <c r="AT425" s="461"/>
      <c r="AU425" s="458"/>
      <c r="AV425" s="461"/>
      <c r="AW425" s="458"/>
      <c r="AX425" s="398"/>
      <c r="AY425" s="461"/>
      <c r="AZ425" s="458"/>
      <c r="BA425" s="461"/>
      <c r="BB425" s="458"/>
      <c r="BC425" s="461"/>
      <c r="BD425" s="458"/>
      <c r="BE425" s="461"/>
      <c r="BF425" s="458"/>
      <c r="BG425" s="461"/>
      <c r="BH425" s="458"/>
      <c r="BI425" s="461"/>
      <c r="BJ425" s="458"/>
      <c r="BK425" s="461"/>
      <c r="BL425" s="458"/>
      <c r="BM425" s="461"/>
      <c r="BN425" s="458"/>
      <c r="BO425" s="461"/>
      <c r="BP425" s="458"/>
      <c r="BQ425" s="461"/>
      <c r="BR425" s="458"/>
      <c r="BS425" s="461"/>
      <c r="BT425" s="458"/>
      <c r="BU425" s="461"/>
      <c r="BV425" s="458"/>
      <c r="BW425" s="461"/>
      <c r="BX425" s="458"/>
      <c r="BY425" s="461"/>
      <c r="BZ425" s="458"/>
      <c r="CA425" s="461"/>
      <c r="CB425" s="458"/>
      <c r="CC425" s="461"/>
      <c r="CD425" s="458"/>
      <c r="CE425" s="461"/>
      <c r="CF425" s="458"/>
      <c r="CG425" s="461"/>
      <c r="CH425" s="458"/>
      <c r="CI425" s="461"/>
      <c r="CJ425" s="458"/>
      <c r="CK425" s="461"/>
      <c r="CL425" s="458"/>
      <c r="CM425" s="424"/>
    </row>
    <row r="426" spans="1:91" ht="12" hidden="1" customHeight="1" outlineLevel="1" x14ac:dyDescent="0.2">
      <c r="A426" s="400" t="str">
        <f>+INPUT!B469</f>
        <v>Group Dental and Vision Insurance</v>
      </c>
      <c r="B426" s="398">
        <f>+INPUT!C469</f>
        <v>26.2</v>
      </c>
      <c r="C426" s="396" t="str">
        <f>+INPUT!D469</f>
        <v>NA</v>
      </c>
      <c r="D426" s="398">
        <f>+INPUT!E469</f>
        <v>25.9</v>
      </c>
      <c r="E426" s="396" t="str">
        <f>+INPUT!F469</f>
        <v>NA</v>
      </c>
      <c r="F426" s="398">
        <f>+INPUT!G469</f>
        <v>24.8</v>
      </c>
      <c r="G426" s="396" t="str">
        <f>+INPUT!H469</f>
        <v>NA</v>
      </c>
      <c r="H426" s="398">
        <f>+INPUT!I469</f>
        <v>24.6</v>
      </c>
      <c r="I426" s="396" t="str">
        <f>+INPUT!J469</f>
        <v>NA</v>
      </c>
      <c r="J426" s="398">
        <f>+INPUT!K469</f>
        <v>26.1</v>
      </c>
      <c r="K426" s="396">
        <f>+INPUT!L469</f>
        <v>-0.3816793893129784</v>
      </c>
      <c r="L426" s="398">
        <f>+INPUT!M469</f>
        <v>26.6</v>
      </c>
      <c r="M426" s="396">
        <f>+INPUT!N469</f>
        <v>2.7027027027027231</v>
      </c>
      <c r="N426" s="398">
        <f>+INPUT!O469</f>
        <v>24</v>
      </c>
      <c r="O426" s="396">
        <f>+INPUT!P469</f>
        <v>-3.225806451612911</v>
      </c>
      <c r="P426" s="398">
        <f>+INPUT!Q469</f>
        <v>25.7</v>
      </c>
      <c r="Q426" s="396">
        <f>+INPUT!R469</f>
        <v>4.4715447154471519</v>
      </c>
      <c r="R426" s="398">
        <f>+INPUT!S469</f>
        <v>30.5</v>
      </c>
      <c r="S426" s="396">
        <f>+INPUT!T469</f>
        <v>16.858237547892713</v>
      </c>
      <c r="T426" s="398">
        <f>+INPUT!U469</f>
        <v>31.4</v>
      </c>
      <c r="U426" s="396">
        <f>+INPUT!V469</f>
        <v>18.045112781954884</v>
      </c>
      <c r="V426" s="398">
        <f>+INPUT!W469</f>
        <v>29.6</v>
      </c>
      <c r="W426" s="396">
        <f>+INPUT!X469</f>
        <v>23.333333333333343</v>
      </c>
      <c r="X426" s="398">
        <f>+INPUT!Y469</f>
        <v>0</v>
      </c>
      <c r="Y426" s="396">
        <f>+INPUT!Z469</f>
        <v>0</v>
      </c>
      <c r="Z426" s="398">
        <f>+INPUT!AA469</f>
        <v>0</v>
      </c>
      <c r="AA426" s="396">
        <f>+INPUT!AB469</f>
        <v>0</v>
      </c>
      <c r="AB426" s="398">
        <f>+INPUT!AC469</f>
        <v>0</v>
      </c>
      <c r="AC426" s="396">
        <f>+INPUT!AD469</f>
        <v>0</v>
      </c>
      <c r="AD426" s="398">
        <f>+INPUT!AE469</f>
        <v>0</v>
      </c>
      <c r="AE426" s="396">
        <f>+INPUT!AF469</f>
        <v>0</v>
      </c>
      <c r="AF426" s="398">
        <f>+INPUT!AG469</f>
        <v>0</v>
      </c>
      <c r="AG426" s="396" t="str">
        <f>+INPUT!AH469</f>
        <v>NA</v>
      </c>
      <c r="AH426" s="398">
        <f>+INPUT!AI469</f>
        <v>0</v>
      </c>
      <c r="AI426" s="396" t="str">
        <f>+INPUT!AJ469</f>
        <v>NA</v>
      </c>
      <c r="AJ426" s="398">
        <f>+INPUT!AK469</f>
        <v>0</v>
      </c>
      <c r="AK426" s="396" t="str">
        <f>+INPUT!AL469</f>
        <v>NA</v>
      </c>
      <c r="AL426" s="398">
        <f>+INPUT!AM469</f>
        <v>0</v>
      </c>
      <c r="AM426" s="396" t="str">
        <f>+INPUT!AN469</f>
        <v>NA</v>
      </c>
      <c r="AN426" s="398">
        <f>+INPUT!AO469</f>
        <v>0</v>
      </c>
      <c r="AO426" s="396" t="str">
        <f>+INPUT!AP469</f>
        <v>NA</v>
      </c>
      <c r="AP426" s="398">
        <f>+INPUT!AQ469</f>
        <v>0</v>
      </c>
      <c r="AQ426" s="396" t="str">
        <f>+INPUT!AR469</f>
        <v>NA</v>
      </c>
      <c r="AR426" s="398">
        <f>+INPUT!AS469</f>
        <v>0</v>
      </c>
      <c r="AS426" s="396" t="str">
        <f>+INPUT!AT469</f>
        <v>NA</v>
      </c>
      <c r="AT426" s="398">
        <f>+INPUT!AU469</f>
        <v>0</v>
      </c>
      <c r="AU426" s="396" t="str">
        <f>+INPUT!AV469</f>
        <v>NA</v>
      </c>
      <c r="AV426" s="398">
        <f>+INPUT!AW469</f>
        <v>0</v>
      </c>
      <c r="AW426" s="396" t="str">
        <f>+INPUT!AX469</f>
        <v>NA</v>
      </c>
      <c r="AX426" s="398"/>
      <c r="AY426" s="398"/>
      <c r="AZ426" s="396"/>
      <c r="BA426" s="398"/>
      <c r="BB426" s="396"/>
      <c r="BC426" s="398"/>
      <c r="BD426" s="396"/>
      <c r="BE426" s="398"/>
      <c r="BF426" s="396"/>
      <c r="BG426" s="398"/>
      <c r="BH426" s="396"/>
      <c r="BI426" s="398"/>
      <c r="BJ426" s="396"/>
      <c r="BK426" s="398"/>
      <c r="BL426" s="396"/>
      <c r="BM426" s="398"/>
      <c r="BN426" s="396"/>
      <c r="BO426" s="398"/>
      <c r="BP426" s="396"/>
      <c r="BQ426" s="398"/>
      <c r="BR426" s="396"/>
      <c r="BS426" s="398">
        <f>+INPUT!BB469</f>
        <v>31.4</v>
      </c>
      <c r="BT426" s="396" t="str">
        <f>+INPUT!BC469</f>
        <v>NA</v>
      </c>
      <c r="BU426" s="398">
        <f>+INPUT!BD469</f>
        <v>29.6</v>
      </c>
      <c r="BV426" s="396">
        <f>+INPUT!BE469</f>
        <v>-5.73248407643311</v>
      </c>
      <c r="BW426" s="398">
        <f>+INPUT!BF469</f>
        <v>0</v>
      </c>
      <c r="BX426" s="396" t="str">
        <f>+INPUT!BG469</f>
        <v>NM</v>
      </c>
      <c r="BY426" s="398">
        <f>+INPUT!BH469</f>
        <v>0</v>
      </c>
      <c r="BZ426" s="396" t="str">
        <f>+INPUT!BI469</f>
        <v>NA</v>
      </c>
      <c r="CA426" s="398">
        <f>+INPUT!BJ469</f>
        <v>0</v>
      </c>
      <c r="CB426" s="396" t="str">
        <f>+INPUT!BK469</f>
        <v>NA</v>
      </c>
      <c r="CC426" s="398">
        <f>+INPUT!BL469</f>
        <v>0</v>
      </c>
      <c r="CD426" s="396" t="str">
        <f>+INPUT!BM469</f>
        <v>NA</v>
      </c>
      <c r="CE426" s="398">
        <f>+INPUT!BN469</f>
        <v>0</v>
      </c>
      <c r="CF426" s="396" t="str">
        <f>+INPUT!BO469</f>
        <v>NA</v>
      </c>
      <c r="CG426" s="398">
        <f>+INPUT!BP469</f>
        <v>0</v>
      </c>
      <c r="CH426" s="396" t="str">
        <f>+INPUT!BQ469</f>
        <v>NA</v>
      </c>
      <c r="CI426" s="398">
        <f>+INPUT!BR469</f>
        <v>0</v>
      </c>
      <c r="CJ426" s="396" t="str">
        <f>+INPUT!BS469</f>
        <v>NA</v>
      </c>
      <c r="CK426" s="398">
        <f>+INPUT!BT469</f>
        <v>0</v>
      </c>
      <c r="CL426" s="396" t="str">
        <f>+INPUT!BU469</f>
        <v>NA</v>
      </c>
      <c r="CM426" s="399" t="str">
        <f>+INPUT!BV469</f>
        <v>NA</v>
      </c>
    </row>
    <row r="427" spans="1:91" ht="12" hidden="1" customHeight="1" outlineLevel="1" x14ac:dyDescent="0.2">
      <c r="A427" s="400" t="str">
        <f>+INPUT!B470</f>
        <v>Group Life</v>
      </c>
      <c r="B427" s="398">
        <f>+INPUT!C470</f>
        <v>336.3</v>
      </c>
      <c r="C427" s="396" t="str">
        <f>+INPUT!D470</f>
        <v>NA</v>
      </c>
      <c r="D427" s="398">
        <f>+INPUT!E470</f>
        <v>329.1</v>
      </c>
      <c r="E427" s="396" t="str">
        <f>+INPUT!F470</f>
        <v>NA</v>
      </c>
      <c r="F427" s="398">
        <f>+INPUT!G470</f>
        <v>323.10000000000002</v>
      </c>
      <c r="G427" s="396" t="str">
        <f>+INPUT!H470</f>
        <v>NA</v>
      </c>
      <c r="H427" s="398">
        <f>+INPUT!I470</f>
        <v>328</v>
      </c>
      <c r="I427" s="396" t="str">
        <f>+INPUT!J470</f>
        <v>NA</v>
      </c>
      <c r="J427" s="398">
        <f>+INPUT!K470</f>
        <v>325.39999999999998</v>
      </c>
      <c r="K427" s="396">
        <f>+INPUT!L470</f>
        <v>-3.241153731787108</v>
      </c>
      <c r="L427" s="398">
        <f>+INPUT!M470</f>
        <v>323.2</v>
      </c>
      <c r="M427" s="396">
        <f>+INPUT!N470</f>
        <v>-1.7927681555758141</v>
      </c>
      <c r="N427" s="398">
        <f>+INPUT!O470</f>
        <v>317.5</v>
      </c>
      <c r="O427" s="396">
        <f>+INPUT!P470</f>
        <v>-1.7332095326524382</v>
      </c>
      <c r="P427" s="398">
        <f>+INPUT!Q470</f>
        <v>312.7</v>
      </c>
      <c r="Q427" s="396">
        <f>+INPUT!R470</f>
        <v>-4.6646341463414558</v>
      </c>
      <c r="R427" s="398">
        <f>+INPUT!S470</f>
        <v>314.3</v>
      </c>
      <c r="S427" s="396">
        <f>+INPUT!T470</f>
        <v>-3.4111862323294275</v>
      </c>
      <c r="T427" s="398">
        <f>+INPUT!U470</f>
        <v>306.8</v>
      </c>
      <c r="U427" s="396">
        <f>+INPUT!V470</f>
        <v>-5.074257425742573</v>
      </c>
      <c r="V427" s="398">
        <f>+INPUT!W470</f>
        <v>300.7</v>
      </c>
      <c r="W427" s="396">
        <f>+INPUT!X470</f>
        <v>-5.2913385826771702</v>
      </c>
      <c r="X427" s="398">
        <f>+INPUT!Y470</f>
        <v>0</v>
      </c>
      <c r="Y427" s="396">
        <f>+INPUT!Z470</f>
        <v>0</v>
      </c>
      <c r="Z427" s="398">
        <f>+INPUT!AA470</f>
        <v>0</v>
      </c>
      <c r="AA427" s="396">
        <f>+INPUT!AB470</f>
        <v>0</v>
      </c>
      <c r="AB427" s="398">
        <f>+INPUT!AC470</f>
        <v>0</v>
      </c>
      <c r="AC427" s="396">
        <f>+INPUT!AD470</f>
        <v>0</v>
      </c>
      <c r="AD427" s="398">
        <f>+INPUT!AE470</f>
        <v>0</v>
      </c>
      <c r="AE427" s="396">
        <f>+INPUT!AF470</f>
        <v>0</v>
      </c>
      <c r="AF427" s="398">
        <f>+INPUT!AG470</f>
        <v>0</v>
      </c>
      <c r="AG427" s="396" t="str">
        <f>+INPUT!AH470</f>
        <v>NA</v>
      </c>
      <c r="AH427" s="398">
        <f>+INPUT!AI470</f>
        <v>0</v>
      </c>
      <c r="AI427" s="396" t="str">
        <f>+INPUT!AJ470</f>
        <v>NA</v>
      </c>
      <c r="AJ427" s="398">
        <f>+INPUT!AK470</f>
        <v>0</v>
      </c>
      <c r="AK427" s="396" t="str">
        <f>+INPUT!AL470</f>
        <v>NA</v>
      </c>
      <c r="AL427" s="398">
        <f>+INPUT!AM470</f>
        <v>0</v>
      </c>
      <c r="AM427" s="396" t="str">
        <f>+INPUT!AN470</f>
        <v>NA</v>
      </c>
      <c r="AN427" s="398">
        <f>+INPUT!AO470</f>
        <v>0</v>
      </c>
      <c r="AO427" s="396" t="str">
        <f>+INPUT!AP470</f>
        <v>NA</v>
      </c>
      <c r="AP427" s="398">
        <f>+INPUT!AQ470</f>
        <v>0</v>
      </c>
      <c r="AQ427" s="396" t="str">
        <f>+INPUT!AR470</f>
        <v>NA</v>
      </c>
      <c r="AR427" s="398">
        <f>+INPUT!AS470</f>
        <v>0</v>
      </c>
      <c r="AS427" s="396" t="str">
        <f>+INPUT!AT470</f>
        <v>NA</v>
      </c>
      <c r="AT427" s="398">
        <f>+INPUT!AU470</f>
        <v>0</v>
      </c>
      <c r="AU427" s="396" t="str">
        <f>+INPUT!AV470</f>
        <v>NA</v>
      </c>
      <c r="AV427" s="398">
        <f>+INPUT!AW470</f>
        <v>0</v>
      </c>
      <c r="AW427" s="396" t="str">
        <f>+INPUT!AX470</f>
        <v>NA</v>
      </c>
      <c r="AX427" s="398"/>
      <c r="AY427" s="398"/>
      <c r="AZ427" s="396"/>
      <c r="BA427" s="398"/>
      <c r="BB427" s="396"/>
      <c r="BC427" s="398"/>
      <c r="BD427" s="396"/>
      <c r="BE427" s="398"/>
      <c r="BF427" s="396"/>
      <c r="BG427" s="398"/>
      <c r="BH427" s="396"/>
      <c r="BI427" s="398"/>
      <c r="BJ427" s="396"/>
      <c r="BK427" s="398"/>
      <c r="BL427" s="396"/>
      <c r="BM427" s="398"/>
      <c r="BN427" s="396"/>
      <c r="BO427" s="398"/>
      <c r="BP427" s="396"/>
      <c r="BQ427" s="398"/>
      <c r="BR427" s="396"/>
      <c r="BS427" s="398">
        <f>+INPUT!BB470</f>
        <v>306.8</v>
      </c>
      <c r="BT427" s="396" t="str">
        <f>+INPUT!BC470</f>
        <v>NA</v>
      </c>
      <c r="BU427" s="398">
        <f>+INPUT!BD470</f>
        <v>300.7</v>
      </c>
      <c r="BV427" s="396">
        <f>+INPUT!BE470</f>
        <v>-1.9882659713168209</v>
      </c>
      <c r="BW427" s="398">
        <f>+INPUT!BF470</f>
        <v>0</v>
      </c>
      <c r="BX427" s="396" t="str">
        <f>+INPUT!BG470</f>
        <v>NM</v>
      </c>
      <c r="BY427" s="398">
        <f>+INPUT!BH470</f>
        <v>0</v>
      </c>
      <c r="BZ427" s="396" t="str">
        <f>+INPUT!BI470</f>
        <v>NA</v>
      </c>
      <c r="CA427" s="398">
        <f>+INPUT!BJ470</f>
        <v>0</v>
      </c>
      <c r="CB427" s="396" t="str">
        <f>+INPUT!BK470</f>
        <v>NA</v>
      </c>
      <c r="CC427" s="398">
        <f>+INPUT!BL470</f>
        <v>0</v>
      </c>
      <c r="CD427" s="396" t="str">
        <f>+INPUT!BM470</f>
        <v>NA</v>
      </c>
      <c r="CE427" s="398">
        <f>+INPUT!BN470</f>
        <v>0</v>
      </c>
      <c r="CF427" s="396" t="str">
        <f>+INPUT!BO470</f>
        <v>NA</v>
      </c>
      <c r="CG427" s="398">
        <f>+INPUT!BP470</f>
        <v>0</v>
      </c>
      <c r="CH427" s="396" t="str">
        <f>+INPUT!BQ470</f>
        <v>NA</v>
      </c>
      <c r="CI427" s="398">
        <f>+INPUT!BR470</f>
        <v>0</v>
      </c>
      <c r="CJ427" s="396" t="str">
        <f>+INPUT!BS470</f>
        <v>NA</v>
      </c>
      <c r="CK427" s="398">
        <f>+INPUT!BT470</f>
        <v>0</v>
      </c>
      <c r="CL427" s="396" t="str">
        <f>+INPUT!BU470</f>
        <v>NA</v>
      </c>
      <c r="CM427" s="399" t="str">
        <f>+INPUT!BV470</f>
        <v>NA</v>
      </c>
    </row>
    <row r="428" spans="1:91" ht="12" hidden="1" customHeight="1" outlineLevel="1" x14ac:dyDescent="0.2">
      <c r="A428" s="400" t="str">
        <f>+INPUT!B471</f>
        <v>Group Disability</v>
      </c>
      <c r="B428" s="398">
        <f>+INPUT!C471</f>
        <v>751.2</v>
      </c>
      <c r="C428" s="396" t="str">
        <f>+INPUT!D471</f>
        <v>NA</v>
      </c>
      <c r="D428" s="398">
        <f>+INPUT!E471</f>
        <v>740.8</v>
      </c>
      <c r="E428" s="396" t="str">
        <f>+INPUT!F471</f>
        <v>NA</v>
      </c>
      <c r="F428" s="398">
        <f>+INPUT!G471</f>
        <v>747.3</v>
      </c>
      <c r="G428" s="396" t="str">
        <f>+INPUT!H471</f>
        <v>NA</v>
      </c>
      <c r="H428" s="398">
        <f>+INPUT!I471</f>
        <v>756.2</v>
      </c>
      <c r="I428" s="396" t="str">
        <f>+INPUT!J471</f>
        <v>NA</v>
      </c>
      <c r="J428" s="398">
        <f>+INPUT!K471</f>
        <v>771.9</v>
      </c>
      <c r="K428" s="396">
        <f>+INPUT!L471</f>
        <v>2.7555910543130864</v>
      </c>
      <c r="L428" s="398">
        <f>+INPUT!M471</f>
        <v>787.8</v>
      </c>
      <c r="M428" s="396">
        <f>+INPUT!N471</f>
        <v>6.3444924406047534</v>
      </c>
      <c r="N428" s="398">
        <f>+INPUT!O471</f>
        <v>795.8</v>
      </c>
      <c r="O428" s="396">
        <f>+INPUT!P471</f>
        <v>6.4900307774655488</v>
      </c>
      <c r="P428" s="398">
        <f>+INPUT!Q471</f>
        <v>815.9</v>
      </c>
      <c r="Q428" s="396">
        <f>+INPUT!R471</f>
        <v>7.894736842105246</v>
      </c>
      <c r="R428" s="398">
        <f>+INPUT!S471</f>
        <v>830.1</v>
      </c>
      <c r="S428" s="396">
        <f>+INPUT!T471</f>
        <v>7.5398367664205352</v>
      </c>
      <c r="T428" s="398">
        <f>+INPUT!U471</f>
        <v>829.5</v>
      </c>
      <c r="U428" s="396">
        <f>+INPUT!V471</f>
        <v>5.2932216298553101</v>
      </c>
      <c r="V428" s="398">
        <f>+INPUT!W471</f>
        <v>817.8</v>
      </c>
      <c r="W428" s="396">
        <f>+INPUT!X471</f>
        <v>2.7645136969087787</v>
      </c>
      <c r="X428" s="398">
        <f>+INPUT!Y471</f>
        <v>0</v>
      </c>
      <c r="Y428" s="396">
        <f>+INPUT!Z471</f>
        <v>0</v>
      </c>
      <c r="Z428" s="398">
        <f>+INPUT!AA471</f>
        <v>0</v>
      </c>
      <c r="AA428" s="396">
        <f>+INPUT!AB471</f>
        <v>0</v>
      </c>
      <c r="AB428" s="398">
        <f>+INPUT!AC471</f>
        <v>0</v>
      </c>
      <c r="AC428" s="396">
        <f>+INPUT!AD471</f>
        <v>0</v>
      </c>
      <c r="AD428" s="398">
        <f>+INPUT!AE471</f>
        <v>0</v>
      </c>
      <c r="AE428" s="396">
        <f>+INPUT!AF471</f>
        <v>0</v>
      </c>
      <c r="AF428" s="398">
        <f>+INPUT!AG471</f>
        <v>0</v>
      </c>
      <c r="AG428" s="396" t="str">
        <f>+INPUT!AH471</f>
        <v>NA</v>
      </c>
      <c r="AH428" s="398">
        <f>+INPUT!AI471</f>
        <v>0</v>
      </c>
      <c r="AI428" s="396" t="str">
        <f>+INPUT!AJ471</f>
        <v>NA</v>
      </c>
      <c r="AJ428" s="398">
        <f>+INPUT!AK471</f>
        <v>0</v>
      </c>
      <c r="AK428" s="396" t="str">
        <f>+INPUT!AL471</f>
        <v>NA</v>
      </c>
      <c r="AL428" s="398">
        <f>+INPUT!AM471</f>
        <v>0</v>
      </c>
      <c r="AM428" s="396" t="str">
        <f>+INPUT!AN471</f>
        <v>NA</v>
      </c>
      <c r="AN428" s="398">
        <f>+INPUT!AO471</f>
        <v>0</v>
      </c>
      <c r="AO428" s="396" t="str">
        <f>+INPUT!AP471</f>
        <v>NA</v>
      </c>
      <c r="AP428" s="398">
        <f>+INPUT!AQ471</f>
        <v>0</v>
      </c>
      <c r="AQ428" s="396" t="str">
        <f>+INPUT!AR471</f>
        <v>NA</v>
      </c>
      <c r="AR428" s="398">
        <f>+INPUT!AS471</f>
        <v>0</v>
      </c>
      <c r="AS428" s="396" t="str">
        <f>+INPUT!AT471</f>
        <v>NA</v>
      </c>
      <c r="AT428" s="398">
        <f>+INPUT!AU471</f>
        <v>0</v>
      </c>
      <c r="AU428" s="396" t="str">
        <f>+INPUT!AV471</f>
        <v>NA</v>
      </c>
      <c r="AV428" s="398">
        <f>+INPUT!AW471</f>
        <v>0</v>
      </c>
      <c r="AW428" s="396" t="str">
        <f>+INPUT!AX471</f>
        <v>NA</v>
      </c>
      <c r="AX428" s="398"/>
      <c r="AY428" s="398"/>
      <c r="AZ428" s="396"/>
      <c r="BA428" s="398"/>
      <c r="BB428" s="396"/>
      <c r="BC428" s="398"/>
      <c r="BD428" s="396"/>
      <c r="BE428" s="398"/>
      <c r="BF428" s="396"/>
      <c r="BG428" s="398"/>
      <c r="BH428" s="396"/>
      <c r="BI428" s="398"/>
      <c r="BJ428" s="396"/>
      <c r="BK428" s="398"/>
      <c r="BL428" s="396"/>
      <c r="BM428" s="398"/>
      <c r="BN428" s="396"/>
      <c r="BO428" s="398"/>
      <c r="BP428" s="396"/>
      <c r="BQ428" s="398"/>
      <c r="BR428" s="396"/>
      <c r="BS428" s="398">
        <f>+INPUT!BB471</f>
        <v>829.5</v>
      </c>
      <c r="BT428" s="396" t="str">
        <f>+INPUT!BC471</f>
        <v>NA</v>
      </c>
      <c r="BU428" s="398">
        <f>+INPUT!BD471</f>
        <v>817.8</v>
      </c>
      <c r="BV428" s="396">
        <f>+INPUT!BE471</f>
        <v>-1.4104882459312904</v>
      </c>
      <c r="BW428" s="398">
        <f>+INPUT!BF471</f>
        <v>0</v>
      </c>
      <c r="BX428" s="396" t="str">
        <f>+INPUT!BG471</f>
        <v>NM</v>
      </c>
      <c r="BY428" s="398">
        <f>+INPUT!BH471</f>
        <v>0</v>
      </c>
      <c r="BZ428" s="396" t="str">
        <f>+INPUT!BI471</f>
        <v>NA</v>
      </c>
      <c r="CA428" s="398">
        <f>+INPUT!BJ471</f>
        <v>0</v>
      </c>
      <c r="CB428" s="396" t="str">
        <f>+INPUT!BK471</f>
        <v>NA</v>
      </c>
      <c r="CC428" s="398">
        <f>+INPUT!BL471</f>
        <v>0</v>
      </c>
      <c r="CD428" s="396" t="str">
        <f>+INPUT!BM471</f>
        <v>NA</v>
      </c>
      <c r="CE428" s="398">
        <f>+INPUT!BN471</f>
        <v>0</v>
      </c>
      <c r="CF428" s="396" t="str">
        <f>+INPUT!BO471</f>
        <v>NA</v>
      </c>
      <c r="CG428" s="398">
        <f>+INPUT!BP471</f>
        <v>0</v>
      </c>
      <c r="CH428" s="396" t="str">
        <f>+INPUT!BQ471</f>
        <v>NA</v>
      </c>
      <c r="CI428" s="398">
        <f>+INPUT!BR471</f>
        <v>0</v>
      </c>
      <c r="CJ428" s="396" t="str">
        <f>+INPUT!BS471</f>
        <v>NA</v>
      </c>
      <c r="CK428" s="398">
        <f>+INPUT!BT471</f>
        <v>0</v>
      </c>
      <c r="CL428" s="396" t="str">
        <f>+INPUT!BU471</f>
        <v>NA</v>
      </c>
      <c r="CM428" s="399" t="str">
        <f>+INPUT!BV471</f>
        <v>NA</v>
      </c>
    </row>
    <row r="429" spans="1:91" ht="12" hidden="1" customHeight="1" outlineLevel="1" x14ac:dyDescent="0.2">
      <c r="A429" s="400" t="str">
        <f>+INPUT!B472</f>
        <v>Individual Disability</v>
      </c>
      <c r="B429" s="398">
        <f>+INPUT!C472</f>
        <v>1149.7</v>
      </c>
      <c r="C429" s="396" t="str">
        <f>+INPUT!D472</f>
        <v>NA</v>
      </c>
      <c r="D429" s="398">
        <f>+INPUT!E472</f>
        <v>1160.4000000000001</v>
      </c>
      <c r="E429" s="396" t="str">
        <f>+INPUT!F472</f>
        <v>NA</v>
      </c>
      <c r="F429" s="398">
        <f>+INPUT!G472</f>
        <v>1192.0999999999999</v>
      </c>
      <c r="G429" s="396" t="str">
        <f>+INPUT!H472</f>
        <v>NA</v>
      </c>
      <c r="H429" s="398">
        <f>+INPUT!I472</f>
        <v>1225.8</v>
      </c>
      <c r="I429" s="396" t="str">
        <f>+INPUT!J472</f>
        <v>NA</v>
      </c>
      <c r="J429" s="398">
        <f>+INPUT!K472</f>
        <v>1272.5999999999999</v>
      </c>
      <c r="K429" s="396">
        <f>+INPUT!L472</f>
        <v>10.689745150908919</v>
      </c>
      <c r="L429" s="398">
        <f>+INPUT!M472</f>
        <v>1313.1</v>
      </c>
      <c r="M429" s="396">
        <f>+INPUT!N472</f>
        <v>13.159255429162343</v>
      </c>
      <c r="N429" s="398">
        <f>+INPUT!O472</f>
        <v>1351.1</v>
      </c>
      <c r="O429" s="396">
        <f>+INPUT!P472</f>
        <v>13.337807230937003</v>
      </c>
      <c r="P429" s="398">
        <f>+INPUT!Q472</f>
        <v>1389.4</v>
      </c>
      <c r="Q429" s="396">
        <f>+INPUT!R472</f>
        <v>13.346386033610713</v>
      </c>
      <c r="R429" s="398">
        <f>+INPUT!S472</f>
        <v>1426.5</v>
      </c>
      <c r="S429" s="396">
        <f>+INPUT!T472</f>
        <v>12.09335219236209</v>
      </c>
      <c r="T429" s="398">
        <f>+INPUT!U472</f>
        <v>1440.2</v>
      </c>
      <c r="U429" s="396">
        <f>+INPUT!V472</f>
        <v>9.679384662249646</v>
      </c>
      <c r="V429" s="398">
        <f>+INPUT!W472</f>
        <v>1469.5</v>
      </c>
      <c r="W429" s="396">
        <f>+INPUT!X472</f>
        <v>8.7632299607727049</v>
      </c>
      <c r="X429" s="398">
        <f>+INPUT!Y472</f>
        <v>0</v>
      </c>
      <c r="Y429" s="396">
        <f>+INPUT!Z472</f>
        <v>0</v>
      </c>
      <c r="Z429" s="398">
        <f>+INPUT!AA472</f>
        <v>0</v>
      </c>
      <c r="AA429" s="396">
        <f>+INPUT!AB472</f>
        <v>0</v>
      </c>
      <c r="AB429" s="398">
        <f>+INPUT!AC472</f>
        <v>0</v>
      </c>
      <c r="AC429" s="396">
        <f>+INPUT!AD472</f>
        <v>0</v>
      </c>
      <c r="AD429" s="398">
        <f>+INPUT!AE472</f>
        <v>0</v>
      </c>
      <c r="AE429" s="396">
        <f>+INPUT!AF472</f>
        <v>0</v>
      </c>
      <c r="AF429" s="398">
        <f>+INPUT!AG472</f>
        <v>0</v>
      </c>
      <c r="AG429" s="396" t="str">
        <f>+INPUT!AH472</f>
        <v>NA</v>
      </c>
      <c r="AH429" s="398">
        <f>+INPUT!AI472</f>
        <v>0</v>
      </c>
      <c r="AI429" s="396" t="str">
        <f>+INPUT!AJ472</f>
        <v>NA</v>
      </c>
      <c r="AJ429" s="398">
        <f>+INPUT!AK472</f>
        <v>0</v>
      </c>
      <c r="AK429" s="396" t="str">
        <f>+INPUT!AL472</f>
        <v>NA</v>
      </c>
      <c r="AL429" s="398">
        <f>+INPUT!AM472</f>
        <v>0</v>
      </c>
      <c r="AM429" s="396" t="str">
        <f>+INPUT!AN472</f>
        <v>NA</v>
      </c>
      <c r="AN429" s="398">
        <f>+INPUT!AO472</f>
        <v>0</v>
      </c>
      <c r="AO429" s="396" t="str">
        <f>+INPUT!AP472</f>
        <v>NA</v>
      </c>
      <c r="AP429" s="398">
        <f>+INPUT!AQ472</f>
        <v>0</v>
      </c>
      <c r="AQ429" s="396" t="str">
        <f>+INPUT!AR472</f>
        <v>NA</v>
      </c>
      <c r="AR429" s="398">
        <f>+INPUT!AS472</f>
        <v>0</v>
      </c>
      <c r="AS429" s="396" t="str">
        <f>+INPUT!AT472</f>
        <v>NA</v>
      </c>
      <c r="AT429" s="398">
        <f>+INPUT!AU472</f>
        <v>0</v>
      </c>
      <c r="AU429" s="396" t="str">
        <f>+INPUT!AV472</f>
        <v>NA</v>
      </c>
      <c r="AV429" s="398">
        <f>+INPUT!AW472</f>
        <v>0</v>
      </c>
      <c r="AW429" s="396" t="str">
        <f>+INPUT!AX472</f>
        <v>NA</v>
      </c>
      <c r="AX429" s="398"/>
      <c r="AY429" s="398"/>
      <c r="AZ429" s="396"/>
      <c r="BA429" s="398"/>
      <c r="BB429" s="396"/>
      <c r="BC429" s="398"/>
      <c r="BD429" s="396"/>
      <c r="BE429" s="398"/>
      <c r="BF429" s="396"/>
      <c r="BG429" s="398"/>
      <c r="BH429" s="396"/>
      <c r="BI429" s="398"/>
      <c r="BJ429" s="396"/>
      <c r="BK429" s="398"/>
      <c r="BL429" s="396"/>
      <c r="BM429" s="398"/>
      <c r="BN429" s="396"/>
      <c r="BO429" s="398"/>
      <c r="BP429" s="396"/>
      <c r="BQ429" s="398"/>
      <c r="BR429" s="396"/>
      <c r="BS429" s="398">
        <f>+INPUT!BB472</f>
        <v>1440.2</v>
      </c>
      <c r="BT429" s="396" t="str">
        <f>+INPUT!BC472</f>
        <v>NA</v>
      </c>
      <c r="BU429" s="398">
        <f>+INPUT!BD472</f>
        <v>1469.5</v>
      </c>
      <c r="BV429" s="396">
        <f>+INPUT!BE472</f>
        <v>2.0344396611581743</v>
      </c>
      <c r="BW429" s="398">
        <f>+INPUT!BF472</f>
        <v>0</v>
      </c>
      <c r="BX429" s="396" t="str">
        <f>+INPUT!BG472</f>
        <v>NM</v>
      </c>
      <c r="BY429" s="398">
        <f>+INPUT!BH472</f>
        <v>0</v>
      </c>
      <c r="BZ429" s="396" t="str">
        <f>+INPUT!BI472</f>
        <v>NA</v>
      </c>
      <c r="CA429" s="398">
        <f>+INPUT!BJ472</f>
        <v>0</v>
      </c>
      <c r="CB429" s="396" t="str">
        <f>+INPUT!BK472</f>
        <v>NA</v>
      </c>
      <c r="CC429" s="398">
        <f>+INPUT!BL472</f>
        <v>0</v>
      </c>
      <c r="CD429" s="396" t="str">
        <f>+INPUT!BM472</f>
        <v>NA</v>
      </c>
      <c r="CE429" s="398">
        <f>+INPUT!BN472</f>
        <v>0</v>
      </c>
      <c r="CF429" s="396" t="str">
        <f>+INPUT!BO472</f>
        <v>NA</v>
      </c>
      <c r="CG429" s="398">
        <f>+INPUT!BP472</f>
        <v>0</v>
      </c>
      <c r="CH429" s="396" t="str">
        <f>+INPUT!BQ472</f>
        <v>NA</v>
      </c>
      <c r="CI429" s="398">
        <f>+INPUT!BR472</f>
        <v>0</v>
      </c>
      <c r="CJ429" s="396" t="str">
        <f>+INPUT!BS472</f>
        <v>NA</v>
      </c>
      <c r="CK429" s="398">
        <f>+INPUT!BT472</f>
        <v>0</v>
      </c>
      <c r="CL429" s="396" t="str">
        <f>+INPUT!BU472</f>
        <v>NA</v>
      </c>
      <c r="CM429" s="399" t="str">
        <f>+INPUT!BV472</f>
        <v>NA</v>
      </c>
    </row>
    <row r="430" spans="1:91" ht="12" hidden="1" customHeight="1" outlineLevel="1" x14ac:dyDescent="0.2">
      <c r="A430" s="394"/>
      <c r="B430" s="461"/>
      <c r="C430" s="424"/>
      <c r="D430" s="461"/>
      <c r="E430" s="382"/>
      <c r="F430" s="461"/>
      <c r="G430" s="382"/>
      <c r="H430" s="461"/>
      <c r="I430" s="382"/>
      <c r="J430" s="461"/>
      <c r="K430" s="382"/>
      <c r="L430" s="461"/>
      <c r="M430" s="382"/>
      <c r="N430" s="461"/>
      <c r="O430" s="382"/>
      <c r="P430" s="461"/>
      <c r="Q430" s="382"/>
      <c r="R430" s="461"/>
      <c r="S430" s="382"/>
      <c r="T430" s="461"/>
      <c r="U430" s="382"/>
      <c r="V430" s="461"/>
      <c r="W430" s="382"/>
      <c r="X430" s="461"/>
      <c r="Y430" s="382"/>
      <c r="Z430" s="461"/>
      <c r="AA430" s="382"/>
      <c r="AB430" s="461"/>
      <c r="AC430" s="382"/>
      <c r="AD430" s="461"/>
      <c r="AE430" s="382"/>
      <c r="AF430" s="461"/>
      <c r="AG430" s="382"/>
      <c r="AH430" s="461"/>
      <c r="AI430" s="382"/>
      <c r="AJ430" s="461"/>
      <c r="AK430" s="382"/>
      <c r="AL430" s="461"/>
      <c r="AM430" s="382"/>
      <c r="AN430" s="461"/>
      <c r="AO430" s="382"/>
      <c r="AP430" s="461"/>
      <c r="AQ430" s="382"/>
      <c r="AR430" s="461"/>
      <c r="AS430" s="382"/>
      <c r="AT430" s="461"/>
      <c r="AU430" s="382"/>
      <c r="AV430" s="461"/>
      <c r="AW430" s="382"/>
      <c r="AX430" s="398"/>
      <c r="AY430" s="461"/>
      <c r="AZ430" s="424"/>
      <c r="BA430" s="461"/>
      <c r="BB430" s="424"/>
      <c r="BC430" s="461"/>
      <c r="BD430" s="424"/>
      <c r="BE430" s="461"/>
      <c r="BF430" s="382"/>
      <c r="BG430" s="461"/>
      <c r="BH430" s="382"/>
      <c r="BI430" s="461"/>
      <c r="BJ430" s="382"/>
      <c r="BK430" s="461"/>
      <c r="BL430" s="382"/>
      <c r="BM430" s="461"/>
      <c r="BN430" s="382"/>
      <c r="BO430" s="461"/>
      <c r="BP430" s="382"/>
      <c r="BQ430" s="461"/>
      <c r="BR430" s="382"/>
      <c r="BS430" s="461"/>
      <c r="BT430" s="382"/>
      <c r="BU430" s="461"/>
      <c r="BV430" s="382"/>
      <c r="BW430" s="461"/>
      <c r="BX430" s="382"/>
      <c r="BY430" s="461"/>
      <c r="BZ430" s="382"/>
      <c r="CA430" s="461"/>
      <c r="CB430" s="382"/>
      <c r="CC430" s="461"/>
      <c r="CD430" s="382"/>
      <c r="CE430" s="461"/>
      <c r="CF430" s="382"/>
      <c r="CG430" s="461"/>
      <c r="CH430" s="382"/>
      <c r="CI430" s="461"/>
      <c r="CJ430" s="382"/>
      <c r="CK430" s="461"/>
      <c r="CL430" s="382"/>
      <c r="CM430" s="424"/>
    </row>
    <row r="431" spans="1:91" ht="19.5" hidden="1" customHeight="1" outlineLevel="1" x14ac:dyDescent="0.25">
      <c r="A431" s="471" t="str">
        <f>+$A$1</f>
        <v>Principal Financial Group</v>
      </c>
      <c r="B431" s="381"/>
      <c r="C431" s="382"/>
      <c r="D431" s="381"/>
      <c r="E431" s="382"/>
      <c r="F431" s="381"/>
      <c r="G431" s="382"/>
      <c r="H431" s="381"/>
      <c r="I431" s="382"/>
      <c r="J431" s="381"/>
      <c r="K431" s="382"/>
      <c r="L431" s="381"/>
      <c r="M431" s="382"/>
      <c r="N431" s="381"/>
      <c r="O431" s="382"/>
      <c r="P431" s="381"/>
      <c r="Q431" s="382"/>
      <c r="R431" s="381"/>
      <c r="S431" s="382"/>
      <c r="T431" s="381"/>
      <c r="U431" s="382"/>
      <c r="V431" s="381"/>
      <c r="W431" s="382"/>
      <c r="X431" s="381"/>
      <c r="Y431" s="382"/>
      <c r="Z431" s="381"/>
      <c r="AA431" s="382"/>
      <c r="AB431" s="381"/>
      <c r="AC431" s="382"/>
      <c r="AD431" s="381"/>
      <c r="AE431" s="382"/>
      <c r="AF431" s="381"/>
      <c r="AG431" s="382"/>
      <c r="AH431" s="381"/>
      <c r="AI431" s="382"/>
      <c r="AJ431" s="381"/>
      <c r="AK431" s="382"/>
      <c r="AL431" s="381"/>
      <c r="AM431" s="382"/>
      <c r="AN431" s="381"/>
      <c r="AO431" s="382"/>
      <c r="AP431" s="381"/>
      <c r="AQ431" s="382"/>
      <c r="AR431" s="381"/>
      <c r="AS431" s="382"/>
      <c r="AT431" s="381"/>
      <c r="AU431" s="382"/>
      <c r="AV431" s="381"/>
      <c r="AW431" s="382"/>
      <c r="AX431" s="382"/>
      <c r="AY431" s="381"/>
      <c r="AZ431" s="382"/>
      <c r="BA431" s="381"/>
      <c r="BB431" s="382"/>
      <c r="BC431" s="381"/>
      <c r="BD431" s="382"/>
      <c r="BE431" s="381"/>
      <c r="BF431" s="382"/>
      <c r="BG431" s="381"/>
      <c r="BH431" s="382"/>
      <c r="BI431" s="381"/>
      <c r="BJ431" s="382"/>
      <c r="BK431" s="381"/>
      <c r="BL431" s="382"/>
      <c r="BM431" s="381"/>
      <c r="BN431" s="382"/>
      <c r="BO431" s="381"/>
      <c r="BP431" s="382"/>
      <c r="BQ431" s="381"/>
      <c r="BR431" s="382"/>
      <c r="BS431" s="381"/>
      <c r="BT431" s="382"/>
      <c r="BU431" s="381"/>
      <c r="BV431" s="382"/>
      <c r="BW431" s="381"/>
      <c r="BX431" s="382"/>
      <c r="BY431" s="381"/>
      <c r="BZ431" s="382"/>
      <c r="CA431" s="381"/>
      <c r="CB431" s="382"/>
      <c r="CC431" s="381"/>
      <c r="CD431" s="382"/>
      <c r="CE431" s="381"/>
      <c r="CF431" s="382"/>
      <c r="CG431" s="381"/>
      <c r="CH431" s="382"/>
      <c r="CI431" s="381"/>
      <c r="CJ431" s="382"/>
      <c r="CK431" s="381"/>
      <c r="CL431" s="382"/>
      <c r="CM431" s="382"/>
    </row>
    <row r="432" spans="1:91" ht="12" hidden="1" customHeight="1" outlineLevel="1" x14ac:dyDescent="0.2">
      <c r="A432" s="383" t="s">
        <v>475</v>
      </c>
      <c r="B432" s="384"/>
      <c r="C432" s="385"/>
      <c r="D432" s="384"/>
      <c r="E432" s="385"/>
      <c r="F432" s="384"/>
      <c r="G432" s="385"/>
      <c r="H432" s="384"/>
      <c r="I432" s="385"/>
      <c r="J432" s="384"/>
      <c r="K432" s="385"/>
      <c r="L432" s="384"/>
      <c r="M432" s="385"/>
      <c r="N432" s="384"/>
      <c r="O432" s="385"/>
      <c r="P432" s="384"/>
      <c r="Q432" s="385"/>
      <c r="R432" s="384"/>
      <c r="S432" s="385"/>
      <c r="T432" s="384"/>
      <c r="U432" s="385"/>
      <c r="V432" s="384"/>
      <c r="W432" s="385"/>
      <c r="X432" s="384"/>
      <c r="Y432" s="385"/>
      <c r="Z432" s="384"/>
      <c r="AA432" s="385"/>
      <c r="AB432" s="384"/>
      <c r="AC432" s="385"/>
      <c r="AD432" s="384"/>
      <c r="AE432" s="385"/>
      <c r="AF432" s="384"/>
      <c r="AG432" s="385"/>
      <c r="AH432" s="384"/>
      <c r="AI432" s="385"/>
      <c r="AJ432" s="384"/>
      <c r="AK432" s="385"/>
      <c r="AL432" s="384"/>
      <c r="AM432" s="385"/>
      <c r="AN432" s="384"/>
      <c r="AO432" s="385"/>
      <c r="AP432" s="384"/>
      <c r="AQ432" s="385"/>
      <c r="AR432" s="384"/>
      <c r="AS432" s="385"/>
      <c r="AT432" s="384"/>
      <c r="AU432" s="385"/>
      <c r="AV432" s="384"/>
      <c r="AW432" s="385"/>
      <c r="AX432" s="385"/>
      <c r="AY432" s="384"/>
      <c r="AZ432" s="385"/>
      <c r="BA432" s="384"/>
      <c r="BB432" s="385"/>
      <c r="BC432" s="384"/>
      <c r="BD432" s="385"/>
      <c r="BE432" s="384"/>
      <c r="BF432" s="385"/>
      <c r="BG432" s="384"/>
      <c r="BH432" s="385"/>
      <c r="BI432" s="384"/>
      <c r="BJ432" s="385"/>
      <c r="BK432" s="384"/>
      <c r="BL432" s="385"/>
      <c r="BM432" s="384"/>
      <c r="BN432" s="385"/>
      <c r="BO432" s="384"/>
      <c r="BP432" s="385"/>
      <c r="BQ432" s="384"/>
      <c r="BR432" s="385"/>
      <c r="BS432" s="384"/>
      <c r="BT432" s="385"/>
      <c r="BU432" s="384"/>
      <c r="BV432" s="385"/>
      <c r="BW432" s="384"/>
      <c r="BX432" s="385"/>
      <c r="BY432" s="384"/>
      <c r="BZ432" s="385"/>
      <c r="CA432" s="384"/>
      <c r="CB432" s="385"/>
      <c r="CC432" s="384"/>
      <c r="CD432" s="385"/>
      <c r="CE432" s="384"/>
      <c r="CF432" s="385"/>
      <c r="CG432" s="384"/>
      <c r="CH432" s="385"/>
      <c r="CI432" s="384"/>
      <c r="CJ432" s="385"/>
      <c r="CK432" s="384"/>
      <c r="CL432" s="385"/>
      <c r="CM432" s="385"/>
    </row>
    <row r="433" spans="1:91" s="374" customFormat="1" ht="12" hidden="1" customHeight="1" outlineLevel="1" x14ac:dyDescent="0.2">
      <c r="A433" s="378" t="s">
        <v>243</v>
      </c>
      <c r="B433" s="427"/>
      <c r="C433" s="428" t="str">
        <f>INPUT!D$4</f>
        <v>1Q13/</v>
      </c>
      <c r="D433" s="427"/>
      <c r="E433" s="428" t="str">
        <f>INPUT!F$4</f>
        <v>2Q13/</v>
      </c>
      <c r="F433" s="427"/>
      <c r="G433" s="428" t="str">
        <f>INPUT!H$4</f>
        <v>3Q13/</v>
      </c>
      <c r="H433" s="427"/>
      <c r="I433" s="428" t="str">
        <f>INPUT!J$4</f>
        <v>4Q13/</v>
      </c>
      <c r="J433" s="427"/>
      <c r="K433" s="428" t="str">
        <f>INPUT!L$4</f>
        <v>1Q14/</v>
      </c>
      <c r="L433" s="427"/>
      <c r="M433" s="428" t="str">
        <f>INPUT!N$4</f>
        <v>2Q14/</v>
      </c>
      <c r="N433" s="427"/>
      <c r="O433" s="428" t="str">
        <f>INPUT!P$4</f>
        <v>3Q14/</v>
      </c>
      <c r="P433" s="427"/>
      <c r="Q433" s="428" t="str">
        <f>INPUT!R$4</f>
        <v>4Q14/</v>
      </c>
      <c r="R433" s="427"/>
      <c r="S433" s="428" t="str">
        <f>INPUT!T$4</f>
        <v>1Q15/</v>
      </c>
      <c r="T433" s="427"/>
      <c r="U433" s="428" t="str">
        <f>INPUT!V$4</f>
        <v>2Q15/</v>
      </c>
      <c r="V433" s="427"/>
      <c r="W433" s="428" t="str">
        <f>INPUT!X$4</f>
        <v>3Q15/</v>
      </c>
      <c r="X433" s="427"/>
      <c r="Y433" s="428" t="str">
        <f>INPUT!Z$4</f>
        <v>4Q15/</v>
      </c>
      <c r="Z433" s="427"/>
      <c r="AA433" s="428" t="str">
        <f>INPUT!AB$4</f>
        <v>1Q16/</v>
      </c>
      <c r="AB433" s="427"/>
      <c r="AC433" s="428" t="str">
        <f>INPUT!AD$4</f>
        <v>2Q16/</v>
      </c>
      <c r="AD433" s="427"/>
      <c r="AE433" s="428" t="str">
        <f>INPUT!AF$4</f>
        <v>3Q16/</v>
      </c>
      <c r="AF433" s="427"/>
      <c r="AG433" s="428" t="str">
        <f>INPUT!AH$4</f>
        <v>4Q16/</v>
      </c>
      <c r="AH433" s="427"/>
      <c r="AI433" s="428" t="str">
        <f>INPUT!AJ$4</f>
        <v>1Q17/</v>
      </c>
      <c r="AJ433" s="427"/>
      <c r="AK433" s="428" t="str">
        <f>INPUT!AL$4</f>
        <v>2Q17/</v>
      </c>
      <c r="AL433" s="427"/>
      <c r="AM433" s="428" t="str">
        <f>INPUT!AN$4</f>
        <v>3Q17/</v>
      </c>
      <c r="AN433" s="427"/>
      <c r="AO433" s="428" t="str">
        <f>INPUT!AP$4</f>
        <v>4Q17/</v>
      </c>
      <c r="AP433" s="427"/>
      <c r="AQ433" s="428" t="str">
        <f>INPUT!AR$4</f>
        <v>1Q18E/</v>
      </c>
      <c r="AR433" s="427"/>
      <c r="AS433" s="428" t="str">
        <f>INPUT!AT$4</f>
        <v>2Q18E/</v>
      </c>
      <c r="AT433" s="427"/>
      <c r="AU433" s="428" t="str">
        <f>INPUT!AV$4</f>
        <v>3Q18E/</v>
      </c>
      <c r="AV433" s="427"/>
      <c r="AW433" s="428" t="str">
        <f>INPUT!AX$4</f>
        <v>4Q18E/</v>
      </c>
      <c r="AX433" s="427"/>
      <c r="AY433" s="427"/>
      <c r="AZ433" s="428"/>
      <c r="BA433" s="427"/>
      <c r="BB433" s="428"/>
      <c r="BC433" s="427"/>
      <c r="BD433" s="428"/>
      <c r="BE433" s="427"/>
      <c r="BF433" s="428"/>
      <c r="BG433" s="427"/>
      <c r="BH433" s="428"/>
      <c r="BI433" s="427"/>
      <c r="BJ433" s="428"/>
      <c r="BK433" s="427"/>
      <c r="BL433" s="428"/>
      <c r="BM433" s="427"/>
      <c r="BN433" s="428"/>
      <c r="BO433" s="427"/>
      <c r="BP433" s="428"/>
      <c r="BQ433" s="427"/>
      <c r="BR433" s="428"/>
      <c r="BS433" s="427"/>
      <c r="BT433" s="428" t="str">
        <f>INPUT!BC$4</f>
        <v>2013/</v>
      </c>
      <c r="BU433" s="427"/>
      <c r="BV433" s="428" t="str">
        <f>INPUT!BE$4</f>
        <v>2014/</v>
      </c>
      <c r="BW433" s="427"/>
      <c r="BX433" s="428" t="str">
        <f>INPUT!BG$4</f>
        <v>2015/</v>
      </c>
      <c r="BY433" s="427"/>
      <c r="BZ433" s="428" t="str">
        <f>INPUT!BI$4</f>
        <v>2016/</v>
      </c>
      <c r="CA433" s="427"/>
      <c r="CB433" s="428" t="str">
        <f>INPUT!BK$4</f>
        <v>2017/</v>
      </c>
      <c r="CC433" s="427"/>
      <c r="CD433" s="428" t="str">
        <f>INPUT!BM$4</f>
        <v>2018E/</v>
      </c>
      <c r="CE433" s="427"/>
      <c r="CF433" s="428" t="str">
        <f>INPUT!BO$4</f>
        <v>2019E/</v>
      </c>
      <c r="CG433" s="427"/>
      <c r="CH433" s="428" t="str">
        <f>INPUT!BQ$4</f>
        <v>2020E/</v>
      </c>
      <c r="CI433" s="427"/>
      <c r="CJ433" s="428" t="str">
        <f>INPUT!BS$4</f>
        <v>2021E/</v>
      </c>
      <c r="CK433" s="427"/>
      <c r="CL433" s="428" t="str">
        <f>INPUT!BU$4</f>
        <v>2022E/</v>
      </c>
      <c r="CM433" s="428" t="str">
        <f>INPUT!BV$4</f>
        <v>5-Yr</v>
      </c>
    </row>
    <row r="434" spans="1:91" s="374" customFormat="1" ht="12" hidden="1" customHeight="1" outlineLevel="1" x14ac:dyDescent="0.2">
      <c r="A434" s="387"/>
      <c r="B434" s="386"/>
      <c r="C434" s="385">
        <f>INPUT!D$5</f>
        <v>0</v>
      </c>
      <c r="D434" s="386"/>
      <c r="E434" s="385">
        <f>INPUT!F$5</f>
        <v>0</v>
      </c>
      <c r="F434" s="386"/>
      <c r="G434" s="385">
        <f>INPUT!H$5</f>
        <v>0</v>
      </c>
      <c r="H434" s="386"/>
      <c r="I434" s="385">
        <f>INPUT!J$5</f>
        <v>0</v>
      </c>
      <c r="J434" s="386"/>
      <c r="K434" s="385" t="str">
        <f>INPUT!L$5</f>
        <v>1Q13</v>
      </c>
      <c r="L434" s="386"/>
      <c r="M434" s="385" t="str">
        <f>INPUT!N$5</f>
        <v>2Q13</v>
      </c>
      <c r="N434" s="386"/>
      <c r="O434" s="385" t="str">
        <f>INPUT!P$5</f>
        <v>3Q13</v>
      </c>
      <c r="P434" s="386"/>
      <c r="Q434" s="385" t="str">
        <f>INPUT!R$5</f>
        <v>4Q13</v>
      </c>
      <c r="R434" s="386"/>
      <c r="S434" s="385" t="str">
        <f>INPUT!T$5</f>
        <v>1Q14</v>
      </c>
      <c r="T434" s="386"/>
      <c r="U434" s="385" t="str">
        <f>INPUT!V$5</f>
        <v>2Q14</v>
      </c>
      <c r="V434" s="386"/>
      <c r="W434" s="385" t="str">
        <f>INPUT!X$5</f>
        <v>3Q14</v>
      </c>
      <c r="X434" s="386"/>
      <c r="Y434" s="385" t="str">
        <f>INPUT!Z$5</f>
        <v>4Q14</v>
      </c>
      <c r="Z434" s="386"/>
      <c r="AA434" s="385" t="str">
        <f>INPUT!AB$5</f>
        <v>1Q15</v>
      </c>
      <c r="AB434" s="386"/>
      <c r="AC434" s="385" t="str">
        <f>INPUT!AD$5</f>
        <v>2Q15</v>
      </c>
      <c r="AD434" s="386"/>
      <c r="AE434" s="385" t="str">
        <f>INPUT!AF$5</f>
        <v>3Q15</v>
      </c>
      <c r="AF434" s="386"/>
      <c r="AG434" s="385" t="str">
        <f>INPUT!AH$5</f>
        <v>4Q15</v>
      </c>
      <c r="AH434" s="386"/>
      <c r="AI434" s="385" t="str">
        <f>INPUT!AJ$5</f>
        <v>1Q16</v>
      </c>
      <c r="AJ434" s="386"/>
      <c r="AK434" s="385" t="str">
        <f>INPUT!AL$5</f>
        <v>2Q16</v>
      </c>
      <c r="AL434" s="386"/>
      <c r="AM434" s="385" t="str">
        <f>INPUT!AN$5</f>
        <v>3Q16</v>
      </c>
      <c r="AN434" s="386"/>
      <c r="AO434" s="385" t="str">
        <f>INPUT!AP$5</f>
        <v>4Q16</v>
      </c>
      <c r="AP434" s="386"/>
      <c r="AQ434" s="385" t="str">
        <f>INPUT!AR$5</f>
        <v>1Q17</v>
      </c>
      <c r="AR434" s="386"/>
      <c r="AS434" s="385" t="str">
        <f>INPUT!AT$5</f>
        <v>2Q17</v>
      </c>
      <c r="AT434" s="386"/>
      <c r="AU434" s="385" t="str">
        <f>INPUT!AV$5</f>
        <v>3Q17</v>
      </c>
      <c r="AV434" s="386"/>
      <c r="AW434" s="385" t="str">
        <f>INPUT!AX$5</f>
        <v>4Q17</v>
      </c>
      <c r="AX434" s="386"/>
      <c r="AY434" s="386"/>
      <c r="AZ434" s="385"/>
      <c r="BA434" s="388"/>
      <c r="BB434" s="385"/>
      <c r="BC434" s="386"/>
      <c r="BD434" s="385"/>
      <c r="BE434" s="386"/>
      <c r="BF434" s="385"/>
      <c r="BG434" s="386"/>
      <c r="BH434" s="385"/>
      <c r="BI434" s="386"/>
      <c r="BJ434" s="385"/>
      <c r="BK434" s="386"/>
      <c r="BL434" s="385"/>
      <c r="BM434" s="386"/>
      <c r="BN434" s="385"/>
      <c r="BO434" s="386"/>
      <c r="BP434" s="385"/>
      <c r="BQ434" s="386"/>
      <c r="BR434" s="385"/>
      <c r="BS434" s="386"/>
      <c r="BT434" s="385">
        <f>INPUT!BC$5</f>
        <v>0</v>
      </c>
      <c r="BU434" s="386"/>
      <c r="BV434" s="385" t="str">
        <f>INPUT!BE$5</f>
        <v>2013</v>
      </c>
      <c r="BW434" s="386"/>
      <c r="BX434" s="385" t="str">
        <f>INPUT!BG$5</f>
        <v>2014</v>
      </c>
      <c r="BY434" s="386"/>
      <c r="BZ434" s="385" t="str">
        <f>INPUT!BI$5</f>
        <v>2015</v>
      </c>
      <c r="CA434" s="386"/>
      <c r="CB434" s="385" t="str">
        <f>INPUT!BK$5</f>
        <v>2016</v>
      </c>
      <c r="CC434" s="386"/>
      <c r="CD434" s="385" t="str">
        <f>INPUT!BM$5</f>
        <v>2017</v>
      </c>
      <c r="CE434" s="386"/>
      <c r="CF434" s="385" t="str">
        <f>INPUT!BO$5</f>
        <v>2018E</v>
      </c>
      <c r="CG434" s="386"/>
      <c r="CH434" s="385" t="str">
        <f>INPUT!BQ$5</f>
        <v>2019E</v>
      </c>
      <c r="CI434" s="386"/>
      <c r="CJ434" s="385" t="str">
        <f>INPUT!BS$5</f>
        <v>2020E</v>
      </c>
      <c r="CK434" s="386"/>
      <c r="CL434" s="385" t="str">
        <f>INPUT!BU$5</f>
        <v>2021E</v>
      </c>
      <c r="CM434" s="385" t="str">
        <f>INPUT!BV$5</f>
        <v>CAGR</v>
      </c>
    </row>
    <row r="435" spans="1:91" s="374" customFormat="1" ht="12" hidden="1" customHeight="1" outlineLevel="1" x14ac:dyDescent="0.2">
      <c r="A435" s="389"/>
      <c r="B435" s="390" t="str">
        <f>INPUT!C$6</f>
        <v>1Q13</v>
      </c>
      <c r="C435" s="391" t="str">
        <f>INPUT!D$6</f>
        <v>% Chg</v>
      </c>
      <c r="D435" s="390" t="str">
        <f>INPUT!E$6</f>
        <v>2Q13</v>
      </c>
      <c r="E435" s="391" t="str">
        <f>INPUT!F$6</f>
        <v>% Chg</v>
      </c>
      <c r="F435" s="390" t="str">
        <f>INPUT!G$6</f>
        <v>3Q13</v>
      </c>
      <c r="G435" s="391" t="str">
        <f>INPUT!H$6</f>
        <v>% Chg</v>
      </c>
      <c r="H435" s="390" t="str">
        <f>INPUT!I$6</f>
        <v>4Q13</v>
      </c>
      <c r="I435" s="391" t="str">
        <f>INPUT!J$6</f>
        <v>% Chg</v>
      </c>
      <c r="J435" s="390" t="str">
        <f>INPUT!K$6</f>
        <v>1Q14</v>
      </c>
      <c r="K435" s="391" t="str">
        <f>INPUT!L$6</f>
        <v>% Chg</v>
      </c>
      <c r="L435" s="390" t="str">
        <f>INPUT!M$6</f>
        <v>2Q14</v>
      </c>
      <c r="M435" s="391" t="str">
        <f>INPUT!N$6</f>
        <v>% Chg</v>
      </c>
      <c r="N435" s="390" t="str">
        <f>INPUT!O$6</f>
        <v>3Q14</v>
      </c>
      <c r="O435" s="391" t="str">
        <f>INPUT!P$6</f>
        <v>% Chg</v>
      </c>
      <c r="P435" s="390" t="str">
        <f>INPUT!Q$6</f>
        <v>4Q14</v>
      </c>
      <c r="Q435" s="391" t="str">
        <f>INPUT!R$6</f>
        <v>% Chg</v>
      </c>
      <c r="R435" s="390" t="str">
        <f>INPUT!S$6</f>
        <v>1Q15</v>
      </c>
      <c r="S435" s="391" t="str">
        <f>INPUT!T$6</f>
        <v>% Chg</v>
      </c>
      <c r="T435" s="390" t="str">
        <f>INPUT!U$6</f>
        <v>2Q15</v>
      </c>
      <c r="U435" s="391" t="str">
        <f>INPUT!V$6</f>
        <v>% Chg</v>
      </c>
      <c r="V435" s="390" t="str">
        <f>INPUT!W$6</f>
        <v>3Q15</v>
      </c>
      <c r="W435" s="391" t="str">
        <f>INPUT!X$6</f>
        <v>% Chg</v>
      </c>
      <c r="X435" s="390" t="str">
        <f>INPUT!Y$6</f>
        <v>4Q15</v>
      </c>
      <c r="Y435" s="391" t="str">
        <f>INPUT!Z$6</f>
        <v>% Chg</v>
      </c>
      <c r="Z435" s="390" t="str">
        <f>INPUT!AA$6</f>
        <v>1Q16</v>
      </c>
      <c r="AA435" s="391" t="str">
        <f>INPUT!AB$6</f>
        <v>% Chg</v>
      </c>
      <c r="AB435" s="390" t="str">
        <f>INPUT!AC$6</f>
        <v>2Q16</v>
      </c>
      <c r="AC435" s="391" t="str">
        <f>INPUT!AD$6</f>
        <v>% Chg</v>
      </c>
      <c r="AD435" s="390" t="str">
        <f>INPUT!AE$6</f>
        <v>3Q16</v>
      </c>
      <c r="AE435" s="391" t="str">
        <f>INPUT!AF$6</f>
        <v>% Chg</v>
      </c>
      <c r="AF435" s="390" t="str">
        <f>INPUT!AG$6</f>
        <v>4Q16</v>
      </c>
      <c r="AG435" s="391" t="str">
        <f>INPUT!AH$6</f>
        <v>% Chg</v>
      </c>
      <c r="AH435" s="390" t="str">
        <f>INPUT!AI$6</f>
        <v>1Q17</v>
      </c>
      <c r="AI435" s="391" t="str">
        <f>INPUT!AJ$6</f>
        <v>% Chg</v>
      </c>
      <c r="AJ435" s="390" t="str">
        <f>INPUT!AK$6</f>
        <v>2Q17</v>
      </c>
      <c r="AK435" s="391" t="str">
        <f>INPUT!AL$6</f>
        <v>% Chg</v>
      </c>
      <c r="AL435" s="390" t="str">
        <f>INPUT!AM$6</f>
        <v>3Q17</v>
      </c>
      <c r="AM435" s="391" t="str">
        <f>INPUT!AN$6</f>
        <v>% Chg</v>
      </c>
      <c r="AN435" s="390" t="str">
        <f>INPUT!AO$6</f>
        <v>4Q17</v>
      </c>
      <c r="AO435" s="391" t="str">
        <f>INPUT!AP$6</f>
        <v>% Chg</v>
      </c>
      <c r="AP435" s="390" t="str">
        <f>INPUT!AQ$6</f>
        <v>1Q18E</v>
      </c>
      <c r="AQ435" s="391" t="str">
        <f>INPUT!AR$6</f>
        <v>% Chg</v>
      </c>
      <c r="AR435" s="390" t="str">
        <f>INPUT!AS$6</f>
        <v>2Q18E</v>
      </c>
      <c r="AS435" s="391" t="str">
        <f>INPUT!AT$6</f>
        <v>% Chg</v>
      </c>
      <c r="AT435" s="390" t="str">
        <f>INPUT!AU$6</f>
        <v>3Q18E</v>
      </c>
      <c r="AU435" s="391" t="str">
        <f>INPUT!AV$6</f>
        <v>% Chg</v>
      </c>
      <c r="AV435" s="390" t="str">
        <f>INPUT!AW$6</f>
        <v>4Q18E</v>
      </c>
      <c r="AW435" s="391" t="str">
        <f>INPUT!AX$6</f>
        <v>% Chg</v>
      </c>
      <c r="AX435" s="390"/>
      <c r="AY435" s="392"/>
      <c r="AZ435" s="391"/>
      <c r="BA435" s="392"/>
      <c r="BB435" s="391"/>
      <c r="BC435" s="392"/>
      <c r="BD435" s="391"/>
      <c r="BE435" s="393"/>
      <c r="BF435" s="391"/>
      <c r="BG435" s="393"/>
      <c r="BH435" s="391"/>
      <c r="BI435" s="393"/>
      <c r="BJ435" s="391"/>
      <c r="BK435" s="393"/>
      <c r="BL435" s="391"/>
      <c r="BM435" s="390"/>
      <c r="BN435" s="391"/>
      <c r="BO435" s="390"/>
      <c r="BP435" s="391"/>
      <c r="BQ435" s="390"/>
      <c r="BR435" s="391"/>
      <c r="BS435" s="390" t="str">
        <f>INPUT!BB$6</f>
        <v>2013</v>
      </c>
      <c r="BT435" s="391" t="str">
        <f>INPUT!BC$6</f>
        <v>% Chg</v>
      </c>
      <c r="BU435" s="390" t="str">
        <f>INPUT!BD$6</f>
        <v>2014</v>
      </c>
      <c r="BV435" s="391" t="str">
        <f>INPUT!BE$6</f>
        <v>% Chg</v>
      </c>
      <c r="BW435" s="390" t="str">
        <f>INPUT!BF$6</f>
        <v>2015</v>
      </c>
      <c r="BX435" s="391" t="str">
        <f>INPUT!BG$6</f>
        <v>% Chg</v>
      </c>
      <c r="BY435" s="390" t="str">
        <f>INPUT!BH$6</f>
        <v>2016</v>
      </c>
      <c r="BZ435" s="391" t="str">
        <f>INPUT!BI$6</f>
        <v>% Chg</v>
      </c>
      <c r="CA435" s="390" t="str">
        <f>INPUT!BJ$6</f>
        <v>2017</v>
      </c>
      <c r="CB435" s="391" t="str">
        <f>INPUT!BK$6</f>
        <v>% Chg</v>
      </c>
      <c r="CC435" s="390" t="str">
        <f>INPUT!BL$6</f>
        <v>2018E</v>
      </c>
      <c r="CD435" s="391" t="str">
        <f>INPUT!BM$6</f>
        <v>% Chg</v>
      </c>
      <c r="CE435" s="390" t="str">
        <f>INPUT!BN$6</f>
        <v>2019E</v>
      </c>
      <c r="CF435" s="391" t="str">
        <f>INPUT!BO$6</f>
        <v>% Chg</v>
      </c>
      <c r="CG435" s="390" t="str">
        <f>INPUT!BP$6</f>
        <v>2020E</v>
      </c>
      <c r="CH435" s="391" t="str">
        <f>INPUT!BQ$6</f>
        <v>% Chg</v>
      </c>
      <c r="CI435" s="390" t="str">
        <f>INPUT!BR$6</f>
        <v>2021E</v>
      </c>
      <c r="CJ435" s="391" t="str">
        <f>INPUT!BS$6</f>
        <v>% Chg</v>
      </c>
      <c r="CK435" s="390" t="str">
        <f>INPUT!BT$6</f>
        <v>2022E</v>
      </c>
      <c r="CL435" s="391" t="str">
        <f>INPUT!BU$6</f>
        <v>% Chg</v>
      </c>
      <c r="CM435" s="391" t="str">
        <f>INPUT!BV$6</f>
        <v>(%)</v>
      </c>
    </row>
    <row r="436" spans="1:91" ht="12" hidden="1" customHeight="1" outlineLevel="1" x14ac:dyDescent="0.2">
      <c r="A436" s="394"/>
      <c r="B436" s="395"/>
      <c r="C436" s="422"/>
      <c r="D436" s="395"/>
      <c r="E436" s="396"/>
      <c r="F436" s="395"/>
      <c r="G436" s="396"/>
      <c r="H436" s="395"/>
      <c r="I436" s="396"/>
      <c r="J436" s="395"/>
      <c r="K436" s="396"/>
      <c r="L436" s="395"/>
      <c r="M436" s="396"/>
      <c r="N436" s="395"/>
      <c r="O436" s="396"/>
      <c r="P436" s="395"/>
      <c r="Q436" s="396"/>
      <c r="R436" s="395"/>
      <c r="S436" s="396"/>
      <c r="T436" s="395"/>
      <c r="U436" s="396"/>
      <c r="V436" s="395"/>
      <c r="W436" s="396"/>
      <c r="X436" s="395"/>
      <c r="Y436" s="396"/>
      <c r="Z436" s="395"/>
      <c r="AA436" s="396"/>
      <c r="AB436" s="395"/>
      <c r="AC436" s="396"/>
      <c r="AD436" s="395"/>
      <c r="AE436" s="396"/>
      <c r="AF436" s="395"/>
      <c r="AG436" s="396"/>
      <c r="AH436" s="395"/>
      <c r="AI436" s="396"/>
      <c r="AJ436" s="395"/>
      <c r="AK436" s="396"/>
      <c r="AL436" s="395"/>
      <c r="AM436" s="396"/>
      <c r="AN436" s="395"/>
      <c r="AO436" s="396"/>
      <c r="AP436" s="395"/>
      <c r="AQ436" s="396"/>
      <c r="AR436" s="395"/>
      <c r="AS436" s="396"/>
      <c r="AT436" s="395"/>
      <c r="AU436" s="396"/>
      <c r="AV436" s="395"/>
      <c r="AW436" s="396"/>
      <c r="AX436" s="395"/>
      <c r="AY436" s="395"/>
      <c r="AZ436" s="422"/>
      <c r="BA436" s="395"/>
      <c r="BB436" s="422"/>
      <c r="BC436" s="395"/>
      <c r="BD436" s="422"/>
      <c r="BE436" s="395"/>
      <c r="BF436" s="396"/>
      <c r="BG436" s="395"/>
      <c r="BH436" s="396"/>
      <c r="BI436" s="395"/>
      <c r="BJ436" s="396"/>
      <c r="BK436" s="395"/>
      <c r="BL436" s="396"/>
      <c r="BM436" s="395"/>
      <c r="BN436" s="396"/>
      <c r="BO436" s="395"/>
      <c r="BP436" s="396"/>
      <c r="BQ436" s="395"/>
      <c r="BR436" s="396"/>
      <c r="BS436" s="395"/>
      <c r="BT436" s="396"/>
      <c r="BU436" s="395"/>
      <c r="BV436" s="396"/>
      <c r="BW436" s="395"/>
      <c r="BX436" s="396"/>
      <c r="BY436" s="395"/>
      <c r="BZ436" s="396"/>
      <c r="CA436" s="395"/>
      <c r="CB436" s="396"/>
      <c r="CC436" s="395"/>
      <c r="CD436" s="396"/>
      <c r="CE436" s="395"/>
      <c r="CF436" s="396"/>
      <c r="CG436" s="395"/>
      <c r="CH436" s="396"/>
      <c r="CI436" s="395"/>
      <c r="CJ436" s="396"/>
      <c r="CK436" s="395"/>
      <c r="CL436" s="396"/>
      <c r="CM436" s="422"/>
    </row>
    <row r="437" spans="1:91" ht="12" hidden="1" customHeight="1" outlineLevel="1" x14ac:dyDescent="0.2">
      <c r="A437" s="421" t="str">
        <f>+INPUT!B545</f>
        <v>Revenues</v>
      </c>
      <c r="B437" s="395"/>
      <c r="C437" s="422"/>
      <c r="D437" s="395"/>
      <c r="E437" s="396"/>
      <c r="F437" s="395"/>
      <c r="G437" s="396"/>
      <c r="H437" s="395"/>
      <c r="I437" s="396"/>
      <c r="J437" s="395"/>
      <c r="K437" s="396"/>
      <c r="L437" s="395"/>
      <c r="M437" s="396"/>
      <c r="N437" s="395"/>
      <c r="O437" s="396"/>
      <c r="P437" s="395"/>
      <c r="Q437" s="396"/>
      <c r="R437" s="395"/>
      <c r="S437" s="396"/>
      <c r="T437" s="395"/>
      <c r="U437" s="396"/>
      <c r="V437" s="395"/>
      <c r="W437" s="396"/>
      <c r="X437" s="395"/>
      <c r="Y437" s="396"/>
      <c r="Z437" s="395"/>
      <c r="AA437" s="396"/>
      <c r="AB437" s="395"/>
      <c r="AC437" s="396"/>
      <c r="AD437" s="395"/>
      <c r="AE437" s="396"/>
      <c r="AF437" s="395"/>
      <c r="AG437" s="396"/>
      <c r="AH437" s="395"/>
      <c r="AI437" s="396"/>
      <c r="AJ437" s="395"/>
      <c r="AK437" s="396"/>
      <c r="AL437" s="395"/>
      <c r="AM437" s="396"/>
      <c r="AN437" s="395"/>
      <c r="AO437" s="396"/>
      <c r="AP437" s="395"/>
      <c r="AQ437" s="396"/>
      <c r="AR437" s="395"/>
      <c r="AS437" s="396"/>
      <c r="AT437" s="395"/>
      <c r="AU437" s="396"/>
      <c r="AV437" s="395"/>
      <c r="AW437" s="396"/>
      <c r="AX437" s="395"/>
      <c r="AY437" s="395"/>
      <c r="AZ437" s="422"/>
      <c r="BA437" s="395"/>
      <c r="BB437" s="422"/>
      <c r="BC437" s="395"/>
      <c r="BD437" s="422"/>
      <c r="BE437" s="395"/>
      <c r="BF437" s="396"/>
      <c r="BG437" s="395"/>
      <c r="BH437" s="396"/>
      <c r="BI437" s="395"/>
      <c r="BJ437" s="396"/>
      <c r="BK437" s="395"/>
      <c r="BL437" s="396"/>
      <c r="BM437" s="395"/>
      <c r="BN437" s="396"/>
      <c r="BO437" s="395"/>
      <c r="BP437" s="396"/>
      <c r="BQ437" s="395"/>
      <c r="BR437" s="396"/>
      <c r="BS437" s="395"/>
      <c r="BT437" s="396"/>
      <c r="BU437" s="395"/>
      <c r="BV437" s="396"/>
      <c r="BW437" s="395"/>
      <c r="BX437" s="396"/>
      <c r="BY437" s="395"/>
      <c r="BZ437" s="396"/>
      <c r="CA437" s="395"/>
      <c r="CB437" s="396"/>
      <c r="CC437" s="395"/>
      <c r="CD437" s="396"/>
      <c r="CE437" s="395"/>
      <c r="CF437" s="396"/>
      <c r="CG437" s="395"/>
      <c r="CH437" s="396"/>
      <c r="CI437" s="395"/>
      <c r="CJ437" s="396"/>
      <c r="CK437" s="395"/>
      <c r="CL437" s="396"/>
      <c r="CM437" s="422"/>
    </row>
    <row r="438" spans="1:91" ht="12" hidden="1" customHeight="1" outlineLevel="1" x14ac:dyDescent="0.2">
      <c r="A438" s="400" t="s">
        <v>417</v>
      </c>
      <c r="B438" s="436">
        <f>INPUT!C546</f>
        <v>-24.5</v>
      </c>
      <c r="C438" s="424" t="str">
        <f>INPUT!D546</f>
        <v>NA</v>
      </c>
      <c r="D438" s="436">
        <f>INPUT!E546</f>
        <v>-23.9</v>
      </c>
      <c r="E438" s="382" t="str">
        <f>INPUT!F546</f>
        <v>NA</v>
      </c>
      <c r="F438" s="436">
        <f>INPUT!G546</f>
        <v>-24.4</v>
      </c>
      <c r="G438" s="382" t="str">
        <f>INPUT!H546</f>
        <v>NA</v>
      </c>
      <c r="H438" s="436">
        <f>INPUT!I546</f>
        <v>-35.5</v>
      </c>
      <c r="I438" s="382" t="str">
        <f>INPUT!J546</f>
        <v>NA</v>
      </c>
      <c r="J438" s="436">
        <f>INPUT!K546</f>
        <v>-34.200000000000003</v>
      </c>
      <c r="K438" s="382">
        <f>INPUT!L546</f>
        <v>39.591836734693885</v>
      </c>
      <c r="L438" s="436">
        <f>INPUT!M546</f>
        <v>-28.8</v>
      </c>
      <c r="M438" s="382">
        <f>INPUT!N546</f>
        <v>20.502092050209214</v>
      </c>
      <c r="N438" s="436">
        <f>INPUT!O546</f>
        <v>-29</v>
      </c>
      <c r="O438" s="382">
        <f>INPUT!P546</f>
        <v>18.852459016393453</v>
      </c>
      <c r="P438" s="436">
        <f>INPUT!Q546</f>
        <v>-35.299999999999997</v>
      </c>
      <c r="Q438" s="382">
        <f>INPUT!R546</f>
        <v>-0.56338028169015786</v>
      </c>
      <c r="R438" s="436">
        <f>INPUT!S546</f>
        <v>-38.6</v>
      </c>
      <c r="S438" s="382">
        <f>INPUT!T546</f>
        <v>12.865497076023374</v>
      </c>
      <c r="T438" s="436">
        <f>INPUT!U546</f>
        <v>-31.5</v>
      </c>
      <c r="U438" s="382">
        <f>INPUT!V546</f>
        <v>9.375</v>
      </c>
      <c r="V438" s="436">
        <f>INPUT!W546</f>
        <v>-31.5</v>
      </c>
      <c r="W438" s="382">
        <f>INPUT!X546</f>
        <v>8.6206896551724128</v>
      </c>
      <c r="X438" s="436">
        <f>INPUT!Y546</f>
        <v>-32.9</v>
      </c>
      <c r="Y438" s="382">
        <f>INPUT!Z546</f>
        <v>-6.7988668555240821</v>
      </c>
      <c r="Z438" s="436">
        <f>INPUT!AA546</f>
        <v>-37.799999999999997</v>
      </c>
      <c r="AA438" s="382">
        <f>INPUT!AB546</f>
        <v>-2.0725388601036343</v>
      </c>
      <c r="AB438" s="436">
        <f>INPUT!AC546</f>
        <v>-33.799999999999997</v>
      </c>
      <c r="AC438" s="382">
        <f>INPUT!AD546</f>
        <v>7.3015873015873041</v>
      </c>
      <c r="AD438" s="436">
        <f>INPUT!AE546</f>
        <v>-37</v>
      </c>
      <c r="AE438" s="382">
        <f>INPUT!AF546</f>
        <v>17.460317460317469</v>
      </c>
      <c r="AF438" s="436">
        <f>INPUT!AG546</f>
        <v>-41.5</v>
      </c>
      <c r="AG438" s="382">
        <f>INPUT!AH546</f>
        <v>26.139817629179333</v>
      </c>
      <c r="AH438" s="436">
        <f>INPUT!AI546</f>
        <v>-28.8</v>
      </c>
      <c r="AI438" s="382">
        <f>INPUT!AJ546</f>
        <v>-23.809523809523796</v>
      </c>
      <c r="AJ438" s="436">
        <f>INPUT!AK546</f>
        <v>-36.799999999999997</v>
      </c>
      <c r="AK438" s="382">
        <f>INPUT!AL546</f>
        <v>8.8757396449704089</v>
      </c>
      <c r="AL438" s="436">
        <f>INPUT!AM546</f>
        <v>-43.4</v>
      </c>
      <c r="AM438" s="382">
        <f>INPUT!AN546</f>
        <v>17.297297297297291</v>
      </c>
      <c r="AN438" s="436">
        <f>INPUT!AO546</f>
        <v>-35.4</v>
      </c>
      <c r="AO438" s="382">
        <f>INPUT!AP546</f>
        <v>-14.698795180722897</v>
      </c>
      <c r="AP438" s="436">
        <f>INPUT!AQ546</f>
        <v>-33.983999999999995</v>
      </c>
      <c r="AQ438" s="382">
        <f>INPUT!AR546</f>
        <v>17.999999999999972</v>
      </c>
      <c r="AR438" s="436">
        <f>INPUT!AS546</f>
        <v>-33.983999999999995</v>
      </c>
      <c r="AS438" s="382">
        <f>INPUT!AT546</f>
        <v>-7.6521739130434838</v>
      </c>
      <c r="AT438" s="436">
        <f>INPUT!AU546</f>
        <v>-33.983999999999995</v>
      </c>
      <c r="AU438" s="382">
        <f>INPUT!AV546</f>
        <v>-21.695852534562221</v>
      </c>
      <c r="AV438" s="436">
        <f>INPUT!AW546</f>
        <v>-33.983999999999995</v>
      </c>
      <c r="AW438" s="382">
        <f>INPUT!AX546</f>
        <v>-4.0000000000000142</v>
      </c>
      <c r="AX438" s="403"/>
      <c r="AY438" s="402"/>
      <c r="AZ438" s="432"/>
      <c r="BA438" s="402"/>
      <c r="BB438" s="432"/>
      <c r="BC438" s="402"/>
      <c r="BD438" s="432"/>
      <c r="BE438" s="402"/>
      <c r="BF438" s="382"/>
      <c r="BG438" s="402"/>
      <c r="BH438" s="382"/>
      <c r="BI438" s="402"/>
      <c r="BJ438" s="382"/>
      <c r="BK438" s="436"/>
      <c r="BL438" s="382"/>
      <c r="BM438" s="436"/>
      <c r="BN438" s="382"/>
      <c r="BO438" s="436"/>
      <c r="BP438" s="382"/>
      <c r="BQ438" s="436"/>
      <c r="BR438" s="382"/>
      <c r="BS438" s="436">
        <f>INPUT!BB546</f>
        <v>-108.3</v>
      </c>
      <c r="BT438" s="382" t="str">
        <f>INPUT!BC546</f>
        <v>NA</v>
      </c>
      <c r="BU438" s="436">
        <f>INPUT!BD546</f>
        <v>-127.3</v>
      </c>
      <c r="BV438" s="382">
        <f>INPUT!BE546</f>
        <v>17.543859649122822</v>
      </c>
      <c r="BW438" s="436">
        <f>INPUT!BF546</f>
        <v>-134.5</v>
      </c>
      <c r="BX438" s="382">
        <f>INPUT!BG546</f>
        <v>5.6559308719560164</v>
      </c>
      <c r="BY438" s="436">
        <f>INPUT!BH546</f>
        <v>-150.1</v>
      </c>
      <c r="BZ438" s="382">
        <f>INPUT!BI546</f>
        <v>11.59851301115242</v>
      </c>
      <c r="CA438" s="436">
        <f>INPUT!BJ546</f>
        <v>-144.4</v>
      </c>
      <c r="CB438" s="382">
        <f>INPUT!BK546</f>
        <v>-3.7974683544303787</v>
      </c>
      <c r="CC438" s="436">
        <f>INPUT!BL546</f>
        <v>-135.93599999999998</v>
      </c>
      <c r="CD438" s="382">
        <f>INPUT!BM546</f>
        <v>-5.861495844875364</v>
      </c>
      <c r="CE438" s="436">
        <f>INPUT!BN546</f>
        <v>-142.7328</v>
      </c>
      <c r="CF438" s="382">
        <f>INPUT!BO546</f>
        <v>5</v>
      </c>
      <c r="CG438" s="436">
        <f>INPUT!BP546</f>
        <v>-149.86944</v>
      </c>
      <c r="CH438" s="382">
        <f>INPUT!BQ546</f>
        <v>5</v>
      </c>
      <c r="CI438" s="436">
        <f>INPUT!BR546</f>
        <v>-157.36291199999999</v>
      </c>
      <c r="CJ438" s="382">
        <f>INPUT!BS546</f>
        <v>5</v>
      </c>
      <c r="CK438" s="436">
        <f>INPUT!BT546</f>
        <v>-165.23105760000001</v>
      </c>
      <c r="CL438" s="382">
        <f>INPUT!BU546</f>
        <v>5</v>
      </c>
      <c r="CM438" s="424">
        <f>INPUT!BV546</f>
        <v>2.7318000664035447</v>
      </c>
    </row>
    <row r="439" spans="1:91" ht="12" hidden="1" customHeight="1" outlineLevel="1" x14ac:dyDescent="0.2">
      <c r="A439" s="400" t="str">
        <f>+INPUT!B547</f>
        <v>Net Investment Income</v>
      </c>
      <c r="B439" s="425">
        <f>INPUT!C547</f>
        <v>20.3</v>
      </c>
      <c r="C439" s="424" t="str">
        <f>INPUT!D547</f>
        <v>NA</v>
      </c>
      <c r="D439" s="436">
        <f>INPUT!E547</f>
        <v>12.4</v>
      </c>
      <c r="E439" s="382" t="str">
        <f>INPUT!F547</f>
        <v>NA</v>
      </c>
      <c r="F439" s="436">
        <f>INPUT!G547</f>
        <v>12.6</v>
      </c>
      <c r="G439" s="382" t="str">
        <f>INPUT!H547</f>
        <v>NA</v>
      </c>
      <c r="H439" s="436">
        <f>INPUT!I547</f>
        <v>11.8</v>
      </c>
      <c r="I439" s="382" t="str">
        <f>INPUT!J547</f>
        <v>NA</v>
      </c>
      <c r="J439" s="436">
        <f>INPUT!K547</f>
        <v>42.7</v>
      </c>
      <c r="K439" s="382" t="str">
        <f>INPUT!L547</f>
        <v>NM</v>
      </c>
      <c r="L439" s="436">
        <f>INPUT!M547</f>
        <v>12.1</v>
      </c>
      <c r="M439" s="382">
        <f>INPUT!N547</f>
        <v>-2.4193548387096797</v>
      </c>
      <c r="N439" s="436">
        <f>INPUT!O547</f>
        <v>15.7</v>
      </c>
      <c r="O439" s="382">
        <f>INPUT!P547</f>
        <v>24.603174603174608</v>
      </c>
      <c r="P439" s="436">
        <f>INPUT!Q547</f>
        <v>16.5</v>
      </c>
      <c r="Q439" s="382">
        <f>INPUT!R547</f>
        <v>39.830508474576249</v>
      </c>
      <c r="R439" s="436">
        <f>INPUT!S547</f>
        <v>31.9</v>
      </c>
      <c r="S439" s="382">
        <f>INPUT!T547</f>
        <v>-25.292740046838418</v>
      </c>
      <c r="T439" s="436">
        <f>INPUT!U547</f>
        <v>22.5</v>
      </c>
      <c r="U439" s="382">
        <f>INPUT!V547</f>
        <v>85.950413223140487</v>
      </c>
      <c r="V439" s="436">
        <f>INPUT!W547</f>
        <v>15</v>
      </c>
      <c r="W439" s="382">
        <f>INPUT!X547</f>
        <v>-4.4585987261146443</v>
      </c>
      <c r="X439" s="436">
        <f>INPUT!Y547</f>
        <v>14.6</v>
      </c>
      <c r="Y439" s="382">
        <f>INPUT!Z547</f>
        <v>-11.51515151515153</v>
      </c>
      <c r="Z439" s="436">
        <f>INPUT!AA547</f>
        <v>24.7</v>
      </c>
      <c r="AA439" s="382">
        <f>INPUT!AB547</f>
        <v>-22.570532915360502</v>
      </c>
      <c r="AB439" s="436">
        <f>INPUT!AC547</f>
        <v>16.3</v>
      </c>
      <c r="AC439" s="382">
        <f>INPUT!AD547</f>
        <v>-27.555555555555557</v>
      </c>
      <c r="AD439" s="436">
        <f>INPUT!AE547</f>
        <v>16</v>
      </c>
      <c r="AE439" s="382">
        <f>INPUT!AF547</f>
        <v>6.6666666666666714</v>
      </c>
      <c r="AF439" s="436">
        <f>INPUT!AG547</f>
        <v>46.8</v>
      </c>
      <c r="AG439" s="382" t="str">
        <f>INPUT!AH547</f>
        <v>NM</v>
      </c>
      <c r="AH439" s="436">
        <f>INPUT!AI547</f>
        <v>27.3</v>
      </c>
      <c r="AI439" s="382">
        <f>INPUT!AJ547</f>
        <v>10.526315789473699</v>
      </c>
      <c r="AJ439" s="436">
        <f>INPUT!AK547</f>
        <v>17</v>
      </c>
      <c r="AK439" s="382">
        <f>INPUT!AL547</f>
        <v>4.2944785276073532</v>
      </c>
      <c r="AL439" s="436">
        <f>INPUT!AM547</f>
        <v>23.1</v>
      </c>
      <c r="AM439" s="382">
        <f>INPUT!AN547</f>
        <v>44.375</v>
      </c>
      <c r="AN439" s="436">
        <f>INPUT!AO547</f>
        <v>16.2</v>
      </c>
      <c r="AO439" s="382" t="str">
        <f>INPUT!AP547</f>
        <v>NM</v>
      </c>
      <c r="AP439" s="436">
        <f>INPUT!AQ547</f>
        <v>16.2</v>
      </c>
      <c r="AQ439" s="382">
        <f>INPUT!AR547</f>
        <v>-40.659340659340657</v>
      </c>
      <c r="AR439" s="436">
        <f>INPUT!AS547</f>
        <v>16.2</v>
      </c>
      <c r="AS439" s="382">
        <f>INPUT!AT547</f>
        <v>-4.7058823529411882</v>
      </c>
      <c r="AT439" s="436">
        <f>INPUT!AU547</f>
        <v>16.2</v>
      </c>
      <c r="AU439" s="382">
        <f>INPUT!AV547</f>
        <v>-29.870129870129887</v>
      </c>
      <c r="AV439" s="436">
        <f>INPUT!AW547</f>
        <v>16.2</v>
      </c>
      <c r="AW439" s="382">
        <f>INPUT!AX547</f>
        <v>0</v>
      </c>
      <c r="AX439" s="403"/>
      <c r="AY439" s="402"/>
      <c r="AZ439" s="432"/>
      <c r="BA439" s="402"/>
      <c r="BB439" s="432"/>
      <c r="BC439" s="402"/>
      <c r="BD439" s="432"/>
      <c r="BE439" s="402"/>
      <c r="BF439" s="382"/>
      <c r="BG439" s="402"/>
      <c r="BH439" s="382"/>
      <c r="BI439" s="402"/>
      <c r="BJ439" s="382"/>
      <c r="BK439" s="436"/>
      <c r="BL439" s="382"/>
      <c r="BM439" s="436"/>
      <c r="BN439" s="382"/>
      <c r="BO439" s="436"/>
      <c r="BP439" s="382"/>
      <c r="BQ439" s="436"/>
      <c r="BR439" s="382"/>
      <c r="BS439" s="436">
        <f>INPUT!BB547</f>
        <v>57.100000000000009</v>
      </c>
      <c r="BT439" s="382" t="str">
        <f>INPUT!BC547</f>
        <v>NA</v>
      </c>
      <c r="BU439" s="436">
        <f>INPUT!BD547</f>
        <v>87</v>
      </c>
      <c r="BV439" s="382">
        <f>INPUT!BE547</f>
        <v>52.36427320490364</v>
      </c>
      <c r="BW439" s="436">
        <f>INPUT!BF547</f>
        <v>84</v>
      </c>
      <c r="BX439" s="382">
        <f>INPUT!BG547</f>
        <v>-3.448275862068968</v>
      </c>
      <c r="BY439" s="436">
        <f>INPUT!BH547</f>
        <v>103.8</v>
      </c>
      <c r="BZ439" s="382">
        <f>INPUT!BI547</f>
        <v>23.571428571428584</v>
      </c>
      <c r="CA439" s="436">
        <f>INPUT!BJ547</f>
        <v>83.600000000000009</v>
      </c>
      <c r="CB439" s="382">
        <f>INPUT!BK547</f>
        <v>-19.460500963391127</v>
      </c>
      <c r="CC439" s="436">
        <f>INPUT!BL547</f>
        <v>64.8</v>
      </c>
      <c r="CD439" s="382">
        <f>INPUT!BM547</f>
        <v>-22.488038277511961</v>
      </c>
      <c r="CE439" s="436">
        <f>INPUT!BN547</f>
        <v>66.096000000000004</v>
      </c>
      <c r="CF439" s="382">
        <f>INPUT!BO547</f>
        <v>2</v>
      </c>
      <c r="CG439" s="436">
        <f>INPUT!BP547</f>
        <v>67.417920000000009</v>
      </c>
      <c r="CH439" s="382">
        <f>INPUT!BQ547</f>
        <v>2</v>
      </c>
      <c r="CI439" s="436">
        <f>INPUT!BR547</f>
        <v>68.766278400000004</v>
      </c>
      <c r="CJ439" s="382">
        <f>INPUT!BS547</f>
        <v>2</v>
      </c>
      <c r="CK439" s="436">
        <f>INPUT!BT547</f>
        <v>70.141603968000013</v>
      </c>
      <c r="CL439" s="382">
        <f>INPUT!BU547</f>
        <v>2</v>
      </c>
      <c r="CM439" s="424">
        <f>INPUT!BV547</f>
        <v>-3.4496431887719448</v>
      </c>
    </row>
    <row r="440" spans="1:91" s="767" customFormat="1" ht="12" hidden="1" customHeight="1" outlineLevel="1" x14ac:dyDescent="0.2">
      <c r="A440" s="394" t="str">
        <f>+INPUT!B548</f>
        <v>Total Operating Revenues</v>
      </c>
      <c r="B440" s="444">
        <f>INPUT!C548</f>
        <v>-4.1999999999999993</v>
      </c>
      <c r="C440" s="763" t="str">
        <f>INPUT!D548</f>
        <v>NA</v>
      </c>
      <c r="D440" s="444">
        <f>INPUT!E548</f>
        <v>-11.499999999999998</v>
      </c>
      <c r="E440" s="764" t="str">
        <f>INPUT!F548</f>
        <v>NA</v>
      </c>
      <c r="F440" s="444">
        <f>INPUT!G548</f>
        <v>-11.799999999999999</v>
      </c>
      <c r="G440" s="764" t="str">
        <f>INPUT!H548</f>
        <v>NA</v>
      </c>
      <c r="H440" s="444">
        <f>INPUT!I548</f>
        <v>-23.7</v>
      </c>
      <c r="I440" s="764" t="str">
        <f>INPUT!J548</f>
        <v>NA</v>
      </c>
      <c r="J440" s="444">
        <f>INPUT!K548</f>
        <v>8.5</v>
      </c>
      <c r="K440" s="764" t="str">
        <f>INPUT!L548</f>
        <v>NM</v>
      </c>
      <c r="L440" s="444">
        <f>INPUT!M548</f>
        <v>-16.700000000000003</v>
      </c>
      <c r="M440" s="764">
        <f>INPUT!N548</f>
        <v>45.217391304347871</v>
      </c>
      <c r="N440" s="444">
        <f>INPUT!O548</f>
        <v>-13.3</v>
      </c>
      <c r="O440" s="764">
        <f>INPUT!P548</f>
        <v>12.711864406779668</v>
      </c>
      <c r="P440" s="444">
        <f>INPUT!Q548</f>
        <v>-18.799999999999997</v>
      </c>
      <c r="Q440" s="764">
        <f>INPUT!R548</f>
        <v>-20.675105485232081</v>
      </c>
      <c r="R440" s="444">
        <f>INPUT!S548</f>
        <v>-6.7000000000000028</v>
      </c>
      <c r="S440" s="764" t="str">
        <f>INPUT!T548</f>
        <v>NM</v>
      </c>
      <c r="T440" s="444">
        <f>INPUT!U548</f>
        <v>-9</v>
      </c>
      <c r="U440" s="764">
        <f>INPUT!V548</f>
        <v>-46.107784431137731</v>
      </c>
      <c r="V440" s="444">
        <f>INPUT!W548</f>
        <v>-16.5</v>
      </c>
      <c r="W440" s="764">
        <f>INPUT!X548</f>
        <v>24.060150375939855</v>
      </c>
      <c r="X440" s="444">
        <f>INPUT!Y548</f>
        <v>-18.299999999999997</v>
      </c>
      <c r="Y440" s="764">
        <f>INPUT!Z548</f>
        <v>-2.659574468085097</v>
      </c>
      <c r="Z440" s="444">
        <f>INPUT!AA548</f>
        <v>-13.099999999999998</v>
      </c>
      <c r="AA440" s="764">
        <f>INPUT!AB548</f>
        <v>95.52238805970137</v>
      </c>
      <c r="AB440" s="444">
        <f>INPUT!AC548</f>
        <v>-17.499999999999996</v>
      </c>
      <c r="AC440" s="764">
        <f>INPUT!AD548</f>
        <v>94.4444444444444</v>
      </c>
      <c r="AD440" s="444">
        <f>INPUT!AE548</f>
        <v>-21</v>
      </c>
      <c r="AE440" s="764">
        <f>INPUT!AF548</f>
        <v>27.272727272727266</v>
      </c>
      <c r="AF440" s="444">
        <f>INPUT!AG548</f>
        <v>5.2999999999999972</v>
      </c>
      <c r="AG440" s="764" t="str">
        <f>INPUT!AH548</f>
        <v>NM</v>
      </c>
      <c r="AH440" s="444">
        <f>INPUT!AI548</f>
        <v>-1.5</v>
      </c>
      <c r="AI440" s="764" t="str">
        <f>INPUT!AJ548</f>
        <v>NM</v>
      </c>
      <c r="AJ440" s="444">
        <f>INPUT!AK548</f>
        <v>-19.799999999999997</v>
      </c>
      <c r="AK440" s="764">
        <f>INPUT!AL548</f>
        <v>13.142857142857139</v>
      </c>
      <c r="AL440" s="444">
        <f>INPUT!AM548</f>
        <v>-20.299999999999997</v>
      </c>
      <c r="AM440" s="764">
        <f>INPUT!AN548</f>
        <v>-3.3333333333333428</v>
      </c>
      <c r="AN440" s="444">
        <f>INPUT!AO548</f>
        <v>-19.2</v>
      </c>
      <c r="AO440" s="764" t="str">
        <f>INPUT!AP548</f>
        <v>NM</v>
      </c>
      <c r="AP440" s="444">
        <f>INPUT!AQ548</f>
        <v>-17.783999999999995</v>
      </c>
      <c r="AQ440" s="764" t="str">
        <f>INPUT!AR548</f>
        <v>NM</v>
      </c>
      <c r="AR440" s="444">
        <f>INPUT!AS548</f>
        <v>-17.783999999999995</v>
      </c>
      <c r="AS440" s="764">
        <f>INPUT!AT548</f>
        <v>-10.181818181818187</v>
      </c>
      <c r="AT440" s="444">
        <f>INPUT!AU548</f>
        <v>-17.783999999999995</v>
      </c>
      <c r="AU440" s="764">
        <f>INPUT!AV548</f>
        <v>-12.394088669950747</v>
      </c>
      <c r="AV440" s="444">
        <f>INPUT!AW548</f>
        <v>-17.783999999999995</v>
      </c>
      <c r="AW440" s="764">
        <f>INPUT!AX548</f>
        <v>-7.3750000000000142</v>
      </c>
      <c r="AX440" s="431"/>
      <c r="AY440" s="765"/>
      <c r="AZ440" s="766"/>
      <c r="BA440" s="765"/>
      <c r="BB440" s="766"/>
      <c r="BC440" s="765"/>
      <c r="BD440" s="766"/>
      <c r="BE440" s="765"/>
      <c r="BF440" s="764"/>
      <c r="BG440" s="765"/>
      <c r="BH440" s="764"/>
      <c r="BI440" s="765"/>
      <c r="BJ440" s="764"/>
      <c r="BK440" s="444"/>
      <c r="BL440" s="764"/>
      <c r="BM440" s="444"/>
      <c r="BN440" s="764"/>
      <c r="BO440" s="444"/>
      <c r="BP440" s="764"/>
      <c r="BQ440" s="444"/>
      <c r="BR440" s="764"/>
      <c r="BS440" s="444">
        <f>INPUT!BB548</f>
        <v>-51.199999999999989</v>
      </c>
      <c r="BT440" s="764" t="str">
        <f>INPUT!BC548</f>
        <v>NA</v>
      </c>
      <c r="BU440" s="444">
        <f>INPUT!BD548</f>
        <v>-40.299999999999997</v>
      </c>
      <c r="BV440" s="764">
        <f>INPUT!BE548</f>
        <v>-21.289062499999986</v>
      </c>
      <c r="BW440" s="444">
        <f>INPUT!BF548</f>
        <v>-50.5</v>
      </c>
      <c r="BX440" s="764">
        <f>INPUT!BG548</f>
        <v>25.310173697270486</v>
      </c>
      <c r="BY440" s="444">
        <f>INPUT!BH548</f>
        <v>-46.3</v>
      </c>
      <c r="BZ440" s="764">
        <f>INPUT!BI548</f>
        <v>-8.3168316831683171</v>
      </c>
      <c r="CA440" s="444">
        <f>INPUT!BJ548</f>
        <v>-60.8</v>
      </c>
      <c r="CB440" s="764">
        <f>INPUT!BK548</f>
        <v>31.317494600431957</v>
      </c>
      <c r="CC440" s="444">
        <f>INPUT!BL548</f>
        <v>-71.135999999999981</v>
      </c>
      <c r="CD440" s="764">
        <f>INPUT!BM548</f>
        <v>16.999999999999972</v>
      </c>
      <c r="CE440" s="444">
        <f>INPUT!BN548</f>
        <v>-76.636799999999994</v>
      </c>
      <c r="CF440" s="764">
        <f>INPUT!BO548</f>
        <v>7.7327935222672295</v>
      </c>
      <c r="CG440" s="444">
        <f>INPUT!BP548</f>
        <v>-82.451519999999988</v>
      </c>
      <c r="CH440" s="764">
        <f>INPUT!BQ548</f>
        <v>7.5873731679819514</v>
      </c>
      <c r="CI440" s="444">
        <f>INPUT!BR548</f>
        <v>-88.59663359999999</v>
      </c>
      <c r="CJ440" s="764">
        <f>INPUT!BS548</f>
        <v>7.4530022005658623</v>
      </c>
      <c r="CK440" s="444">
        <f>INPUT!BT548</f>
        <v>-95.089453632000001</v>
      </c>
      <c r="CL440" s="764">
        <f>INPUT!BU548</f>
        <v>7.3285177643589492</v>
      </c>
      <c r="CM440" s="763">
        <f>INPUT!BV548</f>
        <v>9.3567902135653025</v>
      </c>
    </row>
    <row r="441" spans="1:91" ht="12" hidden="1" customHeight="1" outlineLevel="1" x14ac:dyDescent="0.2">
      <c r="A441" s="400"/>
      <c r="B441" s="425"/>
      <c r="C441" s="424"/>
      <c r="D441" s="436"/>
      <c r="E441" s="382"/>
      <c r="F441" s="436"/>
      <c r="G441" s="382"/>
      <c r="H441" s="436"/>
      <c r="I441" s="382"/>
      <c r="J441" s="436"/>
      <c r="K441" s="382"/>
      <c r="L441" s="436"/>
      <c r="M441" s="382"/>
      <c r="N441" s="436"/>
      <c r="O441" s="382"/>
      <c r="P441" s="436"/>
      <c r="Q441" s="382"/>
      <c r="R441" s="436"/>
      <c r="S441" s="382"/>
      <c r="T441" s="436"/>
      <c r="U441" s="382"/>
      <c r="V441" s="436"/>
      <c r="W441" s="382"/>
      <c r="X441" s="436"/>
      <c r="Y441" s="382"/>
      <c r="Z441" s="436"/>
      <c r="AA441" s="382"/>
      <c r="AB441" s="436"/>
      <c r="AC441" s="382"/>
      <c r="AD441" s="436"/>
      <c r="AE441" s="382"/>
      <c r="AF441" s="436"/>
      <c r="AG441" s="382"/>
      <c r="AH441" s="436"/>
      <c r="AI441" s="382"/>
      <c r="AJ441" s="436"/>
      <c r="AK441" s="382"/>
      <c r="AL441" s="436"/>
      <c r="AM441" s="382"/>
      <c r="AN441" s="436"/>
      <c r="AO441" s="382"/>
      <c r="AP441" s="436"/>
      <c r="AQ441" s="382"/>
      <c r="AR441" s="436"/>
      <c r="AS441" s="382"/>
      <c r="AT441" s="436"/>
      <c r="AU441" s="382"/>
      <c r="AV441" s="436"/>
      <c r="AW441" s="382"/>
      <c r="AX441" s="403"/>
      <c r="AY441" s="402"/>
      <c r="AZ441" s="432"/>
      <c r="BA441" s="402"/>
      <c r="BB441" s="432"/>
      <c r="BC441" s="402"/>
      <c r="BD441" s="432"/>
      <c r="BE441" s="402"/>
      <c r="BF441" s="382"/>
      <c r="BG441" s="402"/>
      <c r="BH441" s="382"/>
      <c r="BI441" s="402"/>
      <c r="BJ441" s="382"/>
      <c r="BK441" s="436"/>
      <c r="BL441" s="382"/>
      <c r="BM441" s="436"/>
      <c r="BN441" s="382"/>
      <c r="BO441" s="436"/>
      <c r="BP441" s="382"/>
      <c r="BQ441" s="436"/>
      <c r="BR441" s="382"/>
      <c r="BS441" s="436"/>
      <c r="BT441" s="382"/>
      <c r="BU441" s="436"/>
      <c r="BV441" s="382"/>
      <c r="BW441" s="436"/>
      <c r="BX441" s="382"/>
      <c r="BY441" s="436"/>
      <c r="BZ441" s="382"/>
      <c r="CA441" s="436"/>
      <c r="CB441" s="382"/>
      <c r="CC441" s="436"/>
      <c r="CD441" s="382"/>
      <c r="CE441" s="436"/>
      <c r="CF441" s="382"/>
      <c r="CG441" s="436"/>
      <c r="CH441" s="382"/>
      <c r="CI441" s="436"/>
      <c r="CJ441" s="382"/>
      <c r="CK441" s="436"/>
      <c r="CL441" s="382"/>
      <c r="CM441" s="424"/>
    </row>
    <row r="442" spans="1:91" ht="12" hidden="1" customHeight="1" outlineLevel="1" x14ac:dyDescent="0.2">
      <c r="A442" s="394" t="str">
        <f>+INPUT!B550</f>
        <v>Expenses</v>
      </c>
      <c r="B442" s="425"/>
      <c r="C442" s="424"/>
      <c r="D442" s="436"/>
      <c r="E442" s="382"/>
      <c r="F442" s="436"/>
      <c r="G442" s="382"/>
      <c r="H442" s="436"/>
      <c r="I442" s="382"/>
      <c r="J442" s="436"/>
      <c r="K442" s="382"/>
      <c r="L442" s="436"/>
      <c r="M442" s="382"/>
      <c r="N442" s="436"/>
      <c r="O442" s="382"/>
      <c r="P442" s="436"/>
      <c r="Q442" s="382"/>
      <c r="R442" s="436"/>
      <c r="S442" s="382"/>
      <c r="T442" s="436"/>
      <c r="U442" s="382"/>
      <c r="V442" s="436"/>
      <c r="W442" s="382"/>
      <c r="X442" s="436"/>
      <c r="Y442" s="382"/>
      <c r="Z442" s="436"/>
      <c r="AA442" s="382"/>
      <c r="AB442" s="436"/>
      <c r="AC442" s="382"/>
      <c r="AD442" s="436"/>
      <c r="AE442" s="382"/>
      <c r="AF442" s="436"/>
      <c r="AG442" s="382"/>
      <c r="AH442" s="436"/>
      <c r="AI442" s="382"/>
      <c r="AJ442" s="436"/>
      <c r="AK442" s="382"/>
      <c r="AL442" s="436"/>
      <c r="AM442" s="382"/>
      <c r="AN442" s="436"/>
      <c r="AO442" s="382"/>
      <c r="AP442" s="436"/>
      <c r="AQ442" s="382"/>
      <c r="AR442" s="436"/>
      <c r="AS442" s="382"/>
      <c r="AT442" s="436"/>
      <c r="AU442" s="382"/>
      <c r="AV442" s="436"/>
      <c r="AW442" s="382"/>
      <c r="AX442" s="403"/>
      <c r="AY442" s="402"/>
      <c r="AZ442" s="432"/>
      <c r="BA442" s="402"/>
      <c r="BB442" s="432"/>
      <c r="BC442" s="402"/>
      <c r="BD442" s="432"/>
      <c r="BE442" s="402"/>
      <c r="BF442" s="382"/>
      <c r="BG442" s="402"/>
      <c r="BH442" s="382"/>
      <c r="BI442" s="402"/>
      <c r="BJ442" s="382"/>
      <c r="BK442" s="436"/>
      <c r="BL442" s="382"/>
      <c r="BM442" s="436"/>
      <c r="BN442" s="382"/>
      <c r="BO442" s="436"/>
      <c r="BP442" s="382"/>
      <c r="BQ442" s="436"/>
      <c r="BR442" s="382"/>
      <c r="BS442" s="436"/>
      <c r="BT442" s="382"/>
      <c r="BU442" s="436"/>
      <c r="BV442" s="382"/>
      <c r="BW442" s="436"/>
      <c r="BX442" s="382"/>
      <c r="BY442" s="436"/>
      <c r="BZ442" s="382"/>
      <c r="CA442" s="436"/>
      <c r="CB442" s="382"/>
      <c r="CC442" s="436"/>
      <c r="CD442" s="382"/>
      <c r="CE442" s="436"/>
      <c r="CF442" s="382"/>
      <c r="CG442" s="436"/>
      <c r="CH442" s="382"/>
      <c r="CI442" s="436"/>
      <c r="CJ442" s="382"/>
      <c r="CK442" s="436"/>
      <c r="CL442" s="382"/>
      <c r="CM442" s="424"/>
    </row>
    <row r="443" spans="1:91" ht="12" hidden="1" customHeight="1" outlineLevel="1" x14ac:dyDescent="0.2">
      <c r="A443" s="400" t="str">
        <f>+INPUT!B551</f>
        <v>Benefits, Claims, and Settlement Expenses</v>
      </c>
      <c r="B443" s="425">
        <f>INPUT!C551</f>
        <v>-0.1</v>
      </c>
      <c r="C443" s="424" t="str">
        <f>INPUT!D551</f>
        <v>NA</v>
      </c>
      <c r="D443" s="436">
        <f>INPUT!E551</f>
        <v>-3.2</v>
      </c>
      <c r="E443" s="382" t="str">
        <f>INPUT!F551</f>
        <v>NA</v>
      </c>
      <c r="F443" s="436">
        <f>INPUT!G551</f>
        <v>-2.9</v>
      </c>
      <c r="G443" s="382" t="str">
        <f>INPUT!H551</f>
        <v>NA</v>
      </c>
      <c r="H443" s="436">
        <f>INPUT!I551</f>
        <v>-2.8</v>
      </c>
      <c r="I443" s="382" t="str">
        <f>INPUT!J551</f>
        <v>NA</v>
      </c>
      <c r="J443" s="436">
        <f>INPUT!K551</f>
        <v>3</v>
      </c>
      <c r="K443" s="382" t="str">
        <f>INPUT!L551</f>
        <v>NM</v>
      </c>
      <c r="L443" s="436">
        <f>INPUT!M551</f>
        <v>-2.7</v>
      </c>
      <c r="M443" s="382">
        <f>INPUT!N551</f>
        <v>-15.625</v>
      </c>
      <c r="N443" s="436">
        <f>INPUT!O551</f>
        <v>-2.8</v>
      </c>
      <c r="O443" s="382">
        <f>INPUT!P551</f>
        <v>-3.448275862068968</v>
      </c>
      <c r="P443" s="436">
        <f>INPUT!Q551</f>
        <v>-2.6</v>
      </c>
      <c r="Q443" s="382">
        <f>INPUT!R551</f>
        <v>-7.1428571428571246</v>
      </c>
      <c r="R443" s="436">
        <f>INPUT!S551</f>
        <v>6.2</v>
      </c>
      <c r="S443" s="382" t="str">
        <f>INPUT!T551</f>
        <v>NM</v>
      </c>
      <c r="T443" s="436">
        <f>INPUT!U551</f>
        <v>-2.6</v>
      </c>
      <c r="U443" s="382">
        <f>INPUT!V551</f>
        <v>-3.7037037037037095</v>
      </c>
      <c r="V443" s="436">
        <f>INPUT!W551</f>
        <v>-2.7</v>
      </c>
      <c r="W443" s="382">
        <f>INPUT!X551</f>
        <v>-3.5714285714285552</v>
      </c>
      <c r="X443" s="436">
        <f>INPUT!Y551</f>
        <v>-2.7</v>
      </c>
      <c r="Y443" s="382">
        <f>INPUT!Z551</f>
        <v>3.8461538461538538</v>
      </c>
      <c r="Z443" s="436">
        <f>INPUT!AA551</f>
        <v>5.8</v>
      </c>
      <c r="AA443" s="382">
        <f>INPUT!AB551</f>
        <v>-6.4516129032258078</v>
      </c>
      <c r="AB443" s="436">
        <f>INPUT!AC551</f>
        <v>-2.4</v>
      </c>
      <c r="AC443" s="382">
        <f>INPUT!AD551</f>
        <v>-7.6923076923076934</v>
      </c>
      <c r="AD443" s="436">
        <f>INPUT!AE551</f>
        <v>-2.2000000000000002</v>
      </c>
      <c r="AE443" s="382">
        <f>INPUT!AF551</f>
        <v>-18.518518518518505</v>
      </c>
      <c r="AF443" s="436">
        <f>INPUT!AG551</f>
        <v>-2.2999999999999998</v>
      </c>
      <c r="AG443" s="382">
        <f>INPUT!AH551</f>
        <v>-14.814814814814824</v>
      </c>
      <c r="AH443" s="436">
        <f>INPUT!AI551</f>
        <v>4.8</v>
      </c>
      <c r="AI443" s="382">
        <f>INPUT!AJ551</f>
        <v>-17.241379310344826</v>
      </c>
      <c r="AJ443" s="436">
        <f>INPUT!AK551</f>
        <v>-2.2999999999999998</v>
      </c>
      <c r="AK443" s="382">
        <f>INPUT!AL551</f>
        <v>-4.1666666666666714</v>
      </c>
      <c r="AL443" s="436">
        <f>INPUT!AM551</f>
        <v>-2.8</v>
      </c>
      <c r="AM443" s="382">
        <f>INPUT!AN551</f>
        <v>27.272727272727252</v>
      </c>
      <c r="AN443" s="436">
        <f>INPUT!AO551</f>
        <v>-2.1</v>
      </c>
      <c r="AO443" s="382">
        <f>INPUT!AP551</f>
        <v>-8.6956521739130324</v>
      </c>
      <c r="AP443" s="436">
        <f>INPUT!AQ551</f>
        <v>-2.1</v>
      </c>
      <c r="AQ443" s="382" t="str">
        <f>INPUT!AR551</f>
        <v>NM</v>
      </c>
      <c r="AR443" s="436">
        <f>INPUT!AS551</f>
        <v>-2.1</v>
      </c>
      <c r="AS443" s="382">
        <f>INPUT!AT551</f>
        <v>-8.6956521739130324</v>
      </c>
      <c r="AT443" s="436">
        <f>INPUT!AU551</f>
        <v>-2.1</v>
      </c>
      <c r="AU443" s="382">
        <f>INPUT!AV551</f>
        <v>-24.999999999999986</v>
      </c>
      <c r="AV443" s="436">
        <f>INPUT!AW551</f>
        <v>-2.1</v>
      </c>
      <c r="AW443" s="382">
        <f>INPUT!AX551</f>
        <v>0</v>
      </c>
      <c r="AX443" s="403"/>
      <c r="AY443" s="402"/>
      <c r="AZ443" s="432"/>
      <c r="BA443" s="402"/>
      <c r="BB443" s="432"/>
      <c r="BC443" s="402"/>
      <c r="BD443" s="432"/>
      <c r="BE443" s="402"/>
      <c r="BF443" s="382"/>
      <c r="BG443" s="402"/>
      <c r="BH443" s="382"/>
      <c r="BI443" s="402"/>
      <c r="BJ443" s="382"/>
      <c r="BK443" s="436"/>
      <c r="BL443" s="382"/>
      <c r="BM443" s="436"/>
      <c r="BN443" s="382"/>
      <c r="BO443" s="436"/>
      <c r="BP443" s="382"/>
      <c r="BQ443" s="436"/>
      <c r="BR443" s="382"/>
      <c r="BS443" s="436">
        <f>INPUT!BB551</f>
        <v>-9</v>
      </c>
      <c r="BT443" s="382" t="str">
        <f>INPUT!BC551</f>
        <v>NA</v>
      </c>
      <c r="BU443" s="436">
        <f>INPUT!BD551</f>
        <v>-5.0999999999999996</v>
      </c>
      <c r="BV443" s="382">
        <f>INPUT!BE551</f>
        <v>-43.333333333333336</v>
      </c>
      <c r="BW443" s="436">
        <f>INPUT!BF551</f>
        <v>-1.8000000000000003</v>
      </c>
      <c r="BX443" s="382" t="str">
        <f>INPUT!BG551</f>
        <v>NM</v>
      </c>
      <c r="BY443" s="436">
        <f>INPUT!BH551</f>
        <v>-1.1000000000000001</v>
      </c>
      <c r="BZ443" s="382">
        <f>INPUT!BI551</f>
        <v>-38.888888888888893</v>
      </c>
      <c r="CA443" s="436">
        <f>INPUT!BJ551</f>
        <v>-2.4</v>
      </c>
      <c r="CB443" s="382" t="str">
        <f>INPUT!BK551</f>
        <v>NM</v>
      </c>
      <c r="CC443" s="436">
        <f>INPUT!BL551</f>
        <v>-8.4</v>
      </c>
      <c r="CD443" s="382" t="str">
        <f>INPUT!BM551</f>
        <v>NM</v>
      </c>
      <c r="CE443" s="436">
        <f>INPUT!BN551</f>
        <v>-8.82</v>
      </c>
      <c r="CF443" s="382">
        <f>INPUT!BO551</f>
        <v>5</v>
      </c>
      <c r="CG443" s="436">
        <f>INPUT!BP551</f>
        <v>-9.261000000000001</v>
      </c>
      <c r="CH443" s="382">
        <f>INPUT!BQ551</f>
        <v>5</v>
      </c>
      <c r="CI443" s="436">
        <f>INPUT!BR551</f>
        <v>-9.7240500000000019</v>
      </c>
      <c r="CJ443" s="382">
        <f>INPUT!BS551</f>
        <v>5</v>
      </c>
      <c r="CK443" s="436">
        <f>INPUT!BT551</f>
        <v>-10.210252500000003</v>
      </c>
      <c r="CL443" s="382">
        <f>INPUT!BU551</f>
        <v>5</v>
      </c>
      <c r="CM443" s="424">
        <f>INPUT!BV551</f>
        <v>33.587261836636188</v>
      </c>
    </row>
    <row r="444" spans="1:91" ht="12" hidden="1" customHeight="1" outlineLevel="1" x14ac:dyDescent="0.2">
      <c r="A444" s="400" t="str">
        <f>+INPUT!B552</f>
        <v>Commissions</v>
      </c>
      <c r="B444" s="425">
        <f>INPUT!C552</f>
        <v>3.7</v>
      </c>
      <c r="C444" s="424" t="str">
        <f>INPUT!D552</f>
        <v>NA</v>
      </c>
      <c r="D444" s="436">
        <f>INPUT!E552</f>
        <v>5.3</v>
      </c>
      <c r="E444" s="382" t="str">
        <f>INPUT!F552</f>
        <v>NA</v>
      </c>
      <c r="F444" s="436">
        <f>INPUT!G552</f>
        <v>5.5</v>
      </c>
      <c r="G444" s="382" t="str">
        <f>INPUT!H552</f>
        <v>NA</v>
      </c>
      <c r="H444" s="436">
        <f>INPUT!I552</f>
        <v>5.9</v>
      </c>
      <c r="I444" s="382" t="str">
        <f>INPUT!J552</f>
        <v>NA</v>
      </c>
      <c r="J444" s="436">
        <f>INPUT!K552</f>
        <v>5.5</v>
      </c>
      <c r="K444" s="382">
        <f>INPUT!L552</f>
        <v>48.648648648648646</v>
      </c>
      <c r="L444" s="436">
        <f>INPUT!M552</f>
        <v>6</v>
      </c>
      <c r="M444" s="382">
        <f>INPUT!N552</f>
        <v>13.20754716981132</v>
      </c>
      <c r="N444" s="436">
        <f>INPUT!O552</f>
        <v>6.4</v>
      </c>
      <c r="O444" s="382">
        <f>INPUT!P552</f>
        <v>16.363636363636374</v>
      </c>
      <c r="P444" s="436">
        <f>INPUT!Q552</f>
        <v>7.5</v>
      </c>
      <c r="Q444" s="382">
        <f>INPUT!R552</f>
        <v>27.118644067796609</v>
      </c>
      <c r="R444" s="436">
        <f>INPUT!S552</f>
        <v>7.5</v>
      </c>
      <c r="S444" s="382">
        <f>INPUT!T552</f>
        <v>36.363636363636346</v>
      </c>
      <c r="T444" s="436">
        <f>INPUT!U552</f>
        <v>7.4</v>
      </c>
      <c r="U444" s="382">
        <f>INPUT!V552</f>
        <v>23.333333333333343</v>
      </c>
      <c r="V444" s="436">
        <f>INPUT!W552</f>
        <v>7.2</v>
      </c>
      <c r="W444" s="382">
        <f>INPUT!X552</f>
        <v>12.5</v>
      </c>
      <c r="X444" s="436">
        <f>INPUT!Y552</f>
        <v>6.8</v>
      </c>
      <c r="Y444" s="382">
        <f>INPUT!Z552</f>
        <v>-9.3333333333333428</v>
      </c>
      <c r="Z444" s="436">
        <f>INPUT!AA552</f>
        <v>10.5</v>
      </c>
      <c r="AA444" s="382">
        <f>INPUT!AB552</f>
        <v>40</v>
      </c>
      <c r="AB444" s="436">
        <f>INPUT!AC552</f>
        <v>10.7</v>
      </c>
      <c r="AC444" s="382">
        <f>INPUT!AD552</f>
        <v>44.594594594594582</v>
      </c>
      <c r="AD444" s="436">
        <f>INPUT!AE552</f>
        <v>10.199999999999999</v>
      </c>
      <c r="AE444" s="382">
        <f>INPUT!AF552</f>
        <v>41.666666666666657</v>
      </c>
      <c r="AF444" s="436">
        <f>INPUT!AG552</f>
        <v>12.1</v>
      </c>
      <c r="AG444" s="382">
        <f>INPUT!AH552</f>
        <v>77.941176470588232</v>
      </c>
      <c r="AH444" s="436">
        <f>INPUT!AI552</f>
        <v>9.6</v>
      </c>
      <c r="AI444" s="382">
        <f>INPUT!AJ552</f>
        <v>-8.5714285714285694</v>
      </c>
      <c r="AJ444" s="436">
        <f>INPUT!AK552</f>
        <v>8.1999999999999993</v>
      </c>
      <c r="AK444" s="382">
        <f>INPUT!AL552</f>
        <v>-23.36448598130842</v>
      </c>
      <c r="AL444" s="436">
        <f>INPUT!AM552</f>
        <v>9.3000000000000007</v>
      </c>
      <c r="AM444" s="382">
        <f>INPUT!AN552</f>
        <v>-8.8235294117646959</v>
      </c>
      <c r="AN444" s="436">
        <f>INPUT!AO552</f>
        <v>17.600000000000001</v>
      </c>
      <c r="AO444" s="382">
        <f>INPUT!AP552</f>
        <v>45.454545454545467</v>
      </c>
      <c r="AP444" s="436">
        <f>INPUT!AQ552</f>
        <v>9</v>
      </c>
      <c r="AQ444" s="382">
        <f>INPUT!AR552</f>
        <v>-6.25</v>
      </c>
      <c r="AR444" s="436">
        <f>INPUT!AS552</f>
        <v>9</v>
      </c>
      <c r="AS444" s="382">
        <f>INPUT!AT552</f>
        <v>9.7560975609756184</v>
      </c>
      <c r="AT444" s="436">
        <f>INPUT!AU552</f>
        <v>9</v>
      </c>
      <c r="AU444" s="382">
        <f>INPUT!AV552</f>
        <v>-3.225806451612911</v>
      </c>
      <c r="AV444" s="436">
        <f>INPUT!AW552</f>
        <v>9</v>
      </c>
      <c r="AW444" s="382">
        <f>INPUT!AX552</f>
        <v>-48.863636363636367</v>
      </c>
      <c r="AX444" s="403"/>
      <c r="AY444" s="402"/>
      <c r="AZ444" s="432"/>
      <c r="BA444" s="402"/>
      <c r="BB444" s="432"/>
      <c r="BC444" s="402"/>
      <c r="BD444" s="432"/>
      <c r="BE444" s="402"/>
      <c r="BF444" s="382"/>
      <c r="BG444" s="402"/>
      <c r="BH444" s="382"/>
      <c r="BI444" s="402"/>
      <c r="BJ444" s="382"/>
      <c r="BK444" s="436"/>
      <c r="BL444" s="382"/>
      <c r="BM444" s="436"/>
      <c r="BN444" s="382"/>
      <c r="BO444" s="436"/>
      <c r="BP444" s="382"/>
      <c r="BQ444" s="436"/>
      <c r="BR444" s="382"/>
      <c r="BS444" s="436">
        <f>INPUT!BB552</f>
        <v>20.399999999999999</v>
      </c>
      <c r="BT444" s="382" t="str">
        <f>INPUT!BC552</f>
        <v>NA</v>
      </c>
      <c r="BU444" s="436">
        <f>INPUT!BD552</f>
        <v>25.4</v>
      </c>
      <c r="BV444" s="382">
        <f>INPUT!BE552</f>
        <v>24.509803921568633</v>
      </c>
      <c r="BW444" s="436">
        <f>INPUT!BF552</f>
        <v>28.900000000000002</v>
      </c>
      <c r="BX444" s="382">
        <f>INPUT!BG552</f>
        <v>13.77952755905514</v>
      </c>
      <c r="BY444" s="436">
        <f>INPUT!BH552</f>
        <v>43.5</v>
      </c>
      <c r="BZ444" s="382">
        <f>INPUT!BI552</f>
        <v>50.51903114186851</v>
      </c>
      <c r="CA444" s="436">
        <f>INPUT!BJ552</f>
        <v>44.7</v>
      </c>
      <c r="CB444" s="382">
        <f>INPUT!BK552</f>
        <v>2.7586206896551744</v>
      </c>
      <c r="CC444" s="436">
        <f>INPUT!BL552</f>
        <v>36</v>
      </c>
      <c r="CD444" s="382">
        <f>INPUT!BM552</f>
        <v>-19.463087248322154</v>
      </c>
      <c r="CE444" s="436">
        <f>INPUT!BN552</f>
        <v>36</v>
      </c>
      <c r="CF444" s="382">
        <f>INPUT!BO552</f>
        <v>0</v>
      </c>
      <c r="CG444" s="436">
        <f>INPUT!BP552</f>
        <v>36</v>
      </c>
      <c r="CH444" s="382">
        <f>INPUT!BQ552</f>
        <v>0</v>
      </c>
      <c r="CI444" s="436">
        <f>INPUT!BR552</f>
        <v>36</v>
      </c>
      <c r="CJ444" s="382">
        <f>INPUT!BS552</f>
        <v>0</v>
      </c>
      <c r="CK444" s="436">
        <f>INPUT!BT552</f>
        <v>36</v>
      </c>
      <c r="CL444" s="382">
        <f>INPUT!BU552</f>
        <v>0</v>
      </c>
      <c r="CM444" s="424">
        <f>INPUT!BV552</f>
        <v>-4.2367237927163686</v>
      </c>
    </row>
    <row r="445" spans="1:91" ht="12" hidden="1" customHeight="1" outlineLevel="1" x14ac:dyDescent="0.2">
      <c r="A445" s="400" t="s">
        <v>545</v>
      </c>
      <c r="B445" s="425">
        <f>+INPUT!C553</f>
        <v>34.700000000000003</v>
      </c>
      <c r="C445" s="424" t="str">
        <f>+INPUT!D553</f>
        <v>NA</v>
      </c>
      <c r="D445" s="436">
        <f>+INPUT!E553</f>
        <v>34.700000000000003</v>
      </c>
      <c r="E445" s="382" t="str">
        <f>+INPUT!F553</f>
        <v>NA</v>
      </c>
      <c r="F445" s="436">
        <f>+INPUT!G553</f>
        <v>34.299999999999997</v>
      </c>
      <c r="G445" s="382" t="str">
        <f>+INPUT!H553</f>
        <v>NA</v>
      </c>
      <c r="H445" s="436">
        <f>+INPUT!I553</f>
        <v>34.799999999999997</v>
      </c>
      <c r="I445" s="382" t="str">
        <f>+INPUT!J553</f>
        <v>NA</v>
      </c>
      <c r="J445" s="436">
        <f>+INPUT!K553</f>
        <v>34.5</v>
      </c>
      <c r="K445" s="382">
        <f>+INPUT!L553</f>
        <v>-0.57636887608070708</v>
      </c>
      <c r="L445" s="436">
        <f>+INPUT!M553</f>
        <v>32.700000000000003</v>
      </c>
      <c r="M445" s="382">
        <f>+INPUT!N553</f>
        <v>-5.7636887608069145</v>
      </c>
      <c r="N445" s="436">
        <f>+INPUT!O553</f>
        <v>32.6</v>
      </c>
      <c r="O445" s="382">
        <f>+INPUT!P553</f>
        <v>-4.9562682215743337</v>
      </c>
      <c r="P445" s="436">
        <f>+INPUT!Q553</f>
        <v>32.6</v>
      </c>
      <c r="Q445" s="382">
        <f>+INPUT!R553</f>
        <v>-6.3218390804597533</v>
      </c>
      <c r="R445" s="436">
        <f>+INPUT!S553</f>
        <v>32.299999999999997</v>
      </c>
      <c r="S445" s="382">
        <f>+INPUT!T553</f>
        <v>-6.3768115942029056</v>
      </c>
      <c r="T445" s="436">
        <f>+INPUT!U553</f>
        <v>37.1</v>
      </c>
      <c r="U445" s="382">
        <f>+INPUT!V553</f>
        <v>13.455657492354732</v>
      </c>
      <c r="V445" s="436">
        <f>+INPUT!W553</f>
        <v>41.1</v>
      </c>
      <c r="W445" s="382">
        <f>+INPUT!X553</f>
        <v>26.073619631901849</v>
      </c>
      <c r="X445" s="436">
        <f>+INPUT!Y553</f>
        <v>41.5</v>
      </c>
      <c r="Y445" s="382">
        <f>+INPUT!Z553</f>
        <v>27.300613496932513</v>
      </c>
      <c r="Z445" s="436">
        <f>+INPUT!AA553</f>
        <v>41.5</v>
      </c>
      <c r="AA445" s="382">
        <f>+INPUT!AB553</f>
        <v>28.482972136222941</v>
      </c>
      <c r="AB445" s="436">
        <f>+INPUT!AC553</f>
        <v>41.1</v>
      </c>
      <c r="AC445" s="382">
        <f>+INPUT!AD553</f>
        <v>10.781671159029656</v>
      </c>
      <c r="AD445" s="436">
        <f>+INPUT!AE553</f>
        <v>40.9</v>
      </c>
      <c r="AE445" s="382">
        <f>+INPUT!AF553</f>
        <v>-0.48661800486618745</v>
      </c>
      <c r="AF445" s="436">
        <f>+INPUT!AG553</f>
        <v>39.5</v>
      </c>
      <c r="AG445" s="382">
        <f>+INPUT!AH553</f>
        <v>-4.819277108433738</v>
      </c>
      <c r="AH445" s="436">
        <f>+INPUT!AI553</f>
        <v>36.4</v>
      </c>
      <c r="AI445" s="382">
        <f>+INPUT!AJ553</f>
        <v>-12.289156626506028</v>
      </c>
      <c r="AJ445" s="436">
        <f>+INPUT!AK553</f>
        <v>36.5</v>
      </c>
      <c r="AK445" s="382">
        <f>+INPUT!AL553</f>
        <v>-11.192214111922155</v>
      </c>
      <c r="AL445" s="436">
        <f>+INPUT!AM553</f>
        <v>36.6</v>
      </c>
      <c r="AM445" s="382">
        <f>+INPUT!AN553</f>
        <v>-10.513447432762831</v>
      </c>
      <c r="AN445" s="436">
        <f>+INPUT!AO553</f>
        <v>36.5</v>
      </c>
      <c r="AO445" s="382">
        <f>+INPUT!AP553</f>
        <v>-7.5949367088607573</v>
      </c>
      <c r="AP445" s="436">
        <f>+INPUT!AQ553</f>
        <v>36.5</v>
      </c>
      <c r="AQ445" s="382">
        <f>+INPUT!AR553</f>
        <v>0.2747252747252702</v>
      </c>
      <c r="AR445" s="436">
        <f>+INPUT!AS553</f>
        <v>36.5</v>
      </c>
      <c r="AS445" s="382">
        <f>+INPUT!AT553</f>
        <v>0</v>
      </c>
      <c r="AT445" s="436">
        <f>+INPUT!AU553</f>
        <v>36.5</v>
      </c>
      <c r="AU445" s="382">
        <f>+INPUT!AV553</f>
        <v>-0.27322404371584241</v>
      </c>
      <c r="AV445" s="436">
        <f>+INPUT!AW553</f>
        <v>36.5</v>
      </c>
      <c r="AW445" s="382">
        <f>+INPUT!AX553</f>
        <v>0</v>
      </c>
      <c r="AX445" s="403" t="e">
        <f>+INPUT!#REF!</f>
        <v>#REF!</v>
      </c>
      <c r="AY445" s="402">
        <f>+INPUT!AY553</f>
        <v>0</v>
      </c>
      <c r="AZ445" s="432">
        <f>+INPUT!AZ553</f>
        <v>0</v>
      </c>
      <c r="BA445" s="402" t="e">
        <f>+INPUT!#REF!</f>
        <v>#REF!</v>
      </c>
      <c r="BB445" s="432" t="e">
        <f>+INPUT!#REF!</f>
        <v>#REF!</v>
      </c>
      <c r="BC445" s="402" t="e">
        <f>+INPUT!#REF!</f>
        <v>#REF!</v>
      </c>
      <c r="BD445" s="432" t="e">
        <f>+INPUT!#REF!</f>
        <v>#REF!</v>
      </c>
      <c r="BE445" s="402" t="e">
        <f>+INPUT!#REF!</f>
        <v>#REF!</v>
      </c>
      <c r="BF445" s="382" t="e">
        <f>+INPUT!#REF!</f>
        <v>#REF!</v>
      </c>
      <c r="BG445" s="402" t="e">
        <f>+INPUT!#REF!</f>
        <v>#REF!</v>
      </c>
      <c r="BH445" s="382" t="e">
        <f>+INPUT!#REF!</f>
        <v>#REF!</v>
      </c>
      <c r="BI445" s="402" t="e">
        <f>+INPUT!#REF!</f>
        <v>#REF!</v>
      </c>
      <c r="BJ445" s="382" t="e">
        <f>+INPUT!#REF!</f>
        <v>#REF!</v>
      </c>
      <c r="BK445" s="436" t="e">
        <f>+INPUT!#REF!</f>
        <v>#REF!</v>
      </c>
      <c r="BL445" s="382" t="e">
        <f>+INPUT!#REF!</f>
        <v>#REF!</v>
      </c>
      <c r="BM445" s="436" t="e">
        <f>+INPUT!#REF!</f>
        <v>#REF!</v>
      </c>
      <c r="BN445" s="382" t="e">
        <f>+INPUT!#REF!</f>
        <v>#REF!</v>
      </c>
      <c r="BO445" s="436" t="e">
        <f>+INPUT!#REF!</f>
        <v>#REF!</v>
      </c>
      <c r="BP445" s="382" t="e">
        <f>+INPUT!#REF!</f>
        <v>#REF!</v>
      </c>
      <c r="BQ445" s="436" t="e">
        <f>+INPUT!#REF!</f>
        <v>#REF!</v>
      </c>
      <c r="BR445" s="382" t="e">
        <f>+INPUT!#REF!</f>
        <v>#REF!</v>
      </c>
      <c r="BS445" s="436">
        <f>+INPUT!BB553</f>
        <v>138.5</v>
      </c>
      <c r="BT445" s="382" t="str">
        <f>+INPUT!BC553</f>
        <v>NA</v>
      </c>
      <c r="BU445" s="436">
        <f>+INPUT!BD553</f>
        <v>132.4</v>
      </c>
      <c r="BV445" s="382">
        <f>+INPUT!BE553</f>
        <v>-4.4043321299638905</v>
      </c>
      <c r="BW445" s="436">
        <f>+INPUT!BF553</f>
        <v>152</v>
      </c>
      <c r="BX445" s="382">
        <f>+INPUT!BG553</f>
        <v>14.803625377643499</v>
      </c>
      <c r="BY445" s="436">
        <f>+INPUT!BH553</f>
        <v>163</v>
      </c>
      <c r="BZ445" s="382">
        <f>+INPUT!BI553</f>
        <v>7.2368421052631646</v>
      </c>
      <c r="CA445" s="436">
        <f>+INPUT!BJ553</f>
        <v>146</v>
      </c>
      <c r="CB445" s="382">
        <f>+INPUT!BK553</f>
        <v>-10.429447852760731</v>
      </c>
      <c r="CC445" s="436">
        <f>+INPUT!BL553</f>
        <v>146</v>
      </c>
      <c r="CD445" s="382">
        <f>+INPUT!BM553</f>
        <v>0</v>
      </c>
      <c r="CE445" s="436">
        <f>+INPUT!BN553</f>
        <v>141.62</v>
      </c>
      <c r="CF445" s="382">
        <f>+INPUT!BO553</f>
        <v>-2.9999999999999858</v>
      </c>
      <c r="CG445" s="436">
        <f>+INPUT!BP553</f>
        <v>144.45240000000001</v>
      </c>
      <c r="CH445" s="382">
        <f>+INPUT!BQ553</f>
        <v>2</v>
      </c>
      <c r="CI445" s="436">
        <f>+INPUT!BR553</f>
        <v>147.34144800000001</v>
      </c>
      <c r="CJ445" s="382">
        <f>+INPUT!BS553</f>
        <v>2</v>
      </c>
      <c r="CK445" s="436">
        <f>+INPUT!BT553</f>
        <v>150.28827696000002</v>
      </c>
      <c r="CL445" s="382">
        <f>+INPUT!BU553</f>
        <v>2</v>
      </c>
      <c r="CM445" s="424">
        <f>+INPUT!BV553</f>
        <v>0.58065277889471911</v>
      </c>
    </row>
    <row r="446" spans="1:91" ht="12" hidden="1" customHeight="1" outlineLevel="1" x14ac:dyDescent="0.2">
      <c r="A446" s="400" t="s">
        <v>546</v>
      </c>
      <c r="B446" s="425">
        <f>INPUT!C554</f>
        <v>1.4</v>
      </c>
      <c r="C446" s="424" t="str">
        <f>INPUT!D554</f>
        <v>NA</v>
      </c>
      <c r="D446" s="436">
        <f>INPUT!E554</f>
        <v>0.59999999999999987</v>
      </c>
      <c r="E446" s="382" t="str">
        <f>INPUT!F554</f>
        <v>NA</v>
      </c>
      <c r="F446" s="436">
        <f>INPUT!G554</f>
        <v>-7.5</v>
      </c>
      <c r="G446" s="382" t="str">
        <f>INPUT!H554</f>
        <v>NA</v>
      </c>
      <c r="H446" s="436">
        <f>INPUT!I554</f>
        <v>-3.5999999999999996</v>
      </c>
      <c r="I446" s="382" t="str">
        <f>INPUT!J554</f>
        <v>NA</v>
      </c>
      <c r="J446" s="436">
        <f>INPUT!K554</f>
        <v>-9.1000000000000014</v>
      </c>
      <c r="K446" s="382" t="str">
        <f>INPUT!L554</f>
        <v>NM</v>
      </c>
      <c r="L446" s="436">
        <f>INPUT!M554</f>
        <v>-13</v>
      </c>
      <c r="M446" s="382" t="str">
        <f>INPUT!N554</f>
        <v>NM</v>
      </c>
      <c r="N446" s="436">
        <f>INPUT!O554</f>
        <v>-6.7999999999999989</v>
      </c>
      <c r="O446" s="382">
        <f>INPUT!P554</f>
        <v>-9.3333333333333428</v>
      </c>
      <c r="P446" s="436">
        <f>INPUT!Q554</f>
        <v>-6.7999999999999989</v>
      </c>
      <c r="Q446" s="382">
        <f>INPUT!R554</f>
        <v>88.888888888888886</v>
      </c>
      <c r="R446" s="436">
        <f>INPUT!S554</f>
        <v>-15.6</v>
      </c>
      <c r="S446" s="382">
        <f>INPUT!T554</f>
        <v>71.428571428571388</v>
      </c>
      <c r="T446" s="436">
        <f>INPUT!U554</f>
        <v>-11.600000000000001</v>
      </c>
      <c r="U446" s="382">
        <f>INPUT!V554</f>
        <v>-10.769230769230759</v>
      </c>
      <c r="V446" s="436">
        <f>INPUT!W554</f>
        <v>-8</v>
      </c>
      <c r="W446" s="382">
        <f>INPUT!X554</f>
        <v>17.647058823529434</v>
      </c>
      <c r="X446" s="436">
        <f>INPUT!Y554</f>
        <v>-9.2000000000000011</v>
      </c>
      <c r="Y446" s="382">
        <f>INPUT!Z554</f>
        <v>35.29411764705884</v>
      </c>
      <c r="Z446" s="436">
        <f>INPUT!AA554</f>
        <v>-17.7</v>
      </c>
      <c r="AA446" s="382">
        <f>INPUT!AB554</f>
        <v>13.461538461538453</v>
      </c>
      <c r="AB446" s="436">
        <f>INPUT!AC554</f>
        <v>-12.3</v>
      </c>
      <c r="AC446" s="382">
        <f>INPUT!AD554</f>
        <v>6.0344827586206833</v>
      </c>
      <c r="AD446" s="436">
        <f>INPUT!AE554</f>
        <v>-12.1</v>
      </c>
      <c r="AE446" s="382">
        <f>INPUT!AF554</f>
        <v>51.25</v>
      </c>
      <c r="AF446" s="436">
        <f>INPUT!AG554</f>
        <v>-13.2</v>
      </c>
      <c r="AG446" s="382">
        <f>INPUT!AH554</f>
        <v>43.47826086956519</v>
      </c>
      <c r="AH446" s="436">
        <f>INPUT!AI554</f>
        <v>6.1</v>
      </c>
      <c r="AI446" s="382" t="str">
        <f>INPUT!AJ554</f>
        <v>NM</v>
      </c>
      <c r="AJ446" s="436">
        <f>INPUT!AK554</f>
        <v>-15.2</v>
      </c>
      <c r="AK446" s="382">
        <f>INPUT!AL554</f>
        <v>23.57723577235771</v>
      </c>
      <c r="AL446" s="436">
        <f>INPUT!AM554</f>
        <v>-20.8</v>
      </c>
      <c r="AM446" s="382">
        <f>INPUT!AN554</f>
        <v>71.900826446281002</v>
      </c>
      <c r="AN446" s="436">
        <f>INPUT!AO554</f>
        <v>-9.6000000000000014</v>
      </c>
      <c r="AO446" s="382">
        <f>INPUT!AP554</f>
        <v>-27.272727272727266</v>
      </c>
      <c r="AP446" s="436">
        <f>INPUT!AQ554</f>
        <v>-9.6000000000000014</v>
      </c>
      <c r="AQ446" s="382" t="str">
        <f>INPUT!AR554</f>
        <v>NM</v>
      </c>
      <c r="AR446" s="436">
        <f>INPUT!AS554</f>
        <v>-9.6000000000000014</v>
      </c>
      <c r="AS446" s="382">
        <f>INPUT!AT554</f>
        <v>-36.84210526315789</v>
      </c>
      <c r="AT446" s="436">
        <f>INPUT!AU554</f>
        <v>-9.6000000000000014</v>
      </c>
      <c r="AU446" s="382" t="str">
        <f>INPUT!AV554</f>
        <v>NM</v>
      </c>
      <c r="AV446" s="436">
        <f>INPUT!AW554</f>
        <v>-9.6000000000000014</v>
      </c>
      <c r="AW446" s="382">
        <f>INPUT!AX554</f>
        <v>0</v>
      </c>
      <c r="AX446" s="403"/>
      <c r="AY446" s="402"/>
      <c r="AZ446" s="432"/>
      <c r="BA446" s="402"/>
      <c r="BB446" s="432"/>
      <c r="BC446" s="402"/>
      <c r="BD446" s="432"/>
      <c r="BE446" s="402"/>
      <c r="BF446" s="382"/>
      <c r="BG446" s="402"/>
      <c r="BH446" s="382"/>
      <c r="BI446" s="402"/>
      <c r="BJ446" s="382"/>
      <c r="BK446" s="436"/>
      <c r="BL446" s="382"/>
      <c r="BM446" s="436"/>
      <c r="BN446" s="382"/>
      <c r="BO446" s="436"/>
      <c r="BP446" s="382"/>
      <c r="BQ446" s="436"/>
      <c r="BR446" s="382"/>
      <c r="BS446" s="436">
        <f>INPUT!BB554</f>
        <v>-9.1</v>
      </c>
      <c r="BT446" s="382" t="str">
        <f>INPUT!BC554</f>
        <v>NA</v>
      </c>
      <c r="BU446" s="436">
        <f>INPUT!BD554</f>
        <v>-35.699999999999996</v>
      </c>
      <c r="BV446" s="382" t="str">
        <f>INPUT!BE554</f>
        <v>NM</v>
      </c>
      <c r="BW446" s="436">
        <f>INPUT!BF554</f>
        <v>-44.400000000000006</v>
      </c>
      <c r="BX446" s="382">
        <f>INPUT!BG554</f>
        <v>24.369747899159691</v>
      </c>
      <c r="BY446" s="436">
        <f>INPUT!BH554</f>
        <v>-55.3</v>
      </c>
      <c r="BZ446" s="382">
        <f>INPUT!BI554</f>
        <v>24.549549549549539</v>
      </c>
      <c r="CA446" s="436">
        <f>INPUT!BJ554</f>
        <v>-39.5</v>
      </c>
      <c r="CB446" s="382">
        <f>INPUT!BK554</f>
        <v>-28.571428571428569</v>
      </c>
      <c r="CC446" s="436">
        <f>INPUT!BL554</f>
        <v>-38.400000000000006</v>
      </c>
      <c r="CD446" s="382">
        <f>INPUT!BM554</f>
        <v>-2.7848101265822578</v>
      </c>
      <c r="CE446" s="436">
        <f>INPUT!BN554</f>
        <v>-38.400000000000006</v>
      </c>
      <c r="CF446" s="382">
        <f>INPUT!BO554</f>
        <v>0</v>
      </c>
      <c r="CG446" s="436">
        <f>INPUT!BP554</f>
        <v>-38.400000000000006</v>
      </c>
      <c r="CH446" s="382">
        <f>INPUT!BQ554</f>
        <v>0</v>
      </c>
      <c r="CI446" s="436">
        <f>INPUT!BR554</f>
        <v>-38.400000000000006</v>
      </c>
      <c r="CJ446" s="382">
        <f>INPUT!BS554</f>
        <v>0</v>
      </c>
      <c r="CK446" s="436">
        <f>INPUT!BT554</f>
        <v>-38.400000000000006</v>
      </c>
      <c r="CL446" s="382">
        <f>INPUT!BU554</f>
        <v>0</v>
      </c>
      <c r="CM446" s="424">
        <f>INPUT!BV554</f>
        <v>-0.56327188781631898</v>
      </c>
    </row>
    <row r="447" spans="1:91" s="767" customFormat="1" ht="12" hidden="1" customHeight="1" outlineLevel="1" x14ac:dyDescent="0.2">
      <c r="A447" s="394" t="str">
        <f>+INPUT!B555</f>
        <v>Total Expenses</v>
      </c>
      <c r="B447" s="430">
        <f>INPUT!C555</f>
        <v>39.700000000000003</v>
      </c>
      <c r="C447" s="763" t="str">
        <f>INPUT!D555</f>
        <v>NA</v>
      </c>
      <c r="D447" s="444">
        <f>INPUT!E555</f>
        <v>37.400000000000006</v>
      </c>
      <c r="E447" s="764" t="str">
        <f>INPUT!F555</f>
        <v>NA</v>
      </c>
      <c r="F447" s="444">
        <f>INPUT!G555</f>
        <v>29.4</v>
      </c>
      <c r="G447" s="764" t="str">
        <f>INPUT!H555</f>
        <v>NA</v>
      </c>
      <c r="H447" s="444">
        <f>INPUT!I555</f>
        <v>34.299999999999997</v>
      </c>
      <c r="I447" s="764" t="str">
        <f>INPUT!J555</f>
        <v>NA</v>
      </c>
      <c r="J447" s="444">
        <f>INPUT!K555</f>
        <v>33.9</v>
      </c>
      <c r="K447" s="764">
        <f>INPUT!L555</f>
        <v>-14.609571788413106</v>
      </c>
      <c r="L447" s="444">
        <f>INPUT!M555</f>
        <v>23</v>
      </c>
      <c r="M447" s="764">
        <f>INPUT!N555</f>
        <v>-38.502673796791456</v>
      </c>
      <c r="N447" s="444">
        <f>INPUT!O555</f>
        <v>29.400000000000006</v>
      </c>
      <c r="O447" s="764">
        <f>INPUT!P555</f>
        <v>2.8421709430404007E-14</v>
      </c>
      <c r="P447" s="444">
        <f>INPUT!Q555</f>
        <v>30.700000000000003</v>
      </c>
      <c r="Q447" s="764">
        <f>INPUT!R555</f>
        <v>-10.495626822157419</v>
      </c>
      <c r="R447" s="444">
        <f>INPUT!S555</f>
        <v>30.4</v>
      </c>
      <c r="S447" s="764">
        <f>INPUT!T555</f>
        <v>-10.324483775811217</v>
      </c>
      <c r="T447" s="444">
        <f>INPUT!U555</f>
        <v>30.300000000000004</v>
      </c>
      <c r="U447" s="764">
        <f>INPUT!V555</f>
        <v>31.739130434782624</v>
      </c>
      <c r="V447" s="444">
        <f>INPUT!W555</f>
        <v>37.6</v>
      </c>
      <c r="W447" s="764">
        <f>INPUT!X555</f>
        <v>27.891156462585016</v>
      </c>
      <c r="X447" s="444">
        <f>INPUT!Y555</f>
        <v>36.4</v>
      </c>
      <c r="Y447" s="764">
        <f>INPUT!Z555</f>
        <v>18.566775244299663</v>
      </c>
      <c r="Z447" s="444">
        <f>INPUT!AA555</f>
        <v>40.099999999999994</v>
      </c>
      <c r="AA447" s="764">
        <f>INPUT!AB555</f>
        <v>31.90789473684211</v>
      </c>
      <c r="AB447" s="444">
        <f>INPUT!AC555</f>
        <v>37.099999999999994</v>
      </c>
      <c r="AC447" s="764">
        <f>INPUT!AD555</f>
        <v>22.44224422442241</v>
      </c>
      <c r="AD447" s="444">
        <f>INPUT!AE555</f>
        <v>36.799999999999997</v>
      </c>
      <c r="AE447" s="764">
        <f>INPUT!AF555</f>
        <v>-2.1276595744680975</v>
      </c>
      <c r="AF447" s="444">
        <f>INPUT!AG555</f>
        <v>36.099999999999994</v>
      </c>
      <c r="AG447" s="764">
        <f>INPUT!AH555</f>
        <v>-0.82417582417583901</v>
      </c>
      <c r="AH447" s="444">
        <f>INPUT!AI555</f>
        <v>56.9</v>
      </c>
      <c r="AI447" s="764">
        <f>INPUT!AJ555</f>
        <v>41.895261845386557</v>
      </c>
      <c r="AJ447" s="444">
        <f>INPUT!AK555</f>
        <v>27.2</v>
      </c>
      <c r="AK447" s="764">
        <f>INPUT!AL555</f>
        <v>-26.684636118598377</v>
      </c>
      <c r="AL447" s="444">
        <f>INPUT!AM555</f>
        <v>22.3</v>
      </c>
      <c r="AM447" s="764">
        <f>INPUT!AN555</f>
        <v>-39.40217391304347</v>
      </c>
      <c r="AN447" s="444">
        <f>INPUT!AO555</f>
        <v>42.4</v>
      </c>
      <c r="AO447" s="764">
        <f>INPUT!AP555</f>
        <v>17.45152354570638</v>
      </c>
      <c r="AP447" s="444">
        <f>INPUT!AQ555</f>
        <v>33.799999999999997</v>
      </c>
      <c r="AQ447" s="764">
        <f>INPUT!AR555</f>
        <v>-40.597539543058005</v>
      </c>
      <c r="AR447" s="444">
        <f>INPUT!AS555</f>
        <v>33.799999999999997</v>
      </c>
      <c r="AS447" s="764">
        <f>INPUT!AT555</f>
        <v>24.264705882352942</v>
      </c>
      <c r="AT447" s="444">
        <f>INPUT!AU555</f>
        <v>33.799999999999997</v>
      </c>
      <c r="AU447" s="764">
        <f>INPUT!AV555</f>
        <v>51.569506726457405</v>
      </c>
      <c r="AV447" s="444">
        <f>INPUT!AW555</f>
        <v>33.799999999999997</v>
      </c>
      <c r="AW447" s="764">
        <f>INPUT!AX555</f>
        <v>-20.283018867924525</v>
      </c>
      <c r="AX447" s="431"/>
      <c r="AY447" s="765"/>
      <c r="AZ447" s="766"/>
      <c r="BA447" s="765"/>
      <c r="BB447" s="766"/>
      <c r="BC447" s="765"/>
      <c r="BD447" s="766"/>
      <c r="BE447" s="765"/>
      <c r="BF447" s="764"/>
      <c r="BG447" s="765"/>
      <c r="BH447" s="764"/>
      <c r="BI447" s="765"/>
      <c r="BJ447" s="764"/>
      <c r="BK447" s="444"/>
      <c r="BL447" s="764"/>
      <c r="BM447" s="444"/>
      <c r="BN447" s="764"/>
      <c r="BO447" s="444"/>
      <c r="BP447" s="764"/>
      <c r="BQ447" s="444"/>
      <c r="BR447" s="764"/>
      <c r="BS447" s="444">
        <f>INPUT!BB555</f>
        <v>140.80000000000001</v>
      </c>
      <c r="BT447" s="764" t="str">
        <f>INPUT!BC555</f>
        <v>NA</v>
      </c>
      <c r="BU447" s="444">
        <f>INPUT!BD555</f>
        <v>117</v>
      </c>
      <c r="BV447" s="764">
        <f>INPUT!BE555</f>
        <v>-16.903409090909093</v>
      </c>
      <c r="BW447" s="444">
        <f>INPUT!BF555</f>
        <v>134.69999999999999</v>
      </c>
      <c r="BX447" s="764">
        <f>INPUT!BG555</f>
        <v>15.128205128205124</v>
      </c>
      <c r="BY447" s="444">
        <f>INPUT!BH555</f>
        <v>150.10000000000002</v>
      </c>
      <c r="BZ447" s="764">
        <f>INPUT!BI555</f>
        <v>11.432813659985186</v>
      </c>
      <c r="CA447" s="444">
        <f>INPUT!BJ555</f>
        <v>148.80000000000001</v>
      </c>
      <c r="CB447" s="764">
        <f>INPUT!BK555</f>
        <v>-0.86608927381746525</v>
      </c>
      <c r="CC447" s="444">
        <f>INPUT!BL555</f>
        <v>135.19999999999999</v>
      </c>
      <c r="CD447" s="764">
        <f>INPUT!BM555</f>
        <v>-9.1397849462365741</v>
      </c>
      <c r="CE447" s="444">
        <f>INPUT!BN555</f>
        <v>130.4</v>
      </c>
      <c r="CF447" s="764">
        <f>INPUT!BO555</f>
        <v>-3.5502958579881465</v>
      </c>
      <c r="CG447" s="444">
        <f>INPUT!BP555</f>
        <v>132.79140000000001</v>
      </c>
      <c r="CH447" s="764">
        <f>INPUT!BQ555</f>
        <v>1.8338957055214848</v>
      </c>
      <c r="CI447" s="444">
        <f>INPUT!BR555</f>
        <v>135.217398</v>
      </c>
      <c r="CJ447" s="764">
        <f>INPUT!BS555</f>
        <v>1.8269240327310428</v>
      </c>
      <c r="CK447" s="444">
        <f>INPUT!BT555</f>
        <v>137.67802446000002</v>
      </c>
      <c r="CL447" s="764">
        <f>INPUT!BU555</f>
        <v>1.8197558127837965</v>
      </c>
      <c r="CM447" s="763">
        <f>INPUT!BV555</f>
        <v>-1.5416986386970755</v>
      </c>
    </row>
    <row r="448" spans="1:91" ht="12" hidden="1" customHeight="1" outlineLevel="1" x14ac:dyDescent="0.2">
      <c r="A448" s="420"/>
      <c r="B448" s="433"/>
      <c r="C448" s="434"/>
      <c r="D448" s="433"/>
      <c r="E448" s="435"/>
      <c r="F448" s="433"/>
      <c r="G448" s="435"/>
      <c r="H448" s="433"/>
      <c r="I448" s="435"/>
      <c r="J448" s="433"/>
      <c r="K448" s="435"/>
      <c r="L448" s="433"/>
      <c r="M448" s="435"/>
      <c r="N448" s="433"/>
      <c r="O448" s="435"/>
      <c r="P448" s="433"/>
      <c r="Q448" s="435"/>
      <c r="R448" s="433"/>
      <c r="S448" s="435"/>
      <c r="T448" s="433"/>
      <c r="U448" s="435"/>
      <c r="V448" s="433"/>
      <c r="W448" s="435"/>
      <c r="X448" s="433"/>
      <c r="Y448" s="435"/>
      <c r="Z448" s="433"/>
      <c r="AA448" s="435"/>
      <c r="AB448" s="433"/>
      <c r="AC448" s="435"/>
      <c r="AD448" s="433"/>
      <c r="AE448" s="435"/>
      <c r="AF448" s="433"/>
      <c r="AG448" s="435"/>
      <c r="AH448" s="433"/>
      <c r="AI448" s="435"/>
      <c r="AJ448" s="433"/>
      <c r="AK448" s="435"/>
      <c r="AL448" s="433"/>
      <c r="AM448" s="435"/>
      <c r="AN448" s="433"/>
      <c r="AO448" s="435"/>
      <c r="AP448" s="433"/>
      <c r="AQ448" s="435"/>
      <c r="AR448" s="433"/>
      <c r="AS448" s="435"/>
      <c r="AT448" s="433"/>
      <c r="AU448" s="435"/>
      <c r="AV448" s="433"/>
      <c r="AW448" s="435"/>
      <c r="AX448" s="395"/>
      <c r="AY448" s="433"/>
      <c r="AZ448" s="434"/>
      <c r="BA448" s="433"/>
      <c r="BB448" s="434"/>
      <c r="BC448" s="433"/>
      <c r="BD448" s="434"/>
      <c r="BE448" s="433"/>
      <c r="BF448" s="435"/>
      <c r="BG448" s="433"/>
      <c r="BH448" s="435"/>
      <c r="BI448" s="433"/>
      <c r="BJ448" s="435"/>
      <c r="BK448" s="433"/>
      <c r="BL448" s="435"/>
      <c r="BM448" s="433"/>
      <c r="BN448" s="435"/>
      <c r="BO448" s="433"/>
      <c r="BP448" s="435"/>
      <c r="BQ448" s="433"/>
      <c r="BR448" s="435"/>
      <c r="BS448" s="433"/>
      <c r="BT448" s="435"/>
      <c r="BU448" s="433"/>
      <c r="BV448" s="435"/>
      <c r="BW448" s="433"/>
      <c r="BX448" s="435"/>
      <c r="BY448" s="433"/>
      <c r="BZ448" s="435"/>
      <c r="CA448" s="433"/>
      <c r="CB448" s="435"/>
      <c r="CC448" s="433"/>
      <c r="CD448" s="435"/>
      <c r="CE448" s="433"/>
      <c r="CF448" s="435"/>
      <c r="CG448" s="433"/>
      <c r="CH448" s="435"/>
      <c r="CI448" s="433"/>
      <c r="CJ448" s="435"/>
      <c r="CK448" s="433"/>
      <c r="CL448" s="435"/>
      <c r="CM448" s="424"/>
    </row>
    <row r="449" spans="1:91" ht="12" hidden="1" customHeight="1" outlineLevel="1" x14ac:dyDescent="0.2">
      <c r="A449" s="400" t="str">
        <f>+INPUT!B557</f>
        <v>Operating Earnings before Tax</v>
      </c>
      <c r="B449" s="436">
        <f>INPUT!C557</f>
        <v>-43.900000000000006</v>
      </c>
      <c r="C449" s="424" t="str">
        <f>INPUT!D557</f>
        <v>NA</v>
      </c>
      <c r="D449" s="436">
        <f>INPUT!E557</f>
        <v>-48.900000000000006</v>
      </c>
      <c r="E449" s="382" t="str">
        <f>INPUT!F557</f>
        <v>NA</v>
      </c>
      <c r="F449" s="436">
        <f>INPUT!G557</f>
        <v>-41.199999999999996</v>
      </c>
      <c r="G449" s="382" t="str">
        <f>INPUT!H557</f>
        <v>NA</v>
      </c>
      <c r="H449" s="436">
        <f>INPUT!I557</f>
        <v>-58</v>
      </c>
      <c r="I449" s="382" t="str">
        <f>INPUT!J557</f>
        <v>NA</v>
      </c>
      <c r="J449" s="436">
        <f>INPUT!K557</f>
        <v>-25.4</v>
      </c>
      <c r="K449" s="382">
        <f>INPUT!L557</f>
        <v>-42.141230068337144</v>
      </c>
      <c r="L449" s="436">
        <f>INPUT!M557</f>
        <v>-39.700000000000003</v>
      </c>
      <c r="M449" s="382">
        <f>INPUT!N557</f>
        <v>-18.813905930470355</v>
      </c>
      <c r="N449" s="436">
        <f>INPUT!O557</f>
        <v>-42.7</v>
      </c>
      <c r="O449" s="382">
        <f>INPUT!P557</f>
        <v>3.6407766990291321</v>
      </c>
      <c r="P449" s="436">
        <f>INPUT!Q557</f>
        <v>-49.5</v>
      </c>
      <c r="Q449" s="382">
        <f>INPUT!R557</f>
        <v>-14.65517241379311</v>
      </c>
      <c r="R449" s="436">
        <f>INPUT!S557</f>
        <v>-37.1</v>
      </c>
      <c r="S449" s="382">
        <f>INPUT!T557</f>
        <v>46.062992125984266</v>
      </c>
      <c r="T449" s="436">
        <f>INPUT!U557</f>
        <v>-39.300000000000004</v>
      </c>
      <c r="U449" s="382">
        <f>INPUT!V557</f>
        <v>-1.0075566750629719</v>
      </c>
      <c r="V449" s="436">
        <f>INPUT!W557</f>
        <v>-54.1</v>
      </c>
      <c r="W449" s="382">
        <f>INPUT!X557</f>
        <v>26.697892271662752</v>
      </c>
      <c r="X449" s="436">
        <f>INPUT!Y557</f>
        <v>-54.699999999999996</v>
      </c>
      <c r="Y449" s="382">
        <f>INPUT!Z557</f>
        <v>10.505050505050505</v>
      </c>
      <c r="Z449" s="436">
        <f>INPUT!AA557</f>
        <v>-53.199999999999989</v>
      </c>
      <c r="AA449" s="382">
        <f>INPUT!AB557</f>
        <v>43.396226415094304</v>
      </c>
      <c r="AB449" s="436">
        <f>INPUT!AC557</f>
        <v>-54.599999999999994</v>
      </c>
      <c r="AC449" s="382">
        <f>INPUT!AD557</f>
        <v>38.931297709923626</v>
      </c>
      <c r="AD449" s="436">
        <f>INPUT!AE557</f>
        <v>-57.8</v>
      </c>
      <c r="AE449" s="382">
        <f>INPUT!AF557</f>
        <v>6.8391866913123778</v>
      </c>
      <c r="AF449" s="436">
        <f>INPUT!AG557</f>
        <v>-30.799999999999997</v>
      </c>
      <c r="AG449" s="382">
        <f>INPUT!AH557</f>
        <v>-43.692870201096888</v>
      </c>
      <c r="AH449" s="436">
        <f>INPUT!AI557</f>
        <v>-58.4</v>
      </c>
      <c r="AI449" s="382">
        <f>INPUT!AJ557</f>
        <v>9.774436090225592</v>
      </c>
      <c r="AJ449" s="436">
        <f>INPUT!AK557</f>
        <v>-47</v>
      </c>
      <c r="AK449" s="382">
        <f>INPUT!AL557</f>
        <v>-13.919413919413913</v>
      </c>
      <c r="AL449" s="436">
        <f>INPUT!AM557</f>
        <v>-42.599999999999994</v>
      </c>
      <c r="AM449" s="382">
        <f>INPUT!AN557</f>
        <v>-26.297577854671289</v>
      </c>
      <c r="AN449" s="436">
        <f>INPUT!AO557</f>
        <v>-61.599999999999994</v>
      </c>
      <c r="AO449" s="382">
        <f>INPUT!AP557</f>
        <v>100</v>
      </c>
      <c r="AP449" s="436">
        <f>INPUT!AQ557</f>
        <v>-51.583999999999989</v>
      </c>
      <c r="AQ449" s="382">
        <f>INPUT!AR557</f>
        <v>-11.671232876712338</v>
      </c>
      <c r="AR449" s="436">
        <f>INPUT!AS557</f>
        <v>-51.583999999999989</v>
      </c>
      <c r="AS449" s="382">
        <f>INPUT!AT557</f>
        <v>9.7531914893616687</v>
      </c>
      <c r="AT449" s="436">
        <f>INPUT!AU557</f>
        <v>-51.583999999999989</v>
      </c>
      <c r="AU449" s="382">
        <f>INPUT!AV557</f>
        <v>21.089201877934258</v>
      </c>
      <c r="AV449" s="436">
        <f>INPUT!AW557</f>
        <v>-51.583999999999989</v>
      </c>
      <c r="AW449" s="382">
        <f>INPUT!AX557</f>
        <v>-16.259740259740269</v>
      </c>
      <c r="AX449" s="403"/>
      <c r="AY449" s="402"/>
      <c r="AZ449" s="432"/>
      <c r="BA449" s="402"/>
      <c r="BB449" s="432"/>
      <c r="BC449" s="402"/>
      <c r="BD449" s="432"/>
      <c r="BE449" s="402"/>
      <c r="BF449" s="382"/>
      <c r="BG449" s="402"/>
      <c r="BH449" s="382"/>
      <c r="BI449" s="402"/>
      <c r="BJ449" s="382"/>
      <c r="BK449" s="436"/>
      <c r="BL449" s="382"/>
      <c r="BM449" s="436"/>
      <c r="BN449" s="382"/>
      <c r="BO449" s="436"/>
      <c r="BP449" s="382"/>
      <c r="BQ449" s="436"/>
      <c r="BR449" s="382"/>
      <c r="BS449" s="436">
        <f>INPUT!BB557</f>
        <v>-192</v>
      </c>
      <c r="BT449" s="382" t="str">
        <f>INPUT!BC557</f>
        <v>NA</v>
      </c>
      <c r="BU449" s="436">
        <f>INPUT!BD557</f>
        <v>-157.30000000000001</v>
      </c>
      <c r="BV449" s="382">
        <f>INPUT!BE557</f>
        <v>-18.072916666666657</v>
      </c>
      <c r="BW449" s="436">
        <f>INPUT!BF557</f>
        <v>-185.2</v>
      </c>
      <c r="BX449" s="382">
        <f>INPUT!BG557</f>
        <v>17.736808645899544</v>
      </c>
      <c r="BY449" s="436">
        <f>INPUT!BH557</f>
        <v>-196.39999999999998</v>
      </c>
      <c r="BZ449" s="382">
        <f>INPUT!BI557</f>
        <v>6.047516198704102</v>
      </c>
      <c r="CA449" s="436">
        <f>INPUT!BJ557</f>
        <v>-209.6</v>
      </c>
      <c r="CB449" s="382">
        <f>INPUT!BK557</f>
        <v>6.7209775967413492</v>
      </c>
      <c r="CC449" s="436">
        <f>INPUT!BL557</f>
        <v>-206.33599999999996</v>
      </c>
      <c r="CD449" s="382">
        <f>INPUT!BM557</f>
        <v>-1.5572519083969638</v>
      </c>
      <c r="CE449" s="436">
        <f>INPUT!BN557</f>
        <v>-207.0368</v>
      </c>
      <c r="CF449" s="382">
        <f>INPUT!BO557</f>
        <v>0.33964019851117655</v>
      </c>
      <c r="CG449" s="436">
        <f>INPUT!BP557</f>
        <v>-215.24292</v>
      </c>
      <c r="CH449" s="382">
        <f>INPUT!BQ557</f>
        <v>3.9636045379372291</v>
      </c>
      <c r="CI449" s="436">
        <f>INPUT!BR557</f>
        <v>-223.81403159999999</v>
      </c>
      <c r="CJ449" s="382">
        <f>INPUT!BS557</f>
        <v>3.9820643577962898</v>
      </c>
      <c r="CK449" s="436">
        <f>INPUT!BT557</f>
        <v>-232.76747809200003</v>
      </c>
      <c r="CL449" s="382">
        <f>INPUT!BU557</f>
        <v>4.0003955194380438</v>
      </c>
      <c r="CM449" s="424">
        <f>INPUT!BV557</f>
        <v>2.1189179995649621</v>
      </c>
    </row>
    <row r="450" spans="1:91" ht="12" hidden="1" customHeight="1" outlineLevel="1" x14ac:dyDescent="0.2">
      <c r="A450" s="400" t="s">
        <v>554</v>
      </c>
      <c r="B450" s="425">
        <f>+INPUT!C558</f>
        <v>0.2</v>
      </c>
      <c r="C450" s="424" t="str">
        <f>+INPUT!D558</f>
        <v>NA</v>
      </c>
      <c r="D450" s="436">
        <f>+INPUT!E558</f>
        <v>0.1</v>
      </c>
      <c r="E450" s="382" t="str">
        <f>+INPUT!F558</f>
        <v>NA</v>
      </c>
      <c r="F450" s="436">
        <f>+INPUT!G558</f>
        <v>0.3</v>
      </c>
      <c r="G450" s="382" t="str">
        <f>+INPUT!H558</f>
        <v>NA</v>
      </c>
      <c r="H450" s="436">
        <f>+INPUT!I558</f>
        <v>0.5</v>
      </c>
      <c r="I450" s="382" t="str">
        <f>+INPUT!J558</f>
        <v>NA</v>
      </c>
      <c r="J450" s="436">
        <f>+INPUT!K558</f>
        <v>17.3</v>
      </c>
      <c r="K450" s="382" t="str">
        <f>+INPUT!L558</f>
        <v>NM</v>
      </c>
      <c r="L450" s="436">
        <f>+INPUT!M558</f>
        <v>0.1</v>
      </c>
      <c r="M450" s="382">
        <f>+INPUT!N558</f>
        <v>0</v>
      </c>
      <c r="N450" s="436">
        <f>+INPUT!O558</f>
        <v>0.5</v>
      </c>
      <c r="O450" s="382">
        <f>+INPUT!P558</f>
        <v>66.666666666666686</v>
      </c>
      <c r="P450" s="436">
        <f>+INPUT!Q558</f>
        <v>-0.4</v>
      </c>
      <c r="Q450" s="382" t="str">
        <f>+INPUT!R558</f>
        <v>NM</v>
      </c>
      <c r="R450" s="436">
        <f>+INPUT!S558</f>
        <v>0.2</v>
      </c>
      <c r="S450" s="382" t="str">
        <f>+INPUT!T558</f>
        <v>NM</v>
      </c>
      <c r="T450" s="436">
        <f>+INPUT!U558</f>
        <v>6.9</v>
      </c>
      <c r="U450" s="382" t="str">
        <f>+INPUT!V558</f>
        <v>NM</v>
      </c>
      <c r="V450" s="436">
        <f>+INPUT!W558</f>
        <v>-0.1</v>
      </c>
      <c r="W450" s="382" t="str">
        <f>+INPUT!X558</f>
        <v>NM</v>
      </c>
      <c r="X450" s="436">
        <f>+INPUT!Y558</f>
        <v>0.1</v>
      </c>
      <c r="Y450" s="382" t="str">
        <f>+INPUT!Z558</f>
        <v>NM</v>
      </c>
      <c r="Z450" s="436">
        <f>+INPUT!AA558</f>
        <v>0.1</v>
      </c>
      <c r="AA450" s="382">
        <f>+INPUT!AB558</f>
        <v>-50</v>
      </c>
      <c r="AB450" s="436">
        <f>+INPUT!AC558</f>
        <v>-0.1</v>
      </c>
      <c r="AC450" s="382" t="str">
        <f>+INPUT!AD558</f>
        <v>NM</v>
      </c>
      <c r="AD450" s="436">
        <f>+INPUT!AE558</f>
        <v>0</v>
      </c>
      <c r="AE450" s="382" t="str">
        <f>+INPUT!AF558</f>
        <v>NM</v>
      </c>
      <c r="AF450" s="436">
        <f>+INPUT!AG558</f>
        <v>22.5</v>
      </c>
      <c r="AG450" s="382" t="str">
        <f>+INPUT!AH558</f>
        <v>NM</v>
      </c>
      <c r="AH450" s="436">
        <f>+INPUT!AI558</f>
        <v>0.1</v>
      </c>
      <c r="AI450" s="382">
        <f>+INPUT!AJ558</f>
        <v>0</v>
      </c>
      <c r="AJ450" s="436">
        <f>+INPUT!AK558</f>
        <v>0.5</v>
      </c>
      <c r="AK450" s="382" t="str">
        <f>+INPUT!AL558</f>
        <v>NM</v>
      </c>
      <c r="AL450" s="436">
        <f>+INPUT!AM558</f>
        <v>0.4</v>
      </c>
      <c r="AM450" s="382" t="str">
        <f>+INPUT!AN558</f>
        <v>NA</v>
      </c>
      <c r="AN450" s="436">
        <f>+INPUT!AO558</f>
        <v>-0.1</v>
      </c>
      <c r="AO450" s="382" t="str">
        <f>+INPUT!AP558</f>
        <v>NM</v>
      </c>
      <c r="AP450" s="436">
        <f>+INPUT!AQ558</f>
        <v>-8.374025974025974E-2</v>
      </c>
      <c r="AQ450" s="382" t="str">
        <f>+INPUT!AR558</f>
        <v>NM</v>
      </c>
      <c r="AR450" s="436">
        <f>+INPUT!AS558</f>
        <v>-8.374025974025974E-2</v>
      </c>
      <c r="AS450" s="382" t="str">
        <f>+INPUT!AT558</f>
        <v>NM</v>
      </c>
      <c r="AT450" s="436">
        <f>+INPUT!AU558</f>
        <v>-8.374025974025974E-2</v>
      </c>
      <c r="AU450" s="382" t="str">
        <f>+INPUT!AV558</f>
        <v>NM</v>
      </c>
      <c r="AV450" s="436">
        <f>+INPUT!AW558</f>
        <v>-8.374025974025974E-2</v>
      </c>
      <c r="AW450" s="382">
        <f>+INPUT!AX558</f>
        <v>-16.259740259740269</v>
      </c>
      <c r="AX450" s="403"/>
      <c r="AY450" s="402"/>
      <c r="AZ450" s="432"/>
      <c r="BA450" s="402"/>
      <c r="BB450" s="432"/>
      <c r="BC450" s="402"/>
      <c r="BD450" s="432"/>
      <c r="BE450" s="402"/>
      <c r="BF450" s="382"/>
      <c r="BG450" s="402"/>
      <c r="BH450" s="382"/>
      <c r="BI450" s="402"/>
      <c r="BJ450" s="382"/>
      <c r="BK450" s="436"/>
      <c r="BL450" s="382"/>
      <c r="BM450" s="436"/>
      <c r="BN450" s="382"/>
      <c r="BO450" s="436"/>
      <c r="BP450" s="382"/>
      <c r="BQ450" s="436"/>
      <c r="BR450" s="382"/>
      <c r="BS450" s="436">
        <f>INPUT!BB558</f>
        <v>1.1000000000000001</v>
      </c>
      <c r="BT450" s="382" t="str">
        <f>INPUT!BC558</f>
        <v>NA</v>
      </c>
      <c r="BU450" s="436">
        <f>INPUT!BD558</f>
        <v>17.500000000000004</v>
      </c>
      <c r="BV450" s="382" t="str">
        <f>INPUT!BE558</f>
        <v>NM</v>
      </c>
      <c r="BW450" s="436">
        <f>INPUT!BF558</f>
        <v>7.1000000000000005</v>
      </c>
      <c r="BX450" s="382" t="str">
        <f>INPUT!BG558</f>
        <v>NM</v>
      </c>
      <c r="BY450" s="436">
        <f>INPUT!BH558</f>
        <v>22.5</v>
      </c>
      <c r="BZ450" s="382" t="str">
        <f>INPUT!BI558</f>
        <v>NM</v>
      </c>
      <c r="CA450" s="436">
        <f>INPUT!BJ558</f>
        <v>0.9</v>
      </c>
      <c r="CB450" s="382" t="str">
        <f>INPUT!BK558</f>
        <v>NM</v>
      </c>
      <c r="CC450" s="436">
        <f>INPUT!BL558</f>
        <v>-0.33496103896103896</v>
      </c>
      <c r="CD450" s="382" t="str">
        <f>INPUT!BM558</f>
        <v>NM</v>
      </c>
      <c r="CE450" s="436">
        <f>INPUT!BN558</f>
        <v>-0.33496103896103896</v>
      </c>
      <c r="CF450" s="382">
        <f>INPUT!BO558</f>
        <v>0</v>
      </c>
      <c r="CG450" s="436">
        <f>INPUT!BP558</f>
        <v>-0.33496103896103896</v>
      </c>
      <c r="CH450" s="382">
        <f>INPUT!BQ558</f>
        <v>0</v>
      </c>
      <c r="CI450" s="436">
        <f>INPUT!BR558</f>
        <v>-0.33496103896103896</v>
      </c>
      <c r="CJ450" s="382">
        <f>INPUT!BS558</f>
        <v>0</v>
      </c>
      <c r="CK450" s="436">
        <f>INPUT!BT558</f>
        <v>-0.33496103896103896</v>
      </c>
      <c r="CL450" s="382">
        <f>INPUT!BU558</f>
        <v>0</v>
      </c>
      <c r="CM450" s="424" t="str">
        <f>INPUT!BV558</f>
        <v>NM</v>
      </c>
    </row>
    <row r="451" spans="1:91" ht="12" hidden="1" customHeight="1" outlineLevel="1" x14ac:dyDescent="0.2">
      <c r="A451" s="400" t="s">
        <v>59</v>
      </c>
      <c r="B451" s="425">
        <f>+INPUT!C566</f>
        <v>0</v>
      </c>
      <c r="C451" s="424" t="str">
        <f>+INPUT!D566</f>
        <v>NA</v>
      </c>
      <c r="D451" s="436">
        <f>+INPUT!E566</f>
        <v>0</v>
      </c>
      <c r="E451" s="382" t="str">
        <f>+INPUT!F566</f>
        <v>NA</v>
      </c>
      <c r="F451" s="436">
        <f>+INPUT!G566</f>
        <v>0</v>
      </c>
      <c r="G451" s="382" t="str">
        <f>+INPUT!H566</f>
        <v>NA</v>
      </c>
      <c r="H451" s="436">
        <f>+INPUT!I566</f>
        <v>-9.2307692307692299</v>
      </c>
      <c r="I451" s="382" t="str">
        <f>+INPUT!J566</f>
        <v>NA</v>
      </c>
      <c r="J451" s="436">
        <f>+INPUT!K566</f>
        <v>0</v>
      </c>
      <c r="K451" s="382" t="str">
        <f>+INPUT!L566</f>
        <v>NA</v>
      </c>
      <c r="L451" s="436">
        <f>+INPUT!M566</f>
        <v>0</v>
      </c>
      <c r="M451" s="382" t="str">
        <f>+INPUT!N566</f>
        <v>NA</v>
      </c>
      <c r="N451" s="436">
        <f>+INPUT!O566</f>
        <v>0</v>
      </c>
      <c r="O451" s="382" t="str">
        <f>+INPUT!P566</f>
        <v>NA</v>
      </c>
      <c r="P451" s="436">
        <f>+INPUT!Q566</f>
        <v>9.2307692307692299</v>
      </c>
      <c r="Q451" s="382" t="str">
        <f>+INPUT!R566</f>
        <v>NM</v>
      </c>
      <c r="R451" s="436">
        <f>+INPUT!S566</f>
        <v>0</v>
      </c>
      <c r="S451" s="382" t="str">
        <f>+INPUT!T566</f>
        <v>NA</v>
      </c>
      <c r="T451" s="436">
        <f>+INPUT!U566</f>
        <v>-9.2307692307692299</v>
      </c>
      <c r="U451" s="382" t="str">
        <f>+INPUT!V566</f>
        <v>NA</v>
      </c>
      <c r="V451" s="436">
        <f>+INPUT!W566</f>
        <v>0</v>
      </c>
      <c r="W451" s="382" t="str">
        <f>+INPUT!X566</f>
        <v>NA</v>
      </c>
      <c r="X451" s="436">
        <f>+INPUT!Y566</f>
        <v>0</v>
      </c>
      <c r="Y451" s="382" t="str">
        <f>+INPUT!Z566</f>
        <v>NM</v>
      </c>
      <c r="Z451" s="436">
        <f>+INPUT!AA566</f>
        <v>0</v>
      </c>
      <c r="AA451" s="382" t="str">
        <f>+INPUT!AB566</f>
        <v>NA</v>
      </c>
      <c r="AB451" s="436">
        <f>+INPUT!AC566</f>
        <v>0</v>
      </c>
      <c r="AC451" s="382" t="str">
        <f>+INPUT!AD566</f>
        <v>NM</v>
      </c>
      <c r="AD451" s="436">
        <f>+INPUT!AE566</f>
        <v>0</v>
      </c>
      <c r="AE451" s="382" t="str">
        <f>+INPUT!AF566</f>
        <v>NA</v>
      </c>
      <c r="AF451" s="436">
        <f>+INPUT!AG566</f>
        <v>0</v>
      </c>
      <c r="AG451" s="382" t="str">
        <f>+INPUT!AH566</f>
        <v>NA</v>
      </c>
      <c r="AH451" s="436">
        <f>+INPUT!AI566</f>
        <v>0</v>
      </c>
      <c r="AI451" s="382" t="str">
        <f>+INPUT!AJ566</f>
        <v>NA</v>
      </c>
      <c r="AJ451" s="436">
        <f>+INPUT!AK566</f>
        <v>0</v>
      </c>
      <c r="AK451" s="382" t="str">
        <f>+INPUT!AL566</f>
        <v>NA</v>
      </c>
      <c r="AL451" s="436">
        <f>+INPUT!AM566</f>
        <v>0</v>
      </c>
      <c r="AM451" s="382" t="str">
        <f>+INPUT!AN566</f>
        <v>NA</v>
      </c>
      <c r="AN451" s="436">
        <f>+INPUT!AO566</f>
        <v>0</v>
      </c>
      <c r="AO451" s="382" t="str">
        <f>+INPUT!AP566</f>
        <v>NA</v>
      </c>
      <c r="AP451" s="436">
        <f>+INPUT!AQ566</f>
        <v>0</v>
      </c>
      <c r="AQ451" s="382" t="str">
        <f>+INPUT!AR566</f>
        <v>NA</v>
      </c>
      <c r="AR451" s="436">
        <f>+INPUT!AS566</f>
        <v>0</v>
      </c>
      <c r="AS451" s="382" t="str">
        <f>+INPUT!AT566</f>
        <v>NA</v>
      </c>
      <c r="AT451" s="436">
        <f>+INPUT!AU566</f>
        <v>0</v>
      </c>
      <c r="AU451" s="382" t="str">
        <f>+INPUT!AV566</f>
        <v>NA</v>
      </c>
      <c r="AV451" s="436">
        <f>+INPUT!AW566</f>
        <v>0</v>
      </c>
      <c r="AW451" s="382" t="str">
        <f>+INPUT!AX566</f>
        <v>NA</v>
      </c>
      <c r="AX451" s="403"/>
      <c r="AY451" s="402"/>
      <c r="AZ451" s="432"/>
      <c r="BA451" s="402"/>
      <c r="BB451" s="432"/>
      <c r="BC451" s="402"/>
      <c r="BD451" s="432"/>
      <c r="BE451" s="402"/>
      <c r="BF451" s="382"/>
      <c r="BG451" s="402"/>
      <c r="BH451" s="382"/>
      <c r="BI451" s="402"/>
      <c r="BJ451" s="382"/>
      <c r="BK451" s="436"/>
      <c r="BL451" s="382"/>
      <c r="BM451" s="436"/>
      <c r="BN451" s="382"/>
      <c r="BO451" s="436"/>
      <c r="BP451" s="382"/>
      <c r="BQ451" s="436"/>
      <c r="BR451" s="382"/>
      <c r="BS451" s="436">
        <f>INPUT!BB566</f>
        <v>-9.2307692307692299</v>
      </c>
      <c r="BT451" s="382" t="str">
        <f>INPUT!BC566</f>
        <v>NA</v>
      </c>
      <c r="BU451" s="436">
        <f>INPUT!BD566</f>
        <v>9.2307692307692299</v>
      </c>
      <c r="BV451" s="382" t="str">
        <f>INPUT!BE566</f>
        <v>NM</v>
      </c>
      <c r="BW451" s="436">
        <f>INPUT!BF566</f>
        <v>-9.2307692307692299</v>
      </c>
      <c r="BX451" s="382" t="str">
        <f>INPUT!BG566</f>
        <v>NM</v>
      </c>
      <c r="BY451" s="436">
        <f>INPUT!BH566</f>
        <v>0</v>
      </c>
      <c r="BZ451" s="382" t="str">
        <f>INPUT!BI566</f>
        <v>NM</v>
      </c>
      <c r="CA451" s="436">
        <f>INPUT!BJ566</f>
        <v>0</v>
      </c>
      <c r="CB451" s="382" t="str">
        <f>INPUT!BK566</f>
        <v>NA</v>
      </c>
      <c r="CC451" s="436">
        <f>INPUT!BL566</f>
        <v>0</v>
      </c>
      <c r="CD451" s="382" t="str">
        <f>INPUT!BM566</f>
        <v>NA</v>
      </c>
      <c r="CE451" s="436">
        <f>INPUT!BN566</f>
        <v>0</v>
      </c>
      <c r="CF451" s="382" t="str">
        <f>INPUT!BO566</f>
        <v>NA</v>
      </c>
      <c r="CG451" s="436">
        <f>INPUT!BP566</f>
        <v>0</v>
      </c>
      <c r="CH451" s="382" t="str">
        <f>INPUT!BQ566</f>
        <v>NA</v>
      </c>
      <c r="CI451" s="436">
        <f>INPUT!BR566</f>
        <v>0</v>
      </c>
      <c r="CJ451" s="382" t="str">
        <f>INPUT!BS566</f>
        <v>NA</v>
      </c>
      <c r="CK451" s="436">
        <f>INPUT!BT566</f>
        <v>0</v>
      </c>
      <c r="CL451" s="382" t="str">
        <f>INPUT!BU566</f>
        <v>NA</v>
      </c>
      <c r="CM451" s="424" t="str">
        <f>INPUT!BV566</f>
        <v>NA</v>
      </c>
    </row>
    <row r="452" spans="1:91" ht="12" hidden="1" customHeight="1" outlineLevel="1" x14ac:dyDescent="0.2">
      <c r="A452" s="437" t="s">
        <v>466</v>
      </c>
      <c r="B452" s="468">
        <f>+INPUT!C568</f>
        <v>-44.100000000000009</v>
      </c>
      <c r="C452" s="439" t="str">
        <f>+INPUT!D568</f>
        <v>NA</v>
      </c>
      <c r="D452" s="468">
        <f>+INPUT!E568</f>
        <v>-49.000000000000007</v>
      </c>
      <c r="E452" s="440" t="str">
        <f>+INPUT!F568</f>
        <v>NA</v>
      </c>
      <c r="F452" s="468">
        <f>+INPUT!G568</f>
        <v>-41.499999999999993</v>
      </c>
      <c r="G452" s="440" t="str">
        <f>+INPUT!H568</f>
        <v>NA</v>
      </c>
      <c r="H452" s="468">
        <f>+INPUT!I568</f>
        <v>-49.269230769230774</v>
      </c>
      <c r="I452" s="440" t="str">
        <f>+INPUT!J568</f>
        <v>NA</v>
      </c>
      <c r="J452" s="468">
        <f>+INPUT!K568</f>
        <v>-42.7</v>
      </c>
      <c r="K452" s="440">
        <f>+INPUT!L568</f>
        <v>-3.1746031746031917</v>
      </c>
      <c r="L452" s="468">
        <f>+INPUT!M568</f>
        <v>-39.800000000000004</v>
      </c>
      <c r="M452" s="440">
        <f>+INPUT!N568</f>
        <v>-18.775510204081641</v>
      </c>
      <c r="N452" s="468">
        <f>+INPUT!O568</f>
        <v>-43.2</v>
      </c>
      <c r="O452" s="440">
        <f>+INPUT!P568</f>
        <v>4.0963855421686901</v>
      </c>
      <c r="P452" s="468">
        <f>+INPUT!Q568</f>
        <v>-58.330769230769235</v>
      </c>
      <c r="Q452" s="440">
        <f>+INPUT!R568</f>
        <v>18.391881342701026</v>
      </c>
      <c r="R452" s="468">
        <f>+INPUT!S568</f>
        <v>-37.300000000000004</v>
      </c>
      <c r="S452" s="440">
        <f>+INPUT!T568</f>
        <v>-12.646370023419195</v>
      </c>
      <c r="T452" s="468">
        <f>+INPUT!U568</f>
        <v>-36.969230769230776</v>
      </c>
      <c r="U452" s="440">
        <f>+INPUT!V568</f>
        <v>-7.1124855044453028</v>
      </c>
      <c r="V452" s="468">
        <f>+INPUT!W568</f>
        <v>-54</v>
      </c>
      <c r="W452" s="440">
        <f>+INPUT!X568</f>
        <v>25</v>
      </c>
      <c r="X452" s="468">
        <f>+INPUT!Y568</f>
        <v>-54.8</v>
      </c>
      <c r="Y452" s="440">
        <f>+INPUT!Z568</f>
        <v>-6.0530133192667961</v>
      </c>
      <c r="Z452" s="468">
        <f>+INPUT!AA568</f>
        <v>-53.29999999999999</v>
      </c>
      <c r="AA452" s="440">
        <f>+INPUT!AB568</f>
        <v>42.895442359249301</v>
      </c>
      <c r="AB452" s="468">
        <f>+INPUT!AC568</f>
        <v>-54.499999999999993</v>
      </c>
      <c r="AC452" s="440">
        <f>+INPUT!AD568</f>
        <v>47.419891801914218</v>
      </c>
      <c r="AD452" s="468">
        <f>+INPUT!AE568</f>
        <v>-57.8</v>
      </c>
      <c r="AE452" s="440">
        <f>+INPUT!AF568</f>
        <v>7.0370370370370381</v>
      </c>
      <c r="AF452" s="468">
        <f>+INPUT!AG568</f>
        <v>-53.3</v>
      </c>
      <c r="AG452" s="440">
        <f>+INPUT!AH568</f>
        <v>-2.7372262773722582</v>
      </c>
      <c r="AH452" s="468">
        <f>+INPUT!AI568</f>
        <v>-58.5</v>
      </c>
      <c r="AI452" s="440">
        <f>+INPUT!AJ568</f>
        <v>9.7560975609756468</v>
      </c>
      <c r="AJ452" s="468">
        <f>+INPUT!AK568</f>
        <v>-47.5</v>
      </c>
      <c r="AK452" s="440">
        <f>+INPUT!AL568</f>
        <v>-12.844036697247702</v>
      </c>
      <c r="AL452" s="468">
        <f>+INPUT!AM568</f>
        <v>-42.999999999999993</v>
      </c>
      <c r="AM452" s="440">
        <f>+INPUT!AN568</f>
        <v>-25.605536332179938</v>
      </c>
      <c r="AN452" s="468">
        <f>+INPUT!AO568</f>
        <v>-61.499999999999993</v>
      </c>
      <c r="AO452" s="440">
        <f>+INPUT!AP568</f>
        <v>15.384615384615373</v>
      </c>
      <c r="AP452" s="468">
        <f>+INPUT!AQ568</f>
        <v>-51.500259740259729</v>
      </c>
      <c r="AQ452" s="440">
        <f>+INPUT!AR568</f>
        <v>-11.965367965367989</v>
      </c>
      <c r="AR452" s="468">
        <f>+INPUT!AS568</f>
        <v>-51.500259740259729</v>
      </c>
      <c r="AS452" s="440">
        <f>+INPUT!AT568</f>
        <v>8.4215994531783736</v>
      </c>
      <c r="AT452" s="468">
        <f>+INPUT!AU568</f>
        <v>-51.500259740259729</v>
      </c>
      <c r="AU452" s="440">
        <f>+INPUT!AV568</f>
        <v>19.768045907580785</v>
      </c>
      <c r="AV452" s="468">
        <f>+INPUT!AW568</f>
        <v>-51.500259740259729</v>
      </c>
      <c r="AW452" s="440">
        <f>+INPUT!AX568</f>
        <v>-16.259740259740269</v>
      </c>
      <c r="AX452" s="469"/>
      <c r="AY452" s="438"/>
      <c r="AZ452" s="439"/>
      <c r="BA452" s="438"/>
      <c r="BB452" s="439"/>
      <c r="BC452" s="438"/>
      <c r="BD452" s="439"/>
      <c r="BE452" s="438"/>
      <c r="BF452" s="440"/>
      <c r="BG452" s="438"/>
      <c r="BH452" s="440"/>
      <c r="BI452" s="438"/>
      <c r="BJ452" s="440"/>
      <c r="BK452" s="468"/>
      <c r="BL452" s="440"/>
      <c r="BM452" s="468"/>
      <c r="BN452" s="440"/>
      <c r="BO452" s="468"/>
      <c r="BP452" s="440"/>
      <c r="BQ452" s="468"/>
      <c r="BR452" s="440"/>
      <c r="BS452" s="468">
        <f>INPUT!BB568</f>
        <v>-183.86923076923077</v>
      </c>
      <c r="BT452" s="440" t="str">
        <f>INPUT!BC568</f>
        <v>NA</v>
      </c>
      <c r="BU452" s="468">
        <f>INPUT!BD568</f>
        <v>-184.03076923076924</v>
      </c>
      <c r="BV452" s="440">
        <f>INPUT!BE568</f>
        <v>8.7855080952195408E-2</v>
      </c>
      <c r="BW452" s="468">
        <f>INPUT!BF568</f>
        <v>-183.06923076923076</v>
      </c>
      <c r="BX452" s="440">
        <f>INPUT!BG568</f>
        <v>-0.52248787828122545</v>
      </c>
      <c r="BY452" s="468">
        <f>INPUT!BH568</f>
        <v>-218.89999999999998</v>
      </c>
      <c r="BZ452" s="440">
        <f>INPUT!BI568</f>
        <v>19.572250934913242</v>
      </c>
      <c r="CA452" s="468">
        <f>INPUT!BJ568</f>
        <v>-210.5</v>
      </c>
      <c r="CB452" s="440">
        <f>INPUT!BK568</f>
        <v>-3.8373686614892648</v>
      </c>
      <c r="CC452" s="468">
        <f>INPUT!BL568</f>
        <v>-206.00103896103892</v>
      </c>
      <c r="CD452" s="440">
        <f>INPUT!BM568</f>
        <v>-2.1372736527131053</v>
      </c>
      <c r="CE452" s="468">
        <f>INPUT!BN568</f>
        <v>-206.70183896103896</v>
      </c>
      <c r="CF452" s="440">
        <f>INPUT!BO568</f>
        <v>0.3401924589965688</v>
      </c>
      <c r="CG452" s="468">
        <f>INPUT!BP568</f>
        <v>-214.90795896103896</v>
      </c>
      <c r="CH452" s="440">
        <f>INPUT!BQ568</f>
        <v>3.9700275726848986</v>
      </c>
      <c r="CI452" s="468">
        <f>INPUT!BR568</f>
        <v>-223.47907056103895</v>
      </c>
      <c r="CJ452" s="440">
        <f>INPUT!BS568</f>
        <v>3.9882709051058782</v>
      </c>
      <c r="CK452" s="468">
        <f>INPUT!BT568</f>
        <v>-232.43251705303899</v>
      </c>
      <c r="CL452" s="440">
        <f>INPUT!BU568</f>
        <v>4.0063915021315495</v>
      </c>
      <c r="CM452" s="439">
        <f>INPUT!BV568</f>
        <v>2.0020633596808057</v>
      </c>
    </row>
    <row r="453" spans="1:91" ht="12" hidden="1" customHeight="1" outlineLevel="2" x14ac:dyDescent="0.2">
      <c r="A453" s="405" t="s">
        <v>167</v>
      </c>
      <c r="B453" s="441">
        <f>(B438+B439-B443-B444-B445-B446-B450-B451)-B452</f>
        <v>0</v>
      </c>
      <c r="C453" s="442"/>
      <c r="D453" s="441">
        <f>(D438+D439-D443-D444-D445-D446-D450-D451)-D452</f>
        <v>0</v>
      </c>
      <c r="E453" s="442"/>
      <c r="F453" s="441">
        <f>(F438+F439-F443-F444-F445-F446-F450-F451)-F452</f>
        <v>0</v>
      </c>
      <c r="G453" s="442"/>
      <c r="H453" s="441">
        <f>(H438+H439-H443-H444-H445-H446-H450-H451)-H452</f>
        <v>0</v>
      </c>
      <c r="I453" s="442"/>
      <c r="J453" s="441">
        <f>(J438+J439-J443-J444-J445-J446-J450-J451)-J452</f>
        <v>0</v>
      </c>
      <c r="K453" s="442"/>
      <c r="L453" s="441">
        <f>(L438+L439-L443-L444-L445-L446-L450-L451)-L452</f>
        <v>0</v>
      </c>
      <c r="M453" s="442"/>
      <c r="N453" s="441">
        <f>(N438+N439-N443-N444-N445-N446-N450-N451)-N452</f>
        <v>0</v>
      </c>
      <c r="O453" s="442"/>
      <c r="P453" s="441">
        <f>(P438+P439-P443-P444-P445-P446-P450-P451)-P452</f>
        <v>0</v>
      </c>
      <c r="Q453" s="442"/>
      <c r="R453" s="441">
        <f>(R438+R439-R443-R444-R445-R446-R450-R451)-R452</f>
        <v>0</v>
      </c>
      <c r="S453" s="442"/>
      <c r="T453" s="441">
        <f>(T438+T439-T443-T444-T445-T446-T450-T451)-T452</f>
        <v>0</v>
      </c>
      <c r="U453" s="442"/>
      <c r="V453" s="441">
        <f>(V438+V439-V443-V444-V445-V446-V450-V451)-V452</f>
        <v>0</v>
      </c>
      <c r="W453" s="442"/>
      <c r="X453" s="441">
        <f>(X438+X439-X443-X444-X445-X446-X450-X451)-X452</f>
        <v>0</v>
      </c>
      <c r="Y453" s="442"/>
      <c r="Z453" s="441">
        <f>(Z438+Z439-Z443-Z444-Z445-Z446-Z450-Z451)-Z452</f>
        <v>0</v>
      </c>
      <c r="AA453" s="442"/>
      <c r="AB453" s="441">
        <f>(AB438+AB439-AB443-AB444-AB445-AB446-AB450-AB451)-AB452</f>
        <v>0</v>
      </c>
      <c r="AC453" s="442"/>
      <c r="AD453" s="441">
        <f>(AD438+AD439-AD443-AD444-AD445-AD446-AD450-AD451)-AD452</f>
        <v>0</v>
      </c>
      <c r="AE453" s="442"/>
      <c r="AF453" s="441">
        <f>(AF438+AF439-AF443-AF444-AF445-AF446-AF450-AF451)-AF452</f>
        <v>0</v>
      </c>
      <c r="AG453" s="442"/>
      <c r="AH453" s="441">
        <f t="shared" ref="AH453" si="204">(AH438+AH439-AH443-AH444-AH445-AH446-AH450-AH451)-AH452</f>
        <v>0</v>
      </c>
      <c r="AI453" s="442"/>
      <c r="AJ453" s="441">
        <f t="shared" ref="AJ453" si="205">(AJ438+AJ439-AJ443-AJ444-AJ445-AJ446-AJ450-AJ451)-AJ452</f>
        <v>0</v>
      </c>
      <c r="AK453" s="442"/>
      <c r="AL453" s="441">
        <f t="shared" ref="AL453" si="206">(AL438+AL439-AL443-AL444-AL445-AL446-AL450-AL451)-AL452</f>
        <v>0</v>
      </c>
      <c r="AM453" s="442"/>
      <c r="AN453" s="441">
        <f t="shared" ref="AN453" si="207">(AN438+AN439-AN443-AN444-AN445-AN446-AN450-AN451)-AN452</f>
        <v>0</v>
      </c>
      <c r="AO453" s="442"/>
      <c r="AP453" s="441">
        <f t="shared" ref="AP453" si="208">(AP438+AP439-AP443-AP444-AP445-AP446-AP450-AP451)-AP452</f>
        <v>0</v>
      </c>
      <c r="AQ453" s="442"/>
      <c r="AR453" s="441">
        <f t="shared" ref="AR453" si="209">(AR438+AR439-AR443-AR444-AR445-AR446-AR450-AR451)-AR452</f>
        <v>0</v>
      </c>
      <c r="AS453" s="442"/>
      <c r="AT453" s="441">
        <f t="shared" ref="AT453" si="210">(AT438+AT439-AT443-AT444-AT445-AT446-AT450-AT451)-AT452</f>
        <v>0</v>
      </c>
      <c r="AU453" s="442"/>
      <c r="AV453" s="441">
        <f t="shared" ref="AV453" si="211">(AV438+AV439-AV443-AV444-AV445-AV446-AV450-AV451)-AV452</f>
        <v>0</v>
      </c>
      <c r="AW453" s="442"/>
      <c r="AX453" s="409"/>
      <c r="AY453" s="441"/>
      <c r="AZ453" s="442"/>
      <c r="BA453" s="441"/>
      <c r="BB453" s="442"/>
      <c r="BC453" s="441"/>
      <c r="BD453" s="442"/>
      <c r="BE453" s="441"/>
      <c r="BF453" s="442"/>
      <c r="BG453" s="441"/>
      <c r="BH453" s="442"/>
      <c r="BI453" s="441"/>
      <c r="BJ453" s="442"/>
      <c r="BK453" s="441"/>
      <c r="BL453" s="442"/>
      <c r="BM453" s="441"/>
      <c r="BN453" s="442"/>
      <c r="BO453" s="441"/>
      <c r="BP453" s="442"/>
      <c r="BQ453" s="441"/>
      <c r="BR453" s="442"/>
      <c r="BS453" s="441">
        <f>(BS438+BS439-BS443-BS444-BS445-BS446-BS450-BS451)-BS452</f>
        <v>0</v>
      </c>
      <c r="BT453" s="442"/>
      <c r="BU453" s="441">
        <f>(BU438+BU439-BU443-BU444-BU445-BU446-BU450-BU451)-BU452</f>
        <v>0</v>
      </c>
      <c r="BV453" s="442"/>
      <c r="BW453" s="441">
        <f>(BW438+BW439-BW443-BW444-BW445-BW446-BW450-BW451)-BW452</f>
        <v>0</v>
      </c>
      <c r="BX453" s="442"/>
      <c r="BY453" s="441">
        <f>(BY438+BY439-BY443-BY444-BY445-BY446-BY450-BY451)-BY452</f>
        <v>0</v>
      </c>
      <c r="BZ453" s="442"/>
      <c r="CA453" s="441">
        <f>(CA438+CA439-CA443-CA444-CA445-CA446-CA450-CA451)-CA452</f>
        <v>0</v>
      </c>
      <c r="CB453" s="442"/>
      <c r="CC453" s="441">
        <f>(CC438+CC439-CC443-CC444-CC445-CC446-CC450-CC451)-CC452</f>
        <v>0</v>
      </c>
      <c r="CD453" s="442"/>
      <c r="CE453" s="441">
        <f>(CE438+CE439-CE443-CE444-CE445-CE446-CE450-CE451)-CE452</f>
        <v>0</v>
      </c>
      <c r="CF453" s="442"/>
      <c r="CG453" s="441">
        <f>(CG438+CG439-CG443-CG444-CG445-CG446-CG450-CG451)-CG452</f>
        <v>0</v>
      </c>
      <c r="CH453" s="442"/>
      <c r="CI453" s="441">
        <f>(CI438+CI439-CI443-CI444-CI445-CI446-CI450-CI451)-CI452</f>
        <v>0</v>
      </c>
      <c r="CJ453" s="442"/>
      <c r="CK453" s="441">
        <f>(CK438+CK439-CK443-CK444-CK445-CK446-CK450-CK451)-CK452</f>
        <v>0</v>
      </c>
      <c r="CL453" s="442"/>
      <c r="CM453" s="442"/>
    </row>
    <row r="454" spans="1:91" ht="12" hidden="1" customHeight="1" outlineLevel="1" x14ac:dyDescent="0.2">
      <c r="A454" s="420"/>
      <c r="B454" s="425"/>
      <c r="C454" s="424"/>
      <c r="D454" s="425"/>
      <c r="E454" s="382"/>
      <c r="F454" s="425"/>
      <c r="G454" s="382"/>
      <c r="H454" s="425"/>
      <c r="I454" s="382"/>
      <c r="J454" s="425"/>
      <c r="K454" s="382"/>
      <c r="L454" s="425"/>
      <c r="M454" s="382"/>
      <c r="N454" s="425"/>
      <c r="O454" s="382"/>
      <c r="P454" s="425"/>
      <c r="Q454" s="382"/>
      <c r="R454" s="425"/>
      <c r="S454" s="382"/>
      <c r="T454" s="425"/>
      <c r="U454" s="382"/>
      <c r="V454" s="425"/>
      <c r="W454" s="382"/>
      <c r="X454" s="425"/>
      <c r="Y454" s="382"/>
      <c r="Z454" s="425"/>
      <c r="AA454" s="382"/>
      <c r="AB454" s="425"/>
      <c r="AC454" s="382"/>
      <c r="AD454" s="425"/>
      <c r="AE454" s="382"/>
      <c r="AF454" s="425"/>
      <c r="AG454" s="382"/>
      <c r="AH454" s="425"/>
      <c r="AI454" s="382"/>
      <c r="AJ454" s="425"/>
      <c r="AK454" s="382"/>
      <c r="AL454" s="425"/>
      <c r="AM454" s="382"/>
      <c r="AN454" s="425"/>
      <c r="AO454" s="382"/>
      <c r="AP454" s="425"/>
      <c r="AQ454" s="382"/>
      <c r="AR454" s="425"/>
      <c r="AS454" s="382"/>
      <c r="AT454" s="425"/>
      <c r="AU454" s="382"/>
      <c r="AV454" s="425"/>
      <c r="AW454" s="382"/>
      <c r="AX454" s="395"/>
      <c r="AY454" s="425"/>
      <c r="AZ454" s="424"/>
      <c r="BA454" s="425"/>
      <c r="BB454" s="424"/>
      <c r="BC454" s="425"/>
      <c r="BD454" s="424"/>
      <c r="BE454" s="425"/>
      <c r="BF454" s="382"/>
      <c r="BG454" s="425"/>
      <c r="BH454" s="382"/>
      <c r="BI454" s="425"/>
      <c r="BJ454" s="382"/>
      <c r="BK454" s="425"/>
      <c r="BL454" s="382"/>
      <c r="BM454" s="425"/>
      <c r="BN454" s="382"/>
      <c r="BO454" s="425"/>
      <c r="BP454" s="382"/>
      <c r="BQ454" s="425"/>
      <c r="BR454" s="382"/>
      <c r="BS454" s="425"/>
      <c r="BT454" s="382"/>
      <c r="BU454" s="425"/>
      <c r="BV454" s="382"/>
      <c r="BW454" s="425"/>
      <c r="BX454" s="382"/>
      <c r="BY454" s="425"/>
      <c r="BZ454" s="382"/>
      <c r="CA454" s="425"/>
      <c r="CB454" s="382"/>
      <c r="CC454" s="425"/>
      <c r="CD454" s="382"/>
      <c r="CE454" s="425"/>
      <c r="CF454" s="382"/>
      <c r="CG454" s="425"/>
      <c r="CH454" s="382"/>
      <c r="CI454" s="425"/>
      <c r="CJ454" s="382"/>
      <c r="CK454" s="425"/>
      <c r="CL454" s="382"/>
      <c r="CM454" s="424"/>
    </row>
    <row r="455" spans="1:91" ht="12" hidden="1" customHeight="1" outlineLevel="1" x14ac:dyDescent="0.2">
      <c r="A455" s="394" t="s">
        <v>409</v>
      </c>
      <c r="B455" s="395"/>
      <c r="C455" s="422"/>
      <c r="D455" s="395"/>
      <c r="E455" s="396"/>
      <c r="F455" s="395"/>
      <c r="G455" s="396"/>
      <c r="H455" s="395"/>
      <c r="I455" s="396"/>
      <c r="J455" s="395"/>
      <c r="K455" s="396"/>
      <c r="L455" s="395"/>
      <c r="M455" s="396"/>
      <c r="N455" s="395"/>
      <c r="O455" s="396"/>
      <c r="P455" s="395"/>
      <c r="Q455" s="396"/>
      <c r="R455" s="395"/>
      <c r="S455" s="396"/>
      <c r="T455" s="395"/>
      <c r="U455" s="396"/>
      <c r="V455" s="395"/>
      <c r="W455" s="396"/>
      <c r="X455" s="395"/>
      <c r="Y455" s="396"/>
      <c r="Z455" s="395"/>
      <c r="AA455" s="396"/>
      <c r="AB455" s="395"/>
      <c r="AC455" s="396"/>
      <c r="AD455" s="395"/>
      <c r="AE455" s="396"/>
      <c r="AF455" s="395"/>
      <c r="AG455" s="396"/>
      <c r="AH455" s="395"/>
      <c r="AI455" s="396"/>
      <c r="AJ455" s="395"/>
      <c r="AK455" s="396"/>
      <c r="AL455" s="395"/>
      <c r="AM455" s="396"/>
      <c r="AN455" s="395"/>
      <c r="AO455" s="396"/>
      <c r="AP455" s="395"/>
      <c r="AQ455" s="396"/>
      <c r="AR455" s="395"/>
      <c r="AS455" s="396"/>
      <c r="AT455" s="395"/>
      <c r="AU455" s="396"/>
      <c r="AV455" s="395"/>
      <c r="AW455" s="396"/>
      <c r="AX455" s="395"/>
      <c r="AY455" s="395"/>
      <c r="AZ455" s="422"/>
      <c r="BA455" s="395"/>
      <c r="BB455" s="422"/>
      <c r="BC455" s="395"/>
      <c r="BD455" s="422"/>
      <c r="BE455" s="395"/>
      <c r="BF455" s="396"/>
      <c r="BG455" s="395"/>
      <c r="BH455" s="396"/>
      <c r="BI455" s="395"/>
      <c r="BJ455" s="396"/>
      <c r="BK455" s="395"/>
      <c r="BL455" s="396"/>
      <c r="BM455" s="395"/>
      <c r="BN455" s="396"/>
      <c r="BO455" s="395"/>
      <c r="BP455" s="396"/>
      <c r="BQ455" s="395"/>
      <c r="BR455" s="396"/>
      <c r="BS455" s="395"/>
      <c r="BT455" s="396"/>
      <c r="BU455" s="395"/>
      <c r="BV455" s="396"/>
      <c r="BW455" s="395"/>
      <c r="BX455" s="396"/>
      <c r="BY455" s="395"/>
      <c r="BZ455" s="396"/>
      <c r="CA455" s="395"/>
      <c r="CB455" s="396"/>
      <c r="CC455" s="395"/>
      <c r="CD455" s="396"/>
      <c r="CE455" s="395"/>
      <c r="CF455" s="396"/>
      <c r="CG455" s="395"/>
      <c r="CH455" s="396"/>
      <c r="CI455" s="395"/>
      <c r="CJ455" s="396"/>
      <c r="CK455" s="395"/>
      <c r="CL455" s="396"/>
      <c r="CM455" s="422"/>
    </row>
    <row r="456" spans="1:91" ht="12" hidden="1" customHeight="1" outlineLevel="1" x14ac:dyDescent="0.2">
      <c r="A456" s="400" t="s">
        <v>250</v>
      </c>
      <c r="B456" s="429">
        <f>INPUT!C724</f>
        <v>-14.628731819341667</v>
      </c>
      <c r="C456" s="424" t="str">
        <f>INPUT!D724</f>
        <v>NA</v>
      </c>
      <c r="D456" s="429">
        <f>INPUT!E724</f>
        <v>-13.210560152636926</v>
      </c>
      <c r="E456" s="382" t="str">
        <f>INPUT!F724</f>
        <v>NA</v>
      </c>
      <c r="F456" s="429">
        <f>INPUT!G724</f>
        <v>-11.052383586339698</v>
      </c>
      <c r="G456" s="382" t="str">
        <f>INPUT!H724</f>
        <v>NA</v>
      </c>
      <c r="H456" s="429">
        <f>INPUT!I724</f>
        <v>-12.500487919122527</v>
      </c>
      <c r="I456" s="382" t="str">
        <f>INPUT!J724</f>
        <v>NA</v>
      </c>
      <c r="J456" s="429">
        <f>INPUT!K724</f>
        <v>-11.713194488404968</v>
      </c>
      <c r="K456" s="382">
        <f>INPUT!L724</f>
        <v>-19.930212454109409</v>
      </c>
      <c r="L456" s="429">
        <f>INPUT!M724</f>
        <v>-9.6439888164026133</v>
      </c>
      <c r="M456" s="382">
        <f>INPUT!N724</f>
        <v>-26.997881202807278</v>
      </c>
      <c r="N456" s="429">
        <f>INPUT!O724</f>
        <v>-10.840024706609015</v>
      </c>
      <c r="O456" s="382">
        <f>INPUT!P724</f>
        <v>-1.921385356124901</v>
      </c>
      <c r="P456" s="429">
        <f>INPUT!Q724</f>
        <v>-14.554702495201532</v>
      </c>
      <c r="Q456" s="382">
        <f>INPUT!R724</f>
        <v>16.433075167702739</v>
      </c>
      <c r="R456" s="429">
        <f>INPUT!S724</f>
        <v>-9.2684978114188539</v>
      </c>
      <c r="S456" s="382">
        <f>INPUT!T724</f>
        <v>-20.871306110439363</v>
      </c>
      <c r="T456" s="429">
        <f>INPUT!U724</f>
        <v>-8.5159918490298594</v>
      </c>
      <c r="U456" s="382">
        <f>INPUT!V724</f>
        <v>-11.69637365665794</v>
      </c>
      <c r="V456" s="429">
        <f>INPUT!W724</f>
        <v>-13.817809621289658</v>
      </c>
      <c r="W456" s="382">
        <f>INPUT!X724</f>
        <v>27.470277930871603</v>
      </c>
      <c r="X456" s="429">
        <f>INPUT!Y724</f>
        <v>-14.127352410415053</v>
      </c>
      <c r="Y456" s="382">
        <f>INPUT!Z724</f>
        <v>-2.9361650293255366</v>
      </c>
      <c r="Z456" s="429">
        <f>INPUT!AA724</f>
        <v>-14.959303957339321</v>
      </c>
      <c r="AA456" s="382">
        <f>INPUT!AB724</f>
        <v>61.399444243374091</v>
      </c>
      <c r="AB456" s="429">
        <f>INPUT!AC724</f>
        <v>-12.639146567717995</v>
      </c>
      <c r="AC456" s="382">
        <f>INPUT!AD724</f>
        <v>48.416611849597359</v>
      </c>
      <c r="AD456" s="429">
        <f>INPUT!AE724</f>
        <v>-12.91908806437192</v>
      </c>
      <c r="AE456" s="382">
        <f>INPUT!AF724</f>
        <v>-6.5040811933972691</v>
      </c>
      <c r="AF456" s="429">
        <f>INPUT!AG724</f>
        <v>-11.61726242371404</v>
      </c>
      <c r="AG456" s="382">
        <f>INPUT!AH724</f>
        <v>-17.767589522651889</v>
      </c>
      <c r="AH456" s="429">
        <f>INPUT!AI724</f>
        <v>-13.005780346820808</v>
      </c>
      <c r="AI456" s="382">
        <f>INPUT!AJ724</f>
        <v>-13.058920495830122</v>
      </c>
      <c r="AJ456" s="429">
        <f>INPUT!AK724</f>
        <v>-9.7037793667007133</v>
      </c>
      <c r="AK456" s="382">
        <f>INPUT!AL724</f>
        <v>-23.224409854654169</v>
      </c>
      <c r="AL456" s="429">
        <f>INPUT!AM724</f>
        <v>-8.2708213117907263</v>
      </c>
      <c r="AM456" s="382">
        <f>INPUT!AN724</f>
        <v>-35.979836420498728</v>
      </c>
      <c r="AN456" s="429">
        <f>INPUT!AO724</f>
        <v>-13.561190738699015</v>
      </c>
      <c r="AO456" s="382">
        <f>INPUT!AP724</f>
        <v>16.733101518107048</v>
      </c>
      <c r="AP456" s="429">
        <f>INPUT!AQ724</f>
        <v>-10.46763364781901</v>
      </c>
      <c r="AQ456" s="382">
        <f>INPUT!AR724</f>
        <v>-19.515527952324945</v>
      </c>
      <c r="AR456" s="429">
        <f>INPUT!AS724</f>
        <v>-10.278181930681441</v>
      </c>
      <c r="AS456" s="382">
        <f>INPUT!AT724</f>
        <v>5.9193695803908781</v>
      </c>
      <c r="AT456" s="429">
        <f>INPUT!AU724</f>
        <v>-9.9108712184165633</v>
      </c>
      <c r="AU456" s="382">
        <f>INPUT!AV724</f>
        <v>19.829347591971455</v>
      </c>
      <c r="AV456" s="429">
        <f>INPUT!AW724</f>
        <v>-9.5823328196906488</v>
      </c>
      <c r="AW456" s="382">
        <f>INPUT!AX724</f>
        <v>-29.340033597890951</v>
      </c>
      <c r="AX456" s="403"/>
      <c r="AY456" s="402"/>
      <c r="AZ456" s="432"/>
      <c r="BA456" s="402"/>
      <c r="BB456" s="432"/>
      <c r="BC456" s="402"/>
      <c r="BD456" s="432"/>
      <c r="BE456" s="402"/>
      <c r="BF456" s="382"/>
      <c r="BG456" s="402"/>
      <c r="BH456" s="382"/>
      <c r="BI456" s="402"/>
      <c r="BJ456" s="382"/>
      <c r="BK456" s="429"/>
      <c r="BL456" s="382"/>
      <c r="BM456" s="429"/>
      <c r="BN456" s="382"/>
      <c r="BO456" s="429"/>
      <c r="BP456" s="382"/>
      <c r="BQ456" s="429"/>
      <c r="BR456" s="382"/>
      <c r="BS456" s="429">
        <f>+INPUT!BB724</f>
        <v>-12.750986877200473</v>
      </c>
      <c r="BT456" s="382" t="str">
        <f>+INPUT!BC724</f>
        <v>NA</v>
      </c>
      <c r="BU456" s="429">
        <f>+INPUT!BD724</f>
        <v>-11.673147953881212</v>
      </c>
      <c r="BV456" s="382">
        <f>+INPUT!BE724</f>
        <v>-8.4529843352478196</v>
      </c>
      <c r="BW456" s="429">
        <f>+INPUT!BF724</f>
        <v>-11.333774638899335</v>
      </c>
      <c r="BX456" s="382">
        <f>+INPUT!BG724</f>
        <v>-2.907299010709778</v>
      </c>
      <c r="BY456" s="429">
        <f>+INPUT!BH724</f>
        <v>-12.924366770974782</v>
      </c>
      <c r="BZ456" s="382">
        <f>+INPUT!BI724</f>
        <v>14.034089989898675</v>
      </c>
      <c r="CA456" s="429">
        <f>+INPUT!BJ724</f>
        <v>-11.005385057771733</v>
      </c>
      <c r="CB456" s="382">
        <f>+INPUT!BK724</f>
        <v>-14.847781304942913</v>
      </c>
      <c r="CC456" s="429">
        <f>+INPUT!BL724</f>
        <v>-10.048128747115491</v>
      </c>
      <c r="CD456" s="382">
        <f>+INPUT!BM724</f>
        <v>-8.6980719496066286</v>
      </c>
      <c r="CE456" s="429">
        <f>+INPUT!BN724</f>
        <v>-9.6026811250722162</v>
      </c>
      <c r="CF456" s="382">
        <f>+INPUT!BO724</f>
        <v>-4.4331400726841679</v>
      </c>
      <c r="CG456" s="429">
        <f>+INPUT!BP724</f>
        <v>-9.5002851005786599</v>
      </c>
      <c r="CH456" s="382">
        <f>+INPUT!BQ724</f>
        <v>-1.0663274470939683</v>
      </c>
      <c r="CI456" s="429">
        <f>+INPUT!BR724</f>
        <v>-9.4499237592542986</v>
      </c>
      <c r="CJ456" s="382">
        <f>+INPUT!BS724</f>
        <v>-0.53010347364515553</v>
      </c>
      <c r="CK456" s="429">
        <f>+INPUT!BT724</f>
        <v>-9.4086119583219112</v>
      </c>
      <c r="CL456" s="382">
        <f>+INPUT!BU724</f>
        <v>-0.43716544159343584</v>
      </c>
      <c r="CM456" s="424">
        <f>+INPUT!BV724</f>
        <v>-3.0865480406571</v>
      </c>
    </row>
    <row r="457" spans="1:91" ht="12" hidden="1" customHeight="1" outlineLevel="1" x14ac:dyDescent="0.2">
      <c r="A457" s="426"/>
      <c r="B457" s="395"/>
      <c r="C457" s="422"/>
      <c r="D457" s="395"/>
      <c r="E457" s="396"/>
      <c r="F457" s="395"/>
      <c r="G457" s="396"/>
      <c r="H457" s="395"/>
      <c r="I457" s="396"/>
      <c r="J457" s="395"/>
      <c r="K457" s="396"/>
      <c r="L457" s="395"/>
      <c r="M457" s="396"/>
      <c r="N457" s="395"/>
      <c r="O457" s="396"/>
      <c r="P457" s="395"/>
      <c r="Q457" s="396"/>
      <c r="R457" s="395"/>
      <c r="S457" s="396"/>
      <c r="T457" s="395"/>
      <c r="U457" s="396"/>
      <c r="V457" s="395"/>
      <c r="W457" s="396"/>
      <c r="X457" s="395"/>
      <c r="Y457" s="396"/>
      <c r="Z457" s="395"/>
      <c r="AA457" s="396"/>
      <c r="AB457" s="395"/>
      <c r="AC457" s="396"/>
      <c r="AD457" s="395"/>
      <c r="AE457" s="396"/>
      <c r="AF457" s="395"/>
      <c r="AG457" s="396"/>
      <c r="AH457" s="395"/>
      <c r="AI457" s="396"/>
      <c r="AJ457" s="395"/>
      <c r="AK457" s="396"/>
      <c r="AL457" s="395"/>
      <c r="AM457" s="396"/>
      <c r="AN457" s="395"/>
      <c r="AO457" s="396"/>
      <c r="AP457" s="395"/>
      <c r="AQ457" s="396"/>
      <c r="AR457" s="395"/>
      <c r="AS457" s="396"/>
      <c r="AT457" s="395"/>
      <c r="AU457" s="396"/>
      <c r="AV457" s="395"/>
      <c r="AW457" s="396"/>
      <c r="AX457" s="395"/>
      <c r="AY457" s="395"/>
      <c r="AZ457" s="422"/>
      <c r="BA457" s="395"/>
      <c r="BB457" s="422"/>
      <c r="BC457" s="395"/>
      <c r="BD457" s="422"/>
      <c r="BE457" s="395"/>
      <c r="BF457" s="396"/>
      <c r="BG457" s="395"/>
      <c r="BH457" s="396"/>
      <c r="BI457" s="395"/>
      <c r="BJ457" s="396"/>
      <c r="BK457" s="395"/>
      <c r="BL457" s="396"/>
      <c r="BM457" s="395"/>
      <c r="BN457" s="396"/>
      <c r="BO457" s="395"/>
      <c r="BP457" s="396"/>
      <c r="BQ457" s="395"/>
      <c r="BR457" s="396"/>
      <c r="BS457" s="395"/>
      <c r="BT457" s="396"/>
      <c r="BU457" s="395"/>
      <c r="BV457" s="396"/>
      <c r="BW457" s="395"/>
      <c r="BX457" s="396"/>
      <c r="BY457" s="395"/>
      <c r="BZ457" s="396"/>
      <c r="CA457" s="395"/>
      <c r="CB457" s="396"/>
      <c r="CC457" s="395"/>
      <c r="CD457" s="396"/>
      <c r="CE457" s="395"/>
      <c r="CF457" s="396"/>
      <c r="CG457" s="395"/>
      <c r="CH457" s="396"/>
      <c r="CI457" s="395"/>
      <c r="CJ457" s="396"/>
      <c r="CK457" s="395"/>
      <c r="CL457" s="396"/>
      <c r="CM457" s="424"/>
    </row>
    <row r="458" spans="1:91" ht="12" hidden="1" customHeight="1" outlineLevel="1" x14ac:dyDescent="0.2">
      <c r="A458" s="394" t="s">
        <v>412</v>
      </c>
      <c r="B458" s="395"/>
      <c r="C458" s="396"/>
      <c r="D458" s="395"/>
      <c r="E458" s="396"/>
      <c r="F458" s="395"/>
      <c r="G458" s="396"/>
      <c r="H458" s="395"/>
      <c r="I458" s="396"/>
      <c r="J458" s="395"/>
      <c r="K458" s="396"/>
      <c r="L458" s="395"/>
      <c r="M458" s="396"/>
      <c r="N458" s="395"/>
      <c r="O458" s="396"/>
      <c r="P458" s="395"/>
      <c r="Q458" s="396"/>
      <c r="R458" s="395"/>
      <c r="S458" s="396"/>
      <c r="T458" s="395"/>
      <c r="U458" s="396"/>
      <c r="V458" s="395"/>
      <c r="W458" s="396"/>
      <c r="X458" s="395"/>
      <c r="Y458" s="396"/>
      <c r="Z458" s="395"/>
      <c r="AA458" s="396"/>
      <c r="AB458" s="395"/>
      <c r="AC458" s="396"/>
      <c r="AD458" s="395"/>
      <c r="AE458" s="396"/>
      <c r="AF458" s="395"/>
      <c r="AG458" s="396"/>
      <c r="AH458" s="395"/>
      <c r="AI458" s="396"/>
      <c r="AJ458" s="395"/>
      <c r="AK458" s="396"/>
      <c r="AL458" s="395"/>
      <c r="AM458" s="396"/>
      <c r="AN458" s="395"/>
      <c r="AO458" s="396"/>
      <c r="AP458" s="395"/>
      <c r="AQ458" s="396"/>
      <c r="AR458" s="395"/>
      <c r="AS458" s="396"/>
      <c r="AT458" s="395"/>
      <c r="AU458" s="396"/>
      <c r="AV458" s="395"/>
      <c r="AW458" s="396"/>
      <c r="AX458" s="395"/>
      <c r="AY458" s="395"/>
      <c r="AZ458" s="396"/>
      <c r="BA458" s="395"/>
      <c r="BB458" s="396"/>
      <c r="BC458" s="395"/>
      <c r="BD458" s="396"/>
      <c r="BE458" s="395"/>
      <c r="BF458" s="396"/>
      <c r="BG458" s="395"/>
      <c r="BH458" s="396"/>
      <c r="BI458" s="395"/>
      <c r="BJ458" s="396"/>
      <c r="BK458" s="395"/>
      <c r="BL458" s="396"/>
      <c r="BM458" s="395"/>
      <c r="BN458" s="396"/>
      <c r="BO458" s="395"/>
      <c r="BP458" s="396"/>
      <c r="BQ458" s="395"/>
      <c r="BR458" s="396"/>
      <c r="BS458" s="395"/>
      <c r="BT458" s="396"/>
      <c r="BU458" s="395"/>
      <c r="BV458" s="396"/>
      <c r="BW458" s="395"/>
      <c r="BX458" s="396"/>
      <c r="BY458" s="395"/>
      <c r="BZ458" s="396"/>
      <c r="CA458" s="395"/>
      <c r="CB458" s="396"/>
      <c r="CC458" s="395"/>
      <c r="CD458" s="396"/>
      <c r="CE458" s="395"/>
      <c r="CF458" s="396"/>
      <c r="CG458" s="395"/>
      <c r="CH458" s="396"/>
      <c r="CI458" s="395"/>
      <c r="CJ458" s="396"/>
      <c r="CK458" s="395"/>
      <c r="CL458" s="396"/>
      <c r="CM458" s="424"/>
    </row>
    <row r="459" spans="1:91" ht="12" hidden="1" customHeight="1" outlineLevel="1" x14ac:dyDescent="0.2">
      <c r="A459" s="400" t="s">
        <v>372</v>
      </c>
      <c r="B459" s="470" t="str">
        <f>+INPUT!C655</f>
        <v>NM</v>
      </c>
      <c r="C459" s="422" t="str">
        <f>+INPUT!D655</f>
        <v>NA</v>
      </c>
      <c r="D459" s="470" t="str">
        <f>+INPUT!E655</f>
        <v>NM</v>
      </c>
      <c r="E459" s="396" t="str">
        <f>+INPUT!F655</f>
        <v>NA</v>
      </c>
      <c r="F459" s="470" t="str">
        <f>+INPUT!G655</f>
        <v>NM</v>
      </c>
      <c r="G459" s="396" t="str">
        <f>+INPUT!H655</f>
        <v>NA</v>
      </c>
      <c r="H459" s="470" t="str">
        <f>+INPUT!I655</f>
        <v>NM</v>
      </c>
      <c r="I459" s="396" t="str">
        <f>+INPUT!J655</f>
        <v>NA</v>
      </c>
      <c r="J459" s="470" t="str">
        <f>+INPUT!K655</f>
        <v>NM</v>
      </c>
      <c r="K459" s="396" t="str">
        <f>+INPUT!L655</f>
        <v>NA</v>
      </c>
      <c r="L459" s="470" t="str">
        <f>+INPUT!M655</f>
        <v>NM</v>
      </c>
      <c r="M459" s="396" t="str">
        <f>+INPUT!N655</f>
        <v>NA</v>
      </c>
      <c r="N459" s="470" t="str">
        <f>+INPUT!O655</f>
        <v>NM</v>
      </c>
      <c r="O459" s="396" t="str">
        <f>+INPUT!P655</f>
        <v>NA</v>
      </c>
      <c r="P459" s="470" t="str">
        <f>+INPUT!Q655</f>
        <v>NM</v>
      </c>
      <c r="Q459" s="396" t="str">
        <f>+INPUT!R655</f>
        <v>NA</v>
      </c>
      <c r="R459" s="470" t="str">
        <f>+INPUT!S655</f>
        <v>NM</v>
      </c>
      <c r="S459" s="396" t="str">
        <f>+INPUT!T655</f>
        <v>NA</v>
      </c>
      <c r="T459" s="470" t="str">
        <f>+INPUT!U655</f>
        <v>NM</v>
      </c>
      <c r="U459" s="396" t="str">
        <f>+INPUT!V655</f>
        <v>NA</v>
      </c>
      <c r="V459" s="470" t="str">
        <f>+INPUT!W655</f>
        <v>NM</v>
      </c>
      <c r="W459" s="396" t="str">
        <f>+INPUT!X655</f>
        <v>NA</v>
      </c>
      <c r="X459" s="470" t="str">
        <f>+INPUT!Y655</f>
        <v>NM</v>
      </c>
      <c r="Y459" s="396" t="str">
        <f>+INPUT!Z655</f>
        <v>NA</v>
      </c>
      <c r="Z459" s="470" t="str">
        <f>+INPUT!AA655</f>
        <v>NM</v>
      </c>
      <c r="AA459" s="396" t="str">
        <f>+INPUT!AB655</f>
        <v>NA</v>
      </c>
      <c r="AB459" s="470" t="str">
        <f>+INPUT!AC655</f>
        <v>NM</v>
      </c>
      <c r="AC459" s="396" t="str">
        <f>+INPUT!AD655</f>
        <v>NA</v>
      </c>
      <c r="AD459" s="470" t="str">
        <f>+INPUT!AE655</f>
        <v>NM</v>
      </c>
      <c r="AE459" s="396" t="str">
        <f>+INPUT!AF655</f>
        <v>NA</v>
      </c>
      <c r="AF459" s="470" t="str">
        <f>+INPUT!AG655</f>
        <v>NM</v>
      </c>
      <c r="AG459" s="396" t="str">
        <f>+INPUT!AH655</f>
        <v>NA</v>
      </c>
      <c r="AH459" s="470" t="str">
        <f>+INPUT!AI655</f>
        <v>NM</v>
      </c>
      <c r="AI459" s="396" t="str">
        <f>+INPUT!AJ655</f>
        <v>NA</v>
      </c>
      <c r="AJ459" s="470" t="str">
        <f>+INPUT!AK655</f>
        <v>NM</v>
      </c>
      <c r="AK459" s="396" t="str">
        <f>+INPUT!AL655</f>
        <v>NA</v>
      </c>
      <c r="AL459" s="470" t="str">
        <f>+INPUT!AM655</f>
        <v>NM</v>
      </c>
      <c r="AM459" s="396" t="str">
        <f>+INPUT!AN655</f>
        <v>NA</v>
      </c>
      <c r="AN459" s="470" t="str">
        <f>+INPUT!AO655</f>
        <v>NM</v>
      </c>
      <c r="AO459" s="396" t="str">
        <f>+INPUT!AP655</f>
        <v>NA</v>
      </c>
      <c r="AP459" s="470" t="str">
        <f>+INPUT!AQ655</f>
        <v>NM</v>
      </c>
      <c r="AQ459" s="396" t="str">
        <f>+INPUT!AR655</f>
        <v>NA</v>
      </c>
      <c r="AR459" s="470" t="str">
        <f>+INPUT!AS655</f>
        <v>NM</v>
      </c>
      <c r="AS459" s="396" t="str">
        <f>+INPUT!AT655</f>
        <v>NA</v>
      </c>
      <c r="AT459" s="470" t="str">
        <f>+INPUT!AU655</f>
        <v>NM</v>
      </c>
      <c r="AU459" s="396" t="str">
        <f>+INPUT!AV655</f>
        <v>NA</v>
      </c>
      <c r="AV459" s="470" t="str">
        <f>+INPUT!AW655</f>
        <v>NM</v>
      </c>
      <c r="AW459" s="396" t="str">
        <f>+INPUT!AX655</f>
        <v>NA</v>
      </c>
      <c r="AX459" s="395"/>
      <c r="AY459" s="470"/>
      <c r="AZ459" s="422"/>
      <c r="BA459" s="470"/>
      <c r="BB459" s="422"/>
      <c r="BC459" s="470"/>
      <c r="BD459" s="422"/>
      <c r="BE459" s="470"/>
      <c r="BF459" s="396"/>
      <c r="BG459" s="470"/>
      <c r="BH459" s="396"/>
      <c r="BI459" s="470"/>
      <c r="BJ459" s="396"/>
      <c r="BK459" s="395"/>
      <c r="BL459" s="396"/>
      <c r="BM459" s="395"/>
      <c r="BN459" s="396"/>
      <c r="BO459" s="470"/>
      <c r="BP459" s="396"/>
      <c r="BQ459" s="470"/>
      <c r="BR459" s="396"/>
      <c r="BS459" s="470" t="str">
        <f>+INPUT!BB655</f>
        <v>NM</v>
      </c>
      <c r="BT459" s="396" t="str">
        <f>+INPUT!BC655</f>
        <v>NA</v>
      </c>
      <c r="BU459" s="470" t="str">
        <f>+INPUT!BD655</f>
        <v>NM</v>
      </c>
      <c r="BV459" s="396" t="str">
        <f>+INPUT!BE655</f>
        <v>NA</v>
      </c>
      <c r="BW459" s="470" t="str">
        <f>+INPUT!BF655</f>
        <v>NM</v>
      </c>
      <c r="BX459" s="396" t="str">
        <f>+INPUT!BG655</f>
        <v>NA</v>
      </c>
      <c r="BY459" s="470" t="str">
        <f>+INPUT!BH655</f>
        <v>NM</v>
      </c>
      <c r="BZ459" s="396" t="str">
        <f>+INPUT!BI655</f>
        <v>NA</v>
      </c>
      <c r="CA459" s="470" t="str">
        <f>+INPUT!BJ655</f>
        <v>NM</v>
      </c>
      <c r="CB459" s="396" t="str">
        <f>+INPUT!BK655</f>
        <v>NA</v>
      </c>
      <c r="CC459" s="470" t="str">
        <f>+INPUT!BL655</f>
        <v>NM</v>
      </c>
      <c r="CD459" s="396" t="str">
        <f>+INPUT!BM655</f>
        <v>NA</v>
      </c>
      <c r="CE459" s="395" t="str">
        <f>+INPUT!BN655</f>
        <v>NM</v>
      </c>
      <c r="CF459" s="396" t="str">
        <f>+INPUT!BO655</f>
        <v>NA</v>
      </c>
      <c r="CG459" s="395" t="str">
        <f>+INPUT!BP655</f>
        <v>NM</v>
      </c>
      <c r="CH459" s="396" t="str">
        <f>+INPUT!BQ655</f>
        <v>NA</v>
      </c>
      <c r="CI459" s="395" t="str">
        <f>+INPUT!BR655</f>
        <v>NM</v>
      </c>
      <c r="CJ459" s="396" t="str">
        <f>+INPUT!BS655</f>
        <v>NA</v>
      </c>
      <c r="CK459" s="395" t="str">
        <f>+INPUT!BT655</f>
        <v>NM</v>
      </c>
      <c r="CL459" s="396" t="str">
        <f>+INPUT!BU655</f>
        <v>NA</v>
      </c>
      <c r="CM459" s="424" t="str">
        <f>+INPUT!BV655</f>
        <v>NA</v>
      </c>
    </row>
    <row r="460" spans="1:91" ht="12" customHeight="1" collapsed="1" x14ac:dyDescent="0.2"/>
  </sheetData>
  <phoneticPr fontId="2" type="noConversion"/>
  <pageMargins left="0" right="0" top="0" bottom="0" header="0" footer="0"/>
  <pageSetup paperSize="5" scale="51" orientation="landscape" r:id="rId1"/>
  <headerFooter alignWithMargins="0"/>
  <rowBreaks count="12" manualBreakCount="12">
    <brk id="55" max="90" man="1"/>
    <brk id="102" max="90" man="1"/>
    <brk id="131" max="90" man="1"/>
    <brk id="162" max="16383" man="1"/>
    <brk id="191" max="16383" man="1"/>
    <brk id="249" max="90" man="1"/>
    <brk id="277" max="90" man="1"/>
    <brk id="306" max="90" man="1"/>
    <brk id="341" max="90" man="1"/>
    <brk id="371" max="90" man="1"/>
    <brk id="387" max="90" man="1"/>
    <brk id="430" max="90" man="1"/>
  </rowBreaks>
  <ignoredErrors>
    <ignoredError sqref="BZ10:CB29 CC10:CC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FH95"/>
  <sheetViews>
    <sheetView showGridLines="0" zoomScaleNormal="100" workbookViewId="0">
      <pane xSplit="1" ySplit="5" topLeftCell="Z6" activePane="bottomRight" state="frozen"/>
      <selection activeCell="I506" sqref="I506"/>
      <selection pane="topRight" activeCell="I506" sqref="I506"/>
      <selection pane="bottomLeft" activeCell="I506" sqref="I506"/>
      <selection pane="bottomRight" activeCell="Z6" sqref="Z6"/>
    </sheetView>
  </sheetViews>
  <sheetFormatPr defaultRowHeight="12" customHeight="1" outlineLevelRow="1" outlineLevelCol="1" x14ac:dyDescent="0.2"/>
  <cols>
    <col min="1" max="1" width="36.5703125" style="373" customWidth="1"/>
    <col min="2" max="2" width="7.42578125" style="373" hidden="1" customWidth="1" outlineLevel="1" collapsed="1"/>
    <col min="3" max="3" width="7.42578125" style="373" hidden="1" customWidth="1" outlineLevel="1"/>
    <col min="4" max="4" width="7.42578125" style="373" hidden="1" customWidth="1" outlineLevel="1" collapsed="1"/>
    <col min="5" max="5" width="7.42578125" style="373" hidden="1" customWidth="1" outlineLevel="1"/>
    <col min="6" max="6" width="7.42578125" style="373" hidden="1" customWidth="1" outlineLevel="1" collapsed="1"/>
    <col min="7" max="7" width="7.42578125" style="373" hidden="1" customWidth="1" outlineLevel="1"/>
    <col min="8" max="8" width="7.42578125" style="373" hidden="1" customWidth="1" outlineLevel="1" collapsed="1"/>
    <col min="9" max="17" width="7.42578125" style="373" hidden="1" customWidth="1" outlineLevel="1"/>
    <col min="18" max="18" width="7.42578125" style="373" hidden="1" customWidth="1" outlineLevel="1" collapsed="1"/>
    <col min="19" max="19" width="7.42578125" style="373" hidden="1" customWidth="1" outlineLevel="1"/>
    <col min="20" max="20" width="7.42578125" style="373" hidden="1" customWidth="1" outlineLevel="1" collapsed="1"/>
    <col min="21" max="21" width="7.42578125" style="373" hidden="1" customWidth="1" outlineLevel="1"/>
    <col min="22" max="22" width="7.42578125" style="373" hidden="1" customWidth="1" outlineLevel="1" collapsed="1"/>
    <col min="23" max="23" width="7.42578125" style="373" hidden="1" customWidth="1" outlineLevel="1"/>
    <col min="24" max="24" width="7.42578125" style="373" hidden="1" customWidth="1" outlineLevel="1" collapsed="1"/>
    <col min="25" max="25" width="7.42578125" style="373" hidden="1" customWidth="1" outlineLevel="1"/>
    <col min="26" max="26" width="7.42578125" style="373" customWidth="1" collapsed="1"/>
    <col min="27" max="27" width="7.42578125" style="373" hidden="1" customWidth="1" outlineLevel="1"/>
    <col min="28" max="28" width="7.42578125" style="373" customWidth="1" collapsed="1"/>
    <col min="29" max="29" width="7.42578125" style="373" hidden="1" customWidth="1" outlineLevel="1"/>
    <col min="30" max="30" width="7.42578125" style="373" customWidth="1" collapsed="1"/>
    <col min="31" max="31" width="7.42578125" style="373" hidden="1" customWidth="1" outlineLevel="1"/>
    <col min="32" max="32" width="7.42578125" style="373" customWidth="1" collapsed="1"/>
    <col min="33" max="33" width="7.42578125" style="373" hidden="1" customWidth="1" outlineLevel="1"/>
    <col min="34" max="34" width="7.42578125" style="373" customWidth="1" collapsed="1"/>
    <col min="35" max="35" width="7.42578125" style="373" hidden="1" customWidth="1" outlineLevel="1"/>
    <col min="36" max="36" width="7.42578125" style="373" customWidth="1" collapsed="1"/>
    <col min="37" max="37" width="7.42578125" style="373" hidden="1" customWidth="1" outlineLevel="1"/>
    <col min="38" max="38" width="7.42578125" style="373" customWidth="1" collapsed="1"/>
    <col min="39" max="39" width="7.42578125" style="373" hidden="1" customWidth="1" outlineLevel="1"/>
    <col min="40" max="40" width="7.42578125" style="373" customWidth="1" collapsed="1"/>
    <col min="41" max="41" width="7.42578125" style="373" hidden="1" customWidth="1" outlineLevel="1"/>
    <col min="42" max="42" width="7.42578125" style="373" customWidth="1" collapsed="1"/>
    <col min="43" max="43" width="7.42578125" style="373" hidden="1" customWidth="1" outlineLevel="1"/>
    <col min="44" max="44" width="7.42578125" style="373" customWidth="1" collapsed="1"/>
    <col min="45" max="45" width="7.42578125" style="373" hidden="1" customWidth="1" outlineLevel="1"/>
    <col min="46" max="46" width="7.42578125" style="373" customWidth="1" collapsed="1"/>
    <col min="47" max="47" width="7.42578125" style="373" hidden="1" customWidth="1" outlineLevel="1"/>
    <col min="48" max="48" width="7.42578125" style="373" customWidth="1" collapsed="1"/>
    <col min="49" max="49" width="7.42578125" style="373" hidden="1" customWidth="1" outlineLevel="1"/>
    <col min="50" max="50" width="0.85546875" style="373" customWidth="1" collapsed="1"/>
    <col min="51" max="52" width="7.42578125" style="373" hidden="1" customWidth="1" outlineLevel="1"/>
    <col min="53" max="53" width="7.42578125" style="373" hidden="1" customWidth="1" outlineLevel="1" collapsed="1"/>
    <col min="54" max="56" width="7.42578125" style="373" hidden="1" customWidth="1" outlineLevel="1"/>
    <col min="57" max="57" width="7.42578125" style="373" hidden="1" customWidth="1" outlineLevel="1" collapsed="1"/>
    <col min="58" max="64" width="7.42578125" style="373" hidden="1" customWidth="1" outlineLevel="1"/>
    <col min="65" max="65" width="7.42578125" style="373" hidden="1" customWidth="1" outlineLevel="1" collapsed="1"/>
    <col min="66" max="66" width="7.42578125" style="373" hidden="1" customWidth="1" outlineLevel="1"/>
    <col min="67" max="67" width="7.42578125" style="373" hidden="1" customWidth="1" outlineLevel="1" collapsed="1"/>
    <col min="68" max="68" width="7.42578125" style="373" hidden="1" customWidth="1" outlineLevel="1"/>
    <col min="69" max="69" width="7.42578125" style="373" hidden="1" customWidth="1" outlineLevel="1" collapsed="1"/>
    <col min="70" max="70" width="7.42578125" style="373" hidden="1" customWidth="1" outlineLevel="1"/>
    <col min="71" max="71" width="7.42578125" style="373" hidden="1" customWidth="1" outlineLevel="1" collapsed="1"/>
    <col min="72" max="72" width="7.42578125" style="373" hidden="1" customWidth="1" outlineLevel="1"/>
    <col min="73" max="73" width="7.42578125" style="373" customWidth="1" collapsed="1"/>
    <col min="74" max="74" width="7.42578125" style="373" hidden="1" customWidth="1" outlineLevel="1"/>
    <col min="75" max="75" width="7.42578125" style="373" customWidth="1" collapsed="1"/>
    <col min="76" max="76" width="7.42578125" style="373" hidden="1" customWidth="1" outlineLevel="1"/>
    <col min="77" max="77" width="7.42578125" style="373" customWidth="1" collapsed="1"/>
    <col min="78" max="78" width="7.42578125" style="373" hidden="1" customWidth="1" outlineLevel="1"/>
    <col min="79" max="79" width="7.42578125" style="373" customWidth="1" collapsed="1"/>
    <col min="80" max="80" width="7.42578125" style="373" hidden="1" customWidth="1" outlineLevel="1"/>
    <col min="81" max="81" width="7.42578125" style="373" customWidth="1" collapsed="1"/>
    <col min="82" max="82" width="7.42578125" style="373" hidden="1" customWidth="1" outlineLevel="1"/>
    <col min="83" max="83" width="7.42578125" style="373" customWidth="1" collapsed="1"/>
    <col min="84" max="84" width="7.42578125" style="373" hidden="1" customWidth="1" outlineLevel="1"/>
    <col min="85" max="85" width="7.42578125" style="373" customWidth="1" collapsed="1"/>
    <col min="86" max="86" width="7.42578125" style="373" hidden="1" customWidth="1" outlineLevel="1"/>
    <col min="87" max="87" width="7.42578125" style="373" customWidth="1" collapsed="1"/>
    <col min="88" max="88" width="7.42578125" style="373" hidden="1" customWidth="1" outlineLevel="1"/>
    <col min="89" max="89" width="7.42578125" style="373" customWidth="1" collapsed="1"/>
    <col min="90" max="90" width="7.42578125" style="373" hidden="1" customWidth="1" outlineLevel="1"/>
    <col min="91" max="91" width="7.42578125" style="373" customWidth="1" collapsed="1"/>
    <col min="92" max="16384" width="9.140625" style="373"/>
  </cols>
  <sheetData>
    <row r="1" spans="1:164" s="480" customFormat="1" ht="19.5" customHeight="1" x14ac:dyDescent="0.25">
      <c r="A1" s="545" t="str">
        <f>INPUT!B4</f>
        <v>Principal Financial Group</v>
      </c>
      <c r="B1" s="477"/>
      <c r="C1" s="478"/>
      <c r="D1" s="477"/>
      <c r="E1" s="478"/>
      <c r="F1" s="477"/>
      <c r="G1" s="478"/>
      <c r="H1" s="477"/>
      <c r="I1" s="478"/>
      <c r="J1" s="477"/>
      <c r="K1" s="478"/>
      <c r="L1" s="477"/>
      <c r="M1" s="478"/>
      <c r="N1" s="477"/>
      <c r="O1" s="478"/>
      <c r="P1" s="477"/>
      <c r="Q1" s="478"/>
      <c r="R1" s="477"/>
      <c r="S1" s="478"/>
      <c r="T1" s="477"/>
      <c r="U1" s="478"/>
      <c r="V1" s="477"/>
      <c r="W1" s="478"/>
      <c r="X1" s="477"/>
      <c r="Y1" s="478"/>
      <c r="Z1" s="477"/>
      <c r="AA1" s="478"/>
      <c r="AB1" s="477"/>
      <c r="AC1" s="478"/>
      <c r="AD1" s="477"/>
      <c r="AE1" s="478"/>
      <c r="AF1" s="477"/>
      <c r="AG1" s="478"/>
      <c r="AH1" s="477"/>
      <c r="AI1" s="478"/>
      <c r="AJ1" s="477"/>
      <c r="AK1" s="478"/>
      <c r="AL1" s="477"/>
      <c r="AM1" s="478"/>
      <c r="AN1" s="477"/>
      <c r="AO1" s="478"/>
      <c r="AP1" s="477"/>
      <c r="AQ1" s="478"/>
      <c r="AR1" s="477"/>
      <c r="AS1" s="478"/>
      <c r="AT1" s="477"/>
      <c r="AU1" s="478"/>
      <c r="AV1" s="477"/>
      <c r="AW1" s="478"/>
      <c r="AX1" s="477"/>
      <c r="AY1" s="478"/>
      <c r="AZ1" s="477"/>
      <c r="BA1" s="478"/>
      <c r="BB1" s="477"/>
      <c r="BC1" s="478"/>
      <c r="BD1" s="477"/>
      <c r="BE1" s="478"/>
      <c r="BF1" s="477"/>
      <c r="BG1" s="478"/>
      <c r="BH1" s="477"/>
      <c r="BI1" s="478"/>
      <c r="BJ1" s="477"/>
      <c r="BK1" s="478"/>
      <c r="BL1" s="477"/>
      <c r="BM1" s="478"/>
      <c r="BN1" s="477"/>
      <c r="BO1" s="478"/>
      <c r="BP1" s="477"/>
      <c r="BQ1" s="478"/>
      <c r="BR1" s="477"/>
      <c r="BS1" s="478"/>
      <c r="BT1" s="477"/>
      <c r="BU1" s="478"/>
      <c r="BV1" s="477"/>
      <c r="BW1" s="478"/>
      <c r="BX1" s="477"/>
      <c r="BY1" s="478"/>
      <c r="BZ1" s="477"/>
      <c r="CA1" s="478"/>
      <c r="CB1" s="477"/>
      <c r="CC1" s="478"/>
      <c r="CD1" s="477"/>
      <c r="CE1" s="477"/>
      <c r="CF1" s="478"/>
      <c r="CG1" s="477"/>
      <c r="CH1" s="478"/>
      <c r="CI1" s="477"/>
      <c r="CJ1" s="478"/>
      <c r="CK1" s="477"/>
      <c r="CL1" s="478"/>
      <c r="CM1" s="477"/>
      <c r="CN1" s="478"/>
      <c r="CO1" s="477"/>
      <c r="CP1" s="478"/>
      <c r="CQ1" s="477"/>
      <c r="CR1" s="478"/>
      <c r="CS1" s="477"/>
      <c r="CT1" s="478"/>
      <c r="CU1" s="477"/>
      <c r="CV1" s="478"/>
      <c r="CW1" s="477"/>
      <c r="CX1" s="478"/>
      <c r="CY1" s="477"/>
      <c r="CZ1" s="478"/>
      <c r="DA1" s="477"/>
      <c r="DB1" s="478"/>
      <c r="DC1" s="477"/>
      <c r="DD1" s="478"/>
      <c r="DE1" s="477"/>
      <c r="DF1" s="478"/>
      <c r="DG1" s="477"/>
      <c r="DH1" s="478"/>
      <c r="DI1" s="477"/>
      <c r="DJ1" s="478"/>
      <c r="DK1" s="478"/>
    </row>
    <row r="2" spans="1:164" s="480" customFormat="1" ht="12" customHeight="1" x14ac:dyDescent="0.2">
      <c r="A2" s="476" t="s">
        <v>402</v>
      </c>
      <c r="B2" s="477"/>
      <c r="C2" s="478"/>
      <c r="D2" s="477"/>
      <c r="E2" s="478"/>
      <c r="F2" s="477"/>
      <c r="G2" s="478"/>
      <c r="H2" s="477"/>
      <c r="I2" s="478"/>
      <c r="J2" s="477"/>
      <c r="K2" s="478"/>
      <c r="L2" s="477"/>
      <c r="M2" s="478"/>
      <c r="N2" s="477"/>
      <c r="O2" s="478"/>
      <c r="P2" s="477"/>
      <c r="Q2" s="478"/>
      <c r="R2" s="477"/>
      <c r="S2" s="478"/>
      <c r="T2" s="477"/>
      <c r="U2" s="478"/>
      <c r="V2" s="477"/>
      <c r="W2" s="478"/>
      <c r="X2" s="477"/>
      <c r="Y2" s="478"/>
      <c r="Z2" s="477"/>
      <c r="AA2" s="478"/>
      <c r="AB2" s="477"/>
      <c r="AC2" s="478"/>
      <c r="AD2" s="477"/>
      <c r="AE2" s="478"/>
      <c r="AF2" s="477"/>
      <c r="AG2" s="478"/>
      <c r="AH2" s="477"/>
      <c r="AI2" s="478"/>
      <c r="AJ2" s="477"/>
      <c r="AK2" s="478"/>
      <c r="AL2" s="477"/>
      <c r="AM2" s="478"/>
      <c r="AN2" s="477"/>
      <c r="AO2" s="478"/>
      <c r="AP2" s="477"/>
      <c r="AQ2" s="478"/>
      <c r="AR2" s="477"/>
      <c r="AS2" s="478"/>
      <c r="AT2" s="477"/>
      <c r="AU2" s="478"/>
      <c r="AV2" s="477"/>
      <c r="AW2" s="478"/>
      <c r="AX2" s="477"/>
      <c r="AY2" s="478"/>
      <c r="AZ2" s="477"/>
      <c r="BA2" s="478"/>
      <c r="BB2" s="477"/>
      <c r="BC2" s="478"/>
      <c r="BD2" s="477"/>
      <c r="BE2" s="478"/>
      <c r="BF2" s="477"/>
      <c r="BG2" s="478"/>
      <c r="BH2" s="477"/>
      <c r="BI2" s="478"/>
      <c r="BJ2" s="477"/>
      <c r="BK2" s="478"/>
      <c r="BL2" s="477"/>
      <c r="BM2" s="478"/>
      <c r="BN2" s="477"/>
      <c r="BO2" s="478"/>
      <c r="BP2" s="477"/>
      <c r="BQ2" s="478"/>
      <c r="BR2" s="477"/>
      <c r="BS2" s="478"/>
      <c r="BT2" s="477"/>
      <c r="BU2" s="478"/>
      <c r="BV2" s="477"/>
      <c r="BW2" s="478"/>
      <c r="BX2" s="477"/>
      <c r="BY2" s="478"/>
      <c r="BZ2" s="477"/>
      <c r="CA2" s="478"/>
      <c r="CB2" s="477"/>
      <c r="CC2" s="478"/>
      <c r="CD2" s="477"/>
      <c r="CE2" s="477"/>
      <c r="CF2" s="478"/>
      <c r="CG2" s="477"/>
      <c r="CH2" s="478"/>
      <c r="CI2" s="477"/>
      <c r="CJ2" s="478"/>
      <c r="CK2" s="477"/>
      <c r="CL2" s="478"/>
      <c r="CM2" s="477"/>
      <c r="CN2" s="478"/>
      <c r="CO2" s="477"/>
      <c r="CP2" s="478"/>
      <c r="CQ2" s="477"/>
      <c r="CR2" s="478"/>
      <c r="CS2" s="477"/>
      <c r="CT2" s="478"/>
      <c r="CU2" s="477"/>
      <c r="CV2" s="478"/>
      <c r="CW2" s="477"/>
      <c r="CX2" s="478"/>
      <c r="CY2" s="477"/>
      <c r="CZ2" s="478"/>
      <c r="DA2" s="477"/>
      <c r="DB2" s="478"/>
      <c r="DC2" s="477"/>
      <c r="DD2" s="478"/>
      <c r="DE2" s="477"/>
      <c r="DF2" s="478"/>
      <c r="DG2" s="477"/>
      <c r="DH2" s="478"/>
      <c r="DI2" s="477"/>
      <c r="DJ2" s="478"/>
      <c r="DK2" s="478"/>
    </row>
    <row r="3" spans="1:164" s="480" customFormat="1" ht="12" customHeight="1" x14ac:dyDescent="0.2">
      <c r="A3" s="527" t="s">
        <v>243</v>
      </c>
      <c r="B3" s="528"/>
      <c r="C3" s="529" t="str">
        <f>INPUT!D$4</f>
        <v>1Q13/</v>
      </c>
      <c r="D3" s="528"/>
      <c r="E3" s="529" t="str">
        <f>INPUT!F$4</f>
        <v>2Q13/</v>
      </c>
      <c r="F3" s="528"/>
      <c r="G3" s="529" t="str">
        <f>INPUT!H$4</f>
        <v>3Q13/</v>
      </c>
      <c r="H3" s="528"/>
      <c r="I3" s="529" t="str">
        <f>INPUT!J$4</f>
        <v>4Q13/</v>
      </c>
      <c r="J3" s="528"/>
      <c r="K3" s="529" t="str">
        <f>INPUT!L$4</f>
        <v>1Q14/</v>
      </c>
      <c r="L3" s="528"/>
      <c r="M3" s="529" t="str">
        <f>INPUT!N$4</f>
        <v>2Q14/</v>
      </c>
      <c r="N3" s="528"/>
      <c r="O3" s="529" t="str">
        <f>INPUT!P$4</f>
        <v>3Q14/</v>
      </c>
      <c r="P3" s="528"/>
      <c r="Q3" s="529" t="str">
        <f>INPUT!R$4</f>
        <v>4Q14/</v>
      </c>
      <c r="R3" s="528"/>
      <c r="S3" s="529" t="str">
        <f>INPUT!T$4</f>
        <v>1Q15/</v>
      </c>
      <c r="T3" s="528"/>
      <c r="U3" s="529" t="str">
        <f>INPUT!V$4</f>
        <v>2Q15/</v>
      </c>
      <c r="V3" s="528"/>
      <c r="W3" s="529" t="str">
        <f>INPUT!X$4</f>
        <v>3Q15/</v>
      </c>
      <c r="X3" s="528"/>
      <c r="Y3" s="529" t="str">
        <f>INPUT!Z$4</f>
        <v>4Q15/</v>
      </c>
      <c r="Z3" s="528"/>
      <c r="AA3" s="529" t="str">
        <f>INPUT!AB$4</f>
        <v>1Q16/</v>
      </c>
      <c r="AB3" s="528"/>
      <c r="AC3" s="529" t="str">
        <f>INPUT!AD$4</f>
        <v>2Q16/</v>
      </c>
      <c r="AD3" s="528"/>
      <c r="AE3" s="529" t="str">
        <f>INPUT!AF$4</f>
        <v>3Q16/</v>
      </c>
      <c r="AF3" s="528"/>
      <c r="AG3" s="529" t="str">
        <f>INPUT!AH$4</f>
        <v>4Q16/</v>
      </c>
      <c r="AH3" s="528"/>
      <c r="AI3" s="529" t="str">
        <f>INPUT!AJ$4</f>
        <v>1Q17/</v>
      </c>
      <c r="AJ3" s="528"/>
      <c r="AK3" s="529" t="str">
        <f>INPUT!AL$4</f>
        <v>2Q17/</v>
      </c>
      <c r="AL3" s="528"/>
      <c r="AM3" s="529" t="str">
        <f>INPUT!AN$4</f>
        <v>3Q17/</v>
      </c>
      <c r="AN3" s="528"/>
      <c r="AO3" s="529" t="str">
        <f>INPUT!AP$4</f>
        <v>4Q17/</v>
      </c>
      <c r="AP3" s="528"/>
      <c r="AQ3" s="529" t="str">
        <f>INPUT!AR$4</f>
        <v>1Q18E/</v>
      </c>
      <c r="AR3" s="528"/>
      <c r="AS3" s="529" t="str">
        <f>INPUT!AT$4</f>
        <v>2Q18E/</v>
      </c>
      <c r="AT3" s="528"/>
      <c r="AU3" s="529" t="str">
        <f>INPUT!AV$4</f>
        <v>3Q18E/</v>
      </c>
      <c r="AV3" s="528"/>
      <c r="AW3" s="529" t="str">
        <f>INPUT!AX$4</f>
        <v>4Q18E/</v>
      </c>
      <c r="AX3" s="528"/>
      <c r="AY3" s="528"/>
      <c r="AZ3" s="529" t="e">
        <f>INPUT!#REF!</f>
        <v>#REF!</v>
      </c>
      <c r="BA3" s="528"/>
      <c r="BB3" s="529" t="e">
        <f>INPUT!#REF!</f>
        <v>#REF!</v>
      </c>
      <c r="BC3" s="528"/>
      <c r="BD3" s="529" t="e">
        <f>INPUT!#REF!</f>
        <v>#REF!</v>
      </c>
      <c r="BE3" s="528"/>
      <c r="BF3" s="529" t="e">
        <f>INPUT!#REF!</f>
        <v>#REF!</v>
      </c>
      <c r="BG3" s="528"/>
      <c r="BH3" s="529" t="e">
        <f>INPUT!#REF!</f>
        <v>#REF!</v>
      </c>
      <c r="BI3" s="528"/>
      <c r="BJ3" s="529" t="e">
        <f>INPUT!#REF!</f>
        <v>#REF!</v>
      </c>
      <c r="BK3" s="528"/>
      <c r="BL3" s="529" t="e">
        <f>INPUT!#REF!</f>
        <v>#REF!</v>
      </c>
      <c r="BM3" s="528"/>
      <c r="BN3" s="529" t="e">
        <f>INPUT!#REF!</f>
        <v>#REF!</v>
      </c>
      <c r="BO3" s="528"/>
      <c r="BP3" s="529" t="e">
        <f>INPUT!#REF!</f>
        <v>#REF!</v>
      </c>
      <c r="BQ3" s="528"/>
      <c r="BR3" s="529" t="e">
        <f>INPUT!BA$4</f>
        <v>#REF!</v>
      </c>
      <c r="BS3" s="528"/>
      <c r="BT3" s="529" t="str">
        <f>INPUT!BC$4</f>
        <v>2013/</v>
      </c>
      <c r="BU3" s="528"/>
      <c r="BV3" s="529" t="str">
        <f>INPUT!BE$4</f>
        <v>2014/</v>
      </c>
      <c r="BW3" s="528"/>
      <c r="BX3" s="529" t="str">
        <f>INPUT!BG$4</f>
        <v>2015/</v>
      </c>
      <c r="BY3" s="528"/>
      <c r="BZ3" s="529" t="str">
        <f>INPUT!BI$4</f>
        <v>2016/</v>
      </c>
      <c r="CA3" s="528"/>
      <c r="CB3" s="529" t="str">
        <f>INPUT!BK$4</f>
        <v>2017/</v>
      </c>
      <c r="CC3" s="528"/>
      <c r="CD3" s="529" t="str">
        <f>INPUT!BM$4</f>
        <v>2018E/</v>
      </c>
      <c r="CE3" s="528"/>
      <c r="CF3" s="529" t="str">
        <f>INPUT!BO$4</f>
        <v>2019E/</v>
      </c>
      <c r="CG3" s="528"/>
      <c r="CH3" s="529" t="str">
        <f>INPUT!BQ$4</f>
        <v>2020E/</v>
      </c>
      <c r="CI3" s="528"/>
      <c r="CJ3" s="529" t="str">
        <f>INPUT!BS$4</f>
        <v>2021E/</v>
      </c>
      <c r="CK3" s="528"/>
      <c r="CL3" s="529" t="str">
        <f>INPUT!BU$4</f>
        <v>2022E/</v>
      </c>
      <c r="CM3" s="546" t="str">
        <f>INPUT!BV$4</f>
        <v>5-Yr</v>
      </c>
      <c r="CN3" s="478"/>
      <c r="CO3" s="479"/>
      <c r="CP3" s="478"/>
      <c r="CQ3" s="479"/>
      <c r="CR3" s="478"/>
      <c r="CS3" s="479"/>
      <c r="CT3" s="478"/>
      <c r="CU3" s="479"/>
      <c r="CV3" s="478"/>
      <c r="CW3" s="479"/>
      <c r="CX3" s="478"/>
      <c r="CY3" s="479"/>
      <c r="CZ3" s="478"/>
      <c r="DA3" s="479"/>
      <c r="DB3" s="478"/>
      <c r="DC3" s="479"/>
      <c r="DD3" s="478"/>
      <c r="DE3" s="479"/>
      <c r="DF3" s="478"/>
      <c r="DG3" s="479"/>
      <c r="DH3" s="478"/>
      <c r="DI3" s="479"/>
      <c r="DJ3" s="478"/>
      <c r="DK3" s="478"/>
    </row>
    <row r="4" spans="1:164" s="480" customFormat="1" ht="12" customHeight="1" x14ac:dyDescent="0.2">
      <c r="A4" s="481"/>
      <c r="B4" s="479"/>
      <c r="C4" s="478">
        <f>INPUT!D$5</f>
        <v>0</v>
      </c>
      <c r="D4" s="479"/>
      <c r="E4" s="478">
        <f>INPUT!F$5</f>
        <v>0</v>
      </c>
      <c r="F4" s="479"/>
      <c r="G4" s="478">
        <f>INPUT!H$5</f>
        <v>0</v>
      </c>
      <c r="H4" s="479"/>
      <c r="I4" s="478">
        <f>INPUT!J$5</f>
        <v>0</v>
      </c>
      <c r="J4" s="479"/>
      <c r="K4" s="478" t="str">
        <f>INPUT!L$5</f>
        <v>1Q13</v>
      </c>
      <c r="L4" s="479"/>
      <c r="M4" s="478" t="str">
        <f>INPUT!N$5</f>
        <v>2Q13</v>
      </c>
      <c r="N4" s="479"/>
      <c r="O4" s="478" t="str">
        <f>INPUT!P$5</f>
        <v>3Q13</v>
      </c>
      <c r="P4" s="479"/>
      <c r="Q4" s="478" t="str">
        <f>INPUT!R$5</f>
        <v>4Q13</v>
      </c>
      <c r="R4" s="479"/>
      <c r="S4" s="478" t="str">
        <f>INPUT!T$5</f>
        <v>1Q14</v>
      </c>
      <c r="T4" s="479"/>
      <c r="U4" s="478" t="str">
        <f>INPUT!V$5</f>
        <v>2Q14</v>
      </c>
      <c r="V4" s="479"/>
      <c r="W4" s="478" t="str">
        <f>INPUT!X$5</f>
        <v>3Q14</v>
      </c>
      <c r="X4" s="479"/>
      <c r="Y4" s="478" t="str">
        <f>INPUT!Z$5</f>
        <v>4Q14</v>
      </c>
      <c r="Z4" s="479"/>
      <c r="AA4" s="478" t="str">
        <f>INPUT!AB$5</f>
        <v>1Q15</v>
      </c>
      <c r="AB4" s="479"/>
      <c r="AC4" s="478" t="str">
        <f>INPUT!AD$5</f>
        <v>2Q15</v>
      </c>
      <c r="AD4" s="479"/>
      <c r="AE4" s="478" t="str">
        <f>INPUT!AF$5</f>
        <v>3Q15</v>
      </c>
      <c r="AF4" s="479"/>
      <c r="AG4" s="478" t="str">
        <f>INPUT!AH$5</f>
        <v>4Q15</v>
      </c>
      <c r="AH4" s="479"/>
      <c r="AI4" s="478" t="str">
        <f>INPUT!AJ$5</f>
        <v>1Q16</v>
      </c>
      <c r="AJ4" s="479"/>
      <c r="AK4" s="478" t="str">
        <f>INPUT!AL$5</f>
        <v>2Q16</v>
      </c>
      <c r="AL4" s="479"/>
      <c r="AM4" s="478" t="str">
        <f>INPUT!AN$5</f>
        <v>3Q16</v>
      </c>
      <c r="AN4" s="479"/>
      <c r="AO4" s="478" t="str">
        <f>INPUT!AP$5</f>
        <v>4Q16</v>
      </c>
      <c r="AP4" s="479"/>
      <c r="AQ4" s="478" t="str">
        <f>INPUT!AR$5</f>
        <v>1Q17</v>
      </c>
      <c r="AR4" s="479"/>
      <c r="AS4" s="478" t="str">
        <f>INPUT!AT$5</f>
        <v>2Q17</v>
      </c>
      <c r="AT4" s="479"/>
      <c r="AU4" s="478" t="str">
        <f>INPUT!AV$5</f>
        <v>3Q17</v>
      </c>
      <c r="AV4" s="479"/>
      <c r="AW4" s="478" t="str">
        <f>INPUT!AX$5</f>
        <v>4Q17</v>
      </c>
      <c r="AX4" s="479"/>
      <c r="AY4" s="479"/>
      <c r="AZ4" s="478" t="e">
        <f>INPUT!#REF!</f>
        <v>#REF!</v>
      </c>
      <c r="BA4" s="479"/>
      <c r="BB4" s="478" t="e">
        <f>INPUT!#REF!</f>
        <v>#REF!</v>
      </c>
      <c r="BC4" s="479"/>
      <c r="BD4" s="478" t="e">
        <f>INPUT!#REF!</f>
        <v>#REF!</v>
      </c>
      <c r="BE4" s="479"/>
      <c r="BF4" s="478" t="e">
        <f>INPUT!#REF!</f>
        <v>#REF!</v>
      </c>
      <c r="BG4" s="479"/>
      <c r="BH4" s="478" t="e">
        <f>INPUT!#REF!</f>
        <v>#REF!</v>
      </c>
      <c r="BI4" s="479"/>
      <c r="BJ4" s="478" t="e">
        <f>INPUT!#REF!</f>
        <v>#REF!</v>
      </c>
      <c r="BK4" s="479"/>
      <c r="BL4" s="478" t="e">
        <f>INPUT!#REF!</f>
        <v>#REF!</v>
      </c>
      <c r="BM4" s="479"/>
      <c r="BN4" s="478" t="e">
        <f>INPUT!#REF!</f>
        <v>#REF!</v>
      </c>
      <c r="BO4" s="479"/>
      <c r="BP4" s="478" t="e">
        <f>INPUT!#REF!</f>
        <v>#REF!</v>
      </c>
      <c r="BQ4" s="479"/>
      <c r="BR4" s="478" t="e">
        <f>INPUT!BA$5</f>
        <v>#REF!</v>
      </c>
      <c r="BS4" s="479"/>
      <c r="BT4" s="478">
        <f>INPUT!BC$5</f>
        <v>0</v>
      </c>
      <c r="BU4" s="479"/>
      <c r="BV4" s="478" t="str">
        <f>INPUT!BE$5</f>
        <v>2013</v>
      </c>
      <c r="BW4" s="479"/>
      <c r="BX4" s="478" t="str">
        <f>INPUT!BG$5</f>
        <v>2014</v>
      </c>
      <c r="BY4" s="479"/>
      <c r="BZ4" s="478" t="str">
        <f>INPUT!BI$5</f>
        <v>2015</v>
      </c>
      <c r="CA4" s="479"/>
      <c r="CB4" s="478" t="str">
        <f>INPUT!BK$5</f>
        <v>2016</v>
      </c>
      <c r="CC4" s="479"/>
      <c r="CD4" s="478" t="str">
        <f>INPUT!BM$5</f>
        <v>2017</v>
      </c>
      <c r="CE4" s="479"/>
      <c r="CF4" s="478" t="str">
        <f>INPUT!BO$5</f>
        <v>2018E</v>
      </c>
      <c r="CG4" s="479"/>
      <c r="CH4" s="478" t="str">
        <f>INPUT!BQ$5</f>
        <v>2019E</v>
      </c>
      <c r="CI4" s="479"/>
      <c r="CJ4" s="478" t="str">
        <f>INPUT!BS$5</f>
        <v>2020E</v>
      </c>
      <c r="CK4" s="479"/>
      <c r="CL4" s="478" t="str">
        <f>INPUT!BU$5</f>
        <v>2021E</v>
      </c>
      <c r="CM4" s="520" t="str">
        <f>INPUT!BV$5</f>
        <v>CAGR</v>
      </c>
      <c r="CN4" s="478"/>
      <c r="CO4" s="479"/>
      <c r="CP4" s="478"/>
      <c r="CQ4" s="479"/>
      <c r="CR4" s="478"/>
      <c r="CS4" s="479"/>
      <c r="CT4" s="478"/>
      <c r="CU4" s="479"/>
      <c r="CV4" s="478"/>
      <c r="CW4" s="479"/>
      <c r="CX4" s="478"/>
      <c r="CY4" s="479"/>
      <c r="CZ4" s="478"/>
      <c r="DA4" s="479"/>
      <c r="DB4" s="478"/>
      <c r="DC4" s="479"/>
      <c r="DD4" s="478"/>
      <c r="DE4" s="479"/>
      <c r="DF4" s="478"/>
      <c r="DG4" s="479"/>
      <c r="DH4" s="478"/>
      <c r="DI4" s="479"/>
      <c r="DJ4" s="478"/>
      <c r="DK4" s="478"/>
    </row>
    <row r="5" spans="1:164" s="480" customFormat="1" ht="12" customHeight="1" x14ac:dyDescent="0.2">
      <c r="A5" s="483"/>
      <c r="B5" s="484" t="str">
        <f>INPUT!C$6</f>
        <v>1Q13</v>
      </c>
      <c r="C5" s="485" t="str">
        <f>INPUT!D$6</f>
        <v>% Chg</v>
      </c>
      <c r="D5" s="484" t="str">
        <f>INPUT!E$6</f>
        <v>2Q13</v>
      </c>
      <c r="E5" s="485" t="str">
        <f>INPUT!F$6</f>
        <v>% Chg</v>
      </c>
      <c r="F5" s="484" t="str">
        <f>INPUT!G$6</f>
        <v>3Q13</v>
      </c>
      <c r="G5" s="485" t="str">
        <f>INPUT!H$6</f>
        <v>% Chg</v>
      </c>
      <c r="H5" s="484" t="str">
        <f>INPUT!I$6</f>
        <v>4Q13</v>
      </c>
      <c r="I5" s="485" t="str">
        <f>INPUT!J$6</f>
        <v>% Chg</v>
      </c>
      <c r="J5" s="484" t="str">
        <f>INPUT!K$6</f>
        <v>1Q14</v>
      </c>
      <c r="K5" s="485" t="str">
        <f>INPUT!L$6</f>
        <v>% Chg</v>
      </c>
      <c r="L5" s="484" t="str">
        <f>INPUT!M$6</f>
        <v>2Q14</v>
      </c>
      <c r="M5" s="485" t="str">
        <f>INPUT!N$6</f>
        <v>% Chg</v>
      </c>
      <c r="N5" s="484" t="str">
        <f>INPUT!O$6</f>
        <v>3Q14</v>
      </c>
      <c r="O5" s="485" t="str">
        <f>INPUT!P$6</f>
        <v>% Chg</v>
      </c>
      <c r="P5" s="484" t="str">
        <f>INPUT!Q$6</f>
        <v>4Q14</v>
      </c>
      <c r="Q5" s="485" t="str">
        <f>INPUT!R$6</f>
        <v>% Chg</v>
      </c>
      <c r="R5" s="484" t="str">
        <f>INPUT!S$6</f>
        <v>1Q15</v>
      </c>
      <c r="S5" s="485" t="str">
        <f>INPUT!T$6</f>
        <v>% Chg</v>
      </c>
      <c r="T5" s="484" t="str">
        <f>INPUT!U$6</f>
        <v>2Q15</v>
      </c>
      <c r="U5" s="485" t="str">
        <f>INPUT!V$6</f>
        <v>% Chg</v>
      </c>
      <c r="V5" s="484" t="str">
        <f>INPUT!W$6</f>
        <v>3Q15</v>
      </c>
      <c r="W5" s="485" t="str">
        <f>INPUT!X$6</f>
        <v>% Chg</v>
      </c>
      <c r="X5" s="484" t="str">
        <f>INPUT!Y$6</f>
        <v>4Q15</v>
      </c>
      <c r="Y5" s="485" t="str">
        <f>INPUT!Z$6</f>
        <v>% Chg</v>
      </c>
      <c r="Z5" s="484" t="str">
        <f>INPUT!AA$6</f>
        <v>1Q16</v>
      </c>
      <c r="AA5" s="485" t="str">
        <f>INPUT!AB$6</f>
        <v>% Chg</v>
      </c>
      <c r="AB5" s="484" t="str">
        <f>INPUT!AC$6</f>
        <v>2Q16</v>
      </c>
      <c r="AC5" s="485" t="str">
        <f>INPUT!AD$6</f>
        <v>% Chg</v>
      </c>
      <c r="AD5" s="484" t="str">
        <f>INPUT!AE$6</f>
        <v>3Q16</v>
      </c>
      <c r="AE5" s="485" t="str">
        <f>INPUT!AF$6</f>
        <v>% Chg</v>
      </c>
      <c r="AF5" s="484" t="str">
        <f>INPUT!AG$6</f>
        <v>4Q16</v>
      </c>
      <c r="AG5" s="485" t="str">
        <f>INPUT!AH$6</f>
        <v>% Chg</v>
      </c>
      <c r="AH5" s="484" t="str">
        <f>INPUT!AI$6</f>
        <v>1Q17</v>
      </c>
      <c r="AI5" s="485" t="str">
        <f>INPUT!AJ$6</f>
        <v>% Chg</v>
      </c>
      <c r="AJ5" s="484" t="str">
        <f>INPUT!AK$6</f>
        <v>2Q17</v>
      </c>
      <c r="AK5" s="485" t="str">
        <f>INPUT!AL$6</f>
        <v>% Chg</v>
      </c>
      <c r="AL5" s="484" t="str">
        <f>INPUT!AM$6</f>
        <v>3Q17</v>
      </c>
      <c r="AM5" s="485" t="str">
        <f>INPUT!AN$6</f>
        <v>% Chg</v>
      </c>
      <c r="AN5" s="484" t="str">
        <f>INPUT!AO$6</f>
        <v>4Q17</v>
      </c>
      <c r="AO5" s="485" t="str">
        <f>INPUT!AP$6</f>
        <v>% Chg</v>
      </c>
      <c r="AP5" s="484" t="str">
        <f>INPUT!AQ$6</f>
        <v>1Q18E</v>
      </c>
      <c r="AQ5" s="485" t="str">
        <f>INPUT!AR$6</f>
        <v>% Chg</v>
      </c>
      <c r="AR5" s="484" t="str">
        <f>INPUT!AS$6</f>
        <v>2Q18E</v>
      </c>
      <c r="AS5" s="485" t="str">
        <f>INPUT!AT$6</f>
        <v>% Chg</v>
      </c>
      <c r="AT5" s="484" t="str">
        <f>INPUT!AU$6</f>
        <v>3Q18E</v>
      </c>
      <c r="AU5" s="485" t="str">
        <f>INPUT!AV$6</f>
        <v>% Chg</v>
      </c>
      <c r="AV5" s="484" t="str">
        <f>INPUT!AW$6</f>
        <v>4Q18E</v>
      </c>
      <c r="AW5" s="485" t="str">
        <f>INPUT!AX$6</f>
        <v>% Chg</v>
      </c>
      <c r="AX5" s="484"/>
      <c r="AY5" s="486" t="e">
        <f>INPUT!#REF!</f>
        <v>#REF!</v>
      </c>
      <c r="AZ5" s="485" t="e">
        <f>INPUT!#REF!</f>
        <v>#REF!</v>
      </c>
      <c r="BA5" s="486" t="e">
        <f>INPUT!#REF!</f>
        <v>#REF!</v>
      </c>
      <c r="BB5" s="485" t="e">
        <f>INPUT!#REF!</f>
        <v>#REF!</v>
      </c>
      <c r="BC5" s="486" t="e">
        <f>INPUT!#REF!</f>
        <v>#REF!</v>
      </c>
      <c r="BD5" s="485" t="e">
        <f>INPUT!#REF!</f>
        <v>#REF!</v>
      </c>
      <c r="BE5" s="486" t="e">
        <f>INPUT!#REF!</f>
        <v>#REF!</v>
      </c>
      <c r="BF5" s="485" t="e">
        <f>INPUT!#REF!</f>
        <v>#REF!</v>
      </c>
      <c r="BG5" s="486" t="e">
        <f>INPUT!#REF!</f>
        <v>#REF!</v>
      </c>
      <c r="BH5" s="485" t="e">
        <f>INPUT!#REF!</f>
        <v>#REF!</v>
      </c>
      <c r="BI5" s="486" t="e">
        <f>INPUT!#REF!</f>
        <v>#REF!</v>
      </c>
      <c r="BJ5" s="485" t="e">
        <f>INPUT!#REF!</f>
        <v>#REF!</v>
      </c>
      <c r="BK5" s="486" t="e">
        <f>INPUT!#REF!</f>
        <v>#REF!</v>
      </c>
      <c r="BL5" s="485" t="e">
        <f>INPUT!#REF!</f>
        <v>#REF!</v>
      </c>
      <c r="BM5" s="486" t="e">
        <f>INPUT!#REF!</f>
        <v>#REF!</v>
      </c>
      <c r="BN5" s="485" t="e">
        <f>INPUT!#REF!</f>
        <v>#REF!</v>
      </c>
      <c r="BO5" s="486" t="e">
        <f>INPUT!#REF!</f>
        <v>#REF!</v>
      </c>
      <c r="BP5" s="485" t="e">
        <f>INPUT!#REF!</f>
        <v>#REF!</v>
      </c>
      <c r="BQ5" s="486" t="e">
        <f>INPUT!#REF!</f>
        <v>#REF!</v>
      </c>
      <c r="BR5" s="485" t="str">
        <f>INPUT!BA$6</f>
        <v>% Chg</v>
      </c>
      <c r="BS5" s="486" t="str">
        <f>INPUT!BB$6</f>
        <v>2013</v>
      </c>
      <c r="BT5" s="485" t="str">
        <f>INPUT!BC$6</f>
        <v>% Chg</v>
      </c>
      <c r="BU5" s="486" t="str">
        <f>INPUT!BD$6</f>
        <v>2014</v>
      </c>
      <c r="BV5" s="485" t="str">
        <f>INPUT!BE$6</f>
        <v>% Chg</v>
      </c>
      <c r="BW5" s="486" t="str">
        <f>INPUT!BF$6</f>
        <v>2015</v>
      </c>
      <c r="BX5" s="485" t="str">
        <f>INPUT!BG$6</f>
        <v>% Chg</v>
      </c>
      <c r="BY5" s="486" t="str">
        <f>INPUT!BH$6</f>
        <v>2016</v>
      </c>
      <c r="BZ5" s="485" t="str">
        <f>INPUT!BI$6</f>
        <v>% Chg</v>
      </c>
      <c r="CA5" s="486" t="str">
        <f>INPUT!BJ$6</f>
        <v>2017</v>
      </c>
      <c r="CB5" s="485" t="str">
        <f>INPUT!BK$6</f>
        <v>% Chg</v>
      </c>
      <c r="CC5" s="486" t="str">
        <f>INPUT!BL$6</f>
        <v>2018E</v>
      </c>
      <c r="CD5" s="485" t="str">
        <f>INPUT!BM$6</f>
        <v>% Chg</v>
      </c>
      <c r="CE5" s="486" t="str">
        <f>INPUT!BN$6</f>
        <v>2019E</v>
      </c>
      <c r="CF5" s="485" t="str">
        <f>INPUT!BO$6</f>
        <v>% Chg</v>
      </c>
      <c r="CG5" s="486" t="str">
        <f>INPUT!BP$6</f>
        <v>2020E</v>
      </c>
      <c r="CH5" s="485" t="str">
        <f>INPUT!BQ$6</f>
        <v>% Chg</v>
      </c>
      <c r="CI5" s="486" t="str">
        <f>INPUT!BR$6</f>
        <v>2021E</v>
      </c>
      <c r="CJ5" s="485" t="str">
        <f>INPUT!BS$6</f>
        <v>% Chg</v>
      </c>
      <c r="CK5" s="486" t="str">
        <f>INPUT!BT$6</f>
        <v>2022E</v>
      </c>
      <c r="CL5" s="485" t="str">
        <f>INPUT!BU$6</f>
        <v>% Chg</v>
      </c>
      <c r="CM5" s="547" t="str">
        <f>INPUT!BV$6</f>
        <v>(%)</v>
      </c>
      <c r="CN5" s="478"/>
      <c r="CO5" s="488"/>
      <c r="CP5" s="478"/>
      <c r="CQ5" s="488"/>
      <c r="CR5" s="478"/>
      <c r="CS5" s="488"/>
      <c r="CT5" s="478"/>
      <c r="CU5" s="488"/>
      <c r="CV5" s="478"/>
      <c r="CW5" s="479"/>
      <c r="CX5" s="478"/>
      <c r="CY5" s="479"/>
      <c r="CZ5" s="478"/>
      <c r="DA5" s="479"/>
      <c r="DB5" s="478"/>
      <c r="DC5" s="479"/>
      <c r="DD5" s="478"/>
      <c r="DE5" s="479"/>
      <c r="DF5" s="478"/>
      <c r="DG5" s="479"/>
      <c r="DH5" s="478"/>
      <c r="DI5" s="479"/>
      <c r="DJ5" s="478"/>
      <c r="DK5" s="478"/>
    </row>
    <row r="6" spans="1:164" s="475" customFormat="1" ht="12" customHeight="1" x14ac:dyDescent="0.2">
      <c r="A6" s="489"/>
      <c r="B6" s="479"/>
      <c r="C6" s="478"/>
      <c r="D6" s="479"/>
      <c r="E6" s="478"/>
      <c r="F6" s="479"/>
      <c r="G6" s="478"/>
      <c r="H6" s="479"/>
      <c r="I6" s="478"/>
      <c r="J6" s="479"/>
      <c r="K6" s="478"/>
      <c r="L6" s="479"/>
      <c r="M6" s="478"/>
      <c r="N6" s="479"/>
      <c r="O6" s="478"/>
      <c r="P6" s="479"/>
      <c r="Q6" s="478"/>
      <c r="R6" s="479"/>
      <c r="S6" s="478"/>
      <c r="T6" s="479"/>
      <c r="U6" s="478"/>
      <c r="V6" s="479"/>
      <c r="W6" s="478"/>
      <c r="X6" s="479"/>
      <c r="Y6" s="478"/>
      <c r="Z6" s="479"/>
      <c r="AA6" s="478"/>
      <c r="AB6" s="479"/>
      <c r="AC6" s="478"/>
      <c r="AD6" s="479"/>
      <c r="AE6" s="478"/>
      <c r="AF6" s="479"/>
      <c r="AG6" s="478"/>
      <c r="AH6" s="479"/>
      <c r="AI6" s="478"/>
      <c r="AJ6" s="479"/>
      <c r="AK6" s="478"/>
      <c r="AL6" s="479"/>
      <c r="AM6" s="478"/>
      <c r="AN6" s="479"/>
      <c r="AO6" s="478"/>
      <c r="AP6" s="479"/>
      <c r="AQ6" s="478"/>
      <c r="AR6" s="479"/>
      <c r="AS6" s="478"/>
      <c r="AT6" s="479"/>
      <c r="AU6" s="478"/>
      <c r="AV6" s="479"/>
      <c r="AW6" s="478"/>
      <c r="AX6" s="479"/>
      <c r="AY6" s="479"/>
      <c r="AZ6" s="478"/>
      <c r="BA6" s="479"/>
      <c r="BB6" s="478"/>
      <c r="BC6" s="479"/>
      <c r="BD6" s="478"/>
      <c r="BE6" s="479"/>
      <c r="BF6" s="517"/>
      <c r="BG6" s="524"/>
      <c r="BH6" s="522"/>
      <c r="BI6" s="524"/>
      <c r="BJ6" s="522"/>
      <c r="BK6" s="524"/>
      <c r="BL6" s="522"/>
      <c r="BM6" s="524"/>
      <c r="BN6" s="522"/>
      <c r="BO6" s="536"/>
      <c r="BP6" s="522"/>
      <c r="BQ6" s="536"/>
      <c r="BR6" s="522"/>
      <c r="BS6" s="536"/>
      <c r="BT6" s="522"/>
      <c r="BU6" s="536"/>
      <c r="BV6" s="522"/>
      <c r="BW6" s="536"/>
      <c r="BX6" s="522"/>
      <c r="BY6" s="536"/>
      <c r="BZ6" s="522"/>
      <c r="CA6" s="536"/>
      <c r="CB6" s="522"/>
      <c r="CC6" s="536"/>
      <c r="CD6" s="522"/>
      <c r="CE6" s="536"/>
      <c r="CF6" s="522"/>
      <c r="CG6" s="536"/>
      <c r="CH6" s="522"/>
      <c r="CI6" s="536"/>
      <c r="CJ6" s="522"/>
      <c r="CK6" s="536"/>
      <c r="CL6" s="522"/>
      <c r="CM6" s="536"/>
      <c r="CN6" s="522"/>
      <c r="CO6" s="536"/>
      <c r="CP6" s="522"/>
      <c r="CQ6" s="536"/>
      <c r="CR6" s="522"/>
      <c r="CS6" s="536"/>
      <c r="CT6" s="522"/>
      <c r="CU6" s="536"/>
      <c r="CV6" s="522"/>
      <c r="CW6" s="536"/>
      <c r="CX6" s="522"/>
      <c r="CY6" s="536"/>
      <c r="CZ6" s="522"/>
      <c r="DA6" s="536"/>
      <c r="DB6" s="522"/>
      <c r="DC6" s="536"/>
      <c r="DD6" s="522"/>
      <c r="DE6" s="536"/>
      <c r="DF6" s="522"/>
      <c r="DG6" s="536"/>
      <c r="DH6" s="522"/>
      <c r="DI6" s="536"/>
      <c r="DJ6" s="522"/>
      <c r="DK6" s="536"/>
      <c r="DL6" s="522"/>
      <c r="DM6" s="536"/>
      <c r="DN6" s="522"/>
      <c r="DO6" s="536"/>
      <c r="DP6" s="522"/>
      <c r="DQ6" s="536"/>
      <c r="DR6" s="522"/>
      <c r="DS6" s="536"/>
      <c r="DT6" s="522"/>
      <c r="DU6" s="536"/>
      <c r="DV6" s="522"/>
      <c r="DW6" s="536"/>
      <c r="DX6" s="522"/>
      <c r="DY6" s="536"/>
      <c r="DZ6" s="522"/>
      <c r="EA6" s="536"/>
      <c r="EB6" s="522"/>
      <c r="EC6" s="490"/>
      <c r="ED6" s="524"/>
      <c r="EE6" s="522"/>
      <c r="EF6" s="524"/>
      <c r="EG6" s="522"/>
      <c r="EH6" s="524"/>
      <c r="EI6" s="522"/>
      <c r="EJ6" s="524"/>
      <c r="EK6" s="522"/>
      <c r="EL6" s="536"/>
      <c r="EM6" s="522"/>
      <c r="EN6" s="536"/>
      <c r="EO6" s="522"/>
      <c r="EP6" s="536"/>
      <c r="EQ6" s="522"/>
      <c r="ER6" s="536"/>
      <c r="ES6" s="522"/>
      <c r="ET6" s="536"/>
      <c r="EU6" s="522"/>
      <c r="EV6" s="536"/>
      <c r="EW6" s="522"/>
      <c r="EX6" s="536"/>
      <c r="EY6" s="522"/>
      <c r="EZ6" s="536"/>
      <c r="FA6" s="522"/>
      <c r="FB6" s="536"/>
      <c r="FC6" s="522"/>
      <c r="FD6" s="536"/>
      <c r="FE6" s="522"/>
      <c r="FF6" s="536"/>
      <c r="FG6" s="522"/>
      <c r="FH6" s="522"/>
    </row>
    <row r="7" spans="1:164" s="475" customFormat="1" ht="12" customHeight="1" x14ac:dyDescent="0.2">
      <c r="A7" s="489" t="s">
        <v>614</v>
      </c>
      <c r="B7" s="479"/>
      <c r="C7" s="478"/>
      <c r="D7" s="479"/>
      <c r="E7" s="478"/>
      <c r="F7" s="479"/>
      <c r="G7" s="478"/>
      <c r="H7" s="479"/>
      <c r="I7" s="478"/>
      <c r="J7" s="479"/>
      <c r="K7" s="478"/>
      <c r="L7" s="479"/>
      <c r="M7" s="478"/>
      <c r="N7" s="479"/>
      <c r="O7" s="478"/>
      <c r="P7" s="479"/>
      <c r="Q7" s="478"/>
      <c r="R7" s="479"/>
      <c r="S7" s="478"/>
      <c r="T7" s="479"/>
      <c r="U7" s="478"/>
      <c r="V7" s="479"/>
      <c r="W7" s="478"/>
      <c r="X7" s="479"/>
      <c r="Y7" s="478"/>
      <c r="Z7" s="479"/>
      <c r="AA7" s="478"/>
      <c r="AB7" s="479"/>
      <c r="AC7" s="478"/>
      <c r="AD7" s="479"/>
      <c r="AE7" s="478"/>
      <c r="AF7" s="479"/>
      <c r="AG7" s="478"/>
      <c r="AH7" s="479"/>
      <c r="AI7" s="478"/>
      <c r="AJ7" s="479"/>
      <c r="AK7" s="478"/>
      <c r="AL7" s="479"/>
      <c r="AM7" s="478"/>
      <c r="AN7" s="479"/>
      <c r="AO7" s="478"/>
      <c r="AP7" s="479"/>
      <c r="AQ7" s="478"/>
      <c r="AR7" s="479"/>
      <c r="AS7" s="478"/>
      <c r="AT7" s="479"/>
      <c r="AU7" s="478"/>
      <c r="AV7" s="479"/>
      <c r="AW7" s="478"/>
      <c r="AX7" s="479"/>
      <c r="AY7" s="479"/>
      <c r="AZ7" s="478"/>
      <c r="BA7" s="479"/>
      <c r="BB7" s="478"/>
      <c r="BC7" s="479"/>
      <c r="BD7" s="478"/>
      <c r="BE7" s="479"/>
      <c r="BF7" s="478"/>
      <c r="BG7" s="479"/>
      <c r="BH7" s="478"/>
      <c r="BI7" s="479"/>
      <c r="BJ7" s="478"/>
      <c r="BK7" s="479"/>
      <c r="BL7" s="478"/>
      <c r="BM7" s="479"/>
      <c r="BN7" s="478"/>
      <c r="BO7" s="479"/>
      <c r="BP7" s="478"/>
      <c r="BQ7" s="479"/>
      <c r="BR7" s="478"/>
      <c r="BS7" s="479"/>
      <c r="BT7" s="478"/>
      <c r="BU7" s="479"/>
      <c r="BV7" s="478"/>
      <c r="BW7" s="479"/>
      <c r="BX7" s="478"/>
      <c r="BY7" s="479"/>
      <c r="BZ7" s="478"/>
      <c r="CA7" s="479"/>
      <c r="CB7" s="478"/>
      <c r="CC7" s="479"/>
      <c r="CD7" s="478"/>
      <c r="CE7" s="479"/>
      <c r="CF7" s="478"/>
      <c r="CG7" s="479"/>
      <c r="CH7" s="478"/>
      <c r="CI7" s="479"/>
      <c r="CJ7" s="478"/>
      <c r="CK7" s="479"/>
      <c r="CL7" s="478"/>
      <c r="CM7" s="478"/>
    </row>
    <row r="8" spans="1:164" s="475" customFormat="1" ht="12" customHeight="1" x14ac:dyDescent="0.2">
      <c r="A8" s="802" t="str">
        <f>'FORECAST-CORE'!A8</f>
        <v>RIS - Fee</v>
      </c>
      <c r="B8" s="536">
        <f>INPUT!C62</f>
        <v>105.30000000000001</v>
      </c>
      <c r="C8" s="491" t="str">
        <f>INPUT!D62</f>
        <v>NA</v>
      </c>
      <c r="D8" s="536">
        <f>INPUT!E62</f>
        <v>119.79999999999995</v>
      </c>
      <c r="E8" s="491" t="str">
        <f>INPUT!F62</f>
        <v>NA</v>
      </c>
      <c r="F8" s="536">
        <f>INPUT!G62</f>
        <v>102.90000000000003</v>
      </c>
      <c r="G8" s="491" t="str">
        <f>INPUT!H62</f>
        <v>NA</v>
      </c>
      <c r="H8" s="536">
        <f>INPUT!I62</f>
        <v>123</v>
      </c>
      <c r="I8" s="491" t="str">
        <f>INPUT!J62</f>
        <v>NA</v>
      </c>
      <c r="J8" s="536">
        <f>INPUT!K62</f>
        <v>140.99999999999994</v>
      </c>
      <c r="K8" s="491">
        <f>INPUT!L62</f>
        <v>33.903133903133835</v>
      </c>
      <c r="L8" s="536">
        <f>INPUT!M62</f>
        <v>153.30000000000001</v>
      </c>
      <c r="M8" s="491">
        <f>INPUT!N62</f>
        <v>27.963272120200401</v>
      </c>
      <c r="N8" s="536">
        <f>INPUT!O62</f>
        <v>145.5</v>
      </c>
      <c r="O8" s="491">
        <f>INPUT!P62</f>
        <v>41.399416909620953</v>
      </c>
      <c r="P8" s="536">
        <f>INPUT!Q62</f>
        <v>138.69999999999999</v>
      </c>
      <c r="Q8" s="491">
        <f>INPUT!R62</f>
        <v>12.76422764227641</v>
      </c>
      <c r="R8" s="536">
        <f>INPUT!S62</f>
        <v>141.80000000000001</v>
      </c>
      <c r="S8" s="491">
        <f>INPUT!T62</f>
        <v>0.56737588652487148</v>
      </c>
      <c r="T8" s="536">
        <f>INPUT!U62</f>
        <v>143.39999999999998</v>
      </c>
      <c r="U8" s="491">
        <f>INPUT!V62</f>
        <v>-6.4579256360078432</v>
      </c>
      <c r="V8" s="536">
        <f>INPUT!W62</f>
        <v>83.599999999999966</v>
      </c>
      <c r="W8" s="491">
        <f>INPUT!X62</f>
        <v>-42.542955326460508</v>
      </c>
      <c r="X8" s="536">
        <f>INPUT!Y62</f>
        <v>124.69999999999999</v>
      </c>
      <c r="Y8" s="491">
        <f>INPUT!Z62</f>
        <v>-10.093727469358328</v>
      </c>
      <c r="Z8" s="536">
        <f>INPUT!AA62</f>
        <v>114</v>
      </c>
      <c r="AA8" s="491">
        <f>INPUT!AB62</f>
        <v>-19.605077574047954</v>
      </c>
      <c r="AB8" s="536">
        <f>INPUT!AC62</f>
        <v>124.5</v>
      </c>
      <c r="AC8" s="491">
        <f>INPUT!AD62</f>
        <v>-13.179916317991612</v>
      </c>
      <c r="AD8" s="536">
        <f>INPUT!AE62</f>
        <v>130.89999999999998</v>
      </c>
      <c r="AE8" s="491">
        <f>INPUT!AF62</f>
        <v>56.578947368421098</v>
      </c>
      <c r="AF8" s="536">
        <f>INPUT!AG62</f>
        <v>124.00000000000006</v>
      </c>
      <c r="AG8" s="491">
        <f>INPUT!AH62</f>
        <v>-0.56134723336001002</v>
      </c>
      <c r="AH8" s="536">
        <f>INPUT!AI62</f>
        <v>144.69999999999999</v>
      </c>
      <c r="AI8" s="491">
        <f>INPUT!AJ62</f>
        <v>26.929824561403493</v>
      </c>
      <c r="AJ8" s="536">
        <f>INPUT!AK62</f>
        <v>147.5</v>
      </c>
      <c r="AK8" s="491">
        <f>INPUT!AL62</f>
        <v>18.47389558232932</v>
      </c>
      <c r="AL8" s="536">
        <f>INPUT!AM62</f>
        <v>108</v>
      </c>
      <c r="AM8" s="491">
        <f>INPUT!AN62</f>
        <v>-17.494270435446893</v>
      </c>
      <c r="AN8" s="536">
        <f>INPUT!AO62</f>
        <v>126.60000000000002</v>
      </c>
      <c r="AO8" s="491">
        <f>INPUT!AP62</f>
        <v>2.0967741935483701</v>
      </c>
      <c r="AP8" s="536">
        <f>INPUT!AQ62</f>
        <v>142.05612240496151</v>
      </c>
      <c r="AQ8" s="491">
        <f>INPUT!AR62</f>
        <v>-1.8271441569028752</v>
      </c>
      <c r="AR8" s="536">
        <f>INPUT!AS62</f>
        <v>142.19182518538878</v>
      </c>
      <c r="AS8" s="491">
        <f>INPUT!AT62</f>
        <v>-3.5987625861771022</v>
      </c>
      <c r="AT8" s="536">
        <f>INPUT!AU62</f>
        <v>143.63086237263838</v>
      </c>
      <c r="AU8" s="491">
        <f>INPUT!AV62</f>
        <v>32.991539233924414</v>
      </c>
      <c r="AV8" s="536">
        <f>INPUT!AW62</f>
        <v>153.34038105962878</v>
      </c>
      <c r="AW8" s="491">
        <f>INPUT!AX62</f>
        <v>21.121943964951612</v>
      </c>
      <c r="AX8" s="492"/>
      <c r="AY8" s="536"/>
      <c r="AZ8" s="491"/>
      <c r="BA8" s="536"/>
      <c r="BB8" s="491"/>
      <c r="BC8" s="536"/>
      <c r="BD8" s="491"/>
      <c r="BE8" s="536"/>
      <c r="BF8" s="491"/>
      <c r="BG8" s="536"/>
      <c r="BH8" s="491"/>
      <c r="BI8" s="536"/>
      <c r="BJ8" s="491"/>
      <c r="BK8" s="536"/>
      <c r="BL8" s="491"/>
      <c r="BM8" s="536"/>
      <c r="BN8" s="491"/>
      <c r="BO8" s="536"/>
      <c r="BP8" s="491"/>
      <c r="BQ8" s="536"/>
      <c r="BR8" s="491"/>
      <c r="BS8" s="536">
        <f>INPUT!BB62</f>
        <v>451</v>
      </c>
      <c r="BT8" s="491" t="str">
        <f>INPUT!BC62</f>
        <v>NA</v>
      </c>
      <c r="BU8" s="536">
        <f>INPUT!BD62</f>
        <v>578.5</v>
      </c>
      <c r="BV8" s="491">
        <f>INPUT!BE62</f>
        <v>28.270509977827061</v>
      </c>
      <c r="BW8" s="536">
        <f>INPUT!BF62</f>
        <v>493.5</v>
      </c>
      <c r="BX8" s="491">
        <f>INPUT!BG62</f>
        <v>-14.693171996542787</v>
      </c>
      <c r="BY8" s="536">
        <f>INPUT!BH62</f>
        <v>493.39999999999986</v>
      </c>
      <c r="BZ8" s="491">
        <f>INPUT!BI62</f>
        <v>-2.0263424518773832E-2</v>
      </c>
      <c r="CA8" s="536">
        <f>INPUT!BJ62</f>
        <v>526.79999999999995</v>
      </c>
      <c r="CB8" s="491">
        <f>INPUT!BK62</f>
        <v>6.7693554925010346</v>
      </c>
      <c r="CC8" s="536">
        <f>INPUT!BL62</f>
        <v>581.21919102261722</v>
      </c>
      <c r="CD8" s="491">
        <f>INPUT!BM62</f>
        <v>10.330142563139205</v>
      </c>
      <c r="CE8" s="536">
        <f>INPUT!BN62</f>
        <v>602.06469029652203</v>
      </c>
      <c r="CF8" s="491">
        <f>INPUT!BO62</f>
        <v>3.586512557719999</v>
      </c>
      <c r="CG8" s="536">
        <f>INPUT!BP62</f>
        <v>623.87014885527947</v>
      </c>
      <c r="CH8" s="491">
        <f>INPUT!BQ62</f>
        <v>3.6217800030787544</v>
      </c>
      <c r="CI8" s="536">
        <f>INPUT!BR62</f>
        <v>648.12151853782029</v>
      </c>
      <c r="CJ8" s="491">
        <f>INPUT!BS62</f>
        <v>3.887246364814672</v>
      </c>
      <c r="CK8" s="536">
        <f>INPUT!BT62</f>
        <v>672.55931623420452</v>
      </c>
      <c r="CL8" s="491">
        <f>INPUT!BU62</f>
        <v>3.770557989112362</v>
      </c>
      <c r="CM8" s="491">
        <f>INPUT!BV62</f>
        <v>5.006689121484742</v>
      </c>
    </row>
    <row r="9" spans="1:164" s="475" customFormat="1" ht="12" customHeight="1" x14ac:dyDescent="0.2">
      <c r="A9" s="802" t="str">
        <f>'FORECAST-CORE'!A9</f>
        <v>RIS - Spread</v>
      </c>
      <c r="B9" s="536">
        <f>INPUT!C184</f>
        <v>61.600000000000016</v>
      </c>
      <c r="C9" s="491" t="str">
        <f>INPUT!D184</f>
        <v>NA</v>
      </c>
      <c r="D9" s="536">
        <f>INPUT!E184</f>
        <v>73.400000000000006</v>
      </c>
      <c r="E9" s="491" t="str">
        <f>INPUT!F184</f>
        <v>NA</v>
      </c>
      <c r="F9" s="536">
        <f>INPUT!G184</f>
        <v>72.199999999999989</v>
      </c>
      <c r="G9" s="491" t="str">
        <f>INPUT!H184</f>
        <v>NA</v>
      </c>
      <c r="H9" s="536">
        <f>INPUT!I184</f>
        <v>82.400000000000034</v>
      </c>
      <c r="I9" s="491" t="str">
        <f>INPUT!J184</f>
        <v>NA</v>
      </c>
      <c r="J9" s="536">
        <f>INPUT!K184</f>
        <v>80.599999999999994</v>
      </c>
      <c r="K9" s="491">
        <f>INPUT!L184</f>
        <v>30.844155844155807</v>
      </c>
      <c r="L9" s="536">
        <f>INPUT!M184</f>
        <v>83.699999999999974</v>
      </c>
      <c r="M9" s="491">
        <f>INPUT!N184</f>
        <v>14.032697547683881</v>
      </c>
      <c r="N9" s="536">
        <f>INPUT!O184</f>
        <v>85.7</v>
      </c>
      <c r="O9" s="491">
        <f>INPUT!P184</f>
        <v>18.698060941828288</v>
      </c>
      <c r="P9" s="536">
        <f>INPUT!Q184</f>
        <v>100.10000000000001</v>
      </c>
      <c r="Q9" s="491">
        <f>INPUT!R184</f>
        <v>21.48058252427181</v>
      </c>
      <c r="R9" s="536">
        <f>INPUT!S111</f>
        <v>61.099999999999909</v>
      </c>
      <c r="S9" s="491">
        <f>INPUT!T111</f>
        <v>-20.546163849154965</v>
      </c>
      <c r="T9" s="536">
        <f>INPUT!U111</f>
        <v>73.5</v>
      </c>
      <c r="U9" s="491">
        <f>INPUT!V111</f>
        <v>-0.67567567567567721</v>
      </c>
      <c r="V9" s="536">
        <f>INPUT!W111</f>
        <v>49.900000000000091</v>
      </c>
      <c r="W9" s="491">
        <f>INPUT!X111</f>
        <v>-19.645732689210988</v>
      </c>
      <c r="X9" s="536">
        <f>INPUT!Y111</f>
        <v>62.100000000000023</v>
      </c>
      <c r="Y9" s="491">
        <f>INPUT!Z111</f>
        <v>4.0201005025123209</v>
      </c>
      <c r="Z9" s="536">
        <f>INPUT!AA111</f>
        <v>67.399999999999977</v>
      </c>
      <c r="AA9" s="491">
        <f>INPUT!AB111</f>
        <v>10.310965630114694</v>
      </c>
      <c r="AB9" s="536">
        <f>INPUT!AC111</f>
        <v>70.199999999999932</v>
      </c>
      <c r="AC9" s="491">
        <f>INPUT!AD111</f>
        <v>-4.4897959183674487</v>
      </c>
      <c r="AD9" s="536">
        <f>INPUT!AE111</f>
        <v>76</v>
      </c>
      <c r="AE9" s="491">
        <f>INPUT!AF111</f>
        <v>52.30460921843661</v>
      </c>
      <c r="AF9" s="536">
        <f>INPUT!AG111</f>
        <v>87.499999999999773</v>
      </c>
      <c r="AG9" s="491">
        <f>INPUT!AH111</f>
        <v>40.901771336553537</v>
      </c>
      <c r="AH9" s="536">
        <f>INPUT!AI111</f>
        <v>99.500000000000114</v>
      </c>
      <c r="AI9" s="491">
        <f>INPUT!AJ111</f>
        <v>47.626112759644144</v>
      </c>
      <c r="AJ9" s="536">
        <f>INPUT!AK111</f>
        <v>96.300000000000182</v>
      </c>
      <c r="AK9" s="491">
        <f>INPUT!AL111</f>
        <v>37.17948717948758</v>
      </c>
      <c r="AL9" s="536">
        <f>INPUT!AM111</f>
        <v>102.10000000000014</v>
      </c>
      <c r="AM9" s="491">
        <f>INPUT!AN111</f>
        <v>34.342105263158089</v>
      </c>
      <c r="AN9" s="536">
        <f>INPUT!AO111</f>
        <v>75.099999999999682</v>
      </c>
      <c r="AO9" s="491">
        <f>INPUT!AP111</f>
        <v>-14.171428571428706</v>
      </c>
      <c r="AP9" s="536">
        <f>INPUT!AQ111</f>
        <v>89.527146472392815</v>
      </c>
      <c r="AQ9" s="491">
        <f>INPUT!AR111</f>
        <v>-10.02296836945456</v>
      </c>
      <c r="AR9" s="536">
        <f>INPUT!AS111</f>
        <v>85.40283843558268</v>
      </c>
      <c r="AS9" s="491">
        <f>INPUT!AT111</f>
        <v>-11.315847938128215</v>
      </c>
      <c r="AT9" s="536">
        <f>INPUT!AU111</f>
        <v>86.414754059509278</v>
      </c>
      <c r="AU9" s="491">
        <f>INPUT!AV111</f>
        <v>-15.362630695877414</v>
      </c>
      <c r="AV9" s="536">
        <f>INPUT!AW111</f>
        <v>85.269450972957202</v>
      </c>
      <c r="AW9" s="491">
        <f>INPUT!AX111</f>
        <v>13.541213013259082</v>
      </c>
      <c r="AX9" s="503"/>
      <c r="AY9" s="536"/>
      <c r="AZ9" s="491"/>
      <c r="BA9" s="536"/>
      <c r="BB9" s="491"/>
      <c r="BC9" s="536"/>
      <c r="BD9" s="491"/>
      <c r="BE9" s="536"/>
      <c r="BF9" s="491"/>
      <c r="BG9" s="536"/>
      <c r="BH9" s="491"/>
      <c r="BI9" s="536"/>
      <c r="BJ9" s="491"/>
      <c r="BK9" s="536"/>
      <c r="BL9" s="491"/>
      <c r="BM9" s="536"/>
      <c r="BN9" s="491"/>
      <c r="BO9" s="536"/>
      <c r="BP9" s="491"/>
      <c r="BQ9" s="536"/>
      <c r="BR9" s="491"/>
      <c r="BS9" s="536">
        <f>INPUT!BB111</f>
        <v>301.49999999999955</v>
      </c>
      <c r="BT9" s="491" t="str">
        <f>INPUT!BC111</f>
        <v>NA</v>
      </c>
      <c r="BU9" s="536">
        <f>INPUT!BD111</f>
        <v>272.69999999999982</v>
      </c>
      <c r="BV9" s="491">
        <f>INPUT!BE111</f>
        <v>-9.5522388059700631</v>
      </c>
      <c r="BW9" s="536">
        <f>INPUT!BF111</f>
        <v>246.59999999999945</v>
      </c>
      <c r="BX9" s="491">
        <f>INPUT!BG111</f>
        <v>-9.5709570957097156</v>
      </c>
      <c r="BY9" s="536">
        <f>INPUT!BH111</f>
        <v>301.10000000000036</v>
      </c>
      <c r="BZ9" s="491">
        <f>INPUT!BI111</f>
        <v>22.100567721006101</v>
      </c>
      <c r="CA9" s="536">
        <f>INPUT!BJ111</f>
        <v>373</v>
      </c>
      <c r="CB9" s="491">
        <f>INPUT!BK111</f>
        <v>23.879109930255566</v>
      </c>
      <c r="CC9" s="536">
        <f>INPUT!BL111</f>
        <v>346.61418994044107</v>
      </c>
      <c r="CD9" s="491">
        <f>INPUT!BM111</f>
        <v>-7.0739437156994427</v>
      </c>
      <c r="CE9" s="536">
        <f>INPUT!BN111</f>
        <v>358.31452402740069</v>
      </c>
      <c r="CF9" s="491">
        <f>INPUT!BO111</f>
        <v>3.3756073543815575</v>
      </c>
      <c r="CG9" s="536">
        <f>INPUT!BP111</f>
        <v>378.78907885412536</v>
      </c>
      <c r="CH9" s="491">
        <f>INPUT!BQ184</f>
        <v>2.42580067100522</v>
      </c>
      <c r="CI9" s="536">
        <f>INPUT!BR111</f>
        <v>399.70905001593383</v>
      </c>
      <c r="CJ9" s="491">
        <f>INPUT!BS184</f>
        <v>6.0944092709905249</v>
      </c>
      <c r="CK9" s="536">
        <f>INPUT!BT111</f>
        <v>421.11411200071416</v>
      </c>
      <c r="CL9" s="491">
        <f>INPUT!BU184</f>
        <v>3.4740216981056875</v>
      </c>
      <c r="CM9" s="491">
        <f>INPUT!BV184</f>
        <v>5.6754281433789799</v>
      </c>
    </row>
    <row r="10" spans="1:164" s="475" customFormat="1" ht="12" customHeight="1" x14ac:dyDescent="0.2">
      <c r="A10" s="740" t="str">
        <f>'FORECAST-CORE'!A10</f>
        <v>Total RIS</v>
      </c>
      <c r="B10" s="536">
        <f>+INPUT!C330</f>
        <v>63.700000000000031</v>
      </c>
      <c r="C10" s="491" t="str">
        <f>+INPUT!D330</f>
        <v>NA</v>
      </c>
      <c r="D10" s="536">
        <f>+INPUT!E330</f>
        <v>75.700000000000017</v>
      </c>
      <c r="E10" s="491" t="str">
        <f>+INPUT!F330</f>
        <v>NA</v>
      </c>
      <c r="F10" s="536">
        <f>+INPUT!G330</f>
        <v>66.099999999999994</v>
      </c>
      <c r="G10" s="491" t="str">
        <f>+INPUT!H330</f>
        <v>NA</v>
      </c>
      <c r="H10" s="536">
        <f>+INPUT!I330</f>
        <v>88.9</v>
      </c>
      <c r="I10" s="491" t="str">
        <f>+INPUT!J330</f>
        <v>NA</v>
      </c>
      <c r="J10" s="536">
        <f>+INPUT!K330</f>
        <v>82.199999999999946</v>
      </c>
      <c r="K10" s="491">
        <f>+INPUT!L330</f>
        <v>29.042386185243174</v>
      </c>
      <c r="L10" s="536">
        <f>+INPUT!M330</f>
        <v>90.6</v>
      </c>
      <c r="M10" s="491">
        <f>+INPUT!N330</f>
        <v>19.682959048877109</v>
      </c>
      <c r="N10" s="536">
        <f>+INPUT!O330</f>
        <v>102.4</v>
      </c>
      <c r="O10" s="491">
        <f>+INPUT!P330</f>
        <v>54.916792738275376</v>
      </c>
      <c r="P10" s="536">
        <f>+INPUT!Q330</f>
        <v>77.499999999999929</v>
      </c>
      <c r="Q10" s="491">
        <f>+INPUT!R330</f>
        <v>-12.823397075365662</v>
      </c>
      <c r="R10" s="536">
        <f>R9+R8</f>
        <v>202.89999999999992</v>
      </c>
      <c r="S10" s="491">
        <f>+INPUT!T330</f>
        <v>-1.7031630170316134</v>
      </c>
      <c r="T10" s="536">
        <f>T9+T8</f>
        <v>216.89999999999998</v>
      </c>
      <c r="U10" s="491">
        <f>+INPUT!V330</f>
        <v>-20.309050772626989</v>
      </c>
      <c r="V10" s="536">
        <f>V9+V8</f>
        <v>133.50000000000006</v>
      </c>
      <c r="W10" s="491" t="str">
        <f>+INPUT!X330</f>
        <v>NM</v>
      </c>
      <c r="X10" s="536">
        <f>X9+X8</f>
        <v>186.8</v>
      </c>
      <c r="Y10" s="491">
        <f>+INPUT!Z330</f>
        <v>-13.161290322580584</v>
      </c>
      <c r="Z10" s="536">
        <f>Z9+Z8</f>
        <v>181.39999999999998</v>
      </c>
      <c r="AA10" s="491">
        <f>+INPUT!AB330</f>
        <v>-15.841584158415785</v>
      </c>
      <c r="AB10" s="536">
        <f>AB9+AB8</f>
        <v>194.69999999999993</v>
      </c>
      <c r="AC10" s="491">
        <f>+INPUT!AD330</f>
        <v>-3.1855955678669972</v>
      </c>
      <c r="AD10" s="536">
        <f>AD9+AD8</f>
        <v>206.89999999999998</v>
      </c>
      <c r="AE10" s="491">
        <f>+INPUT!AF330</f>
        <v>65.098039215686413</v>
      </c>
      <c r="AF10" s="536">
        <f>AF9+AF8</f>
        <v>211.49999999999983</v>
      </c>
      <c r="AG10" s="491">
        <f>+INPUT!AH330</f>
        <v>-1.9316493313520766</v>
      </c>
      <c r="AH10" s="536">
        <f t="shared" ref="AH10" si="0">AH9+AH8</f>
        <v>244.2000000000001</v>
      </c>
      <c r="AI10" s="491">
        <f>+INPUT!AJ330</f>
        <v>48.382352941176379</v>
      </c>
      <c r="AJ10" s="536">
        <f t="shared" ref="AJ10" si="1">AJ9+AJ8</f>
        <v>243.80000000000018</v>
      </c>
      <c r="AK10" s="491">
        <f>+INPUT!AL330</f>
        <v>12.160228898426297</v>
      </c>
      <c r="AL10" s="536">
        <f t="shared" ref="AL10" si="2">AL9+AL8</f>
        <v>210.10000000000014</v>
      </c>
      <c r="AM10" s="491">
        <f>+INPUT!AN330</f>
        <v>-14.014251781472709</v>
      </c>
      <c r="AN10" s="536">
        <f t="shared" ref="AN10" si="3">AN9+AN8</f>
        <v>201.6999999999997</v>
      </c>
      <c r="AO10" s="491">
        <f>+INPUT!AP330</f>
        <v>18.636363636363626</v>
      </c>
      <c r="AP10" s="536">
        <f t="shared" ref="AP10" si="4">AP9+AP8</f>
        <v>231.58326887735433</v>
      </c>
      <c r="AQ10" s="491">
        <f>+INPUT!AR330</f>
        <v>-11.379368910349996</v>
      </c>
      <c r="AR10" s="536">
        <f t="shared" ref="AR10" si="5">AR9+AR8</f>
        <v>227.59466362097146</v>
      </c>
      <c r="AS10" s="491">
        <f>+INPUT!AT330</f>
        <v>14.743562437728258</v>
      </c>
      <c r="AT10" s="536">
        <f t="shared" ref="AT10" si="6">AT9+AT8</f>
        <v>230.04561643214765</v>
      </c>
      <c r="AU10" s="491">
        <f>+INPUT!AV330</f>
        <v>25.400236845828928</v>
      </c>
      <c r="AV10" s="536">
        <f t="shared" ref="AV10" si="7">AV9+AV8</f>
        <v>238.60983203258598</v>
      </c>
      <c r="AW10" s="491">
        <f>+INPUT!AX330</f>
        <v>14.250790484317605</v>
      </c>
      <c r="AX10" s="492"/>
      <c r="AY10" s="536"/>
      <c r="AZ10" s="491"/>
      <c r="BA10" s="536"/>
      <c r="BB10" s="491"/>
      <c r="BC10" s="536"/>
      <c r="BD10" s="491"/>
      <c r="BE10" s="536"/>
      <c r="BF10" s="491"/>
      <c r="BG10" s="536"/>
      <c r="BH10" s="491"/>
      <c r="BI10" s="536"/>
      <c r="BJ10" s="491"/>
      <c r="BK10" s="536"/>
      <c r="BL10" s="491"/>
      <c r="BM10" s="536"/>
      <c r="BN10" s="491"/>
      <c r="BO10" s="536"/>
      <c r="BP10" s="491"/>
      <c r="BQ10" s="536"/>
      <c r="BR10" s="491"/>
      <c r="BS10" s="536">
        <f>BS9+BS8</f>
        <v>752.49999999999955</v>
      </c>
      <c r="BT10" s="491" t="str">
        <f>+INPUT!BC330</f>
        <v>NA</v>
      </c>
      <c r="BU10" s="536">
        <f>BU9+BU8</f>
        <v>851.19999999999982</v>
      </c>
      <c r="BV10" s="491">
        <f>+INPUT!BE330</f>
        <v>19.802989130434725</v>
      </c>
      <c r="BW10" s="536">
        <f>BW9+BW8</f>
        <v>740.09999999999945</v>
      </c>
      <c r="BX10" s="491">
        <f>+INPUT!BG330</f>
        <v>-23.079104054437209</v>
      </c>
      <c r="BY10" s="536">
        <f>BY9+BY8</f>
        <v>794.50000000000023</v>
      </c>
      <c r="BZ10" s="491">
        <f>+INPUT!BI330</f>
        <v>6.192406929598306</v>
      </c>
      <c r="CA10" s="536">
        <f>CA9+CA8</f>
        <v>899.8</v>
      </c>
      <c r="CB10" s="491">
        <f>+INPUT!BK330</f>
        <v>14.54356126345013</v>
      </c>
      <c r="CC10" s="536">
        <f>CC9+CC8</f>
        <v>927.83338096305829</v>
      </c>
      <c r="CD10" s="491">
        <f>+INPUT!BM330</f>
        <v>8.9773667109807889</v>
      </c>
      <c r="CE10" s="536">
        <f>CE9+CE8</f>
        <v>960.37921432392272</v>
      </c>
      <c r="CF10" s="491">
        <f>+INPUT!BO330</f>
        <v>6.0403004202494799</v>
      </c>
      <c r="CG10" s="536">
        <f>CG9+CG8</f>
        <v>1002.6592277094048</v>
      </c>
      <c r="CH10" s="491">
        <f>+INPUT!BQ330</f>
        <v>13.248361152497012</v>
      </c>
      <c r="CI10" s="536">
        <f>CI9+CI8</f>
        <v>1047.8305685537541</v>
      </c>
      <c r="CJ10" s="491">
        <f>+INPUT!BS330</f>
        <v>4.2292292477999638</v>
      </c>
      <c r="CK10" s="536">
        <f>CK9+CK8</f>
        <v>1093.6734282349187</v>
      </c>
      <c r="CL10" s="491">
        <f>+INPUT!BU330</f>
        <v>7.6299480138996501</v>
      </c>
      <c r="CM10" s="491">
        <f t="shared" ref="CM10:CM15" si="8">IF(ISERROR(((CG10/BW10)^0.2-1)*100),"NA",IF((((CG10/BW10)^0.2-1)*100)&gt;100,"NM",IF((((CG10/BW10)^0.2-1)*100)&lt;-50,"NM",((CG10/BW10)^0.2-1)*100)))</f>
        <v>6.2606798499218907</v>
      </c>
    </row>
    <row r="11" spans="1:164" s="501" customFormat="1" ht="12" customHeight="1" x14ac:dyDescent="0.2">
      <c r="A11" s="740" t="str">
        <f>'FORECAST-CORE'!A11</f>
        <v xml:space="preserve">Principal Global Investors </v>
      </c>
      <c r="B11" s="548">
        <f>SUM(B8:B10)</f>
        <v>230.60000000000008</v>
      </c>
      <c r="C11" s="491">
        <f>SUM(C8:C10)</f>
        <v>0</v>
      </c>
      <c r="D11" s="548">
        <f t="shared" ref="D11:Q11" si="9">SUM(D8:D10)</f>
        <v>268.89999999999998</v>
      </c>
      <c r="E11" s="491">
        <f t="shared" si="9"/>
        <v>0</v>
      </c>
      <c r="F11" s="548">
        <f t="shared" si="9"/>
        <v>241.20000000000002</v>
      </c>
      <c r="G11" s="491">
        <f t="shared" si="9"/>
        <v>0</v>
      </c>
      <c r="H11" s="548">
        <f t="shared" si="9"/>
        <v>294.30000000000007</v>
      </c>
      <c r="I11" s="491">
        <f t="shared" si="9"/>
        <v>0</v>
      </c>
      <c r="J11" s="548">
        <f t="shared" si="9"/>
        <v>303.7999999999999</v>
      </c>
      <c r="K11" s="491">
        <f t="shared" si="9"/>
        <v>93.789675932532816</v>
      </c>
      <c r="L11" s="548">
        <f t="shared" si="9"/>
        <v>327.60000000000002</v>
      </c>
      <c r="M11" s="491">
        <f t="shared" si="9"/>
        <v>61.678928716761391</v>
      </c>
      <c r="N11" s="548">
        <f t="shared" si="9"/>
        <v>333.6</v>
      </c>
      <c r="O11" s="491">
        <f t="shared" si="9"/>
        <v>115.01427058972462</v>
      </c>
      <c r="P11" s="548">
        <f t="shared" si="9"/>
        <v>316.29999999999995</v>
      </c>
      <c r="Q11" s="491">
        <f t="shared" si="9"/>
        <v>21.421413091182558</v>
      </c>
      <c r="R11" s="536">
        <f>INPUT!S182</f>
        <v>93.699999999999974</v>
      </c>
      <c r="S11" s="491">
        <f>INPUT!T182</f>
        <v>11.282660332541553</v>
      </c>
      <c r="T11" s="536">
        <f>INPUT!U182</f>
        <v>99.500000000000028</v>
      </c>
      <c r="U11" s="491">
        <f>INPUT!V182</f>
        <v>13.714285714285793</v>
      </c>
      <c r="V11" s="536">
        <f>INPUT!W182</f>
        <v>96.7</v>
      </c>
      <c r="W11" s="491">
        <f>INPUT!X182</f>
        <v>7.803790412486066</v>
      </c>
      <c r="X11" s="536">
        <f>INPUT!Y182</f>
        <v>103.00000000000003</v>
      </c>
      <c r="Y11" s="491">
        <f>INPUT!Z182</f>
        <v>1.8793273986152457</v>
      </c>
      <c r="Z11" s="536">
        <f>INPUT!AA182</f>
        <v>80.90000000000002</v>
      </c>
      <c r="AA11" s="491">
        <f>INPUT!AB182</f>
        <v>-13.660618996798249</v>
      </c>
      <c r="AB11" s="536">
        <f>INPUT!AC182</f>
        <v>118.79999999999995</v>
      </c>
      <c r="AC11" s="491">
        <f>INPUT!AD182</f>
        <v>19.396984924623027</v>
      </c>
      <c r="AD11" s="536">
        <f>INPUT!AE182</f>
        <v>114.5</v>
      </c>
      <c r="AE11" s="491">
        <f>INPUT!AF182</f>
        <v>18.407445708376429</v>
      </c>
      <c r="AF11" s="536">
        <f>INPUT!AG182</f>
        <v>135.50000000000003</v>
      </c>
      <c r="AG11" s="491">
        <f>INPUT!AH182</f>
        <v>31.553398058252412</v>
      </c>
      <c r="AH11" s="536">
        <f>INPUT!AI182</f>
        <v>101.5</v>
      </c>
      <c r="AI11" s="491">
        <f>INPUT!AJ182</f>
        <v>25.463535228677344</v>
      </c>
      <c r="AJ11" s="536">
        <f>INPUT!AK182</f>
        <v>117.00000000000001</v>
      </c>
      <c r="AK11" s="491">
        <f>INPUT!AL182</f>
        <v>-1.5151515151514729</v>
      </c>
      <c r="AL11" s="536">
        <f>INPUT!AM182</f>
        <v>131.80000000000001</v>
      </c>
      <c r="AM11" s="491">
        <f>INPUT!AN182</f>
        <v>15.109170305676869</v>
      </c>
      <c r="AN11" s="536">
        <f>INPUT!AO182</f>
        <v>125.10000000000001</v>
      </c>
      <c r="AO11" s="491">
        <f>INPUT!AP182</f>
        <v>-7.6752767527675445</v>
      </c>
      <c r="AP11" s="536">
        <f>INPUT!AQ182</f>
        <v>129.97463503750004</v>
      </c>
      <c r="AQ11" s="491">
        <f>INPUT!AR182</f>
        <v>28.053827623152728</v>
      </c>
      <c r="AR11" s="536">
        <f>INPUT!AS182</f>
        <v>130.61828881465377</v>
      </c>
      <c r="AS11" s="491">
        <f>INPUT!AT182</f>
        <v>11.639563089447648</v>
      </c>
      <c r="AT11" s="536">
        <f>INPUT!AU182</f>
        <v>132.67181724620775</v>
      </c>
      <c r="AU11" s="491">
        <f>INPUT!AV182</f>
        <v>0.66146983779037782</v>
      </c>
      <c r="AV11" s="536">
        <f>INPUT!AW182</f>
        <v>135.7575848459702</v>
      </c>
      <c r="AW11" s="491">
        <f>INPUT!AX182</f>
        <v>8.5192524747963176</v>
      </c>
      <c r="AX11" s="503"/>
      <c r="AY11" s="536"/>
      <c r="AZ11" s="491"/>
      <c r="BA11" s="536"/>
      <c r="BB11" s="491"/>
      <c r="BC11" s="536"/>
      <c r="BD11" s="491"/>
      <c r="BE11" s="536"/>
      <c r="BF11" s="491"/>
      <c r="BG11" s="536"/>
      <c r="BH11" s="491"/>
      <c r="BI11" s="536"/>
      <c r="BJ11" s="491"/>
      <c r="BK11" s="536"/>
      <c r="BL11" s="491"/>
      <c r="BM11" s="536"/>
      <c r="BN11" s="491"/>
      <c r="BO11" s="536"/>
      <c r="BP11" s="491"/>
      <c r="BQ11" s="536"/>
      <c r="BR11" s="491"/>
      <c r="BS11" s="536">
        <f>INPUT!BB182</f>
        <v>306.20000000000005</v>
      </c>
      <c r="BT11" s="491" t="str">
        <f>INPUT!BC182</f>
        <v>NA</v>
      </c>
      <c r="BU11" s="536">
        <f>INPUT!BD182</f>
        <v>362.5</v>
      </c>
      <c r="BV11" s="491">
        <f>INPUT!BE182</f>
        <v>18.3866753755715</v>
      </c>
      <c r="BW11" s="536">
        <f>INPUT!BF182</f>
        <v>392.9</v>
      </c>
      <c r="BX11" s="491">
        <f>INPUT!BG182</f>
        <v>8.3862068965517125</v>
      </c>
      <c r="BY11" s="536">
        <f>INPUT!BH182</f>
        <v>449.70000000000005</v>
      </c>
      <c r="BZ11" s="491">
        <f>INPUT!BI182</f>
        <v>14.456604734029028</v>
      </c>
      <c r="CA11" s="536">
        <f>INPUT!BJ182</f>
        <v>475.40000000000003</v>
      </c>
      <c r="CB11" s="491">
        <f>INPUT!BK182</f>
        <v>5.7149210584834407</v>
      </c>
      <c r="CC11" s="536">
        <f>INPUT!BL182</f>
        <v>529.02232594433178</v>
      </c>
      <c r="CD11" s="491">
        <f>INPUT!BM182</f>
        <v>11.279412272682322</v>
      </c>
      <c r="CE11" s="536">
        <f>INPUT!BN182</f>
        <v>554.93609402667175</v>
      </c>
      <c r="CF11" s="491">
        <f>INPUT!BO182</f>
        <v>4.8984261743741229</v>
      </c>
      <c r="CG11" s="536">
        <f>INPUT!BP182</f>
        <v>568.39773751922087</v>
      </c>
      <c r="CH11" s="491" t="str">
        <f>INPUT!BQ186</f>
        <v>NA</v>
      </c>
      <c r="CI11" s="536">
        <f>INPUT!BR182</f>
        <v>603.03822193069254</v>
      </c>
      <c r="CJ11" s="491" t="str">
        <f>INPUT!BS186</f>
        <v>NA</v>
      </c>
      <c r="CK11" s="536">
        <f>INPUT!BT182</f>
        <v>623.98790060843567</v>
      </c>
      <c r="CL11" s="491" t="str">
        <f>INPUT!BU186</f>
        <v>NA</v>
      </c>
      <c r="CM11" s="491">
        <f t="shared" si="8"/>
        <v>7.6648804135476256</v>
      </c>
    </row>
    <row r="12" spans="1:164" s="475" customFormat="1" ht="12" customHeight="1" x14ac:dyDescent="0.2">
      <c r="A12" s="740" t="str">
        <f>'FORECAST-CORE'!A12</f>
        <v xml:space="preserve">Principal International </v>
      </c>
      <c r="B12" s="536">
        <f>INPUT!C111</f>
        <v>76.700000000000045</v>
      </c>
      <c r="C12" s="491" t="str">
        <f>INPUT!D111</f>
        <v>NA</v>
      </c>
      <c r="D12" s="536">
        <f>INPUT!E111</f>
        <v>76.700000000000045</v>
      </c>
      <c r="E12" s="491" t="str">
        <f>INPUT!F111</f>
        <v>NA</v>
      </c>
      <c r="F12" s="536">
        <f>INPUT!G111</f>
        <v>80.200000000000045</v>
      </c>
      <c r="G12" s="491" t="str">
        <f>INPUT!H111</f>
        <v>NA</v>
      </c>
      <c r="H12" s="536">
        <f>INPUT!I111</f>
        <v>67.899999999999977</v>
      </c>
      <c r="I12" s="491" t="str">
        <f>INPUT!J111</f>
        <v>NA</v>
      </c>
      <c r="J12" s="536">
        <f>INPUT!K111</f>
        <v>76.900000000000091</v>
      </c>
      <c r="K12" s="491">
        <f>INPUT!L111</f>
        <v>0.26075619295964714</v>
      </c>
      <c r="L12" s="536">
        <f>INPUT!M111</f>
        <v>74</v>
      </c>
      <c r="M12" s="491">
        <f>INPUT!N111</f>
        <v>-3.5202086049544192</v>
      </c>
      <c r="N12" s="536">
        <f>INPUT!O111</f>
        <v>62.100000000000136</v>
      </c>
      <c r="O12" s="491">
        <f>INPUT!P111</f>
        <v>-22.568578553615836</v>
      </c>
      <c r="P12" s="536">
        <f>INPUT!Q111</f>
        <v>59.700000000000159</v>
      </c>
      <c r="Q12" s="491">
        <f>INPUT!R111</f>
        <v>-12.076583210603559</v>
      </c>
      <c r="R12" s="536">
        <f>INPUT!S328</f>
        <v>81.19999999999996</v>
      </c>
      <c r="S12" s="491">
        <f>INPUT!T328</f>
        <v>-2.7544910179640567</v>
      </c>
      <c r="T12" s="536">
        <f>INPUT!U328</f>
        <v>72.399999999999949</v>
      </c>
      <c r="U12" s="491">
        <f>INPUT!V328</f>
        <v>-20.614035087719344</v>
      </c>
      <c r="V12" s="536">
        <f>INPUT!W328</f>
        <v>46.599999999999966</v>
      </c>
      <c r="W12" s="491" t="str">
        <f>INPUT!X328</f>
        <v>NM</v>
      </c>
      <c r="X12" s="536">
        <f>INPUT!Y328</f>
        <v>67.799999999999983</v>
      </c>
      <c r="Y12" s="491">
        <f>INPUT!Z328</f>
        <v>-12.741312741312683</v>
      </c>
      <c r="Z12" s="536">
        <f>INPUT!AA328</f>
        <v>68.300000000000011</v>
      </c>
      <c r="AA12" s="491">
        <f>INPUT!AB328</f>
        <v>-15.88669950738911</v>
      </c>
      <c r="AB12" s="536">
        <f>INPUT!AC328</f>
        <v>70.299999999999983</v>
      </c>
      <c r="AC12" s="491">
        <f>INPUT!AD328</f>
        <v>-2.9005524861878058</v>
      </c>
      <c r="AD12" s="536">
        <f>INPUT!AE328</f>
        <v>85.100000000000023</v>
      </c>
      <c r="AE12" s="491">
        <f>INPUT!AF328</f>
        <v>82.618025751073162</v>
      </c>
      <c r="AF12" s="536">
        <f>INPUT!AG328</f>
        <v>66.700000000000045</v>
      </c>
      <c r="AG12" s="491">
        <f>INPUT!AH328</f>
        <v>-1.6224188790559566</v>
      </c>
      <c r="AH12" s="536">
        <f>INPUT!AI328</f>
        <v>101.99999999999994</v>
      </c>
      <c r="AI12" s="491">
        <f>INPUT!AJ328</f>
        <v>49.341142020497699</v>
      </c>
      <c r="AJ12" s="536">
        <f>INPUT!AK328</f>
        <v>79.299999999999955</v>
      </c>
      <c r="AK12" s="491">
        <f>INPUT!AL328</f>
        <v>12.802275960170647</v>
      </c>
      <c r="AL12" s="536">
        <f>INPUT!AM328</f>
        <v>73.699999999999989</v>
      </c>
      <c r="AM12" s="491">
        <f>INPUT!AN328</f>
        <v>-13.396004700352563</v>
      </c>
      <c r="AN12" s="536">
        <f>INPUT!AO328</f>
        <v>78.900000000000034</v>
      </c>
      <c r="AO12" s="491">
        <f>INPUT!AP328</f>
        <v>18.290854572713627</v>
      </c>
      <c r="AP12" s="536">
        <f>INPUT!AQ328</f>
        <v>90.103413832824288</v>
      </c>
      <c r="AQ12" s="491">
        <f>INPUT!AR328</f>
        <v>-11.663319771740845</v>
      </c>
      <c r="AR12" s="536">
        <f>INPUT!AS328</f>
        <v>90.648293586820103</v>
      </c>
      <c r="AS12" s="491">
        <f>INPUT!AT328</f>
        <v>14.310584598764379</v>
      </c>
      <c r="AT12" s="536">
        <f>INPUT!AU328</f>
        <v>91.48547853750182</v>
      </c>
      <c r="AU12" s="491">
        <f>INPUT!AV328</f>
        <v>24.132263958618495</v>
      </c>
      <c r="AV12" s="536">
        <f>INPUT!AW328</f>
        <v>90.143873692126647</v>
      </c>
      <c r="AW12" s="491">
        <f>INPUT!AX328</f>
        <v>14.250790484317633</v>
      </c>
      <c r="AX12" s="503"/>
      <c r="AY12" s="536"/>
      <c r="AZ12" s="491"/>
      <c r="BA12" s="536"/>
      <c r="BB12" s="491"/>
      <c r="BC12" s="536"/>
      <c r="BD12" s="491"/>
      <c r="BE12" s="536"/>
      <c r="BF12" s="491"/>
      <c r="BG12" s="536"/>
      <c r="BH12" s="491"/>
      <c r="BI12" s="536"/>
      <c r="BJ12" s="491"/>
      <c r="BK12" s="536"/>
      <c r="BL12" s="491"/>
      <c r="BM12" s="536"/>
      <c r="BN12" s="491"/>
      <c r="BO12" s="536"/>
      <c r="BP12" s="491"/>
      <c r="BQ12" s="536"/>
      <c r="BR12" s="491"/>
      <c r="BS12" s="536">
        <f>INPUT!BB328</f>
        <v>299.90000000000003</v>
      </c>
      <c r="BT12" s="491" t="str">
        <f>INPUT!BC328</f>
        <v>NA</v>
      </c>
      <c r="BU12" s="536">
        <f>INPUT!BD328</f>
        <v>355.19999999999987</v>
      </c>
      <c r="BV12" s="491">
        <f>INPUT!BE328</f>
        <v>18.439479826608803</v>
      </c>
      <c r="BW12" s="536">
        <f>INPUT!BF328</f>
        <v>267.99999999999989</v>
      </c>
      <c r="BX12" s="491">
        <f>INPUT!BG328</f>
        <v>-24.549549549549553</v>
      </c>
      <c r="BY12" s="536">
        <f>INPUT!BH328</f>
        <v>290.40000000000009</v>
      </c>
      <c r="BZ12" s="491">
        <f>INPUT!BI328</f>
        <v>8.3582089552239722</v>
      </c>
      <c r="CA12" s="536">
        <f>INPUT!BJ328</f>
        <v>333.89999999999992</v>
      </c>
      <c r="CB12" s="491">
        <f>INPUT!BK328</f>
        <v>14.979338842975153</v>
      </c>
      <c r="CC12" s="536">
        <f>INPUT!BL328</f>
        <v>362.38105964927286</v>
      </c>
      <c r="CD12" s="491">
        <f>INPUT!BM328</f>
        <v>8.5298172055324812</v>
      </c>
      <c r="CE12" s="536">
        <f>INPUT!BN328</f>
        <v>384.26996431817247</v>
      </c>
      <c r="CF12" s="491">
        <f>INPUT!BO328</f>
        <v>6.0403004202494941</v>
      </c>
      <c r="CG12" s="536">
        <f>INPUT!BP328</f>
        <v>435.17943699161538</v>
      </c>
      <c r="CH12" s="491">
        <f>INPUT!BQ187</f>
        <v>2.42580067100522</v>
      </c>
      <c r="CI12" s="536">
        <f>INPUT!BR328</f>
        <v>453.584173021276</v>
      </c>
      <c r="CJ12" s="491">
        <f>INPUT!BS187</f>
        <v>6.0944092709905249</v>
      </c>
      <c r="CK12" s="536">
        <f>INPUT!BT328</f>
        <v>488.19240962207596</v>
      </c>
      <c r="CL12" s="491">
        <f>INPUT!BU187</f>
        <v>3.4740216981056875</v>
      </c>
      <c r="CM12" s="491">
        <f t="shared" si="8"/>
        <v>10.181001189769944</v>
      </c>
    </row>
    <row r="13" spans="1:164" s="501" customFormat="1" ht="12" customHeight="1" x14ac:dyDescent="0.2">
      <c r="A13" s="802" t="str">
        <f>'FORECAST-CORE'!A13</f>
        <v>Life Insurance</v>
      </c>
      <c r="B13" s="548">
        <f>B12</f>
        <v>76.700000000000045</v>
      </c>
      <c r="C13" s="491" t="str">
        <f>C12</f>
        <v>NA</v>
      </c>
      <c r="D13" s="548">
        <f t="shared" ref="D13:Q13" si="10">D12</f>
        <v>76.700000000000045</v>
      </c>
      <c r="E13" s="491" t="str">
        <f t="shared" si="10"/>
        <v>NA</v>
      </c>
      <c r="F13" s="548">
        <f t="shared" si="10"/>
        <v>80.200000000000045</v>
      </c>
      <c r="G13" s="491" t="str">
        <f t="shared" si="10"/>
        <v>NA</v>
      </c>
      <c r="H13" s="548">
        <f t="shared" si="10"/>
        <v>67.899999999999977</v>
      </c>
      <c r="I13" s="491" t="str">
        <f t="shared" si="10"/>
        <v>NA</v>
      </c>
      <c r="J13" s="548">
        <f t="shared" si="10"/>
        <v>76.900000000000091</v>
      </c>
      <c r="K13" s="491">
        <f t="shared" si="10"/>
        <v>0.26075619295964714</v>
      </c>
      <c r="L13" s="548">
        <f t="shared" si="10"/>
        <v>74</v>
      </c>
      <c r="M13" s="491">
        <f t="shared" si="10"/>
        <v>-3.5202086049544192</v>
      </c>
      <c r="N13" s="548">
        <f t="shared" si="10"/>
        <v>62.100000000000136</v>
      </c>
      <c r="O13" s="491">
        <f t="shared" si="10"/>
        <v>-22.568578553615836</v>
      </c>
      <c r="P13" s="548">
        <f t="shared" si="10"/>
        <v>59.700000000000159</v>
      </c>
      <c r="Q13" s="491">
        <f t="shared" si="10"/>
        <v>-12.076583210603559</v>
      </c>
      <c r="R13" s="536">
        <f>INPUT!S407</f>
        <v>35.100000000000023</v>
      </c>
      <c r="S13" s="491">
        <f>INPUT!T407</f>
        <v>61.009174311926643</v>
      </c>
      <c r="T13" s="536">
        <f>INPUT!U407</f>
        <v>36.699999999999989</v>
      </c>
      <c r="U13" s="491">
        <f>INPUT!V407</f>
        <v>32.971014492753739</v>
      </c>
      <c r="V13" s="536">
        <f>INPUT!W407</f>
        <v>107.5</v>
      </c>
      <c r="W13" s="491">
        <f>INPUT!X407</f>
        <v>40.522875816993576</v>
      </c>
      <c r="X13" s="536">
        <f>INPUT!Y407</f>
        <v>29.800000000000011</v>
      </c>
      <c r="Y13" s="491">
        <f>INPUT!Z407</f>
        <v>-23.589743589743676</v>
      </c>
      <c r="Z13" s="536">
        <f>INPUT!AA407</f>
        <v>41.899999999999977</v>
      </c>
      <c r="AA13" s="491">
        <f>INPUT!AB407</f>
        <v>19.373219373219229</v>
      </c>
      <c r="AB13" s="536">
        <f>INPUT!AC407</f>
        <v>37.099999999999966</v>
      </c>
      <c r="AC13" s="491">
        <f>INPUT!AD407</f>
        <v>1.0899182561307157</v>
      </c>
      <c r="AD13" s="536">
        <f>INPUT!AE407</f>
        <v>-3.6999999999999318</v>
      </c>
      <c r="AE13" s="491" t="str">
        <f>INPUT!AF407</f>
        <v>NM</v>
      </c>
      <c r="AF13" s="536">
        <f>INPUT!AG407</f>
        <v>35</v>
      </c>
      <c r="AG13" s="491">
        <f>INPUT!AH407</f>
        <v>17.449664429530159</v>
      </c>
      <c r="AH13" s="536">
        <f>INPUT!AI407</f>
        <v>40.699999999999989</v>
      </c>
      <c r="AI13" s="491">
        <f>INPUT!AJ407</f>
        <v>-2.863961813842451</v>
      </c>
      <c r="AJ13" s="536">
        <f>INPUT!AK407</f>
        <v>40.800000000000011</v>
      </c>
      <c r="AK13" s="491">
        <f>INPUT!AL407</f>
        <v>9.9730458221025629</v>
      </c>
      <c r="AL13" s="536">
        <f>INPUT!AM407</f>
        <v>-0.60000000000002274</v>
      </c>
      <c r="AM13" s="491" t="str">
        <f>INPUT!AN407</f>
        <v>NM</v>
      </c>
      <c r="AN13" s="536">
        <f>INPUT!AO407</f>
        <v>48.300000000000011</v>
      </c>
      <c r="AO13" s="491">
        <f>INPUT!AP407</f>
        <v>38.000000000000028</v>
      </c>
      <c r="AP13" s="536">
        <f>INPUT!AQ407</f>
        <v>37.100329999999985</v>
      </c>
      <c r="AQ13" s="491">
        <f>INPUT!AR407</f>
        <v>-8.8443980343980542</v>
      </c>
      <c r="AR13" s="536">
        <f>INPUT!AS407</f>
        <v>39.686480450000033</v>
      </c>
      <c r="AS13" s="491">
        <f>INPUT!AT407</f>
        <v>-2.7292145833332881</v>
      </c>
      <c r="AT13" s="536">
        <f>INPUT!AU407</f>
        <v>43.439293186750035</v>
      </c>
      <c r="AU13" s="491" t="str">
        <f>INPUT!AV407</f>
        <v>NM</v>
      </c>
      <c r="AV13" s="536">
        <f>INPUT!AW407</f>
        <v>46.13335772633252</v>
      </c>
      <c r="AW13" s="491">
        <f>INPUT!AX407</f>
        <v>-4.4858018088353901</v>
      </c>
      <c r="AX13" s="503"/>
      <c r="AY13" s="536"/>
      <c r="AZ13" s="491"/>
      <c r="BA13" s="536"/>
      <c r="BB13" s="491"/>
      <c r="BC13" s="536"/>
      <c r="BD13" s="491"/>
      <c r="BE13" s="536"/>
      <c r="BF13" s="491"/>
      <c r="BG13" s="536"/>
      <c r="BH13" s="491"/>
      <c r="BI13" s="536"/>
      <c r="BJ13" s="491"/>
      <c r="BK13" s="536"/>
      <c r="BL13" s="491"/>
      <c r="BM13" s="536"/>
      <c r="BN13" s="491"/>
      <c r="BO13" s="536"/>
      <c r="BP13" s="491"/>
      <c r="BQ13" s="536"/>
      <c r="BR13" s="491"/>
      <c r="BS13" s="536">
        <f>INPUT!BB407</f>
        <v>128.80000000000018</v>
      </c>
      <c r="BT13" s="491" t="str">
        <f>INPUT!BC407</f>
        <v>NA</v>
      </c>
      <c r="BU13" s="536">
        <f>INPUT!BD407</f>
        <v>164.90000000000009</v>
      </c>
      <c r="BV13" s="491">
        <f>INPUT!BE407</f>
        <v>28.027950310558879</v>
      </c>
      <c r="BW13" s="536">
        <f>INPUT!BF407</f>
        <v>209.09999999999968</v>
      </c>
      <c r="BX13" s="491">
        <f>INPUT!BG407</f>
        <v>26.80412371133994</v>
      </c>
      <c r="BY13" s="536">
        <f>INPUT!BH407</f>
        <v>110.29999999999973</v>
      </c>
      <c r="BZ13" s="491">
        <f>INPUT!BI407</f>
        <v>-47.250119560019179</v>
      </c>
      <c r="CA13" s="536">
        <f>INPUT!BJ407</f>
        <v>129.20000000000005</v>
      </c>
      <c r="CB13" s="491">
        <f>INPUT!BK407</f>
        <v>17.135086128740127</v>
      </c>
      <c r="CC13" s="536">
        <f>INPUT!BL407</f>
        <v>166.35946136308257</v>
      </c>
      <c r="CD13" s="491">
        <f>INPUT!BM407</f>
        <v>28.761193005481829</v>
      </c>
      <c r="CE13" s="536">
        <f>INPUT!BN407</f>
        <v>174.86614895248226</v>
      </c>
      <c r="CF13" s="491">
        <f>INPUT!BO407</f>
        <v>5.1134378049191298</v>
      </c>
      <c r="CG13" s="536">
        <f>INPUT!BP407</f>
        <v>176.08159040976625</v>
      </c>
      <c r="CH13" s="491">
        <f t="shared" ref="CH13:CJ13" si="11">CH12</f>
        <v>2.42580067100522</v>
      </c>
      <c r="CI13" s="536">
        <f>INPUT!BR407</f>
        <v>179.1179389055917</v>
      </c>
      <c r="CJ13" s="491">
        <f t="shared" si="11"/>
        <v>6.0944092709905249</v>
      </c>
      <c r="CK13" s="536">
        <f>INPUT!BT407</f>
        <v>182.11546473642716</v>
      </c>
      <c r="CL13" s="491">
        <f t="shared" ref="CL13" si="12">CL12</f>
        <v>3.4740216981056875</v>
      </c>
      <c r="CM13" s="491">
        <f t="shared" si="8"/>
        <v>-3.3788985766310398</v>
      </c>
    </row>
    <row r="14" spans="1:164" s="475" customFormat="1" ht="12" customHeight="1" x14ac:dyDescent="0.2">
      <c r="A14" s="802" t="str">
        <f>'FORECAST-CORE'!A14</f>
        <v>Specialty Benefits</v>
      </c>
      <c r="B14" s="536">
        <f>INPUT!C407</f>
        <v>19.900000000000034</v>
      </c>
      <c r="C14" s="491" t="str">
        <f>INPUT!D407</f>
        <v>NA</v>
      </c>
      <c r="D14" s="536">
        <f>INPUT!E407</f>
        <v>30.199999999999989</v>
      </c>
      <c r="E14" s="491" t="str">
        <f>INPUT!F407</f>
        <v>NA</v>
      </c>
      <c r="F14" s="536">
        <f>INPUT!G407</f>
        <v>31.500000000000057</v>
      </c>
      <c r="G14" s="491" t="str">
        <f>INPUT!H407</f>
        <v>NA</v>
      </c>
      <c r="H14" s="536">
        <f>INPUT!I407</f>
        <v>47.199999999999989</v>
      </c>
      <c r="I14" s="491" t="str">
        <f>INPUT!J407</f>
        <v>NA</v>
      </c>
      <c r="J14" s="536">
        <f>INPUT!K407</f>
        <v>21.800000000000011</v>
      </c>
      <c r="K14" s="491">
        <f>INPUT!L407</f>
        <v>9.5477386934672097</v>
      </c>
      <c r="L14" s="536">
        <f>INPUT!M407</f>
        <v>27.599999999999966</v>
      </c>
      <c r="M14" s="491">
        <f>INPUT!N407</f>
        <v>-8.6092715231788901</v>
      </c>
      <c r="N14" s="536">
        <f>INPUT!O407</f>
        <v>76.499999999999943</v>
      </c>
      <c r="O14" s="491" t="str">
        <f>INPUT!P407</f>
        <v>NM</v>
      </c>
      <c r="P14" s="536">
        <f>INPUT!Q407</f>
        <v>39.000000000000057</v>
      </c>
      <c r="Q14" s="491">
        <f>INPUT!R407</f>
        <v>-17.372881355932066</v>
      </c>
      <c r="R14" s="536">
        <f>+INPUT!S494</f>
        <v>46.800000000000068</v>
      </c>
      <c r="S14" s="491">
        <f>+INPUT!T494</f>
        <v>14.425427872860539</v>
      </c>
      <c r="T14" s="536">
        <f>+INPUT!U494</f>
        <v>51.400000000000034</v>
      </c>
      <c r="U14" s="491">
        <f>+INPUT!V494</f>
        <v>12.71929824561407</v>
      </c>
      <c r="V14" s="536">
        <f>+INPUT!W494</f>
        <v>65.399999999999977</v>
      </c>
      <c r="W14" s="491">
        <f>+INPUT!X494</f>
        <v>34.567901234567785</v>
      </c>
      <c r="X14" s="536">
        <f>+INPUT!Y494</f>
        <v>56.800000000000011</v>
      </c>
      <c r="Y14" s="491">
        <f>+INPUT!Z494</f>
        <v>28.798185941043215</v>
      </c>
      <c r="Z14" s="536">
        <f>+INPUT!AA494</f>
        <v>38.599999999999966</v>
      </c>
      <c r="AA14" s="491">
        <f>+INPUT!AB494</f>
        <v>-17.521367521367708</v>
      </c>
      <c r="AB14" s="536">
        <f>+INPUT!AC494</f>
        <v>66.500000000000114</v>
      </c>
      <c r="AC14" s="491">
        <f>+INPUT!AD494</f>
        <v>29.37743190661493</v>
      </c>
      <c r="AD14" s="536">
        <f>+INPUT!AE494</f>
        <v>73.900000000000091</v>
      </c>
      <c r="AE14" s="491">
        <f>+INPUT!AF494</f>
        <v>12.996941896024651</v>
      </c>
      <c r="AF14" s="536">
        <f>+INPUT!AG494</f>
        <v>71.899999999999977</v>
      </c>
      <c r="AG14" s="491">
        <f>+INPUT!AH494</f>
        <v>26.584507042253463</v>
      </c>
      <c r="AH14" s="536">
        <f>+INPUT!AI494</f>
        <v>45.5</v>
      </c>
      <c r="AI14" s="491">
        <f>+INPUT!AJ494</f>
        <v>17.875647668393896</v>
      </c>
      <c r="AJ14" s="536">
        <f>+INPUT!AK494</f>
        <v>63.599999999999966</v>
      </c>
      <c r="AK14" s="491">
        <f>+INPUT!AL494</f>
        <v>-4.3609022556393029</v>
      </c>
      <c r="AL14" s="536">
        <f>+INPUT!AM494</f>
        <v>83.800000000000011</v>
      </c>
      <c r="AM14" s="491">
        <f>+INPUT!AN494</f>
        <v>13.396481732070242</v>
      </c>
      <c r="AN14" s="536">
        <f>+INPUT!AO494</f>
        <v>62.599999999999909</v>
      </c>
      <c r="AO14" s="491">
        <f>+INPUT!AP494</f>
        <v>-12.934631432545302</v>
      </c>
      <c r="AP14" s="536">
        <f>+INPUT!AQ494</f>
        <v>56.458019284956038</v>
      </c>
      <c r="AQ14" s="491">
        <f>+INPUT!AR494</f>
        <v>24.08355886803524</v>
      </c>
      <c r="AR14" s="536">
        <f>+INPUT!AS494</f>
        <v>65.749889880234036</v>
      </c>
      <c r="AS14" s="491">
        <f>+INPUT!AT494</f>
        <v>3.3803300003680334</v>
      </c>
      <c r="AT14" s="536">
        <f>+INPUT!AU494</f>
        <v>75.248319734541496</v>
      </c>
      <c r="AU14" s="491">
        <f>+INPUT!AV494</f>
        <v>-10.204869051859802</v>
      </c>
      <c r="AV14" s="536">
        <f>+INPUT!AW494</f>
        <v>80.076433950049818</v>
      </c>
      <c r="AW14" s="491">
        <f>+INPUT!AX494</f>
        <v>27.917626118290627</v>
      </c>
      <c r="AX14" s="503"/>
      <c r="AY14" s="536"/>
      <c r="AZ14" s="491"/>
      <c r="BA14" s="536"/>
      <c r="BB14" s="491"/>
      <c r="BC14" s="536"/>
      <c r="BD14" s="491"/>
      <c r="BE14" s="536"/>
      <c r="BF14" s="491"/>
      <c r="BG14" s="536"/>
      <c r="BH14" s="491"/>
      <c r="BI14" s="536"/>
      <c r="BJ14" s="491"/>
      <c r="BK14" s="536"/>
      <c r="BL14" s="491"/>
      <c r="BM14" s="536"/>
      <c r="BN14" s="491"/>
      <c r="BO14" s="536"/>
      <c r="BP14" s="491"/>
      <c r="BQ14" s="536"/>
      <c r="BR14" s="491"/>
      <c r="BS14" s="536">
        <f>+INPUT!BB494</f>
        <v>161.79999999999973</v>
      </c>
      <c r="BT14" s="491" t="str">
        <f>+INPUT!BC494</f>
        <v>NA</v>
      </c>
      <c r="BU14" s="536">
        <f>+INPUT!BD494</f>
        <v>179.19999999999982</v>
      </c>
      <c r="BV14" s="491">
        <f>+INPUT!BE494</f>
        <v>10.754017305315287</v>
      </c>
      <c r="BW14" s="536">
        <f>+INPUT!BF494</f>
        <v>220.40000000000032</v>
      </c>
      <c r="BX14" s="491">
        <f>+INPUT!BG494</f>
        <v>22.991071428571729</v>
      </c>
      <c r="BY14" s="536">
        <f>+INPUT!BH494</f>
        <v>250.90000000000009</v>
      </c>
      <c r="BZ14" s="491">
        <f>+INPUT!BI494</f>
        <v>13.838475499092425</v>
      </c>
      <c r="CA14" s="536">
        <f>+INPUT!BJ494</f>
        <v>255.49999999999955</v>
      </c>
      <c r="CB14" s="491">
        <f>+INPUT!BK494</f>
        <v>1.8333997608606722</v>
      </c>
      <c r="CC14" s="536">
        <f>+INPUT!BL494</f>
        <v>277.53266284978167</v>
      </c>
      <c r="CD14" s="491">
        <f>+INPUT!BM494</f>
        <v>8.6233514089167045</v>
      </c>
      <c r="CE14" s="536">
        <f>+INPUT!BN494</f>
        <v>292.15154771861262</v>
      </c>
      <c r="CF14" s="491">
        <f>+INPUT!BO494</f>
        <v>5.2674466200555372</v>
      </c>
      <c r="CG14" s="536">
        <f>+INPUT!BP494</f>
        <v>302.56401683520153</v>
      </c>
      <c r="CH14" s="491">
        <f>INPUT!BQ407</f>
        <v>0.69506960870640455</v>
      </c>
      <c r="CI14" s="536">
        <f>+INPUT!BR494</f>
        <v>313.05489576432819</v>
      </c>
      <c r="CJ14" s="491">
        <f>INPUT!BS407</f>
        <v>1.7243986090535941</v>
      </c>
      <c r="CK14" s="536">
        <f>+INPUT!BT494</f>
        <v>323.58675111707817</v>
      </c>
      <c r="CL14" s="491">
        <f>INPUT!BU407</f>
        <v>1.6734928110217879</v>
      </c>
      <c r="CM14" s="491">
        <f t="shared" si="8"/>
        <v>6.5420717160166619</v>
      </c>
    </row>
    <row r="15" spans="1:164" s="475" customFormat="1" ht="12" customHeight="1" x14ac:dyDescent="0.2">
      <c r="A15" s="740" t="str">
        <f>'FORECAST-CORE'!A15</f>
        <v>Total US Insurance Solutions</v>
      </c>
      <c r="B15" s="536">
        <f>+INPUT!C494</f>
        <v>31.899999999999977</v>
      </c>
      <c r="C15" s="491" t="str">
        <f>+INPUT!D494</f>
        <v>NA</v>
      </c>
      <c r="D15" s="536">
        <f>+INPUT!E494</f>
        <v>39.5</v>
      </c>
      <c r="E15" s="491" t="str">
        <f>+INPUT!F494</f>
        <v>NA</v>
      </c>
      <c r="F15" s="536">
        <f>+INPUT!G494</f>
        <v>48.700000000000045</v>
      </c>
      <c r="G15" s="491" t="str">
        <f>+INPUT!H494</f>
        <v>NA</v>
      </c>
      <c r="H15" s="536">
        <f>+INPUT!I494</f>
        <v>41.699999999999932</v>
      </c>
      <c r="I15" s="491" t="str">
        <f>+INPUT!J494</f>
        <v>NA</v>
      </c>
      <c r="J15" s="536">
        <f>+INPUT!K494</f>
        <v>40.900000000000091</v>
      </c>
      <c r="K15" s="491">
        <f>+INPUT!L494</f>
        <v>28.213166144200983</v>
      </c>
      <c r="L15" s="536">
        <f>+INPUT!M494</f>
        <v>45.600000000000023</v>
      </c>
      <c r="M15" s="491">
        <f>+INPUT!N494</f>
        <v>15.443037974683605</v>
      </c>
      <c r="N15" s="536">
        <f>+INPUT!O494</f>
        <v>48.600000000000023</v>
      </c>
      <c r="O15" s="491">
        <f>+INPUT!P494</f>
        <v>-0.20533880903495572</v>
      </c>
      <c r="P15" s="536">
        <f>+INPUT!Q494</f>
        <v>44.099999999999966</v>
      </c>
      <c r="Q15" s="491">
        <f>+INPUT!R494</f>
        <v>5.7553956834533295</v>
      </c>
      <c r="R15" s="536">
        <f>R14+R13</f>
        <v>81.900000000000091</v>
      </c>
      <c r="S15" s="491">
        <f>+INPUT!T494</f>
        <v>14.425427872860539</v>
      </c>
      <c r="T15" s="536">
        <f>T14+T13</f>
        <v>88.100000000000023</v>
      </c>
      <c r="U15" s="491">
        <f>+INPUT!V494</f>
        <v>12.71929824561407</v>
      </c>
      <c r="V15" s="536">
        <f>V14+V13</f>
        <v>172.89999999999998</v>
      </c>
      <c r="W15" s="491">
        <f>+INPUT!X494</f>
        <v>34.567901234567785</v>
      </c>
      <c r="X15" s="536">
        <f>X14+X13</f>
        <v>86.600000000000023</v>
      </c>
      <c r="Y15" s="491">
        <f>+INPUT!Z494</f>
        <v>28.798185941043215</v>
      </c>
      <c r="Z15" s="536">
        <f>Z14+Z13</f>
        <v>80.499999999999943</v>
      </c>
      <c r="AA15" s="491">
        <f>+INPUT!AB494</f>
        <v>-17.521367521367708</v>
      </c>
      <c r="AB15" s="536">
        <f>AB14+AB13</f>
        <v>103.60000000000008</v>
      </c>
      <c r="AC15" s="491">
        <f>+INPUT!AD494</f>
        <v>29.37743190661493</v>
      </c>
      <c r="AD15" s="536">
        <f>AD14+AD13</f>
        <v>70.200000000000159</v>
      </c>
      <c r="AE15" s="491">
        <f>+INPUT!AF494</f>
        <v>12.996941896024651</v>
      </c>
      <c r="AF15" s="536">
        <f>AF14+AF13</f>
        <v>106.89999999999998</v>
      </c>
      <c r="AG15" s="491">
        <f>+INPUT!AH494</f>
        <v>26.584507042253463</v>
      </c>
      <c r="AH15" s="536">
        <f t="shared" ref="AH15" si="13">AH14+AH13</f>
        <v>86.199999999999989</v>
      </c>
      <c r="AI15" s="491">
        <f>+INPUT!AJ494</f>
        <v>17.875647668393896</v>
      </c>
      <c r="AJ15" s="536">
        <f t="shared" ref="AJ15" si="14">AJ14+AJ13</f>
        <v>104.39999999999998</v>
      </c>
      <c r="AK15" s="491">
        <f>+INPUT!AL494</f>
        <v>-4.3609022556393029</v>
      </c>
      <c r="AL15" s="536">
        <f t="shared" ref="AL15" si="15">AL14+AL13</f>
        <v>83.199999999999989</v>
      </c>
      <c r="AM15" s="491">
        <f>+INPUT!AN494</f>
        <v>13.396481732070242</v>
      </c>
      <c r="AN15" s="536">
        <f t="shared" ref="AN15" si="16">AN14+AN13</f>
        <v>110.89999999999992</v>
      </c>
      <c r="AO15" s="491">
        <f>+INPUT!AP494</f>
        <v>-12.934631432545302</v>
      </c>
      <c r="AP15" s="536">
        <f t="shared" ref="AP15" si="17">AP14+AP13</f>
        <v>93.558349284956023</v>
      </c>
      <c r="AQ15" s="491">
        <f>+INPUT!AR494</f>
        <v>24.08355886803524</v>
      </c>
      <c r="AR15" s="536">
        <f t="shared" ref="AR15" si="18">AR14+AR13</f>
        <v>105.43637033023407</v>
      </c>
      <c r="AS15" s="491">
        <f>+INPUT!AT494</f>
        <v>3.3803300003680334</v>
      </c>
      <c r="AT15" s="536">
        <f t="shared" ref="AT15" si="19">AT14+AT13</f>
        <v>118.68761292129153</v>
      </c>
      <c r="AU15" s="491">
        <f>+INPUT!AV494</f>
        <v>-10.204869051859802</v>
      </c>
      <c r="AV15" s="536">
        <f t="shared" ref="AV15" si="20">AV14+AV13</f>
        <v>126.20979167638234</v>
      </c>
      <c r="AW15" s="491">
        <f>+INPUT!AX494</f>
        <v>27.917626118290627</v>
      </c>
      <c r="AX15" s="503"/>
      <c r="AY15" s="536"/>
      <c r="AZ15" s="491"/>
      <c r="BA15" s="536"/>
      <c r="BB15" s="491"/>
      <c r="BC15" s="536"/>
      <c r="BD15" s="491"/>
      <c r="BE15" s="536"/>
      <c r="BF15" s="491"/>
      <c r="BG15" s="536"/>
      <c r="BH15" s="491"/>
      <c r="BI15" s="536"/>
      <c r="BJ15" s="491"/>
      <c r="BK15" s="536"/>
      <c r="BL15" s="491"/>
      <c r="BM15" s="536"/>
      <c r="BN15" s="491"/>
      <c r="BO15" s="536"/>
      <c r="BP15" s="491"/>
      <c r="BQ15" s="536"/>
      <c r="BR15" s="491"/>
      <c r="BS15" s="536">
        <f>BS14+BS13</f>
        <v>290.59999999999991</v>
      </c>
      <c r="BT15" s="491" t="str">
        <f>+INPUT!BC494</f>
        <v>NA</v>
      </c>
      <c r="BU15" s="536">
        <f>BU14+BU13</f>
        <v>344.09999999999991</v>
      </c>
      <c r="BV15" s="491">
        <f>+INPUT!BE494</f>
        <v>10.754017305315287</v>
      </c>
      <c r="BW15" s="536">
        <f>BW14+BW13</f>
        <v>429.5</v>
      </c>
      <c r="BX15" s="491">
        <f>+INPUT!BG494</f>
        <v>22.991071428571729</v>
      </c>
      <c r="BY15" s="536">
        <f>BY14+BY13</f>
        <v>361.19999999999982</v>
      </c>
      <c r="BZ15" s="491">
        <f>+INPUT!BI494</f>
        <v>13.838475499092425</v>
      </c>
      <c r="CA15" s="536">
        <f>CA14+CA13</f>
        <v>384.69999999999959</v>
      </c>
      <c r="CB15" s="491">
        <f>+INPUT!BK494</f>
        <v>1.8333997608606722</v>
      </c>
      <c r="CC15" s="536">
        <f>CC14+CC13</f>
        <v>443.89212421286425</v>
      </c>
      <c r="CD15" s="491">
        <f>+INPUT!BM494</f>
        <v>8.6233514089167045</v>
      </c>
      <c r="CE15" s="536">
        <f>CE14+CE13</f>
        <v>467.01769667109488</v>
      </c>
      <c r="CF15" s="491">
        <f>+INPUT!BO494</f>
        <v>5.2674466200555372</v>
      </c>
      <c r="CG15" s="536">
        <f>CG14+CG13</f>
        <v>478.64560724496778</v>
      </c>
      <c r="CH15" s="491">
        <f>+INPUT!BQ494</f>
        <v>3.564064335068224</v>
      </c>
      <c r="CI15" s="536">
        <f>CI14+CI13</f>
        <v>492.17283466991989</v>
      </c>
      <c r="CJ15" s="491">
        <f>+INPUT!BS494</f>
        <v>3.467325374266423</v>
      </c>
      <c r="CK15" s="536">
        <f>CK14+CK13</f>
        <v>505.70221585350532</v>
      </c>
      <c r="CL15" s="491">
        <f>+INPUT!BU494</f>
        <v>3.3642199803444441</v>
      </c>
      <c r="CM15" s="491">
        <f t="shared" si="8"/>
        <v>2.190419477759864</v>
      </c>
    </row>
    <row r="16" spans="1:164" s="501" customFormat="1" ht="12" customHeight="1" x14ac:dyDescent="0.2">
      <c r="A16" s="740" t="str">
        <f>'FORECAST-CORE'!A16</f>
        <v>Corporate &amp; Other</v>
      </c>
      <c r="B16" s="548">
        <f>SUM(B14:B15)</f>
        <v>51.800000000000011</v>
      </c>
      <c r="C16" s="491">
        <f>SUM(C14:C15)</f>
        <v>0</v>
      </c>
      <c r="D16" s="548">
        <f t="shared" ref="D16:Q16" si="21">SUM(D14:D15)</f>
        <v>69.699999999999989</v>
      </c>
      <c r="E16" s="491">
        <f t="shared" si="21"/>
        <v>0</v>
      </c>
      <c r="F16" s="548">
        <f t="shared" si="21"/>
        <v>80.200000000000102</v>
      </c>
      <c r="G16" s="491">
        <f t="shared" si="21"/>
        <v>0</v>
      </c>
      <c r="H16" s="548">
        <f t="shared" si="21"/>
        <v>88.89999999999992</v>
      </c>
      <c r="I16" s="491">
        <f t="shared" si="21"/>
        <v>0</v>
      </c>
      <c r="J16" s="548">
        <f t="shared" si="21"/>
        <v>62.700000000000102</v>
      </c>
      <c r="K16" s="491">
        <f t="shared" si="21"/>
        <v>37.760904837668193</v>
      </c>
      <c r="L16" s="548">
        <f t="shared" si="21"/>
        <v>73.199999999999989</v>
      </c>
      <c r="M16" s="491">
        <f t="shared" si="21"/>
        <v>6.8337664515047152</v>
      </c>
      <c r="N16" s="548">
        <f t="shared" si="21"/>
        <v>125.09999999999997</v>
      </c>
      <c r="O16" s="491">
        <f t="shared" si="21"/>
        <v>-0.20533880903495572</v>
      </c>
      <c r="P16" s="548">
        <f t="shared" si="21"/>
        <v>83.100000000000023</v>
      </c>
      <c r="Q16" s="491">
        <f t="shared" si="21"/>
        <v>-11.617485672478736</v>
      </c>
      <c r="R16" s="536">
        <f>INPUT!S559</f>
        <v>-37.300000000000004</v>
      </c>
      <c r="S16" s="491">
        <f>INPUT!T559</f>
        <v>-12.646370023419195</v>
      </c>
      <c r="T16" s="536">
        <f>INPUT!U559</f>
        <v>-46.2</v>
      </c>
      <c r="U16" s="491">
        <f>INPUT!V559</f>
        <v>16.08040201005025</v>
      </c>
      <c r="V16" s="536">
        <f>INPUT!W559</f>
        <v>-54</v>
      </c>
      <c r="W16" s="491">
        <f>INPUT!X559</f>
        <v>25</v>
      </c>
      <c r="X16" s="536">
        <f>INPUT!Y559</f>
        <v>-54.8</v>
      </c>
      <c r="Y16" s="491">
        <f>INPUT!Z559</f>
        <v>11.608961303462323</v>
      </c>
      <c r="Z16" s="536">
        <f>INPUT!AA559</f>
        <v>-53.29999999999999</v>
      </c>
      <c r="AA16" s="491">
        <f>INPUT!AB559</f>
        <v>42.895442359249301</v>
      </c>
      <c r="AB16" s="536">
        <f>INPUT!AC559</f>
        <v>-54.499999999999993</v>
      </c>
      <c r="AC16" s="491">
        <f>INPUT!AD559</f>
        <v>17.965367965367946</v>
      </c>
      <c r="AD16" s="536">
        <f>INPUT!AE559</f>
        <v>-57.8</v>
      </c>
      <c r="AE16" s="491">
        <f>INPUT!AF559</f>
        <v>7.0370370370370381</v>
      </c>
      <c r="AF16" s="536">
        <f>INPUT!AG559</f>
        <v>-53.3</v>
      </c>
      <c r="AG16" s="491">
        <f>INPUT!AH559</f>
        <v>-2.7372262773722582</v>
      </c>
      <c r="AH16" s="536">
        <f>INPUT!AI559</f>
        <v>-58.5</v>
      </c>
      <c r="AI16" s="491">
        <f>INPUT!AJ559</f>
        <v>9.7560975609756468</v>
      </c>
      <c r="AJ16" s="536">
        <f>INPUT!AK559</f>
        <v>-47.5</v>
      </c>
      <c r="AK16" s="491">
        <f>INPUT!AL559</f>
        <v>-12.844036697247702</v>
      </c>
      <c r="AL16" s="536">
        <f>INPUT!AM559</f>
        <v>-42.999999999999993</v>
      </c>
      <c r="AM16" s="491">
        <f>INPUT!AN559</f>
        <v>-25.605536332179938</v>
      </c>
      <c r="AN16" s="536">
        <f>INPUT!AO559</f>
        <v>-61.499999999999993</v>
      </c>
      <c r="AO16" s="491">
        <f>INPUT!AP559</f>
        <v>15.384615384615373</v>
      </c>
      <c r="AP16" s="536">
        <f>INPUT!AQ559</f>
        <v>-51.500259740259729</v>
      </c>
      <c r="AQ16" s="491">
        <f>INPUT!AR559</f>
        <v>-11.965367965367989</v>
      </c>
      <c r="AR16" s="536">
        <f>INPUT!AS559</f>
        <v>-51.500259740259729</v>
      </c>
      <c r="AS16" s="491">
        <f>INPUT!AT559</f>
        <v>8.4215994531783736</v>
      </c>
      <c r="AT16" s="536">
        <f>INPUT!AU559</f>
        <v>-51.500259740259729</v>
      </c>
      <c r="AU16" s="491">
        <f>INPUT!AV559</f>
        <v>19.768045907580785</v>
      </c>
      <c r="AV16" s="536">
        <f>INPUT!AW559</f>
        <v>-51.500259740259729</v>
      </c>
      <c r="AW16" s="491">
        <f>INPUT!AX559</f>
        <v>-16.259740259740269</v>
      </c>
      <c r="AX16" s="492"/>
      <c r="AY16" s="536"/>
      <c r="AZ16" s="491"/>
      <c r="BA16" s="536"/>
      <c r="BB16" s="491"/>
      <c r="BC16" s="536"/>
      <c r="BD16" s="491"/>
      <c r="BE16" s="536"/>
      <c r="BF16" s="491"/>
      <c r="BG16" s="536"/>
      <c r="BH16" s="491"/>
      <c r="BI16" s="536"/>
      <c r="BJ16" s="491"/>
      <c r="BK16" s="536"/>
      <c r="BL16" s="491"/>
      <c r="BM16" s="536"/>
      <c r="BN16" s="491"/>
      <c r="BO16" s="536"/>
      <c r="BP16" s="491"/>
      <c r="BQ16" s="536"/>
      <c r="BR16" s="491"/>
      <c r="BS16" s="536">
        <f>INPUT!BB559</f>
        <v>-193.1</v>
      </c>
      <c r="BT16" s="491" t="str">
        <f>INPUT!BC559</f>
        <v>NA</v>
      </c>
      <c r="BU16" s="536">
        <f>INPUT!BD559</f>
        <v>-174.8</v>
      </c>
      <c r="BV16" s="491">
        <f>INPUT!BE559</f>
        <v>-9.4769549456240156</v>
      </c>
      <c r="BW16" s="536">
        <f>INPUT!BF559</f>
        <v>-192.29999999999998</v>
      </c>
      <c r="BX16" s="491">
        <f>INPUT!BG559</f>
        <v>10.011441647597238</v>
      </c>
      <c r="BY16" s="536">
        <f>INPUT!BH559</f>
        <v>-218.89999999999998</v>
      </c>
      <c r="BZ16" s="491">
        <f>INPUT!BI559</f>
        <v>13.832553302132084</v>
      </c>
      <c r="CA16" s="536">
        <f>INPUT!BJ559</f>
        <v>-210.5</v>
      </c>
      <c r="CB16" s="491">
        <f>INPUT!BK559</f>
        <v>-3.8373686614892648</v>
      </c>
      <c r="CC16" s="536">
        <f>INPUT!BL559</f>
        <v>-206.00103896103892</v>
      </c>
      <c r="CD16" s="491">
        <f>INPUT!BM559</f>
        <v>-2.1372736527131053</v>
      </c>
      <c r="CE16" s="536">
        <f>INPUT!BN559</f>
        <v>-206.70183896103896</v>
      </c>
      <c r="CF16" s="491">
        <f>INPUT!BO559</f>
        <v>0.3401924589965688</v>
      </c>
      <c r="CG16" s="536">
        <f>INPUT!BP559</f>
        <v>-214.90795896103896</v>
      </c>
      <c r="CH16" s="491">
        <f>INPUT!BQ559</f>
        <v>3.9700275726848986</v>
      </c>
      <c r="CI16" s="536">
        <f>INPUT!BR559</f>
        <v>-223.47907056103895</v>
      </c>
      <c r="CJ16" s="491">
        <f>INPUT!BS559</f>
        <v>3.9882709051058782</v>
      </c>
      <c r="CK16" s="536">
        <f>INPUT!BT559</f>
        <v>-232.43251705303899</v>
      </c>
      <c r="CL16" s="491">
        <f>INPUT!BU559</f>
        <v>4.0063915021315495</v>
      </c>
      <c r="CM16" s="491">
        <f t="shared" ref="CM16" si="22">IF(ISERROR(((CG16/BW16)^0.2-1)*100),"NA",IF((((CG16/BW16)^0.2-1)*100)&gt;100,"NM",IF((((CG16/BW16)^0.2-1)*100)&lt;-50,"NM",((CG16/BW16)^0.2-1)*100)))</f>
        <v>2.2479579108594994</v>
      </c>
    </row>
    <row r="17" spans="1:115" s="475" customFormat="1" ht="12" hidden="1" customHeight="1" outlineLevel="1" x14ac:dyDescent="0.2">
      <c r="A17" s="494" t="str">
        <f>'FORECAST-CORE'!A17</f>
        <v>Other and Eliminations</v>
      </c>
      <c r="B17" s="536"/>
      <c r="C17" s="491"/>
      <c r="D17" s="536"/>
      <c r="E17" s="491"/>
      <c r="F17" s="536"/>
      <c r="G17" s="491"/>
      <c r="H17" s="536"/>
      <c r="I17" s="491"/>
      <c r="J17" s="536"/>
      <c r="K17" s="491"/>
      <c r="L17" s="536"/>
      <c r="M17" s="491"/>
      <c r="N17" s="536"/>
      <c r="O17" s="491"/>
      <c r="P17" s="536"/>
      <c r="Q17" s="491"/>
      <c r="R17" s="536"/>
      <c r="S17" s="491"/>
      <c r="T17" s="536"/>
      <c r="U17" s="491"/>
      <c r="V17" s="536"/>
      <c r="W17" s="491"/>
      <c r="X17" s="536"/>
      <c r="Y17" s="491"/>
      <c r="Z17" s="536"/>
      <c r="AA17" s="491"/>
      <c r="AB17" s="536"/>
      <c r="AC17" s="491"/>
      <c r="AD17" s="536"/>
      <c r="AE17" s="491"/>
      <c r="AF17" s="536"/>
      <c r="AG17" s="491"/>
      <c r="AH17" s="536"/>
      <c r="AI17" s="491"/>
      <c r="AJ17" s="536"/>
      <c r="AK17" s="491"/>
      <c r="AL17" s="536"/>
      <c r="AM17" s="491"/>
      <c r="AN17" s="536"/>
      <c r="AO17" s="491"/>
      <c r="AP17" s="536"/>
      <c r="AQ17" s="491"/>
      <c r="AR17" s="536"/>
      <c r="AS17" s="491"/>
      <c r="AT17" s="536"/>
      <c r="AU17" s="491"/>
      <c r="AV17" s="536"/>
      <c r="AW17" s="491"/>
      <c r="AX17" s="492"/>
      <c r="AY17" s="536"/>
      <c r="AZ17" s="491"/>
      <c r="BA17" s="536"/>
      <c r="BB17" s="491"/>
      <c r="BC17" s="536"/>
      <c r="BD17" s="491"/>
      <c r="BE17" s="536"/>
      <c r="BF17" s="491"/>
      <c r="BG17" s="536"/>
      <c r="BH17" s="491"/>
      <c r="BI17" s="536"/>
      <c r="BJ17" s="491"/>
      <c r="BK17" s="536"/>
      <c r="BL17" s="491"/>
      <c r="BM17" s="536"/>
      <c r="BN17" s="491"/>
      <c r="BO17" s="536"/>
      <c r="BP17" s="491"/>
      <c r="BQ17" s="536"/>
      <c r="BR17" s="491"/>
      <c r="BS17" s="536"/>
      <c r="BT17" s="491"/>
      <c r="BU17" s="536"/>
      <c r="BV17" s="491"/>
      <c r="BW17" s="536"/>
      <c r="BX17" s="491"/>
      <c r="BY17" s="536"/>
      <c r="BZ17" s="491"/>
      <c r="CA17" s="536"/>
      <c r="CB17" s="491"/>
      <c r="CC17" s="536"/>
      <c r="CD17" s="491"/>
      <c r="CE17" s="536"/>
      <c r="CF17" s="491"/>
      <c r="CG17" s="536"/>
      <c r="CH17" s="491"/>
      <c r="CI17" s="536"/>
      <c r="CJ17" s="491"/>
      <c r="CK17" s="536"/>
      <c r="CL17" s="491"/>
      <c r="CM17" s="491"/>
    </row>
    <row r="18" spans="1:115" s="475" customFormat="1" ht="12" hidden="1" customHeight="1" outlineLevel="1" x14ac:dyDescent="0.2">
      <c r="A18" s="493" t="s">
        <v>29</v>
      </c>
      <c r="B18" s="536"/>
      <c r="C18" s="522"/>
      <c r="D18" s="536"/>
      <c r="E18" s="522"/>
      <c r="F18" s="536"/>
      <c r="G18" s="522"/>
      <c r="H18" s="536"/>
      <c r="I18" s="522"/>
      <c r="J18" s="536"/>
      <c r="K18" s="522"/>
      <c r="L18" s="536"/>
      <c r="M18" s="522"/>
      <c r="N18" s="536"/>
      <c r="O18" s="522"/>
      <c r="P18" s="536"/>
      <c r="Q18" s="522"/>
      <c r="R18" s="536"/>
      <c r="S18" s="522"/>
      <c r="T18" s="536"/>
      <c r="U18" s="522"/>
      <c r="V18" s="536"/>
      <c r="W18" s="522"/>
      <c r="X18" s="536"/>
      <c r="Y18" s="522"/>
      <c r="Z18" s="536"/>
      <c r="AA18" s="522"/>
      <c r="AB18" s="536"/>
      <c r="AC18" s="522"/>
      <c r="AD18" s="536"/>
      <c r="AE18" s="522"/>
      <c r="AF18" s="536"/>
      <c r="AG18" s="522"/>
      <c r="AH18" s="536"/>
      <c r="AI18" s="522"/>
      <c r="AJ18" s="536"/>
      <c r="AK18" s="522"/>
      <c r="AL18" s="536"/>
      <c r="AM18" s="522"/>
      <c r="AN18" s="536"/>
      <c r="AO18" s="522"/>
      <c r="AP18" s="536"/>
      <c r="AQ18" s="522"/>
      <c r="AR18" s="536"/>
      <c r="AS18" s="522"/>
      <c r="AT18" s="536"/>
      <c r="AU18" s="522"/>
      <c r="AV18" s="536"/>
      <c r="AW18" s="522"/>
      <c r="AX18" s="492"/>
      <c r="AY18" s="536"/>
      <c r="AZ18" s="522"/>
      <c r="BA18" s="536"/>
      <c r="BB18" s="522"/>
      <c r="BC18" s="536"/>
      <c r="BD18" s="522"/>
      <c r="BE18" s="536"/>
      <c r="BF18" s="522"/>
      <c r="BG18" s="536"/>
      <c r="BH18" s="522"/>
      <c r="BI18" s="536"/>
      <c r="BJ18" s="522"/>
      <c r="BK18" s="536"/>
      <c r="BL18" s="522"/>
      <c r="BM18" s="536"/>
      <c r="BN18" s="522"/>
      <c r="BO18" s="536"/>
      <c r="BP18" s="522"/>
      <c r="BQ18" s="536"/>
      <c r="BR18" s="522"/>
      <c r="BS18" s="536"/>
      <c r="BT18" s="522"/>
      <c r="BU18" s="536"/>
      <c r="BV18" s="522"/>
      <c r="BW18" s="536"/>
      <c r="BX18" s="522"/>
      <c r="BY18" s="536"/>
      <c r="BZ18" s="522"/>
      <c r="CA18" s="536"/>
      <c r="CB18" s="522"/>
      <c r="CC18" s="536"/>
      <c r="CD18" s="522"/>
      <c r="CE18" s="536"/>
      <c r="CF18" s="522"/>
      <c r="CG18" s="536"/>
      <c r="CH18" s="522"/>
      <c r="CI18" s="536"/>
      <c r="CJ18" s="522"/>
      <c r="CK18" s="536"/>
      <c r="CL18" s="522"/>
      <c r="CM18" s="522"/>
    </row>
    <row r="19" spans="1:115" s="475" customFormat="1" ht="12" customHeight="1" collapsed="1" x14ac:dyDescent="0.2">
      <c r="A19" s="519" t="s">
        <v>615</v>
      </c>
      <c r="B19" s="548">
        <f>INPUT!C670</f>
        <v>315.00000000000011</v>
      </c>
      <c r="C19" s="522" t="str">
        <f>INPUT!D670</f>
        <v>NA</v>
      </c>
      <c r="D19" s="548">
        <f>INPUT!E670</f>
        <v>366.3</v>
      </c>
      <c r="E19" s="522" t="str">
        <f>INPUT!F670</f>
        <v>NA</v>
      </c>
      <c r="F19" s="548">
        <f>INPUT!G670</f>
        <v>360.10000000000019</v>
      </c>
      <c r="G19" s="522" t="str">
        <f>INPUT!H670</f>
        <v>NA</v>
      </c>
      <c r="H19" s="548">
        <f>INPUT!I670</f>
        <v>392.59999999999997</v>
      </c>
      <c r="I19" s="522" t="str">
        <f>INPUT!J670</f>
        <v>NA</v>
      </c>
      <c r="J19" s="548">
        <f>INPUT!K670</f>
        <v>400.7000000000001</v>
      </c>
      <c r="K19" s="522">
        <f>INPUT!L670</f>
        <v>27.206349206349188</v>
      </c>
      <c r="L19" s="548">
        <f>INPUT!M670</f>
        <v>434.99999999999994</v>
      </c>
      <c r="M19" s="522">
        <f>INPUT!N670</f>
        <v>18.75511875511873</v>
      </c>
      <c r="N19" s="548">
        <f>INPUT!O670</f>
        <v>477.60000000000014</v>
      </c>
      <c r="O19" s="522">
        <f>INPUT!P670</f>
        <v>32.629825048597581</v>
      </c>
      <c r="P19" s="548">
        <f>INPUT!Q670</f>
        <v>410.00000000000011</v>
      </c>
      <c r="Q19" s="522">
        <f>INPUT!R670</f>
        <v>4.4319918492104335</v>
      </c>
      <c r="R19" s="548">
        <f>INPUT!S670</f>
        <v>420.89999999999992</v>
      </c>
      <c r="S19" s="522">
        <f>INPUT!T670</f>
        <v>5.0411779386073903</v>
      </c>
      <c r="T19" s="548">
        <f>INPUT!U670</f>
        <v>429.49999999999994</v>
      </c>
      <c r="U19" s="522">
        <f>INPUT!V670</f>
        <v>-1.2643678160919478</v>
      </c>
      <c r="V19" s="548">
        <f>INPUT!W670</f>
        <v>398.80000000000007</v>
      </c>
      <c r="W19" s="522">
        <f>INPUT!X670</f>
        <v>-16.499162479061994</v>
      </c>
      <c r="X19" s="548">
        <f>INPUT!Y670</f>
        <v>387.90000000000003</v>
      </c>
      <c r="Y19" s="522">
        <f>INPUT!Z670</f>
        <v>-5.3902439024390389</v>
      </c>
      <c r="Z19" s="548">
        <f>INPUT!AA670</f>
        <v>356.29999999999995</v>
      </c>
      <c r="AA19" s="522">
        <f>INPUT!AB670</f>
        <v>-15.348063673081498</v>
      </c>
      <c r="AB19" s="548">
        <f>INPUT!AC670</f>
        <v>431.19999999999993</v>
      </c>
      <c r="AC19" s="522">
        <f>INPUT!AD670</f>
        <v>0.39580908032594664</v>
      </c>
      <c r="AD19" s="548">
        <f>INPUT!AE670</f>
        <v>416.4000000000002</v>
      </c>
      <c r="AE19" s="522">
        <f>INPUT!AF670</f>
        <v>4.4132397191575023</v>
      </c>
      <c r="AF19" s="548">
        <f>INPUT!AG670</f>
        <v>464.7999999999999</v>
      </c>
      <c r="AG19" s="522">
        <f>INPUT!AH670</f>
        <v>19.824697086878018</v>
      </c>
      <c r="AH19" s="548">
        <f>INPUT!AI670</f>
        <v>472.8</v>
      </c>
      <c r="AI19" s="522">
        <f>INPUT!AJ670</f>
        <v>32.697165310131936</v>
      </c>
      <c r="AJ19" s="548">
        <f>INPUT!AK670</f>
        <v>494.50000000000011</v>
      </c>
      <c r="AK19" s="522">
        <f>INPUT!AL670</f>
        <v>14.679962894248646</v>
      </c>
      <c r="AL19" s="548">
        <f>INPUT!AM670</f>
        <v>452.90000000000009</v>
      </c>
      <c r="AM19" s="522">
        <f>INPUT!AN670</f>
        <v>8.7656099903938127</v>
      </c>
      <c r="AN19" s="548">
        <f>INPUT!AO670</f>
        <v>453.49999999999977</v>
      </c>
      <c r="AO19" s="522">
        <f>INPUT!AP670</f>
        <v>-2.4311531841652538</v>
      </c>
      <c r="AP19" s="548">
        <f>INPUT!AQ670</f>
        <v>491.99524432143357</v>
      </c>
      <c r="AQ19" s="522">
        <f>INPUT!AR670</f>
        <v>4.0599078514030396</v>
      </c>
      <c r="AR19" s="548">
        <f>INPUT!AS670</f>
        <v>501.06390495507867</v>
      </c>
      <c r="AS19" s="522">
        <f>INPUT!AT670</f>
        <v>1.3273821951625138</v>
      </c>
      <c r="AT19" s="548">
        <f>INPUT!AU670</f>
        <v>519.63403221869135</v>
      </c>
      <c r="AU19" s="522">
        <f>INPUT!AV670</f>
        <v>14.734827162440098</v>
      </c>
      <c r="AV19" s="548">
        <f>INPUT!AW670</f>
        <v>537.4501252391517</v>
      </c>
      <c r="AW19" s="522">
        <f>INPUT!AX670</f>
        <v>18.511604242370879</v>
      </c>
      <c r="AX19" s="531"/>
      <c r="AY19" s="548"/>
      <c r="AZ19" s="522"/>
      <c r="BA19" s="548"/>
      <c r="BB19" s="522"/>
      <c r="BC19" s="548"/>
      <c r="BD19" s="522"/>
      <c r="BE19" s="548"/>
      <c r="BF19" s="522"/>
      <c r="BG19" s="548"/>
      <c r="BH19" s="522"/>
      <c r="BI19" s="548"/>
      <c r="BJ19" s="522"/>
      <c r="BK19" s="548"/>
      <c r="BL19" s="522"/>
      <c r="BM19" s="548"/>
      <c r="BN19" s="522"/>
      <c r="BO19" s="548"/>
      <c r="BP19" s="522"/>
      <c r="BQ19" s="548"/>
      <c r="BR19" s="522"/>
      <c r="BS19" s="548">
        <f>INPUT!BB670</f>
        <v>1433.9999999999995</v>
      </c>
      <c r="BT19" s="522" t="str">
        <f>INPUT!BC670</f>
        <v>NA</v>
      </c>
      <c r="BU19" s="548">
        <f>INPUT!BD670</f>
        <v>1723.2999999999995</v>
      </c>
      <c r="BV19" s="522">
        <f>INPUT!BE670</f>
        <v>20.174337517433756</v>
      </c>
      <c r="BW19" s="548">
        <f>INPUT!BF670</f>
        <v>1637.1000000000004</v>
      </c>
      <c r="BX19" s="522">
        <f>INPUT!BG670</f>
        <v>-5.0020309870596549</v>
      </c>
      <c r="BY19" s="548">
        <f>INPUT!BH670</f>
        <v>1668.7000000000007</v>
      </c>
      <c r="BZ19" s="522">
        <f>INPUT!BI670</f>
        <v>1.9302425019852336</v>
      </c>
      <c r="CA19" s="548">
        <f>INPUT!BJ670</f>
        <v>1873.7000000000007</v>
      </c>
      <c r="CB19" s="522">
        <f>INPUT!BK670</f>
        <v>12.285012285012286</v>
      </c>
      <c r="CC19" s="548">
        <f>INPUT!BL670</f>
        <v>2050.1433067343555</v>
      </c>
      <c r="CD19" s="522">
        <f>INPUT!BM670</f>
        <v>9.4168387006647265</v>
      </c>
      <c r="CE19" s="548">
        <f>INPUT!BN670</f>
        <v>2152.5429853267619</v>
      </c>
      <c r="CF19" s="522">
        <f>INPUT!BO670</f>
        <v>4.9947571106879138</v>
      </c>
      <c r="CG19" s="548">
        <f>INPUT!BP670</f>
        <v>2262.1211541109324</v>
      </c>
      <c r="CH19" s="522">
        <f>INPUT!BQ670</f>
        <v>5.0906378888194865</v>
      </c>
      <c r="CI19" s="548">
        <f>INPUT!BR670</f>
        <v>2364.8769688981479</v>
      </c>
      <c r="CJ19" s="522">
        <f>INPUT!BS670</f>
        <v>4.5424540856478188</v>
      </c>
      <c r="CK19" s="548">
        <f>INPUT!BT670</f>
        <v>2470.4230345843162</v>
      </c>
      <c r="CL19" s="522">
        <f>INPUT!BU670</f>
        <v>4.4630679343689081</v>
      </c>
      <c r="CM19" s="491">
        <f t="shared" ref="CM19" si="23">IF(ISERROR(((CG19/BW19)^0.2-1)*100),"NA",IF((((CG19/BW19)^0.2-1)*100)&gt;100,"NM",IF((((CG19/BW19)^0.2-1)*100)&lt;-50,"NM",((CG19/BW19)^0.2-1)*100)))</f>
        <v>6.6812585405660485</v>
      </c>
    </row>
    <row r="20" spans="1:115" s="475" customFormat="1" ht="12" hidden="1" customHeight="1" outlineLevel="1" x14ac:dyDescent="0.2">
      <c r="A20" s="505" t="s">
        <v>167</v>
      </c>
      <c r="B20" s="551" t="e">
        <f>B11+B13+B16+#REF!-B19</f>
        <v>#REF!</v>
      </c>
      <c r="C20" s="550"/>
      <c r="D20" s="551" t="e">
        <f>D11+D13+D16+#REF!-D19</f>
        <v>#REF!</v>
      </c>
      <c r="E20" s="550"/>
      <c r="F20" s="551" t="e">
        <f>F11+F13+F16+#REF!-F19</f>
        <v>#REF!</v>
      </c>
      <c r="G20" s="550"/>
      <c r="H20" s="551" t="e">
        <f>H11+H13+H16+#REF!-H19</f>
        <v>#REF!</v>
      </c>
      <c r="I20" s="550"/>
      <c r="J20" s="551" t="e">
        <f>J11+J13+J16+#REF!-J19</f>
        <v>#REF!</v>
      </c>
      <c r="K20" s="550"/>
      <c r="L20" s="551" t="e">
        <f>L11+L13+L16+#REF!-L19</f>
        <v>#REF!</v>
      </c>
      <c r="M20" s="550"/>
      <c r="N20" s="551" t="e">
        <f>N11+N13+N16+#REF!-N19</f>
        <v>#REF!</v>
      </c>
      <c r="O20" s="550"/>
      <c r="P20" s="551" t="e">
        <f>P11+P13+P16+#REF!-P19</f>
        <v>#REF!</v>
      </c>
      <c r="Q20" s="550"/>
      <c r="R20" s="551" t="e">
        <f>R11+R13+R16+#REF!-R19</f>
        <v>#REF!</v>
      </c>
      <c r="S20" s="550"/>
      <c r="T20" s="551" t="e">
        <f>T11+T13+T16+#REF!-T19</f>
        <v>#REF!</v>
      </c>
      <c r="U20" s="550"/>
      <c r="V20" s="551" t="e">
        <f>V11+V13+V16+#REF!-V19</f>
        <v>#REF!</v>
      </c>
      <c r="W20" s="550"/>
      <c r="X20" s="551" t="e">
        <f>X11+X13+X16+#REF!-X19</f>
        <v>#REF!</v>
      </c>
      <c r="Y20" s="550"/>
      <c r="Z20" s="551" t="e">
        <f>Z11+Z13+Z16+#REF!-Z19</f>
        <v>#REF!</v>
      </c>
      <c r="AA20" s="550"/>
      <c r="AB20" s="551" t="e">
        <f>AB11+AB13+AB16+#REF!-AB19</f>
        <v>#REF!</v>
      </c>
      <c r="AC20" s="550"/>
      <c r="AD20" s="551" t="e">
        <f>AD11+AD13+AD16+#REF!-AD19</f>
        <v>#REF!</v>
      </c>
      <c r="AE20" s="550"/>
      <c r="AF20" s="551" t="e">
        <f>AF11+AF13+AF16+#REF!-AF19</f>
        <v>#REF!</v>
      </c>
      <c r="AG20" s="550"/>
      <c r="AH20" s="551" t="e">
        <f>AH11+AH13+AH16+#REF!-AH19</f>
        <v>#REF!</v>
      </c>
      <c r="AI20" s="550"/>
      <c r="AJ20" s="551" t="e">
        <f>AJ11+AJ13+AJ16+#REF!-AJ19</f>
        <v>#REF!</v>
      </c>
      <c r="AK20" s="550"/>
      <c r="AL20" s="551" t="e">
        <f>AL11+AL13+AL16+#REF!-AL19</f>
        <v>#REF!</v>
      </c>
      <c r="AM20" s="550"/>
      <c r="AN20" s="551" t="e">
        <f>AN11+AN13+AN16+#REF!-AN19</f>
        <v>#REF!</v>
      </c>
      <c r="AO20" s="550"/>
      <c r="AP20" s="551" t="e">
        <f>AP11+AP13+AP16+#REF!-AP19</f>
        <v>#REF!</v>
      </c>
      <c r="AQ20" s="550"/>
      <c r="AR20" s="551" t="e">
        <f>AR11+AR13+AR16+#REF!-AR19</f>
        <v>#REF!</v>
      </c>
      <c r="AS20" s="550"/>
      <c r="AT20" s="551" t="e">
        <f>AT11+AT13+AT16+#REF!-AT19</f>
        <v>#REF!</v>
      </c>
      <c r="AU20" s="550"/>
      <c r="AV20" s="551" t="e">
        <f>AV11+AV13+AV16+#REF!-AV19</f>
        <v>#REF!</v>
      </c>
      <c r="AW20" s="550"/>
      <c r="AX20" s="549"/>
      <c r="AY20" s="549"/>
      <c r="AZ20" s="550"/>
      <c r="BA20" s="549"/>
      <c r="BB20" s="550"/>
      <c r="BC20" s="549"/>
      <c r="BD20" s="550"/>
      <c r="BE20" s="549"/>
      <c r="BF20" s="550"/>
      <c r="BG20" s="549"/>
      <c r="BH20" s="550"/>
      <c r="BI20" s="549"/>
      <c r="BJ20" s="550"/>
      <c r="BK20" s="549"/>
      <c r="BL20" s="550"/>
      <c r="BM20" s="551"/>
      <c r="BN20" s="550"/>
      <c r="BO20" s="551"/>
      <c r="BP20" s="550"/>
      <c r="BQ20" s="551"/>
      <c r="BR20" s="550"/>
      <c r="BS20" s="551" t="e">
        <f>BS11+BS13+BS16+#REF!-BS19</f>
        <v>#REF!</v>
      </c>
      <c r="BT20" s="550"/>
      <c r="BU20" s="551" t="e">
        <f>BU11+BU13+BU16+#REF!-BU19</f>
        <v>#REF!</v>
      </c>
      <c r="BV20" s="550"/>
      <c r="BW20" s="551" t="e">
        <f>BW11+BW13+BW16+#REF!-BW19</f>
        <v>#REF!</v>
      </c>
      <c r="BX20" s="550"/>
      <c r="BY20" s="551" t="e">
        <f>BY11+BY13+BY16+#REF!-BY19</f>
        <v>#REF!</v>
      </c>
      <c r="BZ20" s="550"/>
      <c r="CA20" s="551" t="e">
        <f>CA11+CA13+CA16+#REF!-CA19</f>
        <v>#REF!</v>
      </c>
      <c r="CB20" s="550"/>
      <c r="CC20" s="551" t="e">
        <f>CC11+CC13+CC16+#REF!-CC19</f>
        <v>#REF!</v>
      </c>
      <c r="CD20" s="550"/>
      <c r="CE20" s="551" t="e">
        <f>CE11+CE13+CE16+#REF!-CE19</f>
        <v>#REF!</v>
      </c>
      <c r="CF20" s="550"/>
      <c r="CG20" s="551" t="e">
        <f>CG11+CG13+CG16+#REF!-CG19</f>
        <v>#REF!</v>
      </c>
      <c r="CH20" s="550"/>
      <c r="CI20" s="551" t="e">
        <f>CI11+CI13+CI16+#REF!-CI19</f>
        <v>#REF!</v>
      </c>
      <c r="CJ20" s="550"/>
      <c r="CK20" s="551" t="e">
        <f>CK11+CK13+CK16+#REF!-CK19</f>
        <v>#REF!</v>
      </c>
      <c r="CL20" s="550"/>
      <c r="CM20" s="550"/>
      <c r="CN20" s="550"/>
      <c r="CO20" s="549"/>
      <c r="CP20" s="550"/>
      <c r="CQ20" s="549"/>
      <c r="CR20" s="550"/>
      <c r="CS20" s="549"/>
      <c r="CT20" s="550"/>
      <c r="CU20" s="549"/>
      <c r="CV20" s="550"/>
      <c r="CW20" s="549"/>
      <c r="CX20" s="550"/>
      <c r="CY20" s="549"/>
      <c r="CZ20" s="550"/>
      <c r="DA20" s="549"/>
      <c r="DB20" s="550"/>
      <c r="DC20" s="549"/>
      <c r="DD20" s="550"/>
      <c r="DE20" s="549"/>
      <c r="DF20" s="550"/>
      <c r="DG20" s="549"/>
      <c r="DH20" s="550"/>
      <c r="DI20" s="549"/>
      <c r="DJ20" s="550"/>
      <c r="DK20" s="550"/>
    </row>
    <row r="21" spans="1:115" s="475" customFormat="1" ht="12" customHeight="1" collapsed="1" x14ac:dyDescent="0.2">
      <c r="A21" s="505"/>
      <c r="B21" s="551"/>
      <c r="C21" s="550"/>
      <c r="D21" s="551"/>
      <c r="E21" s="550"/>
      <c r="F21" s="551"/>
      <c r="G21" s="550"/>
      <c r="H21" s="551"/>
      <c r="I21" s="550"/>
      <c r="J21" s="551"/>
      <c r="K21" s="550"/>
      <c r="L21" s="551"/>
      <c r="M21" s="550"/>
      <c r="N21" s="551"/>
      <c r="O21" s="550"/>
      <c r="P21" s="551"/>
      <c r="Q21" s="550"/>
      <c r="R21" s="551"/>
      <c r="S21" s="550"/>
      <c r="T21" s="551"/>
      <c r="U21" s="550"/>
      <c r="V21" s="551"/>
      <c r="W21" s="550"/>
      <c r="X21" s="551"/>
      <c r="Y21" s="550"/>
      <c r="Z21" s="551"/>
      <c r="AA21" s="550"/>
      <c r="AB21" s="551"/>
      <c r="AC21" s="550"/>
      <c r="AD21" s="551"/>
      <c r="AE21" s="550"/>
      <c r="AF21" s="551"/>
      <c r="AG21" s="550"/>
      <c r="AH21" s="551"/>
      <c r="AI21" s="550"/>
      <c r="AJ21" s="551"/>
      <c r="AK21" s="550"/>
      <c r="AL21" s="551"/>
      <c r="AM21" s="550"/>
      <c r="AN21" s="551"/>
      <c r="AO21" s="550"/>
      <c r="AP21" s="551"/>
      <c r="AQ21" s="550"/>
      <c r="AR21" s="551"/>
      <c r="AS21" s="550"/>
      <c r="AT21" s="551"/>
      <c r="AU21" s="550"/>
      <c r="AV21" s="551"/>
      <c r="AW21" s="550"/>
      <c r="AX21" s="549"/>
      <c r="AY21" s="549"/>
      <c r="AZ21" s="550"/>
      <c r="BA21" s="549"/>
      <c r="BB21" s="550"/>
      <c r="BC21" s="549"/>
      <c r="BD21" s="550"/>
      <c r="BE21" s="549"/>
      <c r="BF21" s="550"/>
      <c r="BG21" s="549"/>
      <c r="BH21" s="550"/>
      <c r="BI21" s="549"/>
      <c r="BJ21" s="550"/>
      <c r="BK21" s="549"/>
      <c r="BL21" s="550"/>
      <c r="BM21" s="551"/>
      <c r="BN21" s="550"/>
      <c r="BO21" s="551"/>
      <c r="BP21" s="550"/>
      <c r="BQ21" s="551"/>
      <c r="BR21" s="550"/>
      <c r="BS21" s="551"/>
      <c r="BT21" s="550"/>
      <c r="BU21" s="551"/>
      <c r="BV21" s="550"/>
      <c r="BW21" s="551"/>
      <c r="BX21" s="550"/>
      <c r="BY21" s="551"/>
      <c r="BZ21" s="550"/>
      <c r="CA21" s="551"/>
      <c r="CB21" s="550"/>
      <c r="CC21" s="551"/>
      <c r="CD21" s="550"/>
      <c r="CE21" s="551"/>
      <c r="CF21" s="550"/>
      <c r="CG21" s="551"/>
      <c r="CH21" s="550"/>
      <c r="CI21" s="551"/>
      <c r="CJ21" s="550"/>
      <c r="CK21" s="551"/>
      <c r="CL21" s="550"/>
      <c r="CM21" s="550"/>
      <c r="CN21" s="550"/>
      <c r="CO21" s="549"/>
      <c r="CP21" s="550"/>
      <c r="CQ21" s="549"/>
      <c r="CR21" s="550"/>
      <c r="CS21" s="549"/>
      <c r="CT21" s="550"/>
      <c r="CU21" s="549"/>
      <c r="CV21" s="550"/>
      <c r="CW21" s="549"/>
      <c r="CX21" s="550"/>
      <c r="CY21" s="549"/>
      <c r="CZ21" s="550"/>
      <c r="DA21" s="549"/>
      <c r="DB21" s="550"/>
      <c r="DC21" s="549"/>
      <c r="DD21" s="550"/>
      <c r="DE21" s="549"/>
      <c r="DF21" s="550"/>
      <c r="DG21" s="549"/>
      <c r="DH21" s="550"/>
      <c r="DI21" s="549"/>
      <c r="DJ21" s="550"/>
      <c r="DK21" s="550"/>
    </row>
    <row r="22" spans="1:115" s="475" customFormat="1" ht="12" customHeight="1" x14ac:dyDescent="0.2">
      <c r="A22" s="494" t="str">
        <f>'FORECAST-CORE'!A24</f>
        <v xml:space="preserve">Taxes </v>
      </c>
      <c r="B22" s="725">
        <f>+INPUT!C704</f>
        <v>81.699999999999989</v>
      </c>
      <c r="C22" s="522" t="str">
        <f>+INPUT!D704</f>
        <v>NA</v>
      </c>
      <c r="D22" s="725">
        <f>+INPUT!E704</f>
        <v>94.900000000000034</v>
      </c>
      <c r="E22" s="522" t="str">
        <f>+INPUT!F704</f>
        <v>NA</v>
      </c>
      <c r="F22" s="725">
        <f>+INPUT!G704</f>
        <v>90.900000000000205</v>
      </c>
      <c r="G22" s="522" t="str">
        <f>+INPUT!H704</f>
        <v>NA</v>
      </c>
      <c r="H22" s="725">
        <f>+INPUT!I704</f>
        <v>106.59999999999997</v>
      </c>
      <c r="I22" s="522" t="str">
        <f>+INPUT!J704</f>
        <v>NA</v>
      </c>
      <c r="J22" s="725">
        <f>+INPUT!K704</f>
        <v>83.700000000000102</v>
      </c>
      <c r="K22" s="522">
        <f>+INPUT!L704</f>
        <v>2.4479804161568097</v>
      </c>
      <c r="L22" s="725">
        <f>+INPUT!M704</f>
        <v>111.99999999999994</v>
      </c>
      <c r="M22" s="522">
        <f>+INPUT!N704</f>
        <v>18.018967334035722</v>
      </c>
      <c r="N22" s="725">
        <f>+INPUT!O704</f>
        <v>88.023076923077042</v>
      </c>
      <c r="O22" s="522">
        <f>+INPUT!P704</f>
        <v>-3.1649318778032551</v>
      </c>
      <c r="P22" s="725">
        <f>+INPUT!Q704</f>
        <v>74.469230769230904</v>
      </c>
      <c r="Q22" s="522">
        <f>+INPUT!R704</f>
        <v>-30.141434550440025</v>
      </c>
      <c r="R22" s="725">
        <f>+INPUT!S704</f>
        <v>79.838461538461473</v>
      </c>
      <c r="S22" s="522">
        <f>+INPUT!T704</f>
        <v>-4.613546549030616</v>
      </c>
      <c r="T22" s="725">
        <f>+INPUT!U704</f>
        <v>90.715384615384608</v>
      </c>
      <c r="U22" s="522">
        <f>+INPUT!V704</f>
        <v>-19.004120879120848</v>
      </c>
      <c r="V22" s="725">
        <f>+INPUT!W704</f>
        <v>79</v>
      </c>
      <c r="W22" s="522">
        <f>+INPUT!X704</f>
        <v>-10.25080835445263</v>
      </c>
      <c r="X22" s="725">
        <f>+INPUT!Y704</f>
        <v>84.700000000000045</v>
      </c>
      <c r="Y22" s="522">
        <f>+INPUT!Z704</f>
        <v>13.738250180766315</v>
      </c>
      <c r="Z22" s="725">
        <f>+INPUT!AA704</f>
        <v>69.999999999999972</v>
      </c>
      <c r="AA22" s="522">
        <f>+INPUT!AB704</f>
        <v>-12.322959822718914</v>
      </c>
      <c r="AB22" s="725">
        <f>+INPUT!AC704</f>
        <v>94.099999999999937</v>
      </c>
      <c r="AC22" s="522">
        <f>+INPUT!AD704</f>
        <v>3.7310268803527009</v>
      </c>
      <c r="AD22" s="725">
        <f>+INPUT!AE704</f>
        <v>80.700000000000131</v>
      </c>
      <c r="AE22" s="522">
        <f>+INPUT!AF704</f>
        <v>2.1518987341773794</v>
      </c>
      <c r="AF22" s="725">
        <f>+INPUT!AG704</f>
        <v>92.799999999999841</v>
      </c>
      <c r="AG22" s="522">
        <f>+INPUT!AH704</f>
        <v>9.5631641086184231</v>
      </c>
      <c r="AH22" s="725">
        <f>+INPUT!AI704</f>
        <v>102.30000000000003</v>
      </c>
      <c r="AI22" s="522">
        <f>+INPUT!AJ704</f>
        <v>46.142857142857252</v>
      </c>
      <c r="AJ22" s="725">
        <f>+INPUT!AK704</f>
        <v>110.90000000000009</v>
      </c>
      <c r="AK22" s="522">
        <f>+INPUT!AL704</f>
        <v>17.853347502656931</v>
      </c>
      <c r="AL22" s="725">
        <f>+INPUT!AM704</f>
        <v>79.200000000000159</v>
      </c>
      <c r="AM22" s="522">
        <f>+INPUT!AN704</f>
        <v>-1.8587360594795115</v>
      </c>
      <c r="AN22" s="725">
        <f>+INPUT!AO704</f>
        <v>102.69999999999973</v>
      </c>
      <c r="AO22" s="522">
        <f>+INPUT!AP704</f>
        <v>10.668103448275758</v>
      </c>
      <c r="AP22" s="725">
        <f>+INPUT!AQ704</f>
        <v>93.47909642107237</v>
      </c>
      <c r="AQ22" s="522">
        <f>+INPUT!AR704</f>
        <v>-8.6225841436242945</v>
      </c>
      <c r="AR22" s="725">
        <f>+INPUT!AS704</f>
        <v>95.20214194146493</v>
      </c>
      <c r="AS22" s="522">
        <f>+INPUT!AT704</f>
        <v>-14.154966689391486</v>
      </c>
      <c r="AT22" s="725">
        <f>+INPUT!AU704</f>
        <v>98.730466121551359</v>
      </c>
      <c r="AU22" s="522">
        <f>+INPUT!AV704</f>
        <v>24.659679446402976</v>
      </c>
      <c r="AV22" s="725">
        <f>+INPUT!AW704</f>
        <v>102.1155237954388</v>
      </c>
      <c r="AW22" s="522">
        <f>+INPUT!AX704</f>
        <v>-0.56911022839429393</v>
      </c>
      <c r="AX22" s="549"/>
      <c r="AY22" s="549"/>
      <c r="AZ22" s="550"/>
      <c r="BA22" s="549"/>
      <c r="BB22" s="550"/>
      <c r="BC22" s="549"/>
      <c r="BD22" s="550"/>
      <c r="BE22" s="549"/>
      <c r="BF22" s="550"/>
      <c r="BG22" s="549"/>
      <c r="BH22" s="550"/>
      <c r="BI22" s="549"/>
      <c r="BJ22" s="550"/>
      <c r="BK22" s="549"/>
      <c r="BL22" s="550"/>
      <c r="BM22" s="551"/>
      <c r="BN22" s="550"/>
      <c r="BO22" s="551"/>
      <c r="BP22" s="550"/>
      <c r="BQ22" s="551"/>
      <c r="BR22" s="550"/>
      <c r="BS22" s="725">
        <f>+INPUT!BB704</f>
        <v>374.10000000000019</v>
      </c>
      <c r="BT22" s="522" t="str">
        <f>+INPUT!BC704</f>
        <v>NA</v>
      </c>
      <c r="BU22" s="725">
        <f>+INPUT!BD704</f>
        <v>358.19230769230796</v>
      </c>
      <c r="BV22" s="522">
        <f>+INPUT!BE704</f>
        <v>-4.2522566981267715</v>
      </c>
      <c r="BW22" s="725">
        <f>+INPUT!BF704</f>
        <v>334.2538461538461</v>
      </c>
      <c r="BX22" s="522">
        <f>+INPUT!BG704</f>
        <v>-6.6831311070547343</v>
      </c>
      <c r="BY22" s="725">
        <f>+INPUT!BH704</f>
        <v>337.59999999999991</v>
      </c>
      <c r="BZ22" s="522">
        <f>+INPUT!BI704</f>
        <v>1.001081628426121</v>
      </c>
      <c r="CA22" s="725">
        <f>+INPUT!BJ704</f>
        <v>395.1</v>
      </c>
      <c r="CB22" s="522">
        <f>+INPUT!BK704</f>
        <v>17.031990521327046</v>
      </c>
      <c r="CC22" s="725">
        <f>+INPUT!BL704</f>
        <v>389.52722827952744</v>
      </c>
      <c r="CD22" s="522">
        <f>+INPUT!BM704</f>
        <v>-1.4104712023468977</v>
      </c>
      <c r="CE22" s="725">
        <f>+INPUT!BN704</f>
        <v>408.9831672120846</v>
      </c>
      <c r="CF22" s="522">
        <f>+INPUT!BO704</f>
        <v>4.9947571106878854</v>
      </c>
      <c r="CG22" s="725">
        <f>+INPUT!BP704</f>
        <v>429.80301928107713</v>
      </c>
      <c r="CH22" s="522">
        <f>+INPUT!BQ704</f>
        <v>5.0906378888195434</v>
      </c>
      <c r="CI22" s="725">
        <f>+INPUT!BR704</f>
        <v>449.32662409064835</v>
      </c>
      <c r="CJ22" s="522">
        <f>+INPUT!BS704</f>
        <v>4.5424540856478899</v>
      </c>
      <c r="CK22" s="725">
        <f>+INPUT!BT704</f>
        <v>469.38037657102035</v>
      </c>
      <c r="CL22" s="522">
        <f>+INPUT!BU704</f>
        <v>4.4630679343689081</v>
      </c>
      <c r="CM22" s="522">
        <f>+INPUT!BV704</f>
        <v>3.5055362842796756</v>
      </c>
      <c r="CN22" s="550"/>
      <c r="CO22" s="549"/>
      <c r="CP22" s="550"/>
      <c r="CQ22" s="549"/>
      <c r="CR22" s="550"/>
      <c r="CS22" s="549"/>
      <c r="CT22" s="550"/>
      <c r="CU22" s="549"/>
      <c r="CV22" s="550"/>
      <c r="CW22" s="549"/>
      <c r="CX22" s="550"/>
      <c r="CY22" s="549"/>
      <c r="CZ22" s="550"/>
      <c r="DA22" s="549"/>
      <c r="DB22" s="550"/>
      <c r="DC22" s="549"/>
      <c r="DD22" s="550"/>
      <c r="DE22" s="549"/>
      <c r="DF22" s="550"/>
      <c r="DG22" s="549"/>
      <c r="DH22" s="550"/>
      <c r="DI22" s="549"/>
      <c r="DJ22" s="550"/>
      <c r="DK22" s="550"/>
    </row>
    <row r="23" spans="1:115" s="475" customFormat="1" ht="12" customHeight="1" x14ac:dyDescent="0.2">
      <c r="A23" s="494" t="str">
        <f>'FORECAST-CORE'!A25</f>
        <v>Tax Rate (%)</v>
      </c>
      <c r="B23" s="749">
        <f>+INPUT!C705</f>
        <v>25.936507936507923</v>
      </c>
      <c r="C23" s="522" t="str">
        <f>+INPUT!D705</f>
        <v>NA</v>
      </c>
      <c r="D23" s="749">
        <f>+INPUT!E705</f>
        <v>25.907725907725915</v>
      </c>
      <c r="E23" s="522" t="str">
        <f>+INPUT!F705</f>
        <v>NA</v>
      </c>
      <c r="F23" s="749">
        <f>+INPUT!G705</f>
        <v>25.24298805887258</v>
      </c>
      <c r="G23" s="522" t="str">
        <f>+INPUT!H705</f>
        <v>NA</v>
      </c>
      <c r="H23" s="749">
        <f>+INPUT!I705</f>
        <v>27.152317880794698</v>
      </c>
      <c r="I23" s="522" t="str">
        <f>+INPUT!J705</f>
        <v>NA</v>
      </c>
      <c r="J23" s="749">
        <f>+INPUT!K705</f>
        <v>20.88844522086351</v>
      </c>
      <c r="K23" s="522">
        <f>+INPUT!L705</f>
        <v>-19.463154901199403</v>
      </c>
      <c r="L23" s="749">
        <f>+INPUT!M705</f>
        <v>25.747126436781599</v>
      </c>
      <c r="M23" s="522">
        <f>+INPUT!N705</f>
        <v>-0.6198902656154246</v>
      </c>
      <c r="N23" s="749">
        <f>+INPUT!O705</f>
        <v>18.430292488081452</v>
      </c>
      <c r="O23" s="522">
        <f>+INPUT!P705</f>
        <v>-26.988467272187904</v>
      </c>
      <c r="P23" s="749">
        <f>+INPUT!Q705</f>
        <v>18.163227016885582</v>
      </c>
      <c r="Q23" s="522">
        <f>+INPUT!R705</f>
        <v>-33.106163913421383</v>
      </c>
      <c r="R23" s="749">
        <f>+INPUT!S705</f>
        <v>18.968510700513537</v>
      </c>
      <c r="S23" s="522">
        <f>+INPUT!T705</f>
        <v>-9.1913711147459196</v>
      </c>
      <c r="T23" s="749">
        <f>+INPUT!U705</f>
        <v>21.121160562371273</v>
      </c>
      <c r="U23" s="522">
        <f>+INPUT!V705</f>
        <v>-17.966921030075838</v>
      </c>
      <c r="V23" s="749">
        <f>+INPUT!W705</f>
        <v>19.809428284854562</v>
      </c>
      <c r="W23" s="522">
        <f>+INPUT!X705</f>
        <v>7.4829837761119222</v>
      </c>
      <c r="X23" s="749">
        <f>+INPUT!Y705</f>
        <v>21.835524619747368</v>
      </c>
      <c r="Y23" s="522">
        <f>+INPUT!Z705</f>
        <v>20.218310322542393</v>
      </c>
      <c r="Z23" s="749">
        <f>+INPUT!AA705</f>
        <v>19.646365422396851</v>
      </c>
      <c r="AA23" s="522">
        <f>+INPUT!AB705</f>
        <v>3.573579036254884</v>
      </c>
      <c r="AB23" s="749">
        <f>+INPUT!AC705</f>
        <v>21.822820037105739</v>
      </c>
      <c r="AC23" s="522">
        <f>+INPUT!AD705</f>
        <v>3.3220687502585378</v>
      </c>
      <c r="AD23" s="749">
        <f>+INPUT!AE705</f>
        <v>19.380403458213276</v>
      </c>
      <c r="AE23" s="522">
        <f>+INPUT!AF705</f>
        <v>-2.1657607704372737</v>
      </c>
      <c r="AF23" s="749">
        <f>+INPUT!AG705</f>
        <v>19.965576592082588</v>
      </c>
      <c r="AG23" s="522">
        <f>+INPUT!AH705</f>
        <v>-8.5637879566843935</v>
      </c>
      <c r="AH23" s="749">
        <f>+INPUT!AI705</f>
        <v>21.637055837563459</v>
      </c>
      <c r="AI23" s="522">
        <f>+INPUT!AJ705</f>
        <v>10.132614213198039</v>
      </c>
      <c r="AJ23" s="749">
        <f>+INPUT!AK705</f>
        <v>22.426693629929233</v>
      </c>
      <c r="AK23" s="522">
        <f>+INPUT!AL705</f>
        <v>2.7671657090913016</v>
      </c>
      <c r="AL23" s="749">
        <f>+INPUT!AM705</f>
        <v>17.487304040627102</v>
      </c>
      <c r="AM23" s="522">
        <f>+INPUT!AN705</f>
        <v>-9.7681114929725226</v>
      </c>
      <c r="AN23" s="749">
        <f>+INPUT!AO705</f>
        <v>22.646085997794881</v>
      </c>
      <c r="AO23" s="522">
        <f>+INPUT!AP705</f>
        <v>13.425654868265894</v>
      </c>
      <c r="AP23" s="749">
        <f>+INPUT!AQ705</f>
        <v>18.999999999999996</v>
      </c>
      <c r="AQ23" s="522">
        <f>+INPUT!AR705</f>
        <v>-12.18768328445752</v>
      </c>
      <c r="AR23" s="749">
        <f>+INPUT!AS705</f>
        <v>18.999999999999996</v>
      </c>
      <c r="AS23" s="522">
        <f>+INPUT!AT705</f>
        <v>-15.279531109107353</v>
      </c>
      <c r="AT23" s="749">
        <f>+INPUT!AU705</f>
        <v>19</v>
      </c>
      <c r="AU23" s="522">
        <f>+INPUT!AV705</f>
        <v>8.650252525252327</v>
      </c>
      <c r="AV23" s="749">
        <f>+INPUT!AW705</f>
        <v>18.999999999999996</v>
      </c>
      <c r="AW23" s="522">
        <f>+INPUT!AX705</f>
        <v>-16.100292112950171</v>
      </c>
      <c r="AX23" s="549"/>
      <c r="AY23" s="549"/>
      <c r="AZ23" s="550"/>
      <c r="BA23" s="549"/>
      <c r="BB23" s="550"/>
      <c r="BC23" s="549"/>
      <c r="BD23" s="550"/>
      <c r="BE23" s="549"/>
      <c r="BF23" s="550"/>
      <c r="BG23" s="549"/>
      <c r="BH23" s="550"/>
      <c r="BI23" s="549"/>
      <c r="BJ23" s="550"/>
      <c r="BK23" s="549"/>
      <c r="BL23" s="550"/>
      <c r="BM23" s="551"/>
      <c r="BN23" s="550"/>
      <c r="BO23" s="551"/>
      <c r="BP23" s="550"/>
      <c r="BQ23" s="551"/>
      <c r="BR23" s="550"/>
      <c r="BS23" s="749">
        <f>+INPUT!BB705</f>
        <v>26.087866108786635</v>
      </c>
      <c r="BT23" s="522" t="str">
        <f>+INPUT!BC705</f>
        <v>NA</v>
      </c>
      <c r="BU23" s="749">
        <f>+INPUT!BD705</f>
        <v>20.785255480317304</v>
      </c>
      <c r="BV23" s="522">
        <f>+INPUT!BE705</f>
        <v>-20.325965360131022</v>
      </c>
      <c r="BW23" s="749">
        <f>+INPUT!BF705</f>
        <v>20.4174360853855</v>
      </c>
      <c r="BX23" s="522">
        <f>+INPUT!BG705</f>
        <v>-1.7696169059846767</v>
      </c>
      <c r="BY23" s="749">
        <f>+INPUT!BH705</f>
        <v>20.231317792293389</v>
      </c>
      <c r="BZ23" s="522">
        <f>+INPUT!BI705</f>
        <v>-0.91156544981340915</v>
      </c>
      <c r="CA23" s="749">
        <f>+INPUT!BJ705</f>
        <v>21.086620056572549</v>
      </c>
      <c r="CB23" s="522">
        <f>+INPUT!BK705</f>
        <v>4.2276151907661159</v>
      </c>
      <c r="CC23" s="749">
        <f>+INPUT!BL705</f>
        <v>18.999999999999993</v>
      </c>
      <c r="CD23" s="522">
        <f>+INPUT!BM705</f>
        <v>-9.8954695013920571</v>
      </c>
      <c r="CE23" s="749">
        <f>+INPUT!BN705</f>
        <v>18.999999999999993</v>
      </c>
      <c r="CF23" s="522">
        <f>+INPUT!BO705</f>
        <v>0</v>
      </c>
      <c r="CG23" s="749">
        <f>+INPUT!BP705</f>
        <v>19</v>
      </c>
      <c r="CH23" s="522">
        <f>+INPUT!BQ705</f>
        <v>4.2632564145606011E-14</v>
      </c>
      <c r="CI23" s="749">
        <f>+INPUT!BR705</f>
        <v>19.000000000000011</v>
      </c>
      <c r="CJ23" s="522">
        <f>+INPUT!BS705</f>
        <v>7.1054273576010019E-14</v>
      </c>
      <c r="CK23" s="749">
        <f>+INPUT!BT705</f>
        <v>19.000000000000011</v>
      </c>
      <c r="CL23" s="522">
        <f>+INPUT!BU705</f>
        <v>0</v>
      </c>
      <c r="CM23" s="522">
        <f>+INPUT!BV705</f>
        <v>-2.0624296862415958</v>
      </c>
      <c r="CN23" s="550"/>
      <c r="CO23" s="549"/>
      <c r="CP23" s="550"/>
      <c r="CQ23" s="549"/>
      <c r="CR23" s="550"/>
      <c r="CS23" s="549"/>
      <c r="CT23" s="550"/>
      <c r="CU23" s="549"/>
      <c r="CV23" s="550"/>
      <c r="CW23" s="549"/>
      <c r="CX23" s="550"/>
      <c r="CY23" s="549"/>
      <c r="CZ23" s="550"/>
      <c r="DA23" s="549"/>
      <c r="DB23" s="550"/>
      <c r="DC23" s="549"/>
      <c r="DD23" s="550"/>
      <c r="DE23" s="549"/>
      <c r="DF23" s="550"/>
      <c r="DG23" s="549"/>
      <c r="DH23" s="550"/>
      <c r="DI23" s="549"/>
      <c r="DJ23" s="550"/>
      <c r="DK23" s="550"/>
    </row>
    <row r="24" spans="1:115" s="475" customFormat="1" ht="12" customHeight="1" x14ac:dyDescent="0.2">
      <c r="A24" s="494" t="str">
        <f>'FORECAST-CORE'!A26</f>
        <v>Preferred Stock Dividends</v>
      </c>
      <c r="B24" s="725">
        <f>+INPUT!C706</f>
        <v>0</v>
      </c>
      <c r="C24" s="522" t="str">
        <f>+INPUT!D706</f>
        <v>NA</v>
      </c>
      <c r="D24" s="725">
        <f>+INPUT!E706</f>
        <v>0</v>
      </c>
      <c r="E24" s="522" t="str">
        <f>+INPUT!F706</f>
        <v>NA</v>
      </c>
      <c r="F24" s="725">
        <f>+INPUT!G706</f>
        <v>0</v>
      </c>
      <c r="G24" s="522" t="str">
        <f>+INPUT!H706</f>
        <v>NA</v>
      </c>
      <c r="H24" s="725">
        <f>+INPUT!I706</f>
        <v>0</v>
      </c>
      <c r="I24" s="522" t="str">
        <f>+INPUT!J706</f>
        <v>NA</v>
      </c>
      <c r="J24" s="725">
        <f>+INPUT!K706</f>
        <v>0</v>
      </c>
      <c r="K24" s="522" t="str">
        <f>+INPUT!L706</f>
        <v>NA</v>
      </c>
      <c r="L24" s="725">
        <f>+INPUT!M706</f>
        <v>0</v>
      </c>
      <c r="M24" s="522" t="str">
        <f>+INPUT!N706</f>
        <v>NA</v>
      </c>
      <c r="N24" s="725">
        <f>+INPUT!O706</f>
        <v>8.1999999999999993</v>
      </c>
      <c r="O24" s="522" t="str">
        <f>+INPUT!P706</f>
        <v>NA</v>
      </c>
      <c r="P24" s="725">
        <f>+INPUT!Q706</f>
        <v>8.3000000000000007</v>
      </c>
      <c r="Q24" s="522" t="str">
        <f>+INPUT!R706</f>
        <v>NA</v>
      </c>
      <c r="R24" s="725">
        <f>+INPUT!S706</f>
        <v>8.1999999999999993</v>
      </c>
      <c r="S24" s="522" t="str">
        <f>+INPUT!T706</f>
        <v>NA</v>
      </c>
      <c r="T24" s="725">
        <f>+INPUT!U706</f>
        <v>16.5</v>
      </c>
      <c r="U24" s="522" t="str">
        <f>+INPUT!V706</f>
        <v>NA</v>
      </c>
      <c r="V24" s="725">
        <f>+INPUT!W706</f>
        <v>0</v>
      </c>
      <c r="W24" s="522" t="str">
        <f>+INPUT!X706</f>
        <v>NM</v>
      </c>
      <c r="X24" s="725">
        <f>+INPUT!Y706</f>
        <v>0</v>
      </c>
      <c r="Y24" s="522" t="str">
        <f>+INPUT!Z706</f>
        <v>NM</v>
      </c>
      <c r="Z24" s="725">
        <f>+INPUT!AA706</f>
        <v>0</v>
      </c>
      <c r="AA24" s="522" t="str">
        <f>+INPUT!AB706</f>
        <v>NM</v>
      </c>
      <c r="AB24" s="725">
        <f>+INPUT!AC706</f>
        <v>0</v>
      </c>
      <c r="AC24" s="522" t="str">
        <f>+INPUT!AD706</f>
        <v>NM</v>
      </c>
      <c r="AD24" s="725">
        <f>+INPUT!AE706</f>
        <v>0</v>
      </c>
      <c r="AE24" s="522" t="str">
        <f>+INPUT!AF706</f>
        <v>NA</v>
      </c>
      <c r="AF24" s="725">
        <f>+INPUT!AG706</f>
        <v>0</v>
      </c>
      <c r="AG24" s="522" t="str">
        <f>+INPUT!AH706</f>
        <v>NA</v>
      </c>
      <c r="AH24" s="725">
        <f>+INPUT!AI706</f>
        <v>0</v>
      </c>
      <c r="AI24" s="522" t="str">
        <f>+INPUT!AJ706</f>
        <v>NA</v>
      </c>
      <c r="AJ24" s="725">
        <f>+INPUT!AK706</f>
        <v>0</v>
      </c>
      <c r="AK24" s="522" t="str">
        <f>+INPUT!AL706</f>
        <v>NA</v>
      </c>
      <c r="AL24" s="725">
        <f>+INPUT!AM706</f>
        <v>0</v>
      </c>
      <c r="AM24" s="522" t="str">
        <f>+INPUT!AN706</f>
        <v>NA</v>
      </c>
      <c r="AN24" s="725">
        <f>+INPUT!AO706</f>
        <v>0</v>
      </c>
      <c r="AO24" s="522" t="str">
        <f>+INPUT!AP706</f>
        <v>NA</v>
      </c>
      <c r="AP24" s="725">
        <f>+INPUT!AQ706</f>
        <v>0</v>
      </c>
      <c r="AQ24" s="522" t="str">
        <f>+INPUT!AR706</f>
        <v>NA</v>
      </c>
      <c r="AR24" s="725">
        <f>+INPUT!AS706</f>
        <v>0</v>
      </c>
      <c r="AS24" s="522" t="str">
        <f>+INPUT!AT706</f>
        <v>NA</v>
      </c>
      <c r="AT24" s="725">
        <f>+INPUT!AU706</f>
        <v>0</v>
      </c>
      <c r="AU24" s="522" t="str">
        <f>+INPUT!AV706</f>
        <v>NA</v>
      </c>
      <c r="AV24" s="725">
        <f>+INPUT!AW706</f>
        <v>0</v>
      </c>
      <c r="AW24" s="522" t="str">
        <f>+INPUT!AX706</f>
        <v>NA</v>
      </c>
      <c r="AX24" s="549"/>
      <c r="AY24" s="549"/>
      <c r="AZ24" s="550"/>
      <c r="BA24" s="549"/>
      <c r="BB24" s="550"/>
      <c r="BC24" s="549"/>
      <c r="BD24" s="550"/>
      <c r="BE24" s="549"/>
      <c r="BF24" s="550"/>
      <c r="BG24" s="549"/>
      <c r="BH24" s="550"/>
      <c r="BI24" s="549"/>
      <c r="BJ24" s="550"/>
      <c r="BK24" s="549"/>
      <c r="BL24" s="550"/>
      <c r="BM24" s="551"/>
      <c r="BN24" s="550"/>
      <c r="BO24" s="551"/>
      <c r="BP24" s="550"/>
      <c r="BQ24" s="551"/>
      <c r="BR24" s="550"/>
      <c r="BS24" s="725">
        <f>+INPUT!BB706</f>
        <v>0</v>
      </c>
      <c r="BT24" s="522" t="str">
        <f>+INPUT!BC706</f>
        <v>NA</v>
      </c>
      <c r="BU24" s="725">
        <f>+INPUT!BD706</f>
        <v>16.5</v>
      </c>
      <c r="BV24" s="522">
        <f>+INPUT!BE706</f>
        <v>0</v>
      </c>
      <c r="BW24" s="725">
        <f>+INPUT!BF706</f>
        <v>24.7</v>
      </c>
      <c r="BX24" s="522">
        <f>+INPUT!BG706</f>
        <v>0</v>
      </c>
      <c r="BY24" s="725">
        <f>+INPUT!BH706</f>
        <v>0</v>
      </c>
      <c r="BZ24" s="522">
        <f>+INPUT!BI706</f>
        <v>0</v>
      </c>
      <c r="CA24" s="725">
        <f>+INPUT!BJ706</f>
        <v>0</v>
      </c>
      <c r="CB24" s="522">
        <f>+INPUT!BK706</f>
        <v>0</v>
      </c>
      <c r="CC24" s="725">
        <f>+INPUT!BL706</f>
        <v>0</v>
      </c>
      <c r="CD24" s="522">
        <f>+INPUT!BM706</f>
        <v>0</v>
      </c>
      <c r="CE24" s="725">
        <f>+INPUT!BN706</f>
        <v>0</v>
      </c>
      <c r="CF24" s="522">
        <f>+INPUT!BO706</f>
        <v>0</v>
      </c>
      <c r="CG24" s="725">
        <f>+INPUT!BP706</f>
        <v>0</v>
      </c>
      <c r="CH24" s="522">
        <f>+INPUT!BQ706</f>
        <v>0</v>
      </c>
      <c r="CI24" s="725">
        <f>+INPUT!BR706</f>
        <v>0</v>
      </c>
      <c r="CJ24" s="522">
        <f>+INPUT!BS706</f>
        <v>0</v>
      </c>
      <c r="CK24" s="725">
        <f>+INPUT!BT706</f>
        <v>0</v>
      </c>
      <c r="CL24" s="522">
        <f>+INPUT!BU706</f>
        <v>0</v>
      </c>
      <c r="CM24" s="522">
        <f>+INPUT!BV706</f>
        <v>0</v>
      </c>
      <c r="CN24" s="550"/>
      <c r="CO24" s="549"/>
      <c r="CP24" s="550"/>
      <c r="CQ24" s="549"/>
      <c r="CR24" s="550"/>
      <c r="CS24" s="549"/>
      <c r="CT24" s="550"/>
      <c r="CU24" s="549"/>
      <c r="CV24" s="550"/>
      <c r="CW24" s="549"/>
      <c r="CX24" s="550"/>
      <c r="CY24" s="549"/>
      <c r="CZ24" s="550"/>
      <c r="DA24" s="549"/>
      <c r="DB24" s="550"/>
      <c r="DC24" s="549"/>
      <c r="DD24" s="550"/>
      <c r="DE24" s="549"/>
      <c r="DF24" s="550"/>
      <c r="DG24" s="549"/>
      <c r="DH24" s="550"/>
      <c r="DI24" s="549"/>
      <c r="DJ24" s="550"/>
      <c r="DK24" s="550"/>
    </row>
    <row r="25" spans="1:115" s="501" customFormat="1" ht="12" customHeight="1" x14ac:dyDescent="0.2">
      <c r="A25" s="786" t="str">
        <f>'FORECAST-CORE'!A27</f>
        <v xml:space="preserve">After- Tax Operating Earnings </v>
      </c>
      <c r="B25" s="499">
        <f>INPUT!C589</f>
        <v>233.3</v>
      </c>
      <c r="C25" s="522" t="str">
        <f>INPUT!D589</f>
        <v>NA</v>
      </c>
      <c r="D25" s="499">
        <f>INPUT!E589</f>
        <v>271.39999999999992</v>
      </c>
      <c r="E25" s="522" t="str">
        <f>INPUT!F589</f>
        <v>NA</v>
      </c>
      <c r="F25" s="499">
        <f>INPUT!G589</f>
        <v>269.19999999999993</v>
      </c>
      <c r="G25" s="522" t="str">
        <f>INPUT!H589</f>
        <v>NA</v>
      </c>
      <c r="H25" s="499">
        <f>INPUT!I589</f>
        <v>285.99999999999977</v>
      </c>
      <c r="I25" s="522" t="str">
        <f>INPUT!J589</f>
        <v>NA</v>
      </c>
      <c r="J25" s="499">
        <f>INPUT!K589</f>
        <v>317</v>
      </c>
      <c r="K25" s="522">
        <f>INPUT!L589</f>
        <v>35.87655379339904</v>
      </c>
      <c r="L25" s="499">
        <f>INPUT!M589</f>
        <v>323.00000000000006</v>
      </c>
      <c r="M25" s="522">
        <f>INPUT!N589</f>
        <v>19.012527634487881</v>
      </c>
      <c r="N25" s="499">
        <f>INPUT!O589</f>
        <v>389.57692307692253</v>
      </c>
      <c r="O25" s="522">
        <f>INPUT!P589</f>
        <v>44.716539033032177</v>
      </c>
      <c r="P25" s="499">
        <f>INPUT!Q589</f>
        <v>335.53076923076969</v>
      </c>
      <c r="Q25" s="522">
        <f>INPUT!R589</f>
        <v>17.318450779989504</v>
      </c>
      <c r="R25" s="499">
        <f>INPUT!S589</f>
        <v>341.06153846153802</v>
      </c>
      <c r="S25" s="522">
        <f>INPUT!T589</f>
        <v>7.5903906818731883</v>
      </c>
      <c r="T25" s="499">
        <f>INPUT!U589</f>
        <v>338.78461538461528</v>
      </c>
      <c r="U25" s="522">
        <f>INPUT!V589</f>
        <v>4.8868778280542386</v>
      </c>
      <c r="V25" s="499">
        <f>INPUT!W589</f>
        <v>319.79999999999944</v>
      </c>
      <c r="W25" s="522">
        <f>INPUT!X589</f>
        <v>-17.910948760983345</v>
      </c>
      <c r="X25" s="499">
        <f>INPUT!Y589</f>
        <v>303.19999999999993</v>
      </c>
      <c r="Y25" s="522">
        <f>INPUT!Z589</f>
        <v>-9.6357092092896721</v>
      </c>
      <c r="Z25" s="499">
        <f>INPUT!AA589</f>
        <v>286.29999999999961</v>
      </c>
      <c r="AA25" s="522">
        <f>INPUT!AB589</f>
        <v>-16.056204610041064</v>
      </c>
      <c r="AB25" s="499">
        <f>INPUT!AC589</f>
        <v>337.0999999999998</v>
      </c>
      <c r="AC25" s="522">
        <f>INPUT!AD589</f>
        <v>-0.49725262249673108</v>
      </c>
      <c r="AD25" s="499">
        <f>INPUT!AE589</f>
        <v>335.69999999999993</v>
      </c>
      <c r="AE25" s="522">
        <f>INPUT!AF589</f>
        <v>4.9718574108819524</v>
      </c>
      <c r="AF25" s="499">
        <f>INPUT!AG589</f>
        <v>372.00000000000034</v>
      </c>
      <c r="AG25" s="522">
        <f>INPUT!AH589</f>
        <v>22.691292875989589</v>
      </c>
      <c r="AH25" s="499">
        <f>INPUT!AI589</f>
        <v>370.50000000000045</v>
      </c>
      <c r="AI25" s="522">
        <f>INPUT!AJ589</f>
        <v>29.409710094307002</v>
      </c>
      <c r="AJ25" s="499">
        <f>INPUT!AK589</f>
        <v>383.59999999999991</v>
      </c>
      <c r="AK25" s="522">
        <f>INPUT!AL589</f>
        <v>13.794126371996484</v>
      </c>
      <c r="AL25" s="499">
        <f>INPUT!AM589</f>
        <v>373.69999999999965</v>
      </c>
      <c r="AM25" s="522">
        <f>INPUT!AN589</f>
        <v>11.319630622579609</v>
      </c>
      <c r="AN25" s="499">
        <f>INPUT!AO589</f>
        <v>350.8000000000003</v>
      </c>
      <c r="AO25" s="522">
        <f>INPUT!AP589</f>
        <v>-5.6989247311827995</v>
      </c>
      <c r="AP25" s="499">
        <f>INPUT!AQ589</f>
        <v>398.51614790036007</v>
      </c>
      <c r="AQ25" s="522">
        <f>INPUT!AR589</f>
        <v>7.5617133334303901</v>
      </c>
      <c r="AR25" s="499">
        <f>INPUT!AS589</f>
        <v>405.86176301361354</v>
      </c>
      <c r="AS25" s="522">
        <f>INPUT!AT589</f>
        <v>5.8033793049044817</v>
      </c>
      <c r="AT25" s="499">
        <f>INPUT!AU589</f>
        <v>420.90356609713979</v>
      </c>
      <c r="AU25" s="522">
        <f>INPUT!AV589</f>
        <v>12.63140650177688</v>
      </c>
      <c r="AV25" s="499">
        <f>INPUT!AW589</f>
        <v>435.33460144371293</v>
      </c>
      <c r="AW25" s="522">
        <f>INPUT!AX589</f>
        <v>24.097662897295493</v>
      </c>
      <c r="AX25" s="789"/>
      <c r="AY25" s="789"/>
      <c r="AZ25" s="788"/>
      <c r="BA25" s="789"/>
      <c r="BB25" s="788"/>
      <c r="BC25" s="789"/>
      <c r="BD25" s="788"/>
      <c r="BE25" s="789"/>
      <c r="BF25" s="788"/>
      <c r="BG25" s="789"/>
      <c r="BH25" s="788"/>
      <c r="BI25" s="789"/>
      <c r="BJ25" s="788"/>
      <c r="BK25" s="789"/>
      <c r="BL25" s="788"/>
      <c r="BM25" s="787"/>
      <c r="BN25" s="788"/>
      <c r="BO25" s="787"/>
      <c r="BP25" s="788"/>
      <c r="BQ25" s="787"/>
      <c r="BR25" s="788"/>
      <c r="BS25" s="499">
        <f>INPUT!BB589</f>
        <v>1083.1000000000006</v>
      </c>
      <c r="BT25" s="522" t="str">
        <f>INPUT!BC589</f>
        <v>NA</v>
      </c>
      <c r="BU25" s="499">
        <f>INPUT!BD589</f>
        <v>1397.507692307689</v>
      </c>
      <c r="BV25" s="522">
        <f>INPUT!BE589</f>
        <v>29.028500813192522</v>
      </c>
      <c r="BW25" s="499">
        <f>INPUT!BF589</f>
        <v>1311.0461538461532</v>
      </c>
      <c r="BX25" s="522">
        <f>INPUT!BG589</f>
        <v>-6.1868381073998222</v>
      </c>
      <c r="BY25" s="499">
        <f>INPUT!BH589</f>
        <v>1361.7999999999979</v>
      </c>
      <c r="BZ25" s="522">
        <f>INPUT!BI589</f>
        <v>3.8712478584335628</v>
      </c>
      <c r="CA25" s="499">
        <f>INPUT!BJ589</f>
        <v>1489.099999999999</v>
      </c>
      <c r="CB25" s="522">
        <f>INPUT!BK589</f>
        <v>9.3479218681158187</v>
      </c>
      <c r="CC25" s="499">
        <f>INPUT!BL589</f>
        <v>1667.2656624900003</v>
      </c>
      <c r="CD25" s="522">
        <f>INPUT!BM589</f>
        <v>11.964653984957451</v>
      </c>
      <c r="CE25" s="499">
        <f>INPUT!BN589</f>
        <v>1750.5830021277789</v>
      </c>
      <c r="CF25" s="522">
        <f>INPUT!BO589</f>
        <v>4.99724438115922</v>
      </c>
      <c r="CG25" s="499">
        <f>INPUT!BP589</f>
        <v>1839.8360701841316</v>
      </c>
      <c r="CH25" s="522">
        <f>INPUT!BQ589</f>
        <v>5.098476790181806</v>
      </c>
      <c r="CI25" s="499">
        <f>INPUT!BR589</f>
        <v>1923.4851424849935</v>
      </c>
      <c r="CJ25" s="522">
        <f>INPUT!BS589</f>
        <v>4.5465502963256057</v>
      </c>
      <c r="CK25" s="499">
        <f>INPUT!BT589</f>
        <v>2009.4080996559146</v>
      </c>
      <c r="CL25" s="522">
        <f>INPUT!BU589</f>
        <v>4.4670455348521756</v>
      </c>
      <c r="CM25" s="522">
        <f>INPUT!BV589</f>
        <v>6.176610458698395</v>
      </c>
      <c r="CN25" s="788"/>
      <c r="CO25" s="789"/>
      <c r="CP25" s="788"/>
      <c r="CQ25" s="789"/>
      <c r="CR25" s="788"/>
      <c r="CS25" s="789"/>
      <c r="CT25" s="788"/>
      <c r="CU25" s="789"/>
      <c r="CV25" s="788"/>
      <c r="CW25" s="789"/>
      <c r="CX25" s="788"/>
      <c r="CY25" s="789"/>
      <c r="CZ25" s="788"/>
      <c r="DA25" s="789"/>
      <c r="DB25" s="788"/>
      <c r="DC25" s="789"/>
      <c r="DD25" s="788"/>
      <c r="DE25" s="789"/>
      <c r="DF25" s="788"/>
      <c r="DG25" s="789"/>
      <c r="DH25" s="788"/>
      <c r="DI25" s="789"/>
      <c r="DJ25" s="788"/>
      <c r="DK25" s="788"/>
    </row>
    <row r="26" spans="1:115" s="526" customFormat="1" ht="12" hidden="1" customHeight="1" outlineLevel="1" x14ac:dyDescent="0.2">
      <c r="A26" s="505" t="s">
        <v>167</v>
      </c>
      <c r="B26" s="551">
        <f>+B19-B22-B25</f>
        <v>0</v>
      </c>
      <c r="C26" s="550"/>
      <c r="D26" s="551">
        <f>+D19-D22-D25</f>
        <v>0</v>
      </c>
      <c r="E26" s="550"/>
      <c r="F26" s="551">
        <f>+F19-F22-F25</f>
        <v>0</v>
      </c>
      <c r="G26" s="550"/>
      <c r="H26" s="551">
        <f>+H19-H22-H25</f>
        <v>0</v>
      </c>
      <c r="I26" s="550"/>
      <c r="J26" s="551">
        <f>+J19-J22-J25</f>
        <v>0</v>
      </c>
      <c r="K26" s="550"/>
      <c r="L26" s="551">
        <f>+L19-L22-L25</f>
        <v>0</v>
      </c>
      <c r="M26" s="550"/>
      <c r="N26" s="551">
        <f>+N19-N22-N25</f>
        <v>5.6843418860808015E-13</v>
      </c>
      <c r="O26" s="550"/>
      <c r="P26" s="551">
        <f>+P19-P22-P25</f>
        <v>-4.5474735088646412E-13</v>
      </c>
      <c r="Q26" s="550"/>
      <c r="R26" s="551">
        <f>+R19-R22-R25</f>
        <v>4.5474735088646412E-13</v>
      </c>
      <c r="S26" s="550"/>
      <c r="T26" s="551">
        <f>+T19-T22-T25</f>
        <v>0</v>
      </c>
      <c r="U26" s="550"/>
      <c r="V26" s="551">
        <f>+V19-V22-V25</f>
        <v>6.2527760746888816E-13</v>
      </c>
      <c r="W26" s="550"/>
      <c r="X26" s="551">
        <f>+X19-X22-X25</f>
        <v>0</v>
      </c>
      <c r="Y26" s="550"/>
      <c r="Z26" s="551">
        <f>+Z19-Z22-Z25</f>
        <v>0</v>
      </c>
      <c r="AA26" s="550"/>
      <c r="AB26" s="551">
        <f>+AB19-AB22-AB25</f>
        <v>0</v>
      </c>
      <c r="AC26" s="550"/>
      <c r="AD26" s="551">
        <f>+AD19-AD22-AD25</f>
        <v>0</v>
      </c>
      <c r="AE26" s="550"/>
      <c r="AF26" s="551">
        <f>+AF19-AF22-AF25</f>
        <v>0</v>
      </c>
      <c r="AG26" s="550"/>
      <c r="AH26" s="551">
        <f t="shared" ref="AH26" si="24">+AH19-AH22-AH25</f>
        <v>-4.5474735088646412E-13</v>
      </c>
      <c r="AI26" s="550"/>
      <c r="AJ26" s="551">
        <f t="shared" ref="AJ26" si="25">+AJ19-AJ22-AJ25</f>
        <v>0</v>
      </c>
      <c r="AK26" s="550"/>
      <c r="AL26" s="551">
        <f t="shared" ref="AL26" si="26">+AL19-AL22-AL25</f>
        <v>0</v>
      </c>
      <c r="AM26" s="550"/>
      <c r="AN26" s="551">
        <f t="shared" ref="AN26" si="27">+AN19-AN22-AN25</f>
        <v>0</v>
      </c>
      <c r="AO26" s="550"/>
      <c r="AP26" s="551">
        <f t="shared" ref="AP26" si="28">+AP19-AP22-AP25</f>
        <v>1.1368683772161603E-12</v>
      </c>
      <c r="AQ26" s="550"/>
      <c r="AR26" s="551">
        <f t="shared" ref="AR26" si="29">+AR19-AR22-AR25</f>
        <v>0</v>
      </c>
      <c r="AS26" s="550"/>
      <c r="AT26" s="551">
        <f t="shared" ref="AT26" si="30">+AT19-AT22-AT25</f>
        <v>0</v>
      </c>
      <c r="AU26" s="550"/>
      <c r="AV26" s="551">
        <f t="shared" ref="AV26" si="31">+AV19-AV22-AV25</f>
        <v>0</v>
      </c>
      <c r="AW26" s="550"/>
      <c r="AX26" s="507"/>
      <c r="AY26" s="549"/>
      <c r="AZ26" s="550"/>
      <c r="BA26" s="549"/>
      <c r="BB26" s="550"/>
      <c r="BC26" s="549"/>
      <c r="BD26" s="550"/>
      <c r="BE26" s="549"/>
      <c r="BF26" s="550"/>
      <c r="BG26" s="549"/>
      <c r="BH26" s="550"/>
      <c r="BI26" s="549"/>
      <c r="BJ26" s="550"/>
      <c r="BK26" s="549"/>
      <c r="BL26" s="550"/>
      <c r="BM26" s="551"/>
      <c r="BN26" s="550"/>
      <c r="BO26" s="551"/>
      <c r="BP26" s="550"/>
      <c r="BQ26" s="551"/>
      <c r="BR26" s="550"/>
      <c r="BS26" s="792">
        <f>+BS19-BS22-BS25</f>
        <v>-23.200000000001182</v>
      </c>
      <c r="BT26" s="550"/>
      <c r="BU26" s="551">
        <f t="shared" ref="BU26" si="32">+BU19-BU22-BU25</f>
        <v>-32.399999999997362</v>
      </c>
      <c r="BV26" s="550"/>
      <c r="BW26" s="551">
        <f t="shared" ref="BW26" si="33">+BW19-BW22-BW25</f>
        <v>-8.1999999999989086</v>
      </c>
      <c r="BX26" s="550"/>
      <c r="BY26" s="551">
        <f t="shared" ref="BY26:CA26" si="34">+BY19-BY22-BY25</f>
        <v>-30.69999999999709</v>
      </c>
      <c r="BZ26" s="550"/>
      <c r="CA26" s="551">
        <f t="shared" si="34"/>
        <v>-10.499999999998181</v>
      </c>
      <c r="CB26" s="550"/>
      <c r="CC26" s="551">
        <f t="shared" ref="CC26" si="35">+CC19-CC22-CC25</f>
        <v>-6.6495840351722109</v>
      </c>
      <c r="CD26" s="550"/>
      <c r="CE26" s="551">
        <f t="shared" ref="CE26" si="36">+CE19-CE22-CE25</f>
        <v>-7.0231840131013996</v>
      </c>
      <c r="CF26" s="550"/>
      <c r="CG26" s="551">
        <f t="shared" ref="CG26:CI26" si="37">+CG19-CG22-CG25</f>
        <v>-7.5179353542762328</v>
      </c>
      <c r="CH26" s="550"/>
      <c r="CI26" s="551">
        <f t="shared" si="37"/>
        <v>-7.9347976774938616</v>
      </c>
      <c r="CJ26" s="550"/>
      <c r="CK26" s="551">
        <f t="shared" ref="CK26" si="38">+CK19-CK22-CK25</f>
        <v>-8.3654416426188618</v>
      </c>
      <c r="CL26" s="550"/>
      <c r="CM26" s="550"/>
    </row>
    <row r="27" spans="1:115" s="475" customFormat="1" ht="12" customHeight="1" collapsed="1" x14ac:dyDescent="0.2">
      <c r="A27" s="489"/>
      <c r="B27" s="524"/>
      <c r="C27" s="522"/>
      <c r="D27" s="524"/>
      <c r="E27" s="522"/>
      <c r="F27" s="524"/>
      <c r="G27" s="522"/>
      <c r="H27" s="524"/>
      <c r="I27" s="522"/>
      <c r="J27" s="524"/>
      <c r="K27" s="522"/>
      <c r="L27" s="524"/>
      <c r="M27" s="522"/>
      <c r="N27" s="524"/>
      <c r="O27" s="522"/>
      <c r="P27" s="524"/>
      <c r="Q27" s="522"/>
      <c r="R27" s="524"/>
      <c r="S27" s="522"/>
      <c r="T27" s="524"/>
      <c r="U27" s="522"/>
      <c r="V27" s="524"/>
      <c r="W27" s="522"/>
      <c r="X27" s="524"/>
      <c r="Y27" s="522"/>
      <c r="Z27" s="524"/>
      <c r="AA27" s="522"/>
      <c r="AB27" s="524"/>
      <c r="AC27" s="522"/>
      <c r="AD27" s="524"/>
      <c r="AE27" s="522"/>
      <c r="AF27" s="524"/>
      <c r="AG27" s="522"/>
      <c r="AH27" s="524"/>
      <c r="AI27" s="522"/>
      <c r="AJ27" s="524"/>
      <c r="AK27" s="522"/>
      <c r="AL27" s="524"/>
      <c r="AM27" s="522"/>
      <c r="AN27" s="524"/>
      <c r="AO27" s="522"/>
      <c r="AP27" s="524"/>
      <c r="AQ27" s="522"/>
      <c r="AR27" s="524"/>
      <c r="AS27" s="522"/>
      <c r="AT27" s="524"/>
      <c r="AU27" s="522"/>
      <c r="AV27" s="524"/>
      <c r="AW27" s="522"/>
      <c r="AX27" s="492"/>
      <c r="AY27" s="524"/>
      <c r="AZ27" s="522"/>
      <c r="BA27" s="524"/>
      <c r="BB27" s="522"/>
      <c r="BC27" s="524"/>
      <c r="BD27" s="522"/>
      <c r="BE27" s="524"/>
      <c r="BF27" s="522"/>
      <c r="BG27" s="524"/>
      <c r="BH27" s="522"/>
      <c r="BI27" s="524"/>
      <c r="BJ27" s="522"/>
      <c r="BK27" s="524"/>
      <c r="BL27" s="522"/>
      <c r="BM27" s="524"/>
      <c r="BN27" s="522"/>
      <c r="BO27" s="524"/>
      <c r="BP27" s="522"/>
      <c r="BQ27" s="524"/>
      <c r="BR27" s="522"/>
      <c r="BS27" s="524"/>
      <c r="BT27" s="522"/>
      <c r="BU27" s="524"/>
      <c r="BV27" s="522"/>
      <c r="BW27" s="524"/>
      <c r="BX27" s="522"/>
      <c r="BY27" s="524"/>
      <c r="BZ27" s="522"/>
      <c r="CA27" s="524"/>
      <c r="CB27" s="522"/>
      <c r="CC27" s="524"/>
      <c r="CD27" s="522"/>
      <c r="CE27" s="524"/>
      <c r="CF27" s="522"/>
      <c r="CG27" s="524"/>
      <c r="CH27" s="522"/>
      <c r="CI27" s="524"/>
      <c r="CJ27" s="522"/>
      <c r="CK27" s="524"/>
      <c r="CL27" s="522"/>
      <c r="CM27" s="522"/>
    </row>
    <row r="28" spans="1:115" s="475" customFormat="1" ht="12" customHeight="1" x14ac:dyDescent="0.2">
      <c r="A28" s="481" t="str">
        <f>+INPUT!B842</f>
        <v>Weighted Average Shares (FD)</v>
      </c>
      <c r="B28" s="536">
        <f>+INPUT!C842</f>
        <v>297.10000000000002</v>
      </c>
      <c r="C28" s="522" t="str">
        <f>+INPUT!D842</f>
        <v>NA</v>
      </c>
      <c r="D28" s="536">
        <f>+INPUT!E842</f>
        <v>297.2</v>
      </c>
      <c r="E28" s="522" t="str">
        <f>+INPUT!F842</f>
        <v>NA</v>
      </c>
      <c r="F28" s="536">
        <f>+INPUT!G842</f>
        <v>298.60000000000002</v>
      </c>
      <c r="G28" s="522" t="str">
        <f>+INPUT!H842</f>
        <v>NA</v>
      </c>
      <c r="H28" s="536">
        <f>+INPUT!I842</f>
        <v>299.3</v>
      </c>
      <c r="I28" s="522" t="str">
        <f>+INPUT!J842</f>
        <v>NA</v>
      </c>
      <c r="J28" s="536">
        <f>+INPUT!K842</f>
        <v>299.5</v>
      </c>
      <c r="K28" s="522">
        <f>+INPUT!L842</f>
        <v>0.80780881857960196</v>
      </c>
      <c r="L28" s="536">
        <f>+INPUT!M842</f>
        <v>298.3</v>
      </c>
      <c r="M28" s="522">
        <f>+INPUT!N842</f>
        <v>0.37012113055180862</v>
      </c>
      <c r="N28" s="536">
        <f>+INPUT!O842</f>
        <v>298.2</v>
      </c>
      <c r="O28" s="522">
        <f>+INPUT!P842</f>
        <v>-0.13395847287341667</v>
      </c>
      <c r="P28" s="536">
        <f>+INPUT!Q842</f>
        <v>298.3</v>
      </c>
      <c r="Q28" s="522">
        <f>+INPUT!R842</f>
        <v>-0.33411293017039156</v>
      </c>
      <c r="R28" s="536">
        <f>+INPUT!S842</f>
        <v>298.5</v>
      </c>
      <c r="S28" s="522">
        <f>+INPUT!T842</f>
        <v>-0.33388981636059611</v>
      </c>
      <c r="T28" s="536">
        <f>+INPUT!U842</f>
        <v>298.39999999999998</v>
      </c>
      <c r="U28" s="522">
        <f>+INPUT!V842</f>
        <v>3.3523298692571757E-2</v>
      </c>
      <c r="V28" s="536">
        <f>+INPUT!W842</f>
        <v>298.5</v>
      </c>
      <c r="W28" s="522">
        <f>+INPUT!X842</f>
        <v>0.10060362173038584</v>
      </c>
      <c r="X28" s="536">
        <f>+INPUT!Y842</f>
        <v>296.2</v>
      </c>
      <c r="Y28" s="522">
        <f>+INPUT!Z842</f>
        <v>-0.70398927254441901</v>
      </c>
      <c r="Z28" s="536">
        <f>+INPUT!AA842</f>
        <v>294.3</v>
      </c>
      <c r="AA28" s="522">
        <f>+INPUT!AB842</f>
        <v>-1.4070351758793862</v>
      </c>
      <c r="AB28" s="536">
        <f>+INPUT!AC842</f>
        <v>292.60000000000002</v>
      </c>
      <c r="AC28" s="522">
        <f>+INPUT!AD842</f>
        <v>-1.9436997319034646</v>
      </c>
      <c r="AD28" s="536">
        <f>+INPUT!AE842</f>
        <v>291.39999999999998</v>
      </c>
      <c r="AE28" s="522">
        <f>+INPUT!AF842</f>
        <v>-2.3785594639866048</v>
      </c>
      <c r="AF28" s="536">
        <f>+INPUT!AG842</f>
        <v>292</v>
      </c>
      <c r="AG28" s="522">
        <f>+INPUT!AH842</f>
        <v>-1.4179608372721191</v>
      </c>
      <c r="AH28" s="536">
        <f>+INPUT!AI842</f>
        <v>292.39999999999998</v>
      </c>
      <c r="AI28" s="522">
        <f>+INPUT!AJ842</f>
        <v>-0.64559972816854838</v>
      </c>
      <c r="AJ28" s="536">
        <f>+INPUT!AK842</f>
        <v>292.7</v>
      </c>
      <c r="AK28" s="522">
        <f>+INPUT!AL842</f>
        <v>3.417634996580432E-2</v>
      </c>
      <c r="AL28" s="536">
        <f>+INPUT!AM842</f>
        <v>293.05</v>
      </c>
      <c r="AM28" s="522">
        <f>+INPUT!AN842</f>
        <v>0.56623198352781401</v>
      </c>
      <c r="AN28" s="536">
        <f>+INPUT!AO842</f>
        <v>293.60000000000002</v>
      </c>
      <c r="AO28" s="522">
        <f>+INPUT!AP842</f>
        <v>0.54794520547945069</v>
      </c>
      <c r="AP28" s="536">
        <f>+INPUT!AQ842</f>
        <v>292.77612675568662</v>
      </c>
      <c r="AQ28" s="522">
        <f>+INPUT!AR842</f>
        <v>0.12863432137027075</v>
      </c>
      <c r="AR28" s="536">
        <f>+INPUT!AS842</f>
        <v>291.85155908304898</v>
      </c>
      <c r="AS28" s="522">
        <f>+INPUT!AT842</f>
        <v>-0.28986707104577647</v>
      </c>
      <c r="AT28" s="536">
        <f>+INPUT!AU842</f>
        <v>291.05910299434498</v>
      </c>
      <c r="AU28" s="522">
        <f>+INPUT!AV842</f>
        <v>-0.67937109901212978</v>
      </c>
      <c r="AV28" s="536">
        <f>+INPUT!AW842</f>
        <v>290.46769136970227</v>
      </c>
      <c r="AW28" s="522">
        <f>+INPUT!AX842</f>
        <v>-1.0668626124992358</v>
      </c>
      <c r="AX28" s="490"/>
      <c r="AY28" s="524" t="e">
        <f>+INPUT!#REF!</f>
        <v>#REF!</v>
      </c>
      <c r="AZ28" s="522" t="e">
        <f>+INPUT!#REF!</f>
        <v>#REF!</v>
      </c>
      <c r="BA28" s="524" t="e">
        <f>+INPUT!#REF!</f>
        <v>#REF!</v>
      </c>
      <c r="BB28" s="522" t="e">
        <f>+INPUT!#REF!</f>
        <v>#REF!</v>
      </c>
      <c r="BC28" s="524" t="e">
        <f>+INPUT!#REF!</f>
        <v>#REF!</v>
      </c>
      <c r="BD28" s="522" t="e">
        <f>+INPUT!#REF!</f>
        <v>#REF!</v>
      </c>
      <c r="BE28" s="524" t="e">
        <f>+INPUT!#REF!</f>
        <v>#REF!</v>
      </c>
      <c r="BF28" s="522" t="e">
        <f>+INPUT!#REF!</f>
        <v>#REF!</v>
      </c>
      <c r="BG28" s="536" t="e">
        <f>+INPUT!#REF!</f>
        <v>#REF!</v>
      </c>
      <c r="BH28" s="522" t="e">
        <f>+INPUT!#REF!</f>
        <v>#REF!</v>
      </c>
      <c r="BI28" s="536" t="e">
        <f>+INPUT!#REF!</f>
        <v>#REF!</v>
      </c>
      <c r="BJ28" s="522" t="e">
        <f>+INPUT!#REF!</f>
        <v>#REF!</v>
      </c>
      <c r="BK28" s="536" t="e">
        <f>+INPUT!#REF!</f>
        <v>#REF!</v>
      </c>
      <c r="BL28" s="522" t="e">
        <f>+INPUT!#REF!</f>
        <v>#REF!</v>
      </c>
      <c r="BM28" s="536" t="e">
        <f>+INPUT!#REF!</f>
        <v>#REF!</v>
      </c>
      <c r="BN28" s="522" t="e">
        <f>+INPUT!#REF!</f>
        <v>#REF!</v>
      </c>
      <c r="BO28" s="536" t="e">
        <f>+INPUT!#REF!</f>
        <v>#REF!</v>
      </c>
      <c r="BP28" s="522" t="e">
        <f>+INPUT!#REF!</f>
        <v>#REF!</v>
      </c>
      <c r="BQ28" s="536" t="e">
        <f>+INPUT!#REF!</f>
        <v>#REF!</v>
      </c>
      <c r="BR28" s="522" t="str">
        <f>+INPUT!BA842</f>
        <v>NA</v>
      </c>
      <c r="BS28" s="536">
        <f>+INPUT!BB842</f>
        <v>298.05</v>
      </c>
      <c r="BT28" s="522" t="str">
        <f>+INPUT!BC842</f>
        <v>NA</v>
      </c>
      <c r="BU28" s="536">
        <f>+INPUT!BD842</f>
        <v>298.57499999999999</v>
      </c>
      <c r="BV28" s="522">
        <f>+INPUT!BE842</f>
        <v>0.17614494212378418</v>
      </c>
      <c r="BW28" s="536">
        <f>+INPUT!BF842</f>
        <v>297.89999999999998</v>
      </c>
      <c r="BX28" s="522">
        <f>+INPUT!BG842</f>
        <v>-0.2260738507912663</v>
      </c>
      <c r="BY28" s="536">
        <f>+INPUT!BH842</f>
        <v>292.57500000000005</v>
      </c>
      <c r="BZ28" s="522">
        <f>+INPUT!BI842</f>
        <v>-1.7875125881167975</v>
      </c>
      <c r="CA28" s="536">
        <f>+INPUT!BJ842</f>
        <v>292.9375</v>
      </c>
      <c r="CB28" s="522">
        <f>+INPUT!BK842</f>
        <v>0.12389985473808451</v>
      </c>
      <c r="CC28" s="536">
        <f>+INPUT!BL842</f>
        <v>291.53862005069573</v>
      </c>
      <c r="CD28" s="522">
        <f>+INPUT!BM842</f>
        <v>-0.47753529312713283</v>
      </c>
      <c r="CE28" s="536">
        <f>+INPUT!BN842</f>
        <v>288.41373510154278</v>
      </c>
      <c r="CF28" s="522">
        <f>+INPUT!BO842</f>
        <v>-1.0718596900162254</v>
      </c>
      <c r="CG28" s="536">
        <f>+INPUT!BP842</f>
        <v>286.37664877403301</v>
      </c>
      <c r="CH28" s="522">
        <f>+INPUT!BQ842</f>
        <v>-0.70630697487155203</v>
      </c>
      <c r="CI28" s="536">
        <f>+INPUT!BR842</f>
        <v>283.94673762494762</v>
      </c>
      <c r="CJ28" s="522">
        <f>+INPUT!BS842</f>
        <v>-0.84850184520551863</v>
      </c>
      <c r="CK28" s="536">
        <f>+INPUT!BT842</f>
        <v>281.81183897264901</v>
      </c>
      <c r="CL28" s="522">
        <f>+INPUT!BU842</f>
        <v>-0.75186588518529618</v>
      </c>
      <c r="CM28" s="522">
        <f>+INPUT!BV842</f>
        <v>-0.77140260262199556</v>
      </c>
    </row>
    <row r="29" spans="1:115" s="563" customFormat="1" ht="12" customHeight="1" x14ac:dyDescent="0.2">
      <c r="A29" s="557" t="str">
        <f>+INPUT!B845</f>
        <v>Operating EPS</v>
      </c>
      <c r="B29" s="561">
        <f>+INPUT!C845</f>
        <v>0.78525748906092263</v>
      </c>
      <c r="C29" s="559" t="str">
        <f>+INPUT!D845</f>
        <v>NA</v>
      </c>
      <c r="D29" s="561">
        <f>+INPUT!E845</f>
        <v>0.9131897711978465</v>
      </c>
      <c r="E29" s="559" t="str">
        <f>+INPUT!F845</f>
        <v>NA</v>
      </c>
      <c r="F29" s="561">
        <f>+INPUT!G845</f>
        <v>0.90154052243804406</v>
      </c>
      <c r="G29" s="559" t="str">
        <f>+INPUT!H845</f>
        <v>NA</v>
      </c>
      <c r="H29" s="561">
        <f>+INPUT!I845</f>
        <v>0.9555629802873371</v>
      </c>
      <c r="I29" s="559" t="str">
        <f>+INPUT!J845</f>
        <v>NA</v>
      </c>
      <c r="J29" s="561">
        <f>+INPUT!K845</f>
        <v>1.0584307178631052</v>
      </c>
      <c r="K29" s="559">
        <f>+INPUT!L845</f>
        <v>34.787726651148034</v>
      </c>
      <c r="L29" s="561">
        <f>+INPUT!M845</f>
        <v>1.0828025477707006</v>
      </c>
      <c r="M29" s="559">
        <f>+INPUT!N845</f>
        <v>18.573661458162221</v>
      </c>
      <c r="N29" s="561">
        <f>+INPUT!O845</f>
        <v>1.2789299901975959</v>
      </c>
      <c r="O29" s="559">
        <f>+INPUT!P845</f>
        <v>41.860510799777927</v>
      </c>
      <c r="P29" s="561">
        <f>+INPUT!Q845</f>
        <v>1.0969854818329507</v>
      </c>
      <c r="Q29" s="559">
        <f>+INPUT!R845</f>
        <v>14.799914235175578</v>
      </c>
      <c r="R29" s="561">
        <f>+INPUT!S845</f>
        <v>1.1151140316969463</v>
      </c>
      <c r="S29" s="559">
        <f>+INPUT!T845</f>
        <v>5.3554108811468097</v>
      </c>
      <c r="T29" s="561">
        <f>+INPUT!U845</f>
        <v>1.0800422767580944</v>
      </c>
      <c r="U29" s="559">
        <f>+INPUT!V845</f>
        <v>-0.25491914645834868</v>
      </c>
      <c r="V29" s="561">
        <f>+INPUT!W845</f>
        <v>1.0713567839195983</v>
      </c>
      <c r="W29" s="559">
        <f>+INPUT!X845</f>
        <v>-16.23022431790244</v>
      </c>
      <c r="X29" s="561">
        <f>+INPUT!Y845</f>
        <v>1.0236326806212019</v>
      </c>
      <c r="Y29" s="559">
        <f>+INPUT!Z845</f>
        <v>-6.6867613497658738</v>
      </c>
      <c r="Z29" s="561">
        <f>+INPUT!AA845</f>
        <v>0.97281685355079828</v>
      </c>
      <c r="AA29" s="559">
        <f>+INPUT!AB845</f>
        <v>-12.760773705771115</v>
      </c>
      <c r="AB29" s="561">
        <f>+INPUT!AC845</f>
        <v>1.1520847573479152</v>
      </c>
      <c r="AC29" s="559">
        <f>+INPUT!AD845</f>
        <v>6.6703389432186668</v>
      </c>
      <c r="AD29" s="561">
        <f>+INPUT!AE845</f>
        <v>1.1520247083047359</v>
      </c>
      <c r="AE29" s="559">
        <f>+INPUT!AF845</f>
        <v>7.5295107657797189</v>
      </c>
      <c r="AF29" s="561">
        <f>+INPUT!AG845</f>
        <v>1.2739726027397262</v>
      </c>
      <c r="AG29" s="559">
        <f>+INPUT!AH845</f>
        <v>24.456030650233146</v>
      </c>
      <c r="AH29" s="561">
        <f>+INPUT!AI845</f>
        <v>1.2670998632010946</v>
      </c>
      <c r="AI29" s="559">
        <f>+INPUT!AJ845</f>
        <v>30.250607663318988</v>
      </c>
      <c r="AJ29" s="561">
        <f>+INPUT!AK845</f>
        <v>1.3105568841817561</v>
      </c>
      <c r="AK29" s="559">
        <f>+INPUT!AL845</f>
        <v>13.755248980000559</v>
      </c>
      <c r="AL29" s="561">
        <f>+INPUT!AM845</f>
        <v>1.2752090087015864</v>
      </c>
      <c r="AM29" s="559">
        <f>+INPUT!AN845</f>
        <v>10.692852289437667</v>
      </c>
      <c r="AN29" s="561">
        <f>+INPUT!AO845</f>
        <v>1.1948228882833789</v>
      </c>
      <c r="AO29" s="559">
        <f>+INPUT!AP845</f>
        <v>-6.2128270487240371</v>
      </c>
      <c r="AP29" s="561">
        <f>+INPUT!AQ845</f>
        <v>1.3611633992033498</v>
      </c>
      <c r="AQ29" s="559">
        <f>+INPUT!AR845</f>
        <v>7.4235298048743488</v>
      </c>
      <c r="AR29" s="561">
        <f>+INPUT!AS845</f>
        <v>1.3906444916339205</v>
      </c>
      <c r="AS29" s="559">
        <f>+INPUT!AT845</f>
        <v>6.1109600368218366</v>
      </c>
      <c r="AT29" s="561">
        <f>+INPUT!AU845</f>
        <v>1.4461102977607878</v>
      </c>
      <c r="AU29" s="559">
        <f>+INPUT!AV845</f>
        <v>13.40182573154911</v>
      </c>
      <c r="AV29" s="561">
        <f>+INPUT!AW845</f>
        <v>1.4987367420827074</v>
      </c>
      <c r="AW29" s="559">
        <f>+INPUT!AX845</f>
        <v>25.435891526648476</v>
      </c>
      <c r="AX29" s="562"/>
      <c r="AY29" s="558" t="e">
        <f>+INPUT!#REF!</f>
        <v>#REF!</v>
      </c>
      <c r="AZ29" s="559" t="e">
        <f>+INPUT!#REF!</f>
        <v>#REF!</v>
      </c>
      <c r="BA29" s="558" t="e">
        <f>+INPUT!#REF!</f>
        <v>#REF!</v>
      </c>
      <c r="BB29" s="559" t="e">
        <f>+INPUT!#REF!</f>
        <v>#REF!</v>
      </c>
      <c r="BC29" s="558" t="e">
        <f>+INPUT!#REF!</f>
        <v>#REF!</v>
      </c>
      <c r="BD29" s="559" t="e">
        <f>+INPUT!#REF!</f>
        <v>#REF!</v>
      </c>
      <c r="BE29" s="558" t="e">
        <f>+INPUT!#REF!</f>
        <v>#REF!</v>
      </c>
      <c r="BF29" s="559" t="e">
        <f>+INPUT!#REF!</f>
        <v>#REF!</v>
      </c>
      <c r="BG29" s="560" t="e">
        <f>+INPUT!#REF!</f>
        <v>#REF!</v>
      </c>
      <c r="BH29" s="559" t="e">
        <f>+INPUT!#REF!</f>
        <v>#REF!</v>
      </c>
      <c r="BI29" s="560" t="e">
        <f>+INPUT!#REF!</f>
        <v>#REF!</v>
      </c>
      <c r="BJ29" s="559" t="e">
        <f>+INPUT!#REF!</f>
        <v>#REF!</v>
      </c>
      <c r="BK29" s="560" t="e">
        <f>+INPUT!#REF!</f>
        <v>#REF!</v>
      </c>
      <c r="BL29" s="559" t="e">
        <f>+INPUT!#REF!</f>
        <v>#REF!</v>
      </c>
      <c r="BM29" s="560" t="e">
        <f>+INPUT!#REF!</f>
        <v>#REF!</v>
      </c>
      <c r="BN29" s="559" t="e">
        <f>+INPUT!#REF!</f>
        <v>#REF!</v>
      </c>
      <c r="BO29" s="561" t="e">
        <f>+INPUT!#REF!</f>
        <v>#REF!</v>
      </c>
      <c r="BP29" s="559" t="e">
        <f>+INPUT!#REF!</f>
        <v>#REF!</v>
      </c>
      <c r="BQ29" s="561" t="e">
        <f>+INPUT!#REF!</f>
        <v>#REF!</v>
      </c>
      <c r="BR29" s="559" t="str">
        <f>+INPUT!BA845</f>
        <v>NA</v>
      </c>
      <c r="BS29" s="561">
        <f>+INPUT!BB845</f>
        <v>3.5561147458480122</v>
      </c>
      <c r="BT29" s="559" t="str">
        <f>+INPUT!BC845</f>
        <v>NA</v>
      </c>
      <c r="BU29" s="561">
        <f>+INPUT!BD845</f>
        <v>4.5168138400994469</v>
      </c>
      <c r="BV29" s="559">
        <f>+INPUT!BE845</f>
        <v>27.015413250461378</v>
      </c>
      <c r="BW29" s="561">
        <f>+INPUT!BF845</f>
        <v>4.2905208252640294</v>
      </c>
      <c r="BX29" s="559">
        <f>+INPUT!BG845</f>
        <v>-5.0100142013033491</v>
      </c>
      <c r="BY29" s="561">
        <f>+INPUT!BH845</f>
        <v>4.549602665983083</v>
      </c>
      <c r="BZ29" s="559">
        <f>+INPUT!BI845</f>
        <v>6.0384706489126501</v>
      </c>
      <c r="CA29" s="561">
        <f>+INPUT!BJ845</f>
        <v>5.0474930659270347</v>
      </c>
      <c r="CB29" s="559">
        <f>+INPUT!BK845</f>
        <v>10.943601815310757</v>
      </c>
      <c r="CC29" s="561">
        <f>+INPUT!BL845</f>
        <v>5.696041499291117</v>
      </c>
      <c r="CD29" s="559">
        <f>+INPUT!BM845</f>
        <v>12.848921729919567</v>
      </c>
      <c r="CE29" s="561">
        <f>+INPUT!BN845</f>
        <v>6.0453425267725773</v>
      </c>
      <c r="CF29" s="559">
        <f>+INPUT!BO845</f>
        <v>6.1323469557750201</v>
      </c>
      <c r="CG29" s="561">
        <f>+INPUT!BP845</f>
        <v>6.3982805255733526</v>
      </c>
      <c r="CH29" s="559">
        <f>+INPUT!BQ845</f>
        <v>5.838180338628348</v>
      </c>
      <c r="CI29" s="561">
        <f>+INPUT!BR845</f>
        <v>6.7461607794123113</v>
      </c>
      <c r="CJ29" s="559">
        <f>+INPUT!BS845</f>
        <v>5.4370897376023493</v>
      </c>
      <c r="CK29" s="561">
        <f>+INPUT!BT845</f>
        <v>7.1006337608389298</v>
      </c>
      <c r="CL29" s="559">
        <f>+INPUT!BU845</f>
        <v>5.254440162594193</v>
      </c>
      <c r="CM29" s="559">
        <f>+INPUT!BV845</f>
        <v>7.0642000424969709</v>
      </c>
    </row>
    <row r="30" spans="1:115" s="526" customFormat="1" ht="12" hidden="1" customHeight="1" outlineLevel="1" x14ac:dyDescent="0.2">
      <c r="A30" s="505" t="s">
        <v>167</v>
      </c>
      <c r="B30" s="551">
        <f>(B25/B57)-B29</f>
        <v>0</v>
      </c>
      <c r="C30" s="550"/>
      <c r="D30" s="551">
        <f t="shared" ref="D30" si="39">(D25/D57)-D29</f>
        <v>0</v>
      </c>
      <c r="E30" s="550"/>
      <c r="F30" s="551">
        <f t="shared" ref="F30" si="40">(F25/F57)-F29</f>
        <v>0</v>
      </c>
      <c r="G30" s="550"/>
      <c r="H30" s="551">
        <f t="shared" ref="H30" si="41">(H25/H57)-H29</f>
        <v>0</v>
      </c>
      <c r="I30" s="550"/>
      <c r="J30" s="551">
        <f t="shared" ref="J30" si="42">(J25/J57)-J29</f>
        <v>0</v>
      </c>
      <c r="K30" s="550"/>
      <c r="L30" s="551">
        <f t="shared" ref="L30" si="43">(L25/L57)-L29</f>
        <v>0</v>
      </c>
      <c r="M30" s="550"/>
      <c r="N30" s="551">
        <f t="shared" ref="N30" si="44">(N25/N57)-N29</f>
        <v>2.7498323272969305E-2</v>
      </c>
      <c r="O30" s="550"/>
      <c r="P30" s="551">
        <f t="shared" ref="P30" si="45">(P25/P57)-P29</f>
        <v>2.7824337914852393E-2</v>
      </c>
      <c r="Q30" s="550"/>
      <c r="R30" s="551">
        <f t="shared" ref="R30" si="46">(R25/R57)-R29</f>
        <v>2.7470686767167685E-2</v>
      </c>
      <c r="S30" s="550"/>
      <c r="T30" s="551">
        <f t="shared" ref="T30" si="47">(T25/T57)-T29</f>
        <v>5.5294906166219571E-2</v>
      </c>
      <c r="U30" s="550"/>
      <c r="V30" s="551">
        <f t="shared" ref="V30" si="48">(V25/V57)-V29</f>
        <v>-2.2204460492503131E-15</v>
      </c>
      <c r="W30" s="550"/>
      <c r="X30" s="551">
        <f t="shared" ref="X30" si="49">(X25/X57)-X29</f>
        <v>0</v>
      </c>
      <c r="Y30" s="550"/>
      <c r="Z30" s="551">
        <f t="shared" ref="Z30" si="50">(Z25/Z57)-Z29</f>
        <v>-1.1102230246251565E-15</v>
      </c>
      <c r="AA30" s="550"/>
      <c r="AB30" s="551">
        <f t="shared" ref="AB30" si="51">(AB25/AB57)-AB29</f>
        <v>0</v>
      </c>
      <c r="AC30" s="550"/>
      <c r="AD30" s="551">
        <f t="shared" ref="AD30" si="52">(AD25/AD57)-AD29</f>
        <v>0</v>
      </c>
      <c r="AE30" s="550"/>
      <c r="AF30" s="551">
        <f t="shared" ref="AF30:AN30" si="53">(AF25/AF57)-AF29</f>
        <v>0</v>
      </c>
      <c r="AG30" s="550"/>
      <c r="AH30" s="551">
        <f t="shared" si="53"/>
        <v>0</v>
      </c>
      <c r="AI30" s="550"/>
      <c r="AJ30" s="551">
        <f t="shared" si="53"/>
        <v>0</v>
      </c>
      <c r="AK30" s="550"/>
      <c r="AL30" s="551">
        <f t="shared" si="53"/>
        <v>0</v>
      </c>
      <c r="AM30" s="550"/>
      <c r="AN30" s="551">
        <f t="shared" si="53"/>
        <v>0</v>
      </c>
      <c r="AO30" s="550"/>
      <c r="AP30" s="551">
        <f t="shared" ref="AP30" si="54">(AP25/AP57)-AP29</f>
        <v>-3.9968028886505635E-15</v>
      </c>
      <c r="AQ30" s="550"/>
      <c r="AR30" s="551">
        <f t="shared" ref="AR30" si="55">(AR25/AR57)-AR29</f>
        <v>0</v>
      </c>
      <c r="AS30" s="550"/>
      <c r="AT30" s="551">
        <f t="shared" ref="AT30" si="56">(AT25/AT57)-AT29</f>
        <v>0</v>
      </c>
      <c r="AU30" s="550"/>
      <c r="AV30" s="551">
        <f t="shared" ref="AV30" si="57">(AV25/AV57)-AV29</f>
        <v>0</v>
      </c>
      <c r="AW30" s="550"/>
      <c r="AX30" s="507"/>
      <c r="AY30" s="549"/>
      <c r="AZ30" s="550"/>
      <c r="BA30" s="549"/>
      <c r="BB30" s="550"/>
      <c r="BC30" s="549"/>
      <c r="BD30" s="550"/>
      <c r="BE30" s="549"/>
      <c r="BF30" s="550"/>
      <c r="BG30" s="549"/>
      <c r="BH30" s="550"/>
      <c r="BI30" s="549"/>
      <c r="BJ30" s="550"/>
      <c r="BK30" s="549"/>
      <c r="BL30" s="550"/>
      <c r="BM30" s="551" t="e">
        <f>(BM19/BM57)-BM29</f>
        <v>#REF!</v>
      </c>
      <c r="BN30" s="550"/>
      <c r="BO30" s="551" t="e">
        <f>(BO19/BO57)-BO29</f>
        <v>#REF!</v>
      </c>
      <c r="BP30" s="550"/>
      <c r="BQ30" s="551" t="e">
        <f>(BQ19/BQ57)-BQ29</f>
        <v>#REF!</v>
      </c>
      <c r="BR30" s="550"/>
      <c r="BS30" s="551">
        <f>(BS25/BS57)-BS29</f>
        <v>7.7839288709949717E-2</v>
      </c>
      <c r="BT30" s="550"/>
      <c r="BU30" s="551">
        <f>(BU25/BU57)-BU29</f>
        <v>0.16377794523987887</v>
      </c>
      <c r="BV30" s="550"/>
      <c r="BW30" s="551">
        <f>(BW25/BW57)-BW29</f>
        <v>0.11043974488082853</v>
      </c>
      <c r="BX30" s="550"/>
      <c r="BY30" s="551">
        <f>(BY25/BY57)-BY29</f>
        <v>0.10493035973680964</v>
      </c>
      <c r="BZ30" s="550"/>
      <c r="CA30" s="551">
        <f>(CA25/CA57)-CA29</f>
        <v>3.584382334115066E-2</v>
      </c>
      <c r="CB30" s="550"/>
      <c r="CC30" s="551">
        <f>(CC25/CC57)-CC29</f>
        <v>2.2808587191692986E-2</v>
      </c>
      <c r="CD30" s="550"/>
      <c r="CE30" s="551">
        <f>(CE25/CE57)-CE29</f>
        <v>2.4351073330917572E-2</v>
      </c>
      <c r="CF30" s="550"/>
      <c r="CG30" s="551">
        <f>(CG25/CG57)-CG29</f>
        <v>2.6251914695071044E-2</v>
      </c>
      <c r="CH30" s="550"/>
      <c r="CI30" s="551">
        <f>(CI25/CI57)-CI29</f>
        <v>2.794466928503514E-2</v>
      </c>
      <c r="CJ30" s="550"/>
      <c r="CK30" s="551">
        <f>(CK25/CK57)-CK29</f>
        <v>2.968449328855538E-2</v>
      </c>
      <c r="CL30" s="550"/>
      <c r="CM30" s="550"/>
    </row>
    <row r="31" spans="1:115" s="475" customFormat="1" ht="12" customHeight="1" collapsed="1" x14ac:dyDescent="0.2">
      <c r="A31" s="489"/>
      <c r="B31" s="553"/>
      <c r="C31" s="554"/>
      <c r="D31" s="553"/>
      <c r="E31" s="554"/>
      <c r="F31" s="553"/>
      <c r="G31" s="554"/>
      <c r="H31" s="553"/>
      <c r="I31" s="554"/>
      <c r="J31" s="553"/>
      <c r="K31" s="554"/>
      <c r="L31" s="553"/>
      <c r="M31" s="554"/>
      <c r="N31" s="553"/>
      <c r="O31" s="554"/>
      <c r="P31" s="553"/>
      <c r="Q31" s="554"/>
      <c r="R31" s="553"/>
      <c r="S31" s="554"/>
      <c r="T31" s="553"/>
      <c r="U31" s="554"/>
      <c r="V31" s="553"/>
      <c r="W31" s="554"/>
      <c r="X31" s="553"/>
      <c r="Y31" s="554"/>
      <c r="Z31" s="553"/>
      <c r="AA31" s="554"/>
      <c r="AB31" s="553"/>
      <c r="AC31" s="554"/>
      <c r="AD31" s="553"/>
      <c r="AE31" s="554"/>
      <c r="AF31" s="553"/>
      <c r="AG31" s="554"/>
      <c r="AH31" s="553"/>
      <c r="AI31" s="554"/>
      <c r="AJ31" s="553"/>
      <c r="AK31" s="554"/>
      <c r="AL31" s="553"/>
      <c r="AM31" s="554"/>
      <c r="AN31" s="553"/>
      <c r="AO31" s="554"/>
      <c r="AP31" s="553"/>
      <c r="AQ31" s="554"/>
      <c r="AR31" s="553"/>
      <c r="AS31" s="554"/>
      <c r="AT31" s="553"/>
      <c r="AU31" s="554"/>
      <c r="AV31" s="553"/>
      <c r="AW31" s="554"/>
      <c r="AX31" s="513"/>
      <c r="AY31" s="553"/>
      <c r="AZ31" s="554"/>
      <c r="BA31" s="553"/>
      <c r="BB31" s="554"/>
      <c r="BC31" s="553"/>
      <c r="BD31" s="554"/>
      <c r="BE31" s="553"/>
      <c r="BF31" s="554"/>
      <c r="BG31" s="553"/>
      <c r="BH31" s="554"/>
      <c r="BI31" s="553"/>
      <c r="BJ31" s="554"/>
      <c r="BK31" s="553"/>
      <c r="BL31" s="554"/>
      <c r="BM31" s="553"/>
      <c r="BN31" s="554"/>
      <c r="BO31" s="553"/>
      <c r="BP31" s="554"/>
      <c r="BQ31" s="553"/>
      <c r="BR31" s="554"/>
      <c r="BS31" s="553"/>
      <c r="BT31" s="554"/>
      <c r="BU31" s="553"/>
      <c r="BV31" s="554"/>
      <c r="BW31" s="553"/>
      <c r="BX31" s="554"/>
      <c r="BY31" s="553"/>
      <c r="BZ31" s="554"/>
      <c r="CA31" s="553"/>
      <c r="CB31" s="554"/>
      <c r="CC31" s="553"/>
      <c r="CD31" s="554"/>
      <c r="CE31" s="553"/>
      <c r="CF31" s="554"/>
      <c r="CG31" s="553"/>
      <c r="CH31" s="554"/>
      <c r="CI31" s="553"/>
      <c r="CJ31" s="554"/>
      <c r="CK31" s="553"/>
      <c r="CL31" s="554"/>
      <c r="CM31" s="554"/>
    </row>
    <row r="32" spans="1:115" s="475" customFormat="1" ht="12" customHeight="1" x14ac:dyDescent="0.2">
      <c r="A32" s="519" t="str">
        <f>+INPUT!B731</f>
        <v>Net Income</v>
      </c>
      <c r="B32" s="548">
        <f>+INPUT!C731</f>
        <v>178.30000000000013</v>
      </c>
      <c r="C32" s="522" t="str">
        <f>+INPUT!D731</f>
        <v>NA</v>
      </c>
      <c r="D32" s="548">
        <f>+INPUT!E731</f>
        <v>222.29999999999998</v>
      </c>
      <c r="E32" s="522" t="str">
        <f>+INPUT!F731</f>
        <v>NA</v>
      </c>
      <c r="F32" s="548">
        <f>+INPUT!G731</f>
        <v>245.7</v>
      </c>
      <c r="G32" s="522" t="str">
        <f>+INPUT!H731</f>
        <v>NA</v>
      </c>
      <c r="H32" s="548">
        <f>+INPUT!I731</f>
        <v>233.4</v>
      </c>
      <c r="I32" s="522" t="str">
        <f>+INPUT!J731</f>
        <v>NA</v>
      </c>
      <c r="J32" s="548">
        <f>+INPUT!K731</f>
        <v>293.60000000000002</v>
      </c>
      <c r="K32" s="522">
        <f>+INPUT!L731</f>
        <v>64.666292765002709</v>
      </c>
      <c r="L32" s="548">
        <f>+INPUT!M731</f>
        <v>306.2</v>
      </c>
      <c r="M32" s="522">
        <f>+INPUT!N731</f>
        <v>37.741790373369327</v>
      </c>
      <c r="N32" s="548">
        <f>+INPUT!O731</f>
        <v>268.37692307692311</v>
      </c>
      <c r="O32" s="522">
        <f>+INPUT!P731</f>
        <v>9.2295169218246258</v>
      </c>
      <c r="P32" s="548">
        <f>+INPUT!Q731</f>
        <v>273.6307692307692</v>
      </c>
      <c r="Q32" s="522">
        <f>+INPUT!R731</f>
        <v>17.236833432206168</v>
      </c>
      <c r="R32" s="548">
        <f>+INPUT!S731</f>
        <v>420.6615384615385</v>
      </c>
      <c r="S32" s="522">
        <f>+INPUT!T731</f>
        <v>43.277090756654815</v>
      </c>
      <c r="T32" s="548">
        <f>+INPUT!U731</f>
        <v>239.48461538461532</v>
      </c>
      <c r="U32" s="522">
        <f>+INPUT!V731</f>
        <v>-21.788172637290884</v>
      </c>
      <c r="V32" s="548">
        <f>+INPUT!W731</f>
        <v>303.20000000000005</v>
      </c>
      <c r="W32" s="522">
        <f>+INPUT!X731</f>
        <v>12.97543638396057</v>
      </c>
      <c r="X32" s="548">
        <f>+INPUT!Y731</f>
        <v>253.6</v>
      </c>
      <c r="Y32" s="522">
        <f>+INPUT!Z731</f>
        <v>-7.3203643314966769</v>
      </c>
      <c r="Z32" s="548">
        <f>+INPUT!AA731</f>
        <v>367.99999999999994</v>
      </c>
      <c r="AA32" s="522">
        <f>+INPUT!AB731</f>
        <v>-12.518743371246771</v>
      </c>
      <c r="AB32" s="548">
        <f>+INPUT!AC731</f>
        <v>322.3</v>
      </c>
      <c r="AC32" s="522">
        <f>+INPUT!AD731</f>
        <v>34.580670028587065</v>
      </c>
      <c r="AD32" s="548">
        <f>+INPUT!AE731</f>
        <v>308.20000000000005</v>
      </c>
      <c r="AE32" s="522">
        <f>+INPUT!AF731</f>
        <v>1.6490765171504052</v>
      </c>
      <c r="AF32" s="548">
        <f>+INPUT!AG731</f>
        <v>318.00000000000006</v>
      </c>
      <c r="AG32" s="522">
        <f>+INPUT!AH731</f>
        <v>25.394321766561532</v>
      </c>
      <c r="AH32" s="548">
        <f>+INPUT!AI731</f>
        <v>348.9</v>
      </c>
      <c r="AI32" s="522">
        <f>+INPUT!AJ731</f>
        <v>-5.1902173913043441</v>
      </c>
      <c r="AJ32" s="548">
        <f>+INPUT!AK731</f>
        <v>309.5</v>
      </c>
      <c r="AK32" s="522">
        <f>+INPUT!AL731</f>
        <v>-3.9714551659944135</v>
      </c>
      <c r="AL32" s="548">
        <f>+INPUT!AM731</f>
        <v>810.19999999999993</v>
      </c>
      <c r="AM32" s="522" t="str">
        <f>+INPUT!AN731</f>
        <v>NM</v>
      </c>
      <c r="AN32" s="548">
        <f>+INPUT!AO731</f>
        <v>841.80000000000007</v>
      </c>
      <c r="AO32" s="522" t="str">
        <f>+INPUT!AP731</f>
        <v>NM</v>
      </c>
      <c r="AP32" s="548">
        <f>+INPUT!AQ731</f>
        <v>385.3315127143195</v>
      </c>
      <c r="AQ32" s="522">
        <f>+INPUT!AR731</f>
        <v>10.441820783697196</v>
      </c>
      <c r="AR32" s="548">
        <f>+INPUT!AS731</f>
        <v>392.42053478040253</v>
      </c>
      <c r="AS32" s="522">
        <f>+INPUT!AT731</f>
        <v>26.791772142294846</v>
      </c>
      <c r="AT32" s="548">
        <f>+INPUT!AU731</f>
        <v>407.20074125233941</v>
      </c>
      <c r="AU32" s="522">
        <f>+INPUT!AV731</f>
        <v>-49.740713249526117</v>
      </c>
      <c r="AV32" s="548">
        <f>+INPUT!AW731</f>
        <v>421.36507885339699</v>
      </c>
      <c r="AW32" s="522">
        <f>+INPUT!AX731</f>
        <v>-49.944751858707889</v>
      </c>
      <c r="AX32" s="531"/>
      <c r="AY32" s="531" t="e">
        <f>+INPUT!#REF!</f>
        <v>#REF!</v>
      </c>
      <c r="AZ32" s="522" t="e">
        <f>+INPUT!#REF!</f>
        <v>#REF!</v>
      </c>
      <c r="BA32" s="531" t="e">
        <f>+INPUT!#REF!</f>
        <v>#REF!</v>
      </c>
      <c r="BB32" s="522" t="e">
        <f>+INPUT!#REF!</f>
        <v>#REF!</v>
      </c>
      <c r="BC32" s="531" t="e">
        <f>+INPUT!#REF!</f>
        <v>#REF!</v>
      </c>
      <c r="BD32" s="522" t="e">
        <f>+INPUT!#REF!</f>
        <v>#REF!</v>
      </c>
      <c r="BE32" s="531" t="e">
        <f>+INPUT!#REF!</f>
        <v>#REF!</v>
      </c>
      <c r="BF32" s="522" t="e">
        <f>+INPUT!#REF!</f>
        <v>#REF!</v>
      </c>
      <c r="BG32" s="548" t="e">
        <f>+INPUT!#REF!</f>
        <v>#REF!</v>
      </c>
      <c r="BH32" s="522" t="e">
        <f>+INPUT!#REF!</f>
        <v>#REF!</v>
      </c>
      <c r="BI32" s="548" t="e">
        <f>+INPUT!#REF!</f>
        <v>#REF!</v>
      </c>
      <c r="BJ32" s="522" t="e">
        <f>+INPUT!#REF!</f>
        <v>#REF!</v>
      </c>
      <c r="BK32" s="548" t="e">
        <f>+INPUT!#REF!</f>
        <v>#REF!</v>
      </c>
      <c r="BL32" s="522" t="e">
        <f>+INPUT!#REF!</f>
        <v>#REF!</v>
      </c>
      <c r="BM32" s="548" t="e">
        <f>+INPUT!#REF!</f>
        <v>#REF!</v>
      </c>
      <c r="BN32" s="522" t="e">
        <f>+INPUT!#REF!</f>
        <v>#REF!</v>
      </c>
      <c r="BO32" s="548" t="e">
        <f>+INPUT!#REF!</f>
        <v>#REF!</v>
      </c>
      <c r="BP32" s="522" t="e">
        <f>+INPUT!#REF!</f>
        <v>#REF!</v>
      </c>
      <c r="BQ32" s="548" t="e">
        <f>+INPUT!#REF!</f>
        <v>#REF!</v>
      </c>
      <c r="BR32" s="522" t="str">
        <f>+INPUT!BA731</f>
        <v>NA</v>
      </c>
      <c r="BS32" s="548">
        <f>+INPUT!BB731</f>
        <v>879.7</v>
      </c>
      <c r="BT32" s="522" t="str">
        <f>+INPUT!BC731</f>
        <v>NA</v>
      </c>
      <c r="BU32" s="548">
        <f>+INPUT!BD731</f>
        <v>1141.8076923076924</v>
      </c>
      <c r="BV32" s="522">
        <f>+INPUT!BE731</f>
        <v>29.795122463077462</v>
      </c>
      <c r="BW32" s="548">
        <f>+INPUT!BF731</f>
        <v>1216.9461538461542</v>
      </c>
      <c r="BX32" s="522">
        <f>+INPUT!BG731</f>
        <v>6.5806582005591991</v>
      </c>
      <c r="BY32" s="548">
        <f>+INPUT!BH731</f>
        <v>1316.5000000000009</v>
      </c>
      <c r="BZ32" s="522">
        <f>+INPUT!BI731</f>
        <v>8.1806286859288804</v>
      </c>
      <c r="CA32" s="548">
        <f>+INPUT!BJ731</f>
        <v>2310.4000000000005</v>
      </c>
      <c r="CB32" s="522">
        <f>+INPUT!BK731</f>
        <v>75.495632358526308</v>
      </c>
      <c r="CC32" s="548">
        <f>+INPUT!BL731</f>
        <v>1606.3178676004586</v>
      </c>
      <c r="CD32" s="522">
        <f>+INPUT!BM731</f>
        <v>-30.474469026988487</v>
      </c>
      <c r="CE32" s="548">
        <f>+INPUT!BN731</f>
        <v>1684.9258405600249</v>
      </c>
      <c r="CF32" s="522">
        <f>+INPUT!BO731</f>
        <v>4.8936748164914547</v>
      </c>
      <c r="CG32" s="548">
        <f>+INPUT!BP731</f>
        <v>1769.0015292388971</v>
      </c>
      <c r="CH32" s="522">
        <f>+INPUT!BQ731</f>
        <v>4.9898747265296777</v>
      </c>
      <c r="CI32" s="548">
        <f>+INPUT!BR731</f>
        <v>1847.1765009373312</v>
      </c>
      <c r="CJ32" s="522">
        <f>+INPUT!BS731</f>
        <v>4.4191579490645552</v>
      </c>
      <c r="CK32" s="548">
        <f>+INPUT!BT731</f>
        <v>1927.2069968015803</v>
      </c>
      <c r="CL32" s="522">
        <f>+INPUT!BU731</f>
        <v>4.3325852090278545</v>
      </c>
      <c r="CM32" s="522">
        <f>+INPUT!BV731</f>
        <v>-3.5619905681000152</v>
      </c>
    </row>
    <row r="33" spans="1:91" s="475" customFormat="1" ht="12" customHeight="1" x14ac:dyDescent="0.2">
      <c r="A33" s="517"/>
      <c r="B33" s="536"/>
      <c r="C33" s="522"/>
      <c r="D33" s="536"/>
      <c r="E33" s="522"/>
      <c r="F33" s="536"/>
      <c r="G33" s="522"/>
      <c r="H33" s="536"/>
      <c r="I33" s="522"/>
      <c r="J33" s="536"/>
      <c r="K33" s="522"/>
      <c r="L33" s="536"/>
      <c r="M33" s="522"/>
      <c r="N33" s="536"/>
      <c r="O33" s="522"/>
      <c r="P33" s="536"/>
      <c r="Q33" s="522"/>
      <c r="R33" s="536"/>
      <c r="S33" s="522"/>
      <c r="T33" s="536"/>
      <c r="U33" s="522"/>
      <c r="V33" s="536"/>
      <c r="W33" s="522"/>
      <c r="X33" s="536"/>
      <c r="Y33" s="522"/>
      <c r="Z33" s="536"/>
      <c r="AA33" s="522"/>
      <c r="AB33" s="536"/>
      <c r="AC33" s="522"/>
      <c r="AD33" s="536"/>
      <c r="AE33" s="522"/>
      <c r="AF33" s="536"/>
      <c r="AG33" s="522"/>
      <c r="AH33" s="536"/>
      <c r="AI33" s="522"/>
      <c r="AJ33" s="536"/>
      <c r="AK33" s="522"/>
      <c r="AL33" s="536"/>
      <c r="AM33" s="522"/>
      <c r="AN33" s="536"/>
      <c r="AO33" s="522"/>
      <c r="AP33" s="536"/>
      <c r="AQ33" s="522"/>
      <c r="AR33" s="536"/>
      <c r="AS33" s="522"/>
      <c r="AT33" s="536"/>
      <c r="AU33" s="522"/>
      <c r="AV33" s="536"/>
      <c r="AW33" s="522"/>
      <c r="AX33" s="490"/>
      <c r="AY33" s="524"/>
      <c r="AZ33" s="522"/>
      <c r="BA33" s="524"/>
      <c r="BB33" s="522"/>
      <c r="BC33" s="524"/>
      <c r="BD33" s="522"/>
      <c r="BE33" s="524"/>
      <c r="BF33" s="522"/>
      <c r="BG33" s="536"/>
      <c r="BH33" s="522"/>
      <c r="BI33" s="536"/>
      <c r="BJ33" s="522"/>
      <c r="BK33" s="536"/>
      <c r="BL33" s="522"/>
      <c r="BM33" s="536"/>
      <c r="BN33" s="522"/>
      <c r="BO33" s="536"/>
      <c r="BP33" s="522"/>
      <c r="BQ33" s="536"/>
      <c r="BR33" s="522"/>
      <c r="BS33" s="536"/>
      <c r="BT33" s="522"/>
      <c r="BU33" s="536"/>
      <c r="BV33" s="522"/>
      <c r="BW33" s="536"/>
      <c r="BX33" s="522"/>
      <c r="BY33" s="536"/>
      <c r="BZ33" s="522"/>
      <c r="CA33" s="536"/>
      <c r="CB33" s="522"/>
      <c r="CC33" s="536"/>
      <c r="CD33" s="522"/>
      <c r="CE33" s="536"/>
      <c r="CF33" s="522"/>
      <c r="CG33" s="536"/>
      <c r="CH33" s="522"/>
      <c r="CI33" s="536"/>
      <c r="CJ33" s="522"/>
      <c r="CK33" s="536"/>
      <c r="CL33" s="522"/>
      <c r="CM33" s="522"/>
    </row>
    <row r="34" spans="1:91" s="544" customFormat="1" ht="12" customHeight="1" x14ac:dyDescent="0.2">
      <c r="A34" s="539" t="str">
        <f>+INPUT!B848</f>
        <v xml:space="preserve">Net EPS </v>
      </c>
      <c r="B34" s="543">
        <f>+INPUT!C848</f>
        <v>0.60013463480309692</v>
      </c>
      <c r="C34" s="541" t="str">
        <f>+INPUT!D848</f>
        <v>NA</v>
      </c>
      <c r="D34" s="543">
        <f>+INPUT!E848</f>
        <v>0.74798115746971738</v>
      </c>
      <c r="E34" s="541" t="str">
        <f>+INPUT!F848</f>
        <v>NA</v>
      </c>
      <c r="F34" s="543">
        <f>+INPUT!G848</f>
        <v>0.82283991962491621</v>
      </c>
      <c r="G34" s="541" t="str">
        <f>+INPUT!H848</f>
        <v>NA</v>
      </c>
      <c r="H34" s="543">
        <f>+INPUT!I848</f>
        <v>0.77981957901770793</v>
      </c>
      <c r="I34" s="541" t="str">
        <f>+INPUT!J848</f>
        <v>NA</v>
      </c>
      <c r="J34" s="543">
        <f>+INPUT!K848</f>
        <v>0.98030050083472464</v>
      </c>
      <c r="K34" s="541">
        <f>+INPUT!L848</f>
        <v>63.34676320695263</v>
      </c>
      <c r="L34" s="543">
        <f>+INPUT!M848</f>
        <v>1.026483405967147</v>
      </c>
      <c r="M34" s="541">
        <f>+INPUT!N848</f>
        <v>37.233858863444027</v>
      </c>
      <c r="N34" s="543">
        <f>+INPUT!O848</f>
        <v>0.89998968167982263</v>
      </c>
      <c r="O34" s="541">
        <f>+INPUT!P848</f>
        <v>9.3760353885205916</v>
      </c>
      <c r="P34" s="543">
        <f>+INPUT!Q848</f>
        <v>0.91730060084066101</v>
      </c>
      <c r="Q34" s="541">
        <f>+INPUT!R848</f>
        <v>17.629849970698316</v>
      </c>
      <c r="R34" s="543">
        <f>+INPUT!S848</f>
        <v>1.4092513851307822</v>
      </c>
      <c r="S34" s="541">
        <f>+INPUT!T848</f>
        <v>43.757081010445944</v>
      </c>
      <c r="T34" s="543">
        <f>+INPUT!U848</f>
        <v>0.80256238399670021</v>
      </c>
      <c r="U34" s="541">
        <f>+INPUT!V848</f>
        <v>-21.81438303520062</v>
      </c>
      <c r="V34" s="543">
        <f>+INPUT!W848</f>
        <v>1.0157453936348411</v>
      </c>
      <c r="W34" s="541">
        <f>+INPUT!X848</f>
        <v>12.861893231815884</v>
      </c>
      <c r="X34" s="543">
        <f>+INPUT!Y848</f>
        <v>0.85617825793382851</v>
      </c>
      <c r="Y34" s="541">
        <f>+INPUT!Z848</f>
        <v>-6.6632838625437358</v>
      </c>
      <c r="Z34" s="543">
        <f>+INPUT!AA848</f>
        <v>1.2504247366632686</v>
      </c>
      <c r="AA34" s="541">
        <f>+INPUT!AB848</f>
        <v>-11.270285070734502</v>
      </c>
      <c r="AB34" s="543">
        <f>+INPUT!AC848</f>
        <v>1.1015037593984962</v>
      </c>
      <c r="AC34" s="541">
        <f>+INPUT!AD848</f>
        <v>37.248366153555622</v>
      </c>
      <c r="AD34" s="543">
        <f>+INPUT!AE848</f>
        <v>1.0576527110501033</v>
      </c>
      <c r="AE34" s="541">
        <f>+INPUT!AF848</f>
        <v>4.125769870862726</v>
      </c>
      <c r="AF34" s="543">
        <f>+INPUT!AG848</f>
        <v>1.0890410958904111</v>
      </c>
      <c r="AG34" s="541">
        <f>+INPUT!AH848</f>
        <v>27.197938723477819</v>
      </c>
      <c r="AH34" s="543">
        <f>+INPUT!AI848</f>
        <v>1.1932284541723666</v>
      </c>
      <c r="AI34" s="541">
        <f>+INPUT!AJ848</f>
        <v>-4.5741483524653432</v>
      </c>
      <c r="AJ34" s="543">
        <f>+INPUT!AK848</f>
        <v>1.0573966518619748</v>
      </c>
      <c r="AK34" s="541">
        <f>+INPUT!AL848</f>
        <v>-4.0042630050220822</v>
      </c>
      <c r="AL34" s="543">
        <f>+INPUT!AM848</f>
        <v>2.76471591878519</v>
      </c>
      <c r="AM34" s="541" t="str">
        <f>+INPUT!AN848</f>
        <v>NM</v>
      </c>
      <c r="AN34" s="543">
        <f>+INPUT!AO848</f>
        <v>2.8671662125340598</v>
      </c>
      <c r="AO34" s="541" t="str">
        <f>+INPUT!AP848</f>
        <v>NM</v>
      </c>
      <c r="AP34" s="543">
        <f>+INPUT!AQ848</f>
        <v>1.3161302357000839</v>
      </c>
      <c r="AQ34" s="541">
        <f>+INPUT!AR848</f>
        <v>10.299937207997871</v>
      </c>
      <c r="AR34" s="543">
        <f>+INPUT!AS848</f>
        <v>1.3445894755996002</v>
      </c>
      <c r="AS34" s="541">
        <f>+INPUT!AT848</f>
        <v>27.160368177060718</v>
      </c>
      <c r="AT34" s="543">
        <f>+INPUT!AU848</f>
        <v>1.3990311145164593</v>
      </c>
      <c r="AU34" s="541">
        <f>+INPUT!AV848</f>
        <v>-49.396930620951807</v>
      </c>
      <c r="AV34" s="543">
        <f>+INPUT!AW848</f>
        <v>1.450643535831635</v>
      </c>
      <c r="AW34" s="541">
        <f>+INPUT!AX848</f>
        <v>-49.404972425734371</v>
      </c>
      <c r="AX34" s="418"/>
      <c r="AY34" s="540" t="e">
        <f>+INPUT!#REF!</f>
        <v>#REF!</v>
      </c>
      <c r="AZ34" s="541" t="e">
        <f>+INPUT!#REF!</f>
        <v>#REF!</v>
      </c>
      <c r="BA34" s="540" t="e">
        <f>+INPUT!#REF!</f>
        <v>#REF!</v>
      </c>
      <c r="BB34" s="541" t="e">
        <f>+INPUT!#REF!</f>
        <v>#REF!</v>
      </c>
      <c r="BC34" s="540" t="e">
        <f>+INPUT!#REF!</f>
        <v>#REF!</v>
      </c>
      <c r="BD34" s="541" t="e">
        <f>+INPUT!#REF!</f>
        <v>#REF!</v>
      </c>
      <c r="BE34" s="540" t="e">
        <f>+INPUT!#REF!</f>
        <v>#REF!</v>
      </c>
      <c r="BF34" s="541" t="e">
        <f>+INPUT!#REF!</f>
        <v>#REF!</v>
      </c>
      <c r="BG34" s="542" t="e">
        <f>+INPUT!#REF!</f>
        <v>#REF!</v>
      </c>
      <c r="BH34" s="541" t="e">
        <f>+INPUT!#REF!</f>
        <v>#REF!</v>
      </c>
      <c r="BI34" s="542" t="e">
        <f>+INPUT!#REF!</f>
        <v>#REF!</v>
      </c>
      <c r="BJ34" s="541" t="e">
        <f>+INPUT!#REF!</f>
        <v>#REF!</v>
      </c>
      <c r="BK34" s="542" t="e">
        <f>+INPUT!#REF!</f>
        <v>#REF!</v>
      </c>
      <c r="BL34" s="541" t="e">
        <f>+INPUT!#REF!</f>
        <v>#REF!</v>
      </c>
      <c r="BM34" s="542" t="e">
        <f>+INPUT!#REF!</f>
        <v>#REF!</v>
      </c>
      <c r="BN34" s="541" t="e">
        <f>+INPUT!#REF!</f>
        <v>#REF!</v>
      </c>
      <c r="BO34" s="543" t="e">
        <f>+INPUT!#REF!</f>
        <v>#REF!</v>
      </c>
      <c r="BP34" s="541" t="e">
        <f>+INPUT!#REF!</f>
        <v>#REF!</v>
      </c>
      <c r="BQ34" s="543" t="e">
        <f>+INPUT!#REF!</f>
        <v>#REF!</v>
      </c>
      <c r="BR34" s="541" t="str">
        <f>+INPUT!BA848</f>
        <v>NA</v>
      </c>
      <c r="BS34" s="543">
        <f>+INPUT!BB848</f>
        <v>2.9515182016440193</v>
      </c>
      <c r="BT34" s="541" t="str">
        <f>+INPUT!BC848</f>
        <v>NA</v>
      </c>
      <c r="BU34" s="543">
        <f>+INPUT!BD848</f>
        <v>3.8241905461197101</v>
      </c>
      <c r="BV34" s="541">
        <f>+INPUT!BE848</f>
        <v>29.566896927472953</v>
      </c>
      <c r="BW34" s="543">
        <f>+INPUT!BF848</f>
        <v>4.0850827587987721</v>
      </c>
      <c r="BX34" s="541">
        <f>+INPUT!BG848</f>
        <v>6.822155160228121</v>
      </c>
      <c r="BY34" s="543">
        <f>+INPUT!BH848</f>
        <v>4.4997009313851173</v>
      </c>
      <c r="BZ34" s="541">
        <f>+INPUT!BI848</f>
        <v>10.149566044734541</v>
      </c>
      <c r="CA34" s="543">
        <f>+INPUT!BJ848</f>
        <v>7.8870066140388326</v>
      </c>
      <c r="CB34" s="541">
        <f>+INPUT!BK848</f>
        <v>75.27846259798028</v>
      </c>
      <c r="CC34" s="543">
        <f>+INPUT!BL848</f>
        <v>5.5097944393135139</v>
      </c>
      <c r="CD34" s="541">
        <f>+INPUT!BM848</f>
        <v>-30.140867011495757</v>
      </c>
      <c r="CE34" s="543">
        <f>+INPUT!BN848</f>
        <v>5.8420443810236966</v>
      </c>
      <c r="CF34" s="541">
        <f>+INPUT!BO848</f>
        <v>6.0301694622127968</v>
      </c>
      <c r="CG34" s="543">
        <f>+INPUT!BP848</f>
        <v>6.1771849653661421</v>
      </c>
      <c r="CH34" s="541">
        <f>+INPUT!BQ848</f>
        <v>5.7367004165709261</v>
      </c>
      <c r="CI34" s="543">
        <f>+INPUT!BR848</f>
        <v>6.5053626478962503</v>
      </c>
      <c r="CJ34" s="541">
        <f>+INPUT!BS848</f>
        <v>5.3127384782893046</v>
      </c>
      <c r="CK34" s="543">
        <f>+INPUT!BT848</f>
        <v>6.8386303564365996</v>
      </c>
      <c r="CL34" s="541">
        <f>+INPUT!BU848</f>
        <v>5.1229689500572846</v>
      </c>
      <c r="CM34" s="541">
        <f>+INPUT!BV848</f>
        <v>-2.8122819818793054</v>
      </c>
    </row>
    <row r="35" spans="1:91" s="526" customFormat="1" ht="12" hidden="1" customHeight="1" outlineLevel="1" x14ac:dyDescent="0.2">
      <c r="A35" s="505" t="s">
        <v>167</v>
      </c>
      <c r="B35" s="551">
        <f>(B32/B57)-B34</f>
        <v>0</v>
      </c>
      <c r="C35" s="550"/>
      <c r="D35" s="551">
        <f t="shared" ref="D35" si="58">(D32/D57)-D34</f>
        <v>0</v>
      </c>
      <c r="E35" s="550"/>
      <c r="F35" s="551">
        <f t="shared" ref="F35" si="59">(F32/F57)-F34</f>
        <v>0</v>
      </c>
      <c r="G35" s="550"/>
      <c r="H35" s="551">
        <f t="shared" ref="H35" si="60">(H32/H57)-H34</f>
        <v>0</v>
      </c>
      <c r="I35" s="550"/>
      <c r="J35" s="551">
        <f t="shared" ref="J35" si="61">(J32/J57)-J34</f>
        <v>0</v>
      </c>
      <c r="K35" s="550"/>
      <c r="L35" s="551">
        <f t="shared" ref="L35" si="62">(L32/L57)-L34</f>
        <v>0</v>
      </c>
      <c r="M35" s="550"/>
      <c r="N35" s="551">
        <f t="shared" ref="N35" si="63">(N32/N57)-N34</f>
        <v>0</v>
      </c>
      <c r="O35" s="550"/>
      <c r="P35" s="551">
        <f t="shared" ref="P35" si="64">(P32/P57)-P34</f>
        <v>0</v>
      </c>
      <c r="Q35" s="550"/>
      <c r="R35" s="551">
        <f t="shared" ref="R35" si="65">(R32/R57)-R34</f>
        <v>0</v>
      </c>
      <c r="S35" s="550"/>
      <c r="T35" s="551">
        <f t="shared" ref="T35" si="66">(T32/T57)-T34</f>
        <v>0</v>
      </c>
      <c r="U35" s="550"/>
      <c r="V35" s="551">
        <f t="shared" ref="V35" si="67">(V32/V57)-V34</f>
        <v>0</v>
      </c>
      <c r="W35" s="550"/>
      <c r="X35" s="551">
        <f t="shared" ref="X35" si="68">(X32/X57)-X34</f>
        <v>0</v>
      </c>
      <c r="Y35" s="550"/>
      <c r="Z35" s="551">
        <f t="shared" ref="Z35" si="69">(Z32/Z57)-Z34</f>
        <v>0</v>
      </c>
      <c r="AA35" s="550"/>
      <c r="AB35" s="551">
        <f t="shared" ref="AB35" si="70">(AB32/AB57)-AB34</f>
        <v>0</v>
      </c>
      <c r="AC35" s="550"/>
      <c r="AD35" s="551">
        <f t="shared" ref="AD35" si="71">(AD32/AD57)-AD34</f>
        <v>0</v>
      </c>
      <c r="AE35" s="550"/>
      <c r="AF35" s="551">
        <f t="shared" ref="AF35:AN35" si="72">(AF32/AF57)-AF34</f>
        <v>0</v>
      </c>
      <c r="AG35" s="550"/>
      <c r="AH35" s="551">
        <f t="shared" si="72"/>
        <v>0</v>
      </c>
      <c r="AI35" s="550"/>
      <c r="AJ35" s="551">
        <f t="shared" si="72"/>
        <v>0</v>
      </c>
      <c r="AK35" s="550"/>
      <c r="AL35" s="551">
        <f t="shared" si="72"/>
        <v>0</v>
      </c>
      <c r="AM35" s="550"/>
      <c r="AN35" s="551">
        <f t="shared" si="72"/>
        <v>0</v>
      </c>
      <c r="AO35" s="550"/>
      <c r="AP35" s="551">
        <f t="shared" ref="AP35" si="73">(AP32/AP57)-AP34</f>
        <v>0</v>
      </c>
      <c r="AQ35" s="550"/>
      <c r="AR35" s="551">
        <f t="shared" ref="AR35" si="74">(AR32/AR57)-AR34</f>
        <v>0</v>
      </c>
      <c r="AS35" s="550"/>
      <c r="AT35" s="551">
        <f t="shared" ref="AT35" si="75">(AT32/AT57)-AT34</f>
        <v>0</v>
      </c>
      <c r="AU35" s="550"/>
      <c r="AV35" s="551">
        <f t="shared" ref="AV35" si="76">(AV32/AV57)-AV34</f>
        <v>0</v>
      </c>
      <c r="AW35" s="550"/>
      <c r="AX35" s="507"/>
      <c r="AY35" s="549"/>
      <c r="AZ35" s="550"/>
      <c r="BA35" s="549"/>
      <c r="BB35" s="550"/>
      <c r="BC35" s="549"/>
      <c r="BD35" s="550"/>
      <c r="BE35" s="549"/>
      <c r="BF35" s="550"/>
      <c r="BG35" s="549"/>
      <c r="BH35" s="550"/>
      <c r="BI35" s="549"/>
      <c r="BJ35" s="550"/>
      <c r="BK35" s="549"/>
      <c r="BL35" s="550"/>
      <c r="BM35" s="551" t="e">
        <f>(BM32/BM57)-BM34</f>
        <v>#REF!</v>
      </c>
      <c r="BN35" s="550"/>
      <c r="BO35" s="551" t="e">
        <f>(BO32/BO57)-BO34</f>
        <v>#REF!</v>
      </c>
      <c r="BP35" s="550"/>
      <c r="BQ35" s="551" t="e">
        <f>(BQ32/BQ57)-BQ34</f>
        <v>#REF!</v>
      </c>
      <c r="BR35" s="550"/>
      <c r="BS35" s="551">
        <f>(BS32/BS57)-BS34</f>
        <v>0</v>
      </c>
      <c r="BT35" s="550"/>
      <c r="BU35" s="551">
        <f>(BU32/BU57)-BU34</f>
        <v>0</v>
      </c>
      <c r="BV35" s="550"/>
      <c r="BW35" s="551">
        <f>(BW32/BW57)-BW34</f>
        <v>0</v>
      </c>
      <c r="BX35" s="550"/>
      <c r="BY35" s="551">
        <f>(BY32/BY57)-BY34</f>
        <v>0</v>
      </c>
      <c r="BZ35" s="550"/>
      <c r="CA35" s="551">
        <f>(CA32/CA57)-CA34</f>
        <v>0</v>
      </c>
      <c r="CB35" s="550"/>
      <c r="CC35" s="551">
        <f>(CC32/CC57)-CC34</f>
        <v>0</v>
      </c>
      <c r="CD35" s="550"/>
      <c r="CE35" s="551">
        <f>(CE32/CE57)-CE34</f>
        <v>0</v>
      </c>
      <c r="CF35" s="550"/>
      <c r="CG35" s="551">
        <f>(CG32/CG57)-CG34</f>
        <v>0</v>
      </c>
      <c r="CH35" s="550"/>
      <c r="CI35" s="551">
        <f>(CI32/CI57)-CI34</f>
        <v>0</v>
      </c>
      <c r="CJ35" s="550"/>
      <c r="CK35" s="551">
        <f>(CK32/CK57)-CK34</f>
        <v>0</v>
      </c>
      <c r="CL35" s="550"/>
      <c r="CM35" s="550"/>
    </row>
    <row r="36" spans="1:91" s="475" customFormat="1" ht="12" customHeight="1" collapsed="1" x14ac:dyDescent="0.2">
      <c r="A36" s="489"/>
      <c r="B36" s="524"/>
      <c r="C36" s="522"/>
      <c r="D36" s="524"/>
      <c r="E36" s="522"/>
      <c r="F36" s="524"/>
      <c r="G36" s="522"/>
      <c r="H36" s="524"/>
      <c r="I36" s="522"/>
      <c r="J36" s="524"/>
      <c r="K36" s="522"/>
      <c r="L36" s="524"/>
      <c r="M36" s="522"/>
      <c r="N36" s="524"/>
      <c r="O36" s="522"/>
      <c r="P36" s="524"/>
      <c r="Q36" s="522"/>
      <c r="R36" s="524"/>
      <c r="S36" s="522"/>
      <c r="T36" s="524"/>
      <c r="U36" s="522"/>
      <c r="V36" s="524"/>
      <c r="W36" s="522"/>
      <c r="X36" s="524"/>
      <c r="Y36" s="522"/>
      <c r="Z36" s="524"/>
      <c r="AA36" s="522"/>
      <c r="AB36" s="524"/>
      <c r="AC36" s="522"/>
      <c r="AD36" s="524"/>
      <c r="AE36" s="522"/>
      <c r="AF36" s="524"/>
      <c r="AG36" s="522"/>
      <c r="AH36" s="524"/>
      <c r="AI36" s="522"/>
      <c r="AJ36" s="524"/>
      <c r="AK36" s="522"/>
      <c r="AL36" s="524"/>
      <c r="AM36" s="522"/>
      <c r="AN36" s="524"/>
      <c r="AO36" s="522"/>
      <c r="AP36" s="524"/>
      <c r="AQ36" s="522"/>
      <c r="AR36" s="524"/>
      <c r="AS36" s="522"/>
      <c r="AT36" s="524"/>
      <c r="AU36" s="522"/>
      <c r="AV36" s="524"/>
      <c r="AW36" s="522"/>
      <c r="AX36" s="490"/>
      <c r="AY36" s="524"/>
      <c r="AZ36" s="522"/>
      <c r="BA36" s="524"/>
      <c r="BB36" s="522"/>
      <c r="BC36" s="555"/>
      <c r="BD36" s="522"/>
      <c r="BE36" s="524"/>
      <c r="BF36" s="522"/>
      <c r="BG36" s="524"/>
      <c r="BH36" s="522"/>
      <c r="BI36" s="524"/>
      <c r="BJ36" s="522"/>
      <c r="BK36" s="524"/>
      <c r="BL36" s="522"/>
      <c r="BM36" s="524"/>
      <c r="BN36" s="522"/>
      <c r="BO36" s="524"/>
      <c r="BP36" s="522"/>
      <c r="BQ36" s="524"/>
      <c r="BR36" s="522"/>
      <c r="BS36" s="524"/>
      <c r="BT36" s="522"/>
      <c r="BU36" s="524"/>
      <c r="BV36" s="522"/>
      <c r="BW36" s="524"/>
      <c r="BX36" s="522"/>
      <c r="BY36" s="524"/>
      <c r="BZ36" s="522"/>
      <c r="CA36" s="524"/>
      <c r="CB36" s="522"/>
      <c r="CC36" s="524"/>
      <c r="CD36" s="522"/>
      <c r="CE36" s="524"/>
      <c r="CF36" s="522"/>
      <c r="CG36" s="524"/>
      <c r="CH36" s="522"/>
      <c r="CI36" s="524"/>
      <c r="CJ36" s="522"/>
      <c r="CK36" s="524"/>
      <c r="CL36" s="522"/>
      <c r="CM36" s="522"/>
    </row>
    <row r="37" spans="1:91" s="475" customFormat="1" ht="12" customHeight="1" x14ac:dyDescent="0.2">
      <c r="A37" s="519" t="str">
        <f>+INPUT!B902</f>
        <v>Profitability</v>
      </c>
      <c r="B37" s="524"/>
      <c r="C37" s="522"/>
      <c r="D37" s="524"/>
      <c r="E37" s="522"/>
      <c r="F37" s="524"/>
      <c r="G37" s="522"/>
      <c r="H37" s="524"/>
      <c r="I37" s="522"/>
      <c r="J37" s="524"/>
      <c r="K37" s="522"/>
      <c r="L37" s="524"/>
      <c r="M37" s="522"/>
      <c r="N37" s="524"/>
      <c r="O37" s="522"/>
      <c r="P37" s="524"/>
      <c r="Q37" s="522"/>
      <c r="R37" s="524"/>
      <c r="S37" s="522"/>
      <c r="T37" s="524"/>
      <c r="U37" s="522"/>
      <c r="V37" s="524"/>
      <c r="W37" s="522"/>
      <c r="X37" s="524"/>
      <c r="Y37" s="522"/>
      <c r="Z37" s="524"/>
      <c r="AA37" s="522"/>
      <c r="AB37" s="524"/>
      <c r="AC37" s="522"/>
      <c r="AD37" s="524"/>
      <c r="AE37" s="522"/>
      <c r="AF37" s="524"/>
      <c r="AG37" s="522"/>
      <c r="AH37" s="524"/>
      <c r="AI37" s="522"/>
      <c r="AJ37" s="524"/>
      <c r="AK37" s="522"/>
      <c r="AL37" s="524"/>
      <c r="AM37" s="522"/>
      <c r="AN37" s="524"/>
      <c r="AO37" s="522"/>
      <c r="AP37" s="524"/>
      <c r="AQ37" s="522"/>
      <c r="AR37" s="524"/>
      <c r="AS37" s="522"/>
      <c r="AT37" s="524"/>
      <c r="AU37" s="522"/>
      <c r="AV37" s="524"/>
      <c r="AW37" s="522"/>
      <c r="AX37" s="490"/>
      <c r="AY37" s="524"/>
      <c r="AZ37" s="522"/>
      <c r="BA37" s="524"/>
      <c r="BB37" s="522"/>
      <c r="BC37" s="524"/>
      <c r="BD37" s="522"/>
      <c r="BE37" s="524"/>
      <c r="BF37" s="522"/>
      <c r="BG37" s="524"/>
      <c r="BH37" s="522"/>
      <c r="BI37" s="524"/>
      <c r="BJ37" s="522"/>
      <c r="BK37" s="524"/>
      <c r="BL37" s="522"/>
      <c r="BM37" s="524"/>
      <c r="BN37" s="522"/>
      <c r="BO37" s="524"/>
      <c r="BP37" s="522"/>
      <c r="BQ37" s="524"/>
      <c r="BR37" s="522"/>
      <c r="BS37" s="524"/>
      <c r="BT37" s="522"/>
      <c r="BU37" s="524"/>
      <c r="BV37" s="522"/>
      <c r="BW37" s="524"/>
      <c r="BX37" s="522"/>
      <c r="BY37" s="524"/>
      <c r="BZ37" s="522"/>
      <c r="CA37" s="524"/>
      <c r="CB37" s="522"/>
      <c r="CC37" s="524"/>
      <c r="CD37" s="522"/>
      <c r="CE37" s="524"/>
      <c r="CF37" s="522"/>
      <c r="CG37" s="524"/>
      <c r="CH37" s="522"/>
      <c r="CI37" s="524"/>
      <c r="CJ37" s="522"/>
      <c r="CK37" s="524"/>
      <c r="CL37" s="522"/>
      <c r="CM37" s="522"/>
    </row>
    <row r="38" spans="1:91" s="475" customFormat="1" ht="12" customHeight="1" x14ac:dyDescent="0.2">
      <c r="A38" s="517" t="str">
        <f>+INPUT!B903</f>
        <v>Operating ROE (Excl FAS 115)(%)</v>
      </c>
      <c r="B38" s="530" t="e">
        <f>+INPUT!C903</f>
        <v>#REF!</v>
      </c>
      <c r="C38" s="522" t="str">
        <f>+INPUT!D903</f>
        <v>NA</v>
      </c>
      <c r="D38" s="530">
        <f>+INPUT!E903</f>
        <v>12.533842876687812</v>
      </c>
      <c r="E38" s="522" t="str">
        <f>+INPUT!F903</f>
        <v>NA</v>
      </c>
      <c r="F38" s="530">
        <f>+INPUT!G903</f>
        <v>12.294904145876389</v>
      </c>
      <c r="G38" s="522" t="str">
        <f>+INPUT!H903</f>
        <v>NA</v>
      </c>
      <c r="H38" s="530">
        <f>+INPUT!I903</f>
        <v>12.916993637477347</v>
      </c>
      <c r="I38" s="522" t="str">
        <f>+INPUT!J903</f>
        <v>NA</v>
      </c>
      <c r="J38" s="530">
        <f>+INPUT!K903</f>
        <v>14.055234410938255</v>
      </c>
      <c r="K38" s="522" t="str">
        <f>+INPUT!L903</f>
        <v>NA</v>
      </c>
      <c r="L38" s="530">
        <f>+INPUT!M903</f>
        <v>14.085965820818227</v>
      </c>
      <c r="M38" s="522">
        <f>+INPUT!N903</f>
        <v>12.383456210523192</v>
      </c>
      <c r="N38" s="530">
        <f>+INPUT!O903</f>
        <v>16.355210132649603</v>
      </c>
      <c r="O38" s="522">
        <f>+INPUT!P903</f>
        <v>33.024299649664272</v>
      </c>
      <c r="P38" s="530">
        <f>+INPUT!Q903</f>
        <v>13.788370073824014</v>
      </c>
      <c r="Q38" s="522">
        <f>+INPUT!R903</f>
        <v>6.7459693857745435</v>
      </c>
      <c r="R38" s="530">
        <f>+INPUT!S903</f>
        <v>13.695046891578505</v>
      </c>
      <c r="S38" s="522">
        <f>+INPUT!T903</f>
        <v>-2.5626575041640081</v>
      </c>
      <c r="T38" s="530">
        <f>+INPUT!U903</f>
        <v>12.629573555577492</v>
      </c>
      <c r="U38" s="522">
        <f>+INPUT!V903</f>
        <v>-10.339314206543605</v>
      </c>
      <c r="V38" s="530">
        <f>+INPUT!W903</f>
        <v>12.687518286907324</v>
      </c>
      <c r="W38" s="522">
        <f>+INPUT!X903</f>
        <v>-22.425219951289606</v>
      </c>
      <c r="X38" s="530">
        <f>+INPUT!Y903</f>
        <v>11.925974000432671</v>
      </c>
      <c r="Y38" s="522">
        <f>+INPUT!Z903</f>
        <v>-13.507006726827967</v>
      </c>
      <c r="Z38" s="530">
        <f>+INPUT!AA903</f>
        <v>11.12287415378937</v>
      </c>
      <c r="AA38" s="522">
        <f>+INPUT!AB903</f>
        <v>-18.781773864322005</v>
      </c>
      <c r="AB38" s="530">
        <f>+INPUT!AC903</f>
        <v>12.893047182394929</v>
      </c>
      <c r="AC38" s="522">
        <f>+INPUT!AD903</f>
        <v>2.0861640787632325</v>
      </c>
      <c r="AD38" s="530">
        <f>+INPUT!AE903</f>
        <v>12.654911458971435</v>
      </c>
      <c r="AE38" s="522">
        <f>+INPUT!AF903</f>
        <v>-0.25699925862993211</v>
      </c>
      <c r="AF38" s="530">
        <f>+INPUT!AG903</f>
        <v>13.774397948651487</v>
      </c>
      <c r="AG38" s="522">
        <f>+INPUT!AH903</f>
        <v>15.499144540745718</v>
      </c>
      <c r="AH38" s="530">
        <f>+INPUT!AI903</f>
        <v>13.488852582860419</v>
      </c>
      <c r="AI38" s="522">
        <f>+INPUT!AJ903</f>
        <v>21.271286507049084</v>
      </c>
      <c r="AJ38" s="530">
        <f>+INPUT!AK903</f>
        <v>13.727332098732298</v>
      </c>
      <c r="AK38" s="522">
        <f>+INPUT!AL903</f>
        <v>6.4708125591641306</v>
      </c>
      <c r="AL38" s="530">
        <f>+INPUT!AM903</f>
        <v>12.867571103918463</v>
      </c>
      <c r="AM38" s="522">
        <f>+INPUT!AN903</f>
        <v>1.6804514645281472</v>
      </c>
      <c r="AN38" s="530">
        <f>+INPUT!AO903</f>
        <v>11.392754493935019</v>
      </c>
      <c r="AO38" s="522">
        <f>+INPUT!AP903</f>
        <v>-17.290363350868859</v>
      </c>
      <c r="AP38" s="530">
        <f>+INPUT!AQ903</f>
        <v>12.489918520505052</v>
      </c>
      <c r="AQ38" s="522">
        <f>+INPUT!AR903</f>
        <v>-7.4056266551882999</v>
      </c>
      <c r="AR38" s="530">
        <f>+INPUT!AS903</f>
        <v>12.553437419738355</v>
      </c>
      <c r="AS38" s="522">
        <f>+INPUT!AT903</f>
        <v>-8.5515136557550875</v>
      </c>
      <c r="AT38" s="530">
        <f>+INPUT!AU903</f>
        <v>12.834216959046746</v>
      </c>
      <c r="AU38" s="522">
        <f>+INPUT!AV903</f>
        <v>-0.25921088449676688</v>
      </c>
      <c r="AV38" s="530">
        <f>+INPUT!AW903</f>
        <v>13.064395207949387</v>
      </c>
      <c r="AW38" s="522">
        <f>+INPUT!AX903</f>
        <v>14.672840662934263</v>
      </c>
      <c r="AX38" s="490"/>
      <c r="AY38" s="521" t="e">
        <f>+INPUT!#REF!</f>
        <v>#REF!</v>
      </c>
      <c r="AZ38" s="522" t="e">
        <f>+INPUT!#REF!</f>
        <v>#REF!</v>
      </c>
      <c r="BA38" s="521" t="e">
        <f>+INPUT!#REF!</f>
        <v>#REF!</v>
      </c>
      <c r="BB38" s="522" t="e">
        <f>+INPUT!#REF!</f>
        <v>#REF!</v>
      </c>
      <c r="BC38" s="521" t="e">
        <f>+INPUT!#REF!</f>
        <v>#REF!</v>
      </c>
      <c r="BD38" s="522" t="e">
        <f>+INPUT!#REF!</f>
        <v>#REF!</v>
      </c>
      <c r="BE38" s="521" t="e">
        <f>+INPUT!#REF!</f>
        <v>#REF!</v>
      </c>
      <c r="BF38" s="522" t="e">
        <f>+INPUT!#REF!</f>
        <v>#REF!</v>
      </c>
      <c r="BG38" s="530" t="e">
        <f>+INPUT!#REF!</f>
        <v>#REF!</v>
      </c>
      <c r="BH38" s="522" t="e">
        <f>+INPUT!#REF!</f>
        <v>#REF!</v>
      </c>
      <c r="BI38" s="530" t="e">
        <f>+INPUT!#REF!</f>
        <v>#REF!</v>
      </c>
      <c r="BJ38" s="522" t="e">
        <f>+INPUT!#REF!</f>
        <v>#REF!</v>
      </c>
      <c r="BK38" s="530" t="e">
        <f>+INPUT!#REF!</f>
        <v>#REF!</v>
      </c>
      <c r="BL38" s="522" t="e">
        <f>+INPUT!#REF!</f>
        <v>#REF!</v>
      </c>
      <c r="BM38" s="530" t="e">
        <f>+INPUT!#REF!</f>
        <v>#REF!</v>
      </c>
      <c r="BN38" s="522" t="e">
        <f>+INPUT!#REF!</f>
        <v>#REF!</v>
      </c>
      <c r="BO38" s="530" t="e">
        <f>+INPUT!#REF!</f>
        <v>#REF!</v>
      </c>
      <c r="BP38" s="522" t="e">
        <f>+INPUT!#REF!</f>
        <v>#REF!</v>
      </c>
      <c r="BQ38" s="530" t="e">
        <f>+INPUT!#REF!</f>
        <v>#REF!</v>
      </c>
      <c r="BR38" s="522" t="str">
        <f>+INPUT!BA903</f>
        <v>NA</v>
      </c>
      <c r="BS38" s="530">
        <f>+INPUT!BB903</f>
        <v>10.577844311377246</v>
      </c>
      <c r="BT38" s="522" t="str">
        <f>+INPUT!BC903</f>
        <v>NA</v>
      </c>
      <c r="BU38" s="530">
        <f>+INPUT!BD903</f>
        <v>13.375926171058261</v>
      </c>
      <c r="BV38" s="522">
        <f>+INPUT!BE903</f>
        <v>26.452288172472649</v>
      </c>
      <c r="BW38" s="530">
        <f>+INPUT!BF903</f>
        <v>12.568550296439851</v>
      </c>
      <c r="BX38" s="522">
        <f>+INPUT!BG903</f>
        <v>-6.0360371632832681</v>
      </c>
      <c r="BY38" s="530">
        <f>+INPUT!BH903</f>
        <v>12.619095020050633</v>
      </c>
      <c r="BZ38" s="522">
        <f>+INPUT!BI903</f>
        <v>0.40215237572067508</v>
      </c>
      <c r="CA38" s="530">
        <f>+INPUT!BJ903</f>
        <v>12.537786766046398</v>
      </c>
      <c r="CB38" s="522">
        <f>+INPUT!BK903</f>
        <v>-0.64432713974372291</v>
      </c>
      <c r="CC38" s="530">
        <f>+INPUT!BL903</f>
        <v>12.711392330592853</v>
      </c>
      <c r="CD38" s="522">
        <f>+INPUT!BM903</f>
        <v>1.384658774199238</v>
      </c>
      <c r="CE38" s="530">
        <f>+INPUT!BN903</f>
        <v>12.595126143711077</v>
      </c>
      <c r="CF38" s="522">
        <f>+INPUT!BO903</f>
        <v>-0.91466130426918824</v>
      </c>
      <c r="CG38" s="530">
        <f>+INPUT!BP903</f>
        <v>12.50885043262722</v>
      </c>
      <c r="CH38" s="522">
        <f>+INPUT!BQ903</f>
        <v>-0.68499283055561477</v>
      </c>
      <c r="CI38" s="530">
        <f>+INPUT!BR903</f>
        <v>12.38530013990886</v>
      </c>
      <c r="CJ38" s="522">
        <f>+INPUT!BS903</f>
        <v>-0.98770301382850789</v>
      </c>
      <c r="CK38" s="530">
        <f>+INPUT!BT903</f>
        <v>12.275993499465848</v>
      </c>
      <c r="CL38" s="522">
        <f>+INPUT!BU903</f>
        <v>-0.88255140536155352</v>
      </c>
      <c r="CM38" s="522">
        <f>+INPUT!BV903</f>
        <v>-0.42113908106924391</v>
      </c>
    </row>
    <row r="39" spans="1:91" s="475" customFormat="1" ht="12" customHeight="1" x14ac:dyDescent="0.2">
      <c r="A39" s="517" t="str">
        <f>+INPUT!B905</f>
        <v>Reported ROE (Excl FAS 115)(%)</v>
      </c>
      <c r="B39" s="530" t="e">
        <f>+INPUT!C905</f>
        <v>#REF!</v>
      </c>
      <c r="C39" s="522" t="str">
        <f>+INPUT!D905</f>
        <v>NA</v>
      </c>
      <c r="D39" s="530">
        <f>+INPUT!E905</f>
        <v>10.266297978952471</v>
      </c>
      <c r="E39" s="522" t="str">
        <f>+INPUT!F905</f>
        <v>NA</v>
      </c>
      <c r="F39" s="530">
        <f>+INPUT!G905</f>
        <v>11.221611993468903</v>
      </c>
      <c r="G39" s="522" t="str">
        <f>+INPUT!H905</f>
        <v>NA</v>
      </c>
      <c r="H39" s="530">
        <f>+INPUT!I905</f>
        <v>10.541350751703543</v>
      </c>
      <c r="I39" s="522" t="str">
        <f>+INPUT!J905</f>
        <v>NA</v>
      </c>
      <c r="J39" s="530">
        <f>+INPUT!K905</f>
        <v>13.01771868470496</v>
      </c>
      <c r="K39" s="522" t="str">
        <f>+INPUT!L905</f>
        <v>NA</v>
      </c>
      <c r="L39" s="530">
        <f>+INPUT!M905</f>
        <v>13.35332115893047</v>
      </c>
      <c r="M39" s="522">
        <f>+INPUT!N905</f>
        <v>30.069487426790886</v>
      </c>
      <c r="N39" s="530">
        <f>+INPUT!O905</f>
        <v>11.509246380887312</v>
      </c>
      <c r="O39" s="522">
        <f>+INPUT!P905</f>
        <v>2.5632180794151083</v>
      </c>
      <c r="P39" s="530">
        <f>+INPUT!Q905</f>
        <v>11.529851910344799</v>
      </c>
      <c r="Q39" s="522">
        <f>+INPUT!R905</f>
        <v>9.3773671128579963</v>
      </c>
      <c r="R39" s="530">
        <f>+INPUT!S905</f>
        <v>17.307435161602474</v>
      </c>
      <c r="S39" s="522">
        <f>+INPUT!T905</f>
        <v>32.952905042706703</v>
      </c>
      <c r="T39" s="530">
        <f>+INPUT!U905</f>
        <v>9.3848369455043095</v>
      </c>
      <c r="U39" s="522">
        <f>+INPUT!V905</f>
        <v>-29.719080116425616</v>
      </c>
      <c r="V39" s="530">
        <f>+INPUT!W905</f>
        <v>12.028941665385554</v>
      </c>
      <c r="W39" s="522">
        <f>+INPUT!X905</f>
        <v>4.5154588519476562</v>
      </c>
      <c r="X39" s="530">
        <f>+INPUT!Y905</f>
        <v>9.9750231085413095</v>
      </c>
      <c r="Y39" s="522">
        <f>+INPUT!Z905</f>
        <v>-13.485245204307162</v>
      </c>
      <c r="Z39" s="530">
        <f>+INPUT!AA905</f>
        <v>14.296953156110682</v>
      </c>
      <c r="AA39" s="522">
        <f>+INPUT!AB905</f>
        <v>-17.394154462416921</v>
      </c>
      <c r="AB39" s="530">
        <f>+INPUT!AC905</f>
        <v>12.32699230758198</v>
      </c>
      <c r="AC39" s="522">
        <f>+INPUT!AD905</f>
        <v>31.350095682664744</v>
      </c>
      <c r="AD39" s="530">
        <f>+INPUT!AE905</f>
        <v>11.618241619466776</v>
      </c>
      <c r="AE39" s="522">
        <f>+INPUT!AF905</f>
        <v>-3.4142658377054715</v>
      </c>
      <c r="AF39" s="530">
        <f>+INPUT!AG905</f>
        <v>11.77488856900853</v>
      </c>
      <c r="AG39" s="522">
        <f>+INPUT!AH905</f>
        <v>18.043722213796684</v>
      </c>
      <c r="AH39" s="530">
        <f>+INPUT!AI905</f>
        <v>12.702457938353575</v>
      </c>
      <c r="AI39" s="522">
        <f>+INPUT!AJ905</f>
        <v>-11.152692467734653</v>
      </c>
      <c r="AJ39" s="530">
        <f>+INPUT!AK905</f>
        <v>11.075623786646627</v>
      </c>
      <c r="AK39" s="522">
        <f>+INPUT!AL905</f>
        <v>-10.151450489392062</v>
      </c>
      <c r="AL39" s="530">
        <f>+INPUT!AM905</f>
        <v>27.897527718476688</v>
      </c>
      <c r="AM39" s="522" t="str">
        <f>+INPUT!AN905</f>
        <v>NM</v>
      </c>
      <c r="AN39" s="530">
        <f>+INPUT!AO905</f>
        <v>27.338713606027643</v>
      </c>
      <c r="AO39" s="522" t="str">
        <f>+INPUT!AP905</f>
        <v>NM</v>
      </c>
      <c r="AP39" s="530">
        <f>+INPUT!AQ905</f>
        <v>12.076698077459373</v>
      </c>
      <c r="AQ39" s="522">
        <f>+INPUT!AR905</f>
        <v>-4.9262895727038369</v>
      </c>
      <c r="AR39" s="530">
        <f>+INPUT!AS905</f>
        <v>12.137695822852873</v>
      </c>
      <c r="AS39" s="522">
        <f>+INPUT!AT905</f>
        <v>9.5892751204382591</v>
      </c>
      <c r="AT39" s="530">
        <f>+INPUT!AU905</f>
        <v>12.416389596259805</v>
      </c>
      <c r="AU39" s="522" t="str">
        <f>+INPUT!AV905</f>
        <v>NM</v>
      </c>
      <c r="AV39" s="530">
        <f>+INPUT!AW905</f>
        <v>12.645169712477575</v>
      </c>
      <c r="AW39" s="522" t="str">
        <f>+INPUT!AX905</f>
        <v>NM</v>
      </c>
      <c r="AX39" s="490"/>
      <c r="AY39" s="521" t="e">
        <f>+INPUT!#REF!</f>
        <v>#REF!</v>
      </c>
      <c r="AZ39" s="522" t="e">
        <f>+INPUT!#REF!</f>
        <v>#REF!</v>
      </c>
      <c r="BA39" s="521" t="e">
        <f>+INPUT!#REF!</f>
        <v>#REF!</v>
      </c>
      <c r="BB39" s="522" t="e">
        <f>+INPUT!#REF!</f>
        <v>#REF!</v>
      </c>
      <c r="BC39" s="521" t="e">
        <f>+INPUT!#REF!</f>
        <v>#REF!</v>
      </c>
      <c r="BD39" s="522" t="e">
        <f>+INPUT!#REF!</f>
        <v>#REF!</v>
      </c>
      <c r="BE39" s="521" t="e">
        <f>+INPUT!#REF!</f>
        <v>#REF!</v>
      </c>
      <c r="BF39" s="522" t="e">
        <f>+INPUT!#REF!</f>
        <v>#REF!</v>
      </c>
      <c r="BG39" s="530" t="e">
        <f>+INPUT!#REF!</f>
        <v>#REF!</v>
      </c>
      <c r="BH39" s="522" t="e">
        <f>+INPUT!#REF!</f>
        <v>#REF!</v>
      </c>
      <c r="BI39" s="530" t="e">
        <f>+INPUT!#REF!</f>
        <v>#REF!</v>
      </c>
      <c r="BJ39" s="522" t="e">
        <f>+INPUT!#REF!</f>
        <v>#REF!</v>
      </c>
      <c r="BK39" s="530" t="e">
        <f>+INPUT!#REF!</f>
        <v>#REF!</v>
      </c>
      <c r="BL39" s="522" t="e">
        <f>+INPUT!#REF!</f>
        <v>#REF!</v>
      </c>
      <c r="BM39" s="530" t="e">
        <f>+INPUT!#REF!</f>
        <v>#REF!</v>
      </c>
      <c r="BN39" s="522" t="e">
        <f>+INPUT!#REF!</f>
        <v>#REF!</v>
      </c>
      <c r="BO39" s="530" t="e">
        <f>+INPUT!#REF!</f>
        <v>#REF!</v>
      </c>
      <c r="BP39" s="522" t="e">
        <f>+INPUT!#REF!</f>
        <v>#REF!</v>
      </c>
      <c r="BQ39" s="530" t="e">
        <f>+INPUT!#REF!</f>
        <v>#REF!</v>
      </c>
      <c r="BR39" s="522" t="str">
        <f>+INPUT!BA905</f>
        <v>NA</v>
      </c>
      <c r="BS39" s="530">
        <f>+INPUT!BB905</f>
        <v>8.7794411177644722</v>
      </c>
      <c r="BT39" s="522" t="str">
        <f>+INPUT!BC905</f>
        <v>NA</v>
      </c>
      <c r="BU39" s="530">
        <f>+INPUT!BD905</f>
        <v>11.32481705463203</v>
      </c>
      <c r="BV39" s="522">
        <f>+INPUT!BE905</f>
        <v>28.992459801537933</v>
      </c>
      <c r="BW39" s="530">
        <f>+INPUT!BF905</f>
        <v>11.966744880191104</v>
      </c>
      <c r="BX39" s="522">
        <f>+INPUT!BG905</f>
        <v>5.6683284371160454</v>
      </c>
      <c r="BY39" s="530">
        <f>+INPUT!BH905</f>
        <v>12.48068409127538</v>
      </c>
      <c r="BZ39" s="522">
        <f>+INPUT!BI905</f>
        <v>4.2947285684598739</v>
      </c>
      <c r="CA39" s="530">
        <f>+INPUT!BJ905</f>
        <v>19.591033778083045</v>
      </c>
      <c r="CB39" s="522">
        <f>+INPUT!BK905</f>
        <v>56.970832967226158</v>
      </c>
      <c r="CC39" s="530">
        <f>+INPUT!BL905</f>
        <v>12.295759921648957</v>
      </c>
      <c r="CD39" s="522">
        <f>+INPUT!BM905</f>
        <v>-37.237819806096631</v>
      </c>
      <c r="CE39" s="530">
        <f>+INPUT!BN905</f>
        <v>12.171566059373436</v>
      </c>
      <c r="CF39" s="522">
        <f>+INPUT!BO905</f>
        <v>-1.0100543851450254</v>
      </c>
      <c r="CG39" s="530">
        <f>+INPUT!BP905</f>
        <v>12.076601286486181</v>
      </c>
      <c r="CH39" s="522">
        <f>+INPUT!BQ905</f>
        <v>-0.78021819397777392</v>
      </c>
      <c r="CI39" s="530">
        <f>+INPUT!BR905</f>
        <v>11.943218009127586</v>
      </c>
      <c r="CJ39" s="522">
        <f>+INPUT!BS905</f>
        <v>-1.1044769483931844</v>
      </c>
      <c r="CK39" s="530">
        <f>+INPUT!BT905</f>
        <v>11.823026595719933</v>
      </c>
      <c r="CL39" s="522">
        <f>+INPUT!BU905</f>
        <v>-1.0063570246795877</v>
      </c>
      <c r="CM39" s="522">
        <f>+INPUT!BV905</f>
        <v>-9.60711188508132</v>
      </c>
    </row>
    <row r="40" spans="1:91" s="475" customFormat="1" ht="12" customHeight="1" x14ac:dyDescent="0.2">
      <c r="A40" s="517" t="str">
        <f>+INPUT!B906</f>
        <v>Reported ROE (Incl FAS 115)(%)</v>
      </c>
      <c r="B40" s="530" t="e">
        <f>+INPUT!C906</f>
        <v>#REF!</v>
      </c>
      <c r="C40" s="522" t="str">
        <f>+INPUT!D906</f>
        <v>NA</v>
      </c>
      <c r="D40" s="530">
        <f>+INPUT!E906</f>
        <v>9.9112755807213855</v>
      </c>
      <c r="E40" s="522" t="str">
        <f>+INPUT!F906</f>
        <v>NA</v>
      </c>
      <c r="F40" s="530">
        <f>+INPUT!G906</f>
        <v>11.233283803863298</v>
      </c>
      <c r="G40" s="522" t="str">
        <f>+INPUT!H906</f>
        <v>NA</v>
      </c>
      <c r="H40" s="530">
        <f>+INPUT!I906</f>
        <v>10.443770765048718</v>
      </c>
      <c r="I40" s="522" t="str">
        <f>+INPUT!J906</f>
        <v>NA</v>
      </c>
      <c r="J40" s="530">
        <f>+INPUT!K906</f>
        <v>12.636041338275566</v>
      </c>
      <c r="K40" s="522" t="str">
        <f>+INPUT!L906</f>
        <v>NA</v>
      </c>
      <c r="L40" s="530">
        <f>+INPUT!M906</f>
        <v>12.688480604173899</v>
      </c>
      <c r="M40" s="522">
        <f>+INPUT!N906</f>
        <v>28.02066193028179</v>
      </c>
      <c r="N40" s="530">
        <f>+INPUT!O906</f>
        <v>10.935079527637415</v>
      </c>
      <c r="O40" s="522">
        <f>+INPUT!P906</f>
        <v>-2.6546491785716881</v>
      </c>
      <c r="P40" s="530">
        <f>+INPUT!Q906</f>
        <v>11.274212283668206</v>
      </c>
      <c r="Q40" s="522">
        <f>+INPUT!R906</f>
        <v>7.9515487011516512</v>
      </c>
      <c r="R40" s="530">
        <f>+INPUT!S906</f>
        <v>17.237930950243864</v>
      </c>
      <c r="S40" s="522">
        <f>+INPUT!T906</f>
        <v>36.418760344102481</v>
      </c>
      <c r="T40" s="530">
        <f>+INPUT!U906</f>
        <v>9.5241445768389479</v>
      </c>
      <c r="U40" s="522">
        <f>+INPUT!V906</f>
        <v>-24.938652042341744</v>
      </c>
      <c r="V40" s="530">
        <f>+INPUT!W906</f>
        <v>12.558960737714683</v>
      </c>
      <c r="W40" s="522">
        <f>+INPUT!X906</f>
        <v>14.85020027493222</v>
      </c>
      <c r="X40" s="530">
        <f>+INPUT!Y906</f>
        <v>10.716304227256639</v>
      </c>
      <c r="Y40" s="522">
        <f>+INPUT!Z906</f>
        <v>-4.9485324772512058</v>
      </c>
      <c r="Z40" s="530">
        <f>+INPUT!AA906</f>
        <v>15.211954612157161</v>
      </c>
      <c r="AA40" s="522">
        <f>+INPUT!AB906</f>
        <v>-11.753013421010621</v>
      </c>
      <c r="AB40" s="530">
        <f>+INPUT!AC906</f>
        <v>12.552272738336912</v>
      </c>
      <c r="AC40" s="522">
        <f>+INPUT!AD906</f>
        <v>31.794227156755284</v>
      </c>
      <c r="AD40" s="530">
        <f>+INPUT!AE906</f>
        <v>11.578685375898715</v>
      </c>
      <c r="AE40" s="522">
        <f>+INPUT!AF906</f>
        <v>-7.80538598924187</v>
      </c>
      <c r="AF40" s="530">
        <f>+INPUT!AG906</f>
        <v>12.101665406076521</v>
      </c>
      <c r="AG40" s="522">
        <f>+INPUT!AH906</f>
        <v>12.927602179268575</v>
      </c>
      <c r="AH40" s="530">
        <f>+INPUT!AI906</f>
        <v>13.391289328996228</v>
      </c>
      <c r="AI40" s="522">
        <f>+INPUT!AJ906</f>
        <v>-11.968647879779269</v>
      </c>
      <c r="AJ40" s="530">
        <f>+INPUT!AK906</f>
        <v>11.366035934301006</v>
      </c>
      <c r="AK40" s="522">
        <f>+INPUT!AL906</f>
        <v>-9.4503746752803011</v>
      </c>
      <c r="AL40" s="530">
        <f>+INPUT!AM906</f>
        <v>27.980746400742511</v>
      </c>
      <c r="AM40" s="522" t="str">
        <f>+INPUT!AN906</f>
        <v>NM</v>
      </c>
      <c r="AN40" s="530">
        <f>+INPUT!AO906</f>
        <v>27.104891389656967</v>
      </c>
      <c r="AO40" s="522" t="str">
        <f>+INPUT!AP906</f>
        <v>NM</v>
      </c>
      <c r="AP40" s="530">
        <f>+INPUT!AQ906</f>
        <v>11.92209987359583</v>
      </c>
      <c r="AQ40" s="522">
        <f>+INPUT!AR906</f>
        <v>-10.971232263790725</v>
      </c>
      <c r="AR40" s="530">
        <f>+INPUT!AS906</f>
        <v>11.984327314721545</v>
      </c>
      <c r="AS40" s="522">
        <f>+INPUT!AT906</f>
        <v>5.4398154641991567</v>
      </c>
      <c r="AT40" s="530">
        <f>+INPUT!AU906</f>
        <v>12.261694949354297</v>
      </c>
      <c r="AU40" s="522" t="str">
        <f>+INPUT!AV906</f>
        <v>NM</v>
      </c>
      <c r="AV40" s="530">
        <f>+INPUT!AW906</f>
        <v>12.490084811696347</v>
      </c>
      <c r="AW40" s="522" t="str">
        <f>+INPUT!AX906</f>
        <v>NM</v>
      </c>
      <c r="AX40" s="490"/>
      <c r="AY40" s="521" t="e">
        <f>+INPUT!#REF!</f>
        <v>#REF!</v>
      </c>
      <c r="AZ40" s="522" t="e">
        <f>+INPUT!#REF!</f>
        <v>#REF!</v>
      </c>
      <c r="BA40" s="521" t="e">
        <f>+INPUT!#REF!</f>
        <v>#REF!</v>
      </c>
      <c r="BB40" s="522" t="e">
        <f>+INPUT!#REF!</f>
        <v>#REF!</v>
      </c>
      <c r="BC40" s="521" t="e">
        <f>+INPUT!#REF!</f>
        <v>#REF!</v>
      </c>
      <c r="BD40" s="522" t="e">
        <f>+INPUT!#REF!</f>
        <v>#REF!</v>
      </c>
      <c r="BE40" s="521" t="e">
        <f>+INPUT!#REF!</f>
        <v>#REF!</v>
      </c>
      <c r="BF40" s="522" t="e">
        <f>+INPUT!#REF!</f>
        <v>#REF!</v>
      </c>
      <c r="BG40" s="530" t="e">
        <f>+INPUT!#REF!</f>
        <v>#REF!</v>
      </c>
      <c r="BH40" s="522" t="e">
        <f>+INPUT!#REF!</f>
        <v>#REF!</v>
      </c>
      <c r="BI40" s="530" t="e">
        <f>+INPUT!#REF!</f>
        <v>#REF!</v>
      </c>
      <c r="BJ40" s="522" t="e">
        <f>+INPUT!#REF!</f>
        <v>#REF!</v>
      </c>
      <c r="BK40" s="530" t="e">
        <f>+INPUT!#REF!</f>
        <v>#REF!</v>
      </c>
      <c r="BL40" s="522" t="e">
        <f>+INPUT!#REF!</f>
        <v>#REF!</v>
      </c>
      <c r="BM40" s="530" t="e">
        <f>+INPUT!#REF!</f>
        <v>#REF!</v>
      </c>
      <c r="BN40" s="522" t="e">
        <f>+INPUT!#REF!</f>
        <v>#REF!</v>
      </c>
      <c r="BO40" s="530" t="e">
        <f>+INPUT!#REF!</f>
        <v>#REF!</v>
      </c>
      <c r="BP40" s="522" t="e">
        <f>+INPUT!#REF!</f>
        <v>#REF!</v>
      </c>
      <c r="BQ40" s="530" t="e">
        <f>+INPUT!#REF!</f>
        <v>#REF!</v>
      </c>
      <c r="BR40" s="522" t="str">
        <f>+INPUT!BA906</f>
        <v>NA</v>
      </c>
      <c r="BS40" s="530" t="e">
        <f>+INPUT!BB906</f>
        <v>#REF!</v>
      </c>
      <c r="BT40" s="522" t="str">
        <f>+INPUT!BC906</f>
        <v>NA</v>
      </c>
      <c r="BU40" s="530">
        <f>+INPUT!BD906</f>
        <v>11.823810997454579</v>
      </c>
      <c r="BV40" s="522" t="str">
        <f>+INPUT!BE906</f>
        <v>NA</v>
      </c>
      <c r="BW40" s="530">
        <f>+INPUT!BF906</f>
        <v>12.856038261834829</v>
      </c>
      <c r="BX40" s="522">
        <f>+INPUT!BG906</f>
        <v>8.7300724326739214</v>
      </c>
      <c r="BY40" s="530">
        <f>+INPUT!BH906</f>
        <v>13.475681844934984</v>
      </c>
      <c r="BZ40" s="522">
        <f>+INPUT!BI906</f>
        <v>4.8198641796179515</v>
      </c>
      <c r="CA40" s="530">
        <f>+INPUT!BJ906</f>
        <v>20.023746999124661</v>
      </c>
      <c r="CB40" s="522">
        <f>+INPUT!BK906</f>
        <v>48.591716764601841</v>
      </c>
      <c r="CC40" s="530">
        <f>+INPUT!BL906</f>
        <v>12.141940916550913</v>
      </c>
      <c r="CD40" s="522">
        <f>+INPUT!BM906</f>
        <v>-39.362293595291142</v>
      </c>
      <c r="CE40" s="530">
        <f>+INPUT!BN906</f>
        <v>12.027769411757378</v>
      </c>
      <c r="CF40" s="522">
        <f>+INPUT!BO906</f>
        <v>-0.94030687167902727</v>
      </c>
      <c r="CG40" s="530">
        <f>+INPUT!BP906</f>
        <v>11.941680161709749</v>
      </c>
      <c r="CH40" s="522">
        <f>+INPUT!BQ906</f>
        <v>-0.71575407792133205</v>
      </c>
      <c r="CI40" s="530">
        <f>+INPUT!BR906</f>
        <v>11.816770648278007</v>
      </c>
      <c r="CJ40" s="522">
        <f>+INPUT!BS906</f>
        <v>-1.0459961390714199</v>
      </c>
      <c r="CK40" s="530">
        <f>+INPUT!BT906</f>
        <v>11.704192854504033</v>
      </c>
      <c r="CL40" s="522">
        <f>+INPUT!BU906</f>
        <v>-0.9526950900953608</v>
      </c>
      <c r="CM40" s="522">
        <f>+INPUT!BV906</f>
        <v>-10.182859576914149</v>
      </c>
    </row>
    <row r="41" spans="1:91" s="475" customFormat="1" ht="12" customHeight="1" x14ac:dyDescent="0.2">
      <c r="A41" s="489"/>
      <c r="B41" s="524"/>
      <c r="C41" s="522"/>
      <c r="D41" s="524"/>
      <c r="E41" s="522"/>
      <c r="F41" s="524"/>
      <c r="G41" s="522"/>
      <c r="H41" s="524"/>
      <c r="I41" s="522"/>
      <c r="J41" s="524"/>
      <c r="K41" s="522"/>
      <c r="L41" s="524"/>
      <c r="M41" s="522"/>
      <c r="N41" s="524"/>
      <c r="O41" s="522"/>
      <c r="P41" s="524"/>
      <c r="Q41" s="522"/>
      <c r="R41" s="524"/>
      <c r="S41" s="522"/>
      <c r="T41" s="524"/>
      <c r="U41" s="522"/>
      <c r="V41" s="524"/>
      <c r="W41" s="522"/>
      <c r="X41" s="524"/>
      <c r="Y41" s="522"/>
      <c r="Z41" s="524"/>
      <c r="AA41" s="522"/>
      <c r="AB41" s="524"/>
      <c r="AC41" s="522"/>
      <c r="AD41" s="524"/>
      <c r="AE41" s="522"/>
      <c r="AF41" s="524"/>
      <c r="AG41" s="522"/>
      <c r="AH41" s="524"/>
      <c r="AI41" s="522"/>
      <c r="AJ41" s="524"/>
      <c r="AK41" s="522"/>
      <c r="AL41" s="524"/>
      <c r="AM41" s="522"/>
      <c r="AN41" s="524"/>
      <c r="AO41" s="522"/>
      <c r="AP41" s="524"/>
      <c r="AQ41" s="522"/>
      <c r="AR41" s="524"/>
      <c r="AS41" s="522"/>
      <c r="AT41" s="524"/>
      <c r="AU41" s="522"/>
      <c r="AV41" s="524"/>
      <c r="AW41" s="522"/>
      <c r="AX41" s="490"/>
      <c r="AY41" s="524"/>
      <c r="AZ41" s="522"/>
      <c r="BA41" s="524"/>
      <c r="BB41" s="522"/>
      <c r="BC41" s="524"/>
      <c r="BD41" s="522"/>
      <c r="BE41" s="524"/>
      <c r="BF41" s="522"/>
      <c r="BG41" s="524"/>
      <c r="BH41" s="522"/>
      <c r="BI41" s="524"/>
      <c r="BJ41" s="522"/>
      <c r="BK41" s="524"/>
      <c r="BL41" s="522"/>
      <c r="BM41" s="524"/>
      <c r="BN41" s="522"/>
      <c r="BO41" s="524"/>
      <c r="BP41" s="522"/>
      <c r="BQ41" s="524"/>
      <c r="BR41" s="522"/>
      <c r="BS41" s="524"/>
      <c r="BT41" s="522"/>
      <c r="BU41" s="524"/>
      <c r="BV41" s="522"/>
      <c r="BW41" s="524"/>
      <c r="BX41" s="522"/>
      <c r="BY41" s="524"/>
      <c r="BZ41" s="522"/>
      <c r="CA41" s="524"/>
      <c r="CB41" s="522"/>
      <c r="CC41" s="524"/>
      <c r="CD41" s="522"/>
      <c r="CE41" s="524"/>
      <c r="CF41" s="522"/>
      <c r="CG41" s="524"/>
      <c r="CH41" s="522"/>
      <c r="CI41" s="524"/>
      <c r="CJ41" s="522"/>
      <c r="CK41" s="524"/>
      <c r="CL41" s="522"/>
      <c r="CM41" s="522"/>
    </row>
    <row r="42" spans="1:91" s="475" customFormat="1" ht="12" customHeight="1" x14ac:dyDescent="0.2">
      <c r="A42" s="489" t="s">
        <v>180</v>
      </c>
      <c r="B42" s="479"/>
      <c r="C42" s="520"/>
      <c r="D42" s="479"/>
      <c r="E42" s="520"/>
      <c r="F42" s="479"/>
      <c r="G42" s="520"/>
      <c r="H42" s="479"/>
      <c r="I42" s="520"/>
      <c r="J42" s="479"/>
      <c r="K42" s="520"/>
      <c r="L42" s="479"/>
      <c r="M42" s="520"/>
      <c r="N42" s="479"/>
      <c r="O42" s="520"/>
      <c r="P42" s="479"/>
      <c r="Q42" s="520"/>
      <c r="R42" s="479"/>
      <c r="S42" s="520"/>
      <c r="T42" s="479"/>
      <c r="U42" s="520"/>
      <c r="V42" s="479"/>
      <c r="W42" s="520"/>
      <c r="X42" s="479"/>
      <c r="Y42" s="520"/>
      <c r="Z42" s="479"/>
      <c r="AA42" s="520"/>
      <c r="AB42" s="479"/>
      <c r="AC42" s="520"/>
      <c r="AD42" s="479"/>
      <c r="AE42" s="520"/>
      <c r="AF42" s="479"/>
      <c r="AG42" s="520"/>
      <c r="AH42" s="479"/>
      <c r="AI42" s="520"/>
      <c r="AJ42" s="479"/>
      <c r="AK42" s="520"/>
      <c r="AL42" s="479"/>
      <c r="AM42" s="520"/>
      <c r="AN42" s="479"/>
      <c r="AO42" s="520"/>
      <c r="AP42" s="479"/>
      <c r="AQ42" s="520"/>
      <c r="AR42" s="479"/>
      <c r="AS42" s="520"/>
      <c r="AT42" s="479"/>
      <c r="AU42" s="520"/>
      <c r="AV42" s="479"/>
      <c r="AW42" s="520"/>
      <c r="AX42" s="479"/>
      <c r="AY42" s="479"/>
      <c r="AZ42" s="520"/>
      <c r="BA42" s="479"/>
      <c r="BB42" s="520"/>
      <c r="BC42" s="479"/>
      <c r="BD42" s="520"/>
      <c r="BE42" s="479"/>
      <c r="BF42" s="520"/>
      <c r="BG42" s="479"/>
      <c r="BH42" s="520"/>
      <c r="BI42" s="479"/>
      <c r="BJ42" s="520"/>
      <c r="BK42" s="479"/>
      <c r="BL42" s="520"/>
      <c r="BM42" s="479"/>
      <c r="BN42" s="520"/>
      <c r="BO42" s="479"/>
      <c r="BP42" s="520"/>
      <c r="BQ42" s="479"/>
      <c r="BR42" s="520"/>
      <c r="BS42" s="479"/>
      <c r="BT42" s="520"/>
      <c r="BU42" s="479"/>
      <c r="BV42" s="520"/>
      <c r="BW42" s="479"/>
      <c r="BX42" s="520"/>
      <c r="BY42" s="479"/>
      <c r="BZ42" s="520"/>
      <c r="CA42" s="479"/>
      <c r="CB42" s="520"/>
      <c r="CC42" s="479"/>
      <c r="CD42" s="520"/>
      <c r="CE42" s="479"/>
      <c r="CF42" s="520"/>
      <c r="CG42" s="479"/>
      <c r="CH42" s="520"/>
      <c r="CI42" s="479"/>
      <c r="CJ42" s="520"/>
      <c r="CK42" s="479"/>
      <c r="CL42" s="520"/>
      <c r="CM42" s="520"/>
    </row>
    <row r="43" spans="1:91" s="475" customFormat="1" ht="12" customHeight="1" x14ac:dyDescent="0.2">
      <c r="A43" s="481" t="str">
        <f>+INPUT!B817</f>
        <v>Dividends Per Share</v>
      </c>
      <c r="B43" s="538">
        <f>+INPUT!C817</f>
        <v>0.23</v>
      </c>
      <c r="C43" s="522" t="str">
        <f>+INPUT!D817</f>
        <v>NA</v>
      </c>
      <c r="D43" s="538">
        <f>+INPUT!E817</f>
        <v>0.23</v>
      </c>
      <c r="E43" s="522" t="str">
        <f>+INPUT!F817</f>
        <v>NA</v>
      </c>
      <c r="F43" s="538">
        <f>+INPUT!G817</f>
        <v>0.26</v>
      </c>
      <c r="G43" s="522" t="str">
        <f>+INPUT!H817</f>
        <v>NA</v>
      </c>
      <c r="H43" s="538">
        <f>+INPUT!I817</f>
        <v>0.26</v>
      </c>
      <c r="I43" s="522" t="str">
        <f>+INPUT!J817</f>
        <v>NA</v>
      </c>
      <c r="J43" s="538">
        <f>+INPUT!K817</f>
        <v>0.28000000000000003</v>
      </c>
      <c r="K43" s="522">
        <f>+INPUT!L817</f>
        <v>21.739130434782624</v>
      </c>
      <c r="L43" s="538">
        <f>+INPUT!M817</f>
        <v>0.32</v>
      </c>
      <c r="M43" s="522">
        <f>+INPUT!N817</f>
        <v>39.130434782608688</v>
      </c>
      <c r="N43" s="538">
        <f>+INPUT!O817</f>
        <v>0.34</v>
      </c>
      <c r="O43" s="522">
        <f>+INPUT!P817</f>
        <v>30.769230769230774</v>
      </c>
      <c r="P43" s="538">
        <f>+INPUT!Q817</f>
        <v>0.34</v>
      </c>
      <c r="Q43" s="522">
        <f>+INPUT!R817</f>
        <v>30.769230769230774</v>
      </c>
      <c r="R43" s="538">
        <f>+INPUT!S817</f>
        <v>0.36</v>
      </c>
      <c r="S43" s="522">
        <f>+INPUT!T817</f>
        <v>28.571428571428555</v>
      </c>
      <c r="T43" s="538">
        <f>+INPUT!U817</f>
        <v>0.38</v>
      </c>
      <c r="U43" s="522">
        <f>+INPUT!V817</f>
        <v>18.75</v>
      </c>
      <c r="V43" s="538">
        <f>+INPUT!W817</f>
        <v>0.38</v>
      </c>
      <c r="W43" s="522">
        <f>+INPUT!X817</f>
        <v>11.764705882352942</v>
      </c>
      <c r="X43" s="538">
        <f>+INPUT!Y817</f>
        <v>0.38</v>
      </c>
      <c r="Y43" s="522">
        <f>+INPUT!Z817</f>
        <v>11.764705882352942</v>
      </c>
      <c r="Z43" s="538">
        <f>+INPUT!AA817</f>
        <v>0.38</v>
      </c>
      <c r="AA43" s="522">
        <f>+INPUT!AB817</f>
        <v>5.5555555555555571</v>
      </c>
      <c r="AB43" s="538">
        <f>+INPUT!AC817</f>
        <v>0.39</v>
      </c>
      <c r="AC43" s="522">
        <f>+INPUT!AD817</f>
        <v>2.6315789473684248</v>
      </c>
      <c r="AD43" s="538">
        <f>+INPUT!AE817</f>
        <v>0.41</v>
      </c>
      <c r="AE43" s="522">
        <f>+INPUT!AF817</f>
        <v>7.8947368421052602</v>
      </c>
      <c r="AF43" s="538">
        <f>+INPUT!AG817</f>
        <v>0.43</v>
      </c>
      <c r="AG43" s="522">
        <f>+INPUT!AH817</f>
        <v>13.157894736842096</v>
      </c>
      <c r="AH43" s="538">
        <f>+INPUT!AI817</f>
        <v>0.45</v>
      </c>
      <c r="AI43" s="522">
        <f>+INPUT!AJ817</f>
        <v>18.421052631578931</v>
      </c>
      <c r="AJ43" s="538">
        <f>+INPUT!AK817</f>
        <v>0.46</v>
      </c>
      <c r="AK43" s="522">
        <f>+INPUT!AL817</f>
        <v>17.948717948717956</v>
      </c>
      <c r="AL43" s="538">
        <f>+INPUT!AM817</f>
        <v>0.47</v>
      </c>
      <c r="AM43" s="522">
        <f>+INPUT!AN817</f>
        <v>14.634146341463406</v>
      </c>
      <c r="AN43" s="538">
        <f>+INPUT!AO817</f>
        <v>0.49</v>
      </c>
      <c r="AO43" s="522">
        <f>+INPUT!AP817</f>
        <v>13.95348837209302</v>
      </c>
      <c r="AP43" s="538">
        <f>+INPUT!AQ817</f>
        <v>0.51</v>
      </c>
      <c r="AQ43" s="522">
        <f>+INPUT!AR817</f>
        <v>13.333333333333329</v>
      </c>
      <c r="AR43" s="538">
        <f>+INPUT!AS817</f>
        <v>0.51</v>
      </c>
      <c r="AS43" s="522">
        <f>+INPUT!AT817</f>
        <v>10.869565217391312</v>
      </c>
      <c r="AT43" s="538">
        <f>+INPUT!AU817</f>
        <v>0.53</v>
      </c>
      <c r="AU43" s="522">
        <f>+INPUT!AV817</f>
        <v>12.765957446808528</v>
      </c>
      <c r="AV43" s="538">
        <f>+INPUT!AW817</f>
        <v>0.53</v>
      </c>
      <c r="AW43" s="522">
        <f>+INPUT!AX817</f>
        <v>8.1632653061224545</v>
      </c>
      <c r="AX43" s="479"/>
      <c r="AY43" s="552" t="e">
        <f>+INPUT!#REF!</f>
        <v>#REF!</v>
      </c>
      <c r="AZ43" s="522" t="e">
        <f>+INPUT!#REF!</f>
        <v>#REF!</v>
      </c>
      <c r="BA43" s="552" t="e">
        <f>+INPUT!#REF!</f>
        <v>#REF!</v>
      </c>
      <c r="BB43" s="522" t="e">
        <f>+INPUT!#REF!</f>
        <v>#REF!</v>
      </c>
      <c r="BC43" s="552" t="e">
        <f>+INPUT!#REF!</f>
        <v>#REF!</v>
      </c>
      <c r="BD43" s="522" t="e">
        <f>+INPUT!#REF!</f>
        <v>#REF!</v>
      </c>
      <c r="BE43" s="552" t="e">
        <f>+INPUT!#REF!</f>
        <v>#REF!</v>
      </c>
      <c r="BF43" s="522" t="e">
        <f>+INPUT!#REF!</f>
        <v>#REF!</v>
      </c>
      <c r="BG43" s="538" t="e">
        <f>+INPUT!#REF!</f>
        <v>#REF!</v>
      </c>
      <c r="BH43" s="522" t="e">
        <f>+INPUT!#REF!</f>
        <v>#REF!</v>
      </c>
      <c r="BI43" s="538" t="e">
        <f>+INPUT!#REF!</f>
        <v>#REF!</v>
      </c>
      <c r="BJ43" s="522" t="e">
        <f>+INPUT!#REF!</f>
        <v>#REF!</v>
      </c>
      <c r="BK43" s="538" t="e">
        <f>+INPUT!#REF!</f>
        <v>#REF!</v>
      </c>
      <c r="BL43" s="522" t="e">
        <f>+INPUT!#REF!</f>
        <v>#REF!</v>
      </c>
      <c r="BM43" s="538" t="e">
        <f>+INPUT!#REF!</f>
        <v>#REF!</v>
      </c>
      <c r="BN43" s="522" t="e">
        <f>+INPUT!#REF!</f>
        <v>#REF!</v>
      </c>
      <c r="BO43" s="538" t="e">
        <f>+INPUT!#REF!</f>
        <v>#REF!</v>
      </c>
      <c r="BP43" s="522" t="e">
        <f>+INPUT!#REF!</f>
        <v>#REF!</v>
      </c>
      <c r="BQ43" s="538" t="e">
        <f>+INPUT!#REF!</f>
        <v>#REF!</v>
      </c>
      <c r="BR43" s="522" t="str">
        <f>+INPUT!BA817</f>
        <v>NA</v>
      </c>
      <c r="BS43" s="538">
        <f>+INPUT!BB817</f>
        <v>0.98</v>
      </c>
      <c r="BT43" s="522" t="str">
        <f>+INPUT!BC817</f>
        <v>NA</v>
      </c>
      <c r="BU43" s="538">
        <f>+INPUT!BD817</f>
        <v>1.2800000000000002</v>
      </c>
      <c r="BV43" s="522">
        <f>+INPUT!BE817</f>
        <v>30.612244897959215</v>
      </c>
      <c r="BW43" s="538">
        <f>+INPUT!BF817</f>
        <v>1.5</v>
      </c>
      <c r="BX43" s="522">
        <f>+INPUT!BG817</f>
        <v>17.187499999999972</v>
      </c>
      <c r="BY43" s="538">
        <f>+INPUT!BH817</f>
        <v>1.6099999999999999</v>
      </c>
      <c r="BZ43" s="522">
        <f>+INPUT!BI817</f>
        <v>7.3333333333333286</v>
      </c>
      <c r="CA43" s="538">
        <f>+INPUT!BJ817</f>
        <v>1.8699999999999999</v>
      </c>
      <c r="CB43" s="522">
        <f>+INPUT!BK817</f>
        <v>16.149068322981378</v>
      </c>
      <c r="CC43" s="538">
        <f>+INPUT!BL817</f>
        <v>2.08</v>
      </c>
      <c r="CD43" s="522">
        <f>+INPUT!BM817</f>
        <v>11.229946524064175</v>
      </c>
      <c r="CE43" s="538">
        <f>+INPUT!BN817</f>
        <v>2.3088000000000002</v>
      </c>
      <c r="CF43" s="522">
        <f>+INPUT!BO817</f>
        <v>11.000000000000014</v>
      </c>
      <c r="CG43" s="538">
        <f>+INPUT!BP817</f>
        <v>2.5650768000000004</v>
      </c>
      <c r="CH43" s="522">
        <f>+INPUT!BQ817</f>
        <v>11.099999999999994</v>
      </c>
      <c r="CI43" s="538">
        <f>+INPUT!BR817</f>
        <v>2.8472352480000005</v>
      </c>
      <c r="CJ43" s="522">
        <f>+INPUT!BS817</f>
        <v>11.000000000000014</v>
      </c>
      <c r="CK43" s="538">
        <f>+INPUT!BT817</f>
        <v>3.160431125280001</v>
      </c>
      <c r="CL43" s="522">
        <f>+INPUT!BU817</f>
        <v>11.000000000000014</v>
      </c>
      <c r="CM43" s="522">
        <f>+INPUT!BV817</f>
        <v>11.065952316919535</v>
      </c>
    </row>
    <row r="44" spans="1:91" s="475" customFormat="1" ht="12" customHeight="1" x14ac:dyDescent="0.2">
      <c r="A44" s="517" t="str">
        <f>+INPUT!B818</f>
        <v>Dividend Payout Ratio (%)</v>
      </c>
      <c r="B44" s="530">
        <f>+INPUT!C818</f>
        <v>29.289755679382758</v>
      </c>
      <c r="C44" s="522" t="str">
        <f>+INPUT!D818</f>
        <v>NA</v>
      </c>
      <c r="D44" s="530">
        <f>+INPUT!E818</f>
        <v>25.186440677966104</v>
      </c>
      <c r="E44" s="522" t="str">
        <f>+INPUT!F818</f>
        <v>NA</v>
      </c>
      <c r="F44" s="530">
        <f>+INPUT!G818</f>
        <v>28.839524517087671</v>
      </c>
      <c r="G44" s="522" t="str">
        <f>+INPUT!H818</f>
        <v>NA</v>
      </c>
      <c r="H44" s="530">
        <f>+INPUT!I818</f>
        <v>27.209090909090911</v>
      </c>
      <c r="I44" s="522" t="str">
        <f>+INPUT!J818</f>
        <v>NA</v>
      </c>
      <c r="J44" s="530">
        <f>+INPUT!K818</f>
        <v>26.454258675078869</v>
      </c>
      <c r="K44" s="522">
        <f>+INPUT!L818</f>
        <v>-9.6808489471279984</v>
      </c>
      <c r="L44" s="530">
        <f>+INPUT!M818</f>
        <v>29.552941176470586</v>
      </c>
      <c r="M44" s="522">
        <f>+INPUT!N818</f>
        <v>17.336711265933019</v>
      </c>
      <c r="N44" s="530">
        <f>+INPUT!O818</f>
        <v>26.584723370781987</v>
      </c>
      <c r="O44" s="522">
        <f>+INPUT!P818</f>
        <v>-7.8184407824397226</v>
      </c>
      <c r="P44" s="530">
        <f>+INPUT!Q818</f>
        <v>30.994029149036205</v>
      </c>
      <c r="Q44" s="522">
        <f>+INPUT!R818</f>
        <v>13.910564864483206</v>
      </c>
      <c r="R44" s="530">
        <f>+INPUT!S818</f>
        <v>32.283693843594008</v>
      </c>
      <c r="S44" s="522">
        <f>+INPUT!T818</f>
        <v>22.035904464813967</v>
      </c>
      <c r="T44" s="530">
        <f>+INPUT!U818</f>
        <v>35.183807909874218</v>
      </c>
      <c r="U44" s="522">
        <f>+INPUT!V818</f>
        <v>19.053490140896059</v>
      </c>
      <c r="V44" s="530">
        <f>+INPUT!W818</f>
        <v>35.46904315196997</v>
      </c>
      <c r="W44" s="522">
        <f>+INPUT!X818</f>
        <v>33.418891207844268</v>
      </c>
      <c r="X44" s="530">
        <f>+INPUT!Y818</f>
        <v>37.122691292875984</v>
      </c>
      <c r="Y44" s="522">
        <f>+INPUT!Z818</f>
        <v>19.773686455445414</v>
      </c>
      <c r="Z44" s="530">
        <f>+INPUT!AA818</f>
        <v>39.061823262312267</v>
      </c>
      <c r="AA44" s="522">
        <f>+INPUT!AB818</f>
        <v>20.995520065196089</v>
      </c>
      <c r="AB44" s="530">
        <f>+INPUT!AC818</f>
        <v>33.851676060516169</v>
      </c>
      <c r="AC44" s="522">
        <f>+INPUT!AD818</f>
        <v>-3.7862071461122042</v>
      </c>
      <c r="AD44" s="530">
        <f>+INPUT!AE818</f>
        <v>35.589514447423284</v>
      </c>
      <c r="AE44" s="522">
        <f>+INPUT!AF818</f>
        <v>0.3396519464512977</v>
      </c>
      <c r="AF44" s="530">
        <f>+INPUT!AG818</f>
        <v>33.752688172043008</v>
      </c>
      <c r="AG44" s="522">
        <f>+INPUT!AH818</f>
        <v>-9.0780140217896701</v>
      </c>
      <c r="AH44" s="530">
        <f>+INPUT!AI818</f>
        <v>35.514170040485823</v>
      </c>
      <c r="AI44" s="522">
        <f>+INPUT!AJ818</f>
        <v>-9.082149591438295</v>
      </c>
      <c r="AJ44" s="530">
        <f>+INPUT!AK818</f>
        <v>35.099582898852972</v>
      </c>
      <c r="AK44" s="522">
        <f>+INPUT!AL818</f>
        <v>3.6863960180462954</v>
      </c>
      <c r="AL44" s="530">
        <f>+INPUT!AM818</f>
        <v>36.856703237891367</v>
      </c>
      <c r="AM44" s="522">
        <f>+INPUT!AN818</f>
        <v>3.5605677968439693</v>
      </c>
      <c r="AN44" s="530">
        <f>+INPUT!AO818</f>
        <v>41.010262257696688</v>
      </c>
      <c r="AO44" s="522">
        <f>+INPUT!AP818</f>
        <v>21.502210575526988</v>
      </c>
      <c r="AP44" s="530">
        <f>+INPUT!AQ818</f>
        <v>37.467948396091785</v>
      </c>
      <c r="AQ44" s="522">
        <f>+INPUT!AR818</f>
        <v>5.501405082474605</v>
      </c>
      <c r="AR44" s="530">
        <f>+INPUT!AS818</f>
        <v>36.673643268868943</v>
      </c>
      <c r="AS44" s="522">
        <f>+INPUT!AT818</f>
        <v>4.4845557696567653</v>
      </c>
      <c r="AT44" s="530">
        <f>+INPUT!AU818</f>
        <v>36.65003982204346</v>
      </c>
      <c r="AU44" s="522">
        <f>+INPUT!AV818</f>
        <v>-0.56072138225168544</v>
      </c>
      <c r="AV44" s="530">
        <f>+INPUT!AW818</f>
        <v>35.363115156801314</v>
      </c>
      <c r="AW44" s="522">
        <f>+INPUT!AX818</f>
        <v>-13.770082876842693</v>
      </c>
      <c r="AX44" s="490"/>
      <c r="AY44" s="521" t="e">
        <f>+INPUT!#REF!</f>
        <v>#REF!</v>
      </c>
      <c r="AZ44" s="522" t="e">
        <f>+INPUT!#REF!</f>
        <v>#REF!</v>
      </c>
      <c r="BA44" s="521" t="e">
        <f>+INPUT!#REF!</f>
        <v>#REF!</v>
      </c>
      <c r="BB44" s="522" t="e">
        <f>+INPUT!#REF!</f>
        <v>#REF!</v>
      </c>
      <c r="BC44" s="521" t="e">
        <f>+INPUT!#REF!</f>
        <v>#REF!</v>
      </c>
      <c r="BD44" s="522" t="e">
        <f>+INPUT!#REF!</f>
        <v>#REF!</v>
      </c>
      <c r="BE44" s="521" t="e">
        <f>+INPUT!#REF!</f>
        <v>#REF!</v>
      </c>
      <c r="BF44" s="522" t="e">
        <f>+INPUT!#REF!</f>
        <v>#REF!</v>
      </c>
      <c r="BG44" s="530" t="e">
        <f>+INPUT!#REF!</f>
        <v>#REF!</v>
      </c>
      <c r="BH44" s="522" t="e">
        <f>+INPUT!#REF!</f>
        <v>#REF!</v>
      </c>
      <c r="BI44" s="530" t="e">
        <f>+INPUT!#REF!</f>
        <v>#REF!</v>
      </c>
      <c r="BJ44" s="522" t="e">
        <f>+INPUT!#REF!</f>
        <v>#REF!</v>
      </c>
      <c r="BK44" s="530" t="e">
        <f>+INPUT!#REF!</f>
        <v>#REF!</v>
      </c>
      <c r="BL44" s="522" t="e">
        <f>+INPUT!#REF!</f>
        <v>#REF!</v>
      </c>
      <c r="BM44" s="530" t="e">
        <f>+INPUT!#REF!</f>
        <v>#REF!</v>
      </c>
      <c r="BN44" s="522" t="e">
        <f>+INPUT!#REF!</f>
        <v>#REF!</v>
      </c>
      <c r="BO44" s="530" t="e">
        <f>+INPUT!#REF!</f>
        <v>#REF!</v>
      </c>
      <c r="BP44" s="522" t="e">
        <f>+INPUT!#REF!</f>
        <v>#REF!</v>
      </c>
      <c r="BQ44" s="530" t="e">
        <f>+INPUT!#REF!</f>
        <v>#REF!</v>
      </c>
      <c r="BR44" s="522" t="str">
        <f>+INPUT!BA818</f>
        <v>NA</v>
      </c>
      <c r="BS44" s="530">
        <f>+INPUT!BB818</f>
        <v>27.558165864704215</v>
      </c>
      <c r="BT44" s="522" t="str">
        <f>+INPUT!BC818</f>
        <v>NA</v>
      </c>
      <c r="BU44" s="530">
        <f>+INPUT!BD818</f>
        <v>28.338559996349517</v>
      </c>
      <c r="BV44" s="522">
        <f>+INPUT!BE818</f>
        <v>2.8318072235888962</v>
      </c>
      <c r="BW44" s="530">
        <f>+INPUT!BF818</f>
        <v>34.96079056807033</v>
      </c>
      <c r="BX44" s="522">
        <f>+INPUT!BG818</f>
        <v>23.368267733342378</v>
      </c>
      <c r="BY44" s="530">
        <f>+INPUT!BH818</f>
        <v>35.387705656975413</v>
      </c>
      <c r="BZ44" s="522">
        <f>+INPUT!BI818</f>
        <v>1.2211253863777927</v>
      </c>
      <c r="CA44" s="530">
        <f>+INPUT!BJ818</f>
        <v>37.048094481266041</v>
      </c>
      <c r="CB44" s="522">
        <f>+INPUT!BK818</f>
        <v>4.6919934295410997</v>
      </c>
      <c r="CC44" s="530">
        <f>+INPUT!BL818</f>
        <v>36.516587884039467</v>
      </c>
      <c r="CD44" s="522">
        <f>+INPUT!BM818</f>
        <v>-1.4346394994628895</v>
      </c>
      <c r="CE44" s="530">
        <f>+INPUT!BN818</f>
        <v>38.191384355397275</v>
      </c>
      <c r="CF44" s="522">
        <f>+INPUT!BO818</f>
        <v>4.5863991364040402</v>
      </c>
      <c r="CG44" s="530">
        <f>+INPUT!BP818</f>
        <v>40.090095921046583</v>
      </c>
      <c r="CH44" s="522">
        <f>+INPUT!BQ818</f>
        <v>4.9715704148885607</v>
      </c>
      <c r="CI44" s="530">
        <f>+INPUT!BR818</f>
        <v>42.205268168068123</v>
      </c>
      <c r="CJ44" s="522">
        <f>+INPUT!BS818</f>
        <v>5.2760468600203865</v>
      </c>
      <c r="CK44" s="530">
        <f>+INPUT!BT818</f>
        <v>44.509141461572874</v>
      </c>
      <c r="CL44" s="522">
        <f>+INPUT!BU818</f>
        <v>5.4587339294477601</v>
      </c>
      <c r="CM44" s="522">
        <f>+INPUT!BV818</f>
        <v>3.7377127675115807</v>
      </c>
    </row>
    <row r="45" spans="1:91" s="475" customFormat="1" ht="12" customHeight="1" x14ac:dyDescent="0.2">
      <c r="A45" s="481"/>
      <c r="B45" s="479"/>
      <c r="C45" s="522"/>
      <c r="D45" s="479"/>
      <c r="E45" s="522"/>
      <c r="F45" s="479"/>
      <c r="G45" s="522"/>
      <c r="H45" s="479"/>
      <c r="I45" s="522"/>
      <c r="J45" s="479"/>
      <c r="K45" s="522"/>
      <c r="L45" s="479"/>
      <c r="M45" s="522"/>
      <c r="N45" s="479"/>
      <c r="O45" s="522"/>
      <c r="P45" s="479"/>
      <c r="Q45" s="522"/>
      <c r="R45" s="479"/>
      <c r="S45" s="522"/>
      <c r="T45" s="479"/>
      <c r="U45" s="522"/>
      <c r="V45" s="479"/>
      <c r="W45" s="522"/>
      <c r="X45" s="479"/>
      <c r="Y45" s="522"/>
      <c r="Z45" s="479"/>
      <c r="AA45" s="522"/>
      <c r="AB45" s="479"/>
      <c r="AC45" s="522"/>
      <c r="AD45" s="479"/>
      <c r="AE45" s="522"/>
      <c r="AF45" s="479"/>
      <c r="AG45" s="522"/>
      <c r="AH45" s="479"/>
      <c r="AI45" s="522"/>
      <c r="AJ45" s="479"/>
      <c r="AK45" s="522"/>
      <c r="AL45" s="479"/>
      <c r="AM45" s="522"/>
      <c r="AN45" s="479"/>
      <c r="AO45" s="522"/>
      <c r="AP45" s="479"/>
      <c r="AQ45" s="522"/>
      <c r="AR45" s="479"/>
      <c r="AS45" s="522"/>
      <c r="AT45" s="479"/>
      <c r="AU45" s="522"/>
      <c r="AV45" s="479"/>
      <c r="AW45" s="522"/>
      <c r="AX45" s="479"/>
      <c r="AY45" s="479"/>
      <c r="AZ45" s="522"/>
      <c r="BA45" s="479"/>
      <c r="BB45" s="522"/>
      <c r="BC45" s="479"/>
      <c r="BD45" s="522"/>
      <c r="BE45" s="479"/>
      <c r="BF45" s="522"/>
      <c r="BG45" s="479"/>
      <c r="BH45" s="522"/>
      <c r="BI45" s="479"/>
      <c r="BJ45" s="522"/>
      <c r="BK45" s="479"/>
      <c r="BL45" s="522"/>
      <c r="BM45" s="479"/>
      <c r="BN45" s="522"/>
      <c r="BO45" s="479"/>
      <c r="BP45" s="522"/>
      <c r="BQ45" s="479"/>
      <c r="BR45" s="522"/>
      <c r="BS45" s="479"/>
      <c r="BT45" s="522"/>
      <c r="BU45" s="479"/>
      <c r="BV45" s="522"/>
      <c r="BW45" s="479"/>
      <c r="BX45" s="522"/>
      <c r="BY45" s="479"/>
      <c r="BZ45" s="522"/>
      <c r="CA45" s="479"/>
      <c r="CB45" s="522"/>
      <c r="CC45" s="479"/>
      <c r="CD45" s="522"/>
      <c r="CE45" s="479"/>
      <c r="CF45" s="522"/>
      <c r="CG45" s="479"/>
      <c r="CH45" s="522"/>
      <c r="CI45" s="479"/>
      <c r="CJ45" s="522"/>
      <c r="CK45" s="479"/>
      <c r="CL45" s="522"/>
      <c r="CM45" s="522"/>
    </row>
    <row r="46" spans="1:91" s="475" customFormat="1" ht="12" customHeight="1" x14ac:dyDescent="0.2">
      <c r="A46" s="523" t="s">
        <v>309</v>
      </c>
      <c r="B46" s="479"/>
      <c r="C46" s="522"/>
      <c r="D46" s="479"/>
      <c r="E46" s="522"/>
      <c r="F46" s="479"/>
      <c r="G46" s="522"/>
      <c r="H46" s="479"/>
      <c r="I46" s="522"/>
      <c r="J46" s="479"/>
      <c r="K46" s="522"/>
      <c r="L46" s="479"/>
      <c r="M46" s="522"/>
      <c r="N46" s="479"/>
      <c r="O46" s="522"/>
      <c r="P46" s="479"/>
      <c r="Q46" s="522"/>
      <c r="R46" s="479"/>
      <c r="S46" s="522"/>
      <c r="T46" s="479"/>
      <c r="U46" s="522"/>
      <c r="V46" s="479"/>
      <c r="W46" s="522"/>
      <c r="X46" s="479"/>
      <c r="Y46" s="522"/>
      <c r="Z46" s="479"/>
      <c r="AA46" s="522"/>
      <c r="AB46" s="479"/>
      <c r="AC46" s="522"/>
      <c r="AD46" s="479"/>
      <c r="AE46" s="522"/>
      <c r="AF46" s="479"/>
      <c r="AG46" s="522"/>
      <c r="AH46" s="479"/>
      <c r="AI46" s="522"/>
      <c r="AJ46" s="479"/>
      <c r="AK46" s="522"/>
      <c r="AL46" s="479"/>
      <c r="AM46" s="522"/>
      <c r="AN46" s="479"/>
      <c r="AO46" s="522"/>
      <c r="AP46" s="479"/>
      <c r="AQ46" s="522"/>
      <c r="AR46" s="479"/>
      <c r="AS46" s="522"/>
      <c r="AT46" s="479"/>
      <c r="AU46" s="522"/>
      <c r="AV46" s="479"/>
      <c r="AW46" s="522"/>
      <c r="AX46" s="479"/>
      <c r="AY46" s="479"/>
      <c r="AZ46" s="522"/>
      <c r="BA46" s="479"/>
      <c r="BB46" s="522"/>
      <c r="BC46" s="479"/>
      <c r="BD46" s="522"/>
      <c r="BE46" s="479"/>
      <c r="BF46" s="522"/>
      <c r="BG46" s="479"/>
      <c r="BH46" s="522"/>
      <c r="BI46" s="479"/>
      <c r="BJ46" s="522"/>
      <c r="BK46" s="479"/>
      <c r="BL46" s="522"/>
      <c r="BM46" s="479"/>
      <c r="BN46" s="522"/>
      <c r="BO46" s="479"/>
      <c r="BP46" s="522"/>
      <c r="BQ46" s="479"/>
      <c r="BR46" s="522"/>
      <c r="BS46" s="479"/>
      <c r="BT46" s="522"/>
      <c r="BU46" s="479"/>
      <c r="BV46" s="522"/>
      <c r="BW46" s="479"/>
      <c r="BX46" s="522"/>
      <c r="BY46" s="479"/>
      <c r="BZ46" s="522"/>
      <c r="CA46" s="479"/>
      <c r="CB46" s="522"/>
      <c r="CC46" s="479"/>
      <c r="CD46" s="522"/>
      <c r="CE46" s="479"/>
      <c r="CF46" s="522"/>
      <c r="CG46" s="479"/>
      <c r="CH46" s="522"/>
      <c r="CI46" s="479"/>
      <c r="CJ46" s="522"/>
      <c r="CK46" s="479"/>
      <c r="CL46" s="522"/>
      <c r="CM46" s="522"/>
    </row>
    <row r="47" spans="1:91" s="475" customFormat="1" ht="12" customHeight="1" x14ac:dyDescent="0.2">
      <c r="A47" s="523" t="s">
        <v>310</v>
      </c>
      <c r="B47" s="479"/>
      <c r="C47" s="520"/>
      <c r="D47" s="479"/>
      <c r="E47" s="520"/>
      <c r="F47" s="479"/>
      <c r="G47" s="520"/>
      <c r="H47" s="479"/>
      <c r="I47" s="520"/>
      <c r="J47" s="479"/>
      <c r="K47" s="520"/>
      <c r="L47" s="479"/>
      <c r="M47" s="520"/>
      <c r="N47" s="479"/>
      <c r="O47" s="520"/>
      <c r="P47" s="479"/>
      <c r="Q47" s="520"/>
      <c r="R47" s="479"/>
      <c r="S47" s="520"/>
      <c r="T47" s="479"/>
      <c r="U47" s="520"/>
      <c r="V47" s="479"/>
      <c r="W47" s="520"/>
      <c r="X47" s="479"/>
      <c r="Y47" s="520"/>
      <c r="Z47" s="479"/>
      <c r="AA47" s="520"/>
      <c r="AB47" s="479"/>
      <c r="AC47" s="520"/>
      <c r="AD47" s="479"/>
      <c r="AE47" s="520"/>
      <c r="AF47" s="479"/>
      <c r="AG47" s="520"/>
      <c r="AH47" s="479"/>
      <c r="AI47" s="520"/>
      <c r="AJ47" s="479"/>
      <c r="AK47" s="520"/>
      <c r="AL47" s="479"/>
      <c r="AM47" s="520"/>
      <c r="AN47" s="479"/>
      <c r="AO47" s="520"/>
      <c r="AP47" s="479"/>
      <c r="AQ47" s="520"/>
      <c r="AR47" s="479"/>
      <c r="AS47" s="520"/>
      <c r="AT47" s="479"/>
      <c r="AU47" s="520"/>
      <c r="AV47" s="479"/>
      <c r="AW47" s="520"/>
      <c r="AX47" s="479"/>
      <c r="AY47" s="479"/>
      <c r="AZ47" s="520"/>
      <c r="BA47" s="479"/>
      <c r="BB47" s="520"/>
      <c r="BC47" s="479"/>
      <c r="BD47" s="520"/>
      <c r="BE47" s="479"/>
      <c r="BF47" s="520"/>
      <c r="BG47" s="479"/>
      <c r="BH47" s="520"/>
      <c r="BI47" s="479"/>
      <c r="BJ47" s="520"/>
      <c r="BK47" s="479"/>
      <c r="BL47" s="520"/>
      <c r="BM47" s="479"/>
      <c r="BN47" s="520"/>
      <c r="BO47" s="479"/>
      <c r="BP47" s="520"/>
      <c r="BQ47" s="479"/>
      <c r="BR47" s="520"/>
      <c r="BS47" s="479"/>
      <c r="BT47" s="520"/>
      <c r="BU47" s="479"/>
      <c r="BV47" s="520"/>
      <c r="BW47" s="479"/>
      <c r="BX47" s="520"/>
      <c r="BY47" s="479"/>
      <c r="BZ47" s="520"/>
      <c r="CA47" s="479"/>
      <c r="CB47" s="520"/>
      <c r="CC47" s="479"/>
      <c r="CD47" s="520"/>
      <c r="CE47" s="479"/>
      <c r="CF47" s="520"/>
      <c r="CG47" s="479"/>
      <c r="CH47" s="520"/>
      <c r="CI47" s="479"/>
      <c r="CJ47" s="520"/>
      <c r="CK47" s="479"/>
      <c r="CL47" s="520"/>
      <c r="CM47" s="520"/>
    </row>
    <row r="48" spans="1:91" s="475" customFormat="1" ht="12" customHeight="1" x14ac:dyDescent="0.2">
      <c r="A48" s="489"/>
      <c r="B48" s="524"/>
      <c r="C48" s="522"/>
      <c r="D48" s="524"/>
      <c r="E48" s="522"/>
      <c r="F48" s="524"/>
      <c r="G48" s="522"/>
      <c r="H48" s="524"/>
      <c r="I48" s="522"/>
      <c r="J48" s="524"/>
      <c r="K48" s="522"/>
      <c r="L48" s="524"/>
      <c r="M48" s="522"/>
      <c r="N48" s="524"/>
      <c r="O48" s="522"/>
      <c r="P48" s="524"/>
      <c r="Q48" s="522"/>
      <c r="R48" s="524"/>
      <c r="S48" s="522"/>
      <c r="T48" s="524"/>
      <c r="U48" s="522"/>
      <c r="V48" s="524"/>
      <c r="W48" s="522"/>
      <c r="X48" s="524"/>
      <c r="Y48" s="522"/>
      <c r="Z48" s="524"/>
      <c r="AA48" s="522"/>
      <c r="AB48" s="524"/>
      <c r="AC48" s="522"/>
      <c r="AD48" s="524"/>
      <c r="AE48" s="522"/>
      <c r="AF48" s="524"/>
      <c r="AG48" s="522"/>
      <c r="AH48" s="524"/>
      <c r="AI48" s="522"/>
      <c r="AJ48" s="524"/>
      <c r="AK48" s="522"/>
      <c r="AL48" s="524"/>
      <c r="AM48" s="522"/>
      <c r="AN48" s="524"/>
      <c r="AO48" s="522"/>
      <c r="AP48" s="524"/>
      <c r="AQ48" s="522"/>
      <c r="AR48" s="524"/>
      <c r="AS48" s="522"/>
      <c r="AT48" s="524"/>
      <c r="AU48" s="522"/>
      <c r="AV48" s="524"/>
      <c r="AW48" s="522"/>
      <c r="AX48" s="490"/>
      <c r="AY48" s="524"/>
      <c r="AZ48" s="522"/>
      <c r="BA48" s="524"/>
      <c r="BB48" s="522"/>
      <c r="BC48" s="524"/>
      <c r="BD48" s="522"/>
      <c r="BE48" s="524"/>
      <c r="BF48" s="522"/>
      <c r="BG48" s="524"/>
      <c r="BH48" s="522"/>
      <c r="BI48" s="524"/>
      <c r="BJ48" s="522"/>
      <c r="BK48" s="524"/>
      <c r="BL48" s="522"/>
      <c r="BM48" s="524"/>
      <c r="BN48" s="522"/>
      <c r="BO48" s="524"/>
      <c r="BP48" s="522"/>
      <c r="BQ48" s="524"/>
      <c r="BR48" s="522"/>
      <c r="BS48" s="524"/>
      <c r="BT48" s="522"/>
      <c r="BU48" s="524"/>
      <c r="BV48" s="522"/>
      <c r="BW48" s="524"/>
      <c r="BX48" s="522"/>
      <c r="BY48" s="524"/>
      <c r="BZ48" s="522"/>
      <c r="CA48" s="524"/>
      <c r="CB48" s="522"/>
      <c r="CC48" s="524"/>
      <c r="CD48" s="522"/>
      <c r="CE48" s="524"/>
      <c r="CF48" s="522"/>
      <c r="CG48" s="524"/>
      <c r="CH48" s="522"/>
      <c r="CI48" s="524"/>
      <c r="CJ48" s="522"/>
      <c r="CK48" s="524"/>
      <c r="CL48" s="522"/>
      <c r="CM48" s="522"/>
    </row>
    <row r="49" spans="1:115" s="480" customFormat="1" ht="19.5" customHeight="1" x14ac:dyDescent="0.25">
      <c r="A49" s="545" t="str">
        <f>+A1</f>
        <v>Principal Financial Group</v>
      </c>
      <c r="B49" s="477"/>
      <c r="C49" s="478"/>
      <c r="D49" s="477"/>
      <c r="E49" s="478"/>
      <c r="F49" s="477"/>
      <c r="G49" s="478"/>
      <c r="H49" s="477"/>
      <c r="I49" s="478"/>
      <c r="J49" s="477"/>
      <c r="K49" s="478"/>
      <c r="L49" s="477"/>
      <c r="M49" s="478"/>
      <c r="N49" s="477"/>
      <c r="O49" s="478"/>
      <c r="P49" s="477"/>
      <c r="Q49" s="478"/>
      <c r="R49" s="477"/>
      <c r="S49" s="478"/>
      <c r="T49" s="477"/>
      <c r="U49" s="478"/>
      <c r="V49" s="477"/>
      <c r="W49" s="478"/>
      <c r="X49" s="477"/>
      <c r="Y49" s="478"/>
      <c r="Z49" s="477"/>
      <c r="AA49" s="478"/>
      <c r="AB49" s="477"/>
      <c r="AC49" s="478"/>
      <c r="AD49" s="477"/>
      <c r="AE49" s="478"/>
      <c r="AF49" s="477"/>
      <c r="AG49" s="478"/>
      <c r="AH49" s="477"/>
      <c r="AI49" s="478"/>
      <c r="AJ49" s="477"/>
      <c r="AK49" s="478"/>
      <c r="AL49" s="477"/>
      <c r="AM49" s="478"/>
      <c r="AN49" s="477"/>
      <c r="AO49" s="478"/>
      <c r="AP49" s="477"/>
      <c r="AQ49" s="478"/>
      <c r="AR49" s="477"/>
      <c r="AS49" s="478"/>
      <c r="AT49" s="477"/>
      <c r="AU49" s="478"/>
      <c r="AV49" s="477"/>
      <c r="AW49" s="478"/>
      <c r="AX49" s="477"/>
      <c r="AY49" s="478"/>
      <c r="AZ49" s="477"/>
      <c r="BA49" s="478"/>
      <c r="BB49" s="477"/>
      <c r="BC49" s="478"/>
      <c r="BD49" s="477"/>
      <c r="BE49" s="478"/>
      <c r="BF49" s="477"/>
      <c r="BG49" s="478"/>
      <c r="BH49" s="477"/>
      <c r="BI49" s="478"/>
      <c r="BJ49" s="477"/>
      <c r="BK49" s="478"/>
      <c r="BL49" s="477"/>
      <c r="BM49" s="478"/>
      <c r="BN49" s="477"/>
      <c r="BO49" s="478"/>
      <c r="BP49" s="477"/>
      <c r="BQ49" s="478"/>
      <c r="BR49" s="477"/>
      <c r="BS49" s="478"/>
      <c r="BT49" s="477"/>
      <c r="BU49" s="478"/>
      <c r="BV49" s="477"/>
      <c r="BW49" s="478"/>
      <c r="BX49" s="477"/>
      <c r="BY49" s="478"/>
      <c r="BZ49" s="477"/>
      <c r="CA49" s="478"/>
      <c r="CB49" s="477"/>
      <c r="CC49" s="478"/>
      <c r="CD49" s="477"/>
      <c r="CE49" s="477"/>
      <c r="CF49" s="478"/>
      <c r="CG49" s="477"/>
      <c r="CH49" s="478"/>
      <c r="CI49" s="477"/>
      <c r="CJ49" s="478"/>
      <c r="CK49" s="477"/>
      <c r="CL49" s="478"/>
      <c r="CM49" s="477"/>
      <c r="CN49" s="478"/>
      <c r="CO49" s="477"/>
      <c r="CP49" s="478"/>
      <c r="CQ49" s="477"/>
      <c r="CR49" s="478"/>
      <c r="CS49" s="477"/>
      <c r="CT49" s="478"/>
      <c r="CU49" s="477"/>
      <c r="CV49" s="478"/>
      <c r="CW49" s="477"/>
      <c r="CX49" s="478"/>
      <c r="CY49" s="477"/>
      <c r="CZ49" s="478"/>
      <c r="DA49" s="477"/>
      <c r="DB49" s="478"/>
      <c r="DC49" s="477"/>
      <c r="DD49" s="478"/>
      <c r="DE49" s="477"/>
      <c r="DF49" s="478"/>
      <c r="DG49" s="477"/>
      <c r="DH49" s="478"/>
      <c r="DI49" s="477"/>
      <c r="DJ49" s="478"/>
      <c r="DK49" s="478"/>
    </row>
    <row r="50" spans="1:115" s="480" customFormat="1" ht="12" customHeight="1" x14ac:dyDescent="0.2">
      <c r="A50" s="476" t="s">
        <v>313</v>
      </c>
      <c r="B50" s="477"/>
      <c r="C50" s="478"/>
      <c r="D50" s="477"/>
      <c r="E50" s="478"/>
      <c r="F50" s="477"/>
      <c r="G50" s="478"/>
      <c r="H50" s="477"/>
      <c r="I50" s="478"/>
      <c r="J50" s="477"/>
      <c r="K50" s="478"/>
      <c r="L50" s="477"/>
      <c r="M50" s="478"/>
      <c r="N50" s="477"/>
      <c r="O50" s="478"/>
      <c r="P50" s="477"/>
      <c r="Q50" s="478"/>
      <c r="R50" s="477"/>
      <c r="S50" s="478"/>
      <c r="T50" s="477"/>
      <c r="U50" s="478"/>
      <c r="V50" s="477"/>
      <c r="W50" s="478"/>
      <c r="X50" s="477"/>
      <c r="Y50" s="478"/>
      <c r="Z50" s="477"/>
      <c r="AA50" s="478"/>
      <c r="AB50" s="477"/>
      <c r="AC50" s="478"/>
      <c r="AD50" s="477"/>
      <c r="AE50" s="478"/>
      <c r="AF50" s="477"/>
      <c r="AG50" s="478"/>
      <c r="AH50" s="477"/>
      <c r="AI50" s="478"/>
      <c r="AJ50" s="477"/>
      <c r="AK50" s="478"/>
      <c r="AL50" s="477"/>
      <c r="AM50" s="478"/>
      <c r="AN50" s="477"/>
      <c r="AO50" s="478"/>
      <c r="AP50" s="477"/>
      <c r="AQ50" s="478"/>
      <c r="AR50" s="477"/>
      <c r="AS50" s="478"/>
      <c r="AT50" s="477"/>
      <c r="AU50" s="478"/>
      <c r="AV50" s="477"/>
      <c r="AW50" s="478"/>
      <c r="AX50" s="477"/>
      <c r="AY50" s="478"/>
      <c r="AZ50" s="477"/>
      <c r="BA50" s="478"/>
      <c r="BB50" s="477"/>
      <c r="BC50" s="478"/>
      <c r="BD50" s="477"/>
      <c r="BE50" s="478"/>
      <c r="BF50" s="477"/>
      <c r="BG50" s="478"/>
      <c r="BH50" s="477"/>
      <c r="BI50" s="478"/>
      <c r="BJ50" s="477"/>
      <c r="BK50" s="478"/>
      <c r="BL50" s="477"/>
      <c r="BM50" s="478"/>
      <c r="BN50" s="477"/>
      <c r="BO50" s="478"/>
      <c r="BP50" s="477"/>
      <c r="BQ50" s="478"/>
      <c r="BR50" s="477"/>
      <c r="BS50" s="478"/>
      <c r="BT50" s="477"/>
      <c r="BU50" s="478"/>
      <c r="BV50" s="477"/>
      <c r="BW50" s="478"/>
      <c r="BX50" s="477"/>
      <c r="BY50" s="478"/>
      <c r="BZ50" s="477"/>
      <c r="CA50" s="478"/>
      <c r="CB50" s="477"/>
      <c r="CC50" s="478"/>
      <c r="CD50" s="477"/>
      <c r="CE50" s="477"/>
      <c r="CF50" s="478"/>
      <c r="CG50" s="477"/>
      <c r="CH50" s="478"/>
      <c r="CI50" s="477"/>
      <c r="CJ50" s="478"/>
      <c r="CK50" s="477"/>
      <c r="CL50" s="478"/>
      <c r="CM50" s="477"/>
      <c r="CN50" s="478"/>
      <c r="CO50" s="477"/>
      <c r="CP50" s="478"/>
      <c r="CQ50" s="477"/>
      <c r="CR50" s="478"/>
      <c r="CS50" s="477"/>
      <c r="CT50" s="478"/>
      <c r="CU50" s="477"/>
      <c r="CV50" s="478"/>
      <c r="CW50" s="477"/>
      <c r="CX50" s="478"/>
      <c r="CY50" s="477"/>
      <c r="CZ50" s="478"/>
      <c r="DA50" s="477"/>
      <c r="DB50" s="478"/>
      <c r="DC50" s="477"/>
      <c r="DD50" s="478"/>
      <c r="DE50" s="477"/>
      <c r="DF50" s="478"/>
      <c r="DG50" s="477"/>
      <c r="DH50" s="478"/>
      <c r="DI50" s="477"/>
      <c r="DJ50" s="478"/>
      <c r="DK50" s="478"/>
    </row>
    <row r="51" spans="1:115" s="480" customFormat="1" ht="12" customHeight="1" x14ac:dyDescent="0.2">
      <c r="A51" s="527" t="s">
        <v>243</v>
      </c>
      <c r="B51" s="528"/>
      <c r="C51" s="529" t="str">
        <f>INPUT!D$4</f>
        <v>1Q13/</v>
      </c>
      <c r="D51" s="528"/>
      <c r="E51" s="529" t="str">
        <f>INPUT!F$4</f>
        <v>2Q13/</v>
      </c>
      <c r="F51" s="528"/>
      <c r="G51" s="529" t="str">
        <f>INPUT!H$4</f>
        <v>3Q13/</v>
      </c>
      <c r="H51" s="528"/>
      <c r="I51" s="529" t="str">
        <f>INPUT!J$4</f>
        <v>4Q13/</v>
      </c>
      <c r="J51" s="528"/>
      <c r="K51" s="529" t="str">
        <f>INPUT!L$4</f>
        <v>1Q14/</v>
      </c>
      <c r="L51" s="528"/>
      <c r="M51" s="529" t="str">
        <f>INPUT!N$4</f>
        <v>2Q14/</v>
      </c>
      <c r="N51" s="528"/>
      <c r="O51" s="529" t="str">
        <f>INPUT!P$4</f>
        <v>3Q14/</v>
      </c>
      <c r="P51" s="528"/>
      <c r="Q51" s="529" t="str">
        <f>INPUT!R$4</f>
        <v>4Q14/</v>
      </c>
      <c r="R51" s="528"/>
      <c r="S51" s="529" t="str">
        <f>INPUT!T$4</f>
        <v>1Q15/</v>
      </c>
      <c r="T51" s="528"/>
      <c r="U51" s="529" t="str">
        <f>INPUT!V$4</f>
        <v>2Q15/</v>
      </c>
      <c r="V51" s="528"/>
      <c r="W51" s="529" t="str">
        <f>INPUT!X$4</f>
        <v>3Q15/</v>
      </c>
      <c r="X51" s="528"/>
      <c r="Y51" s="529" t="str">
        <f>INPUT!Z$4</f>
        <v>4Q15/</v>
      </c>
      <c r="Z51" s="528"/>
      <c r="AA51" s="529" t="str">
        <f>INPUT!AB$4</f>
        <v>1Q16/</v>
      </c>
      <c r="AB51" s="528"/>
      <c r="AC51" s="529" t="str">
        <f>INPUT!AD$4</f>
        <v>2Q16/</v>
      </c>
      <c r="AD51" s="528"/>
      <c r="AE51" s="529" t="str">
        <f>INPUT!AF$4</f>
        <v>3Q16/</v>
      </c>
      <c r="AF51" s="528"/>
      <c r="AG51" s="529" t="str">
        <f>INPUT!AH$4</f>
        <v>4Q16/</v>
      </c>
      <c r="AH51" s="528"/>
      <c r="AI51" s="529" t="str">
        <f>INPUT!AJ$4</f>
        <v>1Q17/</v>
      </c>
      <c r="AJ51" s="528"/>
      <c r="AK51" s="529" t="str">
        <f>INPUT!AL$4</f>
        <v>2Q17/</v>
      </c>
      <c r="AL51" s="528"/>
      <c r="AM51" s="529" t="str">
        <f>INPUT!AN$4</f>
        <v>3Q17/</v>
      </c>
      <c r="AN51" s="528"/>
      <c r="AO51" s="529" t="str">
        <f>INPUT!AP$4</f>
        <v>4Q17/</v>
      </c>
      <c r="AP51" s="528"/>
      <c r="AQ51" s="529" t="str">
        <f>INPUT!AR$4</f>
        <v>1Q18E/</v>
      </c>
      <c r="AR51" s="528"/>
      <c r="AS51" s="529" t="str">
        <f>INPUT!AT$4</f>
        <v>2Q18E/</v>
      </c>
      <c r="AT51" s="528"/>
      <c r="AU51" s="529" t="str">
        <f>INPUT!AV$4</f>
        <v>3Q18E/</v>
      </c>
      <c r="AV51" s="528"/>
      <c r="AW51" s="529" t="str">
        <f>INPUT!AX$4</f>
        <v>4Q18E/</v>
      </c>
      <c r="AX51" s="528"/>
      <c r="AY51" s="528"/>
      <c r="AZ51" s="529" t="e">
        <f>INPUT!#REF!</f>
        <v>#REF!</v>
      </c>
      <c r="BA51" s="528"/>
      <c r="BB51" s="529" t="e">
        <f>INPUT!#REF!</f>
        <v>#REF!</v>
      </c>
      <c r="BC51" s="528"/>
      <c r="BD51" s="529" t="e">
        <f>INPUT!#REF!</f>
        <v>#REF!</v>
      </c>
      <c r="BE51" s="528"/>
      <c r="BF51" s="529" t="e">
        <f>INPUT!#REF!</f>
        <v>#REF!</v>
      </c>
      <c r="BG51" s="528"/>
      <c r="BH51" s="529" t="e">
        <f>INPUT!#REF!</f>
        <v>#REF!</v>
      </c>
      <c r="BI51" s="528"/>
      <c r="BJ51" s="529" t="e">
        <f>INPUT!#REF!</f>
        <v>#REF!</v>
      </c>
      <c r="BK51" s="528"/>
      <c r="BL51" s="529" t="e">
        <f>INPUT!#REF!</f>
        <v>#REF!</v>
      </c>
      <c r="BM51" s="528"/>
      <c r="BN51" s="529" t="e">
        <f>INPUT!#REF!</f>
        <v>#REF!</v>
      </c>
      <c r="BO51" s="528"/>
      <c r="BP51" s="529" t="e">
        <f>INPUT!#REF!</f>
        <v>#REF!</v>
      </c>
      <c r="BQ51" s="528"/>
      <c r="BR51" s="529" t="e">
        <f>INPUT!BA$4</f>
        <v>#REF!</v>
      </c>
      <c r="BS51" s="528"/>
      <c r="BT51" s="529" t="str">
        <f>INPUT!BC$4</f>
        <v>2013/</v>
      </c>
      <c r="BU51" s="528"/>
      <c r="BV51" s="529" t="str">
        <f>INPUT!BE$4</f>
        <v>2014/</v>
      </c>
      <c r="BW51" s="528"/>
      <c r="BX51" s="529" t="str">
        <f>INPUT!BG$4</f>
        <v>2015/</v>
      </c>
      <c r="BY51" s="528"/>
      <c r="BZ51" s="529" t="str">
        <f>INPUT!BI$4</f>
        <v>2016/</v>
      </c>
      <c r="CA51" s="528"/>
      <c r="CB51" s="529" t="str">
        <f>INPUT!BK$4</f>
        <v>2017/</v>
      </c>
      <c r="CC51" s="528"/>
      <c r="CD51" s="529" t="str">
        <f>INPUT!BM$4</f>
        <v>2018E/</v>
      </c>
      <c r="CE51" s="528"/>
      <c r="CF51" s="529" t="str">
        <f>INPUT!BO$4</f>
        <v>2019E/</v>
      </c>
      <c r="CG51" s="528"/>
      <c r="CH51" s="529" t="str">
        <f>INPUT!BQ$4</f>
        <v>2020E/</v>
      </c>
      <c r="CI51" s="528"/>
      <c r="CJ51" s="529" t="str">
        <f>INPUT!BS$4</f>
        <v>2021E/</v>
      </c>
      <c r="CK51" s="528"/>
      <c r="CL51" s="529" t="str">
        <f>INPUT!BU$4</f>
        <v>2022E/</v>
      </c>
      <c r="CM51" s="546" t="str">
        <f>INPUT!BV$4</f>
        <v>5-Yr</v>
      </c>
      <c r="CN51" s="478"/>
      <c r="CO51" s="479"/>
      <c r="CP51" s="478"/>
      <c r="CQ51" s="479"/>
      <c r="CR51" s="478"/>
      <c r="CS51" s="479"/>
      <c r="CT51" s="478"/>
      <c r="CU51" s="479"/>
      <c r="CV51" s="478"/>
      <c r="CW51" s="479"/>
      <c r="CX51" s="478"/>
      <c r="CY51" s="479"/>
      <c r="CZ51" s="478"/>
      <c r="DA51" s="479"/>
      <c r="DB51" s="478"/>
      <c r="DC51" s="479"/>
      <c r="DD51" s="478"/>
      <c r="DE51" s="479"/>
      <c r="DF51" s="478"/>
      <c r="DG51" s="479"/>
      <c r="DH51" s="478"/>
      <c r="DI51" s="479"/>
      <c r="DJ51" s="478"/>
      <c r="DK51" s="478"/>
    </row>
    <row r="52" spans="1:115" s="480" customFormat="1" ht="12" customHeight="1" x14ac:dyDescent="0.2">
      <c r="A52" s="481"/>
      <c r="B52" s="479"/>
      <c r="C52" s="478">
        <f>INPUT!D$5</f>
        <v>0</v>
      </c>
      <c r="D52" s="479"/>
      <c r="E52" s="478">
        <f>INPUT!F$5</f>
        <v>0</v>
      </c>
      <c r="F52" s="479"/>
      <c r="G52" s="478">
        <f>INPUT!H$5</f>
        <v>0</v>
      </c>
      <c r="H52" s="479"/>
      <c r="I52" s="478">
        <f>INPUT!J$5</f>
        <v>0</v>
      </c>
      <c r="J52" s="479"/>
      <c r="K52" s="478" t="str">
        <f>INPUT!L$5</f>
        <v>1Q13</v>
      </c>
      <c r="L52" s="479"/>
      <c r="M52" s="478" t="str">
        <f>INPUT!N$5</f>
        <v>2Q13</v>
      </c>
      <c r="N52" s="479"/>
      <c r="O52" s="478" t="str">
        <f>INPUT!P$5</f>
        <v>3Q13</v>
      </c>
      <c r="P52" s="479"/>
      <c r="Q52" s="478" t="str">
        <f>INPUT!R$5</f>
        <v>4Q13</v>
      </c>
      <c r="R52" s="479"/>
      <c r="S52" s="478" t="str">
        <f>INPUT!T$5</f>
        <v>1Q14</v>
      </c>
      <c r="T52" s="479"/>
      <c r="U52" s="478" t="str">
        <f>INPUT!V$5</f>
        <v>2Q14</v>
      </c>
      <c r="V52" s="479"/>
      <c r="W52" s="478" t="str">
        <f>INPUT!X$5</f>
        <v>3Q14</v>
      </c>
      <c r="X52" s="479"/>
      <c r="Y52" s="478" t="str">
        <f>INPUT!Z$5</f>
        <v>4Q14</v>
      </c>
      <c r="Z52" s="479"/>
      <c r="AA52" s="478" t="str">
        <f>INPUT!AB$5</f>
        <v>1Q15</v>
      </c>
      <c r="AB52" s="479"/>
      <c r="AC52" s="478" t="str">
        <f>INPUT!AD$5</f>
        <v>2Q15</v>
      </c>
      <c r="AD52" s="479"/>
      <c r="AE52" s="478" t="str">
        <f>INPUT!AF$5</f>
        <v>3Q15</v>
      </c>
      <c r="AF52" s="479"/>
      <c r="AG52" s="478" t="str">
        <f>INPUT!AH$5</f>
        <v>4Q15</v>
      </c>
      <c r="AH52" s="479"/>
      <c r="AI52" s="478" t="str">
        <f>INPUT!AJ$5</f>
        <v>1Q16</v>
      </c>
      <c r="AJ52" s="479"/>
      <c r="AK52" s="478" t="str">
        <f>INPUT!AL$5</f>
        <v>2Q16</v>
      </c>
      <c r="AL52" s="479"/>
      <c r="AM52" s="478" t="str">
        <f>INPUT!AN$5</f>
        <v>3Q16</v>
      </c>
      <c r="AN52" s="479"/>
      <c r="AO52" s="478" t="str">
        <f>INPUT!AP$5</f>
        <v>4Q16</v>
      </c>
      <c r="AP52" s="479"/>
      <c r="AQ52" s="478" t="str">
        <f>INPUT!AR$5</f>
        <v>1Q17</v>
      </c>
      <c r="AR52" s="479"/>
      <c r="AS52" s="478" t="str">
        <f>INPUT!AT$5</f>
        <v>2Q17</v>
      </c>
      <c r="AT52" s="479"/>
      <c r="AU52" s="478" t="str">
        <f>INPUT!AV$5</f>
        <v>3Q17</v>
      </c>
      <c r="AV52" s="479"/>
      <c r="AW52" s="478" t="str">
        <f>INPUT!AX$5</f>
        <v>4Q17</v>
      </c>
      <c r="AX52" s="479"/>
      <c r="AY52" s="479"/>
      <c r="AZ52" s="478" t="e">
        <f>INPUT!#REF!</f>
        <v>#REF!</v>
      </c>
      <c r="BA52" s="479"/>
      <c r="BB52" s="478" t="e">
        <f>INPUT!#REF!</f>
        <v>#REF!</v>
      </c>
      <c r="BC52" s="479"/>
      <c r="BD52" s="478" t="e">
        <f>INPUT!#REF!</f>
        <v>#REF!</v>
      </c>
      <c r="BE52" s="479"/>
      <c r="BF52" s="478" t="e">
        <f>INPUT!#REF!</f>
        <v>#REF!</v>
      </c>
      <c r="BG52" s="479"/>
      <c r="BH52" s="478" t="e">
        <f>INPUT!#REF!</f>
        <v>#REF!</v>
      </c>
      <c r="BI52" s="479"/>
      <c r="BJ52" s="478" t="e">
        <f>INPUT!#REF!</f>
        <v>#REF!</v>
      </c>
      <c r="BK52" s="479"/>
      <c r="BL52" s="478" t="e">
        <f>INPUT!#REF!</f>
        <v>#REF!</v>
      </c>
      <c r="BM52" s="479"/>
      <c r="BN52" s="478" t="e">
        <f>INPUT!#REF!</f>
        <v>#REF!</v>
      </c>
      <c r="BO52" s="479"/>
      <c r="BP52" s="478" t="e">
        <f>INPUT!#REF!</f>
        <v>#REF!</v>
      </c>
      <c r="BQ52" s="479"/>
      <c r="BR52" s="478" t="e">
        <f>INPUT!BA$5</f>
        <v>#REF!</v>
      </c>
      <c r="BS52" s="479"/>
      <c r="BT52" s="478">
        <f>INPUT!BC$5</f>
        <v>0</v>
      </c>
      <c r="BU52" s="479"/>
      <c r="BV52" s="478" t="str">
        <f>INPUT!BE$5</f>
        <v>2013</v>
      </c>
      <c r="BW52" s="479"/>
      <c r="BX52" s="478" t="str">
        <f>INPUT!BG$5</f>
        <v>2014</v>
      </c>
      <c r="BY52" s="479"/>
      <c r="BZ52" s="478" t="str">
        <f>INPUT!BI$5</f>
        <v>2015</v>
      </c>
      <c r="CA52" s="479"/>
      <c r="CB52" s="478" t="str">
        <f>INPUT!BK$5</f>
        <v>2016</v>
      </c>
      <c r="CC52" s="479"/>
      <c r="CD52" s="478" t="str">
        <f>INPUT!BM$5</f>
        <v>2017</v>
      </c>
      <c r="CE52" s="479"/>
      <c r="CF52" s="478" t="str">
        <f>INPUT!BO$5</f>
        <v>2018E</v>
      </c>
      <c r="CG52" s="479"/>
      <c r="CH52" s="478" t="str">
        <f>INPUT!BQ$5</f>
        <v>2019E</v>
      </c>
      <c r="CI52" s="479"/>
      <c r="CJ52" s="478" t="str">
        <f>INPUT!BS$5</f>
        <v>2020E</v>
      </c>
      <c r="CK52" s="479"/>
      <c r="CL52" s="478" t="str">
        <f>INPUT!BU$5</f>
        <v>2021E</v>
      </c>
      <c r="CM52" s="520" t="str">
        <f>INPUT!BV$5</f>
        <v>CAGR</v>
      </c>
      <c r="CN52" s="478"/>
      <c r="CO52" s="479"/>
      <c r="CP52" s="478"/>
      <c r="CQ52" s="479"/>
      <c r="CR52" s="478"/>
      <c r="CS52" s="479"/>
      <c r="CT52" s="478"/>
      <c r="CU52" s="479"/>
      <c r="CV52" s="478"/>
      <c r="CW52" s="479"/>
      <c r="CX52" s="478"/>
      <c r="CY52" s="479"/>
      <c r="CZ52" s="478"/>
      <c r="DA52" s="479"/>
      <c r="DB52" s="478"/>
      <c r="DC52" s="479"/>
      <c r="DD52" s="478"/>
      <c r="DE52" s="479"/>
      <c r="DF52" s="478"/>
      <c r="DG52" s="479"/>
      <c r="DH52" s="478"/>
      <c r="DI52" s="479"/>
      <c r="DJ52" s="478"/>
      <c r="DK52" s="478"/>
    </row>
    <row r="53" spans="1:115" s="480" customFormat="1" ht="12" customHeight="1" x14ac:dyDescent="0.2">
      <c r="A53" s="483"/>
      <c r="B53" s="484" t="str">
        <f>INPUT!C$6</f>
        <v>1Q13</v>
      </c>
      <c r="C53" s="485" t="str">
        <f>INPUT!D$6</f>
        <v>% Chg</v>
      </c>
      <c r="D53" s="484" t="str">
        <f>INPUT!E$6</f>
        <v>2Q13</v>
      </c>
      <c r="E53" s="485" t="str">
        <f>INPUT!F$6</f>
        <v>% Chg</v>
      </c>
      <c r="F53" s="484" t="str">
        <f>INPUT!G$6</f>
        <v>3Q13</v>
      </c>
      <c r="G53" s="485" t="str">
        <f>INPUT!H$6</f>
        <v>% Chg</v>
      </c>
      <c r="H53" s="484" t="str">
        <f>INPUT!I$6</f>
        <v>4Q13</v>
      </c>
      <c r="I53" s="485" t="str">
        <f>INPUT!J$6</f>
        <v>% Chg</v>
      </c>
      <c r="J53" s="484" t="str">
        <f>INPUT!K$6</f>
        <v>1Q14</v>
      </c>
      <c r="K53" s="485" t="str">
        <f>INPUT!L$6</f>
        <v>% Chg</v>
      </c>
      <c r="L53" s="484" t="str">
        <f>INPUT!M$6</f>
        <v>2Q14</v>
      </c>
      <c r="M53" s="485" t="str">
        <f>INPUT!N$6</f>
        <v>% Chg</v>
      </c>
      <c r="N53" s="484" t="str">
        <f>INPUT!O$6</f>
        <v>3Q14</v>
      </c>
      <c r="O53" s="485" t="str">
        <f>INPUT!P$6</f>
        <v>% Chg</v>
      </c>
      <c r="P53" s="484" t="str">
        <f>INPUT!Q$6</f>
        <v>4Q14</v>
      </c>
      <c r="Q53" s="485" t="str">
        <f>INPUT!R$6</f>
        <v>% Chg</v>
      </c>
      <c r="R53" s="484" t="str">
        <f>INPUT!S$6</f>
        <v>1Q15</v>
      </c>
      <c r="S53" s="485" t="str">
        <f>INPUT!T$6</f>
        <v>% Chg</v>
      </c>
      <c r="T53" s="484" t="str">
        <f>INPUT!U$6</f>
        <v>2Q15</v>
      </c>
      <c r="U53" s="485" t="str">
        <f>INPUT!V$6</f>
        <v>% Chg</v>
      </c>
      <c r="V53" s="484" t="str">
        <f>INPUT!W$6</f>
        <v>3Q15</v>
      </c>
      <c r="W53" s="485" t="str">
        <f>INPUT!X$6</f>
        <v>% Chg</v>
      </c>
      <c r="X53" s="484" t="str">
        <f>INPUT!Y$6</f>
        <v>4Q15</v>
      </c>
      <c r="Y53" s="485" t="str">
        <f>INPUT!Z$6</f>
        <v>% Chg</v>
      </c>
      <c r="Z53" s="484" t="str">
        <f>INPUT!AA$6</f>
        <v>1Q16</v>
      </c>
      <c r="AA53" s="485" t="str">
        <f>INPUT!AB$6</f>
        <v>% Chg</v>
      </c>
      <c r="AB53" s="484" t="str">
        <f>INPUT!AC$6</f>
        <v>2Q16</v>
      </c>
      <c r="AC53" s="485" t="str">
        <f>INPUT!AD$6</f>
        <v>% Chg</v>
      </c>
      <c r="AD53" s="484" t="str">
        <f>INPUT!AE$6</f>
        <v>3Q16</v>
      </c>
      <c r="AE53" s="485" t="str">
        <f>INPUT!AF$6</f>
        <v>% Chg</v>
      </c>
      <c r="AF53" s="484" t="str">
        <f>INPUT!AG$6</f>
        <v>4Q16</v>
      </c>
      <c r="AG53" s="485" t="str">
        <f>INPUT!AH$6</f>
        <v>% Chg</v>
      </c>
      <c r="AH53" s="484" t="str">
        <f>INPUT!AI$6</f>
        <v>1Q17</v>
      </c>
      <c r="AI53" s="485" t="str">
        <f>INPUT!AJ$6</f>
        <v>% Chg</v>
      </c>
      <c r="AJ53" s="484" t="str">
        <f>INPUT!AK$6</f>
        <v>2Q17</v>
      </c>
      <c r="AK53" s="485" t="str">
        <f>INPUT!AL$6</f>
        <v>% Chg</v>
      </c>
      <c r="AL53" s="484" t="str">
        <f>INPUT!AM$6</f>
        <v>3Q17</v>
      </c>
      <c r="AM53" s="485" t="str">
        <f>INPUT!AN$6</f>
        <v>% Chg</v>
      </c>
      <c r="AN53" s="484" t="str">
        <f>INPUT!AO$6</f>
        <v>4Q17</v>
      </c>
      <c r="AO53" s="485" t="str">
        <f>INPUT!AP$6</f>
        <v>% Chg</v>
      </c>
      <c r="AP53" s="484" t="str">
        <f>INPUT!AQ$6</f>
        <v>1Q18E</v>
      </c>
      <c r="AQ53" s="485" t="str">
        <f>INPUT!AR$6</f>
        <v>% Chg</v>
      </c>
      <c r="AR53" s="484" t="str">
        <f>INPUT!AS$6</f>
        <v>2Q18E</v>
      </c>
      <c r="AS53" s="485" t="str">
        <f>INPUT!AT$6</f>
        <v>% Chg</v>
      </c>
      <c r="AT53" s="484" t="str">
        <f>INPUT!AU$6</f>
        <v>3Q18E</v>
      </c>
      <c r="AU53" s="485" t="str">
        <f>INPUT!AV$6</f>
        <v>% Chg</v>
      </c>
      <c r="AV53" s="484" t="str">
        <f>INPUT!AW$6</f>
        <v>4Q18E</v>
      </c>
      <c r="AW53" s="485" t="str">
        <f>INPUT!AX$6</f>
        <v>% Chg</v>
      </c>
      <c r="AX53" s="484"/>
      <c r="AY53" s="486" t="e">
        <f>INPUT!#REF!</f>
        <v>#REF!</v>
      </c>
      <c r="AZ53" s="485" t="e">
        <f>INPUT!#REF!</f>
        <v>#REF!</v>
      </c>
      <c r="BA53" s="486" t="e">
        <f>INPUT!#REF!</f>
        <v>#REF!</v>
      </c>
      <c r="BB53" s="485" t="e">
        <f>INPUT!#REF!</f>
        <v>#REF!</v>
      </c>
      <c r="BC53" s="486" t="e">
        <f>INPUT!#REF!</f>
        <v>#REF!</v>
      </c>
      <c r="BD53" s="485" t="e">
        <f>INPUT!#REF!</f>
        <v>#REF!</v>
      </c>
      <c r="BE53" s="486" t="e">
        <f>INPUT!#REF!</f>
        <v>#REF!</v>
      </c>
      <c r="BF53" s="485" t="e">
        <f>INPUT!#REF!</f>
        <v>#REF!</v>
      </c>
      <c r="BG53" s="486" t="e">
        <f>INPUT!#REF!</f>
        <v>#REF!</v>
      </c>
      <c r="BH53" s="485" t="e">
        <f>INPUT!#REF!</f>
        <v>#REF!</v>
      </c>
      <c r="BI53" s="486" t="e">
        <f>INPUT!#REF!</f>
        <v>#REF!</v>
      </c>
      <c r="BJ53" s="485" t="e">
        <f>INPUT!#REF!</f>
        <v>#REF!</v>
      </c>
      <c r="BK53" s="486" t="e">
        <f>INPUT!#REF!</f>
        <v>#REF!</v>
      </c>
      <c r="BL53" s="485" t="e">
        <f>INPUT!#REF!</f>
        <v>#REF!</v>
      </c>
      <c r="BM53" s="486" t="e">
        <f>INPUT!#REF!</f>
        <v>#REF!</v>
      </c>
      <c r="BN53" s="485" t="e">
        <f>INPUT!#REF!</f>
        <v>#REF!</v>
      </c>
      <c r="BO53" s="486" t="e">
        <f>INPUT!#REF!</f>
        <v>#REF!</v>
      </c>
      <c r="BP53" s="485" t="e">
        <f>INPUT!#REF!</f>
        <v>#REF!</v>
      </c>
      <c r="BQ53" s="486" t="e">
        <f>INPUT!#REF!</f>
        <v>#REF!</v>
      </c>
      <c r="BR53" s="485" t="str">
        <f>INPUT!BA$6</f>
        <v>% Chg</v>
      </c>
      <c r="BS53" s="486" t="str">
        <f>INPUT!BB$6</f>
        <v>2013</v>
      </c>
      <c r="BT53" s="485" t="str">
        <f>INPUT!BC$6</f>
        <v>% Chg</v>
      </c>
      <c r="BU53" s="486" t="str">
        <f>INPUT!BD$6</f>
        <v>2014</v>
      </c>
      <c r="BV53" s="485" t="str">
        <f>INPUT!BE$6</f>
        <v>% Chg</v>
      </c>
      <c r="BW53" s="486" t="str">
        <f>INPUT!BF$6</f>
        <v>2015</v>
      </c>
      <c r="BX53" s="485" t="str">
        <f>INPUT!BG$6</f>
        <v>% Chg</v>
      </c>
      <c r="BY53" s="486" t="str">
        <f>INPUT!BH$6</f>
        <v>2016</v>
      </c>
      <c r="BZ53" s="485" t="str">
        <f>INPUT!BI$6</f>
        <v>% Chg</v>
      </c>
      <c r="CA53" s="486" t="str">
        <f>INPUT!BJ$6</f>
        <v>2017</v>
      </c>
      <c r="CB53" s="485" t="str">
        <f>INPUT!BK$6</f>
        <v>% Chg</v>
      </c>
      <c r="CC53" s="486" t="str">
        <f>INPUT!BL$6</f>
        <v>2018E</v>
      </c>
      <c r="CD53" s="485" t="str">
        <f>INPUT!BM$6</f>
        <v>% Chg</v>
      </c>
      <c r="CE53" s="486" t="str">
        <f>INPUT!BN$6</f>
        <v>2019E</v>
      </c>
      <c r="CF53" s="485" t="str">
        <f>INPUT!BO$6</f>
        <v>% Chg</v>
      </c>
      <c r="CG53" s="486" t="str">
        <f>INPUT!BP$6</f>
        <v>2020E</v>
      </c>
      <c r="CH53" s="485" t="str">
        <f>INPUT!BQ$6</f>
        <v>% Chg</v>
      </c>
      <c r="CI53" s="486" t="str">
        <f>INPUT!BR$6</f>
        <v>2021E</v>
      </c>
      <c r="CJ53" s="485" t="str">
        <f>INPUT!BS$6</f>
        <v>% Chg</v>
      </c>
      <c r="CK53" s="486" t="str">
        <f>INPUT!BT$6</f>
        <v>2022E</v>
      </c>
      <c r="CL53" s="485" t="str">
        <f>INPUT!BU$6</f>
        <v>% Chg</v>
      </c>
      <c r="CM53" s="547" t="str">
        <f>INPUT!BV$6</f>
        <v>(%)</v>
      </c>
      <c r="CN53" s="478"/>
      <c r="CO53" s="488"/>
      <c r="CP53" s="478"/>
      <c r="CQ53" s="488"/>
      <c r="CR53" s="478"/>
      <c r="CS53" s="488"/>
      <c r="CT53" s="478"/>
      <c r="CU53" s="488"/>
      <c r="CV53" s="478"/>
      <c r="CW53" s="479"/>
      <c r="CX53" s="478"/>
      <c r="CY53" s="479"/>
      <c r="CZ53" s="478"/>
      <c r="DA53" s="479"/>
      <c r="DB53" s="478"/>
      <c r="DC53" s="479"/>
      <c r="DD53" s="478"/>
      <c r="DE53" s="479"/>
      <c r="DF53" s="478"/>
      <c r="DG53" s="479"/>
      <c r="DH53" s="478"/>
      <c r="DI53" s="479"/>
      <c r="DJ53" s="478"/>
      <c r="DK53" s="478"/>
    </row>
    <row r="54" spans="1:115" s="475" customFormat="1" ht="12" customHeight="1" x14ac:dyDescent="0.2">
      <c r="A54" s="481"/>
      <c r="B54" s="479"/>
      <c r="C54" s="520"/>
      <c r="D54" s="479"/>
      <c r="E54" s="520"/>
      <c r="F54" s="479"/>
      <c r="G54" s="520"/>
      <c r="H54" s="479"/>
      <c r="I54" s="520"/>
      <c r="J54" s="479"/>
      <c r="K54" s="520"/>
      <c r="L54" s="479"/>
      <c r="M54" s="520"/>
      <c r="N54" s="479"/>
      <c r="O54" s="520"/>
      <c r="P54" s="479"/>
      <c r="Q54" s="520"/>
      <c r="R54" s="479"/>
      <c r="S54" s="520"/>
      <c r="T54" s="479"/>
      <c r="U54" s="520"/>
      <c r="V54" s="479"/>
      <c r="W54" s="520"/>
      <c r="X54" s="479"/>
      <c r="Y54" s="520"/>
      <c r="Z54" s="479"/>
      <c r="AA54" s="520"/>
      <c r="AB54" s="479"/>
      <c r="AC54" s="520"/>
      <c r="AD54" s="479"/>
      <c r="AE54" s="520"/>
      <c r="AF54" s="479"/>
      <c r="AG54" s="520"/>
      <c r="AH54" s="479"/>
      <c r="AI54" s="520"/>
      <c r="AJ54" s="479"/>
      <c r="AK54" s="520"/>
      <c r="AL54" s="479"/>
      <c r="AM54" s="520"/>
      <c r="AN54" s="479"/>
      <c r="AO54" s="520"/>
      <c r="AP54" s="479"/>
      <c r="AQ54" s="520"/>
      <c r="AR54" s="479"/>
      <c r="AS54" s="520"/>
      <c r="AT54" s="479"/>
      <c r="AU54" s="520"/>
      <c r="AV54" s="479"/>
      <c r="AW54" s="520"/>
      <c r="AX54" s="479"/>
      <c r="AY54" s="482"/>
      <c r="AZ54" s="520"/>
      <c r="BA54" s="482"/>
      <c r="BB54" s="520"/>
      <c r="BC54" s="482"/>
      <c r="BD54" s="520"/>
      <c r="BE54" s="482"/>
      <c r="BF54" s="520"/>
      <c r="BG54" s="479"/>
      <c r="BH54" s="520"/>
      <c r="BI54" s="479"/>
      <c r="BJ54" s="520"/>
      <c r="BK54" s="479"/>
      <c r="BL54" s="520"/>
      <c r="BM54" s="479"/>
      <c r="BN54" s="520"/>
      <c r="BO54" s="479"/>
      <c r="BP54" s="520"/>
      <c r="BQ54" s="479"/>
      <c r="BR54" s="520"/>
      <c r="BS54" s="479"/>
      <c r="BT54" s="520"/>
      <c r="BU54" s="479"/>
      <c r="BV54" s="520"/>
      <c r="BW54" s="479"/>
      <c r="BX54" s="520"/>
      <c r="BY54" s="479"/>
      <c r="BZ54" s="520"/>
      <c r="CA54" s="479"/>
      <c r="CB54" s="520"/>
      <c r="CC54" s="479"/>
      <c r="CD54" s="520"/>
      <c r="CE54" s="479"/>
      <c r="CF54" s="520"/>
      <c r="CG54" s="479"/>
      <c r="CH54" s="520"/>
      <c r="CI54" s="479"/>
      <c r="CJ54" s="520"/>
      <c r="CK54" s="479"/>
      <c r="CL54" s="520"/>
      <c r="CM54" s="520"/>
    </row>
    <row r="55" spans="1:115" s="475" customFormat="1" ht="12" customHeight="1" x14ac:dyDescent="0.2">
      <c r="A55" s="489" t="str">
        <f>+INPUT!B839</f>
        <v>Shares Outstanding</v>
      </c>
      <c r="B55" s="524"/>
      <c r="C55" s="522"/>
      <c r="D55" s="524"/>
      <c r="E55" s="522"/>
      <c r="F55" s="524"/>
      <c r="G55" s="522"/>
      <c r="H55" s="524"/>
      <c r="I55" s="522"/>
      <c r="J55" s="524"/>
      <c r="K55" s="522"/>
      <c r="L55" s="524"/>
      <c r="M55" s="522"/>
      <c r="N55" s="524"/>
      <c r="O55" s="522"/>
      <c r="P55" s="524"/>
      <c r="Q55" s="522"/>
      <c r="R55" s="524"/>
      <c r="S55" s="522"/>
      <c r="T55" s="524"/>
      <c r="U55" s="522"/>
      <c r="V55" s="524"/>
      <c r="W55" s="522"/>
      <c r="X55" s="524"/>
      <c r="Y55" s="522"/>
      <c r="Z55" s="524"/>
      <c r="AA55" s="522"/>
      <c r="AB55" s="524"/>
      <c r="AC55" s="522"/>
      <c r="AD55" s="524"/>
      <c r="AE55" s="522"/>
      <c r="AF55" s="524"/>
      <c r="AG55" s="522"/>
      <c r="AH55" s="524"/>
      <c r="AI55" s="522"/>
      <c r="AJ55" s="524"/>
      <c r="AK55" s="522"/>
      <c r="AL55" s="524"/>
      <c r="AM55" s="522"/>
      <c r="AN55" s="524"/>
      <c r="AO55" s="522"/>
      <c r="AP55" s="524"/>
      <c r="AQ55" s="522"/>
      <c r="AR55" s="524"/>
      <c r="AS55" s="522"/>
      <c r="AT55" s="524"/>
      <c r="AU55" s="522"/>
      <c r="AV55" s="524"/>
      <c r="AW55" s="522"/>
      <c r="AX55" s="490"/>
      <c r="AY55" s="524"/>
      <c r="AZ55" s="522"/>
      <c r="BA55" s="524"/>
      <c r="BB55" s="522"/>
      <c r="BC55" s="524"/>
      <c r="BD55" s="522"/>
      <c r="BE55" s="524"/>
      <c r="BF55" s="522"/>
      <c r="BG55" s="524"/>
      <c r="BH55" s="522"/>
      <c r="BI55" s="524"/>
      <c r="BJ55" s="522"/>
      <c r="BK55" s="524"/>
      <c r="BL55" s="522"/>
      <c r="BM55" s="524"/>
      <c r="BN55" s="522"/>
      <c r="BO55" s="524"/>
      <c r="BP55" s="522"/>
      <c r="BQ55" s="524"/>
      <c r="BR55" s="522"/>
      <c r="BS55" s="524"/>
      <c r="BT55" s="522"/>
      <c r="BU55" s="524"/>
      <c r="BV55" s="522"/>
      <c r="BW55" s="524"/>
      <c r="BX55" s="522"/>
      <c r="BY55" s="524"/>
      <c r="BZ55" s="522"/>
      <c r="CA55" s="524"/>
      <c r="CB55" s="522"/>
      <c r="CC55" s="524"/>
      <c r="CD55" s="522"/>
      <c r="CE55" s="524"/>
      <c r="CF55" s="522"/>
      <c r="CG55" s="524"/>
      <c r="CH55" s="522"/>
      <c r="CI55" s="524"/>
      <c r="CJ55" s="522"/>
      <c r="CK55" s="524"/>
      <c r="CL55" s="522"/>
      <c r="CM55" s="522"/>
    </row>
    <row r="56" spans="1:115" s="475" customFormat="1" ht="12" customHeight="1" x14ac:dyDescent="0.2">
      <c r="A56" s="481" t="str">
        <f>+INPUT!B840</f>
        <v>Outstanding Shares (EOP)</v>
      </c>
      <c r="B56" s="536">
        <f>+INPUT!C840</f>
        <v>293.3</v>
      </c>
      <c r="C56" s="522" t="str">
        <f>+INPUT!D840</f>
        <v>NA</v>
      </c>
      <c r="D56" s="536">
        <f>+INPUT!E840</f>
        <v>293.89999999999998</v>
      </c>
      <c r="E56" s="522" t="str">
        <f>+INPUT!F840</f>
        <v>NA</v>
      </c>
      <c r="F56" s="536">
        <f>+INPUT!G840</f>
        <v>293.89999999999998</v>
      </c>
      <c r="G56" s="522" t="str">
        <f>+INPUT!H840</f>
        <v>NA</v>
      </c>
      <c r="H56" s="536">
        <f>+INPUT!I840</f>
        <v>295.2</v>
      </c>
      <c r="I56" s="522" t="str">
        <f>+INPUT!J840</f>
        <v>NA</v>
      </c>
      <c r="J56" s="536">
        <f>+INPUT!K840</f>
        <v>294.8</v>
      </c>
      <c r="K56" s="522">
        <f>+INPUT!L840</f>
        <v>0.51142175247187538</v>
      </c>
      <c r="L56" s="536">
        <f>+INPUT!M840</f>
        <v>293.8</v>
      </c>
      <c r="M56" s="522">
        <f>+INPUT!N840</f>
        <v>-3.4025178632177244E-2</v>
      </c>
      <c r="N56" s="536">
        <f>+INPUT!O840</f>
        <v>293.60000000000002</v>
      </c>
      <c r="O56" s="522">
        <f>+INPUT!P840</f>
        <v>-0.10207553589654594</v>
      </c>
      <c r="P56" s="536">
        <f>+INPUT!Q840</f>
        <v>293.89999999999998</v>
      </c>
      <c r="Q56" s="522">
        <f>+INPUT!R840</f>
        <v>-0.44037940379404006</v>
      </c>
      <c r="R56" s="536">
        <f>+INPUT!S840</f>
        <v>294.39999999999998</v>
      </c>
      <c r="S56" s="522">
        <f>+INPUT!T840</f>
        <v>-0.13568521031209002</v>
      </c>
      <c r="T56" s="536">
        <f>+INPUT!U840</f>
        <v>294.7</v>
      </c>
      <c r="U56" s="522">
        <f>+INPUT!V840</f>
        <v>0.30633083730428723</v>
      </c>
      <c r="V56" s="536">
        <f>+INPUT!W840</f>
        <v>293.5</v>
      </c>
      <c r="W56" s="522">
        <f>+INPUT!X840</f>
        <v>-3.40599455040973E-2</v>
      </c>
      <c r="X56" s="536">
        <f>+INPUT!Y840</f>
        <v>291.39999999999998</v>
      </c>
      <c r="Y56" s="522">
        <f>+INPUT!Z840</f>
        <v>-0.85062946580470111</v>
      </c>
      <c r="Z56" s="536">
        <f>+INPUT!AA840</f>
        <v>290.39999999999998</v>
      </c>
      <c r="AA56" s="522">
        <f>+INPUT!AB840</f>
        <v>-1.3586956521739069</v>
      </c>
      <c r="AB56" s="536">
        <f>+INPUT!AC840</f>
        <v>288</v>
      </c>
      <c r="AC56" s="522">
        <f>+INPUT!AD840</f>
        <v>-2.2734984730234089</v>
      </c>
      <c r="AD56" s="536">
        <f>+INPUT!AE840</f>
        <v>287.7</v>
      </c>
      <c r="AE56" s="522">
        <f>+INPUT!AF840</f>
        <v>-1.9761499148211215</v>
      </c>
      <c r="AF56" s="536">
        <f>+INPUT!AG840</f>
        <v>287.7</v>
      </c>
      <c r="AG56" s="522">
        <f>+INPUT!AH840</f>
        <v>-1.2697323266986871</v>
      </c>
      <c r="AH56" s="536">
        <f>+INPUT!AI840</f>
        <v>288.10000000000002</v>
      </c>
      <c r="AI56" s="522">
        <f>+INPUT!AJ840</f>
        <v>-0.79201101928373419</v>
      </c>
      <c r="AJ56" s="536">
        <f>+INPUT!AK840</f>
        <v>288.60000000000002</v>
      </c>
      <c r="AK56" s="522">
        <f>+INPUT!AL840</f>
        <v>0.20833333333334281</v>
      </c>
      <c r="AL56" s="536">
        <f>+INPUT!AM840</f>
        <v>288.5</v>
      </c>
      <c r="AM56" s="522">
        <f>+INPUT!AN840</f>
        <v>0.27806743135209899</v>
      </c>
      <c r="AN56" s="536">
        <f>+INPUT!AO840</f>
        <v>289</v>
      </c>
      <c r="AO56" s="522">
        <f>+INPUT!AP840</f>
        <v>0.45185957594718218</v>
      </c>
      <c r="AP56" s="536">
        <f>+INPUT!AQ840</f>
        <v>287.9522535113731</v>
      </c>
      <c r="AQ56" s="522">
        <f>+INPUT!AR840</f>
        <v>-5.1283057489385442E-2</v>
      </c>
      <c r="AR56" s="536">
        <f>+INPUT!AS840</f>
        <v>287.15086465472478</v>
      </c>
      <c r="AS56" s="522">
        <f>+INPUT!AT840</f>
        <v>-0.50212589926377404</v>
      </c>
      <c r="AT56" s="536">
        <f>+INPUT!AU840</f>
        <v>286.3673413339651</v>
      </c>
      <c r="AU56" s="522">
        <f>+INPUT!AV840</f>
        <v>-0.73922310781105693</v>
      </c>
      <c r="AV56" s="536">
        <f>+INPUT!AW840</f>
        <v>285.96804140543935</v>
      </c>
      <c r="AW56" s="522">
        <f>+INPUT!AX840</f>
        <v>-1.0491206209552502</v>
      </c>
      <c r="AX56" s="490"/>
      <c r="AY56" s="524" t="e">
        <f>+INPUT!#REF!</f>
        <v>#REF!</v>
      </c>
      <c r="AZ56" s="522" t="e">
        <f>+INPUT!#REF!</f>
        <v>#REF!</v>
      </c>
      <c r="BA56" s="524" t="e">
        <f>+INPUT!#REF!</f>
        <v>#REF!</v>
      </c>
      <c r="BB56" s="522" t="e">
        <f>+INPUT!#REF!</f>
        <v>#REF!</v>
      </c>
      <c r="BC56" s="524" t="e">
        <f>+INPUT!#REF!</f>
        <v>#REF!</v>
      </c>
      <c r="BD56" s="522" t="e">
        <f>+INPUT!#REF!</f>
        <v>#REF!</v>
      </c>
      <c r="BE56" s="524" t="e">
        <f>+INPUT!#REF!</f>
        <v>#REF!</v>
      </c>
      <c r="BF56" s="522" t="e">
        <f>+INPUT!#REF!</f>
        <v>#REF!</v>
      </c>
      <c r="BG56" s="536" t="e">
        <f>+INPUT!#REF!</f>
        <v>#REF!</v>
      </c>
      <c r="BH56" s="522" t="e">
        <f>+INPUT!#REF!</f>
        <v>#REF!</v>
      </c>
      <c r="BI56" s="536" t="e">
        <f>+INPUT!#REF!</f>
        <v>#REF!</v>
      </c>
      <c r="BJ56" s="522" t="e">
        <f>+INPUT!#REF!</f>
        <v>#REF!</v>
      </c>
      <c r="BK56" s="536" t="e">
        <f>+INPUT!#REF!</f>
        <v>#REF!</v>
      </c>
      <c r="BL56" s="522" t="e">
        <f>+INPUT!#REF!</f>
        <v>#REF!</v>
      </c>
      <c r="BM56" s="536" t="e">
        <f>+INPUT!#REF!</f>
        <v>#REF!</v>
      </c>
      <c r="BN56" s="522" t="e">
        <f>+INPUT!#REF!</f>
        <v>#REF!</v>
      </c>
      <c r="BO56" s="536" t="e">
        <f>+INPUT!#REF!</f>
        <v>#REF!</v>
      </c>
      <c r="BP56" s="522" t="e">
        <f>+INPUT!#REF!</f>
        <v>#REF!</v>
      </c>
      <c r="BQ56" s="536" t="e">
        <f>+INPUT!#REF!</f>
        <v>#REF!</v>
      </c>
      <c r="BR56" s="522" t="str">
        <f>+INPUT!BA840</f>
        <v>NA</v>
      </c>
      <c r="BS56" s="536">
        <f>+INPUT!BB840</f>
        <v>293.60000000000002</v>
      </c>
      <c r="BT56" s="522" t="str">
        <f>+INPUT!BC840</f>
        <v>NA</v>
      </c>
      <c r="BU56" s="536">
        <f>+INPUT!BD840</f>
        <v>293.89999999999998</v>
      </c>
      <c r="BV56" s="522">
        <f>+INPUT!BE840</f>
        <v>0.10217983651223506</v>
      </c>
      <c r="BW56" s="536">
        <f>+INPUT!BF840</f>
        <v>291.39999999999998</v>
      </c>
      <c r="BX56" s="522">
        <f>+INPUT!BG840</f>
        <v>-0.85062946580470111</v>
      </c>
      <c r="BY56" s="536">
        <f>+INPUT!BH840</f>
        <v>287.7</v>
      </c>
      <c r="BZ56" s="522">
        <f>+INPUT!BI840</f>
        <v>-1.2697323266986871</v>
      </c>
      <c r="CA56" s="536">
        <f>+INPUT!BJ840</f>
        <v>289</v>
      </c>
      <c r="CB56" s="522">
        <f>+INPUT!BK840</f>
        <v>0.45185957594718218</v>
      </c>
      <c r="CC56" s="536">
        <f>+INPUT!BL840</f>
        <v>285.96804140543935</v>
      </c>
      <c r="CD56" s="522">
        <f>+INPUT!BM840</f>
        <v>-1.0491206209552502</v>
      </c>
      <c r="CE56" s="536">
        <f>+INPUT!BN840</f>
        <v>283.34419756561175</v>
      </c>
      <c r="CF56" s="522">
        <f>+INPUT!BO840</f>
        <v>-0.91753044393782091</v>
      </c>
      <c r="CG56" s="536">
        <f>+INPUT!BP840</f>
        <v>280.80909998245437</v>
      </c>
      <c r="CH56" s="522">
        <f>+INPUT!BQ840</f>
        <v>-0.89470601654736015</v>
      </c>
      <c r="CI56" s="536">
        <f>+INPUT!BR840</f>
        <v>278.48437526744095</v>
      </c>
      <c r="CJ56" s="522">
        <f>+INPUT!BS840</f>
        <v>-0.82786658806949731</v>
      </c>
      <c r="CK56" s="536">
        <f>+INPUT!BT840</f>
        <v>276.53930267785705</v>
      </c>
      <c r="CL56" s="522">
        <f>+INPUT!BU840</f>
        <v>-0.69844945078730802</v>
      </c>
      <c r="CM56" s="522">
        <f>+INPUT!BV840</f>
        <v>-0.87760107695907807</v>
      </c>
    </row>
    <row r="57" spans="1:115" s="475" customFormat="1" ht="12" customHeight="1" x14ac:dyDescent="0.2">
      <c r="A57" s="481" t="str">
        <f>+INPUT!B842</f>
        <v>Weighted Average Shares (FD)</v>
      </c>
      <c r="B57" s="536">
        <f>+INPUT!C842</f>
        <v>297.10000000000002</v>
      </c>
      <c r="C57" s="522" t="str">
        <f>+INPUT!D842</f>
        <v>NA</v>
      </c>
      <c r="D57" s="536">
        <f>+INPUT!E842</f>
        <v>297.2</v>
      </c>
      <c r="E57" s="522" t="str">
        <f>+INPUT!F842</f>
        <v>NA</v>
      </c>
      <c r="F57" s="536">
        <f>+INPUT!G842</f>
        <v>298.60000000000002</v>
      </c>
      <c r="G57" s="522" t="str">
        <f>+INPUT!H842</f>
        <v>NA</v>
      </c>
      <c r="H57" s="536">
        <f>+INPUT!I842</f>
        <v>299.3</v>
      </c>
      <c r="I57" s="522" t="str">
        <f>+INPUT!J842</f>
        <v>NA</v>
      </c>
      <c r="J57" s="536">
        <f>+INPUT!K842</f>
        <v>299.5</v>
      </c>
      <c r="K57" s="522">
        <f>+INPUT!L842</f>
        <v>0.80780881857960196</v>
      </c>
      <c r="L57" s="536">
        <f>+INPUT!M842</f>
        <v>298.3</v>
      </c>
      <c r="M57" s="522">
        <f>+INPUT!N842</f>
        <v>0.37012113055180862</v>
      </c>
      <c r="N57" s="536">
        <f>+INPUT!O842</f>
        <v>298.2</v>
      </c>
      <c r="O57" s="522">
        <f>+INPUT!P842</f>
        <v>-0.13395847287341667</v>
      </c>
      <c r="P57" s="536">
        <f>+INPUT!Q842</f>
        <v>298.3</v>
      </c>
      <c r="Q57" s="522">
        <f>+INPUT!R842</f>
        <v>-0.33411293017039156</v>
      </c>
      <c r="R57" s="536">
        <f>+INPUT!S842</f>
        <v>298.5</v>
      </c>
      <c r="S57" s="522">
        <f>+INPUT!T842</f>
        <v>-0.33388981636059611</v>
      </c>
      <c r="T57" s="536">
        <f>+INPUT!U842</f>
        <v>298.39999999999998</v>
      </c>
      <c r="U57" s="522">
        <f>+INPUT!V842</f>
        <v>3.3523298692571757E-2</v>
      </c>
      <c r="V57" s="536">
        <f>+INPUT!W842</f>
        <v>298.5</v>
      </c>
      <c r="W57" s="522">
        <f>+INPUT!X842</f>
        <v>0.10060362173038584</v>
      </c>
      <c r="X57" s="536">
        <f>+INPUT!Y842</f>
        <v>296.2</v>
      </c>
      <c r="Y57" s="522">
        <f>+INPUT!Z842</f>
        <v>-0.70398927254441901</v>
      </c>
      <c r="Z57" s="536">
        <f>+INPUT!AA842</f>
        <v>294.3</v>
      </c>
      <c r="AA57" s="522">
        <f>+INPUT!AB842</f>
        <v>-1.4070351758793862</v>
      </c>
      <c r="AB57" s="536">
        <f>+INPUT!AC842</f>
        <v>292.60000000000002</v>
      </c>
      <c r="AC57" s="522">
        <f>+INPUT!AD842</f>
        <v>-1.9436997319034646</v>
      </c>
      <c r="AD57" s="536">
        <f>+INPUT!AE842</f>
        <v>291.39999999999998</v>
      </c>
      <c r="AE57" s="522">
        <f>+INPUT!AF842</f>
        <v>-2.3785594639866048</v>
      </c>
      <c r="AF57" s="536">
        <f>+INPUT!AG842</f>
        <v>292</v>
      </c>
      <c r="AG57" s="522">
        <f>+INPUT!AH842</f>
        <v>-1.4179608372721191</v>
      </c>
      <c r="AH57" s="536">
        <f>+INPUT!AI842</f>
        <v>292.39999999999998</v>
      </c>
      <c r="AI57" s="522">
        <f>+INPUT!AJ842</f>
        <v>-0.64559972816854838</v>
      </c>
      <c r="AJ57" s="536">
        <f>+INPUT!AK842</f>
        <v>292.7</v>
      </c>
      <c r="AK57" s="522">
        <f>+INPUT!AL842</f>
        <v>3.417634996580432E-2</v>
      </c>
      <c r="AL57" s="536">
        <f>+INPUT!AM842</f>
        <v>293.05</v>
      </c>
      <c r="AM57" s="522">
        <f>+INPUT!AN842</f>
        <v>0.56623198352781401</v>
      </c>
      <c r="AN57" s="536">
        <f>+INPUT!AO842</f>
        <v>293.60000000000002</v>
      </c>
      <c r="AO57" s="522">
        <f>+INPUT!AP842</f>
        <v>0.54794520547945069</v>
      </c>
      <c r="AP57" s="536">
        <f>+INPUT!AQ842</f>
        <v>292.77612675568662</v>
      </c>
      <c r="AQ57" s="522">
        <f>+INPUT!AR842</f>
        <v>0.12863432137027075</v>
      </c>
      <c r="AR57" s="536">
        <f>+INPUT!AS842</f>
        <v>291.85155908304898</v>
      </c>
      <c r="AS57" s="522">
        <f>+INPUT!AT842</f>
        <v>-0.28986707104577647</v>
      </c>
      <c r="AT57" s="536">
        <f>+INPUT!AU842</f>
        <v>291.05910299434498</v>
      </c>
      <c r="AU57" s="522">
        <f>+INPUT!AV842</f>
        <v>-0.67937109901212978</v>
      </c>
      <c r="AV57" s="536">
        <f>+INPUT!AW842</f>
        <v>290.46769136970227</v>
      </c>
      <c r="AW57" s="522">
        <f>+INPUT!AX842</f>
        <v>-1.0668626124992358</v>
      </c>
      <c r="AX57" s="490"/>
      <c r="AY57" s="524" t="e">
        <f>+INPUT!#REF!</f>
        <v>#REF!</v>
      </c>
      <c r="AZ57" s="522" t="e">
        <f>+INPUT!#REF!</f>
        <v>#REF!</v>
      </c>
      <c r="BA57" s="524" t="e">
        <f>+INPUT!#REF!</f>
        <v>#REF!</v>
      </c>
      <c r="BB57" s="522" t="e">
        <f>+INPUT!#REF!</f>
        <v>#REF!</v>
      </c>
      <c r="BC57" s="524" t="e">
        <f>+INPUT!#REF!</f>
        <v>#REF!</v>
      </c>
      <c r="BD57" s="522" t="e">
        <f>+INPUT!#REF!</f>
        <v>#REF!</v>
      </c>
      <c r="BE57" s="524" t="e">
        <f>+INPUT!#REF!</f>
        <v>#REF!</v>
      </c>
      <c r="BF57" s="522" t="e">
        <f>+INPUT!#REF!</f>
        <v>#REF!</v>
      </c>
      <c r="BG57" s="536" t="e">
        <f>+INPUT!#REF!</f>
        <v>#REF!</v>
      </c>
      <c r="BH57" s="522" t="e">
        <f>+INPUT!#REF!</f>
        <v>#REF!</v>
      </c>
      <c r="BI57" s="536" t="e">
        <f>+INPUT!#REF!</f>
        <v>#REF!</v>
      </c>
      <c r="BJ57" s="522" t="e">
        <f>+INPUT!#REF!</f>
        <v>#REF!</v>
      </c>
      <c r="BK57" s="536" t="e">
        <f>+INPUT!#REF!</f>
        <v>#REF!</v>
      </c>
      <c r="BL57" s="522" t="e">
        <f>+INPUT!#REF!</f>
        <v>#REF!</v>
      </c>
      <c r="BM57" s="536" t="e">
        <f>+INPUT!#REF!</f>
        <v>#REF!</v>
      </c>
      <c r="BN57" s="522" t="e">
        <f>+INPUT!#REF!</f>
        <v>#REF!</v>
      </c>
      <c r="BO57" s="536" t="e">
        <f>+INPUT!#REF!</f>
        <v>#REF!</v>
      </c>
      <c r="BP57" s="522" t="e">
        <f>+INPUT!#REF!</f>
        <v>#REF!</v>
      </c>
      <c r="BQ57" s="536" t="e">
        <f>+INPUT!#REF!</f>
        <v>#REF!</v>
      </c>
      <c r="BR57" s="522" t="str">
        <f>+INPUT!BA842</f>
        <v>NA</v>
      </c>
      <c r="BS57" s="536">
        <f>+INPUT!BB842</f>
        <v>298.05</v>
      </c>
      <c r="BT57" s="522" t="str">
        <f>+INPUT!BC842</f>
        <v>NA</v>
      </c>
      <c r="BU57" s="536">
        <f>+INPUT!BD842</f>
        <v>298.57499999999999</v>
      </c>
      <c r="BV57" s="522">
        <f>+INPUT!BE842</f>
        <v>0.17614494212378418</v>
      </c>
      <c r="BW57" s="536">
        <f>+INPUT!BF842</f>
        <v>297.89999999999998</v>
      </c>
      <c r="BX57" s="522">
        <f>+INPUT!BG842</f>
        <v>-0.2260738507912663</v>
      </c>
      <c r="BY57" s="536">
        <f>+INPUT!BH842</f>
        <v>292.57500000000005</v>
      </c>
      <c r="BZ57" s="522">
        <f>+INPUT!BI842</f>
        <v>-1.7875125881167975</v>
      </c>
      <c r="CA57" s="536">
        <f>+INPUT!BJ842</f>
        <v>292.9375</v>
      </c>
      <c r="CB57" s="522">
        <f>+INPUT!BK842</f>
        <v>0.12389985473808451</v>
      </c>
      <c r="CC57" s="536">
        <f>+INPUT!BL842</f>
        <v>291.53862005069573</v>
      </c>
      <c r="CD57" s="522">
        <f>+INPUT!BM842</f>
        <v>-0.47753529312713283</v>
      </c>
      <c r="CE57" s="536">
        <f>+INPUT!BN842</f>
        <v>288.41373510154278</v>
      </c>
      <c r="CF57" s="522">
        <f>+INPUT!BO842</f>
        <v>-1.0718596900162254</v>
      </c>
      <c r="CG57" s="536">
        <f>+INPUT!BP842</f>
        <v>286.37664877403301</v>
      </c>
      <c r="CH57" s="522">
        <f>+INPUT!BQ842</f>
        <v>-0.70630697487155203</v>
      </c>
      <c r="CI57" s="536">
        <f>+INPUT!BR842</f>
        <v>283.94673762494762</v>
      </c>
      <c r="CJ57" s="522">
        <f>+INPUT!BS842</f>
        <v>-0.84850184520551863</v>
      </c>
      <c r="CK57" s="536">
        <f>+INPUT!BT842</f>
        <v>281.81183897264901</v>
      </c>
      <c r="CL57" s="522">
        <f>+INPUT!BU842</f>
        <v>-0.75186588518529618</v>
      </c>
      <c r="CM57" s="522">
        <f>+INPUT!BV842</f>
        <v>-0.77140260262199556</v>
      </c>
    </row>
    <row r="58" spans="1:115" s="475" customFormat="1" ht="12" customHeight="1" x14ac:dyDescent="0.2">
      <c r="A58" s="489"/>
      <c r="B58" s="479"/>
      <c r="C58" s="520"/>
      <c r="D58" s="479"/>
      <c r="E58" s="520"/>
      <c r="F58" s="479"/>
      <c r="G58" s="520"/>
      <c r="H58" s="479"/>
      <c r="I58" s="520"/>
      <c r="J58" s="479"/>
      <c r="K58" s="520"/>
      <c r="L58" s="479"/>
      <c r="M58" s="520"/>
      <c r="N58" s="479"/>
      <c r="O58" s="520"/>
      <c r="P58" s="479"/>
      <c r="Q58" s="520"/>
      <c r="R58" s="479"/>
      <c r="S58" s="520"/>
      <c r="T58" s="479"/>
      <c r="U58" s="520"/>
      <c r="V58" s="479"/>
      <c r="W58" s="520"/>
      <c r="X58" s="479"/>
      <c r="Y58" s="520"/>
      <c r="Z58" s="479"/>
      <c r="AA58" s="520"/>
      <c r="AB58" s="479"/>
      <c r="AC58" s="520"/>
      <c r="AD58" s="479"/>
      <c r="AE58" s="520"/>
      <c r="AF58" s="479"/>
      <c r="AG58" s="520"/>
      <c r="AH58" s="479"/>
      <c r="AI58" s="520"/>
      <c r="AJ58" s="479"/>
      <c r="AK58" s="520"/>
      <c r="AL58" s="479"/>
      <c r="AM58" s="520"/>
      <c r="AN58" s="479"/>
      <c r="AO58" s="520"/>
      <c r="AP58" s="479"/>
      <c r="AQ58" s="520"/>
      <c r="AR58" s="479"/>
      <c r="AS58" s="520"/>
      <c r="AT58" s="479"/>
      <c r="AU58" s="520"/>
      <c r="AV58" s="479"/>
      <c r="AW58" s="520"/>
      <c r="AX58" s="479"/>
      <c r="AY58" s="479"/>
      <c r="AZ58" s="520"/>
      <c r="BA58" s="479"/>
      <c r="BB58" s="520"/>
      <c r="BC58" s="479"/>
      <c r="BD58" s="520"/>
      <c r="BE58" s="479"/>
      <c r="BF58" s="520"/>
      <c r="BG58" s="479"/>
      <c r="BH58" s="520"/>
      <c r="BI58" s="479"/>
      <c r="BJ58" s="520"/>
      <c r="BK58" s="479"/>
      <c r="BL58" s="520"/>
      <c r="BM58" s="479"/>
      <c r="BN58" s="520"/>
      <c r="BO58" s="479"/>
      <c r="BP58" s="520"/>
      <c r="BQ58" s="479"/>
      <c r="BR58" s="520"/>
      <c r="BS58" s="479"/>
      <c r="BT58" s="520"/>
      <c r="BU58" s="479"/>
      <c r="BV58" s="520"/>
      <c r="BW58" s="479"/>
      <c r="BX58" s="520"/>
      <c r="BY58" s="479"/>
      <c r="BZ58" s="520"/>
      <c r="CA58" s="479"/>
      <c r="CB58" s="520"/>
      <c r="CC58" s="479"/>
      <c r="CD58" s="520"/>
      <c r="CE58" s="479"/>
      <c r="CF58" s="520"/>
      <c r="CG58" s="479"/>
      <c r="CH58" s="520"/>
      <c r="CI58" s="479"/>
      <c r="CJ58" s="520"/>
      <c r="CK58" s="479"/>
      <c r="CL58" s="520"/>
      <c r="CM58" s="520"/>
    </row>
    <row r="59" spans="1:115" s="475" customFormat="1" ht="12" hidden="1" customHeight="1" outlineLevel="1" x14ac:dyDescent="0.2">
      <c r="A59" s="476" t="s">
        <v>104</v>
      </c>
      <c r="B59" s="479"/>
      <c r="C59" s="520"/>
      <c r="D59" s="479"/>
      <c r="E59" s="520"/>
      <c r="F59" s="479"/>
      <c r="G59" s="520"/>
      <c r="H59" s="479"/>
      <c r="I59" s="520"/>
      <c r="J59" s="479"/>
      <c r="K59" s="520"/>
      <c r="L59" s="479"/>
      <c r="M59" s="520"/>
      <c r="N59" s="479"/>
      <c r="O59" s="520"/>
      <c r="P59" s="479"/>
      <c r="Q59" s="520"/>
      <c r="R59" s="479"/>
      <c r="S59" s="520"/>
      <c r="T59" s="479"/>
      <c r="U59" s="520"/>
      <c r="V59" s="479"/>
      <c r="W59" s="520"/>
      <c r="X59" s="479"/>
      <c r="Y59" s="520"/>
      <c r="Z59" s="479"/>
      <c r="AA59" s="520"/>
      <c r="AB59" s="479"/>
      <c r="AC59" s="520"/>
      <c r="AD59" s="479"/>
      <c r="AE59" s="520"/>
      <c r="AF59" s="479"/>
      <c r="AG59" s="520"/>
      <c r="AH59" s="479"/>
      <c r="AI59" s="520"/>
      <c r="AJ59" s="479"/>
      <c r="AK59" s="520"/>
      <c r="AL59" s="479"/>
      <c r="AM59" s="520"/>
      <c r="AN59" s="479"/>
      <c r="AO59" s="520"/>
      <c r="AP59" s="479"/>
      <c r="AQ59" s="520"/>
      <c r="AR59" s="479"/>
      <c r="AS59" s="520"/>
      <c r="AT59" s="479"/>
      <c r="AU59" s="520"/>
      <c r="AV59" s="479"/>
      <c r="AW59" s="520"/>
      <c r="AX59" s="479"/>
      <c r="AY59" s="479"/>
      <c r="AZ59" s="520"/>
      <c r="BA59" s="479"/>
      <c r="BB59" s="520"/>
      <c r="BC59" s="479"/>
      <c r="BD59" s="520"/>
      <c r="BE59" s="479"/>
      <c r="BF59" s="520"/>
      <c r="BG59" s="479"/>
      <c r="BH59" s="520"/>
      <c r="BI59" s="479"/>
      <c r="BJ59" s="520"/>
      <c r="BK59" s="479"/>
      <c r="BL59" s="520"/>
      <c r="BM59" s="479"/>
      <c r="BN59" s="520"/>
      <c r="BO59" s="479"/>
      <c r="BP59" s="520"/>
      <c r="BQ59" s="479"/>
      <c r="BR59" s="520"/>
      <c r="BS59" s="479"/>
      <c r="BT59" s="520"/>
      <c r="BU59" s="479"/>
      <c r="BV59" s="520"/>
      <c r="BW59" s="479"/>
      <c r="BX59" s="520"/>
      <c r="BY59" s="479"/>
      <c r="BZ59" s="520"/>
      <c r="CA59" s="479"/>
      <c r="CB59" s="520"/>
      <c r="CC59" s="479"/>
      <c r="CD59" s="520"/>
      <c r="CE59" s="479"/>
      <c r="CF59" s="520"/>
      <c r="CG59" s="479"/>
      <c r="CH59" s="520"/>
      <c r="CI59" s="479"/>
      <c r="CJ59" s="520"/>
      <c r="CK59" s="479"/>
      <c r="CL59" s="520"/>
      <c r="CM59" s="520"/>
    </row>
    <row r="60" spans="1:115" s="475" customFormat="1" ht="12" customHeight="1" collapsed="1" x14ac:dyDescent="0.2">
      <c r="A60" s="489" t="s">
        <v>616</v>
      </c>
      <c r="B60" s="479"/>
      <c r="C60" s="522"/>
      <c r="D60" s="479"/>
      <c r="E60" s="522"/>
      <c r="F60" s="479"/>
      <c r="G60" s="522"/>
      <c r="H60" s="479"/>
      <c r="I60" s="522"/>
      <c r="J60" s="479"/>
      <c r="K60" s="522"/>
      <c r="L60" s="479"/>
      <c r="M60" s="522"/>
      <c r="N60" s="479"/>
      <c r="O60" s="522"/>
      <c r="P60" s="479"/>
      <c r="Q60" s="522"/>
      <c r="R60" s="479"/>
      <c r="S60" s="522"/>
      <c r="T60" s="479"/>
      <c r="U60" s="522"/>
      <c r="V60" s="479"/>
      <c r="W60" s="522"/>
      <c r="X60" s="479"/>
      <c r="Y60" s="522"/>
      <c r="Z60" s="479"/>
      <c r="AA60" s="522"/>
      <c r="AB60" s="479"/>
      <c r="AC60" s="522"/>
      <c r="AD60" s="479"/>
      <c r="AE60" s="522"/>
      <c r="AF60" s="479"/>
      <c r="AG60" s="522"/>
      <c r="AH60" s="479"/>
      <c r="AI60" s="522"/>
      <c r="AJ60" s="479"/>
      <c r="AK60" s="522"/>
      <c r="AL60" s="479"/>
      <c r="AM60" s="522"/>
      <c r="AN60" s="479"/>
      <c r="AO60" s="522"/>
      <c r="AP60" s="479"/>
      <c r="AQ60" s="522"/>
      <c r="AR60" s="479"/>
      <c r="AS60" s="522"/>
      <c r="AT60" s="479"/>
      <c r="AU60" s="522"/>
      <c r="AV60" s="479"/>
      <c r="AW60" s="522"/>
      <c r="AX60" s="479"/>
      <c r="AY60" s="479"/>
      <c r="AZ60" s="522"/>
      <c r="BA60" s="479"/>
      <c r="BB60" s="522"/>
      <c r="BC60" s="479"/>
      <c r="BD60" s="522"/>
      <c r="BE60" s="479"/>
      <c r="BF60" s="522"/>
      <c r="BG60" s="479"/>
      <c r="BH60" s="522"/>
      <c r="BI60" s="479"/>
      <c r="BJ60" s="522"/>
      <c r="BK60" s="479"/>
      <c r="BL60" s="522"/>
      <c r="BM60" s="479"/>
      <c r="BN60" s="522"/>
      <c r="BO60" s="479"/>
      <c r="BP60" s="522"/>
      <c r="BQ60" s="479"/>
      <c r="BR60" s="522"/>
      <c r="BS60" s="479"/>
      <c r="BT60" s="522"/>
      <c r="BU60" s="479"/>
      <c r="BV60" s="522"/>
      <c r="BW60" s="479"/>
      <c r="BX60" s="522"/>
      <c r="BY60" s="479"/>
      <c r="BZ60" s="522"/>
      <c r="CA60" s="479"/>
      <c r="CB60" s="522"/>
      <c r="CC60" s="479"/>
      <c r="CD60" s="522"/>
      <c r="CE60" s="479"/>
      <c r="CF60" s="522"/>
      <c r="CG60" s="479"/>
      <c r="CH60" s="522"/>
      <c r="CI60" s="479"/>
      <c r="CJ60" s="522"/>
      <c r="CK60" s="479"/>
      <c r="CL60" s="522"/>
      <c r="CM60" s="522"/>
    </row>
    <row r="61" spans="1:115" s="475" customFormat="1" ht="12" customHeight="1" x14ac:dyDescent="0.2">
      <c r="A61" s="802" t="str">
        <f t="shared" ref="A61:A69" si="77">A8</f>
        <v>RIS - Fee</v>
      </c>
      <c r="B61" s="521">
        <f t="shared" ref="B61:B69" si="78">B8/B$19*100</f>
        <v>33.428571428571416</v>
      </c>
      <c r="C61" s="522"/>
      <c r="D61" s="521">
        <f t="shared" ref="D61:D69" si="79">D8/D$19*100</f>
        <v>32.705432705432692</v>
      </c>
      <c r="E61" s="522"/>
      <c r="F61" s="521">
        <f t="shared" ref="F61:F69" si="80">F8/F$19*100</f>
        <v>28.575395723410157</v>
      </c>
      <c r="G61" s="522"/>
      <c r="H61" s="521">
        <f t="shared" ref="H61:H69" si="81">H8/H$19*100</f>
        <v>31.329597554763122</v>
      </c>
      <c r="I61" s="522"/>
      <c r="J61" s="521">
        <f t="shared" ref="J61:J69" si="82">J8/J$19*100</f>
        <v>35.188420264537037</v>
      </c>
      <c r="K61" s="522"/>
      <c r="L61" s="521">
        <f t="shared" ref="L61:L69" si="83">L8/L$19*100</f>
        <v>35.241379310344833</v>
      </c>
      <c r="M61" s="522"/>
      <c r="N61" s="521">
        <f t="shared" ref="N61:N69" si="84">N8/N$19*100</f>
        <v>30.464824120603005</v>
      </c>
      <c r="O61" s="522"/>
      <c r="P61" s="521">
        <f t="shared" ref="P61:P69" si="85">P8/P$19*100</f>
        <v>33.829268292682912</v>
      </c>
      <c r="Q61" s="522"/>
      <c r="R61" s="521">
        <f t="shared" ref="R61:R69" si="86">R8/R$19*100</f>
        <v>33.689712520788795</v>
      </c>
      <c r="S61" s="522"/>
      <c r="T61" s="521">
        <f t="shared" ref="T61:T69" si="87">T8/T$19*100</f>
        <v>33.387660069848664</v>
      </c>
      <c r="U61" s="522"/>
      <c r="V61" s="521">
        <f t="shared" ref="V61:V69" si="88">V8/V$19*100</f>
        <v>20.96288866599798</v>
      </c>
      <c r="W61" s="522"/>
      <c r="X61" s="521">
        <f t="shared" ref="X61:X69" si="89">X8/X$19*100</f>
        <v>32.147460685743745</v>
      </c>
      <c r="Y61" s="522"/>
      <c r="Z61" s="521">
        <f t="shared" ref="Z61:Z69" si="90">Z8/Z$19*100</f>
        <v>31.995509402189171</v>
      </c>
      <c r="AA61" s="522"/>
      <c r="AB61" s="521">
        <f t="shared" ref="AB61:AB69" si="91">AB8/AB$19*100</f>
        <v>28.872912801484237</v>
      </c>
      <c r="AC61" s="522"/>
      <c r="AD61" s="521">
        <f t="shared" ref="AD61:AD69" si="92">AD8/AD$19*100</f>
        <v>31.436119116234369</v>
      </c>
      <c r="AE61" s="522"/>
      <c r="AF61" s="521">
        <f t="shared" ref="AF61:AN69" si="93">AF8/AF$19*100</f>
        <v>26.678141135972478</v>
      </c>
      <c r="AG61" s="522"/>
      <c r="AH61" s="521">
        <f t="shared" si="93"/>
        <v>30.604906937394244</v>
      </c>
      <c r="AI61" s="522"/>
      <c r="AJ61" s="521">
        <f t="shared" si="93"/>
        <v>29.828109201213337</v>
      </c>
      <c r="AK61" s="522"/>
      <c r="AL61" s="521">
        <f t="shared" si="93"/>
        <v>23.846323691764184</v>
      </c>
      <c r="AM61" s="522"/>
      <c r="AN61" s="521">
        <f t="shared" si="93"/>
        <v>27.916207276736515</v>
      </c>
      <c r="AO61" s="522"/>
      <c r="AP61" s="521">
        <f t="shared" ref="AP61" si="94">AP8/AP$19*100</f>
        <v>28.873474702156365</v>
      </c>
      <c r="AQ61" s="522"/>
      <c r="AR61" s="521">
        <f t="shared" ref="AR61" si="95">AR8/AR$19*100</f>
        <v>28.377982085565822</v>
      </c>
      <c r="AS61" s="522"/>
      <c r="AT61" s="521">
        <f t="shared" ref="AT61" si="96">AT8/AT$19*100</f>
        <v>27.640772826093574</v>
      </c>
      <c r="AU61" s="522"/>
      <c r="AV61" s="521">
        <f t="shared" ref="AV61" si="97">AV8/AV$19*100</f>
        <v>28.531090394926633</v>
      </c>
      <c r="AW61" s="522"/>
      <c r="AX61" s="521"/>
      <c r="AY61" s="521"/>
      <c r="AZ61" s="522"/>
      <c r="BA61" s="521"/>
      <c r="BB61" s="522"/>
      <c r="BC61" s="521"/>
      <c r="BD61" s="522"/>
      <c r="BE61" s="521"/>
      <c r="BF61" s="522"/>
      <c r="BG61" s="521"/>
      <c r="BH61" s="522"/>
      <c r="BI61" s="521"/>
      <c r="BJ61" s="522"/>
      <c r="BK61" s="521"/>
      <c r="BL61" s="522"/>
      <c r="BM61" s="521"/>
      <c r="BN61" s="522"/>
      <c r="BO61" s="521"/>
      <c r="BP61" s="522"/>
      <c r="BQ61" s="521"/>
      <c r="BR61" s="522"/>
      <c r="BS61" s="521">
        <f t="shared" ref="BS61:BS69" si="98">BS8/BS$19*100</f>
        <v>31.450488145048826</v>
      </c>
      <c r="BT61" s="522"/>
      <c r="BU61" s="521">
        <f t="shared" ref="BU61:BU69" si="99">BU8/BU$19*100</f>
        <v>33.569314686937865</v>
      </c>
      <c r="BV61" s="522"/>
      <c r="BW61" s="521">
        <f t="shared" ref="BW61:BW69" si="100">BW8/BW$19*100</f>
        <v>30.144768187648886</v>
      </c>
      <c r="BX61" s="522"/>
      <c r="BY61" s="521">
        <f t="shared" ref="BY61:CA69" si="101">BY8/BY$19*100</f>
        <v>29.567927128902717</v>
      </c>
      <c r="BZ61" s="522"/>
      <c r="CA61" s="521">
        <f t="shared" si="101"/>
        <v>28.115493408763399</v>
      </c>
      <c r="CB61" s="522"/>
      <c r="CC61" s="521">
        <f t="shared" ref="CC61" si="102">CC8/CC$19*100</f>
        <v>28.350173820211289</v>
      </c>
      <c r="CD61" s="522"/>
      <c r="CE61" s="521">
        <f t="shared" ref="CE61:CE69" si="103">CE8/CE$19*100</f>
        <v>27.969926473042161</v>
      </c>
      <c r="CF61" s="522"/>
      <c r="CG61" s="521">
        <f t="shared" ref="CG61:CI69" si="104">CG8/CG$19*100</f>
        <v>27.578989203187721</v>
      </c>
      <c r="CH61" s="522"/>
      <c r="CI61" s="521">
        <f t="shared" si="104"/>
        <v>27.406141083093864</v>
      </c>
      <c r="CJ61" s="522"/>
      <c r="CK61" s="521">
        <f t="shared" ref="CK61" si="105">CK8/CK$19*100</f>
        <v>27.224459407106043</v>
      </c>
      <c r="CL61" s="522"/>
      <c r="CM61" s="556">
        <f t="shared" ref="CM61:CM69" si="106">IF(ISERROR(((CE61/BU61)^0.2-1)*100),"NA",IF((((CE61/BU61)^0.2-1)*100)&gt;100,"NM",IF((((CE61/BU61)^0.2-1)*100)&lt;-50,"NM",((CE61/BU61)^0.2-1)*100)))</f>
        <v>-3.5838534996758487</v>
      </c>
    </row>
    <row r="62" spans="1:115" s="475" customFormat="1" ht="12" customHeight="1" x14ac:dyDescent="0.2">
      <c r="A62" s="802" t="str">
        <f t="shared" si="77"/>
        <v>RIS - Spread</v>
      </c>
      <c r="B62" s="521">
        <f t="shared" si="78"/>
        <v>19.555555555555554</v>
      </c>
      <c r="C62" s="522"/>
      <c r="D62" s="521">
        <f t="shared" si="79"/>
        <v>20.038220038220039</v>
      </c>
      <c r="E62" s="522"/>
      <c r="F62" s="521">
        <f t="shared" si="80"/>
        <v>20.04998611496805</v>
      </c>
      <c r="G62" s="522"/>
      <c r="H62" s="521">
        <f t="shared" si="81"/>
        <v>20.98828323993888</v>
      </c>
      <c r="I62" s="522"/>
      <c r="J62" s="521">
        <f t="shared" si="82"/>
        <v>20.114799101572242</v>
      </c>
      <c r="K62" s="522"/>
      <c r="L62" s="521">
        <f t="shared" si="83"/>
        <v>19.241379310344826</v>
      </c>
      <c r="M62" s="522"/>
      <c r="N62" s="521">
        <f t="shared" si="84"/>
        <v>17.943886097152426</v>
      </c>
      <c r="O62" s="522"/>
      <c r="P62" s="521">
        <f t="shared" si="85"/>
        <v>24.414634146341456</v>
      </c>
      <c r="Q62" s="522"/>
      <c r="R62" s="521">
        <f t="shared" si="86"/>
        <v>14.516512235685417</v>
      </c>
      <c r="S62" s="522"/>
      <c r="T62" s="521">
        <f t="shared" si="87"/>
        <v>17.11292200232829</v>
      </c>
      <c r="U62" s="522"/>
      <c r="V62" s="521">
        <f t="shared" si="88"/>
        <v>12.512537612838537</v>
      </c>
      <c r="W62" s="522"/>
      <c r="X62" s="521">
        <f t="shared" si="89"/>
        <v>16.009280742459399</v>
      </c>
      <c r="Y62" s="522"/>
      <c r="Z62" s="521">
        <f t="shared" si="90"/>
        <v>18.916643278136398</v>
      </c>
      <c r="AA62" s="522"/>
      <c r="AB62" s="521">
        <f t="shared" si="91"/>
        <v>16.280148423005553</v>
      </c>
      <c r="AC62" s="522"/>
      <c r="AD62" s="521">
        <f t="shared" si="92"/>
        <v>18.251681075888559</v>
      </c>
      <c r="AE62" s="522"/>
      <c r="AF62" s="521">
        <f t="shared" si="93"/>
        <v>18.825301204819233</v>
      </c>
      <c r="AG62" s="522"/>
      <c r="AH62" s="521">
        <f t="shared" si="93"/>
        <v>21.044839255499177</v>
      </c>
      <c r="AI62" s="522"/>
      <c r="AJ62" s="521">
        <f t="shared" si="93"/>
        <v>19.474216380182035</v>
      </c>
      <c r="AK62" s="522"/>
      <c r="AL62" s="521">
        <f t="shared" si="93"/>
        <v>22.543607860454873</v>
      </c>
      <c r="AM62" s="522"/>
      <c r="AN62" s="521">
        <f t="shared" si="93"/>
        <v>16.560088202866531</v>
      </c>
      <c r="AO62" s="522"/>
      <c r="AP62" s="521">
        <f t="shared" ref="AP62" si="107">AP9/AP$19*100</f>
        <v>18.196750376290698</v>
      </c>
      <c r="AQ62" s="522"/>
      <c r="AR62" s="521">
        <f t="shared" ref="AR62" si="108">AR9/AR$19*100</f>
        <v>17.04430065527055</v>
      </c>
      <c r="AS62" s="522"/>
      <c r="AT62" s="521">
        <f t="shared" ref="AT62" si="109">AT9/AT$19*100</f>
        <v>16.629925813469637</v>
      </c>
      <c r="AU62" s="522"/>
      <c r="AV62" s="521">
        <f t="shared" ref="AV62" si="110">AV9/AV$19*100</f>
        <v>15.865556070903223</v>
      </c>
      <c r="AW62" s="522"/>
      <c r="AX62" s="521"/>
      <c r="AY62" s="521"/>
      <c r="AZ62" s="522"/>
      <c r="BA62" s="521"/>
      <c r="BB62" s="522"/>
      <c r="BC62" s="521"/>
      <c r="BD62" s="522"/>
      <c r="BE62" s="521"/>
      <c r="BF62" s="522"/>
      <c r="BG62" s="521"/>
      <c r="BH62" s="522"/>
      <c r="BI62" s="521"/>
      <c r="BJ62" s="522"/>
      <c r="BK62" s="521"/>
      <c r="BL62" s="522"/>
      <c r="BM62" s="521"/>
      <c r="BN62" s="522"/>
      <c r="BO62" s="521"/>
      <c r="BP62" s="522"/>
      <c r="BQ62" s="521"/>
      <c r="BR62" s="522"/>
      <c r="BS62" s="521">
        <f t="shared" si="98"/>
        <v>21.025104602510435</v>
      </c>
      <c r="BT62" s="522"/>
      <c r="BU62" s="521">
        <f t="shared" si="99"/>
        <v>15.824290605234136</v>
      </c>
      <c r="BV62" s="522"/>
      <c r="BW62" s="521">
        <f t="shared" si="100"/>
        <v>15.063221550302327</v>
      </c>
      <c r="BX62" s="522"/>
      <c r="BY62" s="521">
        <f t="shared" si="101"/>
        <v>18.043986336669278</v>
      </c>
      <c r="BZ62" s="522"/>
      <c r="CA62" s="521">
        <f t="shared" si="101"/>
        <v>19.907135614025716</v>
      </c>
      <c r="CB62" s="522"/>
      <c r="CC62" s="521">
        <f t="shared" ref="CC62" si="111">CC9/CC$19*100</f>
        <v>16.906827381377447</v>
      </c>
      <c r="CD62" s="522"/>
      <c r="CE62" s="521">
        <f t="shared" si="103"/>
        <v>16.646103072966394</v>
      </c>
      <c r="CF62" s="522"/>
      <c r="CG62" s="521">
        <f t="shared" si="104"/>
        <v>16.744862589068468</v>
      </c>
      <c r="CH62" s="522"/>
      <c r="CI62" s="521">
        <f t="shared" si="104"/>
        <v>16.901896177802762</v>
      </c>
      <c r="CJ62" s="522"/>
      <c r="CK62" s="521">
        <f t="shared" ref="CK62" si="112">CK9/CK$19*100</f>
        <v>17.046234839353033</v>
      </c>
      <c r="CL62" s="522"/>
      <c r="CM62" s="556">
        <f t="shared" si="106"/>
        <v>1.0177441384699115</v>
      </c>
    </row>
    <row r="63" spans="1:115" s="475" customFormat="1" ht="12" customHeight="1" x14ac:dyDescent="0.2">
      <c r="A63" s="740" t="str">
        <f t="shared" si="77"/>
        <v>Total RIS</v>
      </c>
      <c r="B63" s="521">
        <f t="shared" si="78"/>
        <v>20.222222222222225</v>
      </c>
      <c r="C63" s="522"/>
      <c r="D63" s="521">
        <f t="shared" si="79"/>
        <v>20.666120666120673</v>
      </c>
      <c r="E63" s="522"/>
      <c r="F63" s="521">
        <f t="shared" si="80"/>
        <v>18.356012218828091</v>
      </c>
      <c r="G63" s="522"/>
      <c r="H63" s="521">
        <f t="shared" si="81"/>
        <v>22.64391237901172</v>
      </c>
      <c r="I63" s="522"/>
      <c r="J63" s="521">
        <f t="shared" si="82"/>
        <v>20.514100324432224</v>
      </c>
      <c r="K63" s="522"/>
      <c r="L63" s="521">
        <f t="shared" si="83"/>
        <v>20.827586206896555</v>
      </c>
      <c r="M63" s="522"/>
      <c r="N63" s="521">
        <f t="shared" si="84"/>
        <v>21.44053601340033</v>
      </c>
      <c r="O63" s="522"/>
      <c r="P63" s="521">
        <f t="shared" si="85"/>
        <v>18.902439024390222</v>
      </c>
      <c r="Q63" s="522"/>
      <c r="R63" s="521">
        <f t="shared" si="86"/>
        <v>48.206224756474214</v>
      </c>
      <c r="S63" s="522"/>
      <c r="T63" s="521">
        <f t="shared" si="87"/>
        <v>50.500582072176947</v>
      </c>
      <c r="U63" s="522"/>
      <c r="V63" s="521">
        <f t="shared" si="88"/>
        <v>33.475426278836515</v>
      </c>
      <c r="W63" s="522"/>
      <c r="X63" s="521">
        <f t="shared" si="89"/>
        <v>48.156741428203141</v>
      </c>
      <c r="Y63" s="522"/>
      <c r="Z63" s="521">
        <f t="shared" si="90"/>
        <v>50.912152680325576</v>
      </c>
      <c r="AA63" s="522"/>
      <c r="AB63" s="521">
        <f t="shared" si="91"/>
        <v>45.15306122448979</v>
      </c>
      <c r="AC63" s="522"/>
      <c r="AD63" s="521">
        <f t="shared" si="92"/>
        <v>49.687800192122928</v>
      </c>
      <c r="AE63" s="522"/>
      <c r="AF63" s="521">
        <f t="shared" si="93"/>
        <v>45.503442340791707</v>
      </c>
      <c r="AG63" s="522"/>
      <c r="AH63" s="521">
        <f t="shared" si="93"/>
        <v>51.649746192893417</v>
      </c>
      <c r="AI63" s="522"/>
      <c r="AJ63" s="521">
        <f t="shared" si="93"/>
        <v>49.302325581395372</v>
      </c>
      <c r="AK63" s="522"/>
      <c r="AL63" s="521">
        <f t="shared" si="93"/>
        <v>46.389931552219053</v>
      </c>
      <c r="AM63" s="522"/>
      <c r="AN63" s="521">
        <f t="shared" si="93"/>
        <v>44.476295479603046</v>
      </c>
      <c r="AO63" s="522"/>
      <c r="AP63" s="521">
        <f t="shared" ref="AP63" si="113">AP10/AP$19*100</f>
        <v>47.070225078447066</v>
      </c>
      <c r="AQ63" s="522"/>
      <c r="AR63" s="521">
        <f t="shared" ref="AR63" si="114">AR10/AR$19*100</f>
        <v>45.422282740836373</v>
      </c>
      <c r="AS63" s="522"/>
      <c r="AT63" s="521">
        <f t="shared" ref="AT63" si="115">AT10/AT$19*100</f>
        <v>44.270698639563207</v>
      </c>
      <c r="AU63" s="522"/>
      <c r="AV63" s="521">
        <f t="shared" ref="AV63" si="116">AV10/AV$19*100</f>
        <v>44.396646465829861</v>
      </c>
      <c r="AW63" s="522"/>
      <c r="AX63" s="521"/>
      <c r="AY63" s="521"/>
      <c r="AZ63" s="522"/>
      <c r="BA63" s="521"/>
      <c r="BB63" s="522"/>
      <c r="BC63" s="521"/>
      <c r="BD63" s="522"/>
      <c r="BE63" s="521"/>
      <c r="BF63" s="522"/>
      <c r="BG63" s="521"/>
      <c r="BH63" s="522"/>
      <c r="BI63" s="521"/>
      <c r="BJ63" s="522"/>
      <c r="BK63" s="521"/>
      <c r="BL63" s="522"/>
      <c r="BM63" s="521"/>
      <c r="BN63" s="522"/>
      <c r="BO63" s="521"/>
      <c r="BP63" s="522"/>
      <c r="BQ63" s="521"/>
      <c r="BR63" s="522"/>
      <c r="BS63" s="521">
        <f t="shared" si="98"/>
        <v>52.475592747559261</v>
      </c>
      <c r="BT63" s="522"/>
      <c r="BU63" s="521">
        <f t="shared" si="99"/>
        <v>49.393605292171998</v>
      </c>
      <c r="BV63" s="522"/>
      <c r="BW63" s="521">
        <f t="shared" si="100"/>
        <v>45.207989737951209</v>
      </c>
      <c r="BX63" s="522"/>
      <c r="BY63" s="521">
        <f t="shared" si="101"/>
        <v>47.611913465571995</v>
      </c>
      <c r="BZ63" s="522"/>
      <c r="CA63" s="521">
        <f t="shared" si="101"/>
        <v>48.022629022789118</v>
      </c>
      <c r="CB63" s="522"/>
      <c r="CC63" s="521">
        <f t="shared" ref="CC63" si="117">CC10/CC$19*100</f>
        <v>45.257001201588736</v>
      </c>
      <c r="CD63" s="522"/>
      <c r="CE63" s="521">
        <f t="shared" si="103"/>
        <v>44.616029546008555</v>
      </c>
      <c r="CF63" s="522"/>
      <c r="CG63" s="521">
        <f t="shared" si="104"/>
        <v>44.323851792256185</v>
      </c>
      <c r="CH63" s="522"/>
      <c r="CI63" s="521">
        <f t="shared" si="104"/>
        <v>44.308037260896626</v>
      </c>
      <c r="CJ63" s="522"/>
      <c r="CK63" s="521">
        <f t="shared" ref="CK63" si="118">CK10/CK$19*100</f>
        <v>44.27069424645908</v>
      </c>
      <c r="CL63" s="522"/>
      <c r="CM63" s="556">
        <f t="shared" si="106"/>
        <v>-2.0139979157352106</v>
      </c>
    </row>
    <row r="64" spans="1:115" s="501" customFormat="1" ht="12" customHeight="1" x14ac:dyDescent="0.2">
      <c r="A64" s="740" t="str">
        <f t="shared" si="77"/>
        <v xml:space="preserve">Principal Global Investors </v>
      </c>
      <c r="B64" s="790">
        <f t="shared" si="78"/>
        <v>73.206349206349202</v>
      </c>
      <c r="C64" s="755"/>
      <c r="D64" s="790">
        <f t="shared" si="79"/>
        <v>73.409773409773408</v>
      </c>
      <c r="E64" s="755"/>
      <c r="F64" s="790">
        <f t="shared" si="80"/>
        <v>66.981394057206302</v>
      </c>
      <c r="G64" s="755"/>
      <c r="H64" s="790">
        <f t="shared" si="81"/>
        <v>74.96179317371373</v>
      </c>
      <c r="I64" s="755"/>
      <c r="J64" s="790">
        <f t="shared" si="82"/>
        <v>75.81731969054151</v>
      </c>
      <c r="K64" s="755"/>
      <c r="L64" s="790">
        <f t="shared" si="83"/>
        <v>75.310344827586221</v>
      </c>
      <c r="M64" s="755"/>
      <c r="N64" s="790">
        <f t="shared" si="84"/>
        <v>69.84924623115576</v>
      </c>
      <c r="O64" s="755"/>
      <c r="P64" s="790">
        <f t="shared" si="85"/>
        <v>77.146341463414601</v>
      </c>
      <c r="Q64" s="755"/>
      <c r="R64" s="790">
        <f t="shared" si="86"/>
        <v>22.261819909717271</v>
      </c>
      <c r="S64" s="755"/>
      <c r="T64" s="790">
        <f t="shared" si="87"/>
        <v>23.166472642607694</v>
      </c>
      <c r="U64" s="755"/>
      <c r="V64" s="790">
        <f t="shared" si="88"/>
        <v>24.247743229689064</v>
      </c>
      <c r="W64" s="755"/>
      <c r="X64" s="790">
        <f t="shared" si="89"/>
        <v>26.553235369940708</v>
      </c>
      <c r="Y64" s="755"/>
      <c r="Z64" s="790">
        <f t="shared" si="90"/>
        <v>22.705585181027232</v>
      </c>
      <c r="AA64" s="755"/>
      <c r="AB64" s="790">
        <f t="shared" si="91"/>
        <v>27.551020408163257</v>
      </c>
      <c r="AC64" s="755"/>
      <c r="AD64" s="790">
        <f t="shared" si="92"/>
        <v>27.497598463016317</v>
      </c>
      <c r="AE64" s="755"/>
      <c r="AF64" s="790">
        <f t="shared" si="93"/>
        <v>29.152323580034434</v>
      </c>
      <c r="AG64" s="755"/>
      <c r="AH64" s="790">
        <f t="shared" si="93"/>
        <v>21.467851099830796</v>
      </c>
      <c r="AI64" s="755"/>
      <c r="AJ64" s="790">
        <f t="shared" si="93"/>
        <v>23.660262891809904</v>
      </c>
      <c r="AK64" s="755"/>
      <c r="AL64" s="790">
        <f t="shared" si="93"/>
        <v>29.101346875689991</v>
      </c>
      <c r="AM64" s="755"/>
      <c r="AN64" s="790">
        <f t="shared" si="93"/>
        <v>27.585446527012142</v>
      </c>
      <c r="AO64" s="755"/>
      <c r="AP64" s="790">
        <f t="shared" ref="AP64" si="119">AP11/AP$19*100</f>
        <v>26.417864102886355</v>
      </c>
      <c r="AQ64" s="755"/>
      <c r="AR64" s="790">
        <f t="shared" ref="AR64" si="120">AR11/AR$19*100</f>
        <v>26.068189610737164</v>
      </c>
      <c r="AS64" s="755"/>
      <c r="AT64" s="790">
        <f t="shared" ref="AT64" si="121">AT11/AT$19*100</f>
        <v>25.531779872025773</v>
      </c>
      <c r="AU64" s="755"/>
      <c r="AV64" s="790">
        <f t="shared" ref="AV64" si="122">AV11/AV$19*100</f>
        <v>25.25956892940745</v>
      </c>
      <c r="AW64" s="755"/>
      <c r="AX64" s="790"/>
      <c r="AY64" s="790"/>
      <c r="AZ64" s="755"/>
      <c r="BA64" s="790"/>
      <c r="BB64" s="755"/>
      <c r="BC64" s="790"/>
      <c r="BD64" s="755"/>
      <c r="BE64" s="790"/>
      <c r="BF64" s="755"/>
      <c r="BG64" s="790"/>
      <c r="BH64" s="755"/>
      <c r="BI64" s="790"/>
      <c r="BJ64" s="755"/>
      <c r="BK64" s="790"/>
      <c r="BL64" s="755"/>
      <c r="BM64" s="790"/>
      <c r="BN64" s="755"/>
      <c r="BO64" s="790"/>
      <c r="BP64" s="755"/>
      <c r="BQ64" s="790"/>
      <c r="BR64" s="755"/>
      <c r="BS64" s="790">
        <f t="shared" si="98"/>
        <v>21.352859135285922</v>
      </c>
      <c r="BT64" s="755"/>
      <c r="BU64" s="790">
        <f t="shared" si="99"/>
        <v>21.035223118435567</v>
      </c>
      <c r="BV64" s="755"/>
      <c r="BW64" s="790">
        <f t="shared" si="100"/>
        <v>23.999755665506068</v>
      </c>
      <c r="BX64" s="755"/>
      <c r="BY64" s="790">
        <f t="shared" si="101"/>
        <v>26.949122071073283</v>
      </c>
      <c r="BZ64" s="755"/>
      <c r="CA64" s="790">
        <f t="shared" si="101"/>
        <v>25.372258098948596</v>
      </c>
      <c r="CB64" s="755"/>
      <c r="CC64" s="790">
        <f t="shared" ref="CC64" si="123">CC11/CC$19*100</f>
        <v>25.804163260518798</v>
      </c>
      <c r="CD64" s="755"/>
      <c r="CE64" s="790">
        <f t="shared" si="103"/>
        <v>25.780488371637833</v>
      </c>
      <c r="CF64" s="755"/>
      <c r="CG64" s="790">
        <f t="shared" si="104"/>
        <v>25.126759302271534</v>
      </c>
      <c r="CH64" s="755"/>
      <c r="CI64" s="790">
        <f t="shared" si="104"/>
        <v>25.499771441034515</v>
      </c>
      <c r="CJ64" s="755"/>
      <c r="CK64" s="790">
        <f t="shared" ref="CK64" si="124">CK11/CK$19*100</f>
        <v>25.258342068261619</v>
      </c>
      <c r="CL64" s="755"/>
      <c r="CM64" s="791">
        <f t="shared" si="106"/>
        <v>4.1522852543811384</v>
      </c>
    </row>
    <row r="65" spans="1:91" s="475" customFormat="1" ht="12" customHeight="1" x14ac:dyDescent="0.2">
      <c r="A65" s="740" t="str">
        <f t="shared" si="77"/>
        <v xml:space="preserve">Principal International </v>
      </c>
      <c r="B65" s="521">
        <f t="shared" si="78"/>
        <v>24.349206349206355</v>
      </c>
      <c r="C65" s="522"/>
      <c r="D65" s="521">
        <f t="shared" si="79"/>
        <v>20.939120939120951</v>
      </c>
      <c r="E65" s="522"/>
      <c r="F65" s="521">
        <f t="shared" si="80"/>
        <v>22.271591224659819</v>
      </c>
      <c r="G65" s="522"/>
      <c r="H65" s="521">
        <f t="shared" si="81"/>
        <v>17.294956698930207</v>
      </c>
      <c r="I65" s="522"/>
      <c r="J65" s="521">
        <f t="shared" si="82"/>
        <v>19.191415023708526</v>
      </c>
      <c r="K65" s="522"/>
      <c r="L65" s="521">
        <f t="shared" si="83"/>
        <v>17.011494252873565</v>
      </c>
      <c r="M65" s="522"/>
      <c r="N65" s="521">
        <f t="shared" si="84"/>
        <v>13.002512562814095</v>
      </c>
      <c r="O65" s="522"/>
      <c r="P65" s="521">
        <f t="shared" si="85"/>
        <v>14.560975609756133</v>
      </c>
      <c r="Q65" s="522"/>
      <c r="R65" s="521">
        <f t="shared" si="86"/>
        <v>19.291993347588495</v>
      </c>
      <c r="S65" s="522"/>
      <c r="T65" s="521">
        <f t="shared" si="87"/>
        <v>16.856810244470307</v>
      </c>
      <c r="U65" s="522"/>
      <c r="V65" s="521">
        <f t="shared" si="88"/>
        <v>11.685055165496479</v>
      </c>
      <c r="W65" s="522"/>
      <c r="X65" s="521">
        <f t="shared" si="89"/>
        <v>17.478731631863877</v>
      </c>
      <c r="Y65" s="522"/>
      <c r="Z65" s="521">
        <f t="shared" si="90"/>
        <v>19.169239404995796</v>
      </c>
      <c r="AA65" s="522"/>
      <c r="AB65" s="521">
        <f t="shared" si="91"/>
        <v>16.303339517625233</v>
      </c>
      <c r="AC65" s="522"/>
      <c r="AD65" s="521">
        <f t="shared" si="92"/>
        <v>20.437079731027854</v>
      </c>
      <c r="AE65" s="522"/>
      <c r="AF65" s="521">
        <f t="shared" si="93"/>
        <v>14.350258175559393</v>
      </c>
      <c r="AG65" s="522"/>
      <c r="AH65" s="521">
        <f t="shared" si="93"/>
        <v>21.573604060913691</v>
      </c>
      <c r="AI65" s="522"/>
      <c r="AJ65" s="521">
        <f t="shared" si="93"/>
        <v>16.036400404448926</v>
      </c>
      <c r="AK65" s="522"/>
      <c r="AL65" s="521">
        <f t="shared" si="93"/>
        <v>16.272907926694629</v>
      </c>
      <c r="AM65" s="522"/>
      <c r="AN65" s="521">
        <f t="shared" si="93"/>
        <v>17.398015435501669</v>
      </c>
      <c r="AO65" s="522"/>
      <c r="AP65" s="521">
        <f t="shared" ref="AP65" si="125">AP12/AP$19*100</f>
        <v>18.313879020740561</v>
      </c>
      <c r="AQ65" s="522"/>
      <c r="AR65" s="521">
        <f t="shared" ref="AR65" si="126">AR12/AR$19*100</f>
        <v>18.091164158980259</v>
      </c>
      <c r="AS65" s="522"/>
      <c r="AT65" s="521">
        <f t="shared" ref="AT65" si="127">AT12/AT$19*100</f>
        <v>17.605751907142135</v>
      </c>
      <c r="AU65" s="522"/>
      <c r="AV65" s="521">
        <f t="shared" ref="AV65" si="128">AV12/AV$19*100</f>
        <v>16.772509570448964</v>
      </c>
      <c r="AW65" s="522"/>
      <c r="AX65" s="521"/>
      <c r="AY65" s="521"/>
      <c r="AZ65" s="522"/>
      <c r="BA65" s="521"/>
      <c r="BB65" s="522"/>
      <c r="BC65" s="521"/>
      <c r="BD65" s="522"/>
      <c r="BE65" s="521"/>
      <c r="BF65" s="522"/>
      <c r="BG65" s="521"/>
      <c r="BH65" s="522"/>
      <c r="BI65" s="521"/>
      <c r="BJ65" s="522"/>
      <c r="BK65" s="521"/>
      <c r="BL65" s="522"/>
      <c r="BM65" s="521"/>
      <c r="BN65" s="522"/>
      <c r="BO65" s="521"/>
      <c r="BP65" s="522"/>
      <c r="BQ65" s="521"/>
      <c r="BR65" s="522"/>
      <c r="BS65" s="521">
        <f t="shared" si="98"/>
        <v>20.913528591352868</v>
      </c>
      <c r="BT65" s="522"/>
      <c r="BU65" s="521">
        <f t="shared" si="99"/>
        <v>20.611617245981545</v>
      </c>
      <c r="BV65" s="522"/>
      <c r="BW65" s="521">
        <f t="shared" si="100"/>
        <v>16.370411092786014</v>
      </c>
      <c r="BX65" s="522"/>
      <c r="BY65" s="521">
        <f t="shared" si="101"/>
        <v>17.402768622280814</v>
      </c>
      <c r="BZ65" s="522"/>
      <c r="CA65" s="521">
        <f t="shared" si="101"/>
        <v>17.820355446442857</v>
      </c>
      <c r="CB65" s="522"/>
      <c r="CC65" s="521">
        <f t="shared" ref="CC65" si="129">CC12/CC$19*100</f>
        <v>17.675889215105872</v>
      </c>
      <c r="CD65" s="522"/>
      <c r="CE65" s="521">
        <f t="shared" si="103"/>
        <v>17.851906648909001</v>
      </c>
      <c r="CF65" s="522"/>
      <c r="CG65" s="521">
        <f t="shared" si="104"/>
        <v>19.237671519085868</v>
      </c>
      <c r="CH65" s="522"/>
      <c r="CI65" s="521">
        <f t="shared" si="104"/>
        <v>19.1800325761814</v>
      </c>
      <c r="CJ65" s="522"/>
      <c r="CK65" s="521">
        <f t="shared" ref="CK65" si="130">CK12/CK$19*100</f>
        <v>19.761490351559214</v>
      </c>
      <c r="CL65" s="522"/>
      <c r="CM65" s="556">
        <f t="shared" si="106"/>
        <v>-2.8339590633539191</v>
      </c>
    </row>
    <row r="66" spans="1:91" s="501" customFormat="1" ht="12" customHeight="1" x14ac:dyDescent="0.2">
      <c r="A66" s="802" t="str">
        <f t="shared" si="77"/>
        <v>Life Insurance</v>
      </c>
      <c r="B66" s="790">
        <f t="shared" si="78"/>
        <v>24.349206349206355</v>
      </c>
      <c r="C66" s="755"/>
      <c r="D66" s="790">
        <f t="shared" si="79"/>
        <v>20.939120939120951</v>
      </c>
      <c r="E66" s="755"/>
      <c r="F66" s="790">
        <f t="shared" si="80"/>
        <v>22.271591224659819</v>
      </c>
      <c r="G66" s="755"/>
      <c r="H66" s="790">
        <f t="shared" si="81"/>
        <v>17.294956698930207</v>
      </c>
      <c r="I66" s="755"/>
      <c r="J66" s="790">
        <f t="shared" si="82"/>
        <v>19.191415023708526</v>
      </c>
      <c r="K66" s="755"/>
      <c r="L66" s="790">
        <f t="shared" si="83"/>
        <v>17.011494252873565</v>
      </c>
      <c r="M66" s="755"/>
      <c r="N66" s="790">
        <f t="shared" si="84"/>
        <v>13.002512562814095</v>
      </c>
      <c r="O66" s="755"/>
      <c r="P66" s="790">
        <f t="shared" si="85"/>
        <v>14.560975609756133</v>
      </c>
      <c r="Q66" s="755"/>
      <c r="R66" s="790">
        <f t="shared" si="86"/>
        <v>8.3392729864575976</v>
      </c>
      <c r="S66" s="755"/>
      <c r="T66" s="790">
        <f t="shared" si="87"/>
        <v>8.5448195576251447</v>
      </c>
      <c r="U66" s="755"/>
      <c r="V66" s="790">
        <f t="shared" si="88"/>
        <v>26.955867602808421</v>
      </c>
      <c r="W66" s="755"/>
      <c r="X66" s="790">
        <f t="shared" si="89"/>
        <v>7.6823923691673137</v>
      </c>
      <c r="Y66" s="755"/>
      <c r="Z66" s="790">
        <f t="shared" si="90"/>
        <v>11.759753017120399</v>
      </c>
      <c r="AA66" s="755"/>
      <c r="AB66" s="790">
        <f t="shared" si="91"/>
        <v>8.6038961038960977</v>
      </c>
      <c r="AC66" s="755"/>
      <c r="AD66" s="790">
        <f t="shared" si="92"/>
        <v>-0.88856868395771615</v>
      </c>
      <c r="AE66" s="755"/>
      <c r="AF66" s="790">
        <f t="shared" si="93"/>
        <v>7.530120481927713</v>
      </c>
      <c r="AG66" s="755"/>
      <c r="AH66" s="790">
        <f t="shared" si="93"/>
        <v>8.6082910321488981</v>
      </c>
      <c r="AI66" s="755"/>
      <c r="AJ66" s="790">
        <f t="shared" si="93"/>
        <v>8.2507583417593544</v>
      </c>
      <c r="AK66" s="755"/>
      <c r="AL66" s="790">
        <f t="shared" si="93"/>
        <v>-0.13247957606536157</v>
      </c>
      <c r="AM66" s="755"/>
      <c r="AN66" s="790">
        <f t="shared" si="93"/>
        <v>10.650496141124595</v>
      </c>
      <c r="AO66" s="755"/>
      <c r="AP66" s="790">
        <f t="shared" ref="AP66" si="131">AP13/AP$19*100</f>
        <v>7.5407903690551432</v>
      </c>
      <c r="AQ66" s="755"/>
      <c r="AR66" s="790">
        <f t="shared" ref="AR66" si="132">AR13/AR$19*100</f>
        <v>7.9204428931191924</v>
      </c>
      <c r="AS66" s="755"/>
      <c r="AT66" s="790">
        <f t="shared" ref="AT66" si="133">AT13/AT$19*100</f>
        <v>8.3595935780565522</v>
      </c>
      <c r="AU66" s="755"/>
      <c r="AV66" s="790">
        <f t="shared" ref="AV66" si="134">AV13/AV$19*100</f>
        <v>8.583746762698091</v>
      </c>
      <c r="AW66" s="755"/>
      <c r="AX66" s="790"/>
      <c r="AY66" s="790"/>
      <c r="AZ66" s="755"/>
      <c r="BA66" s="790"/>
      <c r="BB66" s="755"/>
      <c r="BC66" s="790"/>
      <c r="BD66" s="755"/>
      <c r="BE66" s="790"/>
      <c r="BF66" s="755"/>
      <c r="BG66" s="790"/>
      <c r="BH66" s="755"/>
      <c r="BI66" s="790"/>
      <c r="BJ66" s="755"/>
      <c r="BK66" s="790"/>
      <c r="BL66" s="755"/>
      <c r="BM66" s="790"/>
      <c r="BN66" s="755"/>
      <c r="BO66" s="790"/>
      <c r="BP66" s="755"/>
      <c r="BQ66" s="790"/>
      <c r="BR66" s="755"/>
      <c r="BS66" s="790">
        <f t="shared" si="98"/>
        <v>8.9818688981869048</v>
      </c>
      <c r="BT66" s="755"/>
      <c r="BU66" s="790">
        <f t="shared" si="99"/>
        <v>9.568850461324212</v>
      </c>
      <c r="BV66" s="755"/>
      <c r="BW66" s="790">
        <f t="shared" si="100"/>
        <v>12.772585669781908</v>
      </c>
      <c r="BX66" s="755"/>
      <c r="BY66" s="790">
        <f t="shared" si="101"/>
        <v>6.6099358782285416</v>
      </c>
      <c r="BZ66" s="755"/>
      <c r="CA66" s="790">
        <f t="shared" si="101"/>
        <v>6.8954475102737902</v>
      </c>
      <c r="CB66" s="755"/>
      <c r="CC66" s="790">
        <f t="shared" ref="CC66" si="135">CC13/CC$19*100</f>
        <v>8.1145284242628986</v>
      </c>
      <c r="CD66" s="755"/>
      <c r="CE66" s="790">
        <f t="shared" si="103"/>
        <v>8.1237006714612541</v>
      </c>
      <c r="CF66" s="755"/>
      <c r="CG66" s="790">
        <f t="shared" si="104"/>
        <v>7.7839151139086766</v>
      </c>
      <c r="CH66" s="755"/>
      <c r="CI66" s="790">
        <f t="shared" si="104"/>
        <v>7.5740912217115026</v>
      </c>
      <c r="CJ66" s="755"/>
      <c r="CK66" s="790">
        <f t="shared" ref="CK66" si="136">CK13/CK$19*100</f>
        <v>7.3718331713608993</v>
      </c>
      <c r="CL66" s="755"/>
      <c r="CM66" s="791">
        <f t="shared" si="106"/>
        <v>-3.221512816020522</v>
      </c>
    </row>
    <row r="67" spans="1:91" s="475" customFormat="1" ht="12" customHeight="1" x14ac:dyDescent="0.2">
      <c r="A67" s="802" t="str">
        <f t="shared" si="77"/>
        <v>Specialty Benefits</v>
      </c>
      <c r="B67" s="521">
        <f t="shared" si="78"/>
        <v>6.3174603174603261</v>
      </c>
      <c r="C67" s="522"/>
      <c r="D67" s="521">
        <f t="shared" si="79"/>
        <v>8.2446082446082407</v>
      </c>
      <c r="E67" s="522"/>
      <c r="F67" s="521">
        <f t="shared" si="80"/>
        <v>8.7475701194112858</v>
      </c>
      <c r="G67" s="522"/>
      <c r="H67" s="521">
        <f t="shared" si="81"/>
        <v>12.022414671421291</v>
      </c>
      <c r="I67" s="522"/>
      <c r="J67" s="521">
        <f t="shared" si="82"/>
        <v>5.440479161467433</v>
      </c>
      <c r="K67" s="522"/>
      <c r="L67" s="521">
        <f t="shared" si="83"/>
        <v>6.3448275862068897</v>
      </c>
      <c r="M67" s="522"/>
      <c r="N67" s="521">
        <f t="shared" si="84"/>
        <v>16.017587939698476</v>
      </c>
      <c r="O67" s="522"/>
      <c r="P67" s="521">
        <f t="shared" si="85"/>
        <v>9.5121951219512315</v>
      </c>
      <c r="Q67" s="522"/>
      <c r="R67" s="521">
        <f t="shared" si="86"/>
        <v>11.11903064861014</v>
      </c>
      <c r="S67" s="522"/>
      <c r="T67" s="521">
        <f t="shared" si="87"/>
        <v>11.967403958090813</v>
      </c>
      <c r="U67" s="522"/>
      <c r="V67" s="521">
        <f t="shared" si="88"/>
        <v>16.399197592778325</v>
      </c>
      <c r="W67" s="522"/>
      <c r="X67" s="521">
        <f t="shared" si="89"/>
        <v>14.642949213714877</v>
      </c>
      <c r="Y67" s="522"/>
      <c r="Z67" s="521">
        <f t="shared" si="90"/>
        <v>10.833567218635972</v>
      </c>
      <c r="AA67" s="522"/>
      <c r="AB67" s="521">
        <f t="shared" si="91"/>
        <v>15.422077922077952</v>
      </c>
      <c r="AC67" s="522"/>
      <c r="AD67" s="521">
        <f t="shared" si="92"/>
        <v>17.747358309317978</v>
      </c>
      <c r="AE67" s="522"/>
      <c r="AF67" s="521">
        <f t="shared" si="93"/>
        <v>15.469018932874354</v>
      </c>
      <c r="AG67" s="522"/>
      <c r="AH67" s="521">
        <f t="shared" si="93"/>
        <v>9.6235194585448394</v>
      </c>
      <c r="AI67" s="522"/>
      <c r="AJ67" s="521">
        <f t="shared" si="93"/>
        <v>12.861476238624864</v>
      </c>
      <c r="AK67" s="522"/>
      <c r="AL67" s="521">
        <f t="shared" si="93"/>
        <v>18.502980790461471</v>
      </c>
      <c r="AM67" s="522"/>
      <c r="AN67" s="521">
        <f t="shared" si="93"/>
        <v>13.803748621830197</v>
      </c>
      <c r="AO67" s="522"/>
      <c r="AP67" s="521">
        <f t="shared" ref="AP67" si="137">AP14/AP$19*100</f>
        <v>11.475318092316867</v>
      </c>
      <c r="AQ67" s="522"/>
      <c r="AR67" s="521">
        <f t="shared" ref="AR67" si="138">AR14/AR$19*100</f>
        <v>13.12205673368722</v>
      </c>
      <c r="AS67" s="522"/>
      <c r="AT67" s="521">
        <f t="shared" ref="AT67" si="139">AT14/AT$19*100</f>
        <v>14.481022232753368</v>
      </c>
      <c r="AU67" s="522"/>
      <c r="AV67" s="521">
        <f t="shared" ref="AV67" si="140">AV14/AV$19*100</f>
        <v>14.899323712022177</v>
      </c>
      <c r="AW67" s="522"/>
      <c r="AX67" s="521"/>
      <c r="AY67" s="521"/>
      <c r="AZ67" s="522"/>
      <c r="BA67" s="521"/>
      <c r="BB67" s="522"/>
      <c r="BC67" s="521"/>
      <c r="BD67" s="522"/>
      <c r="BE67" s="521"/>
      <c r="BF67" s="522"/>
      <c r="BG67" s="521"/>
      <c r="BH67" s="522"/>
      <c r="BI67" s="521"/>
      <c r="BJ67" s="522"/>
      <c r="BK67" s="521"/>
      <c r="BL67" s="522"/>
      <c r="BM67" s="521"/>
      <c r="BN67" s="522"/>
      <c r="BO67" s="521"/>
      <c r="BP67" s="522"/>
      <c r="BQ67" s="521"/>
      <c r="BR67" s="522"/>
      <c r="BS67" s="521">
        <f t="shared" si="98"/>
        <v>11.283124128312396</v>
      </c>
      <c r="BT67" s="522"/>
      <c r="BU67" s="521">
        <f t="shared" si="99"/>
        <v>10.398653745720413</v>
      </c>
      <c r="BV67" s="522"/>
      <c r="BW67" s="521">
        <f t="shared" si="100"/>
        <v>13.462830615112104</v>
      </c>
      <c r="BX67" s="522"/>
      <c r="BY67" s="521">
        <f t="shared" si="101"/>
        <v>15.035656499071132</v>
      </c>
      <c r="BZ67" s="522"/>
      <c r="CA67" s="521">
        <f t="shared" si="101"/>
        <v>13.636121043923758</v>
      </c>
      <c r="CB67" s="522"/>
      <c r="CC67" s="521">
        <f t="shared" ref="CC67" si="141">CC14/CC$19*100</f>
        <v>13.537232345570004</v>
      </c>
      <c r="CD67" s="522"/>
      <c r="CE67" s="521">
        <f t="shared" si="103"/>
        <v>13.572390874891784</v>
      </c>
      <c r="CF67" s="522"/>
      <c r="CG67" s="521">
        <f t="shared" si="104"/>
        <v>13.37523484475421</v>
      </c>
      <c r="CH67" s="522"/>
      <c r="CI67" s="521">
        <f t="shared" si="104"/>
        <v>13.237682123911412</v>
      </c>
      <c r="CJ67" s="522"/>
      <c r="CK67" s="521">
        <f t="shared" ref="CK67" si="142">CK14/CK$19*100</f>
        <v>13.098434826225066</v>
      </c>
      <c r="CL67" s="522"/>
      <c r="CM67" s="556">
        <f t="shared" si="106"/>
        <v>5.4716762450539136</v>
      </c>
    </row>
    <row r="68" spans="1:91" s="475" customFormat="1" ht="12" customHeight="1" x14ac:dyDescent="0.2">
      <c r="A68" s="740" t="str">
        <f t="shared" si="77"/>
        <v>Total US Insurance Solutions</v>
      </c>
      <c r="B68" s="521">
        <f t="shared" si="78"/>
        <v>10.126984126984116</v>
      </c>
      <c r="C68" s="522"/>
      <c r="D68" s="521">
        <f t="shared" si="79"/>
        <v>10.783510783510783</v>
      </c>
      <c r="E68" s="522"/>
      <c r="F68" s="521">
        <f t="shared" si="80"/>
        <v>13.524021105248549</v>
      </c>
      <c r="G68" s="522"/>
      <c r="H68" s="521">
        <f t="shared" si="81"/>
        <v>10.621497707590406</v>
      </c>
      <c r="I68" s="522"/>
      <c r="J68" s="521">
        <f t="shared" si="82"/>
        <v>10.207137509358642</v>
      </c>
      <c r="K68" s="522"/>
      <c r="L68" s="521">
        <f t="shared" si="83"/>
        <v>10.482758620689662</v>
      </c>
      <c r="M68" s="522"/>
      <c r="N68" s="521">
        <f t="shared" si="84"/>
        <v>10.175879396984927</v>
      </c>
      <c r="O68" s="522"/>
      <c r="P68" s="521">
        <f t="shared" si="85"/>
        <v>10.756097560975599</v>
      </c>
      <c r="Q68" s="522"/>
      <c r="R68" s="521">
        <f t="shared" si="86"/>
        <v>19.458303635067736</v>
      </c>
      <c r="S68" s="522"/>
      <c r="T68" s="521">
        <f t="shared" si="87"/>
        <v>20.512223515715959</v>
      </c>
      <c r="U68" s="522"/>
      <c r="V68" s="521">
        <f t="shared" si="88"/>
        <v>43.355065195586747</v>
      </c>
      <c r="W68" s="522"/>
      <c r="X68" s="521">
        <f t="shared" si="89"/>
        <v>22.325341582882192</v>
      </c>
      <c r="Y68" s="522"/>
      <c r="Z68" s="521">
        <f t="shared" si="90"/>
        <v>22.593320235756373</v>
      </c>
      <c r="AA68" s="522"/>
      <c r="AB68" s="521">
        <f t="shared" si="91"/>
        <v>24.025974025974048</v>
      </c>
      <c r="AC68" s="522"/>
      <c r="AD68" s="521">
        <f t="shared" si="92"/>
        <v>16.858789625360259</v>
      </c>
      <c r="AE68" s="522"/>
      <c r="AF68" s="521">
        <f t="shared" si="93"/>
        <v>22.999139414802066</v>
      </c>
      <c r="AG68" s="522"/>
      <c r="AH68" s="521">
        <f t="shared" si="93"/>
        <v>18.231810490693736</v>
      </c>
      <c r="AI68" s="522"/>
      <c r="AJ68" s="521">
        <f t="shared" si="93"/>
        <v>21.112234580384218</v>
      </c>
      <c r="AK68" s="522"/>
      <c r="AL68" s="521">
        <f t="shared" si="93"/>
        <v>18.370501214396107</v>
      </c>
      <c r="AM68" s="522"/>
      <c r="AN68" s="521">
        <f t="shared" si="93"/>
        <v>24.45424476295479</v>
      </c>
      <c r="AO68" s="522"/>
      <c r="AP68" s="521">
        <f t="shared" ref="AP68" si="143">AP15/AP$19*100</f>
        <v>19.01610846137201</v>
      </c>
      <c r="AQ68" s="522"/>
      <c r="AR68" s="521">
        <f t="shared" ref="AR68" si="144">AR15/AR$19*100</f>
        <v>21.042499626806414</v>
      </c>
      <c r="AS68" s="522"/>
      <c r="AT68" s="521">
        <f t="shared" ref="AT68" si="145">AT15/AT$19*100</f>
        <v>22.840615810809918</v>
      </c>
      <c r="AU68" s="522"/>
      <c r="AV68" s="521">
        <f t="shared" ref="AV68" si="146">AV15/AV$19*100</f>
        <v>23.483070474720268</v>
      </c>
      <c r="AW68" s="522"/>
      <c r="AX68" s="521"/>
      <c r="AY68" s="521"/>
      <c r="AZ68" s="522"/>
      <c r="BA68" s="521"/>
      <c r="BB68" s="522"/>
      <c r="BC68" s="521"/>
      <c r="BD68" s="522"/>
      <c r="BE68" s="521"/>
      <c r="BF68" s="522"/>
      <c r="BG68" s="521"/>
      <c r="BH68" s="522"/>
      <c r="BI68" s="521"/>
      <c r="BJ68" s="522"/>
      <c r="BK68" s="521"/>
      <c r="BL68" s="522"/>
      <c r="BM68" s="521"/>
      <c r="BN68" s="522"/>
      <c r="BO68" s="521"/>
      <c r="BP68" s="522"/>
      <c r="BQ68" s="521"/>
      <c r="BR68" s="522"/>
      <c r="BS68" s="521">
        <f t="shared" si="98"/>
        <v>20.264993026499305</v>
      </c>
      <c r="BT68" s="522"/>
      <c r="BU68" s="521">
        <f t="shared" si="99"/>
        <v>19.967504207044623</v>
      </c>
      <c r="BV68" s="522"/>
      <c r="BW68" s="521">
        <f t="shared" si="100"/>
        <v>26.235416284894015</v>
      </c>
      <c r="BX68" s="522"/>
      <c r="BY68" s="521">
        <f t="shared" si="101"/>
        <v>21.645592377299675</v>
      </c>
      <c r="BZ68" s="522"/>
      <c r="CA68" s="521">
        <f t="shared" si="101"/>
        <v>20.531568554197545</v>
      </c>
      <c r="CB68" s="522"/>
      <c r="CC68" s="521">
        <f t="shared" ref="CC68" si="147">CC15/CC$19*100</f>
        <v>21.651760769832904</v>
      </c>
      <c r="CD68" s="522"/>
      <c r="CE68" s="521">
        <f t="shared" si="103"/>
        <v>21.696091546353035</v>
      </c>
      <c r="CF68" s="522"/>
      <c r="CG68" s="521">
        <f t="shared" si="104"/>
        <v>21.159149958662887</v>
      </c>
      <c r="CH68" s="522"/>
      <c r="CI68" s="521">
        <f t="shared" si="104"/>
        <v>20.811773345622917</v>
      </c>
      <c r="CJ68" s="522"/>
      <c r="CK68" s="521">
        <f t="shared" ref="CK68" si="148">CK15/CK$19*100</f>
        <v>20.470267997585964</v>
      </c>
      <c r="CL68" s="522"/>
      <c r="CM68" s="556"/>
    </row>
    <row r="69" spans="1:91" s="501" customFormat="1" ht="12" customHeight="1" x14ac:dyDescent="0.2">
      <c r="A69" s="740" t="str">
        <f t="shared" si="77"/>
        <v>Corporate &amp; Other</v>
      </c>
      <c r="B69" s="790">
        <f t="shared" si="78"/>
        <v>16.444444444444443</v>
      </c>
      <c r="C69" s="755"/>
      <c r="D69" s="790">
        <f t="shared" si="79"/>
        <v>19.028119028119026</v>
      </c>
      <c r="E69" s="755"/>
      <c r="F69" s="790">
        <f t="shared" si="80"/>
        <v>22.271591224659833</v>
      </c>
      <c r="G69" s="755"/>
      <c r="H69" s="790">
        <f t="shared" si="81"/>
        <v>22.643912379011699</v>
      </c>
      <c r="I69" s="755"/>
      <c r="J69" s="790">
        <f t="shared" si="82"/>
        <v>15.647616670826075</v>
      </c>
      <c r="K69" s="755"/>
      <c r="L69" s="790">
        <f t="shared" si="83"/>
        <v>16.827586206896552</v>
      </c>
      <c r="M69" s="755"/>
      <c r="N69" s="790">
        <f t="shared" si="84"/>
        <v>26.193467336683401</v>
      </c>
      <c r="O69" s="755"/>
      <c r="P69" s="790">
        <f t="shared" si="85"/>
        <v>20.268292682926827</v>
      </c>
      <c r="Q69" s="755"/>
      <c r="R69" s="790">
        <f t="shared" si="86"/>
        <v>-8.8619624613922579</v>
      </c>
      <c r="S69" s="755"/>
      <c r="T69" s="790">
        <f t="shared" si="87"/>
        <v>-10.756693830034926</v>
      </c>
      <c r="U69" s="755"/>
      <c r="V69" s="790">
        <f t="shared" si="88"/>
        <v>-13.540621865596789</v>
      </c>
      <c r="W69" s="755"/>
      <c r="X69" s="790">
        <f t="shared" si="89"/>
        <v>-14.127352410415053</v>
      </c>
      <c r="Y69" s="755"/>
      <c r="Z69" s="790">
        <f t="shared" si="90"/>
        <v>-14.959303957339321</v>
      </c>
      <c r="AA69" s="755"/>
      <c r="AB69" s="790">
        <f t="shared" si="91"/>
        <v>-12.639146567717995</v>
      </c>
      <c r="AC69" s="755"/>
      <c r="AD69" s="790">
        <f t="shared" si="92"/>
        <v>-13.880883765609983</v>
      </c>
      <c r="AE69" s="755"/>
      <c r="AF69" s="790">
        <f t="shared" si="93"/>
        <v>-11.467297762478488</v>
      </c>
      <c r="AG69" s="755"/>
      <c r="AH69" s="790">
        <f t="shared" si="93"/>
        <v>-12.373096446700508</v>
      </c>
      <c r="AI69" s="755"/>
      <c r="AJ69" s="790">
        <f t="shared" si="93"/>
        <v>-9.6056622851364981</v>
      </c>
      <c r="AK69" s="755"/>
      <c r="AL69" s="790">
        <f t="shared" si="93"/>
        <v>-9.4943696180172186</v>
      </c>
      <c r="AM69" s="755"/>
      <c r="AN69" s="790">
        <f t="shared" si="93"/>
        <v>-13.561190738699015</v>
      </c>
      <c r="AO69" s="755"/>
      <c r="AP69" s="790">
        <f t="shared" ref="AP69" si="149">AP16/AP$19*100</f>
        <v>-10.46763364781901</v>
      </c>
      <c r="AQ69" s="755"/>
      <c r="AR69" s="790">
        <f t="shared" ref="AR69" si="150">AR16/AR$19*100</f>
        <v>-10.278181930681441</v>
      </c>
      <c r="AS69" s="755"/>
      <c r="AT69" s="790">
        <f t="shared" ref="AT69" si="151">AT16/AT$19*100</f>
        <v>-9.9108712184165633</v>
      </c>
      <c r="AU69" s="755"/>
      <c r="AV69" s="790">
        <f t="shared" ref="AV69" si="152">AV16/AV$19*100</f>
        <v>-9.5823328196906488</v>
      </c>
      <c r="AW69" s="755"/>
      <c r="AX69" s="790"/>
      <c r="AY69" s="790"/>
      <c r="AZ69" s="755"/>
      <c r="BA69" s="790"/>
      <c r="BB69" s="755"/>
      <c r="BC69" s="790"/>
      <c r="BD69" s="755"/>
      <c r="BE69" s="790"/>
      <c r="BF69" s="755"/>
      <c r="BG69" s="790"/>
      <c r="BH69" s="755"/>
      <c r="BI69" s="790"/>
      <c r="BJ69" s="755"/>
      <c r="BK69" s="790"/>
      <c r="BL69" s="755"/>
      <c r="BM69" s="790"/>
      <c r="BN69" s="755"/>
      <c r="BO69" s="790"/>
      <c r="BP69" s="755"/>
      <c r="BQ69" s="790"/>
      <c r="BR69" s="755"/>
      <c r="BS69" s="790">
        <f t="shared" si="98"/>
        <v>-13.465829846582988</v>
      </c>
      <c r="BT69" s="755"/>
      <c r="BU69" s="790">
        <f t="shared" si="99"/>
        <v>-10.143329658213895</v>
      </c>
      <c r="BV69" s="755"/>
      <c r="BW69" s="790">
        <f t="shared" si="100"/>
        <v>-11.746380795308774</v>
      </c>
      <c r="BX69" s="755"/>
      <c r="BY69" s="790">
        <f t="shared" si="101"/>
        <v>-13.117996044825306</v>
      </c>
      <c r="BZ69" s="755"/>
      <c r="CA69" s="790">
        <f t="shared" si="101"/>
        <v>-11.234455889416658</v>
      </c>
      <c r="CB69" s="755"/>
      <c r="CC69" s="790">
        <f t="shared" ref="CC69" si="153">CC16/CC$19*100</f>
        <v>-10.048128747115491</v>
      </c>
      <c r="CD69" s="755"/>
      <c r="CE69" s="790">
        <f t="shared" si="103"/>
        <v>-9.6026811250722162</v>
      </c>
      <c r="CF69" s="755"/>
      <c r="CG69" s="790">
        <f t="shared" si="104"/>
        <v>-9.5002851005786599</v>
      </c>
      <c r="CH69" s="755"/>
      <c r="CI69" s="790">
        <f t="shared" si="104"/>
        <v>-9.4499237592542986</v>
      </c>
      <c r="CJ69" s="755"/>
      <c r="CK69" s="790">
        <f t="shared" ref="CK69" si="154">CK16/CK$19*100</f>
        <v>-9.4086119583219112</v>
      </c>
      <c r="CL69" s="755"/>
      <c r="CM69" s="791">
        <f t="shared" si="106"/>
        <v>-1.0895008671756745</v>
      </c>
    </row>
    <row r="70" spans="1:91" s="475" customFormat="1" ht="12" hidden="1" customHeight="1" outlineLevel="1" x14ac:dyDescent="0.2">
      <c r="A70" s="494" t="str">
        <f t="shared" ref="A70:A71" si="155">A17</f>
        <v>Other and Eliminations</v>
      </c>
      <c r="B70" s="521"/>
      <c r="C70" s="522"/>
      <c r="D70" s="521"/>
      <c r="E70" s="522"/>
      <c r="F70" s="521"/>
      <c r="G70" s="522"/>
      <c r="H70" s="521"/>
      <c r="I70" s="522"/>
      <c r="J70" s="521"/>
      <c r="K70" s="522"/>
      <c r="L70" s="521"/>
      <c r="M70" s="522"/>
      <c r="N70" s="521"/>
      <c r="O70" s="522"/>
      <c r="P70" s="521"/>
      <c r="Q70" s="522"/>
      <c r="R70" s="521"/>
      <c r="S70" s="522"/>
      <c r="T70" s="521"/>
      <c r="U70" s="522"/>
      <c r="V70" s="521"/>
      <c r="W70" s="522"/>
      <c r="X70" s="521"/>
      <c r="Y70" s="522"/>
      <c r="Z70" s="521"/>
      <c r="AA70" s="522"/>
      <c r="AB70" s="521"/>
      <c r="AC70" s="522"/>
      <c r="AD70" s="521"/>
      <c r="AE70" s="522"/>
      <c r="AF70" s="521"/>
      <c r="AG70" s="522"/>
      <c r="AH70" s="521"/>
      <c r="AI70" s="522"/>
      <c r="AJ70" s="521"/>
      <c r="AK70" s="522"/>
      <c r="AL70" s="521"/>
      <c r="AM70" s="522"/>
      <c r="AN70" s="521"/>
      <c r="AO70" s="522"/>
      <c r="AP70" s="521"/>
      <c r="AQ70" s="522"/>
      <c r="AR70" s="521"/>
      <c r="AS70" s="522"/>
      <c r="AT70" s="521"/>
      <c r="AU70" s="522"/>
      <c r="AV70" s="521"/>
      <c r="AW70" s="522"/>
      <c r="AX70" s="521"/>
      <c r="AY70" s="521"/>
      <c r="AZ70" s="522"/>
      <c r="BA70" s="521"/>
      <c r="BB70" s="522"/>
      <c r="BC70" s="521"/>
      <c r="BD70" s="522"/>
      <c r="BE70" s="521"/>
      <c r="BF70" s="522"/>
      <c r="BG70" s="521"/>
      <c r="BH70" s="522"/>
      <c r="BI70" s="521"/>
      <c r="BJ70" s="522"/>
      <c r="BK70" s="521"/>
      <c r="BL70" s="522"/>
      <c r="BM70" s="521"/>
      <c r="BN70" s="522"/>
      <c r="BO70" s="521"/>
      <c r="BP70" s="522"/>
      <c r="BQ70" s="521"/>
      <c r="BR70" s="522"/>
      <c r="BS70" s="521"/>
      <c r="BT70" s="522"/>
      <c r="BU70" s="521"/>
      <c r="BV70" s="522"/>
      <c r="BW70" s="521"/>
      <c r="BX70" s="522"/>
      <c r="BY70" s="521"/>
      <c r="BZ70" s="522"/>
      <c r="CA70" s="521"/>
      <c r="CB70" s="522"/>
      <c r="CC70" s="521"/>
      <c r="CD70" s="522"/>
      <c r="CE70" s="521"/>
      <c r="CF70" s="522"/>
      <c r="CG70" s="521"/>
      <c r="CH70" s="522"/>
      <c r="CI70" s="521"/>
      <c r="CJ70" s="522"/>
      <c r="CK70" s="521"/>
      <c r="CL70" s="522"/>
      <c r="CM70" s="556"/>
    </row>
    <row r="71" spans="1:91" s="475" customFormat="1" ht="12" hidden="1" customHeight="1" outlineLevel="1" x14ac:dyDescent="0.2">
      <c r="A71" s="493" t="str">
        <f t="shared" si="155"/>
        <v>Health Insurance</v>
      </c>
      <c r="B71" s="521"/>
      <c r="C71" s="522"/>
      <c r="D71" s="521"/>
      <c r="E71" s="522"/>
      <c r="F71" s="521"/>
      <c r="G71" s="522"/>
      <c r="H71" s="521"/>
      <c r="I71" s="522"/>
      <c r="J71" s="521"/>
      <c r="K71" s="522"/>
      <c r="L71" s="521"/>
      <c r="M71" s="522"/>
      <c r="N71" s="521"/>
      <c r="O71" s="522"/>
      <c r="P71" s="521"/>
      <c r="Q71" s="522"/>
      <c r="R71" s="521"/>
      <c r="S71" s="522"/>
      <c r="T71" s="521"/>
      <c r="U71" s="522"/>
      <c r="V71" s="521"/>
      <c r="W71" s="522"/>
      <c r="X71" s="521"/>
      <c r="Y71" s="522"/>
      <c r="Z71" s="521"/>
      <c r="AA71" s="522"/>
      <c r="AB71" s="521"/>
      <c r="AC71" s="522"/>
      <c r="AD71" s="521"/>
      <c r="AE71" s="522"/>
      <c r="AF71" s="521"/>
      <c r="AG71" s="522"/>
      <c r="AH71" s="521"/>
      <c r="AI71" s="522"/>
      <c r="AJ71" s="521"/>
      <c r="AK71" s="522"/>
      <c r="AL71" s="521"/>
      <c r="AM71" s="522"/>
      <c r="AN71" s="521"/>
      <c r="AO71" s="522"/>
      <c r="AP71" s="521"/>
      <c r="AQ71" s="522"/>
      <c r="AR71" s="521"/>
      <c r="AS71" s="522"/>
      <c r="AT71" s="521"/>
      <c r="AU71" s="522"/>
      <c r="AV71" s="521"/>
      <c r="AW71" s="522"/>
      <c r="AX71" s="521"/>
      <c r="AY71" s="521"/>
      <c r="AZ71" s="522"/>
      <c r="BA71" s="521"/>
      <c r="BB71" s="522"/>
      <c r="BC71" s="521"/>
      <c r="BD71" s="522"/>
      <c r="BE71" s="521"/>
      <c r="BF71" s="522"/>
      <c r="BG71" s="521"/>
      <c r="BH71" s="522"/>
      <c r="BI71" s="521"/>
      <c r="BJ71" s="522"/>
      <c r="BK71" s="521"/>
      <c r="BL71" s="522"/>
      <c r="BM71" s="521"/>
      <c r="BN71" s="522"/>
      <c r="BO71" s="521"/>
      <c r="BP71" s="522"/>
      <c r="BQ71" s="521"/>
      <c r="BR71" s="522"/>
      <c r="BS71" s="521"/>
      <c r="BT71" s="522"/>
      <c r="BU71" s="521"/>
      <c r="BV71" s="522"/>
      <c r="BW71" s="521"/>
      <c r="BX71" s="522"/>
      <c r="BY71" s="521"/>
      <c r="BZ71" s="522"/>
      <c r="CA71" s="521"/>
      <c r="CB71" s="522"/>
      <c r="CC71" s="521"/>
      <c r="CD71" s="522"/>
      <c r="CE71" s="521"/>
      <c r="CF71" s="522"/>
      <c r="CG71" s="521"/>
      <c r="CH71" s="522"/>
      <c r="CI71" s="521"/>
      <c r="CJ71" s="522"/>
      <c r="CK71" s="521"/>
      <c r="CL71" s="522"/>
      <c r="CM71" s="556"/>
    </row>
    <row r="72" spans="1:91" s="501" customFormat="1" ht="12" customHeight="1" collapsed="1" x14ac:dyDescent="0.2">
      <c r="A72" s="489" t="str">
        <f>+INPUT!B775</f>
        <v>Total</v>
      </c>
      <c r="B72" s="790">
        <f>B19/B$19*100</f>
        <v>100</v>
      </c>
      <c r="C72" s="755"/>
      <c r="D72" s="790">
        <f>D19/D$19*100</f>
        <v>100</v>
      </c>
      <c r="E72" s="755"/>
      <c r="F72" s="790">
        <f>F19/F$19*100</f>
        <v>100</v>
      </c>
      <c r="G72" s="755"/>
      <c r="H72" s="790">
        <f>H19/H$19*100</f>
        <v>100</v>
      </c>
      <c r="I72" s="755"/>
      <c r="J72" s="790">
        <f>J19/J$19*100</f>
        <v>100</v>
      </c>
      <c r="K72" s="755"/>
      <c r="L72" s="790">
        <f>L19/L$19*100</f>
        <v>100</v>
      </c>
      <c r="M72" s="755"/>
      <c r="N72" s="790">
        <f>N19/N$19*100</f>
        <v>100</v>
      </c>
      <c r="O72" s="755"/>
      <c r="P72" s="790">
        <f>P19/P$19*100</f>
        <v>100</v>
      </c>
      <c r="Q72" s="755"/>
      <c r="R72" s="790">
        <f>R19/R$19*100</f>
        <v>100</v>
      </c>
      <c r="S72" s="755"/>
      <c r="T72" s="790">
        <f>T19/T$19*100</f>
        <v>100</v>
      </c>
      <c r="U72" s="755"/>
      <c r="V72" s="790">
        <f>V19/V$19*100</f>
        <v>100</v>
      </c>
      <c r="W72" s="755"/>
      <c r="X72" s="790">
        <f>X19/X$19*100</f>
        <v>100</v>
      </c>
      <c r="Y72" s="755"/>
      <c r="Z72" s="790">
        <f>Z19/Z$19*100</f>
        <v>100</v>
      </c>
      <c r="AA72" s="755"/>
      <c r="AB72" s="790">
        <f>AB19/AB$19*100</f>
        <v>100</v>
      </c>
      <c r="AC72" s="755"/>
      <c r="AD72" s="790">
        <f>AD19/AD$19*100</f>
        <v>100</v>
      </c>
      <c r="AE72" s="755"/>
      <c r="AF72" s="790">
        <f>AF19/AF$19*100</f>
        <v>100</v>
      </c>
      <c r="AG72" s="755"/>
      <c r="AH72" s="790">
        <f t="shared" ref="AH72" si="156">AH19/AH$19*100</f>
        <v>100</v>
      </c>
      <c r="AI72" s="755"/>
      <c r="AJ72" s="790">
        <f t="shared" ref="AJ72" si="157">AJ19/AJ$19*100</f>
        <v>100</v>
      </c>
      <c r="AK72" s="755"/>
      <c r="AL72" s="790">
        <f t="shared" ref="AL72" si="158">AL19/AL$19*100</f>
        <v>100</v>
      </c>
      <c r="AM72" s="755"/>
      <c r="AN72" s="790">
        <f t="shared" ref="AN72" si="159">AN19/AN$19*100</f>
        <v>100</v>
      </c>
      <c r="AO72" s="755"/>
      <c r="AP72" s="790">
        <f t="shared" ref="AP72" si="160">AP19/AP$19*100</f>
        <v>100</v>
      </c>
      <c r="AQ72" s="755"/>
      <c r="AR72" s="790">
        <f t="shared" ref="AR72" si="161">AR19/AR$19*100</f>
        <v>100</v>
      </c>
      <c r="AS72" s="755"/>
      <c r="AT72" s="790">
        <f t="shared" ref="AT72" si="162">AT19/AT$19*100</f>
        <v>100</v>
      </c>
      <c r="AU72" s="755"/>
      <c r="AV72" s="790">
        <f t="shared" ref="AV72" si="163">AV19/AV$19*100</f>
        <v>100</v>
      </c>
      <c r="AW72" s="755"/>
      <c r="AX72" s="790"/>
      <c r="AY72" s="790"/>
      <c r="AZ72" s="755"/>
      <c r="BA72" s="790"/>
      <c r="BB72" s="755"/>
      <c r="BC72" s="790"/>
      <c r="BD72" s="755"/>
      <c r="BE72" s="790"/>
      <c r="BF72" s="755"/>
      <c r="BG72" s="790"/>
      <c r="BH72" s="755"/>
      <c r="BI72" s="790"/>
      <c r="BJ72" s="755"/>
      <c r="BK72" s="790"/>
      <c r="BL72" s="755"/>
      <c r="BM72" s="790"/>
      <c r="BN72" s="755"/>
      <c r="BO72" s="790"/>
      <c r="BP72" s="755"/>
      <c r="BQ72" s="790"/>
      <c r="BR72" s="755"/>
      <c r="BS72" s="790">
        <f>BS19/BS$19*100</f>
        <v>100</v>
      </c>
      <c r="BT72" s="755"/>
      <c r="BU72" s="790">
        <f>BU19/BU$19*100</f>
        <v>100</v>
      </c>
      <c r="BV72" s="755"/>
      <c r="BW72" s="790">
        <f>BW19/BW$19*100</f>
        <v>100</v>
      </c>
      <c r="BX72" s="755"/>
      <c r="BY72" s="790">
        <f>BY19/BY$19*100</f>
        <v>100</v>
      </c>
      <c r="BZ72" s="755"/>
      <c r="CA72" s="790">
        <f>CA19/CA$19*100</f>
        <v>100</v>
      </c>
      <c r="CB72" s="755"/>
      <c r="CC72" s="790">
        <f>CC19/CC$19*100</f>
        <v>100</v>
      </c>
      <c r="CD72" s="755"/>
      <c r="CE72" s="790">
        <f>CE19/CE$19*100</f>
        <v>100</v>
      </c>
      <c r="CF72" s="755"/>
      <c r="CG72" s="790">
        <f>CG19/CG$19*100</f>
        <v>100</v>
      </c>
      <c r="CH72" s="755"/>
      <c r="CI72" s="790">
        <f>CI19/CI$19*100</f>
        <v>100</v>
      </c>
      <c r="CJ72" s="755"/>
      <c r="CK72" s="790">
        <f>CK19/CK$19*100</f>
        <v>100</v>
      </c>
      <c r="CL72" s="755"/>
      <c r="CM72" s="791">
        <f>IF(ISERROR(((CE72/BU72)^0.2-1)*100),"NA",IF((((CE72/BU72)^0.2-1)*100)&gt;100,"NM",IF((((CE72/BU72)^0.2-1)*100)&lt;-50,"NM",((CE72/BU72)^0.2-1)*100)))</f>
        <v>0</v>
      </c>
    </row>
    <row r="73" spans="1:91" s="526" customFormat="1" ht="12" hidden="1" customHeight="1" outlineLevel="1" x14ac:dyDescent="0.2">
      <c r="A73" s="505" t="s">
        <v>167</v>
      </c>
      <c r="B73" s="551" t="e">
        <f>B64+B66+B69+#REF!-B72</f>
        <v>#REF!</v>
      </c>
      <c r="C73" s="550"/>
      <c r="D73" s="551" t="e">
        <f>D64+D66+D69+#REF!-D72</f>
        <v>#REF!</v>
      </c>
      <c r="E73" s="550"/>
      <c r="F73" s="551" t="e">
        <f>F64+F66+F69+#REF!-F72</f>
        <v>#REF!</v>
      </c>
      <c r="G73" s="550"/>
      <c r="H73" s="551" t="e">
        <f>H64+H66+H69+#REF!-H72</f>
        <v>#REF!</v>
      </c>
      <c r="I73" s="550"/>
      <c r="J73" s="551" t="e">
        <f>J64+J66+J69+#REF!-J72</f>
        <v>#REF!</v>
      </c>
      <c r="K73" s="550"/>
      <c r="L73" s="551" t="e">
        <f>L64+L66+L69+#REF!-L72</f>
        <v>#REF!</v>
      </c>
      <c r="M73" s="550"/>
      <c r="N73" s="551" t="e">
        <f>N64+N66+N69+#REF!-N72</f>
        <v>#REF!</v>
      </c>
      <c r="O73" s="550"/>
      <c r="P73" s="551" t="e">
        <f>P64+P66+P69+#REF!-P72</f>
        <v>#REF!</v>
      </c>
      <c r="Q73" s="550"/>
      <c r="R73" s="551" t="e">
        <f>R64+R66+R69+#REF!-R72</f>
        <v>#REF!</v>
      </c>
      <c r="S73" s="550"/>
      <c r="T73" s="551" t="e">
        <f>T64+T66+T69+#REF!-T72</f>
        <v>#REF!</v>
      </c>
      <c r="U73" s="550"/>
      <c r="V73" s="551" t="e">
        <f>V64+V66+V69+#REF!-V72</f>
        <v>#REF!</v>
      </c>
      <c r="W73" s="550"/>
      <c r="X73" s="551" t="e">
        <f>X64+X66+X69+#REF!-X72</f>
        <v>#REF!</v>
      </c>
      <c r="Y73" s="550"/>
      <c r="Z73" s="551" t="e">
        <f>Z64+Z66+Z69+#REF!-Z72</f>
        <v>#REF!</v>
      </c>
      <c r="AA73" s="550"/>
      <c r="AB73" s="551" t="e">
        <f>AB64+AB66+AB69+#REF!-AB72</f>
        <v>#REF!</v>
      </c>
      <c r="AC73" s="550"/>
      <c r="AD73" s="551" t="e">
        <f>AD64+AD66+AD69+#REF!-AD72</f>
        <v>#REF!</v>
      </c>
      <c r="AE73" s="550"/>
      <c r="AF73" s="551" t="e">
        <f>AF64+AF66+AF69+#REF!-AF72</f>
        <v>#REF!</v>
      </c>
      <c r="AG73" s="550"/>
      <c r="AH73" s="551" t="e">
        <f>AH64+AH66+AH69+#REF!-AH72</f>
        <v>#REF!</v>
      </c>
      <c r="AI73" s="550"/>
      <c r="AJ73" s="551" t="e">
        <f>AJ64+AJ66+AJ69+#REF!-AJ72</f>
        <v>#REF!</v>
      </c>
      <c r="AK73" s="550"/>
      <c r="AL73" s="551" t="e">
        <f>AL64+AL66+AL69+#REF!-AL72</f>
        <v>#REF!</v>
      </c>
      <c r="AM73" s="550"/>
      <c r="AN73" s="551" t="e">
        <f>AN64+AN66+AN69+#REF!-AN72</f>
        <v>#REF!</v>
      </c>
      <c r="AO73" s="550"/>
      <c r="AP73" s="551" t="e">
        <f>AP64+AP66+AP69+#REF!-AP72</f>
        <v>#REF!</v>
      </c>
      <c r="AQ73" s="550"/>
      <c r="AR73" s="551" t="e">
        <f>AR64+AR66+AR69+#REF!-AR72</f>
        <v>#REF!</v>
      </c>
      <c r="AS73" s="550"/>
      <c r="AT73" s="551" t="e">
        <f>AT64+AT66+AT69+#REF!-AT72</f>
        <v>#REF!</v>
      </c>
      <c r="AU73" s="550"/>
      <c r="AV73" s="551" t="e">
        <f>AV64+AV66+AV69+#REF!-AV72</f>
        <v>#REF!</v>
      </c>
      <c r="AW73" s="550"/>
      <c r="AX73" s="507"/>
      <c r="AY73" s="549"/>
      <c r="AZ73" s="550"/>
      <c r="BA73" s="549"/>
      <c r="BB73" s="550"/>
      <c r="BC73" s="549"/>
      <c r="BD73" s="550"/>
      <c r="BE73" s="549"/>
      <c r="BF73" s="550"/>
      <c r="BG73" s="549"/>
      <c r="BH73" s="550"/>
      <c r="BI73" s="549"/>
      <c r="BJ73" s="550"/>
      <c r="BK73" s="549"/>
      <c r="BL73" s="550"/>
      <c r="BM73" s="551"/>
      <c r="BN73" s="550"/>
      <c r="BO73" s="551"/>
      <c r="BP73" s="550"/>
      <c r="BQ73" s="551"/>
      <c r="BR73" s="550"/>
      <c r="BS73" s="551" t="e">
        <f>BS64+BS66+BS69+#REF!-BS72</f>
        <v>#REF!</v>
      </c>
      <c r="BT73" s="550"/>
      <c r="BU73" s="551" t="e">
        <f>BU64+BU66+BU69+#REF!-BU72</f>
        <v>#REF!</v>
      </c>
      <c r="BV73" s="550"/>
      <c r="BW73" s="551" t="e">
        <f>BW64+BW66+BW69+#REF!-BW72</f>
        <v>#REF!</v>
      </c>
      <c r="BX73" s="550"/>
      <c r="BY73" s="551" t="e">
        <f>BY64+BY66+BY69+#REF!-BY72</f>
        <v>#REF!</v>
      </c>
      <c r="BZ73" s="550"/>
      <c r="CA73" s="551" t="e">
        <f>CA64+CA66+CA69+#REF!-CA72</f>
        <v>#REF!</v>
      </c>
      <c r="CB73" s="550"/>
      <c r="CC73" s="551" t="e">
        <f>CC64+CC66+CC69+#REF!-CC72</f>
        <v>#REF!</v>
      </c>
      <c r="CD73" s="550"/>
      <c r="CE73" s="551" t="e">
        <f>CE64+CE66+CE69+#REF!-CE72</f>
        <v>#REF!</v>
      </c>
      <c r="CF73" s="550"/>
      <c r="CG73" s="551" t="e">
        <f>CG64+CG66+CG69+#REF!-CG72</f>
        <v>#REF!</v>
      </c>
      <c r="CH73" s="550"/>
      <c r="CI73" s="551" t="e">
        <f>CI64+CI66+CI69+#REF!-CI72</f>
        <v>#REF!</v>
      </c>
      <c r="CJ73" s="550"/>
      <c r="CK73" s="551" t="e">
        <f>CK64+CK66+CK69+#REF!-CK72</f>
        <v>#REF!</v>
      </c>
      <c r="CL73" s="550"/>
      <c r="CM73" s="550"/>
    </row>
    <row r="74" spans="1:91" s="475" customFormat="1" ht="12" customHeight="1" collapsed="1" x14ac:dyDescent="0.2">
      <c r="A74" s="489"/>
      <c r="B74" s="524"/>
      <c r="C74" s="522"/>
      <c r="D74" s="524"/>
      <c r="E74" s="522"/>
      <c r="F74" s="524"/>
      <c r="G74" s="522"/>
      <c r="H74" s="524"/>
      <c r="I74" s="522"/>
      <c r="J74" s="524"/>
      <c r="K74" s="522"/>
      <c r="L74" s="524"/>
      <c r="M74" s="522"/>
      <c r="N74" s="524"/>
      <c r="O74" s="522"/>
      <c r="P74" s="524"/>
      <c r="Q74" s="522"/>
      <c r="R74" s="524"/>
      <c r="S74" s="522"/>
      <c r="T74" s="524"/>
      <c r="U74" s="522"/>
      <c r="V74" s="524"/>
      <c r="W74" s="522"/>
      <c r="X74" s="524"/>
      <c r="Y74" s="522"/>
      <c r="Z74" s="524"/>
      <c r="AA74" s="522"/>
      <c r="AB74" s="524"/>
      <c r="AC74" s="522"/>
      <c r="AD74" s="524"/>
      <c r="AE74" s="522"/>
      <c r="AF74" s="524"/>
      <c r="AG74" s="522"/>
      <c r="AH74" s="524"/>
      <c r="AI74" s="522"/>
      <c r="AJ74" s="524"/>
      <c r="AK74" s="522"/>
      <c r="AL74" s="524"/>
      <c r="AM74" s="522"/>
      <c r="AN74" s="524"/>
      <c r="AO74" s="522"/>
      <c r="AP74" s="524"/>
      <c r="AQ74" s="522"/>
      <c r="AR74" s="524"/>
      <c r="AS74" s="522"/>
      <c r="AT74" s="524"/>
      <c r="AU74" s="522"/>
      <c r="AV74" s="524"/>
      <c r="AW74" s="522"/>
      <c r="AX74" s="490"/>
      <c r="AY74" s="524"/>
      <c r="AZ74" s="522"/>
      <c r="BA74" s="524"/>
      <c r="BB74" s="522"/>
      <c r="BC74" s="524"/>
      <c r="BD74" s="522"/>
      <c r="BE74" s="524"/>
      <c r="BF74" s="522"/>
      <c r="BG74" s="524"/>
      <c r="BH74" s="522"/>
      <c r="BI74" s="524"/>
      <c r="BJ74" s="522"/>
      <c r="BK74" s="524"/>
      <c r="BL74" s="522"/>
      <c r="BM74" s="524"/>
      <c r="BN74" s="522"/>
      <c r="BO74" s="524"/>
      <c r="BP74" s="522"/>
      <c r="BQ74" s="524"/>
      <c r="BR74" s="522"/>
      <c r="BS74" s="524"/>
      <c r="BT74" s="522"/>
      <c r="BU74" s="524"/>
      <c r="BV74" s="522"/>
      <c r="BW74" s="524"/>
      <c r="BX74" s="522"/>
      <c r="BY74" s="524"/>
      <c r="BZ74" s="522"/>
      <c r="CA74" s="524"/>
      <c r="CB74" s="522"/>
      <c r="CC74" s="524"/>
      <c r="CD74" s="522"/>
      <c r="CE74" s="524"/>
      <c r="CF74" s="522"/>
      <c r="CG74" s="524"/>
      <c r="CH74" s="522"/>
      <c r="CI74" s="524"/>
      <c r="CJ74" s="522"/>
      <c r="CK74" s="524"/>
      <c r="CL74" s="522"/>
      <c r="CM74" s="522"/>
    </row>
    <row r="75" spans="1:91" s="475" customFormat="1" ht="12" customHeight="1" x14ac:dyDescent="0.2">
      <c r="A75" s="489" t="str">
        <f>+INPUT!B918</f>
        <v>Capital Ratios (Excl FAS 115)</v>
      </c>
      <c r="B75" s="524"/>
      <c r="C75" s="522"/>
      <c r="D75" s="524"/>
      <c r="E75" s="522"/>
      <c r="F75" s="524"/>
      <c r="G75" s="522"/>
      <c r="H75" s="524"/>
      <c r="I75" s="522"/>
      <c r="J75" s="524"/>
      <c r="K75" s="522"/>
      <c r="L75" s="524"/>
      <c r="M75" s="522"/>
      <c r="N75" s="524"/>
      <c r="O75" s="522"/>
      <c r="P75" s="524"/>
      <c r="Q75" s="522"/>
      <c r="R75" s="524"/>
      <c r="S75" s="522"/>
      <c r="T75" s="524"/>
      <c r="U75" s="522"/>
      <c r="V75" s="524"/>
      <c r="W75" s="522"/>
      <c r="X75" s="524"/>
      <c r="Y75" s="522"/>
      <c r="Z75" s="524"/>
      <c r="AA75" s="522"/>
      <c r="AB75" s="524"/>
      <c r="AC75" s="522"/>
      <c r="AD75" s="524"/>
      <c r="AE75" s="522"/>
      <c r="AF75" s="524"/>
      <c r="AG75" s="522"/>
      <c r="AH75" s="524"/>
      <c r="AI75" s="522"/>
      <c r="AJ75" s="524"/>
      <c r="AK75" s="522"/>
      <c r="AL75" s="524"/>
      <c r="AM75" s="522"/>
      <c r="AN75" s="524"/>
      <c r="AO75" s="522"/>
      <c r="AP75" s="524"/>
      <c r="AQ75" s="522"/>
      <c r="AR75" s="524"/>
      <c r="AS75" s="522"/>
      <c r="AT75" s="524"/>
      <c r="AU75" s="522"/>
      <c r="AV75" s="524"/>
      <c r="AW75" s="522"/>
      <c r="AX75" s="490"/>
      <c r="AY75" s="524"/>
      <c r="AZ75" s="522"/>
      <c r="BA75" s="524"/>
      <c r="BB75" s="522"/>
      <c r="BC75" s="524"/>
      <c r="BD75" s="522"/>
      <c r="BE75" s="524"/>
      <c r="BF75" s="522"/>
      <c r="BG75" s="524"/>
      <c r="BH75" s="522"/>
      <c r="BI75" s="524"/>
      <c r="BJ75" s="522"/>
      <c r="BK75" s="524"/>
      <c r="BL75" s="522"/>
      <c r="BM75" s="524"/>
      <c r="BN75" s="522"/>
      <c r="BO75" s="524"/>
      <c r="BP75" s="522"/>
      <c r="BQ75" s="524"/>
      <c r="BR75" s="522"/>
      <c r="BS75" s="524"/>
      <c r="BT75" s="522"/>
      <c r="BU75" s="524"/>
      <c r="BV75" s="522"/>
      <c r="BW75" s="524"/>
      <c r="BX75" s="522"/>
      <c r="BY75" s="524"/>
      <c r="BZ75" s="522"/>
      <c r="CA75" s="524"/>
      <c r="CB75" s="522"/>
      <c r="CC75" s="524"/>
      <c r="CD75" s="522"/>
      <c r="CE75" s="524"/>
      <c r="CF75" s="522"/>
      <c r="CG75" s="524"/>
      <c r="CH75" s="522"/>
      <c r="CI75" s="524"/>
      <c r="CJ75" s="522"/>
      <c r="CK75" s="524"/>
      <c r="CL75" s="522"/>
      <c r="CM75" s="522"/>
    </row>
    <row r="76" spans="1:91" s="475" customFormat="1" ht="12" customHeight="1" x14ac:dyDescent="0.2">
      <c r="A76" s="481" t="str">
        <f>+INPUT!B921</f>
        <v>DAC to Equity (%)</v>
      </c>
      <c r="B76" s="530">
        <f>+INPUT!C921</f>
        <v>29.832135873266978</v>
      </c>
      <c r="C76" s="522" t="str">
        <f>+INPUT!D921</f>
        <v>NA</v>
      </c>
      <c r="D76" s="530">
        <f>+INPUT!E921</f>
        <v>31.442728318232145</v>
      </c>
      <c r="E76" s="522" t="str">
        <f>+INPUT!F921</f>
        <v>NA</v>
      </c>
      <c r="F76" s="530">
        <f>+INPUT!G921</f>
        <v>32.353352481148008</v>
      </c>
      <c r="G76" s="522" t="str">
        <f>+INPUT!H921</f>
        <v>NA</v>
      </c>
      <c r="H76" s="530">
        <f>+INPUT!I921</f>
        <v>32.386064624776338</v>
      </c>
      <c r="I76" s="522" t="str">
        <f>+INPUT!J921</f>
        <v>NA</v>
      </c>
      <c r="J76" s="530">
        <f>+INPUT!K921</f>
        <v>31.63898151899523</v>
      </c>
      <c r="K76" s="522">
        <f>+INPUT!L921</f>
        <v>6.0567089577632061</v>
      </c>
      <c r="L76" s="530">
        <f>+INPUT!M921</f>
        <v>30.898555455806743</v>
      </c>
      <c r="M76" s="522">
        <f>+INPUT!N921</f>
        <v>-1.7306795291993211</v>
      </c>
      <c r="N76" s="530">
        <f>+INPUT!O921</f>
        <v>30.045389128750145</v>
      </c>
      <c r="O76" s="522">
        <f>+INPUT!P921</f>
        <v>-7.1336142173911981</v>
      </c>
      <c r="P76" s="530">
        <f>+INPUT!Q921</f>
        <v>29.535406962974658</v>
      </c>
      <c r="Q76" s="522">
        <f>+INPUT!R921</f>
        <v>-8.8021119417542337</v>
      </c>
      <c r="R76" s="530">
        <f>+INPUT!S921</f>
        <v>29.061243337886982</v>
      </c>
      <c r="S76" s="522">
        <f>+INPUT!T921</f>
        <v>-8.1473487999626002</v>
      </c>
      <c r="T76" s="530">
        <f>+INPUT!U921</f>
        <v>31.560878243512974</v>
      </c>
      <c r="U76" s="522">
        <f>+INPUT!V921</f>
        <v>2.143539650756594</v>
      </c>
      <c r="V76" s="530">
        <f>+INPUT!W921</f>
        <v>31.001409603043957</v>
      </c>
      <c r="W76" s="522">
        <f>+INPUT!X921</f>
        <v>3.1819207606101685</v>
      </c>
      <c r="X76" s="530">
        <f>+INPUT!Y921</f>
        <v>32.137216625302869</v>
      </c>
      <c r="Y76" s="522">
        <f>+INPUT!Z921</f>
        <v>8.8091207464647994</v>
      </c>
      <c r="Z76" s="530">
        <f>+INPUT!AA921</f>
        <v>30.961654981390112</v>
      </c>
      <c r="AA76" s="522">
        <f>+INPUT!AB921</f>
        <v>6.5393335770516501</v>
      </c>
      <c r="AB76" s="530">
        <f>+INPUT!AC921</f>
        <v>30.171118927654717</v>
      </c>
      <c r="AC76" s="522">
        <f>+INPUT!AD921</f>
        <v>-4.4034240908486453</v>
      </c>
      <c r="AD76" s="530">
        <f>+INPUT!AE921</f>
        <v>29.670740367006758</v>
      </c>
      <c r="AE76" s="522">
        <f>+INPUT!AF921</f>
        <v>-4.2922862317413575</v>
      </c>
      <c r="AF76" s="530">
        <f>+INPUT!AG921</f>
        <v>31.003898188488876</v>
      </c>
      <c r="AG76" s="522">
        <f>+INPUT!AH921</f>
        <v>-3.5264984209045878</v>
      </c>
      <c r="AH76" s="530">
        <f>+INPUT!AI921</f>
        <v>30.988510730544117</v>
      </c>
      <c r="AI76" s="522">
        <f>+INPUT!AJ921</f>
        <v>8.6738739160253431E-2</v>
      </c>
      <c r="AJ76" s="530">
        <f>+INPUT!AK921</f>
        <v>30.59321883695787</v>
      </c>
      <c r="AK76" s="522">
        <f>+INPUT!AL921</f>
        <v>1.3990197390931343</v>
      </c>
      <c r="AL76" s="530">
        <f>+INPUT!AM921</f>
        <v>29.134517214253435</v>
      </c>
      <c r="AM76" s="522">
        <f>+INPUT!AN921</f>
        <v>-1.8072456100542382</v>
      </c>
      <c r="AN76" s="530">
        <f>+INPUT!AO921</f>
        <v>27.915135842570837</v>
      </c>
      <c r="AO76" s="522">
        <f>+INPUT!AP921</f>
        <v>-9.9624967387643864</v>
      </c>
      <c r="AP76" s="530">
        <f>+INPUT!AQ921</f>
        <v>27.8849025134013</v>
      </c>
      <c r="AQ76" s="522">
        <f>+INPUT!AR921</f>
        <v>-10.01535131562072</v>
      </c>
      <c r="AR76" s="530">
        <f>+INPUT!AS921</f>
        <v>27.80985290998731</v>
      </c>
      <c r="AS76" s="522">
        <f>+INPUT!AT921</f>
        <v>-9.0979832550608961</v>
      </c>
      <c r="AT76" s="530">
        <f>+INPUT!AU921</f>
        <v>27.720000369992583</v>
      </c>
      <c r="AU76" s="522">
        <f>+INPUT!AV921</f>
        <v>-4.8551236797870416</v>
      </c>
      <c r="AV76" s="530">
        <f>+INPUT!AW921</f>
        <v>27.55399166726648</v>
      </c>
      <c r="AW76" s="522">
        <f>+INPUT!AX921</f>
        <v>-1.2937217190740284</v>
      </c>
      <c r="AX76" s="521"/>
      <c r="AY76" s="521" t="e">
        <f>+INPUT!#REF!</f>
        <v>#REF!</v>
      </c>
      <c r="AZ76" s="522" t="e">
        <f>+INPUT!#REF!</f>
        <v>#REF!</v>
      </c>
      <c r="BA76" s="521" t="e">
        <f>+INPUT!#REF!</f>
        <v>#REF!</v>
      </c>
      <c r="BB76" s="522" t="e">
        <f>+INPUT!#REF!</f>
        <v>#REF!</v>
      </c>
      <c r="BC76" s="521" t="e">
        <f>+INPUT!#REF!</f>
        <v>#REF!</v>
      </c>
      <c r="BD76" s="522" t="e">
        <f>+INPUT!#REF!</f>
        <v>#REF!</v>
      </c>
      <c r="BE76" s="521" t="e">
        <f>+INPUT!#REF!</f>
        <v>#REF!</v>
      </c>
      <c r="BF76" s="522" t="e">
        <f>+INPUT!#REF!</f>
        <v>#REF!</v>
      </c>
      <c r="BG76" s="530" t="e">
        <f>+INPUT!#REF!</f>
        <v>#REF!</v>
      </c>
      <c r="BH76" s="522" t="e">
        <f>+INPUT!#REF!</f>
        <v>#REF!</v>
      </c>
      <c r="BI76" s="530" t="e">
        <f>+INPUT!#REF!</f>
        <v>#REF!</v>
      </c>
      <c r="BJ76" s="522" t="e">
        <f>+INPUT!#REF!</f>
        <v>#REF!</v>
      </c>
      <c r="BK76" s="530" t="e">
        <f>+INPUT!#REF!</f>
        <v>#REF!</v>
      </c>
      <c r="BL76" s="522" t="e">
        <f>+INPUT!#REF!</f>
        <v>#REF!</v>
      </c>
      <c r="BM76" s="530" t="e">
        <f>+INPUT!#REF!</f>
        <v>#REF!</v>
      </c>
      <c r="BN76" s="522" t="e">
        <f>+INPUT!#REF!</f>
        <v>#REF!</v>
      </c>
      <c r="BO76" s="530" t="e">
        <f>+INPUT!#REF!</f>
        <v>#REF!</v>
      </c>
      <c r="BP76" s="522" t="e">
        <f>+INPUT!#REF!</f>
        <v>#REF!</v>
      </c>
      <c r="BQ76" s="530" t="e">
        <f>+INPUT!#REF!</f>
        <v>#REF!</v>
      </c>
      <c r="BR76" s="522" t="str">
        <f>+INPUT!BA921</f>
        <v>NA</v>
      </c>
      <c r="BS76" s="530">
        <f>+INPUT!BB921</f>
        <v>31.560878243512974</v>
      </c>
      <c r="BT76" s="522" t="str">
        <f>+INPUT!BC921</f>
        <v>NA</v>
      </c>
      <c r="BU76" s="530">
        <f>+INPUT!BD921</f>
        <v>31.001409603043957</v>
      </c>
      <c r="BV76" s="522">
        <f>+INPUT!BE921</f>
        <v>-1.7726649941498778</v>
      </c>
      <c r="BW76" s="530">
        <f>+INPUT!BF921</f>
        <v>32.137216625302869</v>
      </c>
      <c r="BX76" s="522">
        <f>+INPUT!BG921</f>
        <v>3.6637270266168542</v>
      </c>
      <c r="BY76" s="530">
        <f>+INPUT!BH921</f>
        <v>31.003898188488876</v>
      </c>
      <c r="BZ76" s="522">
        <f>+INPUT!BI921</f>
        <v>-3.5264984209045878</v>
      </c>
      <c r="CA76" s="530">
        <f>+INPUT!BJ921</f>
        <v>27.915135842570837</v>
      </c>
      <c r="CB76" s="522">
        <f>+INPUT!BK921</f>
        <v>-9.9624967387643864</v>
      </c>
      <c r="CC76" s="530">
        <f>+INPUT!BL921</f>
        <v>27.55399166726648</v>
      </c>
      <c r="CD76" s="522">
        <f>+INPUT!BM921</f>
        <v>-1.2937217190740284</v>
      </c>
      <c r="CE76" s="530">
        <f>+INPUT!BN921</f>
        <v>27.293082877127034</v>
      </c>
      <c r="CF76" s="522">
        <f>+INPUT!BO921</f>
        <v>-0.94690015621003454</v>
      </c>
      <c r="CG76" s="530">
        <f>+INPUT!BP921</f>
        <v>27.089159181064314</v>
      </c>
      <c r="CH76" s="522">
        <f>+INPUT!BQ921</f>
        <v>-0.74716255756368355</v>
      </c>
      <c r="CI76" s="530">
        <f>+INPUT!BR921</f>
        <v>26.940765284551865</v>
      </c>
      <c r="CJ76" s="522">
        <f>+INPUT!BS921</f>
        <v>-0.54779808971028388</v>
      </c>
      <c r="CK76" s="530">
        <f>+INPUT!BT921</f>
        <v>26.829292311492853</v>
      </c>
      <c r="CL76" s="522">
        <f>+INPUT!BU921</f>
        <v>-0.41377062559885758</v>
      </c>
      <c r="CM76" s="522">
        <f>+INPUT!BV921</f>
        <v>-0.79035529187935216</v>
      </c>
    </row>
    <row r="77" spans="1:91" s="475" customFormat="1" ht="12" customHeight="1" x14ac:dyDescent="0.2">
      <c r="A77" s="481" t="str">
        <f>+INPUT!B922</f>
        <v>Debt to Capital (%)</v>
      </c>
      <c r="B77" s="530">
        <f>+INPUT!C922</f>
        <v>23.761265034004488</v>
      </c>
      <c r="C77" s="522" t="str">
        <f>+INPUT!D922</f>
        <v>NA</v>
      </c>
      <c r="D77" s="530">
        <f>+INPUT!E922</f>
        <v>22.839158055366653</v>
      </c>
      <c r="E77" s="522" t="str">
        <f>+INPUT!F922</f>
        <v>NA</v>
      </c>
      <c r="F77" s="530">
        <f>+INPUT!G922</f>
        <v>22.949216321726659</v>
      </c>
      <c r="G77" s="522" t="str">
        <f>+INPUT!H922</f>
        <v>NA</v>
      </c>
      <c r="H77" s="530">
        <f>+INPUT!I922</f>
        <v>22.459805761854241</v>
      </c>
      <c r="I77" s="522" t="str">
        <f>+INPUT!J922</f>
        <v>NA</v>
      </c>
      <c r="J77" s="530">
        <f>+INPUT!K922</f>
        <v>21.681081125060004</v>
      </c>
      <c r="K77" s="522">
        <f>+INPUT!L922</f>
        <v>-8.7545166722712651</v>
      </c>
      <c r="L77" s="530">
        <f>+INPUT!M922</f>
        <v>21.457645588282428</v>
      </c>
      <c r="M77" s="522">
        <f>+INPUT!N922</f>
        <v>-6.0488765117136296</v>
      </c>
      <c r="N77" s="530">
        <f>+INPUT!O922</f>
        <v>21.089121491764484</v>
      </c>
      <c r="O77" s="522">
        <f>+INPUT!P922</f>
        <v>-8.1052651379697522</v>
      </c>
      <c r="P77" s="530">
        <f>+INPUT!Q922</f>
        <v>20.162611874448505</v>
      </c>
      <c r="Q77" s="522">
        <f>+INPUT!R922</f>
        <v>-10.228022057551783</v>
      </c>
      <c r="R77" s="530">
        <f>+INPUT!S922</f>
        <v>19.648433876503507</v>
      </c>
      <c r="S77" s="522">
        <f>+INPUT!T922</f>
        <v>-9.3752116734025321</v>
      </c>
      <c r="T77" s="530">
        <f>+INPUT!U922</f>
        <v>25.014031805425631</v>
      </c>
      <c r="U77" s="522">
        <f>+INPUT!V922</f>
        <v>16.573981532649</v>
      </c>
      <c r="V77" s="530">
        <f>+INPUT!W922</f>
        <v>25.692918461222934</v>
      </c>
      <c r="W77" s="522">
        <f>+INPUT!X922</f>
        <v>21.830197958963254</v>
      </c>
      <c r="X77" s="530">
        <f>+INPUT!Y922</f>
        <v>25.405385628567245</v>
      </c>
      <c r="Y77" s="522">
        <f>+INPUT!Z922</f>
        <v>26.002453386323211</v>
      </c>
      <c r="Z77" s="530">
        <f>+INPUT!AA922</f>
        <v>24.596429141224416</v>
      </c>
      <c r="AA77" s="522">
        <f>+INPUT!AB922</f>
        <v>25.182644559971507</v>
      </c>
      <c r="AB77" s="530">
        <f>+INPUT!AC922</f>
        <v>23.858676375849612</v>
      </c>
      <c r="AC77" s="522">
        <f>+INPUT!AD922</f>
        <v>-4.618829297744071</v>
      </c>
      <c r="AD77" s="530">
        <f>+INPUT!AE922</f>
        <v>23.665385246310862</v>
      </c>
      <c r="AE77" s="522">
        <f>+INPUT!AF922</f>
        <v>-7.8914087474030197</v>
      </c>
      <c r="AF77" s="530">
        <f>+INPUT!AG922</f>
        <v>22.565271740674451</v>
      </c>
      <c r="AG77" s="522">
        <f>+INPUT!AH922</f>
        <v>-11.179180388819645</v>
      </c>
      <c r="AH77" s="530">
        <f>+INPUT!AI922</f>
        <v>22.344969804094855</v>
      </c>
      <c r="AI77" s="522">
        <f>+INPUT!AJ922</f>
        <v>-9.1536024363635846</v>
      </c>
      <c r="AJ77" s="530">
        <f>+INPUT!AK922</f>
        <v>21.924859890680139</v>
      </c>
      <c r="AK77" s="522">
        <f>+INPUT!AL922</f>
        <v>-8.1052966003048397</v>
      </c>
      <c r="AL77" s="530">
        <f>+INPUT!AM922</f>
        <v>21.300613820174398</v>
      </c>
      <c r="AM77" s="522">
        <f>+INPUT!AN922</f>
        <v>-9.9925329823443434</v>
      </c>
      <c r="AN77" s="530">
        <f>+INPUT!AO922</f>
        <v>20.236201160882171</v>
      </c>
      <c r="AO77" s="522">
        <f>+INPUT!AP922</f>
        <v>-10.321482526594494</v>
      </c>
      <c r="AP77" s="530">
        <f>+INPUT!AQ922</f>
        <v>20.037086141331621</v>
      </c>
      <c r="AQ77" s="522">
        <f>+INPUT!AR922</f>
        <v>-10.328425963414375</v>
      </c>
      <c r="AR77" s="530">
        <f>+INPUT!AS922</f>
        <v>19.813848021394186</v>
      </c>
      <c r="AS77" s="522">
        <f>+INPUT!AT922</f>
        <v>-9.6283938862628986</v>
      </c>
      <c r="AT77" s="530">
        <f>+INPUT!AU922</f>
        <v>19.583754577795233</v>
      </c>
      <c r="AU77" s="522">
        <f>+INPUT!AV922</f>
        <v>-8.0601397540623054</v>
      </c>
      <c r="AV77" s="530">
        <f>+INPUT!AW922</f>
        <v>19.312695609638432</v>
      </c>
      <c r="AW77" s="522">
        <f>+INPUT!AX922</f>
        <v>-4.5636310091092298</v>
      </c>
      <c r="AX77" s="521"/>
      <c r="AY77" s="521" t="e">
        <f>+INPUT!#REF!</f>
        <v>#REF!</v>
      </c>
      <c r="AZ77" s="522" t="e">
        <f>+INPUT!#REF!</f>
        <v>#REF!</v>
      </c>
      <c r="BA77" s="521" t="e">
        <f>+INPUT!#REF!</f>
        <v>#REF!</v>
      </c>
      <c r="BB77" s="522" t="e">
        <f>+INPUT!#REF!</f>
        <v>#REF!</v>
      </c>
      <c r="BC77" s="521" t="e">
        <f>+INPUT!#REF!</f>
        <v>#REF!</v>
      </c>
      <c r="BD77" s="522" t="e">
        <f>+INPUT!#REF!</f>
        <v>#REF!</v>
      </c>
      <c r="BE77" s="521" t="e">
        <f>+INPUT!#REF!</f>
        <v>#REF!</v>
      </c>
      <c r="BF77" s="522" t="e">
        <f>+INPUT!#REF!</f>
        <v>#REF!</v>
      </c>
      <c r="BG77" s="530" t="e">
        <f>+INPUT!#REF!</f>
        <v>#REF!</v>
      </c>
      <c r="BH77" s="522" t="e">
        <f>+INPUT!#REF!</f>
        <v>#REF!</v>
      </c>
      <c r="BI77" s="530" t="e">
        <f>+INPUT!#REF!</f>
        <v>#REF!</v>
      </c>
      <c r="BJ77" s="522" t="e">
        <f>+INPUT!#REF!</f>
        <v>#REF!</v>
      </c>
      <c r="BK77" s="530" t="e">
        <f>+INPUT!#REF!</f>
        <v>#REF!</v>
      </c>
      <c r="BL77" s="522" t="e">
        <f>+INPUT!#REF!</f>
        <v>#REF!</v>
      </c>
      <c r="BM77" s="530" t="e">
        <f>+INPUT!#REF!</f>
        <v>#REF!</v>
      </c>
      <c r="BN77" s="522" t="e">
        <f>+INPUT!#REF!</f>
        <v>#REF!</v>
      </c>
      <c r="BO77" s="530" t="e">
        <f>+INPUT!#REF!</f>
        <v>#REF!</v>
      </c>
      <c r="BP77" s="522" t="e">
        <f>+INPUT!#REF!</f>
        <v>#REF!</v>
      </c>
      <c r="BQ77" s="530" t="e">
        <f>+INPUT!#REF!</f>
        <v>#REF!</v>
      </c>
      <c r="BR77" s="522" t="str">
        <f>+INPUT!BA922</f>
        <v>NA</v>
      </c>
      <c r="BS77" s="530">
        <f>+INPUT!BB922</f>
        <v>25.014031805425631</v>
      </c>
      <c r="BT77" s="522" t="str">
        <f>+INPUT!BC922</f>
        <v>NA</v>
      </c>
      <c r="BU77" s="530">
        <f>+INPUT!BD922</f>
        <v>25.692918461222934</v>
      </c>
      <c r="BV77" s="522">
        <f>+INPUT!BE922</f>
        <v>2.7140233173048642</v>
      </c>
      <c r="BW77" s="530">
        <f>+INPUT!BF922</f>
        <v>25.405385628567245</v>
      </c>
      <c r="BX77" s="522">
        <f>+INPUT!BG922</f>
        <v>-1.1191131637678637</v>
      </c>
      <c r="BY77" s="530">
        <f>+INPUT!BH922</f>
        <v>22.565271740674451</v>
      </c>
      <c r="BZ77" s="522">
        <f>+INPUT!BI922</f>
        <v>-11.179180388819645</v>
      </c>
      <c r="CA77" s="530">
        <f>+INPUT!BJ922</f>
        <v>20.236201160882171</v>
      </c>
      <c r="CB77" s="522">
        <f>+INPUT!BK922</f>
        <v>-10.321482526594494</v>
      </c>
      <c r="CC77" s="530">
        <f>+INPUT!BL922</f>
        <v>19.312695609638432</v>
      </c>
      <c r="CD77" s="522">
        <f>+INPUT!BM922</f>
        <v>-4.5636310091092298</v>
      </c>
      <c r="CE77" s="530">
        <f>+INPUT!BN922</f>
        <v>18.430162425103454</v>
      </c>
      <c r="CF77" s="522">
        <f>+INPUT!BO922</f>
        <v>-4.5697048323721816</v>
      </c>
      <c r="CG77" s="530">
        <f>+INPUT!BP922</f>
        <v>17.610923693018599</v>
      </c>
      <c r="CH77" s="522">
        <f>+INPUT!BQ922</f>
        <v>-4.4450977326655732</v>
      </c>
      <c r="CI77" s="530">
        <f>+INPUT!BR922</f>
        <v>16.850942468215308</v>
      </c>
      <c r="CJ77" s="522">
        <f>+INPUT!BS922</f>
        <v>-4.3153967279102261</v>
      </c>
      <c r="CK77" s="530">
        <f>+INPUT!BT922</f>
        <v>16.137552402444559</v>
      </c>
      <c r="CL77" s="522">
        <f>+INPUT!BU922</f>
        <v>-4.2335321428837887</v>
      </c>
      <c r="CM77" s="522">
        <f>+INPUT!BV922</f>
        <v>-4.4255658344630184</v>
      </c>
    </row>
    <row r="78" spans="1:91" s="475" customFormat="1" ht="12" customHeight="1" x14ac:dyDescent="0.2">
      <c r="A78" s="481" t="str">
        <f>+INPUT!B923</f>
        <v>Debt to Equity (%)</v>
      </c>
      <c r="B78" s="530">
        <f>+INPUT!C923</f>
        <v>31.16691934172654</v>
      </c>
      <c r="C78" s="522" t="str">
        <f>+INPUT!D923</f>
        <v>NA</v>
      </c>
      <c r="D78" s="530">
        <f>+INPUT!E923</f>
        <v>29.59941529896065</v>
      </c>
      <c r="E78" s="522" t="str">
        <f>+INPUT!F923</f>
        <v>NA</v>
      </c>
      <c r="F78" s="530">
        <f>+INPUT!G923</f>
        <v>29.784533298910297</v>
      </c>
      <c r="G78" s="522" t="str">
        <f>+INPUT!H923</f>
        <v>NA</v>
      </c>
      <c r="H78" s="530">
        <f>+INPUT!I923</f>
        <v>28.965372066098304</v>
      </c>
      <c r="I78" s="522" t="str">
        <f>+INPUT!J923</f>
        <v>NA</v>
      </c>
      <c r="J78" s="530">
        <f>+INPUT!K923</f>
        <v>27.683069986806704</v>
      </c>
      <c r="K78" s="522">
        <f>+INPUT!L923</f>
        <v>-11.178035649662775</v>
      </c>
      <c r="L78" s="530">
        <f>+INPUT!M923</f>
        <v>27.319840039174082</v>
      </c>
      <c r="M78" s="522">
        <f>+INPUT!N923</f>
        <v>-7.7014198988809568</v>
      </c>
      <c r="N78" s="530">
        <f>+INPUT!O923</f>
        <v>26.725239777381926</v>
      </c>
      <c r="O78" s="522">
        <f>+INPUT!P923</f>
        <v>-10.271416680684737</v>
      </c>
      <c r="P78" s="530">
        <f>+INPUT!Q923</f>
        <v>25.254598563195703</v>
      </c>
      <c r="Q78" s="522">
        <f>+INPUT!R923</f>
        <v>-12.811067969141575</v>
      </c>
      <c r="R78" s="530">
        <f>+INPUT!S923</f>
        <v>24.453081407653972</v>
      </c>
      <c r="S78" s="522">
        <f>+INPUT!T923</f>
        <v>-11.667739816039514</v>
      </c>
      <c r="T78" s="530">
        <f>+INPUT!U923</f>
        <v>33.358283433133735</v>
      </c>
      <c r="U78" s="522">
        <f>+INPUT!V923</f>
        <v>22.102777268465303</v>
      </c>
      <c r="V78" s="530">
        <f>+INPUT!W923</f>
        <v>34.576675505436341</v>
      </c>
      <c r="W78" s="522">
        <f>+INPUT!X923</f>
        <v>29.378354669428376</v>
      </c>
      <c r="X78" s="530">
        <f>+INPUT!Y923</f>
        <v>34.05793547247918</v>
      </c>
      <c r="Y78" s="522">
        <f>+INPUT!Z923</f>
        <v>34.858352181898653</v>
      </c>
      <c r="Z78" s="530">
        <f>+INPUT!AA923</f>
        <v>32.619713975206047</v>
      </c>
      <c r="AA78" s="522">
        <f>+INPUT!AB923</f>
        <v>33.397151186826989</v>
      </c>
      <c r="AB78" s="530">
        <f>+INPUT!AC923</f>
        <v>31.334727635706816</v>
      </c>
      <c r="AC78" s="522">
        <f>+INPUT!AD923</f>
        <v>-6.0661268781503992</v>
      </c>
      <c r="AD78" s="530">
        <f>+INPUT!AE923</f>
        <v>31.002167657061701</v>
      </c>
      <c r="AE78" s="522">
        <f>+INPUT!AF923</f>
        <v>-10.337916517776947</v>
      </c>
      <c r="AF78" s="530">
        <f>+INPUT!AG923</f>
        <v>29.14102270121532</v>
      </c>
      <c r="AG78" s="522">
        <f>+INPUT!AH923</f>
        <v>-14.436907883735401</v>
      </c>
      <c r="AH78" s="530">
        <f>+INPUT!AI923</f>
        <v>28.774658573596355</v>
      </c>
      <c r="AI78" s="522">
        <f>+INPUT!AJ923</f>
        <v>-11.787520284611588</v>
      </c>
      <c r="AJ78" s="530">
        <f>+INPUT!AK923</f>
        <v>28.081742613565869</v>
      </c>
      <c r="AK78" s="522">
        <f>+INPUT!AL923</f>
        <v>-10.381405129668593</v>
      </c>
      <c r="AL78" s="530">
        <f>+INPUT!AM923</f>
        <v>27.06579409844846</v>
      </c>
      <c r="AM78" s="522">
        <f>+INPUT!AN923</f>
        <v>-12.697091384565212</v>
      </c>
      <c r="AN78" s="530">
        <f>+INPUT!AO923</f>
        <v>25.37015720840758</v>
      </c>
      <c r="AO78" s="522">
        <f>+INPUT!AP923</f>
        <v>-12.940058869829841</v>
      </c>
      <c r="AP78" s="530">
        <f>+INPUT!AQ923</f>
        <v>25.057973971216786</v>
      </c>
      <c r="AQ78" s="522">
        <f>+INPUT!AR923</f>
        <v>-12.916520252963153</v>
      </c>
      <c r="AR78" s="530">
        <f>+INPUT!AS923</f>
        <v>24.709812770016264</v>
      </c>
      <c r="AS78" s="522">
        <f>+INPUT!AT923</f>
        <v>-12.007551988318127</v>
      </c>
      <c r="AT78" s="530">
        <f>+INPUT!AU923</f>
        <v>24.352983001103542</v>
      </c>
      <c r="AU78" s="522">
        <f>+INPUT!AV923</f>
        <v>-10.023024218234298</v>
      </c>
      <c r="AV78" s="530">
        <f>+INPUT!AW923</f>
        <v>23.935234614115345</v>
      </c>
      <c r="AW78" s="522">
        <f>+INPUT!AX923</f>
        <v>-5.6559467980620326</v>
      </c>
      <c r="AX78" s="521"/>
      <c r="AY78" s="521" t="e">
        <f>+INPUT!#REF!</f>
        <v>#REF!</v>
      </c>
      <c r="AZ78" s="522" t="e">
        <f>+INPUT!#REF!</f>
        <v>#REF!</v>
      </c>
      <c r="BA78" s="521" t="e">
        <f>+INPUT!#REF!</f>
        <v>#REF!</v>
      </c>
      <c r="BB78" s="522" t="e">
        <f>+INPUT!#REF!</f>
        <v>#REF!</v>
      </c>
      <c r="BC78" s="521" t="e">
        <f>+INPUT!#REF!</f>
        <v>#REF!</v>
      </c>
      <c r="BD78" s="522" t="e">
        <f>+INPUT!#REF!</f>
        <v>#REF!</v>
      </c>
      <c r="BE78" s="521" t="e">
        <f>+INPUT!#REF!</f>
        <v>#REF!</v>
      </c>
      <c r="BF78" s="522" t="e">
        <f>+INPUT!#REF!</f>
        <v>#REF!</v>
      </c>
      <c r="BG78" s="530" t="e">
        <f>+INPUT!#REF!</f>
        <v>#REF!</v>
      </c>
      <c r="BH78" s="522" t="e">
        <f>+INPUT!#REF!</f>
        <v>#REF!</v>
      </c>
      <c r="BI78" s="530" t="e">
        <f>+INPUT!#REF!</f>
        <v>#REF!</v>
      </c>
      <c r="BJ78" s="522" t="e">
        <f>+INPUT!#REF!</f>
        <v>#REF!</v>
      </c>
      <c r="BK78" s="530" t="e">
        <f>+INPUT!#REF!</f>
        <v>#REF!</v>
      </c>
      <c r="BL78" s="522" t="e">
        <f>+INPUT!#REF!</f>
        <v>#REF!</v>
      </c>
      <c r="BM78" s="530" t="e">
        <f>+INPUT!#REF!</f>
        <v>#REF!</v>
      </c>
      <c r="BN78" s="522" t="e">
        <f>+INPUT!#REF!</f>
        <v>#REF!</v>
      </c>
      <c r="BO78" s="530" t="e">
        <f>+INPUT!#REF!</f>
        <v>#REF!</v>
      </c>
      <c r="BP78" s="522" t="e">
        <f>+INPUT!#REF!</f>
        <v>#REF!</v>
      </c>
      <c r="BQ78" s="530" t="e">
        <f>+INPUT!#REF!</f>
        <v>#REF!</v>
      </c>
      <c r="BR78" s="522" t="str">
        <f>+INPUT!BA923</f>
        <v>NA</v>
      </c>
      <c r="BS78" s="530">
        <f>+INPUT!BB923</f>
        <v>33.358283433133735</v>
      </c>
      <c r="BT78" s="522" t="str">
        <f>+INPUT!BC923</f>
        <v>NA</v>
      </c>
      <c r="BU78" s="530">
        <f>+INPUT!BD923</f>
        <v>34.576675505436341</v>
      </c>
      <c r="BV78" s="522">
        <f>+INPUT!BE923</f>
        <v>3.6524423528712333</v>
      </c>
      <c r="BW78" s="530">
        <f>+INPUT!BF923</f>
        <v>34.05793547247918</v>
      </c>
      <c r="BX78" s="522">
        <f>+INPUT!BG923</f>
        <v>-1.5002600029479538</v>
      </c>
      <c r="BY78" s="530">
        <f>+INPUT!BH923</f>
        <v>29.14102270121532</v>
      </c>
      <c r="BZ78" s="522">
        <f>+INPUT!BI923</f>
        <v>-14.436907883735401</v>
      </c>
      <c r="CA78" s="530">
        <f>+INPUT!BJ923</f>
        <v>25.37015720840758</v>
      </c>
      <c r="CB78" s="522">
        <f>+INPUT!BK923</f>
        <v>-12.940058869829841</v>
      </c>
      <c r="CC78" s="530">
        <f>+INPUT!BL923</f>
        <v>23.935234614115345</v>
      </c>
      <c r="CD78" s="522">
        <f>+INPUT!BM923</f>
        <v>-5.6559467980620326</v>
      </c>
      <c r="CE78" s="530">
        <f>+INPUT!BN923</f>
        <v>22.594335079043258</v>
      </c>
      <c r="CF78" s="522">
        <f>+INPUT!BO923</f>
        <v>-5.6021992543215617</v>
      </c>
      <c r="CG78" s="530">
        <f>+INPUT!BP923</f>
        <v>21.375313915888995</v>
      </c>
      <c r="CH78" s="522">
        <f>+INPUT!BQ923</f>
        <v>-5.3952513268909286</v>
      </c>
      <c r="CI78" s="530">
        <f>+INPUT!BR923</f>
        <v>20.265945241500592</v>
      </c>
      <c r="CJ78" s="522">
        <f>+INPUT!BS923</f>
        <v>-5.1899526657419983</v>
      </c>
      <c r="CK78" s="530">
        <f>+INPUT!BT923</f>
        <v>19.242882678414649</v>
      </c>
      <c r="CL78" s="522">
        <f>+INPUT!BU923</f>
        <v>-5.0481857662919083</v>
      </c>
      <c r="CM78" s="522">
        <f>+INPUT!BV923</f>
        <v>-5.3785945025256137</v>
      </c>
    </row>
    <row r="79" spans="1:91" s="475" customFormat="1" ht="12" customHeight="1" x14ac:dyDescent="0.2">
      <c r="A79" s="481" t="str">
        <f>+INPUT!B924</f>
        <v>Capital to Gen Policy Liab (%)</v>
      </c>
      <c r="B79" s="530">
        <f>+INPUT!C924</f>
        <v>17.741863582193353</v>
      </c>
      <c r="C79" s="522" t="str">
        <f>+INPUT!D924</f>
        <v>NA</v>
      </c>
      <c r="D79" s="530">
        <f>+INPUT!E924</f>
        <v>18.348570802493175</v>
      </c>
      <c r="E79" s="522" t="str">
        <f>+INPUT!F924</f>
        <v>NA</v>
      </c>
      <c r="F79" s="530">
        <f>+INPUT!G924</f>
        <v>18.324658222926288</v>
      </c>
      <c r="G79" s="522" t="str">
        <f>+INPUT!H924</f>
        <v>NA</v>
      </c>
      <c r="H79" s="530">
        <f>+INPUT!I924</f>
        <v>18.639483516082318</v>
      </c>
      <c r="I79" s="522" t="str">
        <f>+INPUT!J924</f>
        <v>NA</v>
      </c>
      <c r="J79" s="530">
        <f>+INPUT!K924</f>
        <v>18.697194561325045</v>
      </c>
      <c r="K79" s="522">
        <f>+INPUT!L924</f>
        <v>5.3846146133741684</v>
      </c>
      <c r="L79" s="530">
        <f>+INPUT!M924</f>
        <v>18.865534468554671</v>
      </c>
      <c r="M79" s="522">
        <f>+INPUT!N924</f>
        <v>2.8174601260565311</v>
      </c>
      <c r="N79" s="530">
        <f>+INPUT!O924</f>
        <v>19.326152419951441</v>
      </c>
      <c r="O79" s="522">
        <f>+INPUT!P924</f>
        <v>5.4652817249937442</v>
      </c>
      <c r="P79" s="530">
        <f>+INPUT!Q924</f>
        <v>19.152872297083189</v>
      </c>
      <c r="Q79" s="522">
        <f>+INPUT!R924</f>
        <v>2.7543079750998061</v>
      </c>
      <c r="R79" s="530">
        <f>+INPUT!S924</f>
        <v>19.593095374046012</v>
      </c>
      <c r="S79" s="522">
        <f>+INPUT!T924</f>
        <v>4.7916322942594292</v>
      </c>
      <c r="T79" s="530">
        <f>+INPUT!U924</f>
        <v>20.172490836518659</v>
      </c>
      <c r="U79" s="522">
        <f>+INPUT!V924</f>
        <v>6.9277463097716208</v>
      </c>
      <c r="V79" s="530">
        <f>+INPUT!W924</f>
        <v>20.020647704409345</v>
      </c>
      <c r="W79" s="522">
        <f>+INPUT!X924</f>
        <v>3.5935517291115815</v>
      </c>
      <c r="X79" s="530">
        <f>+INPUT!Y924</f>
        <v>19.827780075010701</v>
      </c>
      <c r="Y79" s="522">
        <f>+INPUT!Z924</f>
        <v>3.5237940683721547</v>
      </c>
      <c r="Z79" s="530">
        <f>+INPUT!AA924</f>
        <v>19.20240409520574</v>
      </c>
      <c r="AA79" s="522">
        <f>+INPUT!AB924</f>
        <v>-1.9940253001462906</v>
      </c>
      <c r="AB79" s="530">
        <f>+INPUT!AC924</f>
        <v>18.533210629118464</v>
      </c>
      <c r="AC79" s="522">
        <f>+INPUT!AD924</f>
        <v>-8.1263152908840226</v>
      </c>
      <c r="AD79" s="530">
        <f>+INPUT!AE924</f>
        <v>18.661042981529143</v>
      </c>
      <c r="AE79" s="522">
        <f>+INPUT!AF924</f>
        <v>-6.7910126732851097</v>
      </c>
      <c r="AF79" s="530">
        <f>+INPUT!AG924</f>
        <v>18.828708712403365</v>
      </c>
      <c r="AG79" s="522">
        <f>+INPUT!AH924</f>
        <v>-5.0387454310454274</v>
      </c>
      <c r="AH79" s="530">
        <f>+INPUT!AI924</f>
        <v>18.928564316013791</v>
      </c>
      <c r="AI79" s="522">
        <f>+INPUT!AJ924</f>
        <v>-1.4260702870028581</v>
      </c>
      <c r="AJ79" s="530">
        <f>+INPUT!AK924</f>
        <v>18.900444754809456</v>
      </c>
      <c r="AK79" s="522">
        <f>+INPUT!AL924</f>
        <v>1.9814922143819587</v>
      </c>
      <c r="AL79" s="530">
        <f>+INPUT!AM924</f>
        <v>19.313355491362564</v>
      </c>
      <c r="AM79" s="522">
        <f>+INPUT!AN924</f>
        <v>3.4955844133636447</v>
      </c>
      <c r="AN79" s="530">
        <f>+INPUT!AO924</f>
        <v>20.230835876760302</v>
      </c>
      <c r="AO79" s="522">
        <f>+INPUT!AP924</f>
        <v>7.4467515843680303</v>
      </c>
      <c r="AP79" s="530">
        <f>+INPUT!AQ924</f>
        <v>20.047921445428461</v>
      </c>
      <c r="AQ79" s="522">
        <f>+INPUT!AR924</f>
        <v>5.913587056719777</v>
      </c>
      <c r="AR79" s="530">
        <f>+INPUT!AS924</f>
        <v>19.897692859140292</v>
      </c>
      <c r="AS79" s="522">
        <f>+INPUT!AT924</f>
        <v>5.2763208340749372</v>
      </c>
      <c r="AT79" s="530">
        <f>+INPUT!AU924</f>
        <v>19.75946034412927</v>
      </c>
      <c r="AU79" s="522">
        <f>+INPUT!AV924</f>
        <v>2.3098257212021736</v>
      </c>
      <c r="AV79" s="530">
        <f>+INPUT!AW924</f>
        <v>19.674842263357782</v>
      </c>
      <c r="AW79" s="522">
        <f>+INPUT!AX924</f>
        <v>-2.7482483511282112</v>
      </c>
      <c r="AX79" s="521"/>
      <c r="AY79" s="521" t="e">
        <f>+INPUT!#REF!</f>
        <v>#REF!</v>
      </c>
      <c r="AZ79" s="522" t="e">
        <f>+INPUT!#REF!</f>
        <v>#REF!</v>
      </c>
      <c r="BA79" s="521" t="e">
        <f>+INPUT!#REF!</f>
        <v>#REF!</v>
      </c>
      <c r="BB79" s="522" t="e">
        <f>+INPUT!#REF!</f>
        <v>#REF!</v>
      </c>
      <c r="BC79" s="521" t="e">
        <f>+INPUT!#REF!</f>
        <v>#REF!</v>
      </c>
      <c r="BD79" s="522" t="e">
        <f>+INPUT!#REF!</f>
        <v>#REF!</v>
      </c>
      <c r="BE79" s="521" t="e">
        <f>+INPUT!#REF!</f>
        <v>#REF!</v>
      </c>
      <c r="BF79" s="522" t="e">
        <f>+INPUT!#REF!</f>
        <v>#REF!</v>
      </c>
      <c r="BG79" s="530" t="e">
        <f>+INPUT!#REF!</f>
        <v>#REF!</v>
      </c>
      <c r="BH79" s="522" t="e">
        <f>+INPUT!#REF!</f>
        <v>#REF!</v>
      </c>
      <c r="BI79" s="530" t="e">
        <f>+INPUT!#REF!</f>
        <v>#REF!</v>
      </c>
      <c r="BJ79" s="522" t="e">
        <f>+INPUT!#REF!</f>
        <v>#REF!</v>
      </c>
      <c r="BK79" s="530" t="e">
        <f>+INPUT!#REF!</f>
        <v>#REF!</v>
      </c>
      <c r="BL79" s="522" t="e">
        <f>+INPUT!#REF!</f>
        <v>#REF!</v>
      </c>
      <c r="BM79" s="530" t="e">
        <f>+INPUT!#REF!</f>
        <v>#REF!</v>
      </c>
      <c r="BN79" s="522" t="e">
        <f>+INPUT!#REF!</f>
        <v>#REF!</v>
      </c>
      <c r="BO79" s="530" t="e">
        <f>+INPUT!#REF!</f>
        <v>#REF!</v>
      </c>
      <c r="BP79" s="522" t="e">
        <f>+INPUT!#REF!</f>
        <v>#REF!</v>
      </c>
      <c r="BQ79" s="530" t="e">
        <f>+INPUT!#REF!</f>
        <v>#REF!</v>
      </c>
      <c r="BR79" s="522" t="str">
        <f>+INPUT!BA924</f>
        <v>NA</v>
      </c>
      <c r="BS79" s="530">
        <f>+INPUT!BB924</f>
        <v>20.172490836518659</v>
      </c>
      <c r="BT79" s="522" t="str">
        <f>+INPUT!BC924</f>
        <v>NA</v>
      </c>
      <c r="BU79" s="530">
        <f>+INPUT!BD924</f>
        <v>20.020647704409345</v>
      </c>
      <c r="BV79" s="522">
        <f>+INPUT!BE924</f>
        <v>-0.75272376296946675</v>
      </c>
      <c r="BW79" s="530">
        <f>+INPUT!BF924</f>
        <v>19.827780075010701</v>
      </c>
      <c r="BX79" s="522">
        <f>+INPUT!BG924</f>
        <v>-0.96334360529289143</v>
      </c>
      <c r="BY79" s="530">
        <f>+INPUT!BH924</f>
        <v>18.828708712403365</v>
      </c>
      <c r="BZ79" s="522">
        <f>+INPUT!BI924</f>
        <v>-5.0387454310454274</v>
      </c>
      <c r="CA79" s="530">
        <f>+INPUT!BJ924</f>
        <v>20.230835876760302</v>
      </c>
      <c r="CB79" s="522">
        <f>+INPUT!BK924</f>
        <v>7.4467515843680303</v>
      </c>
      <c r="CC79" s="530">
        <f>+INPUT!BL924</f>
        <v>19.674842263357782</v>
      </c>
      <c r="CD79" s="522">
        <f>+INPUT!BM924</f>
        <v>-2.7482483511282112</v>
      </c>
      <c r="CE79" s="530">
        <f>+INPUT!BN924</f>
        <v>19.137361151482242</v>
      </c>
      <c r="CF79" s="522">
        <f>+INPUT!BO924</f>
        <v>-2.7318191662280213</v>
      </c>
      <c r="CG79" s="530">
        <f>+INPUT!BP924</f>
        <v>18.579727429047217</v>
      </c>
      <c r="CH79" s="522">
        <f>+INPUT!BQ924</f>
        <v>-2.9138485605254658</v>
      </c>
      <c r="CI79" s="530">
        <f>+INPUT!BR924</f>
        <v>18.004319272687237</v>
      </c>
      <c r="CJ79" s="522">
        <f>+INPUT!BS924</f>
        <v>-3.0969676953408793</v>
      </c>
      <c r="CK79" s="530">
        <f>+INPUT!BT924</f>
        <v>17.424871881592836</v>
      </c>
      <c r="CL79" s="522">
        <f>+INPUT!BU924</f>
        <v>-3.2183798916153989</v>
      </c>
      <c r="CM79" s="522">
        <f>+INPUT!BV924</f>
        <v>-2.9420412452112243</v>
      </c>
    </row>
    <row r="80" spans="1:91" s="475" customFormat="1" ht="12" customHeight="1" x14ac:dyDescent="0.2">
      <c r="A80" s="481" t="str">
        <f>+INPUT!B925</f>
        <v>Equity to Assets (%)</v>
      </c>
      <c r="B80" s="530">
        <f>+INPUT!C925</f>
        <v>4.5480731421056761</v>
      </c>
      <c r="C80" s="522" t="str">
        <f>+INPUT!D925</f>
        <v>NA</v>
      </c>
      <c r="D80" s="530">
        <f>+INPUT!E925</f>
        <v>4.7344911181538949</v>
      </c>
      <c r="E80" s="522" t="str">
        <f>+INPUT!F925</f>
        <v>NA</v>
      </c>
      <c r="F80" s="530">
        <f>+INPUT!G925</f>
        <v>4.6087580333863647</v>
      </c>
      <c r="G80" s="522" t="str">
        <f>+INPUT!H925</f>
        <v>NA</v>
      </c>
      <c r="H80" s="530">
        <f>+INPUT!I925</f>
        <v>4.5676083923614552</v>
      </c>
      <c r="I80" s="522" t="str">
        <f>+INPUT!J925</f>
        <v>NA</v>
      </c>
      <c r="J80" s="530">
        <f>+INPUT!K925</f>
        <v>4.5657658392626175</v>
      </c>
      <c r="K80" s="522">
        <f>+INPUT!L925</f>
        <v>0.38901522917791453</v>
      </c>
      <c r="L80" s="530">
        <f>+INPUT!M925</f>
        <v>4.5022365584878754</v>
      </c>
      <c r="M80" s="522">
        <f>+INPUT!N925</f>
        <v>-4.9055865534410827</v>
      </c>
      <c r="N80" s="530">
        <f>+INPUT!O925</f>
        <v>4.5992296893160471</v>
      </c>
      <c r="O80" s="522">
        <f>+INPUT!P925</f>
        <v>-0.20674428992134608</v>
      </c>
      <c r="P80" s="530">
        <f>+INPUT!Q925</f>
        <v>4.626441425770853</v>
      </c>
      <c r="Q80" s="522">
        <f>+INPUT!R925</f>
        <v>1.2880489822154146</v>
      </c>
      <c r="R80" s="530">
        <f>+INPUT!S925</f>
        <v>4.67242542598472</v>
      </c>
      <c r="S80" s="522">
        <f>+INPUT!T925</f>
        <v>2.3360722051249354</v>
      </c>
      <c r="T80" s="530">
        <f>+INPUT!U925</f>
        <v>4.5014023081142485</v>
      </c>
      <c r="U80" s="522">
        <f>+INPUT!V925</f>
        <v>-1.8529687696087649E-2</v>
      </c>
      <c r="V80" s="530">
        <f>+INPUT!W925</f>
        <v>4.6990177396060391</v>
      </c>
      <c r="W80" s="522">
        <f>+INPUT!X925</f>
        <v>2.1696687713118195</v>
      </c>
      <c r="X80" s="530">
        <f>+INPUT!Y925</f>
        <v>4.6427901282698238</v>
      </c>
      <c r="Y80" s="522">
        <f>+INPUT!Z925</f>
        <v>0.35337532661503701</v>
      </c>
      <c r="Z80" s="530">
        <f>+INPUT!AA925</f>
        <v>4.7712045505334153</v>
      </c>
      <c r="AA80" s="522">
        <f>+INPUT!AB925</f>
        <v>2.1140867010815327</v>
      </c>
      <c r="AB80" s="530">
        <f>+INPUT!AC925</f>
        <v>4.7150634151151873</v>
      </c>
      <c r="AC80" s="522">
        <f>+INPUT!AD925</f>
        <v>4.7465454624171741</v>
      </c>
      <c r="AD80" s="530">
        <f>+INPUT!AE925</f>
        <v>4.647817964371419</v>
      </c>
      <c r="AE80" s="522">
        <f>+INPUT!AF925</f>
        <v>-1.0895846338922865</v>
      </c>
      <c r="AF80" s="530">
        <f>+INPUT!AG925</f>
        <v>4.7673810997006854</v>
      </c>
      <c r="AG80" s="522">
        <f>+INPUT!AH925</f>
        <v>2.6835365801316584</v>
      </c>
      <c r="AH80" s="530">
        <f>+INPUT!AI925</f>
        <v>4.6921586718603985</v>
      </c>
      <c r="AI80" s="522">
        <f>+INPUT!AJ925</f>
        <v>-1.6567279360131408</v>
      </c>
      <c r="AJ80" s="530">
        <f>+INPUT!AK925</f>
        <v>4.6964664752153826</v>
      </c>
      <c r="AK80" s="522">
        <f>+INPUT!AL925</f>
        <v>-0.39441547785312991</v>
      </c>
      <c r="AL80" s="530">
        <f>+INPUT!AM925</f>
        <v>4.8205106689913855</v>
      </c>
      <c r="AM80" s="522">
        <f>+INPUT!AN925</f>
        <v>3.7155651521589164</v>
      </c>
      <c r="AN80" s="530">
        <f>+INPUT!AO925</f>
        <v>4.9980356669294963</v>
      </c>
      <c r="AO80" s="522">
        <f>+INPUT!AP925</f>
        <v>4.8381818529945662</v>
      </c>
      <c r="AP80" s="530">
        <f>+INPUT!AQ925</f>
        <v>5.0373308116989453</v>
      </c>
      <c r="AQ80" s="522">
        <f>+INPUT!AR925</f>
        <v>7.3563611970029399</v>
      </c>
      <c r="AR80" s="530">
        <f>+INPUT!AS925</f>
        <v>5.035503072647006</v>
      </c>
      <c r="AS80" s="522">
        <f>+INPUT!AT925</f>
        <v>7.2189719488219026</v>
      </c>
      <c r="AT80" s="530">
        <f>+INPUT!AU925</f>
        <v>5.0372817674363226</v>
      </c>
      <c r="AU80" s="522">
        <f>+INPUT!AV925</f>
        <v>4.4968492620366618</v>
      </c>
      <c r="AV80" s="530">
        <f>+INPUT!AW925</f>
        <v>5.0568057735101641</v>
      </c>
      <c r="AW80" s="522">
        <f>+INPUT!AX925</f>
        <v>1.1758640893567929</v>
      </c>
      <c r="AX80" s="552"/>
      <c r="AY80" s="552" t="e">
        <f>+INPUT!#REF!</f>
        <v>#REF!</v>
      </c>
      <c r="AZ80" s="522" t="e">
        <f>+INPUT!#REF!</f>
        <v>#REF!</v>
      </c>
      <c r="BA80" s="552" t="e">
        <f>+INPUT!#REF!</f>
        <v>#REF!</v>
      </c>
      <c r="BB80" s="522" t="e">
        <f>+INPUT!#REF!</f>
        <v>#REF!</v>
      </c>
      <c r="BC80" s="552" t="e">
        <f>+INPUT!#REF!</f>
        <v>#REF!</v>
      </c>
      <c r="BD80" s="522" t="e">
        <f>+INPUT!#REF!</f>
        <v>#REF!</v>
      </c>
      <c r="BE80" s="552" t="e">
        <f>+INPUT!#REF!</f>
        <v>#REF!</v>
      </c>
      <c r="BF80" s="522" t="e">
        <f>+INPUT!#REF!</f>
        <v>#REF!</v>
      </c>
      <c r="BG80" s="530" t="e">
        <f>+INPUT!#REF!</f>
        <v>#REF!</v>
      </c>
      <c r="BH80" s="522" t="e">
        <f>+INPUT!#REF!</f>
        <v>#REF!</v>
      </c>
      <c r="BI80" s="530" t="e">
        <f>+INPUT!#REF!</f>
        <v>#REF!</v>
      </c>
      <c r="BJ80" s="522" t="e">
        <f>+INPUT!#REF!</f>
        <v>#REF!</v>
      </c>
      <c r="BK80" s="530" t="e">
        <f>+INPUT!#REF!</f>
        <v>#REF!</v>
      </c>
      <c r="BL80" s="522" t="e">
        <f>+INPUT!#REF!</f>
        <v>#REF!</v>
      </c>
      <c r="BM80" s="530" t="e">
        <f>+INPUT!#REF!</f>
        <v>#REF!</v>
      </c>
      <c r="BN80" s="522" t="e">
        <f>+INPUT!#REF!</f>
        <v>#REF!</v>
      </c>
      <c r="BO80" s="530" t="e">
        <f>+INPUT!#REF!</f>
        <v>#REF!</v>
      </c>
      <c r="BP80" s="522" t="e">
        <f>+INPUT!#REF!</f>
        <v>#REF!</v>
      </c>
      <c r="BQ80" s="530" t="e">
        <f>+INPUT!#REF!</f>
        <v>#REF!</v>
      </c>
      <c r="BR80" s="522" t="str">
        <f>+INPUT!BA925</f>
        <v>NA</v>
      </c>
      <c r="BS80" s="530">
        <f>+INPUT!BB925</f>
        <v>4.5014023081142485</v>
      </c>
      <c r="BT80" s="522" t="str">
        <f>+INPUT!BC925</f>
        <v>NA</v>
      </c>
      <c r="BU80" s="530">
        <f>+INPUT!BD925</f>
        <v>4.6990177396060391</v>
      </c>
      <c r="BV80" s="522">
        <f>+INPUT!BE925</f>
        <v>4.3900859768869935</v>
      </c>
      <c r="BW80" s="530">
        <f>+INPUT!BF925</f>
        <v>4.6427901282698238</v>
      </c>
      <c r="BX80" s="522">
        <f>+INPUT!BG925</f>
        <v>-1.1965822316927301</v>
      </c>
      <c r="BY80" s="530">
        <f>+INPUT!BH925</f>
        <v>4.7673810997006854</v>
      </c>
      <c r="BZ80" s="522">
        <f>+INPUT!BI925</f>
        <v>2.6835365801316584</v>
      </c>
      <c r="CA80" s="530">
        <f>+INPUT!BJ925</f>
        <v>4.9980356669294963</v>
      </c>
      <c r="CB80" s="522">
        <f>+INPUT!BK925</f>
        <v>4.8381818529945662</v>
      </c>
      <c r="CC80" s="530">
        <f>+INPUT!BL925</f>
        <v>5.0568057735101641</v>
      </c>
      <c r="CD80" s="522">
        <f>+INPUT!BM925</f>
        <v>1.1758640893567929</v>
      </c>
      <c r="CE80" s="530">
        <f>+INPUT!BN925</f>
        <v>5.2183228544634144</v>
      </c>
      <c r="CF80" s="522">
        <f>+INPUT!BO925</f>
        <v>3.1940534833144909</v>
      </c>
      <c r="CG80" s="530">
        <f>+INPUT!BP925</f>
        <v>5.3825950996954566</v>
      </c>
      <c r="CH80" s="522">
        <f>+INPUT!BQ925</f>
        <v>3.1479893025693855</v>
      </c>
      <c r="CI80" s="530">
        <f>+INPUT!BR925</f>
        <v>5.5486352173177655</v>
      </c>
      <c r="CJ80" s="522">
        <f>+INPUT!BS925</f>
        <v>3.0847595731602269</v>
      </c>
      <c r="CK80" s="530">
        <f>+INPUT!BT925</f>
        <v>5.7195252259879688</v>
      </c>
      <c r="CL80" s="522">
        <f>+INPUT!BU925</f>
        <v>3.0798566129710707</v>
      </c>
      <c r="CM80" s="522">
        <f>+INPUT!BV925</f>
        <v>2.7335098236065836</v>
      </c>
    </row>
    <row r="81" spans="1:91" s="475" customFormat="1" ht="12" customHeight="1" x14ac:dyDescent="0.2">
      <c r="A81" s="481" t="str">
        <f>+INPUT!B926</f>
        <v>Equity to Gen Policy Liab (%)</v>
      </c>
      <c r="B81" s="530">
        <f>+INPUT!C926</f>
        <v>13.526172354456866</v>
      </c>
      <c r="C81" s="522" t="str">
        <f>+INPUT!D926</f>
        <v>NA</v>
      </c>
      <c r="D81" s="530">
        <f>+INPUT!E926</f>
        <v>14.157911716010901</v>
      </c>
      <c r="E81" s="522" t="str">
        <f>+INPUT!F926</f>
        <v>NA</v>
      </c>
      <c r="F81" s="530">
        <f>+INPUT!G926</f>
        <v>14.11929276712986</v>
      </c>
      <c r="G81" s="522" t="str">
        <f>+INPUT!H926</f>
        <v>NA</v>
      </c>
      <c r="H81" s="530">
        <f>+INPUT!I926</f>
        <v>14.453091723357392</v>
      </c>
      <c r="I81" s="522" t="str">
        <f>+INPUT!J926</f>
        <v>NA</v>
      </c>
      <c r="J81" s="530">
        <f>+INPUT!K926</f>
        <v>14.643440640373855</v>
      </c>
      <c r="K81" s="522">
        <f>+INPUT!L926</f>
        <v>8.260047681181959</v>
      </c>
      <c r="L81" s="530">
        <f>+INPUT!M926</f>
        <v>14.817434943956947</v>
      </c>
      <c r="M81" s="522">
        <f>+INPUT!N926</f>
        <v>4.6583369156074355</v>
      </c>
      <c r="N81" s="530">
        <f>+INPUT!O926</f>
        <v>15.250436656424302</v>
      </c>
      <c r="O81" s="522">
        <f>+INPUT!P926</f>
        <v>8.011335326424998</v>
      </c>
      <c r="P81" s="530">
        <f>+INPUT!Q926</f>
        <v>15.291152993013535</v>
      </c>
      <c r="Q81" s="522">
        <f>+INPUT!R926</f>
        <v>5.7984913241902802</v>
      </c>
      <c r="R81" s="530">
        <f>+INPUT!S926</f>
        <v>15.743358985116314</v>
      </c>
      <c r="S81" s="522">
        <f>+INPUT!T926</f>
        <v>7.5113381598983011</v>
      </c>
      <c r="T81" s="530">
        <f>+INPUT!U926</f>
        <v>15.126537562725309</v>
      </c>
      <c r="U81" s="522">
        <f>+INPUT!V926</f>
        <v>2.0860737363616693</v>
      </c>
      <c r="V81" s="530">
        <f>+INPUT!W926</f>
        <v>14.876759014306751</v>
      </c>
      <c r="W81" s="522">
        <f>+INPUT!X926</f>
        <v>-2.4502750349783469</v>
      </c>
      <c r="X81" s="530">
        <f>+INPUT!Y926</f>
        <v>14.790456085370012</v>
      </c>
      <c r="Y81" s="522">
        <f>+INPUT!Z926</f>
        <v>-3.2744221961044389</v>
      </c>
      <c r="Z81" s="530">
        <f>+INPUT!AA926</f>
        <v>14.479298378516884</v>
      </c>
      <c r="AA81" s="522">
        <f>+INPUT!AB926</f>
        <v>-8.0291671414878181</v>
      </c>
      <c r="AB81" s="530">
        <f>+INPUT!AC926</f>
        <v>14.111431883062528</v>
      </c>
      <c r="AC81" s="522">
        <f>+INPUT!AD926</f>
        <v>-6.7107603141395344</v>
      </c>
      <c r="AD81" s="530">
        <f>+INPUT!AE926</f>
        <v>14.244835268970615</v>
      </c>
      <c r="AE81" s="522">
        <f>+INPUT!AF926</f>
        <v>-4.2477245529649537</v>
      </c>
      <c r="AF81" s="530">
        <f>+INPUT!AG926</f>
        <v>14.5799594261895</v>
      </c>
      <c r="AG81" s="522">
        <f>+INPUT!AH926</f>
        <v>-1.4231924828114302</v>
      </c>
      <c r="AH81" s="530">
        <f>+INPUT!AI926</f>
        <v>14.698982335251834</v>
      </c>
      <c r="AI81" s="522">
        <f>+INPUT!AJ926</f>
        <v>1.5172279138946294</v>
      </c>
      <c r="AJ81" s="530">
        <f>+INPUT!AK926</f>
        <v>14.75654872360208</v>
      </c>
      <c r="AK81" s="522">
        <f>+INPUT!AL926</f>
        <v>4.5715902247585944</v>
      </c>
      <c r="AL81" s="530">
        <f>+INPUT!AM926</f>
        <v>15.199492222429978</v>
      </c>
      <c r="AM81" s="522">
        <f>+INPUT!AN926</f>
        <v>6.7017760151911574</v>
      </c>
      <c r="AN81" s="530">
        <f>+INPUT!AO926</f>
        <v>16.136883232211169</v>
      </c>
      <c r="AO81" s="522">
        <f>+INPUT!AP926</f>
        <v>10.678519469848567</v>
      </c>
      <c r="AP81" s="530">
        <f>+INPUT!AQ926</f>
        <v>16.030902155861465</v>
      </c>
      <c r="AQ81" s="522">
        <f>+INPUT!AR926</f>
        <v>9.061306355987341</v>
      </c>
      <c r="AR81" s="530">
        <f>+INPUT!AS926</f>
        <v>15.955194236266431</v>
      </c>
      <c r="AS81" s="522">
        <f>+INPUT!AT926</f>
        <v>8.1228038826395732</v>
      </c>
      <c r="AT81" s="530">
        <f>+INPUT!AU926</f>
        <v>15.889816124438219</v>
      </c>
      <c r="AU81" s="522">
        <f>+INPUT!AV926</f>
        <v>4.5417563422910092</v>
      </c>
      <c r="AV81" s="530">
        <f>+INPUT!AW926</f>
        <v>15.875099865358994</v>
      </c>
      <c r="AW81" s="522">
        <f>+INPUT!AX926</f>
        <v>-1.6222672190477425</v>
      </c>
      <c r="AX81" s="521"/>
      <c r="AY81" s="521" t="e">
        <f>+INPUT!#REF!</f>
        <v>#REF!</v>
      </c>
      <c r="AZ81" s="522" t="e">
        <f>+INPUT!#REF!</f>
        <v>#REF!</v>
      </c>
      <c r="BA81" s="521" t="e">
        <f>+INPUT!#REF!</f>
        <v>#REF!</v>
      </c>
      <c r="BB81" s="522" t="e">
        <f>+INPUT!#REF!</f>
        <v>#REF!</v>
      </c>
      <c r="BC81" s="521" t="e">
        <f>+INPUT!#REF!</f>
        <v>#REF!</v>
      </c>
      <c r="BD81" s="522" t="e">
        <f>+INPUT!#REF!</f>
        <v>#REF!</v>
      </c>
      <c r="BE81" s="521" t="e">
        <f>+INPUT!#REF!</f>
        <v>#REF!</v>
      </c>
      <c r="BF81" s="522" t="e">
        <f>+INPUT!#REF!</f>
        <v>#REF!</v>
      </c>
      <c r="BG81" s="530" t="e">
        <f>+INPUT!#REF!</f>
        <v>#REF!</v>
      </c>
      <c r="BH81" s="522" t="e">
        <f>+INPUT!#REF!</f>
        <v>#REF!</v>
      </c>
      <c r="BI81" s="530" t="e">
        <f>+INPUT!#REF!</f>
        <v>#REF!</v>
      </c>
      <c r="BJ81" s="522" t="e">
        <f>+INPUT!#REF!</f>
        <v>#REF!</v>
      </c>
      <c r="BK81" s="530" t="e">
        <f>+INPUT!#REF!</f>
        <v>#REF!</v>
      </c>
      <c r="BL81" s="522" t="e">
        <f>+INPUT!#REF!</f>
        <v>#REF!</v>
      </c>
      <c r="BM81" s="530" t="e">
        <f>+INPUT!#REF!</f>
        <v>#REF!</v>
      </c>
      <c r="BN81" s="522" t="e">
        <f>+INPUT!#REF!</f>
        <v>#REF!</v>
      </c>
      <c r="BO81" s="530" t="e">
        <f>+INPUT!#REF!</f>
        <v>#REF!</v>
      </c>
      <c r="BP81" s="522" t="e">
        <f>+INPUT!#REF!</f>
        <v>#REF!</v>
      </c>
      <c r="BQ81" s="530" t="e">
        <f>+INPUT!#REF!</f>
        <v>#REF!</v>
      </c>
      <c r="BR81" s="522" t="str">
        <f>+INPUT!BA926</f>
        <v>NA</v>
      </c>
      <c r="BS81" s="530">
        <f>+INPUT!BB926</f>
        <v>15.126537562725309</v>
      </c>
      <c r="BT81" s="522" t="str">
        <f>+INPUT!BC926</f>
        <v>NA</v>
      </c>
      <c r="BU81" s="530">
        <f>+INPUT!BD926</f>
        <v>14.876759014306751</v>
      </c>
      <c r="BV81" s="522">
        <f>+INPUT!BE926</f>
        <v>-1.6512605570362666</v>
      </c>
      <c r="BW81" s="530">
        <f>+INPUT!BF926</f>
        <v>14.790456085370012</v>
      </c>
      <c r="BX81" s="522">
        <f>+INPUT!BG926</f>
        <v>-0.58011915669094094</v>
      </c>
      <c r="BY81" s="530">
        <f>+INPUT!BH926</f>
        <v>14.5799594261895</v>
      </c>
      <c r="BZ81" s="522">
        <f>+INPUT!BI926</f>
        <v>-1.4231924828114302</v>
      </c>
      <c r="CA81" s="530">
        <f>+INPUT!BJ926</f>
        <v>16.136883232211169</v>
      </c>
      <c r="CB81" s="522">
        <f>+INPUT!BK926</f>
        <v>10.678519469848567</v>
      </c>
      <c r="CC81" s="530">
        <f>+INPUT!BL926</f>
        <v>15.875099865358994</v>
      </c>
      <c r="CD81" s="522">
        <f>+INPUT!BM926</f>
        <v>-1.6222672190477425</v>
      </c>
      <c r="CE81" s="530">
        <f>+INPUT!BN926</f>
        <v>15.610314407385417</v>
      </c>
      <c r="CF81" s="522">
        <f>+INPUT!BO926</f>
        <v>-1.6679294002512961</v>
      </c>
      <c r="CG81" s="530">
        <f>+INPUT!BP926</f>
        <v>15.307665809146865</v>
      </c>
      <c r="CH81" s="522">
        <f>+INPUT!BQ926</f>
        <v>-1.9387732389000831</v>
      </c>
      <c r="CI81" s="530">
        <f>+INPUT!BR926</f>
        <v>14.970421790252908</v>
      </c>
      <c r="CJ81" s="522">
        <f>+INPUT!BS926</f>
        <v>-2.2031054446749181</v>
      </c>
      <c r="CK81" s="530">
        <f>+INPUT!BT926</f>
        <v>14.612924050641961</v>
      </c>
      <c r="CL81" s="522">
        <f>+INPUT!BU926</f>
        <v>-2.3880271686380325</v>
      </c>
      <c r="CM81" s="522">
        <f>+INPUT!BV926</f>
        <v>-1.9644715645387167</v>
      </c>
    </row>
    <row r="82" spans="1:91" s="475" customFormat="1" ht="12" customHeight="1" x14ac:dyDescent="0.2">
      <c r="A82" s="481" t="str">
        <f>+INPUT!B927</f>
        <v>Return on Average Assets (%)</v>
      </c>
      <c r="B82" s="530" t="e">
        <f>+INPUT!C927</f>
        <v>#REF!</v>
      </c>
      <c r="C82" s="522" t="str">
        <f>+INPUT!D927</f>
        <v>NA</v>
      </c>
      <c r="D82" s="530">
        <f>+INPUT!E927</f>
        <v>0.448349208165986</v>
      </c>
      <c r="E82" s="522" t="str">
        <f>+INPUT!F927</f>
        <v>NA</v>
      </c>
      <c r="F82" s="530">
        <f>+INPUT!G927</f>
        <v>0.49359861161578955</v>
      </c>
      <c r="G82" s="522" t="str">
        <f>+INPUT!H927</f>
        <v>NA</v>
      </c>
      <c r="H82" s="530">
        <f>+INPUT!I927</f>
        <v>0.45573331400274292</v>
      </c>
      <c r="I82" s="522" t="str">
        <f>+INPUT!J927</f>
        <v>NA</v>
      </c>
      <c r="J82" s="530">
        <f>+INPUT!K927</f>
        <v>0.56078653367405196</v>
      </c>
      <c r="K82" s="522" t="str">
        <f>+INPUT!L927</f>
        <v>NA</v>
      </c>
      <c r="L82" s="530">
        <f>+INPUT!M927</f>
        <v>0.57159524448437193</v>
      </c>
      <c r="M82" s="522">
        <f>+INPUT!N927</f>
        <v>27.488848886905657</v>
      </c>
      <c r="N82" s="530">
        <f>+INPUT!O927</f>
        <v>0.49497133581256442</v>
      </c>
      <c r="O82" s="522">
        <f>+INPUT!P927</f>
        <v>0.27810536019971721</v>
      </c>
      <c r="P82" s="530">
        <f>+INPUT!Q927</f>
        <v>0.5031372795364325</v>
      </c>
      <c r="Q82" s="522">
        <f>+INPUT!R927</f>
        <v>10.401689777149855</v>
      </c>
      <c r="R82" s="530">
        <f>+INPUT!S927</f>
        <v>0.76223457066417544</v>
      </c>
      <c r="S82" s="522">
        <f>+INPUT!T927</f>
        <v>35.922409846455395</v>
      </c>
      <c r="T82" s="530">
        <f>+INPUT!U927</f>
        <v>0.4304720359617607</v>
      </c>
      <c r="U82" s="522">
        <f>+INPUT!V927</f>
        <v>-24.689360152027945</v>
      </c>
      <c r="V82" s="530">
        <f>+INPUT!W927</f>
        <v>0.55317476842534263</v>
      </c>
      <c r="W82" s="522">
        <f>+INPUT!X927</f>
        <v>11.758950145512799</v>
      </c>
      <c r="X82" s="530">
        <f>+INPUT!Y927</f>
        <v>0.4659000565381477</v>
      </c>
      <c r="Y82" s="522">
        <f>+INPUT!Z927</f>
        <v>-7.4010065468799127</v>
      </c>
      <c r="Z82" s="530">
        <f>+INPUT!AA927</f>
        <v>0.67292274531451235</v>
      </c>
      <c r="AA82" s="522">
        <f>+INPUT!AB927</f>
        <v>-11.717105047051461</v>
      </c>
      <c r="AB82" s="530">
        <f>+INPUT!AC927</f>
        <v>0.58464521758216648</v>
      </c>
      <c r="AC82" s="522">
        <f>+INPUT!AD927</f>
        <v>35.814912175642718</v>
      </c>
      <c r="AD82" s="530">
        <f>+INPUT!AE927</f>
        <v>0.54383920569831268</v>
      </c>
      <c r="AE82" s="522">
        <f>+INPUT!AF927</f>
        <v>-1.6876335038932524</v>
      </c>
      <c r="AF82" s="530">
        <f>+INPUT!AG927</f>
        <v>0.55429026987443275</v>
      </c>
      <c r="AG82" s="522">
        <f>+INPUT!AH927</f>
        <v>18.971925866046277</v>
      </c>
      <c r="AH82" s="530">
        <f>+INPUT!AI927</f>
        <v>0.60072236476967356</v>
      </c>
      <c r="AI82" s="522">
        <f>+INPUT!AJ927</f>
        <v>-10.729371394794157</v>
      </c>
      <c r="AJ82" s="530">
        <f>+INPUT!AK927</f>
        <v>0.51992656352269984</v>
      </c>
      <c r="AK82" s="522">
        <f>+INPUT!AL927</f>
        <v>-11.069731199908603</v>
      </c>
      <c r="AL82" s="530">
        <f>+INPUT!AM927</f>
        <v>1.3277706375372165</v>
      </c>
      <c r="AM82" s="522" t="str">
        <f>+INPUT!AN927</f>
        <v>NM</v>
      </c>
      <c r="AN82" s="530">
        <f>+INPUT!AO927</f>
        <v>1.342417000440336</v>
      </c>
      <c r="AO82" s="522" t="str">
        <f>+INPUT!AP927</f>
        <v>NM</v>
      </c>
      <c r="AP82" s="530">
        <f>+INPUT!AQ927</f>
        <v>0.60597585347313243</v>
      </c>
      <c r="AQ82" s="522">
        <f>+INPUT!AR927</f>
        <v>0.87452856952864977</v>
      </c>
      <c r="AR82" s="530">
        <f>+INPUT!AS927</f>
        <v>0.61130417270190718</v>
      </c>
      <c r="AS82" s="522">
        <f>+INPUT!AT927</f>
        <v>17.575099175562286</v>
      </c>
      <c r="AT82" s="530">
        <f>+INPUT!AU927</f>
        <v>0.62533888808155802</v>
      </c>
      <c r="AU82" s="522" t="str">
        <f>+INPUT!AV927</f>
        <v>NM</v>
      </c>
      <c r="AV82" s="530">
        <f>+INPUT!AW927</f>
        <v>0.63821554191948515</v>
      </c>
      <c r="AW82" s="522" t="str">
        <f>+INPUT!AX927</f>
        <v>NM</v>
      </c>
      <c r="AX82" s="521"/>
      <c r="AY82" s="521" t="e">
        <f>+INPUT!#REF!</f>
        <v>#REF!</v>
      </c>
      <c r="AZ82" s="522" t="e">
        <f>+INPUT!#REF!</f>
        <v>#REF!</v>
      </c>
      <c r="BA82" s="521" t="e">
        <f>+INPUT!#REF!</f>
        <v>#REF!</v>
      </c>
      <c r="BB82" s="522" t="e">
        <f>+INPUT!#REF!</f>
        <v>#REF!</v>
      </c>
      <c r="BC82" s="521" t="e">
        <f>+INPUT!#REF!</f>
        <v>#REF!</v>
      </c>
      <c r="BD82" s="522" t="e">
        <f>+INPUT!#REF!</f>
        <v>#REF!</v>
      </c>
      <c r="BE82" s="521" t="e">
        <f>+INPUT!#REF!</f>
        <v>#REF!</v>
      </c>
      <c r="BF82" s="522" t="e">
        <f>+INPUT!#REF!</f>
        <v>#REF!</v>
      </c>
      <c r="BG82" s="530" t="e">
        <f>+INPUT!#REF!</f>
        <v>#REF!</v>
      </c>
      <c r="BH82" s="522" t="e">
        <f>+INPUT!#REF!</f>
        <v>#REF!</v>
      </c>
      <c r="BI82" s="530" t="e">
        <f>+INPUT!#REF!</f>
        <v>#REF!</v>
      </c>
      <c r="BJ82" s="522" t="e">
        <f>+INPUT!#REF!</f>
        <v>#REF!</v>
      </c>
      <c r="BK82" s="530" t="e">
        <f>+INPUT!#REF!</f>
        <v>#REF!</v>
      </c>
      <c r="BL82" s="522" t="e">
        <f>+INPUT!#REF!</f>
        <v>#REF!</v>
      </c>
      <c r="BM82" s="530" t="e">
        <f>+INPUT!#REF!</f>
        <v>#REF!</v>
      </c>
      <c r="BN82" s="522" t="e">
        <f>+INPUT!#REF!</f>
        <v>#REF!</v>
      </c>
      <c r="BO82" s="530" t="e">
        <f>+INPUT!#REF!</f>
        <v>#REF!</v>
      </c>
      <c r="BP82" s="522" t="e">
        <f>+INPUT!#REF!</f>
        <v>#REF!</v>
      </c>
      <c r="BQ82" s="530" t="e">
        <f>+INPUT!#REF!</f>
        <v>#REF!</v>
      </c>
      <c r="BR82" s="522" t="str">
        <f>+INPUT!BA927</f>
        <v>NA</v>
      </c>
      <c r="BS82" s="530" t="e">
        <f>+INPUT!BB927</f>
        <v>#REF!</v>
      </c>
      <c r="BT82" s="522" t="str">
        <f>+INPUT!BC927</f>
        <v>NA</v>
      </c>
      <c r="BU82" s="530">
        <f>+INPUT!BD927</f>
        <v>0.52079420001532195</v>
      </c>
      <c r="BV82" s="522" t="str">
        <f>+INPUT!BE927</f>
        <v>NA</v>
      </c>
      <c r="BW82" s="530">
        <f>+INPUT!BF927</f>
        <v>0.55892673686987837</v>
      </c>
      <c r="BX82" s="522">
        <f>+INPUT!BG927</f>
        <v>7.3219972214426718</v>
      </c>
      <c r="BY82" s="530">
        <f>+INPUT!BH927</f>
        <v>0.58738507452964062</v>
      </c>
      <c r="BZ82" s="522">
        <f>+INPUT!BI927</f>
        <v>5.0916042805781103</v>
      </c>
      <c r="CA82" s="530">
        <f>+INPUT!BJ927</f>
        <v>0.95774783341886649</v>
      </c>
      <c r="CB82" s="522">
        <f>+INPUT!BK927</f>
        <v>63.052803850319265</v>
      </c>
      <c r="CC82" s="530">
        <f>+INPUT!BL927</f>
        <v>0.61824362941196742</v>
      </c>
      <c r="CD82" s="522">
        <f>+INPUT!BM927</f>
        <v>-35.448182930884116</v>
      </c>
      <c r="CE82" s="530">
        <f>+INPUT!BN927</f>
        <v>0.62545085029331304</v>
      </c>
      <c r="CF82" s="522">
        <f>+INPUT!BO927</f>
        <v>1.1657574034690299</v>
      </c>
      <c r="CG82" s="530">
        <f>+INPUT!BP927</f>
        <v>0.64023664286013715</v>
      </c>
      <c r="CH82" s="522">
        <f>+INPUT!BQ927</f>
        <v>2.3640214990338677</v>
      </c>
      <c r="CI82" s="530">
        <f>+INPUT!BR927</f>
        <v>0.65288392531194739</v>
      </c>
      <c r="CJ82" s="522">
        <f>+INPUT!BS927</f>
        <v>1.9754074673562769</v>
      </c>
      <c r="CK82" s="530">
        <f>+INPUT!BT927</f>
        <v>0.66622722983134797</v>
      </c>
      <c r="CL82" s="522">
        <f>+INPUT!BU927</f>
        <v>2.0437483604800235</v>
      </c>
      <c r="CM82" s="522">
        <f>+INPUT!BV927</f>
        <v>-7.0018647980356397</v>
      </c>
    </row>
    <row r="83" spans="1:91" s="475" customFormat="1" ht="12" customHeight="1" x14ac:dyDescent="0.2">
      <c r="A83" s="481" t="str">
        <f>+INPUT!B928</f>
        <v xml:space="preserve">Book Value per Share </v>
      </c>
      <c r="B83" s="538">
        <f>+INPUT!C928</f>
        <v>29.187180361404707</v>
      </c>
      <c r="C83" s="522" t="str">
        <f>+INPUT!D928</f>
        <v>NA</v>
      </c>
      <c r="D83" s="538">
        <f>+INPUT!E928</f>
        <v>29.812861517522972</v>
      </c>
      <c r="E83" s="522" t="str">
        <f>+INPUT!F928</f>
        <v>NA</v>
      </c>
      <c r="F83" s="538">
        <f>+INPUT!G928</f>
        <v>29.786321878189863</v>
      </c>
      <c r="G83" s="522" t="str">
        <f>+INPUT!H928</f>
        <v>NA</v>
      </c>
      <c r="H83" s="538">
        <f>+INPUT!I928</f>
        <v>30.348915989159895</v>
      </c>
      <c r="I83" s="522" t="str">
        <f>+INPUT!J928</f>
        <v>NA</v>
      </c>
      <c r="J83" s="538">
        <f>+INPUT!K928</f>
        <v>30.814450474898237</v>
      </c>
      <c r="K83" s="522">
        <f>+INPUT!L928</f>
        <v>5.5752905671057249</v>
      </c>
      <c r="L83" s="538">
        <f>+INPUT!M928</f>
        <v>31.519400953029272</v>
      </c>
      <c r="M83" s="522">
        <f>+INPUT!N928</f>
        <v>5.7241718796542216</v>
      </c>
      <c r="N83" s="538">
        <f>+INPUT!O928</f>
        <v>31.996934604904627</v>
      </c>
      <c r="O83" s="522">
        <f>+INPUT!P928</f>
        <v>7.4215699936198405</v>
      </c>
      <c r="P83" s="538">
        <f>+INPUT!Q928</f>
        <v>32.635590336849269</v>
      </c>
      <c r="Q83" s="522">
        <f>+INPUT!R928</f>
        <v>7.5346162232157781</v>
      </c>
      <c r="R83" s="538">
        <f>+INPUT!S928</f>
        <v>33.466711956521742</v>
      </c>
      <c r="S83" s="522">
        <f>+INPUT!T928</f>
        <v>8.6072003256526131</v>
      </c>
      <c r="T83" s="538">
        <f>+INPUT!U928</f>
        <v>34.000678656260604</v>
      </c>
      <c r="U83" s="522">
        <f>+INPUT!V928</f>
        <v>7.8722235455203275</v>
      </c>
      <c r="V83" s="538">
        <f>+INPUT!W928</f>
        <v>34.564565587734236</v>
      </c>
      <c r="W83" s="522">
        <f>+INPUT!X928</f>
        <v>8.0246155281263469</v>
      </c>
      <c r="X83" s="538">
        <f>+INPUT!Y928</f>
        <v>34.983184625943721</v>
      </c>
      <c r="Y83" s="522">
        <f>+INPUT!Z928</f>
        <v>7.1933562863845282</v>
      </c>
      <c r="Z83" s="538">
        <f>+INPUT!AA928</f>
        <v>35.804752066115711</v>
      </c>
      <c r="AA83" s="522">
        <f>+INPUT!AB928</f>
        <v>6.9861661720202193</v>
      </c>
      <c r="AB83" s="538">
        <f>+INPUT!AC928</f>
        <v>36.524305555555557</v>
      </c>
      <c r="AC83" s="522">
        <f>+INPUT!AD928</f>
        <v>7.4222839044133906</v>
      </c>
      <c r="AD83" s="538">
        <f>+INPUT!AE928</f>
        <v>37.201251303441083</v>
      </c>
      <c r="AE83" s="522">
        <f>+INPUT!AF928</f>
        <v>7.6282912019079845</v>
      </c>
      <c r="AF83" s="538">
        <f>+INPUT!AG928</f>
        <v>37.895377128953768</v>
      </c>
      <c r="AG83" s="522">
        <f>+INPUT!AH928</f>
        <v>8.3245494489668346</v>
      </c>
      <c r="AH83" s="538">
        <f>+INPUT!AI928</f>
        <v>38.428323498785147</v>
      </c>
      <c r="AI83" s="522">
        <f>+INPUT!AJ928</f>
        <v>7.3274391841195978</v>
      </c>
      <c r="AJ83" s="538">
        <f>+INPUT!AK928</f>
        <v>39.099792099792097</v>
      </c>
      <c r="AK83" s="522">
        <f>+INPUT!AL928</f>
        <v>7.0514319302226909</v>
      </c>
      <c r="AL83" s="538">
        <f>+INPUT!AM928</f>
        <v>41.419064124783361</v>
      </c>
      <c r="AM83" s="522">
        <f>+INPUT!AN928</f>
        <v>11.337825136414523</v>
      </c>
      <c r="AN83" s="538">
        <f>+INPUT!AO928</f>
        <v>43.888581314878891</v>
      </c>
      <c r="AO83" s="522">
        <f>+INPUT!AP928</f>
        <v>15.815132715346564</v>
      </c>
      <c r="AP83" s="538">
        <f>+INPUT!AQ928</f>
        <v>44.597047567699974</v>
      </c>
      <c r="AQ83" s="522">
        <f>+INPUT!AR928</f>
        <v>16.05254538129887</v>
      </c>
      <c r="AR83" s="538">
        <f>+INPUT!AS928</f>
        <v>45.351636255252018</v>
      </c>
      <c r="AS83" s="522">
        <f>+INPUT!AT928</f>
        <v>15.989456259776787</v>
      </c>
      <c r="AT83" s="538">
        <f>+INPUT!AU928</f>
        <v>46.142050552219629</v>
      </c>
      <c r="AU83" s="522">
        <f>+INPUT!AV928</f>
        <v>11.402928886097754</v>
      </c>
      <c r="AV83" s="538">
        <f>+INPUT!AW928</f>
        <v>47.01293382811609</v>
      </c>
      <c r="AW83" s="522">
        <f>+INPUT!AX928</f>
        <v>7.118827767116727</v>
      </c>
      <c r="AX83" s="490"/>
      <c r="AY83" s="552" t="e">
        <f>+INPUT!#REF!</f>
        <v>#REF!</v>
      </c>
      <c r="AZ83" s="522" t="e">
        <f>+INPUT!#REF!</f>
        <v>#REF!</v>
      </c>
      <c r="BA83" s="552" t="e">
        <f>+INPUT!#REF!</f>
        <v>#REF!</v>
      </c>
      <c r="BB83" s="522" t="e">
        <f>+INPUT!#REF!</f>
        <v>#REF!</v>
      </c>
      <c r="BC83" s="552" t="e">
        <f>+INPUT!#REF!</f>
        <v>#REF!</v>
      </c>
      <c r="BD83" s="522" t="e">
        <f>+INPUT!#REF!</f>
        <v>#REF!</v>
      </c>
      <c r="BE83" s="552" t="e">
        <f>+INPUT!#REF!</f>
        <v>#REF!</v>
      </c>
      <c r="BF83" s="522" t="e">
        <f>+INPUT!#REF!</f>
        <v>#REF!</v>
      </c>
      <c r="BG83" s="538" t="e">
        <f>+INPUT!#REF!</f>
        <v>#REF!</v>
      </c>
      <c r="BH83" s="522" t="e">
        <f>+INPUT!#REF!</f>
        <v>#REF!</v>
      </c>
      <c r="BI83" s="538" t="e">
        <f>+INPUT!#REF!</f>
        <v>#REF!</v>
      </c>
      <c r="BJ83" s="522" t="e">
        <f>+INPUT!#REF!</f>
        <v>#REF!</v>
      </c>
      <c r="BK83" s="538" t="e">
        <f>+INPUT!#REF!</f>
        <v>#REF!</v>
      </c>
      <c r="BL83" s="522" t="e">
        <f>+INPUT!#REF!</f>
        <v>#REF!</v>
      </c>
      <c r="BM83" s="538" t="e">
        <f>+INPUT!#REF!</f>
        <v>#REF!</v>
      </c>
      <c r="BN83" s="522" t="e">
        <f>+INPUT!#REF!</f>
        <v>#REF!</v>
      </c>
      <c r="BO83" s="538" t="e">
        <f>+INPUT!#REF!</f>
        <v>#REF!</v>
      </c>
      <c r="BP83" s="522" t="e">
        <f>+INPUT!#REF!</f>
        <v>#REF!</v>
      </c>
      <c r="BQ83" s="538" t="e">
        <f>+INPUT!#REF!</f>
        <v>#REF!</v>
      </c>
      <c r="BR83" s="522" t="str">
        <f>+INPUT!BA928</f>
        <v>NA</v>
      </c>
      <c r="BS83" s="538">
        <f>+INPUT!BB928</f>
        <v>34.128065395095362</v>
      </c>
      <c r="BT83" s="522" t="str">
        <f>+INPUT!BC928</f>
        <v>NA</v>
      </c>
      <c r="BU83" s="538">
        <f>+INPUT!BD928</f>
        <v>34.517522966995578</v>
      </c>
      <c r="BV83" s="522">
        <f>+INPUT!BE928</f>
        <v>1.1411651008972399</v>
      </c>
      <c r="BW83" s="538">
        <f>+INPUT!BF928</f>
        <v>34.983184625943721</v>
      </c>
      <c r="BX83" s="522">
        <f>+INPUT!BG928</f>
        <v>1.3490587357424033</v>
      </c>
      <c r="BY83" s="538">
        <f>+INPUT!BH928</f>
        <v>37.895377128953776</v>
      </c>
      <c r="BZ83" s="522">
        <f>+INPUT!BI928</f>
        <v>8.3245494489668488</v>
      </c>
      <c r="CA83" s="538">
        <f>+INPUT!BJ928</f>
        <v>43.888581314878891</v>
      </c>
      <c r="CB83" s="522">
        <f>+INPUT!BK928</f>
        <v>15.815132715346536</v>
      </c>
      <c r="CC83" s="538">
        <f>+INPUT!BL928</f>
        <v>47.01293382811609</v>
      </c>
      <c r="CD83" s="522">
        <f>+INPUT!BM928</f>
        <v>7.118827767116727</v>
      </c>
      <c r="CE83" s="538">
        <f>+INPUT!BN928</f>
        <v>50.264186162428132</v>
      </c>
      <c r="CF83" s="522">
        <f>+INPUT!BO928</f>
        <v>6.9156550539877912</v>
      </c>
      <c r="CG83" s="538">
        <f>+INPUT!BP928</f>
        <v>53.610377426784176</v>
      </c>
      <c r="CH83" s="522">
        <f>+INPUT!BQ928</f>
        <v>6.6572076856926969</v>
      </c>
      <c r="CI83" s="538">
        <f>+INPUT!BR928</f>
        <v>57.017063358175598</v>
      </c>
      <c r="CJ83" s="522">
        <f>+INPUT!BS928</f>
        <v>6.3545270429105756</v>
      </c>
      <c r="CK83" s="538">
        <f>+INPUT!BT928</f>
        <v>60.470776913520517</v>
      </c>
      <c r="CL83" s="522">
        <f>+INPUT!BU928</f>
        <v>6.0573332822299761</v>
      </c>
      <c r="CM83" s="522">
        <f>+INPUT!BV928</f>
        <v>6.6200301854420163</v>
      </c>
    </row>
    <row r="84" spans="1:91" s="475" customFormat="1" ht="12" customHeight="1" x14ac:dyDescent="0.2">
      <c r="A84" s="489"/>
      <c r="B84" s="552"/>
      <c r="C84" s="522"/>
      <c r="D84" s="552"/>
      <c r="E84" s="522"/>
      <c r="F84" s="552"/>
      <c r="G84" s="522"/>
      <c r="H84" s="552"/>
      <c r="I84" s="522"/>
      <c r="J84" s="552"/>
      <c r="K84" s="522"/>
      <c r="L84" s="552"/>
      <c r="M84" s="522"/>
      <c r="N84" s="552"/>
      <c r="O84" s="522"/>
      <c r="P84" s="552"/>
      <c r="Q84" s="522"/>
      <c r="R84" s="552"/>
      <c r="S84" s="522"/>
      <c r="T84" s="552"/>
      <c r="U84" s="522"/>
      <c r="V84" s="552"/>
      <c r="W84" s="522"/>
      <c r="X84" s="552"/>
      <c r="Y84" s="522"/>
      <c r="Z84" s="552"/>
      <c r="AA84" s="522"/>
      <c r="AB84" s="552"/>
      <c r="AC84" s="522"/>
      <c r="AD84" s="552"/>
      <c r="AE84" s="522"/>
      <c r="AF84" s="552"/>
      <c r="AG84" s="522"/>
      <c r="AH84" s="552"/>
      <c r="AI84" s="522"/>
      <c r="AJ84" s="552"/>
      <c r="AK84" s="522"/>
      <c r="AL84" s="552"/>
      <c r="AM84" s="522"/>
      <c r="AN84" s="552"/>
      <c r="AO84" s="522"/>
      <c r="AP84" s="552"/>
      <c r="AQ84" s="522"/>
      <c r="AR84" s="552"/>
      <c r="AS84" s="522"/>
      <c r="AT84" s="552"/>
      <c r="AU84" s="522"/>
      <c r="AV84" s="552"/>
      <c r="AW84" s="522"/>
      <c r="AX84" s="490"/>
      <c r="AY84" s="524"/>
      <c r="AZ84" s="522"/>
      <c r="BA84" s="524"/>
      <c r="BB84" s="522"/>
      <c r="BC84" s="524"/>
      <c r="BD84" s="522"/>
      <c r="BE84" s="524"/>
      <c r="BF84" s="522"/>
      <c r="BG84" s="552"/>
      <c r="BH84" s="522"/>
      <c r="BI84" s="552"/>
      <c r="BJ84" s="522"/>
      <c r="BK84" s="552"/>
      <c r="BL84" s="522"/>
      <c r="BM84" s="552"/>
      <c r="BN84" s="522"/>
      <c r="BO84" s="552"/>
      <c r="BP84" s="522"/>
      <c r="BQ84" s="552"/>
      <c r="BR84" s="522"/>
      <c r="BS84" s="552"/>
      <c r="BT84" s="522"/>
      <c r="BU84" s="552"/>
      <c r="BV84" s="522"/>
      <c r="BW84" s="552"/>
      <c r="BX84" s="522"/>
      <c r="BY84" s="552"/>
      <c r="BZ84" s="522"/>
      <c r="CA84" s="552"/>
      <c r="CB84" s="522"/>
      <c r="CC84" s="552"/>
      <c r="CD84" s="522"/>
      <c r="CE84" s="552"/>
      <c r="CF84" s="522"/>
      <c r="CG84" s="552"/>
      <c r="CH84" s="522"/>
      <c r="CI84" s="552"/>
      <c r="CJ84" s="522"/>
      <c r="CK84" s="552"/>
      <c r="CL84" s="522"/>
      <c r="CM84" s="522"/>
    </row>
    <row r="85" spans="1:91" s="475" customFormat="1" ht="12" customHeight="1" x14ac:dyDescent="0.2">
      <c r="A85" s="489" t="str">
        <f>+INPUT!B930</f>
        <v>Capital Ratios (Incl FAS 115)</v>
      </c>
      <c r="B85" s="524"/>
      <c r="C85" s="522"/>
      <c r="D85" s="524"/>
      <c r="E85" s="522"/>
      <c r="F85" s="524"/>
      <c r="G85" s="522"/>
      <c r="H85" s="524"/>
      <c r="I85" s="522"/>
      <c r="J85" s="524"/>
      <c r="K85" s="522"/>
      <c r="L85" s="524"/>
      <c r="M85" s="522"/>
      <c r="N85" s="524"/>
      <c r="O85" s="522"/>
      <c r="P85" s="524"/>
      <c r="Q85" s="522"/>
      <c r="R85" s="524"/>
      <c r="S85" s="522"/>
      <c r="T85" s="524"/>
      <c r="U85" s="522"/>
      <c r="V85" s="524"/>
      <c r="W85" s="522"/>
      <c r="X85" s="524"/>
      <c r="Y85" s="522"/>
      <c r="Z85" s="524"/>
      <c r="AA85" s="522"/>
      <c r="AB85" s="524"/>
      <c r="AC85" s="522"/>
      <c r="AD85" s="524"/>
      <c r="AE85" s="522"/>
      <c r="AF85" s="524"/>
      <c r="AG85" s="522"/>
      <c r="AH85" s="524"/>
      <c r="AI85" s="522"/>
      <c r="AJ85" s="524"/>
      <c r="AK85" s="522"/>
      <c r="AL85" s="524"/>
      <c r="AM85" s="522"/>
      <c r="AN85" s="524"/>
      <c r="AO85" s="522"/>
      <c r="AP85" s="524"/>
      <c r="AQ85" s="522"/>
      <c r="AR85" s="524"/>
      <c r="AS85" s="522"/>
      <c r="AT85" s="524"/>
      <c r="AU85" s="522"/>
      <c r="AV85" s="524"/>
      <c r="AW85" s="522"/>
      <c r="AX85" s="490"/>
      <c r="AY85" s="524"/>
      <c r="AZ85" s="522"/>
      <c r="BA85" s="524"/>
      <c r="BB85" s="522"/>
      <c r="BC85" s="524"/>
      <c r="BD85" s="522"/>
      <c r="BE85" s="524"/>
      <c r="BF85" s="522"/>
      <c r="BG85" s="524"/>
      <c r="BH85" s="522"/>
      <c r="BI85" s="524"/>
      <c r="BJ85" s="522"/>
      <c r="BK85" s="524"/>
      <c r="BL85" s="522"/>
      <c r="BM85" s="524"/>
      <c r="BN85" s="522"/>
      <c r="BO85" s="524"/>
      <c r="BP85" s="522"/>
      <c r="BQ85" s="524"/>
      <c r="BR85" s="522"/>
      <c r="BS85" s="524"/>
      <c r="BT85" s="522"/>
      <c r="BU85" s="524"/>
      <c r="BV85" s="522"/>
      <c r="BW85" s="524"/>
      <c r="BX85" s="522"/>
      <c r="BY85" s="524"/>
      <c r="BZ85" s="522"/>
      <c r="CA85" s="524"/>
      <c r="CB85" s="522"/>
      <c r="CC85" s="524"/>
      <c r="CD85" s="522"/>
      <c r="CE85" s="524"/>
      <c r="CF85" s="522"/>
      <c r="CG85" s="524"/>
      <c r="CH85" s="522"/>
      <c r="CI85" s="524"/>
      <c r="CJ85" s="522"/>
      <c r="CK85" s="524"/>
      <c r="CL85" s="522"/>
      <c r="CM85" s="522"/>
    </row>
    <row r="86" spans="1:91" s="475" customFormat="1" ht="12" customHeight="1" x14ac:dyDescent="0.2">
      <c r="A86" s="481" t="str">
        <f>+INPUT!B933</f>
        <v>DAC to Equity (%)</v>
      </c>
      <c r="B86" s="530">
        <f>+INPUT!C933</f>
        <v>27.926899502241969</v>
      </c>
      <c r="C86" s="522" t="str">
        <f>+INPUT!D933</f>
        <v>NA</v>
      </c>
      <c r="D86" s="530">
        <f>+INPUT!E933</f>
        <v>31.4444181697014</v>
      </c>
      <c r="E86" s="522" t="str">
        <f>+INPUT!F933</f>
        <v>NA</v>
      </c>
      <c r="F86" s="530">
        <f>+INPUT!G933</f>
        <v>32.415071564062771</v>
      </c>
      <c r="G86" s="522" t="str">
        <f>+INPUT!H933</f>
        <v>NA</v>
      </c>
      <c r="H86" s="530">
        <f>+INPUT!I933</f>
        <v>31.773404101526193</v>
      </c>
      <c r="I86" s="522" t="str">
        <f>+INPUT!J933</f>
        <v>NA</v>
      </c>
      <c r="J86" s="530">
        <f>+INPUT!K933</f>
        <v>30.492896404649628</v>
      </c>
      <c r="K86" s="522">
        <f>+INPUT!L933</f>
        <v>9.1882627436019675</v>
      </c>
      <c r="L86" s="530">
        <f>+INPUT!M933</f>
        <v>29.118037262781442</v>
      </c>
      <c r="M86" s="522">
        <f>+INPUT!N933</f>
        <v>-7.3983906916794808</v>
      </c>
      <c r="N86" s="530">
        <f>+INPUT!O933</f>
        <v>28.938389360629678</v>
      </c>
      <c r="O86" s="522">
        <f>+INPUT!P933</f>
        <v>-10.725511423172492</v>
      </c>
      <c r="P86" s="530">
        <f>+INPUT!Q933</f>
        <v>29.389238020424198</v>
      </c>
      <c r="Q86" s="522">
        <f>+INPUT!R933</f>
        <v>-7.5036532865154157</v>
      </c>
      <c r="R86" s="530">
        <f>+INPUT!S933</f>
        <v>28.98317118569263</v>
      </c>
      <c r="S86" s="522">
        <f>+INPUT!T933</f>
        <v>-4.9510718789140356</v>
      </c>
      <c r="T86" s="530">
        <f>+INPUT!U933</f>
        <v>32.624259805640953</v>
      </c>
      <c r="U86" s="522">
        <f>+INPUT!V933</f>
        <v>12.04141100314186</v>
      </c>
      <c r="V86" s="530">
        <f>+INPUT!W933</f>
        <v>32.691288213465278</v>
      </c>
      <c r="W86" s="522">
        <f>+INPUT!X933</f>
        <v>12.968582342531377</v>
      </c>
      <c r="X86" s="530">
        <f>+INPUT!Y933</f>
        <v>35.182997551441211</v>
      </c>
      <c r="Y86" s="522">
        <f>+INPUT!Z933</f>
        <v>19.713881411252004</v>
      </c>
      <c r="Z86" s="530">
        <f>+INPUT!AA933</f>
        <v>32.059631931166351</v>
      </c>
      <c r="AA86" s="522">
        <f>+INPUT!AB933</f>
        <v>10.614645049581029</v>
      </c>
      <c r="AB86" s="530">
        <f>+INPUT!AC933</f>
        <v>30.226577902225777</v>
      </c>
      <c r="AC86" s="522">
        <f>+INPUT!AD933</f>
        <v>-7.3493833046308765</v>
      </c>
      <c r="AD86" s="530">
        <f>+INPUT!AE933</f>
        <v>29.418412910158782</v>
      </c>
      <c r="AE86" s="522">
        <f>+INPUT!AF933</f>
        <v>-10.011460184546735</v>
      </c>
      <c r="AF86" s="530">
        <f>+INPUT!AG933</f>
        <v>33.05075630909429</v>
      </c>
      <c r="AG86" s="522">
        <f>+INPUT!AH933</f>
        <v>-6.0604308635992794</v>
      </c>
      <c r="AH86" s="530">
        <f>+INPUT!AI933</f>
        <v>32.316952553197503</v>
      </c>
      <c r="AI86" s="522">
        <f>+INPUT!AJ933</f>
        <v>0.80263124225390925</v>
      </c>
      <c r="AJ86" s="530">
        <f>+INPUT!AK933</f>
        <v>30.911256167118843</v>
      </c>
      <c r="AK86" s="522">
        <f>+INPUT!AL933</f>
        <v>2.2651530950933392</v>
      </c>
      <c r="AL86" s="530">
        <f>+INPUT!AM933</f>
        <v>29.020372778500221</v>
      </c>
      <c r="AM86" s="522">
        <f>+INPUT!AN933</f>
        <v>-1.3530306100269343</v>
      </c>
      <c r="AN86" s="530">
        <f>+INPUT!AO933</f>
        <v>27.555586685656031</v>
      </c>
      <c r="AO86" s="522">
        <f>+INPUT!AP933</f>
        <v>-16.626456508428518</v>
      </c>
      <c r="AP86" s="530">
        <f>+INPUT!AQ933</f>
        <v>27.530106041658652</v>
      </c>
      <c r="AQ86" s="522">
        <f>+INPUT!AR933</f>
        <v>-14.812184111911975</v>
      </c>
      <c r="AR86" s="530">
        <f>+INPUT!AS933</f>
        <v>27.46086599960514</v>
      </c>
      <c r="AS86" s="522">
        <f>+INPUT!AT933</f>
        <v>-11.162245069755457</v>
      </c>
      <c r="AT86" s="530">
        <f>+INPUT!AU933</f>
        <v>27.377102254716686</v>
      </c>
      <c r="AU86" s="522">
        <f>+INPUT!AV933</f>
        <v>-5.6624721409538665</v>
      </c>
      <c r="AV86" s="530">
        <f>+INPUT!AW933</f>
        <v>27.21892280038205</v>
      </c>
      <c r="AW86" s="522">
        <f>+INPUT!AX933</f>
        <v>-1.2217627195331318</v>
      </c>
      <c r="AX86" s="490"/>
      <c r="AY86" s="521" t="e">
        <f>+INPUT!#REF!</f>
        <v>#REF!</v>
      </c>
      <c r="AZ86" s="522" t="e">
        <f>+INPUT!#REF!</f>
        <v>#REF!</v>
      </c>
      <c r="BA86" s="521" t="e">
        <f>+INPUT!#REF!</f>
        <v>#REF!</v>
      </c>
      <c r="BB86" s="522" t="e">
        <f>+INPUT!#REF!</f>
        <v>#REF!</v>
      </c>
      <c r="BC86" s="521" t="e">
        <f>+INPUT!#REF!</f>
        <v>#REF!</v>
      </c>
      <c r="BD86" s="522" t="e">
        <f>+INPUT!#REF!</f>
        <v>#REF!</v>
      </c>
      <c r="BE86" s="521" t="e">
        <f>+INPUT!#REF!</f>
        <v>#REF!</v>
      </c>
      <c r="BF86" s="522" t="e">
        <f>+INPUT!#REF!</f>
        <v>#REF!</v>
      </c>
      <c r="BG86" s="530" t="e">
        <f>+INPUT!#REF!</f>
        <v>#REF!</v>
      </c>
      <c r="BH86" s="522" t="e">
        <f>+INPUT!#REF!</f>
        <v>#REF!</v>
      </c>
      <c r="BI86" s="530" t="e">
        <f>+INPUT!#REF!</f>
        <v>#REF!</v>
      </c>
      <c r="BJ86" s="522" t="e">
        <f>+INPUT!#REF!</f>
        <v>#REF!</v>
      </c>
      <c r="BK86" s="530" t="e">
        <f>+INPUT!#REF!</f>
        <v>#REF!</v>
      </c>
      <c r="BL86" s="522" t="e">
        <f>+INPUT!#REF!</f>
        <v>#REF!</v>
      </c>
      <c r="BM86" s="530" t="e">
        <f>+INPUT!#REF!</f>
        <v>#REF!</v>
      </c>
      <c r="BN86" s="522" t="e">
        <f>+INPUT!#REF!</f>
        <v>#REF!</v>
      </c>
      <c r="BO86" s="530" t="e">
        <f>+INPUT!#REF!</f>
        <v>#REF!</v>
      </c>
      <c r="BP86" s="522" t="e">
        <f>+INPUT!#REF!</f>
        <v>#REF!</v>
      </c>
      <c r="BQ86" s="530" t="e">
        <f>+INPUT!#REF!</f>
        <v>#REF!</v>
      </c>
      <c r="BR86" s="522" t="str">
        <f>+INPUT!BA933</f>
        <v>NA</v>
      </c>
      <c r="BS86" s="530">
        <f>+INPUT!BB933</f>
        <v>32.624259805640953</v>
      </c>
      <c r="BT86" s="522" t="str">
        <f>+INPUT!BC933</f>
        <v>NA</v>
      </c>
      <c r="BU86" s="530">
        <f>+INPUT!BD933</f>
        <v>32.691288213465278</v>
      </c>
      <c r="BV86" s="522">
        <f>+INPUT!BE933</f>
        <v>0.20545571983439004</v>
      </c>
      <c r="BW86" s="530">
        <f>+INPUT!BF933</f>
        <v>35.182997551441211</v>
      </c>
      <c r="BX86" s="522">
        <f>+INPUT!BG933</f>
        <v>7.621936834381529</v>
      </c>
      <c r="BY86" s="530">
        <f>+INPUT!BH933</f>
        <v>33.05075630909429</v>
      </c>
      <c r="BZ86" s="522">
        <f>+INPUT!BI933</f>
        <v>-6.0604308635992794</v>
      </c>
      <c r="CA86" s="530">
        <f>+INPUT!BJ933</f>
        <v>27.555586685656031</v>
      </c>
      <c r="CB86" s="522">
        <f>+INPUT!BK933</f>
        <v>-16.626456508428518</v>
      </c>
      <c r="CC86" s="530">
        <f>+INPUT!BL933</f>
        <v>27.21892280038205</v>
      </c>
      <c r="CD86" s="522">
        <f>+INPUT!BM933</f>
        <v>-1.2217627195331318</v>
      </c>
      <c r="CE86" s="530">
        <f>+INPUT!BN933</f>
        <v>26.97956667496959</v>
      </c>
      <c r="CF86" s="522">
        <f>+INPUT!BO933</f>
        <v>-0.87937398246009479</v>
      </c>
      <c r="CG86" s="530">
        <f>+INPUT!BP933</f>
        <v>26.794591499799964</v>
      </c>
      <c r="CH86" s="522">
        <f>+INPUT!BQ933</f>
        <v>-0.68561210562820918</v>
      </c>
      <c r="CI86" s="530">
        <f>+INPUT!BR933</f>
        <v>26.66285857744014</v>
      </c>
      <c r="CJ86" s="522">
        <f>+INPUT!BS933</f>
        <v>-0.49163997279379146</v>
      </c>
      <c r="CK86" s="530">
        <f>+INPUT!BT933</f>
        <v>26.566369783253929</v>
      </c>
      <c r="CL86" s="522">
        <f>+INPUT!BU933</f>
        <v>-0.36188465653810908</v>
      </c>
      <c r="CM86" s="522">
        <f>+INPUT!BV933</f>
        <v>-0.72851688690048766</v>
      </c>
    </row>
    <row r="87" spans="1:91" s="475" customFormat="1" ht="12" customHeight="1" x14ac:dyDescent="0.2">
      <c r="A87" s="481" t="str">
        <f>+INPUT!B934</f>
        <v>Debt to Capital (%)</v>
      </c>
      <c r="B87" s="530">
        <f>+INPUT!C934</f>
        <v>22.586500644873652</v>
      </c>
      <c r="C87" s="522" t="str">
        <f>+INPUT!D934</f>
        <v>NA</v>
      </c>
      <c r="D87" s="530">
        <f>+INPUT!E934</f>
        <v>22.840105164506152</v>
      </c>
      <c r="E87" s="522" t="str">
        <f>+INPUT!F934</f>
        <v>NA</v>
      </c>
      <c r="F87" s="530">
        <f>+INPUT!G934</f>
        <v>22.982933793744607</v>
      </c>
      <c r="G87" s="522" t="str">
        <f>+INPUT!H934</f>
        <v>NA</v>
      </c>
      <c r="H87" s="530">
        <f>+INPUT!I934</f>
        <v>22.128946141104194</v>
      </c>
      <c r="I87" s="522" t="str">
        <f>+INPUT!J934</f>
        <v>NA</v>
      </c>
      <c r="J87" s="530">
        <f>+INPUT!K934</f>
        <v>21.061117389964199</v>
      </c>
      <c r="K87" s="522">
        <f>+INPUT!L934</f>
        <v>-6.7535174168543222</v>
      </c>
      <c r="L87" s="530">
        <f>+INPUT!M934</f>
        <v>20.474319179192342</v>
      </c>
      <c r="M87" s="522">
        <f>+INPUT!N934</f>
        <v>-10.358034554894573</v>
      </c>
      <c r="N87" s="530">
        <f>+INPUT!O934</f>
        <v>20.471172303209244</v>
      </c>
      <c r="O87" s="522">
        <f>+INPUT!P934</f>
        <v>-10.928811408833297</v>
      </c>
      <c r="P87" s="530">
        <f>+INPUT!Q934</f>
        <v>20.082867725532047</v>
      </c>
      <c r="Q87" s="522">
        <f>+INPUT!R934</f>
        <v>-9.2461629330444595</v>
      </c>
      <c r="R87" s="530">
        <f>+INPUT!S934</f>
        <v>19.605997963654314</v>
      </c>
      <c r="S87" s="522">
        <f>+INPUT!T934</f>
        <v>-6.9090324096634248</v>
      </c>
      <c r="T87" s="530">
        <f>+INPUT!U934</f>
        <v>25.640730597810663</v>
      </c>
      <c r="U87" s="522">
        <f>+INPUT!V934</f>
        <v>25.233617652443584</v>
      </c>
      <c r="V87" s="530">
        <f>+INPUT!W934</f>
        <v>26.719226081657528</v>
      </c>
      <c r="W87" s="522">
        <f>+INPUT!X934</f>
        <v>30.521230957881102</v>
      </c>
      <c r="X87" s="530">
        <f>+INPUT!Y934</f>
        <v>27.159228693237374</v>
      </c>
      <c r="Y87" s="522">
        <f>+INPUT!Z934</f>
        <v>35.23580926995254</v>
      </c>
      <c r="Z87" s="530">
        <f>+INPUT!AA934</f>
        <v>25.248449748014263</v>
      </c>
      <c r="AA87" s="522">
        <f>+INPUT!AB934</f>
        <v>28.779212335020901</v>
      </c>
      <c r="AB87" s="530">
        <f>+INPUT!AC934</f>
        <v>23.892054103422776</v>
      </c>
      <c r="AC87" s="522">
        <f>+INPUT!AD934</f>
        <v>-6.8199168027497592</v>
      </c>
      <c r="AD87" s="530">
        <f>+INPUT!AE934</f>
        <v>23.511447136267332</v>
      </c>
      <c r="AE87" s="522">
        <f>+INPUT!AF934</f>
        <v>-12.00550845143043</v>
      </c>
      <c r="AF87" s="530">
        <f>+INPUT!AG934</f>
        <v>23.701918772940228</v>
      </c>
      <c r="AG87" s="522">
        <f>+INPUT!AH934</f>
        <v>-12.729779476977612</v>
      </c>
      <c r="AH87" s="530">
        <f>+INPUT!AI934</f>
        <v>23.081771942790073</v>
      </c>
      <c r="AI87" s="522">
        <f>+INPUT!AJ934</f>
        <v>-8.581429065341311</v>
      </c>
      <c r="AJ87" s="530">
        <f>+INPUT!AK934</f>
        <v>22.102407075448667</v>
      </c>
      <c r="AK87" s="522">
        <f>+INPUT!AL934</f>
        <v>-7.490553220025248</v>
      </c>
      <c r="AL87" s="530">
        <f>+INPUT!AM934</f>
        <v>21.23488240778433</v>
      </c>
      <c r="AM87" s="522">
        <f>+INPUT!AN934</f>
        <v>-9.6827928765444256</v>
      </c>
      <c r="AN87" s="530">
        <f>+INPUT!AO934</f>
        <v>20.027758414658436</v>
      </c>
      <c r="AO87" s="522">
        <f>+INPUT!AP934</f>
        <v>-15.501531304193279</v>
      </c>
      <c r="AP87" s="530">
        <f>+INPUT!AQ934</f>
        <v>19.832704463582104</v>
      </c>
      <c r="AQ87" s="522">
        <f>+INPUT!AR934</f>
        <v>-14.076334725345305</v>
      </c>
      <c r="AR87" s="530">
        <f>+INPUT!AS934</f>
        <v>19.613972393282864</v>
      </c>
      <c r="AS87" s="522">
        <f>+INPUT!AT934</f>
        <v>-11.258659175316481</v>
      </c>
      <c r="AT87" s="530">
        <f>+INPUT!AU934</f>
        <v>19.388471333657076</v>
      </c>
      <c r="AU87" s="522">
        <f>+INPUT!AV934</f>
        <v>-8.6951791805091005</v>
      </c>
      <c r="AV87" s="530">
        <f>+INPUT!AW934</f>
        <v>19.12275457421088</v>
      </c>
      <c r="AW87" s="522">
        <f>+INPUT!AX934</f>
        <v>-4.5187475388417795</v>
      </c>
      <c r="AX87" s="490"/>
      <c r="AY87" s="521" t="e">
        <f>+INPUT!#REF!</f>
        <v>#REF!</v>
      </c>
      <c r="AZ87" s="522" t="e">
        <f>+INPUT!#REF!</f>
        <v>#REF!</v>
      </c>
      <c r="BA87" s="521" t="e">
        <f>+INPUT!#REF!</f>
        <v>#REF!</v>
      </c>
      <c r="BB87" s="522" t="e">
        <f>+INPUT!#REF!</f>
        <v>#REF!</v>
      </c>
      <c r="BC87" s="521" t="e">
        <f>+INPUT!#REF!</f>
        <v>#REF!</v>
      </c>
      <c r="BD87" s="522" t="e">
        <f>+INPUT!#REF!</f>
        <v>#REF!</v>
      </c>
      <c r="BE87" s="521" t="e">
        <f>+INPUT!#REF!</f>
        <v>#REF!</v>
      </c>
      <c r="BF87" s="522" t="e">
        <f>+INPUT!#REF!</f>
        <v>#REF!</v>
      </c>
      <c r="BG87" s="530" t="e">
        <f>+INPUT!#REF!</f>
        <v>#REF!</v>
      </c>
      <c r="BH87" s="522" t="e">
        <f>+INPUT!#REF!</f>
        <v>#REF!</v>
      </c>
      <c r="BI87" s="530" t="e">
        <f>+INPUT!#REF!</f>
        <v>#REF!</v>
      </c>
      <c r="BJ87" s="522" t="e">
        <f>+INPUT!#REF!</f>
        <v>#REF!</v>
      </c>
      <c r="BK87" s="530" t="e">
        <f>+INPUT!#REF!</f>
        <v>#REF!</v>
      </c>
      <c r="BL87" s="522" t="e">
        <f>+INPUT!#REF!</f>
        <v>#REF!</v>
      </c>
      <c r="BM87" s="530" t="e">
        <f>+INPUT!#REF!</f>
        <v>#REF!</v>
      </c>
      <c r="BN87" s="522" t="e">
        <f>+INPUT!#REF!</f>
        <v>#REF!</v>
      </c>
      <c r="BO87" s="530" t="e">
        <f>+INPUT!#REF!</f>
        <v>#REF!</v>
      </c>
      <c r="BP87" s="522" t="e">
        <f>+INPUT!#REF!</f>
        <v>#REF!</v>
      </c>
      <c r="BQ87" s="530" t="e">
        <f>+INPUT!#REF!</f>
        <v>#REF!</v>
      </c>
      <c r="BR87" s="522" t="str">
        <f>+INPUT!BA934</f>
        <v>NA</v>
      </c>
      <c r="BS87" s="530">
        <f>+INPUT!BB934</f>
        <v>25.640730597810663</v>
      </c>
      <c r="BT87" s="522" t="str">
        <f>+INPUT!BC934</f>
        <v>NA</v>
      </c>
      <c r="BU87" s="530">
        <f>+INPUT!BD934</f>
        <v>26.719226081657528</v>
      </c>
      <c r="BV87" s="522">
        <f>+INPUT!BE934</f>
        <v>4.2061807862017417</v>
      </c>
      <c r="BW87" s="530">
        <f>+INPUT!BF934</f>
        <v>27.159228693237374</v>
      </c>
      <c r="BX87" s="522">
        <f>+INPUT!BG934</f>
        <v>1.6467640575933586</v>
      </c>
      <c r="BY87" s="530">
        <f>+INPUT!BH934</f>
        <v>23.701918772940228</v>
      </c>
      <c r="BZ87" s="522">
        <f>+INPUT!BI934</f>
        <v>-12.729779476977612</v>
      </c>
      <c r="CA87" s="530">
        <f>+INPUT!BJ934</f>
        <v>20.027758414658436</v>
      </c>
      <c r="CB87" s="522">
        <f>+INPUT!BK934</f>
        <v>-15.501531304193279</v>
      </c>
      <c r="CC87" s="530">
        <f>+INPUT!BL934</f>
        <v>19.12275457421088</v>
      </c>
      <c r="CD87" s="522">
        <f>+INPUT!BM934</f>
        <v>-4.5187475388417795</v>
      </c>
      <c r="CE87" s="530">
        <f>+INPUT!BN934</f>
        <v>18.257106463414978</v>
      </c>
      <c r="CF87" s="522">
        <f>+INPUT!BO934</f>
        <v>-4.5267961131673076</v>
      </c>
      <c r="CG87" s="530">
        <f>+INPUT!BP934</f>
        <v>17.452844825117097</v>
      </c>
      <c r="CH87" s="522">
        <f>+INPUT!BQ934</f>
        <v>-4.4051977234701667</v>
      </c>
      <c r="CI87" s="530">
        <f>+INPUT!BR934</f>
        <v>16.706156592221998</v>
      </c>
      <c r="CJ87" s="522">
        <f>+INPUT!BS934</f>
        <v>-4.2783181789395712</v>
      </c>
      <c r="CK87" s="530">
        <f>+INPUT!BT934</f>
        <v>16.004717824114501</v>
      </c>
      <c r="CL87" s="522">
        <f>+INPUT!BU934</f>
        <v>-4.1986842649019138</v>
      </c>
      <c r="CM87" s="522">
        <f>+INPUT!BV934</f>
        <v>-4.3856371163123793</v>
      </c>
    </row>
    <row r="88" spans="1:91" s="475" customFormat="1" ht="12" customHeight="1" x14ac:dyDescent="0.2">
      <c r="A88" s="481" t="str">
        <f>+INPUT!B935</f>
        <v>Debt to Equity (%)</v>
      </c>
      <c r="B88" s="530">
        <f>+INPUT!C935</f>
        <v>29.176436710683284</v>
      </c>
      <c r="C88" s="522" t="str">
        <f>+INPUT!D935</f>
        <v>NA</v>
      </c>
      <c r="D88" s="530">
        <f>+INPUT!E935</f>
        <v>29.601006083797323</v>
      </c>
      <c r="E88" s="522" t="str">
        <f>+INPUT!F935</f>
        <v>NA</v>
      </c>
      <c r="F88" s="530">
        <f>+INPUT!G935</f>
        <v>29.841351957234007</v>
      </c>
      <c r="G88" s="522" t="str">
        <f>+INPUT!H935</f>
        <v>NA</v>
      </c>
      <c r="H88" s="530">
        <f>+INPUT!I935</f>
        <v>28.417422192850207</v>
      </c>
      <c r="I88" s="522" t="str">
        <f>+INPUT!J935</f>
        <v>NA</v>
      </c>
      <c r="J88" s="530">
        <f>+INPUT!K935</f>
        <v>26.680283142602551</v>
      </c>
      <c r="K88" s="522">
        <f>+INPUT!L935</f>
        <v>-8.5553749857560177</v>
      </c>
      <c r="L88" s="530">
        <f>+INPUT!M935</f>
        <v>25.745544040454536</v>
      </c>
      <c r="M88" s="522">
        <f>+INPUT!N935</f>
        <v>-13.024766902950461</v>
      </c>
      <c r="N88" s="530">
        <f>+INPUT!O935</f>
        <v>25.740568415338682</v>
      </c>
      <c r="O88" s="522">
        <f>+INPUT!P935</f>
        <v>-13.74194958650736</v>
      </c>
      <c r="P88" s="530">
        <f>+INPUT!Q935</f>
        <v>25.129615082482324</v>
      </c>
      <c r="Q88" s="522">
        <f>+INPUT!R935</f>
        <v>-11.569688088017685</v>
      </c>
      <c r="R88" s="530">
        <f>+INPUT!S935</f>
        <v>24.387388943257918</v>
      </c>
      <c r="S88" s="522">
        <f>+INPUT!T935</f>
        <v>-8.5939650156237803</v>
      </c>
      <c r="T88" s="530">
        <f>+INPUT!U935</f>
        <v>34.482225019085149</v>
      </c>
      <c r="U88" s="522">
        <f>+INPUT!V935</f>
        <v>33.934730471814731</v>
      </c>
      <c r="V88" s="530">
        <f>+INPUT!W935</f>
        <v>36.461440911406093</v>
      </c>
      <c r="W88" s="522">
        <f>+INPUT!X935</f>
        <v>41.649711549022726</v>
      </c>
      <c r="X88" s="530">
        <f>+INPUT!Y935</f>
        <v>37.285751106147167</v>
      </c>
      <c r="Y88" s="522">
        <f>+INPUT!Z935</f>
        <v>48.373745414583766</v>
      </c>
      <c r="Z88" s="530">
        <f>+INPUT!AA935</f>
        <v>33.776489802421921</v>
      </c>
      <c r="AA88" s="522">
        <f>+INPUT!AB935</f>
        <v>38.49982005457656</v>
      </c>
      <c r="AB88" s="530">
        <f>+INPUT!AC935</f>
        <v>31.392325495014141</v>
      </c>
      <c r="AC88" s="522">
        <f>+INPUT!AD935</f>
        <v>-8.9608472839580884</v>
      </c>
      <c r="AD88" s="530">
        <f>+INPUT!AE935</f>
        <v>30.738517406851575</v>
      </c>
      <c r="AE88" s="522">
        <f>+INPUT!AF935</f>
        <v>-15.69582375655439</v>
      </c>
      <c r="AF88" s="530">
        <f>+INPUT!AG935</f>
        <v>31.064894938057947</v>
      </c>
      <c r="AG88" s="522">
        <f>+INPUT!AH935</f>
        <v>-16.684272097347147</v>
      </c>
      <c r="AH88" s="530">
        <f>+INPUT!AI935</f>
        <v>30.008195099895442</v>
      </c>
      <c r="AI88" s="522">
        <f>+INPUT!AJ935</f>
        <v>-11.156561041628066</v>
      </c>
      <c r="AJ88" s="530">
        <f>+INPUT!AK935</f>
        <v>28.373671439188403</v>
      </c>
      <c r="AK88" s="522">
        <f>+INPUT!AL935</f>
        <v>-9.615898179652774</v>
      </c>
      <c r="AL88" s="530">
        <f>+INPUT!AM935</f>
        <v>26.959754593044583</v>
      </c>
      <c r="AM88" s="522">
        <f>+INPUT!AN935</f>
        <v>-12.29325007381361</v>
      </c>
      <c r="AN88" s="530">
        <f>+INPUT!AO935</f>
        <v>25.043387577533409</v>
      </c>
      <c r="AO88" s="522">
        <f>+INPUT!AP935</f>
        <v>-19.383639869155076</v>
      </c>
      <c r="AP88" s="530">
        <f>+INPUT!AQ935</f>
        <v>24.739146220259641</v>
      </c>
      <c r="AQ88" s="522">
        <f>+INPUT!AR935</f>
        <v>-17.55869975550165</v>
      </c>
      <c r="AR88" s="530">
        <f>+INPUT!AS935</f>
        <v>24.399728382204451</v>
      </c>
      <c r="AS88" s="522">
        <f>+INPUT!AT935</f>
        <v>-14.005741433571856</v>
      </c>
      <c r="AT88" s="530">
        <f>+INPUT!AU935</f>
        <v>24.05173509847133</v>
      </c>
      <c r="AU88" s="522">
        <f>+INPUT!AV935</f>
        <v>-10.786520643342584</v>
      </c>
      <c r="AV88" s="530">
        <f>+INPUT!AW935</f>
        <v>23.644171452101975</v>
      </c>
      <c r="AW88" s="522">
        <f>+INPUT!AX935</f>
        <v>-5.5871679544131609</v>
      </c>
      <c r="AX88" s="490"/>
      <c r="AY88" s="521" t="e">
        <f>+INPUT!#REF!</f>
        <v>#REF!</v>
      </c>
      <c r="AZ88" s="522" t="e">
        <f>+INPUT!#REF!</f>
        <v>#REF!</v>
      </c>
      <c r="BA88" s="521" t="e">
        <f>+INPUT!#REF!</f>
        <v>#REF!</v>
      </c>
      <c r="BB88" s="522" t="e">
        <f>+INPUT!#REF!</f>
        <v>#REF!</v>
      </c>
      <c r="BC88" s="521" t="e">
        <f>+INPUT!#REF!</f>
        <v>#REF!</v>
      </c>
      <c r="BD88" s="522" t="e">
        <f>+INPUT!#REF!</f>
        <v>#REF!</v>
      </c>
      <c r="BE88" s="521" t="e">
        <f>+INPUT!#REF!</f>
        <v>#REF!</v>
      </c>
      <c r="BF88" s="522" t="e">
        <f>+INPUT!#REF!</f>
        <v>#REF!</v>
      </c>
      <c r="BG88" s="530" t="e">
        <f>+INPUT!#REF!</f>
        <v>#REF!</v>
      </c>
      <c r="BH88" s="522" t="e">
        <f>+INPUT!#REF!</f>
        <v>#REF!</v>
      </c>
      <c r="BI88" s="530" t="e">
        <f>+INPUT!#REF!</f>
        <v>#REF!</v>
      </c>
      <c r="BJ88" s="522" t="e">
        <f>+INPUT!#REF!</f>
        <v>#REF!</v>
      </c>
      <c r="BK88" s="530" t="e">
        <f>+INPUT!#REF!</f>
        <v>#REF!</v>
      </c>
      <c r="BL88" s="522" t="e">
        <f>+INPUT!#REF!</f>
        <v>#REF!</v>
      </c>
      <c r="BM88" s="530" t="e">
        <f>+INPUT!#REF!</f>
        <v>#REF!</v>
      </c>
      <c r="BN88" s="522" t="e">
        <f>+INPUT!#REF!</f>
        <v>#REF!</v>
      </c>
      <c r="BO88" s="530" t="e">
        <f>+INPUT!#REF!</f>
        <v>#REF!</v>
      </c>
      <c r="BP88" s="522" t="e">
        <f>+INPUT!#REF!</f>
        <v>#REF!</v>
      </c>
      <c r="BQ88" s="530" t="e">
        <f>+INPUT!#REF!</f>
        <v>#REF!</v>
      </c>
      <c r="BR88" s="522" t="str">
        <f>+INPUT!BA935</f>
        <v>NA</v>
      </c>
      <c r="BS88" s="530">
        <f>+INPUT!BB935</f>
        <v>34.482225019085149</v>
      </c>
      <c r="BT88" s="522" t="str">
        <f>+INPUT!BC935</f>
        <v>NA</v>
      </c>
      <c r="BU88" s="530">
        <f>+INPUT!BD935</f>
        <v>36.461440911406093</v>
      </c>
      <c r="BV88" s="522">
        <f>+INPUT!BE935</f>
        <v>5.7398149081896293</v>
      </c>
      <c r="BW88" s="530">
        <f>+INPUT!BF935</f>
        <v>37.285751106147167</v>
      </c>
      <c r="BX88" s="522">
        <f>+INPUT!BG935</f>
        <v>2.2607724054131211</v>
      </c>
      <c r="BY88" s="530">
        <f>+INPUT!BH935</f>
        <v>31.064894938057947</v>
      </c>
      <c r="BZ88" s="522">
        <f>+INPUT!BI935</f>
        <v>-16.684272097347147</v>
      </c>
      <c r="CA88" s="530">
        <f>+INPUT!BJ935</f>
        <v>25.043387577533409</v>
      </c>
      <c r="CB88" s="522">
        <f>+INPUT!BK935</f>
        <v>-19.383639869155076</v>
      </c>
      <c r="CC88" s="530">
        <f>+INPUT!BL935</f>
        <v>23.644171452101975</v>
      </c>
      <c r="CD88" s="522">
        <f>+INPUT!BM935</f>
        <v>-5.5871679544131609</v>
      </c>
      <c r="CE88" s="530">
        <f>+INPUT!BN935</f>
        <v>22.334793489104701</v>
      </c>
      <c r="CF88" s="522">
        <f>+INPUT!BO935</f>
        <v>-5.5378466767160575</v>
      </c>
      <c r="CG88" s="530">
        <f>+INPUT!BP935</f>
        <v>21.142878622699737</v>
      </c>
      <c r="CH88" s="522">
        <f>+INPUT!BQ935</f>
        <v>-5.336583331233399</v>
      </c>
      <c r="CI88" s="530">
        <f>+INPUT!BR935</f>
        <v>20.056892452944453</v>
      </c>
      <c r="CJ88" s="522">
        <f>+INPUT!BS935</f>
        <v>-5.1364158548842624</v>
      </c>
      <c r="CK88" s="530">
        <f>+INPUT!BT935</f>
        <v>19.054305681836677</v>
      </c>
      <c r="CL88" s="522">
        <f>+INPUT!BU935</f>
        <v>-4.9987143993514849</v>
      </c>
      <c r="CM88" s="522">
        <f>+INPUT!BV935</f>
        <v>-5.3196159948408317</v>
      </c>
    </row>
    <row r="89" spans="1:91" s="475" customFormat="1" ht="12" customHeight="1" x14ac:dyDescent="0.2">
      <c r="A89" s="481" t="str">
        <f>+INPUT!B936</f>
        <v>Capital to Gen Policy Liab (%)</v>
      </c>
      <c r="B89" s="530">
        <f>+INPUT!C936</f>
        <v>18.66464971276239</v>
      </c>
      <c r="C89" s="522" t="str">
        <f>+INPUT!D936</f>
        <v>NA</v>
      </c>
      <c r="D89" s="530">
        <f>+INPUT!E936</f>
        <v>18.34780994351382</v>
      </c>
      <c r="E89" s="522" t="str">
        <f>+INPUT!F936</f>
        <v>NA</v>
      </c>
      <c r="F89" s="530">
        <f>+INPUT!G936</f>
        <v>18.297774746847264</v>
      </c>
      <c r="G89" s="522" t="str">
        <f>+INPUT!H936</f>
        <v>NA</v>
      </c>
      <c r="H89" s="530">
        <f>+INPUT!I936</f>
        <v>18.918170644144531</v>
      </c>
      <c r="I89" s="522" t="str">
        <f>+INPUT!J936</f>
        <v>NA</v>
      </c>
      <c r="J89" s="530">
        <f>+INPUT!K936</f>
        <v>19.247572889379736</v>
      </c>
      <c r="K89" s="522">
        <f>+INPUT!L936</f>
        <v>3.1231401906179883</v>
      </c>
      <c r="L89" s="530">
        <f>+INPUT!M936</f>
        <v>19.771595280744318</v>
      </c>
      <c r="M89" s="522">
        <f>+INPUT!N936</f>
        <v>7.7599743054555859</v>
      </c>
      <c r="N89" s="530">
        <f>+INPUT!O936</f>
        <v>19.909537681377415</v>
      </c>
      <c r="O89" s="522">
        <f>+INPUT!P936</f>
        <v>8.8085188326403596</v>
      </c>
      <c r="P89" s="530">
        <f>+INPUT!Q936</f>
        <v>19.228923661933578</v>
      </c>
      <c r="Q89" s="522">
        <f>+INPUT!R936</f>
        <v>1.6426166336819108</v>
      </c>
      <c r="R89" s="530">
        <f>+INPUT!S936</f>
        <v>19.63550336007561</v>
      </c>
      <c r="S89" s="522">
        <f>+INPUT!T936</f>
        <v>2.0154773431715398</v>
      </c>
      <c r="T89" s="530">
        <f>+INPUT!U936</f>
        <v>19.679444212967155</v>
      </c>
      <c r="U89" s="522">
        <f>+INPUT!V936</f>
        <v>-0.466078060311645</v>
      </c>
      <c r="V89" s="530">
        <f>+INPUT!W936</f>
        <v>19.251638031663731</v>
      </c>
      <c r="W89" s="522">
        <f>+INPUT!X936</f>
        <v>-3.3044446347393404</v>
      </c>
      <c r="X89" s="530">
        <f>+INPUT!Y936</f>
        <v>18.547374988211569</v>
      </c>
      <c r="Y89" s="522">
        <f>+INPUT!Z936</f>
        <v>-3.5443932572847672</v>
      </c>
      <c r="Z89" s="530">
        <f>+INPUT!AA936</f>
        <v>18.706517682576994</v>
      </c>
      <c r="AA89" s="522">
        <f>+INPUT!AB936</f>
        <v>-4.731152853394633</v>
      </c>
      <c r="AB89" s="530">
        <f>+INPUT!AC936</f>
        <v>18.507319324304021</v>
      </c>
      <c r="AC89" s="522">
        <f>+INPUT!AD936</f>
        <v>-5.9560873568309347</v>
      </c>
      <c r="AD89" s="530">
        <f>+INPUT!AE936</f>
        <v>18.783223707852301</v>
      </c>
      <c r="AE89" s="522">
        <f>+INPUT!AF936</f>
        <v>-2.4331141227620066</v>
      </c>
      <c r="AF89" s="530">
        <f>+INPUT!AG936</f>
        <v>17.925760892677324</v>
      </c>
      <c r="AG89" s="522">
        <f>+INPUT!AH936</f>
        <v>-3.3514936530335575</v>
      </c>
      <c r="AH89" s="530">
        <f>+INPUT!AI936</f>
        <v>18.324338318762081</v>
      </c>
      <c r="AI89" s="522">
        <f>+INPUT!AJ936</f>
        <v>-2.0430278382110032</v>
      </c>
      <c r="AJ89" s="530">
        <f>+INPUT!AK936</f>
        <v>18.748618723118227</v>
      </c>
      <c r="AK89" s="522">
        <f>+INPUT!AL936</f>
        <v>1.3038052382731138</v>
      </c>
      <c r="AL89" s="530">
        <f>+INPUT!AM936</f>
        <v>19.373138922702566</v>
      </c>
      <c r="AM89" s="522">
        <f>+INPUT!AN936</f>
        <v>3.1406494647862502</v>
      </c>
      <c r="AN89" s="530">
        <f>+INPUT!AO936</f>
        <v>20.441392190714396</v>
      </c>
      <c r="AO89" s="522">
        <f>+INPUT!AP936</f>
        <v>14.033609580638256</v>
      </c>
      <c r="AP89" s="530">
        <f>+INPUT!AQ936</f>
        <v>20.254520995577106</v>
      </c>
      <c r="AQ89" s="522">
        <f>+INPUT!AR936</f>
        <v>10.533437241980707</v>
      </c>
      <c r="AR89" s="530">
        <f>+INPUT!AS936</f>
        <v>20.100459732593674</v>
      </c>
      <c r="AS89" s="522">
        <f>+INPUT!AT936</f>
        <v>7.2103498899817282</v>
      </c>
      <c r="AT89" s="530">
        <f>+INPUT!AU936</f>
        <v>19.958480238581821</v>
      </c>
      <c r="AU89" s="522">
        <f>+INPUT!AV936</f>
        <v>3.0214066920942741</v>
      </c>
      <c r="AV89" s="530">
        <f>+INPUT!AW936</f>
        <v>19.870267033197987</v>
      </c>
      <c r="AW89" s="522">
        <f>+INPUT!AX936</f>
        <v>-2.7939640910360595</v>
      </c>
      <c r="AX89" s="490"/>
      <c r="AY89" s="521" t="e">
        <f>+INPUT!#REF!</f>
        <v>#REF!</v>
      </c>
      <c r="AZ89" s="522" t="e">
        <f>+INPUT!#REF!</f>
        <v>#REF!</v>
      </c>
      <c r="BA89" s="521" t="e">
        <f>+INPUT!#REF!</f>
        <v>#REF!</v>
      </c>
      <c r="BB89" s="522" t="e">
        <f>+INPUT!#REF!</f>
        <v>#REF!</v>
      </c>
      <c r="BC89" s="521" t="e">
        <f>+INPUT!#REF!</f>
        <v>#REF!</v>
      </c>
      <c r="BD89" s="522" t="e">
        <f>+INPUT!#REF!</f>
        <v>#REF!</v>
      </c>
      <c r="BE89" s="521" t="e">
        <f>+INPUT!#REF!</f>
        <v>#REF!</v>
      </c>
      <c r="BF89" s="522" t="e">
        <f>+INPUT!#REF!</f>
        <v>#REF!</v>
      </c>
      <c r="BG89" s="530" t="e">
        <f>+INPUT!#REF!</f>
        <v>#REF!</v>
      </c>
      <c r="BH89" s="522" t="e">
        <f>+INPUT!#REF!</f>
        <v>#REF!</v>
      </c>
      <c r="BI89" s="530" t="e">
        <f>+INPUT!#REF!</f>
        <v>#REF!</v>
      </c>
      <c r="BJ89" s="522" t="e">
        <f>+INPUT!#REF!</f>
        <v>#REF!</v>
      </c>
      <c r="BK89" s="530" t="e">
        <f>+INPUT!#REF!</f>
        <v>#REF!</v>
      </c>
      <c r="BL89" s="522" t="e">
        <f>+INPUT!#REF!</f>
        <v>#REF!</v>
      </c>
      <c r="BM89" s="530" t="e">
        <f>+INPUT!#REF!</f>
        <v>#REF!</v>
      </c>
      <c r="BN89" s="522" t="e">
        <f>+INPUT!#REF!</f>
        <v>#REF!</v>
      </c>
      <c r="BO89" s="530" t="e">
        <f>+INPUT!#REF!</f>
        <v>#REF!</v>
      </c>
      <c r="BP89" s="522" t="e">
        <f>+INPUT!#REF!</f>
        <v>#REF!</v>
      </c>
      <c r="BQ89" s="530" t="e">
        <f>+INPUT!#REF!</f>
        <v>#REF!</v>
      </c>
      <c r="BR89" s="522" t="str">
        <f>+INPUT!BA936</f>
        <v>NA</v>
      </c>
      <c r="BS89" s="530">
        <f>+INPUT!BB936</f>
        <v>19.679444212967155</v>
      </c>
      <c r="BT89" s="522" t="str">
        <f>+INPUT!BC936</f>
        <v>NA</v>
      </c>
      <c r="BU89" s="530">
        <f>+INPUT!BD936</f>
        <v>19.251638031663731</v>
      </c>
      <c r="BV89" s="522">
        <f>+INPUT!BE936</f>
        <v>-2.1738732896812962</v>
      </c>
      <c r="BW89" s="530">
        <f>+INPUT!BF936</f>
        <v>18.547374988211569</v>
      </c>
      <c r="BX89" s="522">
        <f>+INPUT!BG936</f>
        <v>-3.6581980312212323</v>
      </c>
      <c r="BY89" s="530">
        <f>+INPUT!BH936</f>
        <v>17.925760892677324</v>
      </c>
      <c r="BZ89" s="522">
        <f>+INPUT!BI936</f>
        <v>-3.3514936530335575</v>
      </c>
      <c r="CA89" s="530">
        <f>+INPUT!BJ936</f>
        <v>20.441392190714396</v>
      </c>
      <c r="CB89" s="522">
        <f>+INPUT!BK936</f>
        <v>14.033609580638256</v>
      </c>
      <c r="CC89" s="530">
        <f>+INPUT!BL936</f>
        <v>19.870267033197987</v>
      </c>
      <c r="CD89" s="522">
        <f>+INPUT!BM936</f>
        <v>-2.7939640910360595</v>
      </c>
      <c r="CE89" s="530">
        <f>+INPUT!BN936</f>
        <v>19.318760895460624</v>
      </c>
      <c r="CF89" s="522">
        <f>+INPUT!BO936</f>
        <v>-2.7755346056293178</v>
      </c>
      <c r="CG89" s="530">
        <f>+INPUT!BP936</f>
        <v>18.748013018435795</v>
      </c>
      <c r="CH89" s="522">
        <f>+INPUT!BQ936</f>
        <v>-2.9543710391847071</v>
      </c>
      <c r="CI89" s="530">
        <f>+INPUT!BR936</f>
        <v>18.160355828622126</v>
      </c>
      <c r="CJ89" s="522">
        <f>+INPUT!BS936</f>
        <v>-3.1345038497455562</v>
      </c>
      <c r="CK89" s="530">
        <f>+INPUT!BT936</f>
        <v>17.569493332235293</v>
      </c>
      <c r="CL89" s="522">
        <f>+INPUT!BU936</f>
        <v>-3.2535843568416709</v>
      </c>
      <c r="CM89" s="522">
        <f>+INPUT!BV936</f>
        <v>-2.9825728114165173</v>
      </c>
    </row>
    <row r="90" spans="1:91" s="475" customFormat="1" ht="12" customHeight="1" x14ac:dyDescent="0.2">
      <c r="A90" s="481" t="str">
        <f>+INPUT!B937</f>
        <v>Equity to Assets (%)</v>
      </c>
      <c r="B90" s="530">
        <f>+INPUT!C937</f>
        <v>4.8433251362677074</v>
      </c>
      <c r="C90" s="522" t="str">
        <f>+INPUT!D937</f>
        <v>NA</v>
      </c>
      <c r="D90" s="530">
        <f>+INPUT!E937</f>
        <v>4.7342487279448093</v>
      </c>
      <c r="E90" s="522" t="str">
        <f>+INPUT!F937</f>
        <v>NA</v>
      </c>
      <c r="F90" s="530">
        <f>+INPUT!G937</f>
        <v>4.6003865387723772</v>
      </c>
      <c r="G90" s="522" t="str">
        <f>+INPUT!H937</f>
        <v>NA</v>
      </c>
      <c r="H90" s="530">
        <f>+INPUT!I937</f>
        <v>4.6515850318504999</v>
      </c>
      <c r="I90" s="522" t="str">
        <f>+INPUT!J937</f>
        <v>NA</v>
      </c>
      <c r="J90" s="530">
        <f>+INPUT!K937</f>
        <v>4.7292559112739525</v>
      </c>
      <c r="K90" s="522">
        <f>+INPUT!L937</f>
        <v>-2.3551841304145285</v>
      </c>
      <c r="L90" s="530">
        <f>+INPUT!M937</f>
        <v>4.7644239731809348</v>
      </c>
      <c r="M90" s="522">
        <f>+INPUT!N937</f>
        <v>0.63738191569891001</v>
      </c>
      <c r="N90" s="530">
        <f>+INPUT!O937</f>
        <v>4.7667805794953217</v>
      </c>
      <c r="O90" s="522">
        <f>+INPUT!P937</f>
        <v>3.6169578212735871</v>
      </c>
      <c r="P90" s="530">
        <f>+INPUT!Q937</f>
        <v>4.6483816931173463</v>
      </c>
      <c r="Q90" s="522">
        <f>+INPUT!R937</f>
        <v>-6.8865531022638038E-2</v>
      </c>
      <c r="R90" s="530">
        <f>+INPUT!S937</f>
        <v>4.6844219800094296</v>
      </c>
      <c r="S90" s="522">
        <f>+INPUT!T937</f>
        <v>-0.94801237458189291</v>
      </c>
      <c r="T90" s="530">
        <f>+INPUT!U937</f>
        <v>4.3610786306967135</v>
      </c>
      <c r="U90" s="522">
        <f>+INPUT!V937</f>
        <v>-8.4657735070317557</v>
      </c>
      <c r="V90" s="530">
        <f>+INPUT!W937</f>
        <v>4.4669663743572547</v>
      </c>
      <c r="W90" s="522">
        <f>+INPUT!X937</f>
        <v>-6.2896581904302735</v>
      </c>
      <c r="X90" s="530">
        <f>+INPUT!Y937</f>
        <v>4.2579791381154433</v>
      </c>
      <c r="Y90" s="522">
        <f>+INPUT!Z937</f>
        <v>-8.3986768035842374</v>
      </c>
      <c r="Z90" s="530">
        <f>+INPUT!AA937</f>
        <v>4.6153421887208719</v>
      </c>
      <c r="AA90" s="522">
        <f>+INPUT!AB937</f>
        <v>-1.4746705481135791</v>
      </c>
      <c r="AB90" s="530">
        <f>+INPUT!AC937</f>
        <v>4.7068195246245423</v>
      </c>
      <c r="AC90" s="522">
        <f>+INPUT!AD937</f>
        <v>7.927875720796024</v>
      </c>
      <c r="AD90" s="530">
        <f>+INPUT!AE937</f>
        <v>4.6858151927614822</v>
      </c>
      <c r="AE90" s="522">
        <f>+INPUT!AF937</f>
        <v>4.8992716770946743</v>
      </c>
      <c r="AF90" s="530">
        <f>+INPUT!AG937</f>
        <v>4.4853765750656871</v>
      </c>
      <c r="AG90" s="522">
        <f>+INPUT!AH937</f>
        <v>5.3405014344642439</v>
      </c>
      <c r="AH90" s="530">
        <f>+INPUT!AI937</f>
        <v>4.5079746577436559</v>
      </c>
      <c r="AI90" s="522">
        <f>+INPUT!AJ937</f>
        <v>-2.3263178890528309</v>
      </c>
      <c r="AJ90" s="530">
        <f>+INPUT!AK937</f>
        <v>4.6503929355300917</v>
      </c>
      <c r="AK90" s="522">
        <f>+INPUT!AL937</f>
        <v>-1.1988262732243129</v>
      </c>
      <c r="AL90" s="530">
        <f>+INPUT!AM937</f>
        <v>4.8385535482080684</v>
      </c>
      <c r="AM90" s="522">
        <f>+INPUT!AN937</f>
        <v>3.2595898293755283</v>
      </c>
      <c r="AN90" s="530">
        <f>+INPUT!AO937</f>
        <v>5.059950886268159</v>
      </c>
      <c r="AO90" s="522">
        <f>+INPUT!AP937</f>
        <v>12.809945867121698</v>
      </c>
      <c r="AP90" s="530">
        <f>+INPUT!AQ937</f>
        <v>5.098939639515562</v>
      </c>
      <c r="AQ90" s="522">
        <f>+INPUT!AR937</f>
        <v>13.109323513093955</v>
      </c>
      <c r="AR90" s="530">
        <f>+INPUT!AS937</f>
        <v>5.0962355803183108</v>
      </c>
      <c r="AS90" s="522">
        <f>+INPUT!AT937</f>
        <v>9.5872037259878908</v>
      </c>
      <c r="AT90" s="530">
        <f>+INPUT!AU937</f>
        <v>5.0971578093094356</v>
      </c>
      <c r="AU90" s="522">
        <f>+INPUT!AV937</f>
        <v>5.3446605173387098</v>
      </c>
      <c r="AV90" s="530">
        <f>+INPUT!AW937</f>
        <v>5.1158711519540381</v>
      </c>
      <c r="AW90" s="522">
        <f>+INPUT!AX937</f>
        <v>1.1051543175574494</v>
      </c>
      <c r="AX90" s="495"/>
      <c r="AY90" s="552" t="e">
        <f>+INPUT!#REF!</f>
        <v>#REF!</v>
      </c>
      <c r="AZ90" s="522" t="e">
        <f>+INPUT!#REF!</f>
        <v>#REF!</v>
      </c>
      <c r="BA90" s="552" t="e">
        <f>+INPUT!#REF!</f>
        <v>#REF!</v>
      </c>
      <c r="BB90" s="522" t="e">
        <f>+INPUT!#REF!</f>
        <v>#REF!</v>
      </c>
      <c r="BC90" s="552" t="e">
        <f>+INPUT!#REF!</f>
        <v>#REF!</v>
      </c>
      <c r="BD90" s="522" t="e">
        <f>+INPUT!#REF!</f>
        <v>#REF!</v>
      </c>
      <c r="BE90" s="552" t="e">
        <f>+INPUT!#REF!</f>
        <v>#REF!</v>
      </c>
      <c r="BF90" s="522" t="e">
        <f>+INPUT!#REF!</f>
        <v>#REF!</v>
      </c>
      <c r="BG90" s="530" t="e">
        <f>+INPUT!#REF!</f>
        <v>#REF!</v>
      </c>
      <c r="BH90" s="522" t="e">
        <f>+INPUT!#REF!</f>
        <v>#REF!</v>
      </c>
      <c r="BI90" s="530" t="e">
        <f>+INPUT!#REF!</f>
        <v>#REF!</v>
      </c>
      <c r="BJ90" s="522" t="e">
        <f>+INPUT!#REF!</f>
        <v>#REF!</v>
      </c>
      <c r="BK90" s="530" t="e">
        <f>+INPUT!#REF!</f>
        <v>#REF!</v>
      </c>
      <c r="BL90" s="522" t="e">
        <f>+INPUT!#REF!</f>
        <v>#REF!</v>
      </c>
      <c r="BM90" s="530" t="e">
        <f>+INPUT!#REF!</f>
        <v>#REF!</v>
      </c>
      <c r="BN90" s="522" t="e">
        <f>+INPUT!#REF!</f>
        <v>#REF!</v>
      </c>
      <c r="BO90" s="530" t="e">
        <f>+INPUT!#REF!</f>
        <v>#REF!</v>
      </c>
      <c r="BP90" s="522" t="e">
        <f>+INPUT!#REF!</f>
        <v>#REF!</v>
      </c>
      <c r="BQ90" s="530" t="e">
        <f>+INPUT!#REF!</f>
        <v>#REF!</v>
      </c>
      <c r="BR90" s="522" t="str">
        <f>+INPUT!BA937</f>
        <v>NA</v>
      </c>
      <c r="BS90" s="530">
        <f>+INPUT!BB937</f>
        <v>4.3610786306967135</v>
      </c>
      <c r="BT90" s="522" t="str">
        <f>+INPUT!BC937</f>
        <v>NA</v>
      </c>
      <c r="BU90" s="530">
        <f>+INPUT!BD937</f>
        <v>4.4669663743572547</v>
      </c>
      <c r="BV90" s="522">
        <f>+INPUT!BE937</f>
        <v>2.4280173009314723</v>
      </c>
      <c r="BW90" s="530">
        <f>+INPUT!BF937</f>
        <v>4.2579791381154433</v>
      </c>
      <c r="BX90" s="522">
        <f>+INPUT!BG937</f>
        <v>-4.6785048000698737</v>
      </c>
      <c r="BY90" s="530">
        <f>+INPUT!BH937</f>
        <v>4.4853765750656871</v>
      </c>
      <c r="BZ90" s="522">
        <f>+INPUT!BI937</f>
        <v>5.3405014344642439</v>
      </c>
      <c r="CA90" s="530">
        <f>+INPUT!BJ937</f>
        <v>5.059950886268159</v>
      </c>
      <c r="CB90" s="522">
        <f>+INPUT!BK937</f>
        <v>12.809945867121698</v>
      </c>
      <c r="CC90" s="530">
        <f>+INPUT!BL937</f>
        <v>5.1158711519540381</v>
      </c>
      <c r="CD90" s="522">
        <f>+INPUT!BM937</f>
        <v>1.1051543175574494</v>
      </c>
      <c r="CE90" s="530">
        <f>+INPUT!BN937</f>
        <v>5.2757632047157976</v>
      </c>
      <c r="CF90" s="522">
        <f>+INPUT!BO937</f>
        <v>3.1254120366320848</v>
      </c>
      <c r="CG90" s="530">
        <f>+INPUT!BP937</f>
        <v>5.4385507293574804</v>
      </c>
      <c r="CH90" s="522">
        <f>+INPUT!BQ937</f>
        <v>3.0855729934234688</v>
      </c>
      <c r="CI90" s="530">
        <f>+INPUT!BR937</f>
        <v>5.6032280508872754</v>
      </c>
      <c r="CJ90" s="522">
        <f>+INPUT!BS937</f>
        <v>3.0279633256128591</v>
      </c>
      <c r="CK90" s="530">
        <f>+INPUT!BT937</f>
        <v>5.7728625918601653</v>
      </c>
      <c r="CL90" s="522">
        <f>+INPUT!BU937</f>
        <v>3.0274430994474528</v>
      </c>
      <c r="CM90" s="522">
        <f>+INPUT!BV937</f>
        <v>2.6712817472644756</v>
      </c>
    </row>
    <row r="91" spans="1:91" s="475" customFormat="1" ht="12" customHeight="1" x14ac:dyDescent="0.2">
      <c r="A91" s="481" t="str">
        <f>+INPUT!B938</f>
        <v>Equity to Gen Policy Liab (%)</v>
      </c>
      <c r="B91" s="530">
        <f>+INPUT!C938</f>
        <v>14.448958485025903</v>
      </c>
      <c r="C91" s="522" t="str">
        <f>+INPUT!D938</f>
        <v>NA</v>
      </c>
      <c r="D91" s="530">
        <f>+INPUT!E938</f>
        <v>14.157150857031548</v>
      </c>
      <c r="E91" s="522" t="str">
        <f>+INPUT!F938</f>
        <v>NA</v>
      </c>
      <c r="F91" s="530">
        <f>+INPUT!G938</f>
        <v>14.092409291050837</v>
      </c>
      <c r="G91" s="522" t="str">
        <f>+INPUT!H938</f>
        <v>NA</v>
      </c>
      <c r="H91" s="530">
        <f>+INPUT!I938</f>
        <v>14.731778851419605</v>
      </c>
      <c r="I91" s="522" t="str">
        <f>+INPUT!J938</f>
        <v>NA</v>
      </c>
      <c r="J91" s="530">
        <f>+INPUT!K938</f>
        <v>15.193818968428543</v>
      </c>
      <c r="K91" s="522">
        <f>+INPUT!L938</f>
        <v>5.1551153958575782</v>
      </c>
      <c r="L91" s="530">
        <f>+INPUT!M938</f>
        <v>15.723495756146594</v>
      </c>
      <c r="M91" s="522">
        <f>+INPUT!N938</f>
        <v>11.063983953643302</v>
      </c>
      <c r="N91" s="530">
        <f>+INPUT!O938</f>
        <v>15.833821917850271</v>
      </c>
      <c r="O91" s="522">
        <f>+INPUT!P938</f>
        <v>12.357096581812257</v>
      </c>
      <c r="P91" s="530">
        <f>+INPUT!Q938</f>
        <v>15.367204357863923</v>
      </c>
      <c r="Q91" s="522">
        <f>+INPUT!R938</f>
        <v>4.3132978905876342</v>
      </c>
      <c r="R91" s="530">
        <f>+INPUT!S938</f>
        <v>15.785766971145913</v>
      </c>
      <c r="S91" s="522">
        <f>+INPUT!T938</f>
        <v>3.8959790421841092</v>
      </c>
      <c r="T91" s="530">
        <f>+INPUT!U938</f>
        <v>14.633490939173804</v>
      </c>
      <c r="U91" s="522">
        <f>+INPUT!V938</f>
        <v>-6.9323312950091776</v>
      </c>
      <c r="V91" s="530">
        <f>+INPUT!W938</f>
        <v>14.107749341561135</v>
      </c>
      <c r="W91" s="522">
        <f>+INPUT!X938</f>
        <v>-10.901174620028073</v>
      </c>
      <c r="X91" s="530">
        <f>+INPUT!Y938</f>
        <v>13.510050998570881</v>
      </c>
      <c r="Y91" s="522">
        <f>+INPUT!Z938</f>
        <v>-12.085173828918812</v>
      </c>
      <c r="Z91" s="530">
        <f>+INPUT!AA938</f>
        <v>13.983411965888143</v>
      </c>
      <c r="AA91" s="522">
        <f>+INPUT!AB938</f>
        <v>-11.417595410804012</v>
      </c>
      <c r="AB91" s="530">
        <f>+INPUT!AC938</f>
        <v>14.085540578248088</v>
      </c>
      <c r="AC91" s="522">
        <f>+INPUT!AD938</f>
        <v>-3.744495166623949</v>
      </c>
      <c r="AD91" s="530">
        <f>+INPUT!AE938</f>
        <v>14.367015995293771</v>
      </c>
      <c r="AE91" s="522">
        <f>+INPUT!AF938</f>
        <v>1.8377605630463165</v>
      </c>
      <c r="AF91" s="530">
        <f>+INPUT!AG938</f>
        <v>13.677011606463459</v>
      </c>
      <c r="AG91" s="522">
        <f>+INPUT!AH938</f>
        <v>1.2358251490704077</v>
      </c>
      <c r="AH91" s="530">
        <f>+INPUT!AI938</f>
        <v>14.094756338000124</v>
      </c>
      <c r="AI91" s="522">
        <f>+INPUT!AJ938</f>
        <v>0.79626040042015234</v>
      </c>
      <c r="AJ91" s="530">
        <f>+INPUT!AK938</f>
        <v>14.604722691910849</v>
      </c>
      <c r="AK91" s="522">
        <f>+INPUT!AL938</f>
        <v>3.6859225301194272</v>
      </c>
      <c r="AL91" s="530">
        <f>+INPUT!AM938</f>
        <v>15.259275653769979</v>
      </c>
      <c r="AM91" s="522">
        <f>+INPUT!AN938</f>
        <v>6.2104730639158845</v>
      </c>
      <c r="AN91" s="530">
        <f>+INPUT!AO938</f>
        <v>16.347439546165262</v>
      </c>
      <c r="AO91" s="522">
        <f>+INPUT!AP938</f>
        <v>19.524937292879201</v>
      </c>
      <c r="AP91" s="530">
        <f>+INPUT!AQ938</f>
        <v>16.237501706010114</v>
      </c>
      <c r="AQ91" s="522">
        <f>+INPUT!AR938</f>
        <v>15.202429305095876</v>
      </c>
      <c r="AR91" s="530">
        <f>+INPUT!AS938</f>
        <v>16.15796110971981</v>
      </c>
      <c r="AS91" s="522">
        <f>+INPUT!AT938</f>
        <v>10.635179116884274</v>
      </c>
      <c r="AT91" s="530">
        <f>+INPUT!AU938</f>
        <v>16.08883601889077</v>
      </c>
      <c r="AU91" s="522">
        <f>+INPUT!AV938</f>
        <v>5.4364334450950196</v>
      </c>
      <c r="AV91" s="530">
        <f>+INPUT!AW938</f>
        <v>16.070524635199202</v>
      </c>
      <c r="AW91" s="522">
        <f>+INPUT!AX938</f>
        <v>-1.6939344548976578</v>
      </c>
      <c r="AX91" s="490"/>
      <c r="AY91" s="521" t="e">
        <f>+INPUT!#REF!</f>
        <v>#REF!</v>
      </c>
      <c r="AZ91" s="522" t="e">
        <f>+INPUT!#REF!</f>
        <v>#REF!</v>
      </c>
      <c r="BA91" s="521" t="e">
        <f>+INPUT!#REF!</f>
        <v>#REF!</v>
      </c>
      <c r="BB91" s="522" t="e">
        <f>+INPUT!#REF!</f>
        <v>#REF!</v>
      </c>
      <c r="BC91" s="521" t="e">
        <f>+INPUT!#REF!</f>
        <v>#REF!</v>
      </c>
      <c r="BD91" s="522" t="e">
        <f>+INPUT!#REF!</f>
        <v>#REF!</v>
      </c>
      <c r="BE91" s="521" t="e">
        <f>+INPUT!#REF!</f>
        <v>#REF!</v>
      </c>
      <c r="BF91" s="522" t="e">
        <f>+INPUT!#REF!</f>
        <v>#REF!</v>
      </c>
      <c r="BG91" s="530" t="e">
        <f>+INPUT!#REF!</f>
        <v>#REF!</v>
      </c>
      <c r="BH91" s="522" t="e">
        <f>+INPUT!#REF!</f>
        <v>#REF!</v>
      </c>
      <c r="BI91" s="530" t="e">
        <f>+INPUT!#REF!</f>
        <v>#REF!</v>
      </c>
      <c r="BJ91" s="522" t="e">
        <f>+INPUT!#REF!</f>
        <v>#REF!</v>
      </c>
      <c r="BK91" s="530" t="e">
        <f>+INPUT!#REF!</f>
        <v>#REF!</v>
      </c>
      <c r="BL91" s="522" t="e">
        <f>+INPUT!#REF!</f>
        <v>#REF!</v>
      </c>
      <c r="BM91" s="530" t="e">
        <f>+INPUT!#REF!</f>
        <v>#REF!</v>
      </c>
      <c r="BN91" s="522" t="e">
        <f>+INPUT!#REF!</f>
        <v>#REF!</v>
      </c>
      <c r="BO91" s="530" t="e">
        <f>+INPUT!#REF!</f>
        <v>#REF!</v>
      </c>
      <c r="BP91" s="522" t="e">
        <f>+INPUT!#REF!</f>
        <v>#REF!</v>
      </c>
      <c r="BQ91" s="530" t="e">
        <f>+INPUT!#REF!</f>
        <v>#REF!</v>
      </c>
      <c r="BR91" s="522" t="str">
        <f>+INPUT!BA938</f>
        <v>NA</v>
      </c>
      <c r="BS91" s="530">
        <f>+INPUT!BB938</f>
        <v>14.633490939173804</v>
      </c>
      <c r="BT91" s="522" t="str">
        <f>+INPUT!BC938</f>
        <v>NA</v>
      </c>
      <c r="BU91" s="530">
        <f>+INPUT!BD938</f>
        <v>14.107749341561135</v>
      </c>
      <c r="BV91" s="522">
        <f>+INPUT!BE938</f>
        <v>-3.5927284869891167</v>
      </c>
      <c r="BW91" s="530">
        <f>+INPUT!BF938</f>
        <v>13.510050998570881</v>
      </c>
      <c r="BX91" s="522">
        <f>+INPUT!BG938</f>
        <v>-4.2366668737829514</v>
      </c>
      <c r="BY91" s="530">
        <f>+INPUT!BH938</f>
        <v>13.677011606463459</v>
      </c>
      <c r="BZ91" s="522">
        <f>+INPUT!BI938</f>
        <v>1.2358251490704077</v>
      </c>
      <c r="CA91" s="530">
        <f>+INPUT!BJ938</f>
        <v>16.347439546165262</v>
      </c>
      <c r="CB91" s="522">
        <f>+INPUT!BK938</f>
        <v>19.524937292879201</v>
      </c>
      <c r="CC91" s="530">
        <f>+INPUT!BL938</f>
        <v>16.070524635199202</v>
      </c>
      <c r="CD91" s="522">
        <f>+INPUT!BM938</f>
        <v>-1.6939344548976578</v>
      </c>
      <c r="CE91" s="530">
        <f>+INPUT!BN938</f>
        <v>15.791714151363795</v>
      </c>
      <c r="CF91" s="522">
        <f>+INPUT!BO938</f>
        <v>-1.7349183686556842</v>
      </c>
      <c r="CG91" s="530">
        <f>+INPUT!BP938</f>
        <v>15.475951398535445</v>
      </c>
      <c r="CH91" s="522">
        <f>+INPUT!BQ938</f>
        <v>-1.9995470396801664</v>
      </c>
      <c r="CI91" s="530">
        <f>+INPUT!BR938</f>
        <v>15.1264583461878</v>
      </c>
      <c r="CJ91" s="522">
        <f>+INPUT!BS938</f>
        <v>-2.2582976861811517</v>
      </c>
      <c r="CK91" s="530">
        <f>+INPUT!BT938</f>
        <v>14.757545501284422</v>
      </c>
      <c r="CL91" s="522">
        <f>+INPUT!BU938</f>
        <v>-2.438858035769826</v>
      </c>
      <c r="CM91" s="522">
        <f>+INPUT!BV938</f>
        <v>-2.0255400659813905</v>
      </c>
    </row>
    <row r="92" spans="1:91" s="475" customFormat="1" ht="12" customHeight="1" x14ac:dyDescent="0.2">
      <c r="A92" s="481" t="str">
        <f>+INPUT!B939</f>
        <v>Return on Average Assets (%)</v>
      </c>
      <c r="B92" s="530" t="e">
        <f>+INPUT!C939</f>
        <v>#REF!</v>
      </c>
      <c r="C92" s="522" t="str">
        <f>+INPUT!D939</f>
        <v>NA</v>
      </c>
      <c r="D92" s="530">
        <f>+INPUT!E939</f>
        <v>0.4476489369092892</v>
      </c>
      <c r="E92" s="522" t="str">
        <f>+INPUT!F939</f>
        <v>NA</v>
      </c>
      <c r="F92" s="530">
        <f>+INPUT!G939</f>
        <v>0.49362117186811355</v>
      </c>
      <c r="G92" s="522" t="str">
        <f>+INPUT!H939</f>
        <v>NA</v>
      </c>
      <c r="H92" s="530">
        <f>+INPUT!I939</f>
        <v>0.45554929896349844</v>
      </c>
      <c r="I92" s="522" t="str">
        <f>+INPUT!J939</f>
        <v>NA</v>
      </c>
      <c r="J92" s="530">
        <f>+INPUT!K939</f>
        <v>0.56005777980296401</v>
      </c>
      <c r="K92" s="522" t="str">
        <f>+INPUT!L939</f>
        <v>NA</v>
      </c>
      <c r="L92" s="530">
        <f>+INPUT!M939</f>
        <v>0.57031609052231336</v>
      </c>
      <c r="M92" s="522">
        <f>+INPUT!N939</f>
        <v>27.402534329681913</v>
      </c>
      <c r="N92" s="530">
        <f>+INPUT!O939</f>
        <v>0.49385614343103229</v>
      </c>
      <c r="O92" s="522">
        <f>+INPUT!P939</f>
        <v>4.760159740099823E-2</v>
      </c>
      <c r="P92" s="530">
        <f>+INPUT!Q939</f>
        <v>0.50263992999609974</v>
      </c>
      <c r="Q92" s="522">
        <f>+INPUT!R939</f>
        <v>10.337109757329358</v>
      </c>
      <c r="R92" s="530">
        <f>+INPUT!S939</f>
        <v>0.76209924086388225</v>
      </c>
      <c r="S92" s="522">
        <f>+INPUT!T939</f>
        <v>36.075110166668736</v>
      </c>
      <c r="T92" s="530">
        <f>+INPUT!U939</f>
        <v>0.43076103976497343</v>
      </c>
      <c r="U92" s="522">
        <f>+INPUT!V939</f>
        <v>-24.469772653535173</v>
      </c>
      <c r="V92" s="530">
        <f>+INPUT!W939</f>
        <v>0.55425043774953675</v>
      </c>
      <c r="W92" s="522">
        <f>+INPUT!X939</f>
        <v>12.229126866564656</v>
      </c>
      <c r="X92" s="530">
        <f>+INPUT!Y939</f>
        <v>0.4674101886113462</v>
      </c>
      <c r="Y92" s="522">
        <f>+INPUT!Z939</f>
        <v>-7.0089420442635486</v>
      </c>
      <c r="Z92" s="530">
        <f>+INPUT!AA939</f>
        <v>0.67483328019174049</v>
      </c>
      <c r="AA92" s="522">
        <f>+INPUT!AB939</f>
        <v>-11.450734496628144</v>
      </c>
      <c r="AB92" s="530">
        <f>+INPUT!AC939</f>
        <v>0.58514329701832002</v>
      </c>
      <c r="AC92" s="522">
        <f>+INPUT!AD939</f>
        <v>35.839419771476713</v>
      </c>
      <c r="AD92" s="530">
        <f>+INPUT!AE939</f>
        <v>0.54375225221847656</v>
      </c>
      <c r="AE92" s="522">
        <f>+INPUT!AF939</f>
        <v>-1.8941230923852288</v>
      </c>
      <c r="AF92" s="530">
        <f>+INPUT!AG939</f>
        <v>0.55499573608818331</v>
      </c>
      <c r="AG92" s="522">
        <f>+INPUT!AH939</f>
        <v>18.738476312861224</v>
      </c>
      <c r="AH92" s="530">
        <f>+INPUT!AI939</f>
        <v>0.60218726530996181</v>
      </c>
      <c r="AI92" s="522">
        <f>+INPUT!AJ939</f>
        <v>-10.765031455048842</v>
      </c>
      <c r="AJ92" s="530">
        <f>+INPUT!AK939</f>
        <v>0.52055093462649726</v>
      </c>
      <c r="AK92" s="522">
        <f>+INPUT!AL939</f>
        <v>-11.038725508941525</v>
      </c>
      <c r="AL92" s="530">
        <f>+INPUT!AM939</f>
        <v>1.3279586139780264</v>
      </c>
      <c r="AM92" s="522" t="str">
        <f>+INPUT!AN939</f>
        <v>NM</v>
      </c>
      <c r="AN92" s="530">
        <f>+INPUT!AO939</f>
        <v>1.3418486044726694</v>
      </c>
      <c r="AO92" s="522" t="str">
        <f>+INPUT!AP939</f>
        <v>NM</v>
      </c>
      <c r="AP92" s="530">
        <f>+INPUT!AQ939</f>
        <v>0.60558182135047767</v>
      </c>
      <c r="AQ92" s="522">
        <f>+INPUT!AR939</f>
        <v>0.56370438832986736</v>
      </c>
      <c r="AR92" s="530">
        <f>+INPUT!AS939</f>
        <v>0.61091042214955737</v>
      </c>
      <c r="AS92" s="522">
        <f>+INPUT!AT939</f>
        <v>17.358433442808874</v>
      </c>
      <c r="AT92" s="530">
        <f>+INPUT!AU939</f>
        <v>0.62494180218765261</v>
      </c>
      <c r="AU92" s="522" t="str">
        <f>+INPUT!AV939</f>
        <v>NM</v>
      </c>
      <c r="AV92" s="530">
        <f>+INPUT!AW939</f>
        <v>0.63781583456461077</v>
      </c>
      <c r="AW92" s="522" t="str">
        <f>+INPUT!AX939</f>
        <v>NM</v>
      </c>
      <c r="AX92" s="490"/>
      <c r="AY92" s="521" t="e">
        <f>+INPUT!#REF!</f>
        <v>#REF!</v>
      </c>
      <c r="AZ92" s="522" t="e">
        <f>+INPUT!#REF!</f>
        <v>#REF!</v>
      </c>
      <c r="BA92" s="521" t="e">
        <f>+INPUT!#REF!</f>
        <v>#REF!</v>
      </c>
      <c r="BB92" s="522" t="e">
        <f>+INPUT!#REF!</f>
        <v>#REF!</v>
      </c>
      <c r="BC92" s="521" t="e">
        <f>+INPUT!#REF!</f>
        <v>#REF!</v>
      </c>
      <c r="BD92" s="522" t="e">
        <f>+INPUT!#REF!</f>
        <v>#REF!</v>
      </c>
      <c r="BE92" s="521" t="e">
        <f>+INPUT!#REF!</f>
        <v>#REF!</v>
      </c>
      <c r="BF92" s="522" t="e">
        <f>+INPUT!#REF!</f>
        <v>#REF!</v>
      </c>
      <c r="BG92" s="530" t="e">
        <f>+INPUT!#REF!</f>
        <v>#REF!</v>
      </c>
      <c r="BH92" s="522" t="e">
        <f>+INPUT!#REF!</f>
        <v>#REF!</v>
      </c>
      <c r="BI92" s="530" t="e">
        <f>+INPUT!#REF!</f>
        <v>#REF!</v>
      </c>
      <c r="BJ92" s="522" t="e">
        <f>+INPUT!#REF!</f>
        <v>#REF!</v>
      </c>
      <c r="BK92" s="530" t="e">
        <f>+INPUT!#REF!</f>
        <v>#REF!</v>
      </c>
      <c r="BL92" s="522" t="e">
        <f>+INPUT!#REF!</f>
        <v>#REF!</v>
      </c>
      <c r="BM92" s="530" t="e">
        <f>+INPUT!#REF!</f>
        <v>#REF!</v>
      </c>
      <c r="BN92" s="522" t="e">
        <f>+INPUT!#REF!</f>
        <v>#REF!</v>
      </c>
      <c r="BO92" s="530" t="e">
        <f>+INPUT!#REF!</f>
        <v>#REF!</v>
      </c>
      <c r="BP92" s="522" t="e">
        <f>+INPUT!#REF!</f>
        <v>#REF!</v>
      </c>
      <c r="BQ92" s="530" t="e">
        <f>+INPUT!#REF!</f>
        <v>#REF!</v>
      </c>
      <c r="BR92" s="522" t="str">
        <f>+INPUT!BA939</f>
        <v>NA</v>
      </c>
      <c r="BS92" s="530" t="e">
        <f>+INPUT!BB939</f>
        <v>#REF!</v>
      </c>
      <c r="BT92" s="522" t="str">
        <f>+INPUT!BC939</f>
        <v>NA</v>
      </c>
      <c r="BU92" s="530">
        <f>+INPUT!BD939</f>
        <v>0.52180690409575092</v>
      </c>
      <c r="BV92" s="522" t="str">
        <f>+INPUT!BE939</f>
        <v>NA</v>
      </c>
      <c r="BW92" s="530">
        <f>+INPUT!BF939</f>
        <v>0.56073839836266093</v>
      </c>
      <c r="BX92" s="522">
        <f>+INPUT!BG939</f>
        <v>7.4609005671121054</v>
      </c>
      <c r="BY92" s="530">
        <f>+INPUT!BH939</f>
        <v>0.58943336045070094</v>
      </c>
      <c r="BZ92" s="522">
        <f>+INPUT!BI939</f>
        <v>5.1173527926441977</v>
      </c>
      <c r="CA92" s="530">
        <f>+INPUT!BJ939</f>
        <v>0.95876071546024499</v>
      </c>
      <c r="CB92" s="522">
        <f>+INPUT!BK939</f>
        <v>62.658033934004635</v>
      </c>
      <c r="CC92" s="530">
        <f>+INPUT!BL939</f>
        <v>0.61785007094630617</v>
      </c>
      <c r="CD92" s="522">
        <f>+INPUT!BM939</f>
        <v>-35.557427313893172</v>
      </c>
      <c r="CE92" s="530">
        <f>+INPUT!BN939</f>
        <v>0.62506684531179202</v>
      </c>
      <c r="CF92" s="522">
        <f>+INPUT!BO939</f>
        <v>1.1680462145828585</v>
      </c>
      <c r="CG92" s="530">
        <f>+INPUT!BP939</f>
        <v>0.63985338524891056</v>
      </c>
      <c r="CH92" s="522">
        <f>+INPUT!BQ939</f>
        <v>2.3655933838152521</v>
      </c>
      <c r="CI92" s="530">
        <f>+INPUT!BR939</f>
        <v>0.65250223812186059</v>
      </c>
      <c r="CJ92" s="522">
        <f>+INPUT!BS939</f>
        <v>1.9768361259868072</v>
      </c>
      <c r="CK92" s="530">
        <f>+INPUT!BT939</f>
        <v>0.66584628157312475</v>
      </c>
      <c r="CL92" s="522">
        <f>+INPUT!BU939</f>
        <v>2.0450571157691684</v>
      </c>
      <c r="CM92" s="522">
        <f>+INPUT!BV939</f>
        <v>-7.0321581072081081</v>
      </c>
    </row>
    <row r="93" spans="1:91" s="475" customFormat="1" ht="12" customHeight="1" x14ac:dyDescent="0.2">
      <c r="A93" s="481" t="str">
        <f>+INPUT!B940</f>
        <v>Book Value per Share</v>
      </c>
      <c r="B93" s="538">
        <f>+INPUT!C940</f>
        <v>31.304466416638256</v>
      </c>
      <c r="C93" s="522" t="str">
        <f>+INPUT!D940</f>
        <v>NA</v>
      </c>
      <c r="D93" s="538">
        <f>+INPUT!E940</f>
        <v>29.811160258591361</v>
      </c>
      <c r="E93" s="522" t="str">
        <f>+INPUT!F940</f>
        <v>NA</v>
      </c>
      <c r="F93" s="538">
        <f>+INPUT!G940</f>
        <v>29.726097312010889</v>
      </c>
      <c r="G93" s="522" t="str">
        <f>+INPUT!H940</f>
        <v>NA</v>
      </c>
      <c r="H93" s="538">
        <f>+INPUT!I940</f>
        <v>30.969512195121954</v>
      </c>
      <c r="I93" s="522" t="str">
        <f>+INPUT!J940</f>
        <v>NA</v>
      </c>
      <c r="J93" s="538">
        <f>+INPUT!K940</f>
        <v>32.041723202170964</v>
      </c>
      <c r="K93" s="522">
        <f>+INPUT!L940</f>
        <v>2.3551169207626401</v>
      </c>
      <c r="L93" s="538">
        <f>+INPUT!M940</f>
        <v>33.559564329475833</v>
      </c>
      <c r="M93" s="522">
        <f>+INPUT!N940</f>
        <v>12.573828185047617</v>
      </c>
      <c r="N93" s="538">
        <f>+INPUT!O940</f>
        <v>33.291553133514981</v>
      </c>
      <c r="O93" s="522">
        <f>+INPUT!P940</f>
        <v>11.994362341212764</v>
      </c>
      <c r="P93" s="538">
        <f>+INPUT!Q940</f>
        <v>32.807077237155497</v>
      </c>
      <c r="Q93" s="522">
        <f>+INPUT!R940</f>
        <v>5.9334645972337228</v>
      </c>
      <c r="R93" s="538">
        <f>+INPUT!S940</f>
        <v>33.561820652173914</v>
      </c>
      <c r="S93" s="522">
        <f>+INPUT!T940</f>
        <v>4.7441189114946241</v>
      </c>
      <c r="T93" s="538">
        <f>+INPUT!U940</f>
        <v>32.892432982694267</v>
      </c>
      <c r="U93" s="522">
        <f>+INPUT!V940</f>
        <v>-1.9879022869066745</v>
      </c>
      <c r="V93" s="538">
        <f>+INPUT!W940</f>
        <v>32.777853492333897</v>
      </c>
      <c r="W93" s="522">
        <f>+INPUT!X940</f>
        <v>-1.5430329703180377</v>
      </c>
      <c r="X93" s="538">
        <f>+INPUT!Y940</f>
        <v>31.954701441317781</v>
      </c>
      <c r="Y93" s="522">
        <f>+INPUT!Z940</f>
        <v>-2.5981460941371495</v>
      </c>
      <c r="Z93" s="538">
        <f>+INPUT!AA940</f>
        <v>34.578512396694222</v>
      </c>
      <c r="AA93" s="522">
        <f>+INPUT!AB940</f>
        <v>3.0293104627935321</v>
      </c>
      <c r="AB93" s="538">
        <f>+INPUT!AC940</f>
        <v>36.45729166666667</v>
      </c>
      <c r="AC93" s="522">
        <f>+INPUT!AD940</f>
        <v>10.837929458875806</v>
      </c>
      <c r="AD93" s="538">
        <f>+INPUT!AE940</f>
        <v>37.520333680917624</v>
      </c>
      <c r="AE93" s="522">
        <f>+INPUT!AF940</f>
        <v>14.468550204768292</v>
      </c>
      <c r="AF93" s="538">
        <f>+INPUT!AG940</f>
        <v>35.548488008342019</v>
      </c>
      <c r="AG93" s="522">
        <f>+INPUT!AH940</f>
        <v>11.246503346695121</v>
      </c>
      <c r="AH93" s="538">
        <f>+INPUT!AI940</f>
        <v>36.848663658451926</v>
      </c>
      <c r="AI93" s="522">
        <f>+INPUT!AJ940</f>
        <v>6.5652079988690843</v>
      </c>
      <c r="AJ93" s="538">
        <f>+INPUT!AK940</f>
        <v>38.697505197505194</v>
      </c>
      <c r="AK93" s="522">
        <f>+INPUT!AL940</f>
        <v>6.1447612491927828</v>
      </c>
      <c r="AL93" s="538">
        <f>+INPUT!AM940</f>
        <v>41.581975736568459</v>
      </c>
      <c r="AM93" s="522">
        <f>+INPUT!AN940</f>
        <v>10.825175730557362</v>
      </c>
      <c r="AN93" s="538">
        <f>+INPUT!AO940</f>
        <v>44.461245674740482</v>
      </c>
      <c r="AO93" s="522">
        <f>+INPUT!AP940</f>
        <v>25.072114640450934</v>
      </c>
      <c r="AP93" s="538">
        <f>+INPUT!AQ940</f>
        <v>45.171795630900888</v>
      </c>
      <c r="AQ93" s="522">
        <f>+INPUT!AR940</f>
        <v>22.587337357999132</v>
      </c>
      <c r="AR93" s="538">
        <f>+INPUT!AS940</f>
        <v>45.927988341807634</v>
      </c>
      <c r="AS93" s="522">
        <f>+INPUT!AT940</f>
        <v>18.684623485155811</v>
      </c>
      <c r="AT93" s="538">
        <f>+INPUT!AU940</f>
        <v>46.71997958291518</v>
      </c>
      <c r="AU93" s="522">
        <f>+INPUT!AV940</f>
        <v>12.356324477935289</v>
      </c>
      <c r="AV93" s="538">
        <f>+INPUT!AW940</f>
        <v>47.5916698266795</v>
      </c>
      <c r="AW93" s="522">
        <f>+INPUT!AX940</f>
        <v>7.0407927273110431</v>
      </c>
      <c r="AX93" s="490"/>
      <c r="AY93" s="552" t="e">
        <f>+INPUT!#REF!</f>
        <v>#REF!</v>
      </c>
      <c r="AZ93" s="522" t="e">
        <f>+INPUT!#REF!</f>
        <v>#REF!</v>
      </c>
      <c r="BA93" s="552" t="e">
        <f>+INPUT!#REF!</f>
        <v>#REF!</v>
      </c>
      <c r="BB93" s="522" t="e">
        <f>+INPUT!#REF!</f>
        <v>#REF!</v>
      </c>
      <c r="BC93" s="552" t="e">
        <f>+INPUT!#REF!</f>
        <v>#REF!</v>
      </c>
      <c r="BD93" s="522" t="e">
        <f>+INPUT!#REF!</f>
        <v>#REF!</v>
      </c>
      <c r="BE93" s="552" t="e">
        <f>+INPUT!#REF!</f>
        <v>#REF!</v>
      </c>
      <c r="BF93" s="522" t="e">
        <f>+INPUT!#REF!</f>
        <v>#REF!</v>
      </c>
      <c r="BG93" s="538" t="e">
        <f>+INPUT!#REF!</f>
        <v>#REF!</v>
      </c>
      <c r="BH93" s="522" t="e">
        <f>+INPUT!#REF!</f>
        <v>#REF!</v>
      </c>
      <c r="BI93" s="538" t="e">
        <f>+INPUT!#REF!</f>
        <v>#REF!</v>
      </c>
      <c r="BJ93" s="522" t="e">
        <f>+INPUT!#REF!</f>
        <v>#REF!</v>
      </c>
      <c r="BK93" s="538" t="e">
        <f>+INPUT!#REF!</f>
        <v>#REF!</v>
      </c>
      <c r="BL93" s="522" t="e">
        <f>+INPUT!#REF!</f>
        <v>#REF!</v>
      </c>
      <c r="BM93" s="538" t="e">
        <f>+INPUT!#REF!</f>
        <v>#REF!</v>
      </c>
      <c r="BN93" s="522" t="e">
        <f>+INPUT!#REF!</f>
        <v>#REF!</v>
      </c>
      <c r="BO93" s="538" t="e">
        <f>+INPUT!#REF!</f>
        <v>#REF!</v>
      </c>
      <c r="BP93" s="522" t="e">
        <f>+INPUT!#REF!</f>
        <v>#REF!</v>
      </c>
      <c r="BQ93" s="538" t="e">
        <f>+INPUT!#REF!</f>
        <v>#REF!</v>
      </c>
      <c r="BR93" s="522" t="str">
        <f>+INPUT!BA940</f>
        <v>NA</v>
      </c>
      <c r="BS93" s="538">
        <f>+INPUT!BB940</f>
        <v>33.015667574931875</v>
      </c>
      <c r="BT93" s="522" t="str">
        <f>+INPUT!BC940</f>
        <v>NA</v>
      </c>
      <c r="BU93" s="538">
        <f>+INPUT!BD940</f>
        <v>32.733242599523649</v>
      </c>
      <c r="BV93" s="522">
        <f>+INPUT!BE940</f>
        <v>-0.85542712340206606</v>
      </c>
      <c r="BW93" s="538">
        <f>+INPUT!BF940</f>
        <v>31.954701441317781</v>
      </c>
      <c r="BX93" s="522">
        <f>+INPUT!BG940</f>
        <v>-2.3784419030249069</v>
      </c>
      <c r="BY93" s="538">
        <f>+INPUT!BH940</f>
        <v>35.548488008342019</v>
      </c>
      <c r="BZ93" s="522">
        <f>+INPUT!BI940</f>
        <v>11.246503346695121</v>
      </c>
      <c r="CA93" s="538">
        <f>+INPUT!BJ940</f>
        <v>44.461245674740482</v>
      </c>
      <c r="CB93" s="522">
        <f>+INPUT!BK940</f>
        <v>25.072114640450934</v>
      </c>
      <c r="CC93" s="538">
        <f>+INPUT!BL940</f>
        <v>47.5916698266795</v>
      </c>
      <c r="CD93" s="522">
        <f>+INPUT!BM940</f>
        <v>7.0407927273110431</v>
      </c>
      <c r="CE93" s="538">
        <f>+INPUT!BN940</f>
        <v>50.8482814127347</v>
      </c>
      <c r="CF93" s="522">
        <f>+INPUT!BO940</f>
        <v>6.8428184972605663</v>
      </c>
      <c r="CG93" s="538">
        <f>+INPUT!BP940</f>
        <v>54.199745791307762</v>
      </c>
      <c r="CH93" s="522">
        <f>+INPUT!BQ940</f>
        <v>6.5911064945721023</v>
      </c>
      <c r="CI93" s="538">
        <f>+INPUT!BR940</f>
        <v>57.611351636794687</v>
      </c>
      <c r="CJ93" s="522">
        <f>+INPUT!BS940</f>
        <v>6.2945052521520495</v>
      </c>
      <c r="CK93" s="538">
        <f>+INPUT!BT940</f>
        <v>61.069245190533543</v>
      </c>
      <c r="CL93" s="522">
        <f>+INPUT!BU940</f>
        <v>6.0021045427623818</v>
      </c>
      <c r="CM93" s="522">
        <f>+INPUT!BV940</f>
        <v>6.5536142077744497</v>
      </c>
    </row>
    <row r="94" spans="1:91" s="475" customFormat="1" ht="12" customHeight="1" x14ac:dyDescent="0.2">
      <c r="A94" s="481"/>
      <c r="B94" s="524"/>
      <c r="C94" s="522"/>
      <c r="D94" s="524"/>
      <c r="E94" s="522"/>
      <c r="F94" s="524"/>
      <c r="G94" s="522"/>
      <c r="H94" s="524"/>
      <c r="I94" s="522"/>
      <c r="J94" s="524"/>
      <c r="K94" s="522"/>
      <c r="L94" s="524"/>
      <c r="M94" s="522"/>
      <c r="N94" s="524"/>
      <c r="O94" s="522"/>
      <c r="P94" s="524"/>
      <c r="Q94" s="522"/>
      <c r="R94" s="524"/>
      <c r="S94" s="522"/>
      <c r="T94" s="524"/>
      <c r="U94" s="522"/>
      <c r="V94" s="524"/>
      <c r="W94" s="522"/>
      <c r="X94" s="524"/>
      <c r="Y94" s="522"/>
      <c r="Z94" s="524"/>
      <c r="AA94" s="522"/>
      <c r="AB94" s="524"/>
      <c r="AC94" s="522"/>
      <c r="AD94" s="524"/>
      <c r="AE94" s="522"/>
      <c r="AF94" s="524"/>
      <c r="AG94" s="522"/>
      <c r="AH94" s="524"/>
      <c r="AI94" s="522"/>
      <c r="AJ94" s="524"/>
      <c r="AK94" s="522"/>
      <c r="AL94" s="524"/>
      <c r="AM94" s="522"/>
      <c r="AN94" s="524"/>
      <c r="AO94" s="522"/>
      <c r="AP94" s="524"/>
      <c r="AQ94" s="522"/>
      <c r="AR94" s="524"/>
      <c r="AS94" s="522"/>
      <c r="AT94" s="524"/>
      <c r="AU94" s="522"/>
      <c r="AV94" s="524"/>
      <c r="AW94" s="522"/>
      <c r="AX94" s="490"/>
      <c r="AY94" s="524"/>
      <c r="AZ94" s="522"/>
      <c r="BA94" s="524"/>
      <c r="BB94" s="522"/>
      <c r="BC94" s="524"/>
      <c r="BD94" s="522"/>
      <c r="BE94" s="524"/>
      <c r="BF94" s="522"/>
      <c r="BG94" s="524"/>
      <c r="BH94" s="522"/>
      <c r="BI94" s="524"/>
      <c r="BJ94" s="522"/>
      <c r="BK94" s="524"/>
      <c r="BL94" s="522"/>
      <c r="BM94" s="524"/>
      <c r="BN94" s="522"/>
      <c r="BO94" s="524"/>
      <c r="BP94" s="522"/>
      <c r="BQ94" s="524"/>
      <c r="BR94" s="522"/>
      <c r="BS94" s="524"/>
      <c r="BT94" s="522"/>
      <c r="BU94" s="524"/>
      <c r="BV94" s="522"/>
      <c r="BW94" s="524"/>
      <c r="BX94" s="522"/>
      <c r="BY94" s="524"/>
      <c r="BZ94" s="522"/>
      <c r="CA94" s="524"/>
      <c r="CB94" s="522"/>
      <c r="CC94" s="524"/>
      <c r="CD94" s="522"/>
      <c r="CE94" s="524"/>
      <c r="CF94" s="522"/>
      <c r="CG94" s="524"/>
      <c r="CH94" s="522"/>
      <c r="CI94" s="524"/>
      <c r="CJ94" s="522"/>
      <c r="CK94" s="524"/>
      <c r="CL94" s="522"/>
      <c r="CM94" s="522"/>
    </row>
    <row r="95" spans="1:91" s="475" customFormat="1" ht="12" customHeight="1" x14ac:dyDescent="0.2"/>
  </sheetData>
  <phoneticPr fontId="2" type="noConversion"/>
  <pageMargins left="0.5" right="0.5" top="0.75" bottom="0.75" header="0.28000000000000003" footer="0.22"/>
  <pageSetup fitToHeight="0" orientation="landscape" r:id="rId1"/>
  <headerFooter alignWithMargins="0"/>
  <rowBreaks count="1" manualBreakCount="1">
    <brk id="48" max="42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pageSetUpPr fitToPage="1"/>
  </sheetPr>
  <dimension ref="A1:I41"/>
  <sheetViews>
    <sheetView workbookViewId="0">
      <selection activeCell="C6" sqref="C6"/>
    </sheetView>
  </sheetViews>
  <sheetFormatPr defaultRowHeight="12.75" outlineLevelRow="1" x14ac:dyDescent="0.2"/>
  <cols>
    <col min="1" max="1" width="18.7109375" style="2" customWidth="1"/>
    <col min="2" max="4" width="9.140625" style="591" customWidth="1"/>
    <col min="5" max="5" width="9.140625" style="611" customWidth="1"/>
    <col min="6" max="9" width="9.140625" style="591" customWidth="1"/>
    <col min="10" max="10" width="9.140625" style="591"/>
    <col min="11" max="11" width="9.140625" style="591" customWidth="1"/>
    <col min="12" max="16384" width="9.140625" style="591"/>
  </cols>
  <sheetData>
    <row r="1" spans="1:5" s="2" customFormat="1" x14ac:dyDescent="0.2">
      <c r="A1" s="567"/>
      <c r="B1" s="568" t="s">
        <v>693</v>
      </c>
      <c r="C1" s="568" t="s">
        <v>82</v>
      </c>
      <c r="D1" s="568" t="s">
        <v>83</v>
      </c>
      <c r="E1" s="609"/>
    </row>
    <row r="2" spans="1:5" ht="12.75" customHeight="1" x14ac:dyDescent="0.2">
      <c r="A2" s="588" t="s">
        <v>585</v>
      </c>
      <c r="B2" s="589">
        <f>Core_RISFee_PT F2018_</f>
        <v>581.21919102261722</v>
      </c>
      <c r="C2" s="592">
        <f>D29</f>
        <v>14.622348361878892</v>
      </c>
      <c r="D2" s="589">
        <f>B2*C2</f>
        <v>8498.7894857421416</v>
      </c>
      <c r="E2" s="610"/>
    </row>
    <row r="3" spans="1:5" ht="12.75" customHeight="1" x14ac:dyDescent="0.2">
      <c r="A3" s="588" t="s">
        <v>79</v>
      </c>
      <c r="B3" s="589">
        <f>Core_PGI_PT F2018_</f>
        <v>524.79353037323403</v>
      </c>
      <c r="C3" s="592">
        <f>D35</f>
        <v>15.501579718506351</v>
      </c>
      <c r="D3" s="589">
        <f>B3*C3</f>
        <v>8135.128746837071</v>
      </c>
      <c r="E3" s="610"/>
    </row>
    <row r="4" spans="1:5" ht="12.75" customHeight="1" x14ac:dyDescent="0.2">
      <c r="A4" s="588" t="s">
        <v>84</v>
      </c>
      <c r="B4" s="589">
        <f>Core_PI_PT F2018_</f>
        <v>359.62531014623659</v>
      </c>
      <c r="C4" s="592">
        <f>D34</f>
        <v>10.993520518358531</v>
      </c>
      <c r="D4" s="589">
        <f>B4*C4</f>
        <v>3953.5482260137023</v>
      </c>
      <c r="E4" s="610"/>
    </row>
    <row r="5" spans="1:5" ht="12.75" customHeight="1" x14ac:dyDescent="0.2">
      <c r="A5" s="588" t="s">
        <v>601</v>
      </c>
      <c r="B5" s="589">
        <f>Fee_TaxRate F2018_*(B2+B3+B4)/100</f>
        <v>278.47122599299672</v>
      </c>
      <c r="C5" s="592">
        <f>SUM(D2:D4)/SUM(B2:B4)</f>
        <v>14.046760533998683</v>
      </c>
      <c r="D5" s="589">
        <f>B5*C5</f>
        <v>3911.6186271326546</v>
      </c>
    </row>
    <row r="6" spans="1:5" ht="12.75" customHeight="1" x14ac:dyDescent="0.2">
      <c r="A6" s="719" t="s">
        <v>602</v>
      </c>
      <c r="B6" s="718">
        <f>B2+B3+B4-B5</f>
        <v>1187.1668055490911</v>
      </c>
      <c r="C6" s="717">
        <f>D6/B6</f>
        <v>14.046760533998683</v>
      </c>
      <c r="D6" s="718">
        <f>D2+D3+D4-D5</f>
        <v>16675.847831460262</v>
      </c>
    </row>
    <row r="7" spans="1:5" ht="12.75" customHeight="1" x14ac:dyDescent="0.2">
      <c r="A7" s="588" t="s">
        <v>586</v>
      </c>
      <c r="B7" s="589">
        <f>Core_RISSpread_PT F2018_</f>
        <v>346.61418994044107</v>
      </c>
      <c r="C7" s="589"/>
      <c r="D7" s="589"/>
    </row>
    <row r="8" spans="1:5" ht="12.75" customHeight="1" x14ac:dyDescent="0.2">
      <c r="A8" s="588" t="s">
        <v>601</v>
      </c>
      <c r="B8" s="589">
        <f>Spread_TaxRate F2018_*B7/100</f>
        <v>65.856696088683975</v>
      </c>
      <c r="C8" s="589"/>
      <c r="D8" s="589"/>
    </row>
    <row r="9" spans="1:5" ht="12.75" customHeight="1" x14ac:dyDescent="0.2">
      <c r="A9" s="719" t="s">
        <v>603</v>
      </c>
      <c r="B9" s="718">
        <f>B7-B8</f>
        <v>280.75749385175709</v>
      </c>
      <c r="C9" s="717">
        <f>D29</f>
        <v>14.622348361878892</v>
      </c>
      <c r="D9" s="718">
        <f t="shared" ref="D9" si="0">B9*C9</f>
        <v>4105.3338803084634</v>
      </c>
    </row>
    <row r="10" spans="1:5" ht="12.75" customHeight="1" x14ac:dyDescent="0.2">
      <c r="A10" s="588" t="s">
        <v>28</v>
      </c>
      <c r="B10" s="589">
        <f>Core_Life_PT F2018_</f>
        <v>166.35946136308257</v>
      </c>
      <c r="C10" s="589"/>
      <c r="D10" s="589"/>
      <c r="E10" s="610"/>
    </row>
    <row r="11" spans="1:5" ht="12.75" customHeight="1" x14ac:dyDescent="0.2">
      <c r="A11" s="588" t="s">
        <v>442</v>
      </c>
      <c r="B11" s="589">
        <f>Core_SpBen_PT F2018_</f>
        <v>277.53266284978167</v>
      </c>
      <c r="C11" s="589"/>
      <c r="D11" s="589"/>
      <c r="E11" s="610"/>
    </row>
    <row r="12" spans="1:5" ht="12.75" customHeight="1" x14ac:dyDescent="0.2">
      <c r="A12" s="588" t="s">
        <v>601</v>
      </c>
      <c r="B12" s="589">
        <f>Risk_TaxRate F2018_*(B11+B10)/100</f>
        <v>84.339503600444147</v>
      </c>
      <c r="C12" s="589"/>
      <c r="D12" s="589"/>
    </row>
    <row r="13" spans="1:5" ht="12.75" customHeight="1" x14ac:dyDescent="0.2">
      <c r="A13" s="719" t="s">
        <v>634</v>
      </c>
      <c r="B13" s="718">
        <f>SUM(B10:B11)-B12</f>
        <v>359.55262061242013</v>
      </c>
      <c r="C13" s="717">
        <f>D39</f>
        <v>11.245283090843344</v>
      </c>
      <c r="D13" s="718">
        <f t="shared" ref="D13" si="1">B13*C13</f>
        <v>4043.27100484126</v>
      </c>
    </row>
    <row r="14" spans="1:5" x14ac:dyDescent="0.2">
      <c r="A14" s="569" t="s">
        <v>85</v>
      </c>
      <c r="B14" s="589">
        <f>B13+B9+B6</f>
        <v>1827.4769200132682</v>
      </c>
      <c r="C14" s="592">
        <f>D14/B14</f>
        <v>13.584003411889739</v>
      </c>
      <c r="D14" s="589">
        <f>D13+D9+D6</f>
        <v>24824.452716609987</v>
      </c>
    </row>
    <row r="15" spans="1:5" x14ac:dyDescent="0.2">
      <c r="A15" s="569" t="s">
        <v>604</v>
      </c>
      <c r="B15" s="589">
        <f>Corp_AT F2018_</f>
        <v>-166.86084155844151</v>
      </c>
      <c r="C15" s="592">
        <f>C14</f>
        <v>13.584003411889739</v>
      </c>
      <c r="D15" s="589">
        <f>B15*C15</f>
        <v>-2266.6382410406627</v>
      </c>
    </row>
    <row r="16" spans="1:5" x14ac:dyDescent="0.2">
      <c r="A16" s="719" t="s">
        <v>587</v>
      </c>
      <c r="B16" s="718">
        <f>B14+B15</f>
        <v>1660.6160784548267</v>
      </c>
      <c r="C16" s="717"/>
      <c r="D16" s="718">
        <f>D14+D15</f>
        <v>22557.814475569325</v>
      </c>
    </row>
    <row r="17" spans="1:9" hidden="1" outlineLevel="1" x14ac:dyDescent="0.2">
      <c r="A17" s="569" t="s">
        <v>86</v>
      </c>
      <c r="B17" s="596">
        <v>0</v>
      </c>
      <c r="C17" s="597">
        <v>1</v>
      </c>
      <c r="D17" s="589">
        <f>C17*B17</f>
        <v>0</v>
      </c>
    </row>
    <row r="18" spans="1:9" hidden="1" outlineLevel="1" x14ac:dyDescent="0.2">
      <c r="A18" s="570" t="s">
        <v>0</v>
      </c>
      <c r="B18" s="594">
        <f>B16+B17</f>
        <v>1660.6160784548267</v>
      </c>
      <c r="C18" s="595"/>
      <c r="D18" s="594">
        <f>D16+D17</f>
        <v>22557.814475569325</v>
      </c>
    </row>
    <row r="19" spans="1:9" collapsed="1" x14ac:dyDescent="0.2">
      <c r="A19" s="569" t="s">
        <v>694</v>
      </c>
      <c r="B19" s="589">
        <f>AvgShrsOut F2018_</f>
        <v>291.53862005069573</v>
      </c>
      <c r="C19" s="589"/>
      <c r="D19" s="589">
        <f>AvgShrsOut F2018_</f>
        <v>291.53862005069573</v>
      </c>
    </row>
    <row r="20" spans="1:9" x14ac:dyDescent="0.2">
      <c r="A20" s="598" t="s">
        <v>536</v>
      </c>
      <c r="B20" s="599"/>
      <c r="C20" s="600"/>
      <c r="D20" s="601">
        <f>ROUND(D16/D19,0)</f>
        <v>77</v>
      </c>
    </row>
    <row r="21" spans="1:9" ht="12.75" hidden="1" customHeight="1" outlineLevel="1" x14ac:dyDescent="0.2">
      <c r="A21" s="569" t="s">
        <v>304</v>
      </c>
      <c r="B21" s="589"/>
      <c r="C21" s="589"/>
      <c r="D21" s="589">
        <f>B41</f>
        <v>61.039997100830078</v>
      </c>
    </row>
    <row r="22" spans="1:9" collapsed="1" x14ac:dyDescent="0.2">
      <c r="A22" s="570" t="s">
        <v>520</v>
      </c>
      <c r="B22" s="602"/>
      <c r="C22" s="594"/>
      <c r="D22" s="595">
        <f>(D20/D21-1)*100</f>
        <v>26.146794982322973</v>
      </c>
    </row>
    <row r="23" spans="1:9" x14ac:dyDescent="0.2">
      <c r="C23" s="603"/>
      <c r="G23" s="715"/>
      <c r="H23" s="590"/>
    </row>
    <row r="24" spans="1:9" x14ac:dyDescent="0.2">
      <c r="A24" s="317"/>
      <c r="B24" s="604" t="s">
        <v>87</v>
      </c>
      <c r="C24" s="605" t="s">
        <v>649</v>
      </c>
      <c r="D24" s="604" t="s">
        <v>88</v>
      </c>
      <c r="G24" s="715"/>
      <c r="H24" s="590"/>
    </row>
    <row r="25" spans="1:9" x14ac:dyDescent="0.2">
      <c r="A25" s="4" t="s">
        <v>89</v>
      </c>
      <c r="G25" s="715"/>
      <c r="H25" s="590"/>
    </row>
    <row r="26" spans="1:9" x14ac:dyDescent="0.2">
      <c r="A26" s="2" t="s">
        <v>238</v>
      </c>
      <c r="B26" s="593">
        <f>_xll.ThomsonONEAddinShim.SpreadsheetFormulas.TFRT($A26,"TF.RT.PriceLast()")</f>
        <v>23.629999160766602</v>
      </c>
      <c r="C26" s="593">
        <v>2.2200000000000002</v>
      </c>
      <c r="D26" s="590">
        <f>B26/(C26)</f>
        <v>10.64414376611108</v>
      </c>
      <c r="G26" s="715"/>
      <c r="H26" s="590"/>
    </row>
    <row r="27" spans="1:9" x14ac:dyDescent="0.2">
      <c r="A27" s="2" t="s">
        <v>691</v>
      </c>
      <c r="B27" s="593">
        <f>_xll.ThomsonONEAddinShim.SpreadsheetFormulas.TFRT($A27,"TF.RT.PriceLast()")</f>
        <v>107.56999969482422</v>
      </c>
      <c r="C27" s="593">
        <v>6.03</v>
      </c>
      <c r="D27" s="590">
        <f>B27/(C27)</f>
        <v>17.839137594498212</v>
      </c>
      <c r="G27" s="715"/>
      <c r="H27" s="590"/>
    </row>
    <row r="28" spans="1:9" x14ac:dyDescent="0.2">
      <c r="A28" s="2" t="s">
        <v>90</v>
      </c>
      <c r="B28" s="593">
        <f>_xll.ThomsonONEAddinShim.SpreadsheetFormulas.TFRT($A28,"TF.RT.PriceLast()")</f>
        <v>49.819999694824219</v>
      </c>
      <c r="C28" s="593">
        <v>2.71</v>
      </c>
      <c r="D28" s="590">
        <f>B28/(C28)</f>
        <v>18.383763725027386</v>
      </c>
    </row>
    <row r="29" spans="1:9" x14ac:dyDescent="0.2">
      <c r="A29" s="573" t="s">
        <v>237</v>
      </c>
      <c r="B29" s="608"/>
      <c r="C29" s="608"/>
      <c r="D29" s="810">
        <f>AVERAGE(D26:D28)-1</f>
        <v>14.622348361878892</v>
      </c>
      <c r="F29" s="606"/>
      <c r="I29" s="593"/>
    </row>
    <row r="31" spans="1:9" x14ac:dyDescent="0.2">
      <c r="A31" s="4" t="s">
        <v>588</v>
      </c>
    </row>
    <row r="32" spans="1:9" x14ac:dyDescent="0.2">
      <c r="A32" s="2" t="s">
        <v>303</v>
      </c>
      <c r="B32" s="593">
        <f>_xll.ThomsonONEAddinShim.SpreadsheetFormulas.TFRT($A32,"TF.RT.PriceLast()")</f>
        <v>34.369998931884766</v>
      </c>
      <c r="C32" s="593">
        <v>2.96</v>
      </c>
      <c r="D32" s="590">
        <f>B32/(C32)</f>
        <v>11.611486125636745</v>
      </c>
    </row>
    <row r="33" spans="1:8" x14ac:dyDescent="0.2">
      <c r="A33" s="2" t="s">
        <v>530</v>
      </c>
      <c r="B33" s="593">
        <f>_xll.ThomsonONEAddinShim.SpreadsheetFormulas.TFRT($A33,"TF.RT.PriceLast()")</f>
        <v>536.30999755859375</v>
      </c>
      <c r="C33" s="593">
        <v>22.44</v>
      </c>
      <c r="D33" s="590">
        <f>B33/(C33)</f>
        <v>23.899732511523784</v>
      </c>
    </row>
    <row r="34" spans="1:8" x14ac:dyDescent="0.2">
      <c r="A34" s="2" t="s">
        <v>91</v>
      </c>
      <c r="B34" s="593">
        <f>_xll.ThomsonONEAddinShim.SpreadsheetFormulas.TFRT($A34,"TF.RT.PriceLast()")</f>
        <v>1018</v>
      </c>
      <c r="C34" s="593">
        <v>92.6</v>
      </c>
      <c r="D34" s="590">
        <f>B34/(C34)</f>
        <v>10.993520518358531</v>
      </c>
      <c r="F34" s="590"/>
    </row>
    <row r="35" spans="1:8" x14ac:dyDescent="0.2">
      <c r="A35" s="573" t="s">
        <v>237</v>
      </c>
      <c r="B35" s="612"/>
      <c r="C35" s="612"/>
      <c r="D35" s="810">
        <f>AVERAGE(D32:D34)</f>
        <v>15.501579718506351</v>
      </c>
      <c r="F35" s="606"/>
    </row>
    <row r="37" spans="1:8" x14ac:dyDescent="0.2">
      <c r="H37" s="593"/>
    </row>
    <row r="38" spans="1:8" x14ac:dyDescent="0.2">
      <c r="A38" s="4" t="s">
        <v>92</v>
      </c>
      <c r="H38" s="593"/>
    </row>
    <row r="39" spans="1:8" x14ac:dyDescent="0.2">
      <c r="A39" s="2" t="s">
        <v>93</v>
      </c>
      <c r="B39" s="593">
        <f>_xll.ThomsonONEAddinShim.SpreadsheetFormulas.TFRT($A39,"TF.RT.PriceLast()")</f>
        <v>47.680000305175781</v>
      </c>
      <c r="C39" s="593">
        <v>4.24</v>
      </c>
      <c r="D39" s="590">
        <f>B39/(C39)</f>
        <v>11.245283090843344</v>
      </c>
    </row>
    <row r="41" spans="1:8" x14ac:dyDescent="0.2">
      <c r="A41" s="4" t="s">
        <v>305</v>
      </c>
      <c r="B41" s="607">
        <f>_xll.ThomsonONEAddinShim.SpreadsheetFormulas.TFRT($A41,"TF.RT.PriceLast()")</f>
        <v>61.039997100830078</v>
      </c>
      <c r="C41" s="607">
        <v>5.22</v>
      </c>
      <c r="D41" s="606">
        <f>B41/C41</f>
        <v>11.693486034641777</v>
      </c>
    </row>
  </sheetData>
  <phoneticPr fontId="2" type="noConversion"/>
  <pageMargins left="0" right="0" top="0" bottom="0" header="0" footer="0"/>
  <pageSetup paperSize="5" orientation="landscape" r:id="rId1"/>
  <headerFooter alignWithMargins="0"/>
  <ignoredErrors>
    <ignoredError sqref="C17:D17 C19 C18 C6 C14:D1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AG72"/>
  <sheetViews>
    <sheetView workbookViewId="0">
      <pane xSplit="1" ySplit="2" topLeftCell="N3" activePane="bottomRight" state="frozen"/>
      <selection pane="topRight"/>
      <selection pane="bottomLeft"/>
      <selection pane="bottomRight" activeCell="N3" sqref="N3"/>
    </sheetView>
  </sheetViews>
  <sheetFormatPr defaultRowHeight="12.75" customHeight="1" outlineLevelRow="1" outlineLevelCol="1" x14ac:dyDescent="0.2"/>
  <cols>
    <col min="1" max="1" width="25.28515625" style="2" bestFit="1" customWidth="1"/>
    <col min="2" max="5" width="9.140625" style="2" hidden="1" customWidth="1" outlineLevel="1"/>
    <col min="6" max="6" width="9.140625" style="2" hidden="1" customWidth="1" outlineLevel="1" collapsed="1"/>
    <col min="7" max="9" width="9.140625" style="2" hidden="1" customWidth="1" outlineLevel="1"/>
    <col min="10" max="10" width="9.140625" style="2" hidden="1" customWidth="1" outlineLevel="1" collapsed="1"/>
    <col min="11" max="13" width="9.140625" style="2" hidden="1" customWidth="1" outlineLevel="1"/>
    <col min="14" max="14" width="0.85546875" style="2" customWidth="1" collapsed="1"/>
    <col min="15" max="17" width="9.140625" style="2" hidden="1" customWidth="1" outlineLevel="1"/>
    <col min="18" max="18" width="9.140625" style="2" hidden="1" customWidth="1" outlineLevel="1" collapsed="1"/>
    <col min="19" max="19" width="9.140625" style="2" collapsed="1"/>
    <col min="20" max="25" width="9.140625" style="2"/>
    <col min="26" max="26" width="0.85546875" style="7" customWidth="1"/>
    <col min="27" max="27" width="10.140625" style="2" hidden="1" customWidth="1" outlineLevel="1"/>
    <col min="28" max="28" width="9.85546875" style="2" hidden="1" customWidth="1" outlineLevel="1" collapsed="1"/>
    <col min="29" max="29" width="9.85546875" style="2" customWidth="1" collapsed="1"/>
    <col min="30" max="30" width="10.28515625" style="574" customWidth="1"/>
    <col min="31" max="31" width="9.140625" style="7"/>
    <col min="32" max="33" width="10.5703125" style="7" customWidth="1"/>
    <col min="34" max="16384" width="9.140625" style="2"/>
  </cols>
  <sheetData>
    <row r="1" spans="1:33" ht="12.75" customHeight="1" x14ac:dyDescent="0.2"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</row>
    <row r="2" spans="1:33" ht="12.75" customHeight="1" x14ac:dyDescent="0.2">
      <c r="A2" s="316"/>
      <c r="B2" s="317" t="s">
        <v>160</v>
      </c>
      <c r="C2" s="317" t="s">
        <v>161</v>
      </c>
      <c r="D2" s="317" t="s">
        <v>162</v>
      </c>
      <c r="E2" s="317" t="s">
        <v>163</v>
      </c>
      <c r="F2" s="317" t="s">
        <v>98</v>
      </c>
      <c r="G2" s="317" t="s">
        <v>99</v>
      </c>
      <c r="H2" s="317" t="s">
        <v>100</v>
      </c>
      <c r="I2" s="317" t="s">
        <v>101</v>
      </c>
      <c r="J2" s="317" t="s">
        <v>366</v>
      </c>
      <c r="K2" s="317" t="s">
        <v>367</v>
      </c>
      <c r="L2" s="317" t="s">
        <v>368</v>
      </c>
      <c r="M2" s="317" t="s">
        <v>369</v>
      </c>
      <c r="N2" s="327"/>
      <c r="O2" s="327">
        <v>2010</v>
      </c>
      <c r="P2" s="327">
        <v>2011</v>
      </c>
      <c r="Q2" s="327">
        <v>2012</v>
      </c>
      <c r="R2" s="327" t="s">
        <v>435</v>
      </c>
      <c r="S2" s="243" t="s">
        <v>535</v>
      </c>
      <c r="T2" s="243" t="s">
        <v>644</v>
      </c>
      <c r="U2" s="243">
        <v>2016</v>
      </c>
      <c r="V2" s="243" t="str">
        <f>INPUT!BJ6</f>
        <v>2017</v>
      </c>
      <c r="W2" s="243" t="str">
        <f>INPUT!BL6</f>
        <v>2018E</v>
      </c>
      <c r="X2" s="243" t="str">
        <f>INPUT!BN6</f>
        <v>2019E</v>
      </c>
      <c r="Y2" s="243" t="s">
        <v>544</v>
      </c>
      <c r="AA2" s="330" t="s">
        <v>645</v>
      </c>
      <c r="AB2" s="330" t="s">
        <v>646</v>
      </c>
      <c r="AC2" s="330" t="s">
        <v>647</v>
      </c>
      <c r="AD2" s="811" t="s">
        <v>689</v>
      </c>
      <c r="AE2" s="323" t="s">
        <v>164</v>
      </c>
      <c r="AF2" s="323" t="s">
        <v>97</v>
      </c>
      <c r="AG2" s="323" t="s">
        <v>371</v>
      </c>
    </row>
    <row r="3" spans="1:33" s="572" customFormat="1" ht="12.75" customHeight="1" x14ac:dyDescent="0.2">
      <c r="A3" s="571" t="s">
        <v>585</v>
      </c>
    </row>
    <row r="4" spans="1:33" ht="12.75" customHeight="1" x14ac:dyDescent="0.2">
      <c r="A4" s="2" t="s">
        <v>318</v>
      </c>
      <c r="B4" s="710" t="e">
        <f>NOR_RIS_Accumulation _1Q12</f>
        <v>#NAME?</v>
      </c>
      <c r="C4" s="710" t="e">
        <f>NOR_RIS_Accumulation _2Q12</f>
        <v>#NAME?</v>
      </c>
      <c r="D4" s="710" t="e">
        <f>NOR_RIS_Accumulation _3Q12</f>
        <v>#NAME?</v>
      </c>
      <c r="E4" s="710" t="e">
        <f>NOR_RIS_Accumulation _4Q12</f>
        <v>#NAME?</v>
      </c>
      <c r="F4" s="710" t="e">
        <f>NOR_RIS_Accumulation _1Q13</f>
        <v>#NAME?</v>
      </c>
      <c r="G4" s="710" t="e">
        <f>NOR_RIS_Accumulation _2Q13</f>
        <v>#NAME?</v>
      </c>
      <c r="H4" s="710" t="e">
        <f>NOR_RIS_Accumulation _3Q13</f>
        <v>#NAME?</v>
      </c>
      <c r="I4" s="710" t="e">
        <f>NOR_RIS_Accumulation _4Q13</f>
        <v>#NAME?</v>
      </c>
      <c r="J4" s="710" t="e">
        <f>NOR_RIS_Accumulation _1Q14</f>
        <v>#NAME?</v>
      </c>
      <c r="K4" s="710" t="e">
        <f>NOR_RIS_Accumulation _2Q14</f>
        <v>#NAME?</v>
      </c>
      <c r="L4" s="710" t="e">
        <f>NOR_RIS_Accumulation _3Q14</f>
        <v>#NAME?</v>
      </c>
      <c r="M4" s="710" t="e">
        <f>NOR_RIS_Accumulation _4Q14</f>
        <v>#NAME?</v>
      </c>
      <c r="N4" s="710"/>
      <c r="O4" s="710" t="e">
        <f>NOR_RIS_Accumulation F2010_</f>
        <v>#NAME?</v>
      </c>
      <c r="P4" s="710" t="e">
        <f>NOR_RIS_Accumulation F2011_</f>
        <v>#NAME?</v>
      </c>
      <c r="Q4" s="710" t="e">
        <f>NOR_RIS_Accumulation F2012_</f>
        <v>#NAME?</v>
      </c>
      <c r="R4" s="710" t="e">
        <f>NOR_RIS_Accumulation F2013_</f>
        <v>#NAME?</v>
      </c>
      <c r="S4" s="710">
        <f>NOR_RIS_Fee F2014_</f>
        <v>1563.7</v>
      </c>
      <c r="T4" s="710">
        <f>NOR_RIS_Fee F2015_</f>
        <v>1573.5</v>
      </c>
      <c r="U4" s="710">
        <f>NOR_RIS_Fee F2016_</f>
        <v>1511.1000000000001</v>
      </c>
      <c r="V4" s="710">
        <f>NOR_RIS_Fee F2017_</f>
        <v>1594.3</v>
      </c>
      <c r="W4" s="710">
        <f>NOR_RIS_Fee F2018_</f>
        <v>1711.7621172778947</v>
      </c>
      <c r="X4" s="710">
        <f>NOR_RIS_Fee F2019_</f>
        <v>1775.4828912886148</v>
      </c>
      <c r="Y4" s="710"/>
    </row>
    <row r="5" spans="1:33" ht="12.75" customHeight="1" x14ac:dyDescent="0.2">
      <c r="A5" s="2" t="s">
        <v>437</v>
      </c>
      <c r="F5" s="260" t="e">
        <f>(F4/B4-1)*100</f>
        <v>#NAME?</v>
      </c>
      <c r="G5" s="260" t="e">
        <f t="shared" ref="G5:M5" si="0">(G4/C4-1)*100</f>
        <v>#NAME?</v>
      </c>
      <c r="H5" s="260" t="e">
        <f t="shared" si="0"/>
        <v>#NAME?</v>
      </c>
      <c r="I5" s="260" t="e">
        <f t="shared" si="0"/>
        <v>#NAME?</v>
      </c>
      <c r="J5" s="260" t="e">
        <f t="shared" si="0"/>
        <v>#NAME?</v>
      </c>
      <c r="K5" s="260" t="e">
        <f t="shared" si="0"/>
        <v>#NAME?</v>
      </c>
      <c r="L5" s="260" t="e">
        <f t="shared" si="0"/>
        <v>#NAME?</v>
      </c>
      <c r="M5" s="260" t="e">
        <f t="shared" si="0"/>
        <v>#NAME?</v>
      </c>
      <c r="P5" s="260" t="e">
        <f t="shared" ref="P5:X5" si="1">(P4/O4-1)*100</f>
        <v>#NAME?</v>
      </c>
      <c r="Q5" s="260" t="e">
        <f t="shared" si="1"/>
        <v>#NAME?</v>
      </c>
      <c r="R5" s="260" t="e">
        <f t="shared" si="1"/>
        <v>#NAME?</v>
      </c>
      <c r="S5" s="260"/>
      <c r="T5" s="260">
        <f t="shared" si="1"/>
        <v>0.62671868005370612</v>
      </c>
      <c r="U5" s="326">
        <f t="shared" si="1"/>
        <v>-3.9656816015252505</v>
      </c>
      <c r="V5" s="260">
        <f t="shared" si="1"/>
        <v>5.5059228376679092</v>
      </c>
      <c r="W5" s="260">
        <f t="shared" si="1"/>
        <v>7.3676295099977862</v>
      </c>
      <c r="X5" s="260">
        <f t="shared" si="1"/>
        <v>3.7225250732882964</v>
      </c>
      <c r="Y5" s="260">
        <f>AVERAGE(T5:X5)</f>
        <v>2.6514228998964895</v>
      </c>
      <c r="AA5" s="245" t="s">
        <v>333</v>
      </c>
      <c r="AB5" s="581" t="s">
        <v>168</v>
      </c>
      <c r="AC5" s="581" t="s">
        <v>523</v>
      </c>
      <c r="AD5" s="812" t="s">
        <v>668</v>
      </c>
      <c r="AE5" s="775" t="s">
        <v>621</v>
      </c>
      <c r="AF5" s="775" t="s">
        <v>677</v>
      </c>
      <c r="AG5" s="775" t="s">
        <v>677</v>
      </c>
    </row>
    <row r="6" spans="1:33" ht="12.75" customHeight="1" x14ac:dyDescent="0.2">
      <c r="U6" s="7"/>
      <c r="AA6" s="7"/>
      <c r="AB6" s="7"/>
      <c r="AC6" s="7"/>
    </row>
    <row r="7" spans="1:33" s="103" customFormat="1" ht="12.75" customHeight="1" x14ac:dyDescent="0.2">
      <c r="A7" s="103" t="s">
        <v>522</v>
      </c>
      <c r="B7" s="263" t="e">
        <f>CorePT_Accumulation _1Q12</f>
        <v>#NAME?</v>
      </c>
      <c r="C7" s="263" t="e">
        <f>CorePT_Accumulation _2Q12</f>
        <v>#NAME?</v>
      </c>
      <c r="D7" s="263" t="e">
        <f>CorePT_Accumulation _3Q12</f>
        <v>#NAME?</v>
      </c>
      <c r="E7" s="263" t="e">
        <f>CorePT_Accumulation _4Q12</f>
        <v>#NAME?</v>
      </c>
      <c r="F7" s="263">
        <f>CorePT_Accumulation _1Q13</f>
        <v>67.084615384615418</v>
      </c>
      <c r="G7" s="263">
        <f>CorePT_Accumulation _2Q13</f>
        <v>86.469230769230791</v>
      </c>
      <c r="H7" s="263">
        <f>CorePT_Accumulation _3Q13</f>
        <v>81.484615384615381</v>
      </c>
      <c r="I7" s="263">
        <f>CorePT_Accumulation _4Q13</f>
        <v>90.438461538461539</v>
      </c>
      <c r="J7" s="263">
        <f>CorePT_Accumulation _1Q14</f>
        <v>78.353846153846106</v>
      </c>
      <c r="K7" s="263">
        <f>CorePT_Accumulation _2Q14</f>
        <v>82.138461538461527</v>
      </c>
      <c r="L7" s="263">
        <f>CorePT_Accumulation _3Q14</f>
        <v>83.323076923076925</v>
      </c>
      <c r="M7" s="263">
        <f>CorePT_Accumulation _4Q14</f>
        <v>77.499999999999929</v>
      </c>
      <c r="N7" s="263"/>
      <c r="O7" s="263" t="e">
        <f>CorePT_Accumulation F2010_</f>
        <v>#NAME?</v>
      </c>
      <c r="P7" s="263" t="e">
        <f>CorePT_Accumulation F2011_</f>
        <v>#NAME?</v>
      </c>
      <c r="Q7" s="263" t="e">
        <f>CorePT_Accumulation F2012_</f>
        <v>#NAME?</v>
      </c>
      <c r="R7" s="263">
        <f>CorePT_Accumulation F2013_</f>
        <v>325.47692307692313</v>
      </c>
      <c r="S7" s="713">
        <f>CorePT_Fee F2014_</f>
        <v>546.19230769230774</v>
      </c>
      <c r="T7" s="713">
        <f>CorePT_Fee F2015_</f>
        <v>525.19230769230774</v>
      </c>
      <c r="U7" s="713">
        <f>CorePT_Fee F2016_</f>
        <v>507.79999999999984</v>
      </c>
      <c r="V7" s="713">
        <f>CorePT_Fee F2017_</f>
        <v>561.79999999999995</v>
      </c>
      <c r="W7" s="713">
        <f>CorePT_Fee F2018_</f>
        <v>581.21919102261722</v>
      </c>
      <c r="X7" s="713">
        <f>CorePT_Fee F2019_</f>
        <v>602.06469029652203</v>
      </c>
      <c r="Y7" s="263"/>
      <c r="AD7" s="573"/>
    </row>
    <row r="8" spans="1:33" ht="12.75" customHeight="1" x14ac:dyDescent="0.2">
      <c r="A8" s="2" t="s">
        <v>13</v>
      </c>
      <c r="B8" s="260" t="e">
        <f>Accumulation_RONR_Core _1Q12</f>
        <v>#NAME?</v>
      </c>
      <c r="C8" s="260" t="e">
        <f>Accumulation_RONR_Core _2Q12</f>
        <v>#NAME?</v>
      </c>
      <c r="D8" s="260" t="e">
        <f>Accumulation_RONR_Core _3Q12</f>
        <v>#NAME?</v>
      </c>
      <c r="E8" s="260" t="e">
        <f>Accumulation_RONR_Core _4Q12</f>
        <v>#NAME?</v>
      </c>
      <c r="F8" s="260" t="e">
        <f>Accumulation_RONR_Core _1Q13</f>
        <v>#NAME?</v>
      </c>
      <c r="G8" s="260" t="e">
        <f>Accumulation_RONR_Core _2Q13</f>
        <v>#NAME?</v>
      </c>
      <c r="H8" s="260" t="e">
        <f>Accumulation_RONR_Core _3Q13</f>
        <v>#NAME?</v>
      </c>
      <c r="I8" s="260" t="e">
        <f>Accumulation_RONR_Core _4Q13</f>
        <v>#NAME?</v>
      </c>
      <c r="J8" s="260" t="e">
        <f>Accumulation_RONR_Core _1Q14</f>
        <v>#NAME?</v>
      </c>
      <c r="K8" s="260" t="e">
        <f>Accumulation_RONR_Core _2Q14</f>
        <v>#NAME?</v>
      </c>
      <c r="L8" s="260" t="e">
        <f>Accumulation_RONR_Core _3Q14</f>
        <v>#NAME?</v>
      </c>
      <c r="M8" s="260" t="e">
        <f>Accumulation_RONR_Core _4Q14</f>
        <v>#NAME?</v>
      </c>
      <c r="N8" s="260"/>
      <c r="O8" s="260" t="e">
        <f>Accumulation_RONR_Core F2010_</f>
        <v>#NAME?</v>
      </c>
      <c r="P8" s="260" t="e">
        <f>Accumulation_RONR_Core F2011_</f>
        <v>#NAME?</v>
      </c>
      <c r="Q8" s="260" t="e">
        <f>Accumulation_RONR_Core F2012_</f>
        <v>#NAME?</v>
      </c>
      <c r="R8" s="260" t="e">
        <f>Accumulation_RONR_Core F2013_</f>
        <v>#NAME?</v>
      </c>
      <c r="S8" s="260">
        <f>Fee_RONR_Core F2014_</f>
        <v>36.99558738888534</v>
      </c>
      <c r="T8" s="260">
        <f>Fee_RONR_Core F2015_</f>
        <v>33.377331280095824</v>
      </c>
      <c r="U8" s="326">
        <f>Fee_RONR_Core F2016_</f>
        <v>33.604658857785708</v>
      </c>
      <c r="V8" s="260">
        <f>Fee_RONR_Core F2017_</f>
        <v>35.238035501473995</v>
      </c>
      <c r="W8" s="260">
        <f>Fee_RONR_Core F2018_</f>
        <v>33.954437077208645</v>
      </c>
      <c r="X8" s="260">
        <f>Fee_RONR_Core F2019_</f>
        <v>33.90991224137079</v>
      </c>
      <c r="Y8" s="260">
        <f>AVERAGE(T8:X8)</f>
        <v>34.016874991586988</v>
      </c>
      <c r="AA8" s="245" t="s">
        <v>331</v>
      </c>
      <c r="AB8" s="581" t="s">
        <v>334</v>
      </c>
      <c r="AC8" s="581" t="s">
        <v>537</v>
      </c>
      <c r="AD8" s="812" t="s">
        <v>335</v>
      </c>
      <c r="AE8" s="581" t="s">
        <v>335</v>
      </c>
      <c r="AF8" s="581" t="s">
        <v>678</v>
      </c>
      <c r="AG8" s="581" t="s">
        <v>684</v>
      </c>
    </row>
    <row r="9" spans="1:33" ht="12.75" customHeight="1" x14ac:dyDescent="0.2">
      <c r="A9" s="2" t="s">
        <v>534</v>
      </c>
      <c r="S9" s="260">
        <f>Fee_TaxRate F2014_</f>
        <v>0</v>
      </c>
      <c r="T9" s="260">
        <f>Fee_TaxRate F2015_</f>
        <v>17.514957079684372</v>
      </c>
      <c r="U9" s="260">
        <f>Fee_TaxRate F2016_</f>
        <v>19.383008242879299</v>
      </c>
      <c r="V9" s="260">
        <f>Fee_TaxRate F2017_</f>
        <v>19.570297776102528</v>
      </c>
      <c r="W9" s="260">
        <f>Fee_TaxRate F2018_</f>
        <v>19</v>
      </c>
      <c r="X9" s="260">
        <f>Fee_TaxRate F2019_</f>
        <v>19</v>
      </c>
      <c r="Y9" s="260">
        <f>AVERAGE(T9:X9)</f>
        <v>18.893652619733238</v>
      </c>
      <c r="AE9" s="582" t="s">
        <v>345</v>
      </c>
      <c r="AF9" s="582" t="s">
        <v>683</v>
      </c>
      <c r="AG9" s="582" t="s">
        <v>706</v>
      </c>
    </row>
    <row r="10" spans="1:33" s="572" customFormat="1" ht="12.75" customHeight="1" x14ac:dyDescent="0.2">
      <c r="A10" s="571" t="s">
        <v>586</v>
      </c>
      <c r="AD10" s="574"/>
    </row>
    <row r="11" spans="1:33" ht="12.75" customHeight="1" x14ac:dyDescent="0.2">
      <c r="A11" s="2" t="s">
        <v>318</v>
      </c>
      <c r="B11" s="710" t="e">
        <f>NOR_RIS_Guaranteed _1Q12</f>
        <v>#NAME?</v>
      </c>
      <c r="C11" s="710" t="e">
        <f>NOR_RIS_Guaranteed _2Q12</f>
        <v>#NAME?</v>
      </c>
      <c r="D11" s="710" t="e">
        <f>NOR_RIS_Guaranteed _3Q12</f>
        <v>#NAME?</v>
      </c>
      <c r="E11" s="710" t="e">
        <f>NOR_RIS_Guaranteed _4Q12</f>
        <v>#NAME?</v>
      </c>
      <c r="F11" s="710" t="e">
        <f>NOR_RIS_Guaranteed _1Q13</f>
        <v>#NAME?</v>
      </c>
      <c r="G11" s="710" t="e">
        <f>NOR_RIS_Guaranteed _2Q13</f>
        <v>#NAME?</v>
      </c>
      <c r="H11" s="710" t="e">
        <f>NOR_RIS_Guaranteed _3Q13</f>
        <v>#NAME?</v>
      </c>
      <c r="I11" s="710" t="e">
        <f>NOR_RIS_Guaranteed _4Q13</f>
        <v>#NAME?</v>
      </c>
      <c r="J11" s="710" t="e">
        <f>NOR_RIS_Guaranteed _1Q14</f>
        <v>#NAME?</v>
      </c>
      <c r="K11" s="710" t="e">
        <f>NOR_RIS_Guaranteed _2Q14</f>
        <v>#NAME?</v>
      </c>
      <c r="L11" s="710" t="e">
        <f>NOR_RIS_Guaranteed _3Q14</f>
        <v>#NAME?</v>
      </c>
      <c r="M11" s="710" t="e">
        <f>NOR_RIS_Guaranteed _4Q14</f>
        <v>#NAME?</v>
      </c>
      <c r="N11" s="710"/>
      <c r="O11" s="710" t="e">
        <f>NOR_RIS_Guaranteed F2010_</f>
        <v>#NAME?</v>
      </c>
      <c r="P11" s="710" t="e">
        <f>NOR_RIS_Guaranteed F2011_</f>
        <v>#NAME?</v>
      </c>
      <c r="Q11" s="710" t="e">
        <f>NOR_RIS_Guaranteed F2012_</f>
        <v>#NAME?</v>
      </c>
      <c r="R11" s="710" t="e">
        <f>NOR_RIS_Guaranteed F2013_</f>
        <v>#NAME?</v>
      </c>
      <c r="S11" s="710">
        <f>NOR_RIS_Spread F2014_</f>
        <v>470.20000000000027</v>
      </c>
      <c r="T11" s="710">
        <f>NOR_RIS_Spread F2015_</f>
        <v>437.59999999999991</v>
      </c>
      <c r="U11" s="710">
        <f>NOR_RIS_Spread F2016_</f>
        <v>491.5</v>
      </c>
      <c r="V11" s="710">
        <f>NOR_RIS_Spread F2017_</f>
        <v>544.20000000000073</v>
      </c>
      <c r="W11" s="710">
        <f>NOR_RIS_Spread F2018_</f>
        <v>544.8495967230001</v>
      </c>
      <c r="X11" s="710">
        <f>NOR_RIS_Spread F2019_</f>
        <v>565.75532314282827</v>
      </c>
      <c r="Y11" s="710"/>
    </row>
    <row r="12" spans="1:33" ht="12.75" customHeight="1" x14ac:dyDescent="0.2">
      <c r="A12" s="2" t="s">
        <v>437</v>
      </c>
      <c r="F12" s="260" t="e">
        <f t="shared" ref="F12:M12" si="2">(F11/B11-1)*100</f>
        <v>#NAME?</v>
      </c>
      <c r="G12" s="260" t="e">
        <f t="shared" si="2"/>
        <v>#NAME?</v>
      </c>
      <c r="H12" s="260" t="e">
        <f t="shared" si="2"/>
        <v>#NAME?</v>
      </c>
      <c r="I12" s="260" t="e">
        <f t="shared" si="2"/>
        <v>#NAME?</v>
      </c>
      <c r="J12" s="260" t="e">
        <f t="shared" si="2"/>
        <v>#NAME?</v>
      </c>
      <c r="K12" s="260" t="e">
        <f t="shared" si="2"/>
        <v>#NAME?</v>
      </c>
      <c r="L12" s="260" t="e">
        <f t="shared" si="2"/>
        <v>#NAME?</v>
      </c>
      <c r="M12" s="260" t="e">
        <f t="shared" si="2"/>
        <v>#NAME?</v>
      </c>
      <c r="P12" s="260" t="e">
        <f t="shared" ref="P12:X12" si="3">(P11/O11-1)*100</f>
        <v>#NAME?</v>
      </c>
      <c r="Q12" s="260" t="e">
        <f t="shared" si="3"/>
        <v>#NAME?</v>
      </c>
      <c r="R12" s="260" t="e">
        <f t="shared" si="3"/>
        <v>#NAME?</v>
      </c>
      <c r="S12" s="260"/>
      <c r="T12" s="326">
        <f>(T11/S11-1)*100</f>
        <v>-6.9332199064228721</v>
      </c>
      <c r="U12" s="326">
        <f t="shared" si="3"/>
        <v>12.317184643510082</v>
      </c>
      <c r="V12" s="260">
        <f t="shared" si="3"/>
        <v>10.72227873855558</v>
      </c>
      <c r="W12" s="260">
        <f t="shared" si="3"/>
        <v>0.11936727728765195</v>
      </c>
      <c r="X12" s="260">
        <f t="shared" si="3"/>
        <v>3.8369719910899658</v>
      </c>
      <c r="Y12" s="260">
        <f>AVERAGE(T12:X12)</f>
        <v>4.0125165488040819</v>
      </c>
      <c r="AA12" s="247" t="s">
        <v>333</v>
      </c>
      <c r="AB12" s="581" t="s">
        <v>169</v>
      </c>
      <c r="AC12" s="581" t="s">
        <v>169</v>
      </c>
      <c r="AD12" s="812" t="s">
        <v>669</v>
      </c>
      <c r="AE12" s="581" t="s">
        <v>341</v>
      </c>
      <c r="AF12" s="581" t="s">
        <v>669</v>
      </c>
      <c r="AG12" s="581" t="s">
        <v>669</v>
      </c>
    </row>
    <row r="13" spans="1:33" ht="12.75" customHeight="1" x14ac:dyDescent="0.2">
      <c r="AA13" s="7"/>
      <c r="AB13" s="7"/>
      <c r="AC13" s="7"/>
    </row>
    <row r="14" spans="1:33" s="103" customFormat="1" ht="12.75" customHeight="1" x14ac:dyDescent="0.2">
      <c r="A14" s="103" t="s">
        <v>522</v>
      </c>
      <c r="B14" s="263" t="e">
        <f>CorePT_Guaranteed _1Q12</f>
        <v>#NAME?</v>
      </c>
      <c r="C14" s="263" t="e">
        <f>CorePT_Guaranteed _2Q12</f>
        <v>#NAME?</v>
      </c>
      <c r="D14" s="263" t="e">
        <f>CorePT_Guaranteed _3Q12</f>
        <v>#NAME?</v>
      </c>
      <c r="E14" s="263" t="e">
        <f>CorePT_Guaranteed _4Q12</f>
        <v>#NAME?</v>
      </c>
      <c r="F14" s="263">
        <f>CorePT_Guaranteed _1Q13</f>
        <v>51.800000000000011</v>
      </c>
      <c r="G14" s="263">
        <f>CorePT_Guaranteed _2Q13</f>
        <v>69.699999999999989</v>
      </c>
      <c r="H14" s="263">
        <f>CorePT_Guaranteed _3Q13</f>
        <v>80.200000000000102</v>
      </c>
      <c r="I14" s="263">
        <f>CorePT_Guaranteed _4Q13</f>
        <v>84.284615384615307</v>
      </c>
      <c r="J14" s="263">
        <f>CorePT_Guaranteed _1Q14</f>
        <v>62.700000000000102</v>
      </c>
      <c r="K14" s="263">
        <f>CorePT_Guaranteed _2Q14</f>
        <v>73.199999999999989</v>
      </c>
      <c r="L14" s="263">
        <f>CorePT_Guaranteed _3Q14</f>
        <v>65.099999999999966</v>
      </c>
      <c r="M14" s="263">
        <f>CorePT_Guaranteed _4Q14</f>
        <v>83.100000000000023</v>
      </c>
      <c r="N14" s="263"/>
      <c r="O14" s="263" t="e">
        <f>CorePT_Guaranteed F2010_</f>
        <v>#NAME?</v>
      </c>
      <c r="P14" s="263" t="e">
        <f>CorePT_Guaranteed F2011_</f>
        <v>#NAME?</v>
      </c>
      <c r="Q14" s="263" t="e">
        <f>CorePT_Guaranteed F2012_</f>
        <v>#NAME?</v>
      </c>
      <c r="R14" s="263">
        <f>CorePT_Guaranteed F2013_</f>
        <v>285.98461538461527</v>
      </c>
      <c r="S14" s="263">
        <f>CorePT_Spread F2014_</f>
        <v>258.85384615384595</v>
      </c>
      <c r="T14" s="263">
        <f>CorePT_Spread F2015_</f>
        <v>252.90769230769178</v>
      </c>
      <c r="U14" s="263">
        <f>CorePT_Spread F2016_</f>
        <v>279.50000000000034</v>
      </c>
      <c r="V14" s="263">
        <f>CorePT_Spread F2017_</f>
        <v>342</v>
      </c>
      <c r="W14" s="263">
        <f>CorePT_Spread F2018_</f>
        <v>346.61418994044107</v>
      </c>
      <c r="X14" s="263">
        <f>CorePT_Spread F2019_</f>
        <v>358.31452402740069</v>
      </c>
      <c r="Y14" s="263"/>
      <c r="AD14" s="573"/>
    </row>
    <row r="15" spans="1:33" ht="12.75" customHeight="1" x14ac:dyDescent="0.2">
      <c r="A15" s="2" t="s">
        <v>13</v>
      </c>
      <c r="B15" s="260" t="e">
        <f>Guaranteed_RONR_Core _1Q12</f>
        <v>#NAME?</v>
      </c>
      <c r="C15" s="260" t="e">
        <f>Guaranteed_RONR_Core _2Q12</f>
        <v>#NAME?</v>
      </c>
      <c r="D15" s="260" t="e">
        <f>Guaranteed_RONR_Core _3Q12</f>
        <v>#NAME?</v>
      </c>
      <c r="E15" s="260" t="e">
        <f>Guaranteed_RONR_Core _4Q12</f>
        <v>#NAME?</v>
      </c>
      <c r="F15" s="260" t="e">
        <f>Guaranteed_RONR_Core _1Q13</f>
        <v>#NAME?</v>
      </c>
      <c r="G15" s="260" t="e">
        <f>Guaranteed_RONR_Core _2Q13</f>
        <v>#NAME?</v>
      </c>
      <c r="H15" s="260" t="e">
        <f>Guaranteed_RONR_Core _3Q13</f>
        <v>#NAME?</v>
      </c>
      <c r="I15" s="260" t="e">
        <f>Guaranteed_RONR_Core _4Q13</f>
        <v>#NAME?</v>
      </c>
      <c r="J15" s="260" t="e">
        <f>Guaranteed_RONR_Core _1Q14</f>
        <v>#NAME?</v>
      </c>
      <c r="K15" s="260" t="e">
        <f>Guaranteed_RONR_Core _2Q14</f>
        <v>#NAME?</v>
      </c>
      <c r="L15" s="260" t="e">
        <f>Guaranteed_RONR_Core _3Q14</f>
        <v>#NAME?</v>
      </c>
      <c r="M15" s="260" t="e">
        <f>Guaranteed_RONR_Core _4Q14</f>
        <v>#NAME?</v>
      </c>
      <c r="N15" s="260"/>
      <c r="O15" s="260" t="e">
        <f>Guaranteed_RONR_Core F2010_</f>
        <v>#NAME?</v>
      </c>
      <c r="P15" s="260" t="e">
        <f>Guaranteed_RONR_Core F2011_</f>
        <v>#NAME?</v>
      </c>
      <c r="Q15" s="260" t="e">
        <f>Guaranteed_RONR_Core F2012_</f>
        <v>#NAME?</v>
      </c>
      <c r="R15" s="260" t="e">
        <f>Guaranteed_RONR_Core F2013_</f>
        <v>#NAME?</v>
      </c>
      <c r="S15" s="260">
        <f>Spread_RONR_Core F2014_</f>
        <v>57.996597192683893</v>
      </c>
      <c r="T15" s="260">
        <f>Spread_RONR_Core F2015_</f>
        <v>57.794262410350051</v>
      </c>
      <c r="U15" s="326">
        <f>Spread_RONR_Core F2016_</f>
        <v>56.866734486266601</v>
      </c>
      <c r="V15" s="260">
        <f>Spread_RONR_Core F2017_</f>
        <v>62.844542447629458</v>
      </c>
      <c r="W15" s="260">
        <f>Spread_RONR_Core F2018_</f>
        <v>63.616490133268591</v>
      </c>
      <c r="X15" s="260">
        <f>Spread_RONR_Core F2019_</f>
        <v>63.333831670717146</v>
      </c>
      <c r="Y15" s="326">
        <f>AVERAGE(T15:X15)</f>
        <v>60.891172229646372</v>
      </c>
      <c r="AA15" s="247" t="s">
        <v>332</v>
      </c>
      <c r="AB15" s="581" t="s">
        <v>170</v>
      </c>
      <c r="AC15" s="581" t="s">
        <v>170</v>
      </c>
      <c r="AD15" s="812" t="s">
        <v>346</v>
      </c>
      <c r="AE15" s="581" t="s">
        <v>622</v>
      </c>
      <c r="AF15" s="581" t="s">
        <v>346</v>
      </c>
      <c r="AG15" s="581" t="s">
        <v>707</v>
      </c>
    </row>
    <row r="16" spans="1:33" ht="12.75" customHeight="1" x14ac:dyDescent="0.2">
      <c r="A16" s="2" t="s">
        <v>534</v>
      </c>
      <c r="S16" s="260">
        <f>Spread_TaxRate F2014_</f>
        <v>0</v>
      </c>
      <c r="T16" s="260">
        <f>Spread_TaxRate F2015_</f>
        <v>30.008110300081182</v>
      </c>
      <c r="U16" s="260">
        <f>Spread_TaxRate F2016_</f>
        <v>30.0896712055794</v>
      </c>
      <c r="V16" s="260">
        <f>Spread_TaxRate F2017_</f>
        <v>30.455764075067055</v>
      </c>
      <c r="W16" s="260">
        <f>Spread_TaxRate F2018_</f>
        <v>19.00000000000005</v>
      </c>
      <c r="X16" s="260">
        <f>Spread_TaxRate F2019_</f>
        <v>19.00000000000005</v>
      </c>
      <c r="Y16" s="260">
        <f>AVERAGE(T16:X16)</f>
        <v>25.710709116145544</v>
      </c>
      <c r="AE16" s="582" t="s">
        <v>633</v>
      </c>
      <c r="AF16" s="582" t="s">
        <v>335</v>
      </c>
      <c r="AG16" s="582" t="s">
        <v>335</v>
      </c>
    </row>
    <row r="17" spans="1:33" s="572" customFormat="1" ht="12.75" customHeight="1" x14ac:dyDescent="0.2">
      <c r="A17" s="571" t="s">
        <v>533</v>
      </c>
      <c r="AD17" s="574"/>
    </row>
    <row r="18" spans="1:33" ht="12.75" customHeight="1" x14ac:dyDescent="0.2">
      <c r="A18" s="2" t="s">
        <v>78</v>
      </c>
      <c r="B18" s="710" t="e">
        <f>Premiums_Life _1Q12</f>
        <v>#NAME?</v>
      </c>
      <c r="C18" s="710" t="e">
        <f>Premiums_Life _2Q12</f>
        <v>#NAME?</v>
      </c>
      <c r="D18" s="710" t="e">
        <f>Premiums_Life _3Q12</f>
        <v>#NAME?</v>
      </c>
      <c r="E18" s="710" t="e">
        <f>Premiums_Life _4Q12</f>
        <v>#NAME?</v>
      </c>
      <c r="F18" s="710">
        <f>Premiums_Life _1Q13</f>
        <v>239</v>
      </c>
      <c r="G18" s="710">
        <f>Premiums_Life _2Q13</f>
        <v>226.5</v>
      </c>
      <c r="H18" s="710">
        <f>Premiums_Life _3Q13</f>
        <v>216.10000000000002</v>
      </c>
      <c r="I18" s="710">
        <f>Premiums_Life _4Q13</f>
        <v>225.5</v>
      </c>
      <c r="J18" s="710">
        <f>Premiums_Life _1Q14</f>
        <v>234.6</v>
      </c>
      <c r="K18" s="710">
        <f>Premiums_Life _2Q14</f>
        <v>231.6</v>
      </c>
      <c r="L18" s="710">
        <f>Premiums_Life _3Q14</f>
        <v>235.2</v>
      </c>
      <c r="M18" s="710">
        <f>Premiums_Life _4Q14</f>
        <v>234.3</v>
      </c>
      <c r="N18" s="710"/>
      <c r="O18" s="710" t="e">
        <f>Premiums_Life F2010_</f>
        <v>#NAME?</v>
      </c>
      <c r="P18" s="710" t="e">
        <f>Premiums_Life F2011_</f>
        <v>#NAME?</v>
      </c>
      <c r="Q18" s="710" t="e">
        <f>Premiums_Life F2012_</f>
        <v>#NAME?</v>
      </c>
      <c r="R18" s="710">
        <f>Premiums_Life F2013_</f>
        <v>907.1</v>
      </c>
      <c r="S18" s="710">
        <f>Premiums_Life F2014_</f>
        <v>935.7</v>
      </c>
      <c r="T18" s="710">
        <f>Premiums_Life F2015_</f>
        <v>966.1</v>
      </c>
      <c r="U18" s="710">
        <f>Premiums_Life F2016_</f>
        <v>996.1</v>
      </c>
      <c r="V18" s="710">
        <f>Premiums_Life F2017_</f>
        <v>1082.3</v>
      </c>
      <c r="W18" s="710">
        <f>Premiums_Life F2018_</f>
        <v>1100.2996441830001</v>
      </c>
      <c r="X18" s="710">
        <f>Premiums_Life F2019_</f>
        <v>1144.3116299503201</v>
      </c>
      <c r="Y18" s="710"/>
    </row>
    <row r="19" spans="1:33" ht="12.75" customHeight="1" x14ac:dyDescent="0.2">
      <c r="A19" s="2" t="s">
        <v>437</v>
      </c>
      <c r="F19" s="260" t="e">
        <f t="shared" ref="F19:M19" si="4">(F18/B18-1)*100</f>
        <v>#NAME?</v>
      </c>
      <c r="G19" s="260" t="e">
        <f t="shared" si="4"/>
        <v>#NAME?</v>
      </c>
      <c r="H19" s="260" t="e">
        <f t="shared" si="4"/>
        <v>#NAME?</v>
      </c>
      <c r="I19" s="260" t="e">
        <f t="shared" si="4"/>
        <v>#NAME?</v>
      </c>
      <c r="J19" s="260">
        <f t="shared" si="4"/>
        <v>-1.8410041841004254</v>
      </c>
      <c r="K19" s="260">
        <f t="shared" si="4"/>
        <v>2.251655629139071</v>
      </c>
      <c r="L19" s="260">
        <f t="shared" si="4"/>
        <v>8.8385006941230628</v>
      </c>
      <c r="M19" s="260">
        <f t="shared" si="4"/>
        <v>3.9024390243902474</v>
      </c>
      <c r="P19" s="260" t="e">
        <f t="shared" ref="P19:X19" si="5">(P18/O18-1)*100</f>
        <v>#NAME?</v>
      </c>
      <c r="Q19" s="260" t="e">
        <f t="shared" si="5"/>
        <v>#NAME?</v>
      </c>
      <c r="R19" s="260" t="e">
        <f t="shared" si="5"/>
        <v>#NAME?</v>
      </c>
      <c r="S19" s="260">
        <f t="shared" si="5"/>
        <v>3.1529048616470101</v>
      </c>
      <c r="T19" s="260">
        <f t="shared" si="5"/>
        <v>3.2489045634284563</v>
      </c>
      <c r="U19" s="260">
        <f t="shared" si="5"/>
        <v>3.1052686057343903</v>
      </c>
      <c r="V19" s="260">
        <f t="shared" si="5"/>
        <v>8.653749623531759</v>
      </c>
      <c r="W19" s="260">
        <f t="shared" si="5"/>
        <v>1.6630919507530262</v>
      </c>
      <c r="X19" s="260">
        <f t="shared" si="5"/>
        <v>4.0000000000000036</v>
      </c>
      <c r="Y19" s="260">
        <f>AVERAGE(T19:X19)</f>
        <v>4.1342029486895271</v>
      </c>
      <c r="AA19" s="245" t="s">
        <v>338</v>
      </c>
      <c r="AB19" s="581" t="s">
        <v>338</v>
      </c>
      <c r="AC19" s="581" t="s">
        <v>338</v>
      </c>
      <c r="AD19" s="812" t="s">
        <v>676</v>
      </c>
      <c r="AE19" s="581" t="s">
        <v>338</v>
      </c>
      <c r="AF19" s="581" t="s">
        <v>676</v>
      </c>
      <c r="AG19" s="581" t="s">
        <v>676</v>
      </c>
    </row>
    <row r="20" spans="1:33" ht="12.75" customHeight="1" x14ac:dyDescent="0.2">
      <c r="AA20" s="7"/>
      <c r="AB20" s="7"/>
      <c r="AC20" s="7"/>
    </row>
    <row r="21" spans="1:33" s="103" customFormat="1" ht="12.75" customHeight="1" x14ac:dyDescent="0.2">
      <c r="A21" s="103" t="s">
        <v>522</v>
      </c>
      <c r="B21" s="263" t="e">
        <f>CorePT_Life _1Q12</f>
        <v>#NAME?</v>
      </c>
      <c r="C21" s="263" t="e">
        <f>CorePT_Life _2Q12</f>
        <v>#NAME?</v>
      </c>
      <c r="D21" s="263" t="e">
        <f>CorePT_Life _3Q12</f>
        <v>#NAME?</v>
      </c>
      <c r="E21" s="263" t="e">
        <f>CorePT_Life _4Q12</f>
        <v>#NAME?</v>
      </c>
      <c r="F21" s="263">
        <f>CorePT_Life _1Q13</f>
        <v>19.900000000000034</v>
      </c>
      <c r="G21" s="263">
        <f>CorePT_Life _2Q13</f>
        <v>30.199999999999989</v>
      </c>
      <c r="H21" s="263">
        <f>CorePT_Life _3Q13</f>
        <v>31.500000000000057</v>
      </c>
      <c r="I21" s="263">
        <f>CorePT_Life _4Q13</f>
        <v>42.584615384615375</v>
      </c>
      <c r="J21" s="263">
        <f>CorePT_Life _1Q14</f>
        <v>21.800000000000011</v>
      </c>
      <c r="K21" s="263">
        <f>CorePT_Life _2Q14</f>
        <v>27.599999999999966</v>
      </c>
      <c r="L21" s="263">
        <f>CorePT_Life _3Q14</f>
        <v>16.499999999999943</v>
      </c>
      <c r="M21" s="263">
        <f>CorePT_Life _4Q14</f>
        <v>39.000000000000057</v>
      </c>
      <c r="N21" s="263"/>
      <c r="O21" s="263" t="e">
        <f>CorePT_Life F2010_</f>
        <v>#NAME?</v>
      </c>
      <c r="P21" s="263" t="e">
        <f>CorePT_Life F2011_</f>
        <v>#NAME?</v>
      </c>
      <c r="Q21" s="263" t="e">
        <f>CorePT_Life F2012_</f>
        <v>#NAME?</v>
      </c>
      <c r="R21" s="263">
        <f>CorePT_Life F2013_</f>
        <v>124.18461538461557</v>
      </c>
      <c r="S21" s="263">
        <f>CorePT_Life F2014_</f>
        <v>104.90000000000009</v>
      </c>
      <c r="T21" s="263">
        <f>CorePT_Life F2015_</f>
        <v>143.86923076923046</v>
      </c>
      <c r="U21" s="263">
        <f>CorePT_Life F2016_</f>
        <v>153.49999999999972</v>
      </c>
      <c r="V21" s="263">
        <f>CorePT_Life F2017_</f>
        <v>173.20000000000005</v>
      </c>
      <c r="W21" s="263">
        <f>CorePT_Life F2018_</f>
        <v>166.35946136308257</v>
      </c>
      <c r="X21" s="263">
        <f>CorePT_Life F2019_</f>
        <v>174.86614895248226</v>
      </c>
      <c r="Y21" s="263"/>
      <c r="AD21" s="573"/>
    </row>
    <row r="22" spans="1:33" ht="12.75" customHeight="1" x14ac:dyDescent="0.2">
      <c r="A22" s="2" t="s">
        <v>664</v>
      </c>
      <c r="B22" s="260" t="e">
        <f>CorePTMargin_Life _1Q12</f>
        <v>#NAME?</v>
      </c>
      <c r="C22" s="260" t="e">
        <f>CorePTMargin_Life _2Q12</f>
        <v>#NAME?</v>
      </c>
      <c r="D22" s="260" t="e">
        <f>CorePTMargin_Life _3Q12</f>
        <v>#NAME?</v>
      </c>
      <c r="E22" s="260" t="e">
        <f>CorePTMargin_Life _4Q12</f>
        <v>#NAME?</v>
      </c>
      <c r="F22" s="260">
        <f>CorePTMargin_Life _1Q13</f>
        <v>8.3263598326359975</v>
      </c>
      <c r="G22" s="260">
        <f>CorePTMargin_Life _2Q13</f>
        <v>13.333333333333327</v>
      </c>
      <c r="H22" s="260">
        <f>CorePTMargin_Life _3Q13</f>
        <v>14.57658491439151</v>
      </c>
      <c r="I22" s="260">
        <f>CorePTMargin_Life _4Q13</f>
        <v>18.884530104042298</v>
      </c>
      <c r="J22" s="260">
        <f>CorePTMargin_Life _1Q14</f>
        <v>9.2924126172208066</v>
      </c>
      <c r="K22" s="260">
        <f>CorePTMargin_Life _2Q14</f>
        <v>11.91709844559584</v>
      </c>
      <c r="L22" s="260">
        <f>CorePTMargin_Life _3Q14</f>
        <v>7.0153061224489557</v>
      </c>
      <c r="M22" s="260">
        <f>CorePTMargin_Life _4Q14</f>
        <v>16.64532650448146</v>
      </c>
      <c r="N22" s="260"/>
      <c r="O22" s="260" t="e">
        <f>CorePTMargin_Life F2010_</f>
        <v>#NAME?</v>
      </c>
      <c r="P22" s="260" t="e">
        <f>CorePTMargin_Life F2011_</f>
        <v>#NAME?</v>
      </c>
      <c r="Q22" s="260" t="e">
        <f>CorePTMargin_Life F2012_</f>
        <v>#NAME?</v>
      </c>
      <c r="R22" s="260">
        <f>CorePTMargin_Life F2013_</f>
        <v>13.690289426150985</v>
      </c>
      <c r="S22" s="326">
        <f>CorePTMargin_Life F2014_</f>
        <v>11.21085818104094</v>
      </c>
      <c r="T22" s="326">
        <f>CorePTMargin_Life F2015_</f>
        <v>14.891753521294943</v>
      </c>
      <c r="U22" s="326">
        <f>CorePTMargin_Life F2016_</f>
        <v>15.410099387611655</v>
      </c>
      <c r="V22" s="326">
        <f>CorePTMargin_Life F2017_</f>
        <v>16.002956666358685</v>
      </c>
      <c r="W22" s="326">
        <f>CorePTMargin_Life F2018_</f>
        <v>15.119468795848665</v>
      </c>
      <c r="X22" s="326">
        <f>CorePTMargin_Life F2019_</f>
        <v>15.281339835729366</v>
      </c>
      <c r="Y22" s="260">
        <f>AVERAGE(T22:X22)</f>
        <v>15.341123641368663</v>
      </c>
      <c r="AA22" s="247" t="s">
        <v>340</v>
      </c>
      <c r="AB22" s="581" t="s">
        <v>171</v>
      </c>
      <c r="AC22" s="581" t="s">
        <v>524</v>
      </c>
      <c r="AD22" s="812" t="s">
        <v>344</v>
      </c>
      <c r="AE22" s="582" t="s">
        <v>343</v>
      </c>
      <c r="AF22" s="582" t="s">
        <v>681</v>
      </c>
      <c r="AG22" s="582" t="s">
        <v>681</v>
      </c>
    </row>
    <row r="23" spans="1:33" ht="12.75" customHeight="1" x14ac:dyDescent="0.2">
      <c r="A23" s="2" t="s">
        <v>534</v>
      </c>
      <c r="S23" s="260">
        <f>Risk_TaxRate F2014_</f>
        <v>0</v>
      </c>
      <c r="T23" s="260">
        <f>Risk_TaxRate F2015_</f>
        <v>33.317811408614695</v>
      </c>
      <c r="U23" s="260">
        <f>Risk_TaxRate F2016_</f>
        <v>32.890365448505051</v>
      </c>
      <c r="V23" s="260">
        <f>Risk_TaxRate F2017_</f>
        <v>32.284897322589032</v>
      </c>
      <c r="W23" s="260">
        <f>Risk_TaxRate F2018_</f>
        <v>18.999999999999986</v>
      </c>
      <c r="X23" s="260">
        <f>Risk_TaxRate F2019_</f>
        <v>18.999999999999986</v>
      </c>
      <c r="Y23" s="260">
        <f>AVERAGE(T23:X23)</f>
        <v>27.298614835941748</v>
      </c>
      <c r="AE23" s="582" t="s">
        <v>633</v>
      </c>
      <c r="AF23" s="582" t="s">
        <v>684</v>
      </c>
      <c r="AG23" s="582" t="s">
        <v>708</v>
      </c>
    </row>
    <row r="24" spans="1:33" s="572" customFormat="1" ht="12.75" customHeight="1" x14ac:dyDescent="0.2">
      <c r="A24" s="571" t="s">
        <v>442</v>
      </c>
      <c r="AD24" s="574"/>
    </row>
    <row r="25" spans="1:33" ht="12.75" customHeight="1" x14ac:dyDescent="0.2">
      <c r="A25" s="2" t="s">
        <v>78</v>
      </c>
      <c r="B25" s="710" t="e">
        <f>Premiums_Group _1Q12</f>
        <v>#NAME?</v>
      </c>
      <c r="C25" s="710" t="e">
        <f>Premiums_Group _2Q12</f>
        <v>#NAME?</v>
      </c>
      <c r="D25" s="710" t="e">
        <f>Premiums_Group _3Q12</f>
        <v>#NAME?</v>
      </c>
      <c r="E25" s="710" t="e">
        <f>Premiums_Group _4Q12</f>
        <v>#NAME?</v>
      </c>
      <c r="F25" s="710">
        <f>Premiums_Group _1Q13</f>
        <v>366.7</v>
      </c>
      <c r="G25" s="710">
        <f>Premiums_Group _2Q13</f>
        <v>372.3</v>
      </c>
      <c r="H25" s="710">
        <f>Premiums_Group _3Q13</f>
        <v>371.9</v>
      </c>
      <c r="I25" s="710">
        <f>Premiums_Group _4Q13</f>
        <v>381.8</v>
      </c>
      <c r="J25" s="710">
        <f>Premiums_Group _1Q14</f>
        <v>385.1</v>
      </c>
      <c r="K25" s="710">
        <f>Premiums_Group _2Q14</f>
        <v>394.9</v>
      </c>
      <c r="L25" s="710">
        <f>Premiums_Group _3Q14</f>
        <v>405.1</v>
      </c>
      <c r="M25" s="710">
        <f>Premiums_Group _4Q14</f>
        <v>406.29999999999995</v>
      </c>
      <c r="N25" s="710"/>
      <c r="O25" s="710" t="e">
        <f>Premiums_Group F2010_</f>
        <v>#NAME?</v>
      </c>
      <c r="P25" s="710" t="e">
        <f>Premiums_Group F2011_</f>
        <v>#NAME?</v>
      </c>
      <c r="Q25" s="710" t="e">
        <f>Premiums_Group F2012_</f>
        <v>#NAME?</v>
      </c>
      <c r="R25" s="710">
        <f>Premiums_Group F2013_</f>
        <v>1492.7</v>
      </c>
      <c r="S25" s="710">
        <f>Premiums_Group F2014_</f>
        <v>1591.3999999999999</v>
      </c>
      <c r="T25" s="710">
        <f>Premiums_Group F2015_</f>
        <v>1732.6000000000001</v>
      </c>
      <c r="U25" s="710">
        <f>Premiums_Group F2016_</f>
        <v>1862.3000000000002</v>
      </c>
      <c r="V25" s="710">
        <f>Premiums_Group F2017_</f>
        <v>2021.1</v>
      </c>
      <c r="W25" s="710">
        <f>Premiums_Group F2018_</f>
        <v>2162.5770000000002</v>
      </c>
      <c r="X25" s="710">
        <f>Premiums_Group F2019_</f>
        <v>2313.9573900000005</v>
      </c>
      <c r="Y25" s="710"/>
    </row>
    <row r="26" spans="1:33" ht="12.75" customHeight="1" x14ac:dyDescent="0.2">
      <c r="A26" s="2" t="s">
        <v>437</v>
      </c>
      <c r="F26" s="260" t="e">
        <f t="shared" ref="F26:M26" si="6">(F25/B25-1)*100</f>
        <v>#NAME?</v>
      </c>
      <c r="G26" s="260" t="e">
        <f t="shared" si="6"/>
        <v>#NAME?</v>
      </c>
      <c r="H26" s="260" t="e">
        <f t="shared" si="6"/>
        <v>#NAME?</v>
      </c>
      <c r="I26" s="260" t="e">
        <f t="shared" si="6"/>
        <v>#NAME?</v>
      </c>
      <c r="J26" s="260">
        <f t="shared" si="6"/>
        <v>5.0177256613035182</v>
      </c>
      <c r="K26" s="260">
        <f t="shared" si="6"/>
        <v>6.0703733548213679</v>
      </c>
      <c r="L26" s="260">
        <f t="shared" si="6"/>
        <v>8.9271309491798956</v>
      </c>
      <c r="M26" s="260">
        <f t="shared" si="6"/>
        <v>6.4169722367731552</v>
      </c>
      <c r="P26" s="260" t="e">
        <f t="shared" ref="P26:X26" si="7">(P25/O25-1)*100</f>
        <v>#NAME?</v>
      </c>
      <c r="Q26" s="260" t="e">
        <f t="shared" si="7"/>
        <v>#NAME?</v>
      </c>
      <c r="R26" s="260" t="e">
        <f t="shared" si="7"/>
        <v>#NAME?</v>
      </c>
      <c r="S26" s="260">
        <f t="shared" si="7"/>
        <v>6.6121792724592954</v>
      </c>
      <c r="T26" s="260">
        <f t="shared" si="7"/>
        <v>8.8726907125801446</v>
      </c>
      <c r="U26" s="260">
        <f t="shared" si="7"/>
        <v>7.4858594020547065</v>
      </c>
      <c r="V26" s="260">
        <f t="shared" si="7"/>
        <v>8.5270901573323066</v>
      </c>
      <c r="W26" s="260">
        <f t="shared" si="7"/>
        <v>7.0000000000000062</v>
      </c>
      <c r="X26" s="260">
        <f t="shared" si="7"/>
        <v>7.0000000000000062</v>
      </c>
      <c r="Y26" s="260">
        <f>AVERAGE(T26:X26)</f>
        <v>7.777128054393434</v>
      </c>
      <c r="AA26" s="245" t="s">
        <v>333</v>
      </c>
      <c r="AB26" s="581" t="s">
        <v>338</v>
      </c>
      <c r="AC26" s="581" t="s">
        <v>333</v>
      </c>
      <c r="AD26" s="812" t="s">
        <v>673</v>
      </c>
      <c r="AE26" s="582" t="s">
        <v>333</v>
      </c>
      <c r="AF26" s="582" t="s">
        <v>673</v>
      </c>
      <c r="AG26" s="582" t="s">
        <v>673</v>
      </c>
    </row>
    <row r="27" spans="1:33" ht="12.75" customHeight="1" x14ac:dyDescent="0.2">
      <c r="AA27" s="7"/>
      <c r="AB27" s="7"/>
      <c r="AC27" s="7"/>
    </row>
    <row r="28" spans="1:33" s="103" customFormat="1" ht="12.75" customHeight="1" x14ac:dyDescent="0.2">
      <c r="A28" s="103" t="s">
        <v>522</v>
      </c>
      <c r="B28" s="263" t="e">
        <f>CorePT_Group _1Q12</f>
        <v>#NAME?</v>
      </c>
      <c r="C28" s="263" t="e">
        <f>CorePT_Group _2Q12</f>
        <v>#NAME?</v>
      </c>
      <c r="D28" s="263" t="e">
        <f>CorePT_Group _3Q12</f>
        <v>#NAME?</v>
      </c>
      <c r="E28" s="263" t="e">
        <f>CorePT_Group _4Q12</f>
        <v>#NAME?</v>
      </c>
      <c r="F28" s="263" t="e">
        <f>CorePT_Group _1Q13</f>
        <v>#NAME?</v>
      </c>
      <c r="G28" s="263" t="e">
        <f>CorePT_Group _2Q13</f>
        <v>#NAME?</v>
      </c>
      <c r="H28" s="263" t="e">
        <f>CorePT_Group _3Q13</f>
        <v>#NAME?</v>
      </c>
      <c r="I28" s="263" t="e">
        <f>CorePT_Group _4Q13</f>
        <v>#NAME?</v>
      </c>
      <c r="J28" s="263" t="e">
        <f>CorePT_Group _1Q14</f>
        <v>#NAME?</v>
      </c>
      <c r="K28" s="263" t="e">
        <f>CorePT_Group _2Q14</f>
        <v>#NAME?</v>
      </c>
      <c r="L28" s="263" t="e">
        <f>CorePT_Group _3Q14</f>
        <v>#NAME?</v>
      </c>
      <c r="M28" s="263" t="e">
        <f>CorePT_Group _4Q14</f>
        <v>#NAME?</v>
      </c>
      <c r="N28" s="263"/>
      <c r="O28" s="263" t="e">
        <f>CorePT_Group F2010_</f>
        <v>#NAME?</v>
      </c>
      <c r="P28" s="263" t="e">
        <f>CorePT_Group F2011_</f>
        <v>#NAME?</v>
      </c>
      <c r="Q28" s="263" t="e">
        <f>CorePT_Group F2012_</f>
        <v>#NAME?</v>
      </c>
      <c r="R28" s="263" t="e">
        <f>CorePT_Group F2013_</f>
        <v>#NAME?</v>
      </c>
      <c r="S28" s="263">
        <f>CorePT_SB F2014_</f>
        <v>179.19999999999982</v>
      </c>
      <c r="T28" s="263">
        <f>CorePT_SB F2015_</f>
        <v>203.63076923076954</v>
      </c>
      <c r="U28" s="263">
        <f>CorePT_SB F2016_</f>
        <v>228.00000000000009</v>
      </c>
      <c r="V28" s="263">
        <f>CorePT_SB F2017_</f>
        <v>241.49999999999955</v>
      </c>
      <c r="W28" s="263">
        <f>CorePT_SB F2018_</f>
        <v>277.53266284978167</v>
      </c>
      <c r="X28" s="263">
        <f>CorePT_SB F2019_</f>
        <v>292.15154771861262</v>
      </c>
      <c r="Y28" s="263"/>
      <c r="AD28" s="573"/>
    </row>
    <row r="29" spans="1:33" ht="12.75" customHeight="1" x14ac:dyDescent="0.2">
      <c r="A29" s="2" t="s">
        <v>664</v>
      </c>
      <c r="B29" s="260" t="e">
        <f>SpecBenef_CorePTMargin _1Q12</f>
        <v>#NAME?</v>
      </c>
      <c r="C29" s="260" t="e">
        <f>SpecBenef_CorePTMargin _2Q12</f>
        <v>#NAME?</v>
      </c>
      <c r="D29" s="260" t="e">
        <f>SpecBenef_CorePTMargin _3Q12</f>
        <v>#NAME?</v>
      </c>
      <c r="E29" s="260" t="e">
        <f>SpecBenef_CorePTMargin _4Q12</f>
        <v>#NAME?</v>
      </c>
      <c r="F29" s="260">
        <f>SpecBenef_CorePTMargin _1Q13</f>
        <v>8.6992091628033759</v>
      </c>
      <c r="G29" s="260">
        <f>SpecBenef_CorePTMargin _2Q13</f>
        <v>10.609723341391351</v>
      </c>
      <c r="H29" s="260">
        <f>SpecBenef_CorePTMargin _3Q13</f>
        <v>13.094917988706655</v>
      </c>
      <c r="I29" s="260">
        <f>SpecBenef_CorePTMargin _4Q13</f>
        <v>10.921948664222088</v>
      </c>
      <c r="J29" s="260">
        <f>SpecBenef_CorePTMargin _1Q14</f>
        <v>10.620618021293193</v>
      </c>
      <c r="K29" s="260">
        <f>SpecBenef_CorePTMargin _2Q14</f>
        <v>11.547227146112947</v>
      </c>
      <c r="L29" s="260">
        <f>SpecBenef_CorePTMargin _3Q14</f>
        <v>11.997037768452239</v>
      </c>
      <c r="M29" s="260">
        <f>SpecBenef_CorePTMargin _4Q14</f>
        <v>10.854048732463689</v>
      </c>
      <c r="N29" s="260"/>
      <c r="O29" s="260" t="e">
        <f>SpecBenef_CorePTMargin F2010_</f>
        <v>#NAME?</v>
      </c>
      <c r="P29" s="260" t="e">
        <f>SpecBenef_CorePTMargin F2011_</f>
        <v>#NAME?</v>
      </c>
      <c r="Q29" s="260" t="e">
        <f>SpecBenef_CorePTMargin F2012_</f>
        <v>#NAME?</v>
      </c>
      <c r="R29" s="260">
        <f>SpecBenef_CorePTMargin F2013_</f>
        <v>10.839418503383111</v>
      </c>
      <c r="S29" s="260">
        <f>SpecBenef_CorePTMargin F2014_</f>
        <v>11.260525323614418</v>
      </c>
      <c r="T29" s="260">
        <f>SpecBenef_CorePTMargin F2015_</f>
        <v>11.752901375434002</v>
      </c>
      <c r="U29" s="260">
        <f>SpecBenef_CorePTMargin F2016_</f>
        <v>12.242925414809648</v>
      </c>
      <c r="V29" s="260">
        <f>SpecBenef_CorePTMargin F2017_</f>
        <v>11.948938696749273</v>
      </c>
      <c r="W29" s="260">
        <f>SpecBenef_CorePTMargin F2018_</f>
        <v>12.833423404104529</v>
      </c>
      <c r="X29" s="260">
        <f>SpecBenef_CorePTMargin F2019_</f>
        <v>12.625623487328458</v>
      </c>
      <c r="Y29" s="260">
        <f>AVERAGE(T29:X29)</f>
        <v>12.280762475685183</v>
      </c>
      <c r="AA29" s="247" t="s">
        <v>341</v>
      </c>
      <c r="AB29" s="581" t="s">
        <v>347</v>
      </c>
      <c r="AC29" s="581" t="s">
        <v>347</v>
      </c>
      <c r="AD29" s="812" t="s">
        <v>674</v>
      </c>
      <c r="AE29" s="775" t="s">
        <v>347</v>
      </c>
      <c r="AF29" s="775" t="s">
        <v>674</v>
      </c>
      <c r="AG29" s="775" t="s">
        <v>674</v>
      </c>
    </row>
    <row r="30" spans="1:33" ht="12.75" customHeight="1" x14ac:dyDescent="0.2">
      <c r="AA30" s="7"/>
      <c r="AB30" s="7"/>
      <c r="AC30" s="7"/>
    </row>
    <row r="31" spans="1:33" ht="12.75" customHeight="1" x14ac:dyDescent="0.2">
      <c r="A31" s="2" t="s">
        <v>277</v>
      </c>
      <c r="B31" s="260" t="e">
        <f>BenefitsRatio_Group _1Q12</f>
        <v>#NAME?</v>
      </c>
      <c r="C31" s="260" t="e">
        <f>BenefitsRatio_Group _2Q12</f>
        <v>#NAME?</v>
      </c>
      <c r="D31" s="260" t="e">
        <f>BenefitsRatio_Group _3Q12</f>
        <v>#NAME?</v>
      </c>
      <c r="E31" s="260" t="e">
        <f>BenefitsRatio_Group _4Q12</f>
        <v>#NAME?</v>
      </c>
      <c r="F31" s="260">
        <f>BenefitsRatio_Group _1Q13</f>
        <v>66.430324515953103</v>
      </c>
      <c r="G31" s="260">
        <f>BenefitsRatio_Group _2Q13</f>
        <v>65.753424657534239</v>
      </c>
      <c r="H31" s="260">
        <f>BenefitsRatio_Group _3Q13</f>
        <v>65.017477816617372</v>
      </c>
      <c r="I31" s="260">
        <f>BenefitsRatio_Group _4Q13</f>
        <v>64.772132006286014</v>
      </c>
      <c r="J31" s="260">
        <f>BenefitsRatio_Group _1Q14</f>
        <v>67.17735653077122</v>
      </c>
      <c r="K31" s="260">
        <f>BenefitsRatio_Group _2Q14</f>
        <v>65.636870093694611</v>
      </c>
      <c r="L31" s="260">
        <f>BenefitsRatio_Group _3Q14</f>
        <v>64.107627746235494</v>
      </c>
      <c r="M31" s="260">
        <f>BenefitsRatio_Group _4Q14</f>
        <v>64.312084666502585</v>
      </c>
      <c r="N31" s="710"/>
      <c r="O31" s="260" t="e">
        <f>BenefitsRatio_Group F2010_</f>
        <v>#NAME?</v>
      </c>
      <c r="P31" s="260" t="e">
        <f>BenefitsRatio_Group F2011_</f>
        <v>#NAME?</v>
      </c>
      <c r="Q31" s="260" t="e">
        <f>BenefitsRatio_Group F2012_</f>
        <v>#NAME?</v>
      </c>
      <c r="R31" s="260">
        <f>BenefitsRatio_Group F2013_</f>
        <v>65.485362095531585</v>
      </c>
      <c r="S31" s="260">
        <f>BenefitsRatio_Group F2014_</f>
        <v>65.282141510619567</v>
      </c>
      <c r="T31" s="260">
        <f>BenefitsRatio_Group F2015_</f>
        <v>62.241717649774905</v>
      </c>
      <c r="U31" s="260">
        <f>BenefitsRatio_Group F2016_</f>
        <v>63.217526714278037</v>
      </c>
      <c r="V31" s="260">
        <f>BenefitsRatio_Group F2017_</f>
        <v>62.757904111622388</v>
      </c>
      <c r="W31" s="260">
        <f>BenefitsRatio_Group F2018_</f>
        <v>62.561179555687495</v>
      </c>
      <c r="X31" s="260">
        <f>BenefitsRatio_Group F2019_</f>
        <v>62.761179555687498</v>
      </c>
      <c r="Y31" s="260">
        <f>AVERAGE(T31:X31)</f>
        <v>62.707901517410065</v>
      </c>
      <c r="AA31" s="7"/>
      <c r="AB31" s="581" t="s">
        <v>342</v>
      </c>
      <c r="AC31" s="581" t="s">
        <v>525</v>
      </c>
      <c r="AD31" s="813" t="s">
        <v>675</v>
      </c>
      <c r="AE31" s="581" t="s">
        <v>525</v>
      </c>
      <c r="AF31" s="581" t="s">
        <v>675</v>
      </c>
      <c r="AG31" s="581" t="s">
        <v>675</v>
      </c>
    </row>
    <row r="32" spans="1:33" ht="12.75" customHeight="1" x14ac:dyDescent="0.2">
      <c r="A32" s="2" t="s">
        <v>534</v>
      </c>
      <c r="S32" s="260">
        <f>Risk_TaxRate F2014_</f>
        <v>0</v>
      </c>
      <c r="T32" s="260">
        <f>Risk_TaxRate F2015_</f>
        <v>33.317811408614695</v>
      </c>
      <c r="U32" s="260">
        <f>Risk_TaxRate F2016_</f>
        <v>32.890365448505051</v>
      </c>
      <c r="V32" s="260">
        <f>Risk_TaxRate F2017_</f>
        <v>32.284897322589032</v>
      </c>
      <c r="W32" s="260">
        <f>Risk_TaxRate F2018_</f>
        <v>18.999999999999986</v>
      </c>
      <c r="X32" s="260">
        <f>Risk_TaxRate F2019_</f>
        <v>18.999999999999986</v>
      </c>
      <c r="Y32" s="260">
        <f>AVERAGE(T32:X32)</f>
        <v>27.298614835941748</v>
      </c>
      <c r="AE32" s="582" t="s">
        <v>633</v>
      </c>
      <c r="AF32" s="582" t="s">
        <v>684</v>
      </c>
      <c r="AG32" s="582" t="s">
        <v>708</v>
      </c>
    </row>
    <row r="33" spans="1:33" s="572" customFormat="1" ht="12.75" customHeight="1" x14ac:dyDescent="0.2">
      <c r="A33" s="571" t="s">
        <v>79</v>
      </c>
      <c r="AD33" s="574"/>
    </row>
    <row r="34" spans="1:33" ht="12.75" customHeight="1" x14ac:dyDescent="0.2">
      <c r="A34" s="2" t="s">
        <v>623</v>
      </c>
      <c r="B34" s="710" t="e">
        <f>Rev_PGI _1Q12</f>
        <v>#NAME?</v>
      </c>
      <c r="C34" s="710" t="e">
        <f>Rev_PGI _2Q12</f>
        <v>#NAME?</v>
      </c>
      <c r="D34" s="710" t="e">
        <f>Rev_PGI _3Q12</f>
        <v>#NAME?</v>
      </c>
      <c r="E34" s="710" t="e">
        <f>Rev_PGI _4Q12</f>
        <v>#NAME?</v>
      </c>
      <c r="F34" s="710">
        <f>Rev_PGI _1Q13</f>
        <v>226.70000000000002</v>
      </c>
      <c r="G34" s="710">
        <f>Rev_PGI _2Q13</f>
        <v>243.89999999999998</v>
      </c>
      <c r="H34" s="710">
        <f>Rev_PGI _3Q13</f>
        <v>239.49999999999997</v>
      </c>
      <c r="I34" s="710">
        <f>Rev_PGI _4Q13</f>
        <v>317.90000000000003</v>
      </c>
      <c r="J34" s="710">
        <f>Rev_PGI _1Q14</f>
        <v>253.2</v>
      </c>
      <c r="K34" s="710">
        <f>Rev_PGI _2Q14</f>
        <v>260.59999999999997</v>
      </c>
      <c r="L34" s="710">
        <f>Rev_PGI _3Q14</f>
        <v>267.2</v>
      </c>
      <c r="M34" s="710">
        <f>Rev_PGI _4Q14</f>
        <v>303.40000000000003</v>
      </c>
      <c r="N34" s="710"/>
      <c r="O34" s="710" t="e">
        <f>Rev_PGI F2010_</f>
        <v>#NAME?</v>
      </c>
      <c r="P34" s="710" t="e">
        <f>Rev_PGI F2011_</f>
        <v>#NAME?</v>
      </c>
      <c r="Q34" s="710" t="e">
        <f>Rev_PGI F2012_</f>
        <v>#NAME?</v>
      </c>
      <c r="R34" s="710">
        <f>Rev_PGI F2013_</f>
        <v>1028</v>
      </c>
      <c r="S34" s="710">
        <f>Rev_PGI F2014_</f>
        <v>1084.4000000000001</v>
      </c>
      <c r="T34" s="710">
        <f>Rev_PGI F2015_</f>
        <v>1161.2</v>
      </c>
      <c r="U34" s="710">
        <f>Rev_PGI F2016_</f>
        <v>1224.0999999999999</v>
      </c>
      <c r="V34" s="710">
        <f>Rev_PGI F2017_</f>
        <v>1284.7999999999997</v>
      </c>
      <c r="W34" s="710">
        <f>Rev_PGI F2018_</f>
        <v>1371.4773485661126</v>
      </c>
      <c r="X34" s="710">
        <f>Rev_PGI F2019_</f>
        <v>1450.2508868927014</v>
      </c>
      <c r="Y34" s="710"/>
    </row>
    <row r="35" spans="1:33" ht="12.75" customHeight="1" x14ac:dyDescent="0.2">
      <c r="A35" s="2" t="s">
        <v>437</v>
      </c>
      <c r="F35" s="260" t="e">
        <f t="shared" ref="F35:M35" si="8">(F34/B34-1)*100</f>
        <v>#NAME?</v>
      </c>
      <c r="G35" s="260" t="e">
        <f t="shared" si="8"/>
        <v>#NAME?</v>
      </c>
      <c r="H35" s="260" t="e">
        <f t="shared" si="8"/>
        <v>#NAME?</v>
      </c>
      <c r="I35" s="260" t="e">
        <f t="shared" si="8"/>
        <v>#NAME?</v>
      </c>
      <c r="J35" s="260">
        <f t="shared" si="8"/>
        <v>11.689457432730466</v>
      </c>
      <c r="K35" s="260">
        <f t="shared" si="8"/>
        <v>6.8470684706847029</v>
      </c>
      <c r="L35" s="260">
        <f t="shared" si="8"/>
        <v>11.565762004175383</v>
      </c>
      <c r="M35" s="260">
        <f t="shared" si="8"/>
        <v>-4.5611827618748046</v>
      </c>
      <c r="P35" s="260" t="e">
        <f t="shared" ref="P35:X35" si="9">(P34/O34-1)*100</f>
        <v>#NAME?</v>
      </c>
      <c r="Q35" s="260" t="e">
        <f t="shared" si="9"/>
        <v>#NAME?</v>
      </c>
      <c r="R35" s="260" t="e">
        <f t="shared" si="9"/>
        <v>#NAME?</v>
      </c>
      <c r="S35" s="260">
        <f t="shared" si="9"/>
        <v>5.4863813229572012</v>
      </c>
      <c r="T35" s="260">
        <f>(T34/S34-1)*100</f>
        <v>7.0822574695684093</v>
      </c>
      <c r="U35" s="260">
        <f t="shared" si="9"/>
        <v>5.4168101963485871</v>
      </c>
      <c r="V35" s="260">
        <f t="shared" si="9"/>
        <v>4.9587452005555033</v>
      </c>
      <c r="W35" s="260">
        <f t="shared" si="9"/>
        <v>6.7463689730785203</v>
      </c>
      <c r="X35" s="260">
        <f t="shared" si="9"/>
        <v>5.7436995520886214</v>
      </c>
      <c r="Y35" s="260">
        <f>AVERAGE(T35:X35)</f>
        <v>5.9895762783279292</v>
      </c>
      <c r="AA35" s="245" t="s">
        <v>333</v>
      </c>
      <c r="AB35" s="581" t="s">
        <v>517</v>
      </c>
      <c r="AC35" s="581" t="s">
        <v>517</v>
      </c>
      <c r="AD35" s="812" t="s">
        <v>672</v>
      </c>
      <c r="AE35" s="581" t="s">
        <v>341</v>
      </c>
      <c r="AF35" s="581" t="s">
        <v>339</v>
      </c>
      <c r="AG35" s="581" t="s">
        <v>339</v>
      </c>
    </row>
    <row r="36" spans="1:33" ht="12.75" customHeight="1" x14ac:dyDescent="0.2">
      <c r="AA36" s="7"/>
      <c r="AB36" s="7"/>
      <c r="AC36" s="7"/>
    </row>
    <row r="37" spans="1:33" s="103" customFormat="1" ht="12.75" customHeight="1" x14ac:dyDescent="0.2">
      <c r="A37" s="103" t="s">
        <v>522</v>
      </c>
      <c r="B37" s="263" t="e">
        <f>CorePT_PGI _1Q12</f>
        <v>#NAME?</v>
      </c>
      <c r="C37" s="263" t="e">
        <f>CorePT_PGI _2Q12</f>
        <v>#NAME?</v>
      </c>
      <c r="D37" s="263" t="e">
        <f>CorePT_PGI _3Q12</f>
        <v>#NAME?</v>
      </c>
      <c r="E37" s="263" t="e">
        <f>CorePT_PGI _4Q12</f>
        <v>#NAME?</v>
      </c>
      <c r="F37" s="263">
        <f>CorePT_PGI _1Q13</f>
        <v>54.499408284023687</v>
      </c>
      <c r="G37" s="263">
        <f>CorePT_PGI _2Q13</f>
        <v>63.932544378698232</v>
      </c>
      <c r="H37" s="263">
        <f>CorePT_PGI _3Q13</f>
        <v>72.199999999999989</v>
      </c>
      <c r="I37" s="263">
        <f>CorePT_PGI _4Q13</f>
        <v>82.400000000000034</v>
      </c>
      <c r="J37" s="263">
        <f>CorePT_PGI _1Q14</f>
        <v>80.599999999999994</v>
      </c>
      <c r="K37" s="263">
        <f>CorePT_PGI _2Q14</f>
        <v>83.699999999999974</v>
      </c>
      <c r="L37" s="263">
        <f>CorePT_PGI _3Q14</f>
        <v>85.7</v>
      </c>
      <c r="M37" s="263">
        <f>CorePT_PGI _4Q14</f>
        <v>100.10000000000001</v>
      </c>
      <c r="N37" s="263"/>
      <c r="O37" s="263" t="e">
        <f>CorePT_PGI F2010_</f>
        <v>#NAME?</v>
      </c>
      <c r="P37" s="263" t="e">
        <f>CorePT_PGI F2011_</f>
        <v>#NAME?</v>
      </c>
      <c r="Q37" s="263" t="e">
        <f>CorePT_PGI F2012_</f>
        <v>#NAME?</v>
      </c>
      <c r="R37" s="263">
        <f>CorePT_PGI F2013_</f>
        <v>273.03195266272189</v>
      </c>
      <c r="S37" s="263">
        <f>CorePT_PGI F2014_</f>
        <v>350.1</v>
      </c>
      <c r="T37" s="263">
        <f>CorePT_PGI F2015_</f>
        <v>388.5</v>
      </c>
      <c r="U37" s="263">
        <f>CorePT_PGI F2016_</f>
        <v>443.80000000000007</v>
      </c>
      <c r="V37" s="263">
        <f>CorePT_PGI F2017_</f>
        <v>469.70000000000005</v>
      </c>
      <c r="W37" s="263">
        <f>CorePT_PGI F2018_</f>
        <v>524.79353037323403</v>
      </c>
      <c r="X37" s="263">
        <f>CorePT_PGI F2019_</f>
        <v>550.50015402645852</v>
      </c>
      <c r="Y37" s="263"/>
      <c r="AD37" s="573"/>
    </row>
    <row r="38" spans="1:33" ht="12.75" customHeight="1" x14ac:dyDescent="0.2">
      <c r="A38" s="2" t="s">
        <v>624</v>
      </c>
      <c r="B38" s="260" t="e">
        <f>PGI_Core_Margin _1Q12</f>
        <v>#NAME?</v>
      </c>
      <c r="C38" s="260" t="e">
        <f>PGI_Core_Margin _2Q12</f>
        <v>#NAME?</v>
      </c>
      <c r="D38" s="260" t="e">
        <f>PGI_Core_Margin _3Q12</f>
        <v>#NAME?</v>
      </c>
      <c r="E38" s="260" t="e">
        <f>PGI_Core_Margin _4Q12</f>
        <v>#NAME?</v>
      </c>
      <c r="F38" s="260">
        <f>PGI_Core_Margin _1Q13</f>
        <v>21.519869858238444</v>
      </c>
      <c r="G38" s="260">
        <f>PGI_Core_Margin _2Q13</f>
        <v>23.661560114762086</v>
      </c>
      <c r="H38" s="260">
        <f>PGI_Core_Margin _3Q13</f>
        <v>25.703097187611245</v>
      </c>
      <c r="I38" s="260">
        <f>PGI_Core_Margin _4Q13</f>
        <v>22.90161200667038</v>
      </c>
      <c r="J38" s="260">
        <f>PGI_Core_Margin _1Q14</f>
        <v>27.303523035230352</v>
      </c>
      <c r="K38" s="260">
        <f>PGI_Core_Margin _2Q14</f>
        <v>27.523840841828338</v>
      </c>
      <c r="L38" s="260">
        <f>PGI_Core_Margin _3Q14</f>
        <v>27.556270096463027</v>
      </c>
      <c r="M38" s="260">
        <f>PGI_Core_Margin _4Q14</f>
        <v>28.838951310861422</v>
      </c>
      <c r="N38" s="260"/>
      <c r="O38" s="260" t="e">
        <f>PGI_Core_Margin F2010_</f>
        <v>#NAME?</v>
      </c>
      <c r="P38" s="260" t="e">
        <f>PGI_Core_Margin F2011_</f>
        <v>#NAME?</v>
      </c>
      <c r="Q38" s="260" t="e">
        <f>PGI_Core_Margin F2012_</f>
        <v>#NAME?</v>
      </c>
      <c r="R38" s="260">
        <f>PGI_Core_Margin F2013_</f>
        <v>23.437065582144172</v>
      </c>
      <c r="S38" s="260">
        <f>PGI_Core_ROAR F2014_</f>
        <v>32.285134636665433</v>
      </c>
      <c r="T38" s="260">
        <f>PGI_Core_ROAR F2015_</f>
        <v>33.835687220117116</v>
      </c>
      <c r="U38" s="260">
        <f>PGI_Core_ROAR F2016_</f>
        <v>36.737194673637781</v>
      </c>
      <c r="V38" s="260">
        <f>PGI_Core_ROAR F2017_</f>
        <v>37.001867995018692</v>
      </c>
      <c r="W38" s="260">
        <f>PGI_Core_ROAR F2018_</f>
        <v>38.573172681082021</v>
      </c>
      <c r="X38" s="260">
        <f>PGI_Core_ROAR F2019_</f>
        <v>38.264833970601764</v>
      </c>
      <c r="Y38" s="260">
        <f>AVERAGE(T38:X38)</f>
        <v>36.882551308091472</v>
      </c>
      <c r="AA38" s="261" t="s">
        <v>336</v>
      </c>
      <c r="AB38" s="581" t="s">
        <v>172</v>
      </c>
      <c r="AC38" s="581" t="s">
        <v>172</v>
      </c>
      <c r="AD38" s="812" t="s">
        <v>625</v>
      </c>
      <c r="AE38" s="581" t="s">
        <v>625</v>
      </c>
      <c r="AF38" s="581" t="s">
        <v>679</v>
      </c>
      <c r="AG38" s="581" t="s">
        <v>709</v>
      </c>
    </row>
    <row r="39" spans="1:33" ht="12.75" customHeight="1" x14ac:dyDescent="0.2">
      <c r="A39" s="2" t="s">
        <v>534</v>
      </c>
      <c r="S39" s="260">
        <f>Fee_TaxRate F2014_</f>
        <v>0</v>
      </c>
      <c r="T39" s="260">
        <f>Fee_TaxRate F2015_</f>
        <v>17.514957079684372</v>
      </c>
      <c r="U39" s="260">
        <f>Fee_TaxRate F2016_</f>
        <v>19.383008242879299</v>
      </c>
      <c r="V39" s="260">
        <f>Fee_TaxRate F2017_</f>
        <v>19.570297776102528</v>
      </c>
      <c r="W39" s="260">
        <f>Fee_TaxRate F2018_</f>
        <v>19</v>
      </c>
      <c r="X39" s="260">
        <f>Fee_TaxRate F2019_</f>
        <v>19</v>
      </c>
      <c r="Y39" s="260">
        <f>AVERAGE(T39:X39)</f>
        <v>18.893652619733238</v>
      </c>
      <c r="AC39" s="7"/>
      <c r="AE39" s="582" t="s">
        <v>345</v>
      </c>
      <c r="AF39" s="582" t="s">
        <v>683</v>
      </c>
      <c r="AG39" s="582" t="s">
        <v>706</v>
      </c>
    </row>
    <row r="40" spans="1:33" s="572" customFormat="1" ht="12.75" customHeight="1" x14ac:dyDescent="0.2">
      <c r="A40" s="571" t="s">
        <v>438</v>
      </c>
      <c r="AD40" s="574"/>
    </row>
    <row r="41" spans="1:33" ht="12.75" customHeight="1" x14ac:dyDescent="0.2">
      <c r="A41" s="2" t="s">
        <v>665</v>
      </c>
      <c r="B41" s="710" t="e">
        <f>NOR_Intl _1Q12</f>
        <v>#NAME?</v>
      </c>
      <c r="C41" s="710" t="e">
        <f>NOR_Intl _2Q12</f>
        <v>#NAME?</v>
      </c>
      <c r="D41" s="710" t="e">
        <f>NOR_Intl _3Q12</f>
        <v>#NAME?</v>
      </c>
      <c r="E41" s="710" t="e">
        <f>NOR_Intl _4Q12</f>
        <v>#NAME?</v>
      </c>
      <c r="F41" s="710">
        <f>NOR_Intl _1Q13</f>
        <v>133.00000000000003</v>
      </c>
      <c r="G41" s="710">
        <f>NOR_Intl _2Q13</f>
        <v>165</v>
      </c>
      <c r="H41" s="710">
        <f>NOR_Intl _3Q13</f>
        <v>153.5</v>
      </c>
      <c r="I41" s="710">
        <f>NOR_Intl _4Q13</f>
        <v>182.3</v>
      </c>
      <c r="J41" s="710">
        <f>NOR_Intl _1Q14</f>
        <v>168.09999999999997</v>
      </c>
      <c r="K41" s="710">
        <f>NOR_Intl _2Q14</f>
        <v>177.80000000000004</v>
      </c>
      <c r="L41" s="710">
        <f>NOR_Intl _3Q14</f>
        <v>193.9</v>
      </c>
      <c r="M41" s="710">
        <f>NOR_Intl _4Q14</f>
        <v>177.19999999999996</v>
      </c>
      <c r="N41" s="710"/>
      <c r="O41" s="710" t="e">
        <f>NOR_Intl F2010_</f>
        <v>#NAME?</v>
      </c>
      <c r="P41" s="710" t="e">
        <f>NOR_Intl F2011_</f>
        <v>#NAME?</v>
      </c>
      <c r="Q41" s="710" t="e">
        <f>NOR_Intl F2012_</f>
        <v>#NAME?</v>
      </c>
      <c r="R41" s="710">
        <f>NOR_Intl F2013_</f>
        <v>633.79999999999995</v>
      </c>
      <c r="S41" s="710">
        <f>PI_CombNetRev F2014_</f>
        <v>0</v>
      </c>
      <c r="T41" s="710">
        <f>PI_CombNetRev F2015_</f>
        <v>767.6</v>
      </c>
      <c r="U41" s="710">
        <f>PI_CombNetRev F2016_</f>
        <v>791.7</v>
      </c>
      <c r="V41" s="710">
        <f>PI_CombNetRev F2017_</f>
        <v>922</v>
      </c>
      <c r="W41" s="710">
        <f>PI_CombNetRev F2018_</f>
        <v>980.96316578617552</v>
      </c>
      <c r="X41" s="710">
        <f>PI_CombNetRev F2019_</f>
        <v>1030.0113240754843</v>
      </c>
      <c r="Y41" s="710"/>
    </row>
    <row r="42" spans="1:33" ht="12.75" customHeight="1" x14ac:dyDescent="0.2">
      <c r="A42" s="2" t="s">
        <v>437</v>
      </c>
      <c r="F42" s="260" t="e">
        <f t="shared" ref="F42:M42" si="10">(F41/B41-1)*100</f>
        <v>#NAME?</v>
      </c>
      <c r="G42" s="260" t="e">
        <f t="shared" si="10"/>
        <v>#NAME?</v>
      </c>
      <c r="H42" s="260" t="e">
        <f t="shared" si="10"/>
        <v>#NAME?</v>
      </c>
      <c r="I42" s="260" t="e">
        <f t="shared" si="10"/>
        <v>#NAME?</v>
      </c>
      <c r="J42" s="260">
        <f t="shared" si="10"/>
        <v>26.390977443608964</v>
      </c>
      <c r="K42" s="260">
        <f t="shared" si="10"/>
        <v>7.7575757575757853</v>
      </c>
      <c r="L42" s="260">
        <f t="shared" si="10"/>
        <v>26.319218241042353</v>
      </c>
      <c r="M42" s="260">
        <f t="shared" si="10"/>
        <v>-2.7975863960504888</v>
      </c>
      <c r="P42" s="260" t="e">
        <f t="shared" ref="P42:X42" si="11">(P41/O41-1)*100</f>
        <v>#NAME?</v>
      </c>
      <c r="Q42" s="260" t="e">
        <f t="shared" si="11"/>
        <v>#NAME?</v>
      </c>
      <c r="R42" s="260" t="e">
        <f t="shared" si="11"/>
        <v>#NAME?</v>
      </c>
      <c r="S42" s="260">
        <f t="shared" si="11"/>
        <v>-100</v>
      </c>
      <c r="T42" s="326"/>
      <c r="U42" s="260">
        <f t="shared" si="11"/>
        <v>3.1396560708702559</v>
      </c>
      <c r="V42" s="260">
        <f t="shared" si="11"/>
        <v>16.458254389288875</v>
      </c>
      <c r="W42" s="260">
        <f t="shared" si="11"/>
        <v>6.3951372870038492</v>
      </c>
      <c r="X42" s="260">
        <f t="shared" si="11"/>
        <v>5.0000000000000044</v>
      </c>
      <c r="Y42" s="260">
        <f>AVERAGE(T42:X42)</f>
        <v>7.7482619367907457</v>
      </c>
      <c r="AA42" s="245" t="s">
        <v>345</v>
      </c>
      <c r="AB42" s="581" t="s">
        <v>173</v>
      </c>
      <c r="AC42" s="581" t="s">
        <v>171</v>
      </c>
      <c r="AD42" s="812" t="s">
        <v>670</v>
      </c>
      <c r="AE42" s="582" t="s">
        <v>171</v>
      </c>
      <c r="AF42" s="582" t="s">
        <v>670</v>
      </c>
      <c r="AG42" s="582" t="s">
        <v>670</v>
      </c>
    </row>
    <row r="43" spans="1:33" ht="12.75" customHeight="1" x14ac:dyDescent="0.2">
      <c r="AA43" s="7"/>
      <c r="AB43" s="7"/>
      <c r="AC43" s="7"/>
    </row>
    <row r="44" spans="1:33" s="103" customFormat="1" ht="12.75" customHeight="1" x14ac:dyDescent="0.2">
      <c r="A44" s="103" t="s">
        <v>522</v>
      </c>
      <c r="B44" s="263" t="e">
        <f>CorePT_PI _1Q12</f>
        <v>#NAME?</v>
      </c>
      <c r="C44" s="263" t="e">
        <f>CorePT_PI _2Q12</f>
        <v>#NAME?</v>
      </c>
      <c r="D44" s="263" t="e">
        <f>CorePT_PI _3Q12</f>
        <v>#NAME?</v>
      </c>
      <c r="E44" s="263" t="e">
        <f>CorePT_PI _4Q12</f>
        <v>#NAME?</v>
      </c>
      <c r="F44" s="263">
        <f>CorePT_PI _1Q13</f>
        <v>68.907100591716002</v>
      </c>
      <c r="G44" s="263">
        <f>CorePT_PI _2Q13</f>
        <v>92.268047337278119</v>
      </c>
      <c r="H44" s="263">
        <f>CorePT_PI _3Q13</f>
        <v>89.768639053254432</v>
      </c>
      <c r="I44" s="263">
        <f>CorePT_PI _4Q13</f>
        <v>91.266863905325451</v>
      </c>
      <c r="J44" s="263">
        <f>CorePT_PI _1Q14</f>
        <v>76.28284023668634</v>
      </c>
      <c r="K44" s="263">
        <f>CorePT_PI _2Q14</f>
        <v>77.582248520710053</v>
      </c>
      <c r="L44" s="263">
        <f>CorePT_PI _3Q14</f>
        <v>73.050887573964502</v>
      </c>
      <c r="M44" s="263">
        <f>CorePT_PI _4Q14</f>
        <v>77.499999999999929</v>
      </c>
      <c r="N44" s="263"/>
      <c r="O44" s="263" t="e">
        <f>CorePT_PI F2010_</f>
        <v>#NAME?</v>
      </c>
      <c r="P44" s="263" t="e">
        <f>CorePT_PI F2011_</f>
        <v>#NAME?</v>
      </c>
      <c r="Q44" s="263" t="e">
        <f>CorePT_PI F2012_</f>
        <v>#NAME?</v>
      </c>
      <c r="R44" s="263">
        <f>CorePT_PI F2013_</f>
        <v>342.21065088757399</v>
      </c>
      <c r="S44" s="263">
        <f>CorePT_PI F2014_</f>
        <v>304.41597633136081</v>
      </c>
      <c r="T44" s="263">
        <f>CorePT_PI F2015_</f>
        <v>291.18165680473362</v>
      </c>
      <c r="U44" s="263">
        <f>CorePT_PI F2016_</f>
        <v>306.4076923076924</v>
      </c>
      <c r="V44" s="263">
        <f>CorePT_PI F2017_</f>
        <v>337.69230769230762</v>
      </c>
      <c r="W44" s="263">
        <f>CorePT_PI F2018_</f>
        <v>359.62531014623659</v>
      </c>
      <c r="X44" s="263">
        <f>CorePT_PI F2019_</f>
        <v>381.34775926632324</v>
      </c>
      <c r="Y44" s="263"/>
      <c r="AD44" s="573"/>
    </row>
    <row r="45" spans="1:33" ht="12.75" customHeight="1" x14ac:dyDescent="0.2">
      <c r="A45" s="2" t="s">
        <v>13</v>
      </c>
      <c r="B45" s="260" t="e">
        <f>Intl_CoreRONR _1Q12</f>
        <v>#NAME?</v>
      </c>
      <c r="C45" s="260" t="e">
        <f>Intl_CoreRONR _2Q12</f>
        <v>#NAME?</v>
      </c>
      <c r="D45" s="260" t="e">
        <f>Intl_CoreRONR _3Q12</f>
        <v>#NAME?</v>
      </c>
      <c r="E45" s="260" t="e">
        <f>Intl_CoreRONR _4Q12</f>
        <v>#NAME?</v>
      </c>
      <c r="F45" s="260">
        <f>Intl_CoreRONR _1Q13</f>
        <v>0</v>
      </c>
      <c r="G45" s="260">
        <f>Intl_CoreRONR _2Q13</f>
        <v>0</v>
      </c>
      <c r="H45" s="260">
        <f>Intl_CoreRONR _3Q13</f>
        <v>0</v>
      </c>
      <c r="I45" s="260">
        <f>Intl_CoreRONR _4Q13</f>
        <v>0</v>
      </c>
      <c r="J45" s="260">
        <f>Intl_CoreRONR _1Q14</f>
        <v>0</v>
      </c>
      <c r="K45" s="260">
        <f>Intl_CoreRONR _2Q14</f>
        <v>0</v>
      </c>
      <c r="L45" s="260">
        <f>Intl_CoreRONR _3Q14</f>
        <v>0</v>
      </c>
      <c r="M45" s="260">
        <f>Intl_CoreRONR _4Q14</f>
        <v>0</v>
      </c>
      <c r="N45" s="260"/>
      <c r="O45" s="260" t="e">
        <f>Intl_CoreRONR F2010_</f>
        <v>#NAME?</v>
      </c>
      <c r="P45" s="260" t="e">
        <f>Intl_CoreRONR F2011_</f>
        <v>#NAME?</v>
      </c>
      <c r="Q45" s="260" t="e">
        <f>Intl_CoreRONR F2012_</f>
        <v>#NAME?</v>
      </c>
      <c r="R45" s="260">
        <f>Intl_CoreRONR F2013_</f>
        <v>51.353253877709562</v>
      </c>
      <c r="S45" s="260">
        <f>Intl_CoreRONR F2014_</f>
        <v>44.813861173693802</v>
      </c>
      <c r="T45" s="326">
        <f>Intl_CoreRONR F2015_</f>
        <v>37.02749829638833</v>
      </c>
      <c r="U45" s="260">
        <f>Intl_CoreRONR F2016_</f>
        <v>37.893141341417206</v>
      </c>
      <c r="V45" s="260">
        <f>Intl_CoreRONR F2017_</f>
        <v>36.334056399132315</v>
      </c>
      <c r="W45" s="260">
        <f>Intl_CoreRONR F2018_</f>
        <v>36.660429533867486</v>
      </c>
      <c r="X45" s="260">
        <f>Intl_CoreRONR F2019_</f>
        <v>37.023647250539959</v>
      </c>
      <c r="Y45" s="260">
        <f>AVERAGE(T45:X45)</f>
        <v>36.987754564269061</v>
      </c>
      <c r="AA45" s="245" t="s">
        <v>346</v>
      </c>
      <c r="AB45" s="581" t="s">
        <v>174</v>
      </c>
      <c r="AC45" s="581" t="s">
        <v>174</v>
      </c>
      <c r="AD45" s="812" t="s">
        <v>671</v>
      </c>
      <c r="AE45" s="581" t="s">
        <v>626</v>
      </c>
      <c r="AF45" s="581" t="s">
        <v>680</v>
      </c>
      <c r="AG45" s="581" t="s">
        <v>680</v>
      </c>
    </row>
    <row r="46" spans="1:33" ht="12.75" customHeight="1" x14ac:dyDescent="0.2">
      <c r="A46" s="2" t="s">
        <v>153</v>
      </c>
      <c r="B46" s="324" t="e">
        <f>Core_Intl_ATEarns _1Q12/CoreOpEarns_AT _1Q12*100</f>
        <v>#NAME?</v>
      </c>
      <c r="C46" s="324" t="e">
        <f>Core_Intl_ATEarns _2Q12/CoreOpEarns_AT _2Q12*100</f>
        <v>#NAME?</v>
      </c>
      <c r="D46" s="324" t="e">
        <f>Core_Intl_ATEarns _3Q12/CoreOpEarns_AT _3Q12*100</f>
        <v>#NAME?</v>
      </c>
      <c r="E46" s="324" t="e">
        <f>Core_Intl_ATEarns _4Q12/CoreOpEarns_AT _4Q12*100</f>
        <v>#NAME?</v>
      </c>
      <c r="F46" s="324">
        <f>Core_Intl_ATEarns _1Q13/CoreOpEarns_AT _1Q13*100</f>
        <v>27.654617097824225</v>
      </c>
      <c r="G46" s="324">
        <f>Core_Intl_ATEarns _2Q13/CoreOpEarns_AT _2Q13*100</f>
        <v>29.872168647678858</v>
      </c>
      <c r="H46" s="324">
        <f>Core_Intl_ATEarns _3Q13/CoreOpEarns_AT _3Q13*100</f>
        <v>28.03890235838659</v>
      </c>
      <c r="I46" s="324">
        <f>Core_Intl_ATEarns _4Q13/CoreOpEarns_AT _4Q13*100</f>
        <v>26.180648619673015</v>
      </c>
      <c r="J46" s="324">
        <f>Core_Intl_ATEarns _1Q14/CoreOpEarns_AT _1Q14*100</f>
        <v>24.413576202332575</v>
      </c>
      <c r="K46" s="324">
        <f>Core_Intl_ATEarns _2Q14/CoreOpEarns_AT _2Q14*100</f>
        <v>23.869841665627721</v>
      </c>
      <c r="L46" s="324">
        <f>Core_Intl_ATEarns _3Q14/CoreOpEarns_AT _3Q14*100</f>
        <v>20.97815698067464</v>
      </c>
      <c r="M46" s="324">
        <f>Core_Intl_ATEarns _4Q14/CoreOpEarns_AT _4Q14*100</f>
        <v>23.814655172413772</v>
      </c>
      <c r="O46" s="324" t="e">
        <f>Core_Intl_ATEarns F2010_/CoreOpEarns_AT F2010_*100</f>
        <v>#NAME?</v>
      </c>
      <c r="P46" s="324" t="e">
        <f>Core_Intl_ATEarns F2011_/CoreOpEarns_AT F2011_*100</f>
        <v>#NAME?</v>
      </c>
      <c r="Q46" s="324" t="e">
        <f>Core_Intl_ATEarns F2012_/CoreOpEarns_AT F2012_*100</f>
        <v>#NAME?</v>
      </c>
      <c r="R46" s="324">
        <f>Core_Intl_ATEarns F2013_/CoreOpEarns_AT F2013_*100</f>
        <v>0</v>
      </c>
      <c r="S46" s="324">
        <f>Core_PI_PT F2014_/Core_PT F2014_*100</f>
        <v>20.381167997892156</v>
      </c>
      <c r="T46" s="324">
        <f>Core_PI_PT F2015_/Core_PT F2015_*100</f>
        <v>17.59618635794325</v>
      </c>
      <c r="U46" s="324">
        <f>Core_PI_PT F2016_/Core_PT F2016_*100</f>
        <v>17.712700005904228</v>
      </c>
      <c r="V46" s="324">
        <f>Core_PI_PT F2017_/Core_PT F2017_*100</f>
        <v>17.514508286715106</v>
      </c>
      <c r="W46" s="324">
        <f>Core_PI_PT F2018_/Core_PT F2018_*100</f>
        <v>17.541471806625982</v>
      </c>
      <c r="X46" s="324">
        <f>Core_PI_PT F2019_/Core_PT F2019_*100</f>
        <v>17.716150704810833</v>
      </c>
      <c r="Y46" s="260">
        <f>AVERAGE(T46:X46)</f>
        <v>17.616203432399878</v>
      </c>
      <c r="AA46" s="247" t="s">
        <v>489</v>
      </c>
      <c r="AB46" s="583">
        <v>0.36</v>
      </c>
      <c r="AC46" s="583">
        <v>0.35</v>
      </c>
      <c r="AD46" s="814" t="s">
        <v>154</v>
      </c>
      <c r="AE46" s="583"/>
      <c r="AF46" s="583"/>
      <c r="AG46" s="583"/>
    </row>
    <row r="47" spans="1:33" ht="12.75" customHeight="1" x14ac:dyDescent="0.2">
      <c r="A47" s="2" t="s">
        <v>534</v>
      </c>
      <c r="S47" s="260">
        <f>Fee_TaxRate F2014_</f>
        <v>0</v>
      </c>
      <c r="T47" s="260">
        <f>Fee_TaxRate F2015_</f>
        <v>17.514957079684372</v>
      </c>
      <c r="U47" s="260">
        <f>Fee_TaxRate F2016_</f>
        <v>19.383008242879299</v>
      </c>
      <c r="V47" s="260">
        <f>Fee_TaxRate F2017_</f>
        <v>19.570297776102528</v>
      </c>
      <c r="W47" s="260">
        <f>Fee_TaxRate F2018_</f>
        <v>19</v>
      </c>
      <c r="X47" s="260">
        <f>Fee_TaxRate F2019_</f>
        <v>19</v>
      </c>
      <c r="Y47" s="260">
        <f>AVERAGE(T47:X47)</f>
        <v>18.893652619733238</v>
      </c>
      <c r="AA47" s="7"/>
      <c r="AB47" s="7"/>
      <c r="AC47" s="7"/>
      <c r="AE47" s="582" t="s">
        <v>345</v>
      </c>
      <c r="AF47" s="582" t="s">
        <v>683</v>
      </c>
      <c r="AG47" s="582" t="s">
        <v>706</v>
      </c>
    </row>
    <row r="48" spans="1:33" s="572" customFormat="1" ht="12.75" customHeight="1" x14ac:dyDescent="0.2">
      <c r="A48" s="571" t="s">
        <v>69</v>
      </c>
      <c r="AD48" s="574"/>
    </row>
    <row r="49" spans="1:33" ht="12.75" customHeight="1" x14ac:dyDescent="0.2">
      <c r="A49" s="7" t="s">
        <v>510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326" t="e">
        <f>TaxRate_exCorp F2011_</f>
        <v>#NAME?</v>
      </c>
      <c r="Q49" s="326" t="e">
        <f>TaxRate_exCorp F2012_</f>
        <v>#NAME?</v>
      </c>
      <c r="R49" s="326" t="e">
        <f>TaxRate_exCorp F2013_</f>
        <v>#NAME?</v>
      </c>
      <c r="S49" s="326">
        <f>TaxRate F2014_</f>
        <v>20.785255480317304</v>
      </c>
      <c r="T49" s="326">
        <f>TaxRate F2015_</f>
        <v>20.4174360853855</v>
      </c>
      <c r="U49" s="326">
        <f>TaxRate F2016_</f>
        <v>20.231317792293389</v>
      </c>
      <c r="V49" s="326">
        <f>TaxRate F2017_</f>
        <v>21.086620056572549</v>
      </c>
      <c r="W49" s="326">
        <f>TaxRate F2018_</f>
        <v>18.999999999999993</v>
      </c>
      <c r="X49" s="326">
        <f>TaxRate F2019_</f>
        <v>18.999999999999993</v>
      </c>
      <c r="Y49" s="326"/>
      <c r="AA49" s="244"/>
      <c r="AB49" s="584" t="s">
        <v>336</v>
      </c>
      <c r="AC49" s="584" t="s">
        <v>526</v>
      </c>
      <c r="AD49" s="815"/>
      <c r="AE49" s="584" t="s">
        <v>627</v>
      </c>
      <c r="AF49" s="584" t="s">
        <v>526</v>
      </c>
      <c r="AG49" s="584" t="s">
        <v>526</v>
      </c>
    </row>
    <row r="50" spans="1:33" ht="12.75" customHeight="1" x14ac:dyDescent="0.2">
      <c r="A50" s="7" t="s">
        <v>628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10" t="e">
        <f>Core_CO_ATEarns F2011_</f>
        <v>#NAME?</v>
      </c>
      <c r="Q50" s="710" t="e">
        <f>Core_CO_ATEarns F2012_</f>
        <v>#NAME?</v>
      </c>
      <c r="R50" s="710">
        <f>Core_CO_ATEarns F2013_</f>
        <v>9.2307692307692299</v>
      </c>
      <c r="S50" s="710">
        <f>Corp_PT F2014_</f>
        <v>0</v>
      </c>
      <c r="T50" s="710">
        <f>Corp_PT F2015_</f>
        <v>-192.29999999999998</v>
      </c>
      <c r="U50" s="710">
        <f>Corp_PT F2016_</f>
        <v>-218.89999999999998</v>
      </c>
      <c r="V50" s="710">
        <f>Corp_PT F2017_</f>
        <v>-210.5</v>
      </c>
      <c r="W50" s="710">
        <f>Corp_PT F2018_</f>
        <v>-206.00103896103892</v>
      </c>
      <c r="X50" s="710">
        <f>Corp_PT F2019_</f>
        <v>-206.70183896103896</v>
      </c>
      <c r="Y50" s="710"/>
      <c r="AA50" s="325" t="s">
        <v>239</v>
      </c>
      <c r="AB50" s="581" t="s">
        <v>11</v>
      </c>
      <c r="AE50" s="581" t="s">
        <v>629</v>
      </c>
      <c r="AF50" s="581" t="s">
        <v>682</v>
      </c>
      <c r="AG50" s="581" t="s">
        <v>710</v>
      </c>
    </row>
    <row r="51" spans="1:33" ht="12.75" customHeight="1" x14ac:dyDescent="0.2">
      <c r="A51" s="2" t="s">
        <v>534</v>
      </c>
      <c r="S51" s="260">
        <f>Corp_TaxRate F2014_</f>
        <v>0</v>
      </c>
      <c r="T51" s="260">
        <f>Corp_TaxRate F2015_</f>
        <v>27.301092043681752</v>
      </c>
      <c r="U51" s="260">
        <f>Corp_TaxRate F2016_</f>
        <v>49.931475559616246</v>
      </c>
      <c r="V51" s="260">
        <f>Corp_TaxRate F2017_</f>
        <v>48.598574821852722</v>
      </c>
      <c r="W51" s="260">
        <f>Corp_TaxRate F2018_</f>
        <v>19</v>
      </c>
      <c r="X51" s="260">
        <f>Corp_TaxRate F2019_</f>
        <v>19</v>
      </c>
      <c r="Y51" s="260">
        <f>AVERAGE(T51:X51)</f>
        <v>32.76622848503014</v>
      </c>
      <c r="AE51" s="799">
        <v>0.4</v>
      </c>
      <c r="AF51" s="799">
        <v>0.4</v>
      </c>
      <c r="AG51" s="799">
        <v>0.4</v>
      </c>
    </row>
    <row r="52" spans="1:33" ht="12.75" customHeight="1" x14ac:dyDescent="0.2">
      <c r="A52" s="7" t="s">
        <v>440</v>
      </c>
      <c r="AC52" s="581" t="s">
        <v>11</v>
      </c>
      <c r="AD52" s="813" t="s">
        <v>489</v>
      </c>
      <c r="AE52" s="581"/>
      <c r="AF52" s="581"/>
      <c r="AG52" s="581"/>
    </row>
    <row r="53" spans="1:33" ht="12.75" customHeight="1" x14ac:dyDescent="0.2">
      <c r="A53" s="2" t="s">
        <v>439</v>
      </c>
      <c r="P53" s="710" t="e">
        <f>AvgShrsOut F2011_</f>
        <v>#NAME?</v>
      </c>
      <c r="Q53" s="710" t="e">
        <f>AvgShrsOut F2012_</f>
        <v>#NAME?</v>
      </c>
      <c r="R53" s="710">
        <f>AvgShrsOut F2013_</f>
        <v>298.05</v>
      </c>
      <c r="S53" s="710">
        <f>AvgShrsOut F2014_</f>
        <v>298.57499999999999</v>
      </c>
      <c r="T53" s="710">
        <f>AvgShrsOut F2015_</f>
        <v>297.89999999999998</v>
      </c>
      <c r="U53" s="710">
        <f>AvgShrsOut F2016_</f>
        <v>292.57500000000005</v>
      </c>
      <c r="V53" s="710">
        <f>AvgShrsOut F2017_</f>
        <v>292.9375</v>
      </c>
      <c r="W53" s="710">
        <f>AvgShrsOut F2018_</f>
        <v>291.53862005069573</v>
      </c>
      <c r="X53" s="710">
        <f>AvgShrsOut F2019_</f>
        <v>288.41373510154278</v>
      </c>
      <c r="Y53" s="710"/>
      <c r="AA53" s="244" t="s">
        <v>240</v>
      </c>
      <c r="AB53" s="584" t="s">
        <v>12</v>
      </c>
      <c r="AC53" s="584" t="s">
        <v>12</v>
      </c>
      <c r="AD53" s="815"/>
      <c r="AE53" s="584" t="s">
        <v>630</v>
      </c>
      <c r="AF53" s="584" t="s">
        <v>685</v>
      </c>
      <c r="AG53" s="584" t="s">
        <v>711</v>
      </c>
    </row>
    <row r="54" spans="1:33" ht="12.75" customHeight="1" x14ac:dyDescent="0.2">
      <c r="P54" s="710"/>
      <c r="Q54" s="710"/>
      <c r="R54" s="710"/>
      <c r="S54" s="710"/>
      <c r="T54" s="710"/>
      <c r="U54" s="710"/>
      <c r="V54" s="710"/>
      <c r="W54" s="710"/>
      <c r="X54" s="710"/>
      <c r="Y54" s="710"/>
      <c r="AA54" s="244"/>
      <c r="AB54" s="244"/>
      <c r="AC54" s="244"/>
    </row>
    <row r="55" spans="1:33" s="7" customFormat="1" ht="12.75" customHeight="1" x14ac:dyDescent="0.2">
      <c r="A55" s="103" t="s">
        <v>392</v>
      </c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577"/>
      <c r="Q55" s="577"/>
      <c r="R55" s="577">
        <v>3.5735614829726559</v>
      </c>
      <c r="S55" s="577">
        <v>4.197296130981135</v>
      </c>
      <c r="T55" s="577">
        <v>4.2428538229142472</v>
      </c>
      <c r="U55" s="577">
        <v>4.2507854907445548</v>
      </c>
      <c r="V55" s="577">
        <v>4.5998959680268392</v>
      </c>
      <c r="W55" s="577">
        <v>4.9987802778303712</v>
      </c>
      <c r="X55" s="577">
        <v>5.4482818173291294</v>
      </c>
      <c r="Y55" s="577"/>
      <c r="AD55" s="574"/>
    </row>
    <row r="56" spans="1:33" ht="12.75" customHeight="1" x14ac:dyDescent="0.2">
      <c r="A56" s="2" t="s">
        <v>437</v>
      </c>
      <c r="S56" s="260">
        <f>(S55/R55-1)*100</f>
        <v>17.454146262222061</v>
      </c>
      <c r="T56" s="326">
        <f t="shared" ref="T56:X56" si="12">(T55/S55-1)*100</f>
        <v>1.0854057114731752</v>
      </c>
      <c r="U56" s="260">
        <f t="shared" si="12"/>
        <v>0.18694181231206919</v>
      </c>
      <c r="V56" s="260">
        <f t="shared" si="12"/>
        <v>8.2128462620007383</v>
      </c>
      <c r="W56" s="260">
        <f t="shared" si="12"/>
        <v>8.6715941529137872</v>
      </c>
      <c r="X56" s="260">
        <f t="shared" si="12"/>
        <v>8.992224393064463</v>
      </c>
      <c r="Y56" s="260"/>
      <c r="AB56" s="584" t="s">
        <v>347</v>
      </c>
      <c r="AC56" s="584" t="s">
        <v>528</v>
      </c>
      <c r="AD56" s="813"/>
    </row>
    <row r="58" spans="1:33" ht="12.75" hidden="1" customHeight="1" outlineLevel="1" x14ac:dyDescent="0.2">
      <c r="A58" s="2" t="s">
        <v>1</v>
      </c>
      <c r="AA58" s="329"/>
      <c r="AB58" s="329"/>
      <c r="AC58" s="329"/>
      <c r="AD58" s="816" t="s">
        <v>334</v>
      </c>
    </row>
    <row r="59" spans="1:33" ht="12.75" hidden="1" customHeight="1" outlineLevel="1" x14ac:dyDescent="0.2">
      <c r="A59" s="2" t="s">
        <v>2</v>
      </c>
      <c r="AA59" s="244"/>
      <c r="AB59" s="244"/>
      <c r="AC59" s="244"/>
      <c r="AD59" s="817" t="s">
        <v>336</v>
      </c>
    </row>
    <row r="60" spans="1:33" ht="12.75" hidden="1" customHeight="1" outlineLevel="1" x14ac:dyDescent="0.2">
      <c r="A60" s="2" t="s">
        <v>3</v>
      </c>
      <c r="AA60" s="244"/>
      <c r="AB60" s="244"/>
      <c r="AC60" s="244"/>
      <c r="AD60" s="817" t="s">
        <v>337</v>
      </c>
    </row>
    <row r="61" spans="1:33" ht="12.75" hidden="1" customHeight="1" outlineLevel="1" x14ac:dyDescent="0.2"/>
    <row r="62" spans="1:33" ht="12.75" hidden="1" customHeight="1" outlineLevel="1" x14ac:dyDescent="0.2">
      <c r="A62" s="2" t="s">
        <v>6</v>
      </c>
      <c r="S62" s="710"/>
      <c r="T62" s="710"/>
      <c r="U62" s="710"/>
      <c r="V62" s="710"/>
      <c r="W62" s="710"/>
      <c r="X62" s="710"/>
      <c r="Y62" s="710"/>
      <c r="AA62" s="244"/>
      <c r="AB62" s="244"/>
      <c r="AC62" s="244"/>
      <c r="AD62" s="817" t="s">
        <v>9</v>
      </c>
    </row>
    <row r="63" spans="1:33" ht="12.75" hidden="1" customHeight="1" outlineLevel="1" x14ac:dyDescent="0.2">
      <c r="A63" s="2" t="s">
        <v>7</v>
      </c>
      <c r="AA63" s="244"/>
      <c r="AB63" s="244"/>
      <c r="AC63" s="244"/>
      <c r="AD63" s="817" t="s">
        <v>341</v>
      </c>
    </row>
    <row r="64" spans="1:33" ht="12.75" hidden="1" customHeight="1" outlineLevel="1" x14ac:dyDescent="0.2">
      <c r="A64" s="2" t="s">
        <v>8</v>
      </c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AA64" s="244"/>
      <c r="AB64" s="244"/>
      <c r="AC64" s="244"/>
      <c r="AD64" s="817" t="s">
        <v>154</v>
      </c>
    </row>
    <row r="65" spans="1:33" ht="12.75" hidden="1" customHeight="1" outlineLevel="1" x14ac:dyDescent="0.2"/>
    <row r="66" spans="1:33" ht="12.75" customHeight="1" collapsed="1" x14ac:dyDescent="0.2">
      <c r="A66" s="2" t="s">
        <v>4</v>
      </c>
      <c r="B66" s="260" t="e">
        <f>Op_ROE _1Q12</f>
        <v>#NAME?</v>
      </c>
      <c r="C66" s="260" t="e">
        <f>Op_ROE _2Q12</f>
        <v>#NAME?</v>
      </c>
      <c r="D66" s="260" t="e">
        <f>Op_ROE _3Q12</f>
        <v>#NAME?</v>
      </c>
      <c r="E66" s="260" t="e">
        <f>Op_ROE _4Q12</f>
        <v>#NAME?</v>
      </c>
      <c r="F66" s="260" t="e">
        <f>Op_ROE _1Q13</f>
        <v>#REF!</v>
      </c>
      <c r="G66" s="260">
        <f>Op_ROE _2Q13</f>
        <v>12.533842876687812</v>
      </c>
      <c r="H66" s="260">
        <f>Op_ROE _3Q13</f>
        <v>12.294904145876389</v>
      </c>
      <c r="I66" s="260">
        <f>Op_ROE _4Q13</f>
        <v>12.916993637477347</v>
      </c>
      <c r="J66" s="260">
        <f>Op_ROE _1Q14</f>
        <v>14.055234410938255</v>
      </c>
      <c r="K66" s="260">
        <f>Op_ROE _2Q14</f>
        <v>14.085965820818227</v>
      </c>
      <c r="L66" s="260">
        <f>Op_ROE _3Q14</f>
        <v>16.355210132649603</v>
      </c>
      <c r="M66" s="260">
        <f>Op_ROE _4Q14</f>
        <v>13.788370073824014</v>
      </c>
      <c r="N66" s="260"/>
      <c r="O66" s="260" t="e">
        <f>Op_ROE F2010_</f>
        <v>#NAME?</v>
      </c>
      <c r="P66" s="260" t="e">
        <f>Op_ROE F2011_</f>
        <v>#NAME?</v>
      </c>
      <c r="Q66" s="260" t="e">
        <f>Op_ROE F2012_</f>
        <v>#NAME?</v>
      </c>
      <c r="R66" s="260">
        <f>Op_ROE F2013_</f>
        <v>10.577844311377246</v>
      </c>
      <c r="S66" s="260">
        <f>Op_ROE F2014_</f>
        <v>13.375926171058261</v>
      </c>
      <c r="T66" s="260">
        <f>Op_ROE F2015_</f>
        <v>12.568550296439851</v>
      </c>
      <c r="U66" s="260">
        <f>Op_ROE F2016_</f>
        <v>12.619095020050633</v>
      </c>
      <c r="V66" s="260">
        <f>Op_ROE F2017_</f>
        <v>12.537786766046398</v>
      </c>
      <c r="W66" s="260">
        <f>Op_ROE F2018_</f>
        <v>12.711392330592853</v>
      </c>
      <c r="X66" s="260">
        <f>Op_ROE F2019_</f>
        <v>12.595126143711077</v>
      </c>
      <c r="Y66" s="260"/>
      <c r="AA66" s="244">
        <v>11.5</v>
      </c>
      <c r="AB66" s="585" t="s">
        <v>347</v>
      </c>
      <c r="AC66" s="586"/>
      <c r="AD66" s="818"/>
    </row>
    <row r="67" spans="1:33" ht="12.75" customHeight="1" x14ac:dyDescent="0.2">
      <c r="A67" s="2" t="s">
        <v>5</v>
      </c>
      <c r="B67" s="260" t="e">
        <f>DivPayout _1Q12</f>
        <v>#NAME?</v>
      </c>
      <c r="C67" s="260" t="e">
        <f>DivPayout _2Q12</f>
        <v>#NAME?</v>
      </c>
      <c r="D67" s="260" t="e">
        <f>DivPayout _3Q12</f>
        <v>#NAME?</v>
      </c>
      <c r="E67" s="260" t="e">
        <f>DivPayout _4Q12</f>
        <v>#NAME?</v>
      </c>
      <c r="F67" s="260">
        <f>DivPayout _1Q13</f>
        <v>29.289755679382758</v>
      </c>
      <c r="G67" s="260">
        <f>DivPayout _2Q13</f>
        <v>25.186440677966104</v>
      </c>
      <c r="H67" s="260">
        <f>DivPayout _3Q13</f>
        <v>28.839524517087671</v>
      </c>
      <c r="I67" s="260">
        <f>DivPayout _4Q13</f>
        <v>27.209090909090911</v>
      </c>
      <c r="J67" s="260">
        <f>DivPayout _1Q14</f>
        <v>26.454258675078869</v>
      </c>
      <c r="K67" s="260">
        <f>DivPayout _2Q14</f>
        <v>29.552941176470586</v>
      </c>
      <c r="L67" s="260">
        <f>DivPayout _3Q14</f>
        <v>26.584723370781987</v>
      </c>
      <c r="M67" s="260">
        <f>DivPayout _4Q14</f>
        <v>30.994029149036205</v>
      </c>
      <c r="N67" s="260"/>
      <c r="O67" s="260" t="e">
        <f>DivPayout F2010_</f>
        <v>#NAME?</v>
      </c>
      <c r="P67" s="260" t="e">
        <f>DivPayout F2011_</f>
        <v>#NAME?</v>
      </c>
      <c r="Q67" s="260" t="e">
        <f>DivPayout F2012_</f>
        <v>#NAME?</v>
      </c>
      <c r="R67" s="260">
        <f>DivPayout F2013_</f>
        <v>27.558165864704215</v>
      </c>
      <c r="S67" s="260">
        <f>DivPayout F2014_</f>
        <v>28.338559996349517</v>
      </c>
      <c r="T67" s="260">
        <f>DivPayout F2015_</f>
        <v>34.96079056807033</v>
      </c>
      <c r="U67" s="260">
        <f>DivPayout F2016_</f>
        <v>35.387705656975413</v>
      </c>
      <c r="V67" s="260">
        <f>DivPayout F2017_</f>
        <v>37.048094481266041</v>
      </c>
      <c r="W67" s="260">
        <f>DivPayout F2018_</f>
        <v>36.516587884039467</v>
      </c>
      <c r="X67" s="260">
        <f>DivPayout F2019_</f>
        <v>38.191384355397275</v>
      </c>
      <c r="Y67" s="260"/>
      <c r="AA67" s="246"/>
      <c r="AB67" s="585"/>
      <c r="AC67" s="586"/>
      <c r="AD67" s="818"/>
    </row>
    <row r="68" spans="1:33" ht="12.75" customHeight="1" x14ac:dyDescent="0.2">
      <c r="A68" s="2" t="s">
        <v>10</v>
      </c>
      <c r="AB68" s="581" t="s">
        <v>521</v>
      </c>
      <c r="AC68" s="581" t="s">
        <v>527</v>
      </c>
      <c r="AD68" s="815"/>
      <c r="AE68" s="581" t="s">
        <v>527</v>
      </c>
      <c r="AF68" s="581" t="s">
        <v>686</v>
      </c>
      <c r="AG68" s="581" t="s">
        <v>712</v>
      </c>
    </row>
    <row r="69" spans="1:33" ht="12.75" customHeight="1" x14ac:dyDescent="0.2">
      <c r="A69" s="2" t="s">
        <v>518</v>
      </c>
      <c r="AB69" s="581" t="s">
        <v>519</v>
      </c>
      <c r="AC69" s="581" t="s">
        <v>519</v>
      </c>
      <c r="AD69" s="813" t="s">
        <v>519</v>
      </c>
      <c r="AE69" s="581"/>
      <c r="AF69" s="581"/>
      <c r="AG69" s="581"/>
    </row>
    <row r="70" spans="1:33" ht="12.75" customHeight="1" x14ac:dyDescent="0.2">
      <c r="AC70" s="7"/>
    </row>
    <row r="71" spans="1:33" ht="12.75" customHeight="1" x14ac:dyDescent="0.2">
      <c r="A71" s="2" t="s">
        <v>529</v>
      </c>
      <c r="AB71" s="575"/>
      <c r="AC71" s="576">
        <v>2140</v>
      </c>
      <c r="AD71" s="815"/>
      <c r="AE71" s="576">
        <v>2160</v>
      </c>
      <c r="AF71" s="851" t="s">
        <v>687</v>
      </c>
      <c r="AG71" s="851" t="s">
        <v>713</v>
      </c>
    </row>
    <row r="72" spans="1:33" ht="12.75" customHeight="1" x14ac:dyDescent="0.2">
      <c r="A72" s="2" t="s">
        <v>631</v>
      </c>
      <c r="AE72" s="581" t="s">
        <v>632</v>
      </c>
      <c r="AF72" s="581" t="s">
        <v>688</v>
      </c>
      <c r="AG72" s="581" t="s">
        <v>688</v>
      </c>
    </row>
  </sheetData>
  <phoneticPr fontId="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859" bestFit="1" customWidth="1"/>
    <col min="2" max="2" width="19.85546875" style="1028" customWidth="1"/>
    <col min="3" max="3" width="12" style="859" bestFit="1" customWidth="1"/>
    <col min="4" max="256" width="9.140625" style="859"/>
    <col min="257" max="257" width="29.5703125" style="859" bestFit="1" customWidth="1"/>
    <col min="258" max="258" width="19.85546875" style="859" customWidth="1"/>
    <col min="259" max="259" width="12" style="859" bestFit="1" customWidth="1"/>
    <col min="260" max="512" width="9.140625" style="859"/>
    <col min="513" max="513" width="29.5703125" style="859" bestFit="1" customWidth="1"/>
    <col min="514" max="514" width="19.85546875" style="859" customWidth="1"/>
    <col min="515" max="515" width="12" style="859" bestFit="1" customWidth="1"/>
    <col min="516" max="768" width="9.140625" style="859"/>
    <col min="769" max="769" width="29.5703125" style="859" bestFit="1" customWidth="1"/>
    <col min="770" max="770" width="19.85546875" style="859" customWidth="1"/>
    <col min="771" max="771" width="12" style="859" bestFit="1" customWidth="1"/>
    <col min="772" max="1024" width="9.140625" style="859"/>
    <col min="1025" max="1025" width="29.5703125" style="859" bestFit="1" customWidth="1"/>
    <col min="1026" max="1026" width="19.85546875" style="859" customWidth="1"/>
    <col min="1027" max="1027" width="12" style="859" bestFit="1" customWidth="1"/>
    <col min="1028" max="1280" width="9.140625" style="859"/>
    <col min="1281" max="1281" width="29.5703125" style="859" bestFit="1" customWidth="1"/>
    <col min="1282" max="1282" width="19.85546875" style="859" customWidth="1"/>
    <col min="1283" max="1283" width="12" style="859" bestFit="1" customWidth="1"/>
    <col min="1284" max="1536" width="9.140625" style="859"/>
    <col min="1537" max="1537" width="29.5703125" style="859" bestFit="1" customWidth="1"/>
    <col min="1538" max="1538" width="19.85546875" style="859" customWidth="1"/>
    <col min="1539" max="1539" width="12" style="859" bestFit="1" customWidth="1"/>
    <col min="1540" max="1792" width="9.140625" style="859"/>
    <col min="1793" max="1793" width="29.5703125" style="859" bestFit="1" customWidth="1"/>
    <col min="1794" max="1794" width="19.85546875" style="859" customWidth="1"/>
    <col min="1795" max="1795" width="12" style="859" bestFit="1" customWidth="1"/>
    <col min="1796" max="2048" width="9.140625" style="859"/>
    <col min="2049" max="2049" width="29.5703125" style="859" bestFit="1" customWidth="1"/>
    <col min="2050" max="2050" width="19.85546875" style="859" customWidth="1"/>
    <col min="2051" max="2051" width="12" style="859" bestFit="1" customWidth="1"/>
    <col min="2052" max="2304" width="9.140625" style="859"/>
    <col min="2305" max="2305" width="29.5703125" style="859" bestFit="1" customWidth="1"/>
    <col min="2306" max="2306" width="19.85546875" style="859" customWidth="1"/>
    <col min="2307" max="2307" width="12" style="859" bestFit="1" customWidth="1"/>
    <col min="2308" max="2560" width="9.140625" style="859"/>
    <col min="2561" max="2561" width="29.5703125" style="859" bestFit="1" customWidth="1"/>
    <col min="2562" max="2562" width="19.85546875" style="859" customWidth="1"/>
    <col min="2563" max="2563" width="12" style="859" bestFit="1" customWidth="1"/>
    <col min="2564" max="2816" width="9.140625" style="859"/>
    <col min="2817" max="2817" width="29.5703125" style="859" bestFit="1" customWidth="1"/>
    <col min="2818" max="2818" width="19.85546875" style="859" customWidth="1"/>
    <col min="2819" max="2819" width="12" style="859" bestFit="1" customWidth="1"/>
    <col min="2820" max="3072" width="9.140625" style="859"/>
    <col min="3073" max="3073" width="29.5703125" style="859" bestFit="1" customWidth="1"/>
    <col min="3074" max="3074" width="19.85546875" style="859" customWidth="1"/>
    <col min="3075" max="3075" width="12" style="859" bestFit="1" customWidth="1"/>
    <col min="3076" max="3328" width="9.140625" style="859"/>
    <col min="3329" max="3329" width="29.5703125" style="859" bestFit="1" customWidth="1"/>
    <col min="3330" max="3330" width="19.85546875" style="859" customWidth="1"/>
    <col min="3331" max="3331" width="12" style="859" bestFit="1" customWidth="1"/>
    <col min="3332" max="3584" width="9.140625" style="859"/>
    <col min="3585" max="3585" width="29.5703125" style="859" bestFit="1" customWidth="1"/>
    <col min="3586" max="3586" width="19.85546875" style="859" customWidth="1"/>
    <col min="3587" max="3587" width="12" style="859" bestFit="1" customWidth="1"/>
    <col min="3588" max="3840" width="9.140625" style="859"/>
    <col min="3841" max="3841" width="29.5703125" style="859" bestFit="1" customWidth="1"/>
    <col min="3842" max="3842" width="19.85546875" style="859" customWidth="1"/>
    <col min="3843" max="3843" width="12" style="859" bestFit="1" customWidth="1"/>
    <col min="3844" max="4096" width="9.140625" style="859"/>
    <col min="4097" max="4097" width="29.5703125" style="859" bestFit="1" customWidth="1"/>
    <col min="4098" max="4098" width="19.85546875" style="859" customWidth="1"/>
    <col min="4099" max="4099" width="12" style="859" bestFit="1" customWidth="1"/>
    <col min="4100" max="4352" width="9.140625" style="859"/>
    <col min="4353" max="4353" width="29.5703125" style="859" bestFit="1" customWidth="1"/>
    <col min="4354" max="4354" width="19.85546875" style="859" customWidth="1"/>
    <col min="4355" max="4355" width="12" style="859" bestFit="1" customWidth="1"/>
    <col min="4356" max="4608" width="9.140625" style="859"/>
    <col min="4609" max="4609" width="29.5703125" style="859" bestFit="1" customWidth="1"/>
    <col min="4610" max="4610" width="19.85546875" style="859" customWidth="1"/>
    <col min="4611" max="4611" width="12" style="859" bestFit="1" customWidth="1"/>
    <col min="4612" max="4864" width="9.140625" style="859"/>
    <col min="4865" max="4865" width="29.5703125" style="859" bestFit="1" customWidth="1"/>
    <col min="4866" max="4866" width="19.85546875" style="859" customWidth="1"/>
    <col min="4867" max="4867" width="12" style="859" bestFit="1" customWidth="1"/>
    <col min="4868" max="5120" width="9.140625" style="859"/>
    <col min="5121" max="5121" width="29.5703125" style="859" bestFit="1" customWidth="1"/>
    <col min="5122" max="5122" width="19.85546875" style="859" customWidth="1"/>
    <col min="5123" max="5123" width="12" style="859" bestFit="1" customWidth="1"/>
    <col min="5124" max="5376" width="9.140625" style="859"/>
    <col min="5377" max="5377" width="29.5703125" style="859" bestFit="1" customWidth="1"/>
    <col min="5378" max="5378" width="19.85546875" style="859" customWidth="1"/>
    <col min="5379" max="5379" width="12" style="859" bestFit="1" customWidth="1"/>
    <col min="5380" max="5632" width="9.140625" style="859"/>
    <col min="5633" max="5633" width="29.5703125" style="859" bestFit="1" customWidth="1"/>
    <col min="5634" max="5634" width="19.85546875" style="859" customWidth="1"/>
    <col min="5635" max="5635" width="12" style="859" bestFit="1" customWidth="1"/>
    <col min="5636" max="5888" width="9.140625" style="859"/>
    <col min="5889" max="5889" width="29.5703125" style="859" bestFit="1" customWidth="1"/>
    <col min="5890" max="5890" width="19.85546875" style="859" customWidth="1"/>
    <col min="5891" max="5891" width="12" style="859" bestFit="1" customWidth="1"/>
    <col min="5892" max="6144" width="9.140625" style="859"/>
    <col min="6145" max="6145" width="29.5703125" style="859" bestFit="1" customWidth="1"/>
    <col min="6146" max="6146" width="19.85546875" style="859" customWidth="1"/>
    <col min="6147" max="6147" width="12" style="859" bestFit="1" customWidth="1"/>
    <col min="6148" max="6400" width="9.140625" style="859"/>
    <col min="6401" max="6401" width="29.5703125" style="859" bestFit="1" customWidth="1"/>
    <col min="6402" max="6402" width="19.85546875" style="859" customWidth="1"/>
    <col min="6403" max="6403" width="12" style="859" bestFit="1" customWidth="1"/>
    <col min="6404" max="6656" width="9.140625" style="859"/>
    <col min="6657" max="6657" width="29.5703125" style="859" bestFit="1" customWidth="1"/>
    <col min="6658" max="6658" width="19.85546875" style="859" customWidth="1"/>
    <col min="6659" max="6659" width="12" style="859" bestFit="1" customWidth="1"/>
    <col min="6660" max="6912" width="9.140625" style="859"/>
    <col min="6913" max="6913" width="29.5703125" style="859" bestFit="1" customWidth="1"/>
    <col min="6914" max="6914" width="19.85546875" style="859" customWidth="1"/>
    <col min="6915" max="6915" width="12" style="859" bestFit="1" customWidth="1"/>
    <col min="6916" max="7168" width="9.140625" style="859"/>
    <col min="7169" max="7169" width="29.5703125" style="859" bestFit="1" customWidth="1"/>
    <col min="7170" max="7170" width="19.85546875" style="859" customWidth="1"/>
    <col min="7171" max="7171" width="12" style="859" bestFit="1" customWidth="1"/>
    <col min="7172" max="7424" width="9.140625" style="859"/>
    <col min="7425" max="7425" width="29.5703125" style="859" bestFit="1" customWidth="1"/>
    <col min="7426" max="7426" width="19.85546875" style="859" customWidth="1"/>
    <col min="7427" max="7427" width="12" style="859" bestFit="1" customWidth="1"/>
    <col min="7428" max="7680" width="9.140625" style="859"/>
    <col min="7681" max="7681" width="29.5703125" style="859" bestFit="1" customWidth="1"/>
    <col min="7682" max="7682" width="19.85546875" style="859" customWidth="1"/>
    <col min="7683" max="7683" width="12" style="859" bestFit="1" customWidth="1"/>
    <col min="7684" max="7936" width="9.140625" style="859"/>
    <col min="7937" max="7937" width="29.5703125" style="859" bestFit="1" customWidth="1"/>
    <col min="7938" max="7938" width="19.85546875" style="859" customWidth="1"/>
    <col min="7939" max="7939" width="12" style="859" bestFit="1" customWidth="1"/>
    <col min="7940" max="8192" width="9.140625" style="859"/>
    <col min="8193" max="8193" width="29.5703125" style="859" bestFit="1" customWidth="1"/>
    <col min="8194" max="8194" width="19.85546875" style="859" customWidth="1"/>
    <col min="8195" max="8195" width="12" style="859" bestFit="1" customWidth="1"/>
    <col min="8196" max="8448" width="9.140625" style="859"/>
    <col min="8449" max="8449" width="29.5703125" style="859" bestFit="1" customWidth="1"/>
    <col min="8450" max="8450" width="19.85546875" style="859" customWidth="1"/>
    <col min="8451" max="8451" width="12" style="859" bestFit="1" customWidth="1"/>
    <col min="8452" max="8704" width="9.140625" style="859"/>
    <col min="8705" max="8705" width="29.5703125" style="859" bestFit="1" customWidth="1"/>
    <col min="8706" max="8706" width="19.85546875" style="859" customWidth="1"/>
    <col min="8707" max="8707" width="12" style="859" bestFit="1" customWidth="1"/>
    <col min="8708" max="8960" width="9.140625" style="859"/>
    <col min="8961" max="8961" width="29.5703125" style="859" bestFit="1" customWidth="1"/>
    <col min="8962" max="8962" width="19.85546875" style="859" customWidth="1"/>
    <col min="8963" max="8963" width="12" style="859" bestFit="1" customWidth="1"/>
    <col min="8964" max="9216" width="9.140625" style="859"/>
    <col min="9217" max="9217" width="29.5703125" style="859" bestFit="1" customWidth="1"/>
    <col min="9218" max="9218" width="19.85546875" style="859" customWidth="1"/>
    <col min="9219" max="9219" width="12" style="859" bestFit="1" customWidth="1"/>
    <col min="9220" max="9472" width="9.140625" style="859"/>
    <col min="9473" max="9473" width="29.5703125" style="859" bestFit="1" customWidth="1"/>
    <col min="9474" max="9474" width="19.85546875" style="859" customWidth="1"/>
    <col min="9475" max="9475" width="12" style="859" bestFit="1" customWidth="1"/>
    <col min="9476" max="9728" width="9.140625" style="859"/>
    <col min="9729" max="9729" width="29.5703125" style="859" bestFit="1" customWidth="1"/>
    <col min="9730" max="9730" width="19.85546875" style="859" customWidth="1"/>
    <col min="9731" max="9731" width="12" style="859" bestFit="1" customWidth="1"/>
    <col min="9732" max="9984" width="9.140625" style="859"/>
    <col min="9985" max="9985" width="29.5703125" style="859" bestFit="1" customWidth="1"/>
    <col min="9986" max="9986" width="19.85546875" style="859" customWidth="1"/>
    <col min="9987" max="9987" width="12" style="859" bestFit="1" customWidth="1"/>
    <col min="9988" max="10240" width="9.140625" style="859"/>
    <col min="10241" max="10241" width="29.5703125" style="859" bestFit="1" customWidth="1"/>
    <col min="10242" max="10242" width="19.85546875" style="859" customWidth="1"/>
    <col min="10243" max="10243" width="12" style="859" bestFit="1" customWidth="1"/>
    <col min="10244" max="10496" width="9.140625" style="859"/>
    <col min="10497" max="10497" width="29.5703125" style="859" bestFit="1" customWidth="1"/>
    <col min="10498" max="10498" width="19.85546875" style="859" customWidth="1"/>
    <col min="10499" max="10499" width="12" style="859" bestFit="1" customWidth="1"/>
    <col min="10500" max="10752" width="9.140625" style="859"/>
    <col min="10753" max="10753" width="29.5703125" style="859" bestFit="1" customWidth="1"/>
    <col min="10754" max="10754" width="19.85546875" style="859" customWidth="1"/>
    <col min="10755" max="10755" width="12" style="859" bestFit="1" customWidth="1"/>
    <col min="10756" max="11008" width="9.140625" style="859"/>
    <col min="11009" max="11009" width="29.5703125" style="859" bestFit="1" customWidth="1"/>
    <col min="11010" max="11010" width="19.85546875" style="859" customWidth="1"/>
    <col min="11011" max="11011" width="12" style="859" bestFit="1" customWidth="1"/>
    <col min="11012" max="11264" width="9.140625" style="859"/>
    <col min="11265" max="11265" width="29.5703125" style="859" bestFit="1" customWidth="1"/>
    <col min="11266" max="11266" width="19.85546875" style="859" customWidth="1"/>
    <col min="11267" max="11267" width="12" style="859" bestFit="1" customWidth="1"/>
    <col min="11268" max="11520" width="9.140625" style="859"/>
    <col min="11521" max="11521" width="29.5703125" style="859" bestFit="1" customWidth="1"/>
    <col min="11522" max="11522" width="19.85546875" style="859" customWidth="1"/>
    <col min="11523" max="11523" width="12" style="859" bestFit="1" customWidth="1"/>
    <col min="11524" max="11776" width="9.140625" style="859"/>
    <col min="11777" max="11777" width="29.5703125" style="859" bestFit="1" customWidth="1"/>
    <col min="11778" max="11778" width="19.85546875" style="859" customWidth="1"/>
    <col min="11779" max="11779" width="12" style="859" bestFit="1" customWidth="1"/>
    <col min="11780" max="12032" width="9.140625" style="859"/>
    <col min="12033" max="12033" width="29.5703125" style="859" bestFit="1" customWidth="1"/>
    <col min="12034" max="12034" width="19.85546875" style="859" customWidth="1"/>
    <col min="12035" max="12035" width="12" style="859" bestFit="1" customWidth="1"/>
    <col min="12036" max="12288" width="9.140625" style="859"/>
    <col min="12289" max="12289" width="29.5703125" style="859" bestFit="1" customWidth="1"/>
    <col min="12290" max="12290" width="19.85546875" style="859" customWidth="1"/>
    <col min="12291" max="12291" width="12" style="859" bestFit="1" customWidth="1"/>
    <col min="12292" max="12544" width="9.140625" style="859"/>
    <col min="12545" max="12545" width="29.5703125" style="859" bestFit="1" customWidth="1"/>
    <col min="12546" max="12546" width="19.85546875" style="859" customWidth="1"/>
    <col min="12547" max="12547" width="12" style="859" bestFit="1" customWidth="1"/>
    <col min="12548" max="12800" width="9.140625" style="859"/>
    <col min="12801" max="12801" width="29.5703125" style="859" bestFit="1" customWidth="1"/>
    <col min="12802" max="12802" width="19.85546875" style="859" customWidth="1"/>
    <col min="12803" max="12803" width="12" style="859" bestFit="1" customWidth="1"/>
    <col min="12804" max="13056" width="9.140625" style="859"/>
    <col min="13057" max="13057" width="29.5703125" style="859" bestFit="1" customWidth="1"/>
    <col min="13058" max="13058" width="19.85546875" style="859" customWidth="1"/>
    <col min="13059" max="13059" width="12" style="859" bestFit="1" customWidth="1"/>
    <col min="13060" max="13312" width="9.140625" style="859"/>
    <col min="13313" max="13313" width="29.5703125" style="859" bestFit="1" customWidth="1"/>
    <col min="13314" max="13314" width="19.85546875" style="859" customWidth="1"/>
    <col min="13315" max="13315" width="12" style="859" bestFit="1" customWidth="1"/>
    <col min="13316" max="13568" width="9.140625" style="859"/>
    <col min="13569" max="13569" width="29.5703125" style="859" bestFit="1" customWidth="1"/>
    <col min="13570" max="13570" width="19.85546875" style="859" customWidth="1"/>
    <col min="13571" max="13571" width="12" style="859" bestFit="1" customWidth="1"/>
    <col min="13572" max="13824" width="9.140625" style="859"/>
    <col min="13825" max="13825" width="29.5703125" style="859" bestFit="1" customWidth="1"/>
    <col min="13826" max="13826" width="19.85546875" style="859" customWidth="1"/>
    <col min="13827" max="13827" width="12" style="859" bestFit="1" customWidth="1"/>
    <col min="13828" max="14080" width="9.140625" style="859"/>
    <col min="14081" max="14081" width="29.5703125" style="859" bestFit="1" customWidth="1"/>
    <col min="14082" max="14082" width="19.85546875" style="859" customWidth="1"/>
    <col min="14083" max="14083" width="12" style="859" bestFit="1" customWidth="1"/>
    <col min="14084" max="14336" width="9.140625" style="859"/>
    <col min="14337" max="14337" width="29.5703125" style="859" bestFit="1" customWidth="1"/>
    <col min="14338" max="14338" width="19.85546875" style="859" customWidth="1"/>
    <col min="14339" max="14339" width="12" style="859" bestFit="1" customWidth="1"/>
    <col min="14340" max="14592" width="9.140625" style="859"/>
    <col min="14593" max="14593" width="29.5703125" style="859" bestFit="1" customWidth="1"/>
    <col min="14594" max="14594" width="19.85546875" style="859" customWidth="1"/>
    <col min="14595" max="14595" width="12" style="859" bestFit="1" customWidth="1"/>
    <col min="14596" max="14848" width="9.140625" style="859"/>
    <col min="14849" max="14849" width="29.5703125" style="859" bestFit="1" customWidth="1"/>
    <col min="14850" max="14850" width="19.85546875" style="859" customWidth="1"/>
    <col min="14851" max="14851" width="12" style="859" bestFit="1" customWidth="1"/>
    <col min="14852" max="15104" width="9.140625" style="859"/>
    <col min="15105" max="15105" width="29.5703125" style="859" bestFit="1" customWidth="1"/>
    <col min="15106" max="15106" width="19.85546875" style="859" customWidth="1"/>
    <col min="15107" max="15107" width="12" style="859" bestFit="1" customWidth="1"/>
    <col min="15108" max="15360" width="9.140625" style="859"/>
    <col min="15361" max="15361" width="29.5703125" style="859" bestFit="1" customWidth="1"/>
    <col min="15362" max="15362" width="19.85546875" style="859" customWidth="1"/>
    <col min="15363" max="15363" width="12" style="859" bestFit="1" customWidth="1"/>
    <col min="15364" max="15616" width="9.140625" style="859"/>
    <col min="15617" max="15617" width="29.5703125" style="859" bestFit="1" customWidth="1"/>
    <col min="15618" max="15618" width="19.85546875" style="859" customWidth="1"/>
    <col min="15619" max="15619" width="12" style="859" bestFit="1" customWidth="1"/>
    <col min="15620" max="15872" width="9.140625" style="859"/>
    <col min="15873" max="15873" width="29.5703125" style="859" bestFit="1" customWidth="1"/>
    <col min="15874" max="15874" width="19.85546875" style="859" customWidth="1"/>
    <col min="15875" max="15875" width="12" style="859" bestFit="1" customWidth="1"/>
    <col min="15876" max="16128" width="9.140625" style="859"/>
    <col min="16129" max="16129" width="29.5703125" style="859" bestFit="1" customWidth="1"/>
    <col min="16130" max="16130" width="19.85546875" style="859" customWidth="1"/>
    <col min="16131" max="16131" width="12" style="859" bestFit="1" customWidth="1"/>
    <col min="16132" max="16384" width="9.140625" style="859"/>
  </cols>
  <sheetData>
    <row r="1" spans="1:2" x14ac:dyDescent="0.2">
      <c r="A1" s="859" t="s">
        <v>1031</v>
      </c>
      <c r="B1" s="1027">
        <v>6.1</v>
      </c>
    </row>
    <row r="2" spans="1:2" x14ac:dyDescent="0.2">
      <c r="A2" s="859" t="s">
        <v>1032</v>
      </c>
      <c r="B2" s="1031">
        <v>43195.38113425926</v>
      </c>
    </row>
    <row r="3" spans="1:2" x14ac:dyDescent="0.2">
      <c r="A3" s="859" t="s">
        <v>1033</v>
      </c>
      <c r="B3" s="1028" t="s">
        <v>725</v>
      </c>
    </row>
    <row r="4" spans="1:2" x14ac:dyDescent="0.2">
      <c r="A4" s="859" t="s">
        <v>1034</v>
      </c>
      <c r="B4" s="1028" t="s">
        <v>1035</v>
      </c>
    </row>
    <row r="5" spans="1:2" x14ac:dyDescent="0.2">
      <c r="A5" s="859" t="s">
        <v>1036</v>
      </c>
      <c r="B5" s="1028" t="s">
        <v>1037</v>
      </c>
    </row>
    <row r="6" spans="1:2" x14ac:dyDescent="0.2">
      <c r="A6" s="859" t="s">
        <v>1038</v>
      </c>
    </row>
    <row r="7" spans="1:2" x14ac:dyDescent="0.2">
      <c r="A7" s="859" t="s">
        <v>63</v>
      </c>
      <c r="B7" s="1028" t="s">
        <v>188</v>
      </c>
    </row>
    <row r="8" spans="1:2" x14ac:dyDescent="0.2">
      <c r="A8" s="859" t="s">
        <v>1039</v>
      </c>
      <c r="B8" s="1028" t="s">
        <v>1040</v>
      </c>
    </row>
    <row r="9" spans="1:2" x14ac:dyDescent="0.2">
      <c r="A9" s="859" t="s">
        <v>1041</v>
      </c>
      <c r="B9" s="1028" t="s">
        <v>1078</v>
      </c>
    </row>
    <row r="10" spans="1:2" x14ac:dyDescent="0.2">
      <c r="A10" s="859" t="s">
        <v>1042</v>
      </c>
    </row>
    <row r="11" spans="1:2" x14ac:dyDescent="0.2">
      <c r="A11" s="859" t="s">
        <v>1043</v>
      </c>
    </row>
    <row r="12" spans="1:2" x14ac:dyDescent="0.2">
      <c r="A12" s="859" t="s">
        <v>1044</v>
      </c>
    </row>
    <row r="13" spans="1:2" x14ac:dyDescent="0.2">
      <c r="A13" s="859" t="s">
        <v>1045</v>
      </c>
    </row>
    <row r="14" spans="1:2" x14ac:dyDescent="0.2">
      <c r="A14" s="859" t="s">
        <v>1046</v>
      </c>
    </row>
    <row r="15" spans="1:2" x14ac:dyDescent="0.2">
      <c r="A15" s="859" t="s">
        <v>1047</v>
      </c>
    </row>
    <row r="16" spans="1:2" x14ac:dyDescent="0.2">
      <c r="A16" s="859" t="s">
        <v>1048</v>
      </c>
    </row>
    <row r="17" spans="1:4" x14ac:dyDescent="0.2">
      <c r="A17" s="859" t="s">
        <v>1049</v>
      </c>
      <c r="B17" s="1028" t="s">
        <v>1079</v>
      </c>
    </row>
    <row r="18" spans="1:4" x14ac:dyDescent="0.2">
      <c r="A18" s="859" t="s">
        <v>1050</v>
      </c>
      <c r="B18" s="1028" t="s">
        <v>1082</v>
      </c>
    </row>
    <row r="19" spans="1:4" x14ac:dyDescent="0.2">
      <c r="A19" s="859" t="s">
        <v>1051</v>
      </c>
      <c r="B19" s="1028" t="s">
        <v>714</v>
      </c>
    </row>
    <row r="20" spans="1:4" x14ac:dyDescent="0.2">
      <c r="A20" s="859" t="s">
        <v>1052</v>
      </c>
      <c r="B20" s="1029" t="s">
        <v>1083</v>
      </c>
    </row>
    <row r="21" spans="1:4" x14ac:dyDescent="0.2">
      <c r="A21" s="859" t="s">
        <v>1053</v>
      </c>
      <c r="B21" s="1028" t="s">
        <v>714</v>
      </c>
    </row>
    <row r="22" spans="1:4" x14ac:dyDescent="0.2">
      <c r="A22" s="859" t="s">
        <v>1054</v>
      </c>
      <c r="B22" s="1029">
        <v>2803014</v>
      </c>
    </row>
    <row r="23" spans="1:4" x14ac:dyDescent="0.2">
      <c r="A23" s="859" t="s">
        <v>508</v>
      </c>
      <c r="B23" s="1027">
        <v>61.04</v>
      </c>
    </row>
    <row r="24" spans="1:4" x14ac:dyDescent="0.2">
      <c r="A24" s="859" t="s">
        <v>504</v>
      </c>
      <c r="B24" s="1028" t="s">
        <v>394</v>
      </c>
      <c r="D24" s="859" t="s">
        <v>449</v>
      </c>
    </row>
    <row r="25" spans="1:4" x14ac:dyDescent="0.2">
      <c r="A25" s="859" t="s">
        <v>1055</v>
      </c>
      <c r="B25" s="1028" t="s">
        <v>1084</v>
      </c>
    </row>
    <row r="26" spans="1:4" x14ac:dyDescent="0.2">
      <c r="A26" s="859" t="s">
        <v>1056</v>
      </c>
      <c r="B26" s="1028">
        <v>0</v>
      </c>
    </row>
    <row r="27" spans="1:4" x14ac:dyDescent="0.2">
      <c r="A27" s="859" t="s">
        <v>1057</v>
      </c>
      <c r="B27" s="1028" t="s">
        <v>1058</v>
      </c>
    </row>
    <row r="28" spans="1:4" x14ac:dyDescent="0.2">
      <c r="A28" s="859" t="s">
        <v>1059</v>
      </c>
      <c r="B28" s="1028" t="s">
        <v>1060</v>
      </c>
    </row>
    <row r="29" spans="1:4" x14ac:dyDescent="0.2">
      <c r="A29" s="859" t="s">
        <v>1061</v>
      </c>
    </row>
    <row r="30" spans="1:4" x14ac:dyDescent="0.2">
      <c r="A30" s="859" t="s">
        <v>1062</v>
      </c>
    </row>
    <row r="31" spans="1:4" x14ac:dyDescent="0.2">
      <c r="A31" s="859" t="s">
        <v>1063</v>
      </c>
    </row>
    <row r="32" spans="1:4" x14ac:dyDescent="0.2">
      <c r="A32" s="859" t="s">
        <v>1064</v>
      </c>
      <c r="B32" s="1027"/>
    </row>
    <row r="33" spans="1:2" x14ac:dyDescent="0.2">
      <c r="A33" s="859" t="s">
        <v>1065</v>
      </c>
      <c r="B33" s="1027"/>
    </row>
    <row r="34" spans="1:2" x14ac:dyDescent="0.2">
      <c r="A34" s="859" t="s">
        <v>1066</v>
      </c>
      <c r="B34" s="1027"/>
    </row>
    <row r="35" spans="1:2" x14ac:dyDescent="0.2">
      <c r="A35" s="859" t="s">
        <v>1067</v>
      </c>
      <c r="B35" s="1028">
        <v>1000000</v>
      </c>
    </row>
    <row r="36" spans="1:2" x14ac:dyDescent="0.2">
      <c r="A36" s="859" t="s">
        <v>1068</v>
      </c>
      <c r="B36" s="1028" t="s">
        <v>1080</v>
      </c>
    </row>
    <row r="37" spans="1:2" x14ac:dyDescent="0.2">
      <c r="A37" s="859" t="s">
        <v>1069</v>
      </c>
      <c r="B37" s="1028" t="s">
        <v>1070</v>
      </c>
    </row>
    <row r="38" spans="1:2" x14ac:dyDescent="0.2">
      <c r="A38" s="859" t="s">
        <v>1071</v>
      </c>
      <c r="B38" s="1028" t="s">
        <v>1072</v>
      </c>
    </row>
    <row r="39" spans="1:2" x14ac:dyDescent="0.2">
      <c r="A39" s="859" t="s">
        <v>1073</v>
      </c>
      <c r="B39" s="1028" t="s">
        <v>1081</v>
      </c>
    </row>
    <row r="40" spans="1:2" x14ac:dyDescent="0.2">
      <c r="A40" s="859" t="s">
        <v>1074</v>
      </c>
      <c r="B40" s="1028">
        <v>1500005428</v>
      </c>
    </row>
    <row r="41" spans="1:2" x14ac:dyDescent="0.2">
      <c r="A41" s="859" t="s">
        <v>1075</v>
      </c>
      <c r="B41" s="1028">
        <v>1</v>
      </c>
    </row>
    <row r="42" spans="1:2" x14ac:dyDescent="0.2">
      <c r="A42" s="1030" t="s">
        <v>1076</v>
      </c>
    </row>
    <row r="43" spans="1:2" x14ac:dyDescent="0.2">
      <c r="A43" s="859" t="s">
        <v>1077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859" bestFit="1" customWidth="1"/>
    <col min="2" max="256" width="9.140625" style="859"/>
    <col min="257" max="257" width="28.5703125" style="859" bestFit="1" customWidth="1"/>
    <col min="258" max="512" width="9.140625" style="859"/>
    <col min="513" max="513" width="28.5703125" style="859" bestFit="1" customWidth="1"/>
    <col min="514" max="768" width="9.140625" style="859"/>
    <col min="769" max="769" width="28.5703125" style="859" bestFit="1" customWidth="1"/>
    <col min="770" max="1024" width="9.140625" style="859"/>
    <col min="1025" max="1025" width="28.5703125" style="859" bestFit="1" customWidth="1"/>
    <col min="1026" max="1280" width="9.140625" style="859"/>
    <col min="1281" max="1281" width="28.5703125" style="859" bestFit="1" customWidth="1"/>
    <col min="1282" max="1536" width="9.140625" style="859"/>
    <col min="1537" max="1537" width="28.5703125" style="859" bestFit="1" customWidth="1"/>
    <col min="1538" max="1792" width="9.140625" style="859"/>
    <col min="1793" max="1793" width="28.5703125" style="859" bestFit="1" customWidth="1"/>
    <col min="1794" max="2048" width="9.140625" style="859"/>
    <col min="2049" max="2049" width="28.5703125" style="859" bestFit="1" customWidth="1"/>
    <col min="2050" max="2304" width="9.140625" style="859"/>
    <col min="2305" max="2305" width="28.5703125" style="859" bestFit="1" customWidth="1"/>
    <col min="2306" max="2560" width="9.140625" style="859"/>
    <col min="2561" max="2561" width="28.5703125" style="859" bestFit="1" customWidth="1"/>
    <col min="2562" max="2816" width="9.140625" style="859"/>
    <col min="2817" max="2817" width="28.5703125" style="859" bestFit="1" customWidth="1"/>
    <col min="2818" max="3072" width="9.140625" style="859"/>
    <col min="3073" max="3073" width="28.5703125" style="859" bestFit="1" customWidth="1"/>
    <col min="3074" max="3328" width="9.140625" style="859"/>
    <col min="3329" max="3329" width="28.5703125" style="859" bestFit="1" customWidth="1"/>
    <col min="3330" max="3584" width="9.140625" style="859"/>
    <col min="3585" max="3585" width="28.5703125" style="859" bestFit="1" customWidth="1"/>
    <col min="3586" max="3840" width="9.140625" style="859"/>
    <col min="3841" max="3841" width="28.5703125" style="859" bestFit="1" customWidth="1"/>
    <col min="3842" max="4096" width="9.140625" style="859"/>
    <col min="4097" max="4097" width="28.5703125" style="859" bestFit="1" customWidth="1"/>
    <col min="4098" max="4352" width="9.140625" style="859"/>
    <col min="4353" max="4353" width="28.5703125" style="859" bestFit="1" customWidth="1"/>
    <col min="4354" max="4608" width="9.140625" style="859"/>
    <col min="4609" max="4609" width="28.5703125" style="859" bestFit="1" customWidth="1"/>
    <col min="4610" max="4864" width="9.140625" style="859"/>
    <col min="4865" max="4865" width="28.5703125" style="859" bestFit="1" customWidth="1"/>
    <col min="4866" max="5120" width="9.140625" style="859"/>
    <col min="5121" max="5121" width="28.5703125" style="859" bestFit="1" customWidth="1"/>
    <col min="5122" max="5376" width="9.140625" style="859"/>
    <col min="5377" max="5377" width="28.5703125" style="859" bestFit="1" customWidth="1"/>
    <col min="5378" max="5632" width="9.140625" style="859"/>
    <col min="5633" max="5633" width="28.5703125" style="859" bestFit="1" customWidth="1"/>
    <col min="5634" max="5888" width="9.140625" style="859"/>
    <col min="5889" max="5889" width="28.5703125" style="859" bestFit="1" customWidth="1"/>
    <col min="5890" max="6144" width="9.140625" style="859"/>
    <col min="6145" max="6145" width="28.5703125" style="859" bestFit="1" customWidth="1"/>
    <col min="6146" max="6400" width="9.140625" style="859"/>
    <col min="6401" max="6401" width="28.5703125" style="859" bestFit="1" customWidth="1"/>
    <col min="6402" max="6656" width="9.140625" style="859"/>
    <col min="6657" max="6657" width="28.5703125" style="859" bestFit="1" customWidth="1"/>
    <col min="6658" max="6912" width="9.140625" style="859"/>
    <col min="6913" max="6913" width="28.5703125" style="859" bestFit="1" customWidth="1"/>
    <col min="6914" max="7168" width="9.140625" style="859"/>
    <col min="7169" max="7169" width="28.5703125" style="859" bestFit="1" customWidth="1"/>
    <col min="7170" max="7424" width="9.140625" style="859"/>
    <col min="7425" max="7425" width="28.5703125" style="859" bestFit="1" customWidth="1"/>
    <col min="7426" max="7680" width="9.140625" style="859"/>
    <col min="7681" max="7681" width="28.5703125" style="859" bestFit="1" customWidth="1"/>
    <col min="7682" max="7936" width="9.140625" style="859"/>
    <col min="7937" max="7937" width="28.5703125" style="859" bestFit="1" customWidth="1"/>
    <col min="7938" max="8192" width="9.140625" style="859"/>
    <col min="8193" max="8193" width="28.5703125" style="859" bestFit="1" customWidth="1"/>
    <col min="8194" max="8448" width="9.140625" style="859"/>
    <col min="8449" max="8449" width="28.5703125" style="859" bestFit="1" customWidth="1"/>
    <col min="8450" max="8704" width="9.140625" style="859"/>
    <col min="8705" max="8705" width="28.5703125" style="859" bestFit="1" customWidth="1"/>
    <col min="8706" max="8960" width="9.140625" style="859"/>
    <col min="8961" max="8961" width="28.5703125" style="859" bestFit="1" customWidth="1"/>
    <col min="8962" max="9216" width="9.140625" style="859"/>
    <col min="9217" max="9217" width="28.5703125" style="859" bestFit="1" customWidth="1"/>
    <col min="9218" max="9472" width="9.140625" style="859"/>
    <col min="9473" max="9473" width="28.5703125" style="859" bestFit="1" customWidth="1"/>
    <col min="9474" max="9728" width="9.140625" style="859"/>
    <col min="9729" max="9729" width="28.5703125" style="859" bestFit="1" customWidth="1"/>
    <col min="9730" max="9984" width="9.140625" style="859"/>
    <col min="9985" max="9985" width="28.5703125" style="859" bestFit="1" customWidth="1"/>
    <col min="9986" max="10240" width="9.140625" style="859"/>
    <col min="10241" max="10241" width="28.5703125" style="859" bestFit="1" customWidth="1"/>
    <col min="10242" max="10496" width="9.140625" style="859"/>
    <col min="10497" max="10497" width="28.5703125" style="859" bestFit="1" customWidth="1"/>
    <col min="10498" max="10752" width="9.140625" style="859"/>
    <col min="10753" max="10753" width="28.5703125" style="859" bestFit="1" customWidth="1"/>
    <col min="10754" max="11008" width="9.140625" style="859"/>
    <col min="11009" max="11009" width="28.5703125" style="859" bestFit="1" customWidth="1"/>
    <col min="11010" max="11264" width="9.140625" style="859"/>
    <col min="11265" max="11265" width="28.5703125" style="859" bestFit="1" customWidth="1"/>
    <col min="11266" max="11520" width="9.140625" style="859"/>
    <col min="11521" max="11521" width="28.5703125" style="859" bestFit="1" customWidth="1"/>
    <col min="11522" max="11776" width="9.140625" style="859"/>
    <col min="11777" max="11777" width="28.5703125" style="859" bestFit="1" customWidth="1"/>
    <col min="11778" max="12032" width="9.140625" style="859"/>
    <col min="12033" max="12033" width="28.5703125" style="859" bestFit="1" customWidth="1"/>
    <col min="12034" max="12288" width="9.140625" style="859"/>
    <col min="12289" max="12289" width="28.5703125" style="859" bestFit="1" customWidth="1"/>
    <col min="12290" max="12544" width="9.140625" style="859"/>
    <col min="12545" max="12545" width="28.5703125" style="859" bestFit="1" customWidth="1"/>
    <col min="12546" max="12800" width="9.140625" style="859"/>
    <col min="12801" max="12801" width="28.5703125" style="859" bestFit="1" customWidth="1"/>
    <col min="12802" max="13056" width="9.140625" style="859"/>
    <col min="13057" max="13057" width="28.5703125" style="859" bestFit="1" customWidth="1"/>
    <col min="13058" max="13312" width="9.140625" style="859"/>
    <col min="13313" max="13313" width="28.5703125" style="859" bestFit="1" customWidth="1"/>
    <col min="13314" max="13568" width="9.140625" style="859"/>
    <col min="13569" max="13569" width="28.5703125" style="859" bestFit="1" customWidth="1"/>
    <col min="13570" max="13824" width="9.140625" style="859"/>
    <col min="13825" max="13825" width="28.5703125" style="859" bestFit="1" customWidth="1"/>
    <col min="13826" max="14080" width="9.140625" style="859"/>
    <col min="14081" max="14081" width="28.5703125" style="859" bestFit="1" customWidth="1"/>
    <col min="14082" max="14336" width="9.140625" style="859"/>
    <col min="14337" max="14337" width="28.5703125" style="859" bestFit="1" customWidth="1"/>
    <col min="14338" max="14592" width="9.140625" style="859"/>
    <col min="14593" max="14593" width="28.5703125" style="859" bestFit="1" customWidth="1"/>
    <col min="14594" max="14848" width="9.140625" style="859"/>
    <col min="14849" max="14849" width="28.5703125" style="859" bestFit="1" customWidth="1"/>
    <col min="14850" max="15104" width="9.140625" style="859"/>
    <col min="15105" max="15105" width="28.5703125" style="859" bestFit="1" customWidth="1"/>
    <col min="15106" max="15360" width="9.140625" style="859"/>
    <col min="15361" max="15361" width="28.5703125" style="859" bestFit="1" customWidth="1"/>
    <col min="15362" max="15616" width="9.140625" style="859"/>
    <col min="15617" max="15617" width="28.5703125" style="859" bestFit="1" customWidth="1"/>
    <col min="15618" max="15872" width="9.140625" style="859"/>
    <col min="15873" max="15873" width="28.5703125" style="859" bestFit="1" customWidth="1"/>
    <col min="15874" max="16128" width="9.140625" style="859"/>
    <col min="16129" max="16129" width="28.5703125" style="859" bestFit="1" customWidth="1"/>
    <col min="16130" max="16384" width="9.140625" style="859"/>
  </cols>
  <sheetData>
    <row r="1" spans="1:1" x14ac:dyDescent="0.2">
      <c r="A1" s="1032" t="s">
        <v>1085</v>
      </c>
    </row>
    <row r="2" spans="1:1" x14ac:dyDescent="0.2">
      <c r="A2" s="1032" t="s">
        <v>1090</v>
      </c>
    </row>
    <row r="3" spans="1:1" x14ac:dyDescent="0.2">
      <c r="A3" s="1032" t="s">
        <v>1091</v>
      </c>
    </row>
    <row r="4" spans="1:1" x14ac:dyDescent="0.2">
      <c r="A4" s="1032" t="s">
        <v>1092</v>
      </c>
    </row>
    <row r="5" spans="1:1" x14ac:dyDescent="0.2">
      <c r="A5" s="1032" t="s">
        <v>1093</v>
      </c>
    </row>
    <row r="6" spans="1:1" x14ac:dyDescent="0.2">
      <c r="A6" s="1032" t="s">
        <v>1086</v>
      </c>
    </row>
    <row r="7" spans="1:1" x14ac:dyDescent="0.2">
      <c r="A7" s="1032" t="s">
        <v>1094</v>
      </c>
    </row>
    <row r="8" spans="1:1" x14ac:dyDescent="0.2">
      <c r="A8" s="1032" t="s">
        <v>1095</v>
      </c>
    </row>
    <row r="9" spans="1:1" x14ac:dyDescent="0.2">
      <c r="A9" s="1032" t="s">
        <v>1096</v>
      </c>
    </row>
    <row r="10" spans="1:1" x14ac:dyDescent="0.2">
      <c r="A10" s="1032" t="s">
        <v>1087</v>
      </c>
    </row>
    <row r="11" spans="1:1" x14ac:dyDescent="0.2">
      <c r="A11" s="1032" t="s">
        <v>1097</v>
      </c>
    </row>
    <row r="12" spans="1:1" x14ac:dyDescent="0.2">
      <c r="A12" s="1032" t="s">
        <v>1088</v>
      </c>
    </row>
    <row r="13" spans="1:1" x14ac:dyDescent="0.2">
      <c r="A13" s="1032" t="s">
        <v>1089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a58a0e34-1dca-4c8d-a13d-b1bf02014a8a</GUID>
    <SOURCE_ALTADDRESS>$B$19:$I$49</SOURCE_ALTADDRESS>
    <SOURCETYPE>Table</SOURCETYPE>
    <SOURCE_OBJECTNAME>Linking_Range_25</SOURCE_OBJECTNAME>
    <OBJECTTYPE>Native</OBJECTTYPE>
    <SOURCE_SHEETCODE>Sheet8</SOURCE_SHEETCODE>
    <SOURCE_SHEETNAME>Output</SOURCE_SHEETNAME>
    <SOURCEAPPLICATION>EXCEL_SOURCE</SOURCEAPPLICATION>
    <UPDATEDAT>12/8/2014 10:56:19 AM</UPDATEDAT>
    <SOURCE_ISOUTOFDATE>False</SOURCE_ISOUTOFDATE>
    <SOURCE_WORKBOOKNAME>PFG.xlsm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/MSResearch/Content/ExternalAssets/2014-12/Images/BNxLRpfUkUmXpkMhD5lDaw--.png</TARGET_BINARYFULLNAME>
    <TARGET_STORYFULLNAME>/MSResearch/Content/ExternalAssets/2014-12/Sections/20141208_105616_Linking_Range_25.xml</TARGET_STORYFULLNAME>
    <TARGET_UUID>be1518d0-7ef2-11e4-b436-bce11cc013d8</TARGET_UUID>
  </Link>
  <Link>
    <GUID>6cb92aca-01ad-40c5-a386-28e2f8718750</GUID>
    <SOURCE_ALTADDRESS>$A$3:$EK$53</SOURCE_ALTADDRESS>
    <SOURCETYPE>Table</SOURCETYPE>
    <SOURCE_OBJECTNAME>Linking_Range_2</SOURCE_OBJECTNAME>
    <OBJECTTYPE>Native</OBJECTTYPE>
    <SOURCE_SHEETCODE>Sheet4</SOURCE_SHEETCODE>
    <SOURCE_SHEETNAME>FORECAST-CORE</SOURCE_SHEETNAME>
    <SOURCEAPPLICATION>EXCEL_SOURCE</SOURCEAPPLICATION>
    <UPDATEDAT>12/8/2014 11:39:10 AM</UPDATEDAT>
    <SOURCE_ISOUTOFDATE>False</SOURCE_ISOUTOFDATE>
    <SOURCE_WORKBOOKNAME>PFG.xlsm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/MSResearch/Content/ExternalAssets/2014-12/Images/QjCwm1hjbE6BY2_QT1xoww--.png</TARGET_BINARYFULLNAME>
    <TARGET_STORYFULLNAME>/MSResearch/Content/ExternalAssets/2014-12/Sections/20141208_113906_Linking_Range_2.xml</TARGET_STORYFULLNAME>
    <TARGET_UUID>b9e2371a-7ef8-11e4-b436-bce11cc013d8</TARGET_UUID>
  </Link>
  <Link>
    <GUID>2f318230-2338-4369-b791-e636ac6b0ada</GUID>
    <SOURCE_ALTADDRESS>$A$60:$EK$103</SOURCE_ALTADDRESS>
    <SOURCETYPE>Table</SOURCETYPE>
    <SOURCE_OBJECTNAME>Linking_Range_3</SOURCE_OBJECTNAME>
    <OBJECTTYPE>Native</OBJECTTYPE>
    <SOURCE_SHEETCODE>Sheet4</SOURCE_SHEETCODE>
    <SOURCE_SHEETNAME>FORECAST-CORE</SOURCE_SHEETNAME>
    <SOURCEAPPLICATION>EXCEL_SOURCE</SOURCEAPPLICATION>
    <UPDATEDAT>12/8/2014 11:39:31 AM</UPDATEDAT>
    <SOURCE_ISOUTOFDATE>False</SOURCE_ISOUTOFDATE>
    <SOURCE_WORKBOOKNAME>PFG.xlsm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/MSResearch/Content/ExternalAssets/2014-12/Images/KC1NZBSUUECCSfSHDMdRDg--.png</TARGET_BINARYFULLNAME>
    <TARGET_STORYFULLNAME>/MSResearch/Content/ExternalAssets/2014-12/Sections/20141208_113927_Linking_Range_3.xml</TARGET_STORYFULLNAME>
    <TARGET_UUID>c66647d8-7ef8-11e4-b436-bce11cc013d8</TARGET_UUID>
  </Link>
  <Link>
    <GUID>5477fe25-5ea7-4bd3-bc74-6bab48fcd3a4</GUID>
    <SOURCE_ALTADDRESS>$A$1:$D$20</SOURCE_ALTADDRESS>
    <SOURCETYPE>Table</SOURCETYPE>
    <SOURCE_OBJECTNAME>Linking_Range_22</SOURCE_OBJECTNAME>
    <OBJECTTYPE>Native</OBJECTTYPE>
    <SOURCE_SHEETCODE>Sheet10</SOURCE_SHEETCODE>
    <SOURCE_SHEETNAME>SOTPs</SOURCE_SHEETNAME>
    <SOURCEAPPLICATION>EXCEL_SOURCE</SOURCEAPPLICATION>
    <UPDATEDAT>4/15/2015 11:45:42 AM</UPDATEDAT>
    <SOURCE_ISOUTOFDATE>False</SOURCE_ISOUTOFDATE>
    <SOURCE_WORKBOOKNAME>PFG.xlsm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/MSResearch/Content/ExternalAssets/2014-12/Images/GYzlXpDpRGFflY6BUkNg--.png</TARGET_BINARYFULLNAME>
    <TARGET_STORYFULLNAME>/MSResearch/Content/ExternalAssets/2014-12/Sections/20141208_121334_Linking_Range_22.xml</TARGET_STORYFULLNAME>
    <TARGET_UUID>8ae316a0-7efd-11e4-b436-bce11cc013d8</TARGET_UUID>
    <TRANSPARENTBACKGROUND>False</TRANSPARENTBACKGROUND>
    <TRANSPARENTPLOTAREA>False</TRANSPARENTPLOTAREA>
    <EXTRACTSOURCEMODE>CopyToClipboard</EXTRACTSOURCEMODE>
  </Link>
  <Link>
    <GUID>76dcc595-f7dc-4a1b-ae46-30a9185cabf1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4/20/2015 1:44:45 PM</UPDATEDAT>
    <SOURCE_ISOUTOFDATE>False</SOURCE_ISOUTOFDATE>
    <SOURCE_WORKBOOKNAME>PFG.xlsm</SOURCE_WORKBOOKNAME>
    <SOURCE_WORKBOOKPATH>\\MSAD\ROOT\NA\NY\LIB\ER\INSURANC\life&amp;annuities\models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/MSResearch/Content/ExternalAssets/2014-12/Images/YWB3rOJhQSlY1OxDxVLmQ--.png</TARGET_BINARYFULLNAME>
    <TARGET_STORYFULLNAME>/MSResearch/Content/ExternalAssets/2014-12/Sections/20141205_095836_MWA_Risk_Reward.xml</TARGET_STORYFULLNAME>
    <TARGET_UUID>3086feee-7c8f-11e4-a118-f2cb50997d55</TARGET_UUID>
    <LINKSTATUS>Unknown</LINKSTATUS>
    <HIDEGRIDLINES>False</HIDEGRIDLINES>
    <EXTRACTSOURCEMODE>CopyToClipboard</EXTRACTSOURCEMODE>
  </Link>
  <Link>
    <GUID>835e76f4-712b-4bcb-af45-ca06cec4ea09</GUID>
    <SOURCE_ALTADDRESS>$B$7:$N$82</SOURCE_ALTADDRESS>
    <SOURCETYPE>Table</SOURCETYPE>
    <SOURCE_OBJECTNAME>Linking_Range_20</SOURCE_OBJECTNAME>
    <OBJECTTYPE>Native</OBJECTTYPE>
    <SOURCE_SHEETCODE>Sheet214</SOURCE_SHEETCODE>
    <SOURCE_SHEETNAME>Core A vs E</SOURCE_SHEETNAME>
    <SOURCEAPPLICATION>EXCEL_SOURCE</SOURCEAPPLICATION>
    <UPDATEDAT>4/24/2015 9:44:38 AM</UPDATEDAT>
    <SOURCE_ISOUTOFDATE>False</SOURCE_ISOUTOFDATE>
    <SOURCE_WORKBOOKNAME>PFG.xlsm</SOURCE_WORKBOOKNAME>
    <SOURCE_WORKBOOKPATH>\\MSAD\ROOT\NA\NY\LIB\ER\INSURANC\life&amp;annuities\models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/MSResearch/Content/ExternalAssets/2015-04/Images/K_ph51Gh902qG1jZ-XDHIA--.png</TARGET_BINARYFULLNAME>
    <TARGET_STORYFULLNAME>/MSResearch/Content/ExternalAssets/2015-04/Sections/20150415_100912_Linking_Range_20.xml</TARGET_STORYFULLNAME>
    <TARGET_UUID>fdcf893e-e378-11e4-8428-e799a3b9280a</TARGET_UUID>
    <LINKSTATUS>Unknown</LINKSTATUS>
  </Link>
</lk:Links>
</file>

<file path=customXml/itemProps1.xml><?xml version="1.0" encoding="utf-8"?>
<ds:datastoreItem xmlns:ds="http://schemas.openxmlformats.org/officeDocument/2006/customXml" ds:itemID="{0A5DD8C2-A5DF-4345-9C8C-53C49BAF9764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798258E2-1E75-489B-96D6-40036564C664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359</vt:i4>
      </vt:variant>
    </vt:vector>
  </HeadingPairs>
  <TitlesOfParts>
    <vt:vector size="367" baseType="lpstr">
      <vt:lpstr>ImportantDisclosures</vt:lpstr>
      <vt:lpstr>INPUT</vt:lpstr>
      <vt:lpstr>FORECAST-CORE</vt:lpstr>
      <vt:lpstr>FORECAST-REPORTED</vt:lpstr>
      <vt:lpstr>SOTPs</vt:lpstr>
      <vt:lpstr>Guidance</vt:lpstr>
      <vt:lpstr>IndexInformation</vt:lpstr>
      <vt:lpstr>ModPubIndex</vt:lpstr>
      <vt:lpstr>_1Q13</vt:lpstr>
      <vt:lpstr>_1Q14</vt:lpstr>
      <vt:lpstr>_1Q15</vt:lpstr>
      <vt:lpstr>_1Q16</vt:lpstr>
      <vt:lpstr>_1Q17</vt:lpstr>
      <vt:lpstr>_1Q18</vt:lpstr>
      <vt:lpstr>_2Q13</vt:lpstr>
      <vt:lpstr>_2Q14</vt:lpstr>
      <vt:lpstr>_2Q15</vt:lpstr>
      <vt:lpstr>_2Q16</vt:lpstr>
      <vt:lpstr>_2Q17</vt:lpstr>
      <vt:lpstr>_2Q18</vt:lpstr>
      <vt:lpstr>_3Q13</vt:lpstr>
      <vt:lpstr>_3Q14</vt:lpstr>
      <vt:lpstr>_3Q15</vt:lpstr>
      <vt:lpstr>_3Q16</vt:lpstr>
      <vt:lpstr>_3Q17</vt:lpstr>
      <vt:lpstr>_3Q18</vt:lpstr>
      <vt:lpstr>_4Q13</vt:lpstr>
      <vt:lpstr>_4Q14</vt:lpstr>
      <vt:lpstr>_4Q15</vt:lpstr>
      <vt:lpstr>_4Q16</vt:lpstr>
      <vt:lpstr>_4Q17</vt:lpstr>
      <vt:lpstr>_4Q18</vt:lpstr>
      <vt:lpstr>_5_Yr</vt:lpstr>
      <vt:lpstr>aa</vt:lpstr>
      <vt:lpstr>AdditionalInstructions</vt:lpstr>
      <vt:lpstr>ImportantDisclosures!Address</vt:lpstr>
      <vt:lpstr>AmtIssued</vt:lpstr>
      <vt:lpstr>AmtRepurch</vt:lpstr>
      <vt:lpstr>ModPubIndex!ANA</vt:lpstr>
      <vt:lpstr>AssetMgmt_Deposits</vt:lpstr>
      <vt:lpstr>AssetMgmt_NetFlows</vt:lpstr>
      <vt:lpstr>AssetMgmt_Withdrawals</vt:lpstr>
      <vt:lpstr>Assets_Intl</vt:lpstr>
      <vt:lpstr>Assets_Specialty</vt:lpstr>
      <vt:lpstr>ATEarns_Health</vt:lpstr>
      <vt:lpstr>ATEarns_Insurance</vt:lpstr>
      <vt:lpstr>ATEarns_Intl</vt:lpstr>
      <vt:lpstr>ATEarns_LifeIns</vt:lpstr>
      <vt:lpstr>ATEarns_Specialty</vt:lpstr>
      <vt:lpstr>AUM_EOP_RISFee</vt:lpstr>
      <vt:lpstr>AUM_EOP_RISSpread</vt:lpstr>
      <vt:lpstr>ImportantDisclosures!Authors</vt:lpstr>
      <vt:lpstr>IndexInformation!Authors</vt:lpstr>
      <vt:lpstr>Avg_Eq_ex115</vt:lpstr>
      <vt:lpstr>Avg_Eq_incl115</vt:lpstr>
      <vt:lpstr>AvgBasicShrs</vt:lpstr>
      <vt:lpstr>AvgShrsOut</vt:lpstr>
      <vt:lpstr>BenefitsRatio_Group</vt:lpstr>
      <vt:lpstr>BIG</vt:lpstr>
      <vt:lpstr>BIG_FixPct</vt:lpstr>
      <vt:lpstr>BIG_ShrEqPct</vt:lpstr>
      <vt:lpstr>Brazil_EopAUM</vt:lpstr>
      <vt:lpstr>ModPubIndex!BRO</vt:lpstr>
      <vt:lpstr>Buybacks_AvgPrice</vt:lpstr>
      <vt:lpstr>BVPS_ex115</vt:lpstr>
      <vt:lpstr>BVPS_incl115</vt:lpstr>
      <vt:lpstr>Chile_EopAUM</vt:lpstr>
      <vt:lpstr>Consolidated_NII</vt:lpstr>
      <vt:lpstr>Consolidated_OperatingExpenses</vt:lpstr>
      <vt:lpstr>Consolidated_Premiums</vt:lpstr>
      <vt:lpstr>Consolidated_Revenues</vt:lpstr>
      <vt:lpstr>CopyrightStamp</vt:lpstr>
      <vt:lpstr>Core_AssetMgmt_PTEarns</vt:lpstr>
      <vt:lpstr>Core_ATEarns</vt:lpstr>
      <vt:lpstr>Core_CO_ATEarns</vt:lpstr>
      <vt:lpstr>Core_Corp_PT</vt:lpstr>
      <vt:lpstr>Core_Health_ATEarns</vt:lpstr>
      <vt:lpstr>Core_Insurance_ATEarns</vt:lpstr>
      <vt:lpstr>Core_Intl_ATEarns</vt:lpstr>
      <vt:lpstr>Core_Life_PT</vt:lpstr>
      <vt:lpstr>Core_Life_PTEarns</vt:lpstr>
      <vt:lpstr>Core_LifeIns_ATEarns</vt:lpstr>
      <vt:lpstr>Core_OpEPS</vt:lpstr>
      <vt:lpstr>Core_OpROE</vt:lpstr>
      <vt:lpstr>Core_PGI_PT</vt:lpstr>
      <vt:lpstr>Core_PGIEarns</vt:lpstr>
      <vt:lpstr>Core_PI_PT</vt:lpstr>
      <vt:lpstr>Core_PT</vt:lpstr>
      <vt:lpstr>Core_PTEarns_RIS_Spread</vt:lpstr>
      <vt:lpstr>Core_RISFee_PT</vt:lpstr>
      <vt:lpstr>Core_RISSpread_PT</vt:lpstr>
      <vt:lpstr>Core_ROE</vt:lpstr>
      <vt:lpstr>Core_SpBen_PT</vt:lpstr>
      <vt:lpstr>CoreOpEarns_AT</vt:lpstr>
      <vt:lpstr>CoreOpEarns_PT</vt:lpstr>
      <vt:lpstr>CorePT_Accumulation</vt:lpstr>
      <vt:lpstr>CorePT_Annuities</vt:lpstr>
      <vt:lpstr>CorePT_Bank</vt:lpstr>
      <vt:lpstr>CorePT_Consolidated</vt:lpstr>
      <vt:lpstr>CorePT_Fee</vt:lpstr>
      <vt:lpstr>CorePT_FSA</vt:lpstr>
      <vt:lpstr>CorePT_Guaranteed</vt:lpstr>
      <vt:lpstr>CorePT_Intl</vt:lpstr>
      <vt:lpstr>CorePT_Life</vt:lpstr>
      <vt:lpstr>CorePT_PGI</vt:lpstr>
      <vt:lpstr>CorePT_PI</vt:lpstr>
      <vt:lpstr>CorePT_RIS</vt:lpstr>
      <vt:lpstr>CorePT_SB</vt:lpstr>
      <vt:lpstr>CorePT_Specialty</vt:lpstr>
      <vt:lpstr>CorePT_Spread</vt:lpstr>
      <vt:lpstr>CorePTEarns_FSA</vt:lpstr>
      <vt:lpstr>CorePTEarns_Funds</vt:lpstr>
      <vt:lpstr>CorePTEarns_Guaranteed</vt:lpstr>
      <vt:lpstr>CorePTEarns_Life</vt:lpstr>
      <vt:lpstr>CorePTEarns_Ret</vt:lpstr>
      <vt:lpstr>CorePTEarns_SB</vt:lpstr>
      <vt:lpstr>CorePTEarns_Spread</vt:lpstr>
      <vt:lpstr>CorePTMargin_Life</vt:lpstr>
      <vt:lpstr>Corp_AT</vt:lpstr>
      <vt:lpstr>Corp_PT</vt:lpstr>
      <vt:lpstr>Corp_TaxRate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DAC</vt:lpstr>
      <vt:lpstr>DAC_Asset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DivAmt</vt:lpstr>
      <vt:lpstr>DiviAmt</vt:lpstr>
      <vt:lpstr>Dividend_and_Stock_Repurchases_Payout_Ratios</vt:lpstr>
      <vt:lpstr>DivPayout</vt:lpstr>
      <vt:lpstr>DivPS</vt:lpstr>
      <vt:lpstr>ModPubIndex!DOCDAT</vt:lpstr>
      <vt:lpstr>ModPubIndex!DOCTIME</vt:lpstr>
      <vt:lpstr>IndexInformation!DocType</vt:lpstr>
      <vt:lpstr>ModPubIndex!EMAIL_ALERT</vt:lpstr>
      <vt:lpstr>IndexInformation!EmailAlert</vt:lpstr>
      <vt:lpstr>EOP_Eq_ex115</vt:lpstr>
      <vt:lpstr>EOP_Eq_incl115</vt:lpstr>
      <vt:lpstr>EOPShrsOut</vt:lpstr>
      <vt:lpstr>EPS_ForConsensus</vt:lpstr>
      <vt:lpstr>F1998_</vt:lpstr>
      <vt:lpstr>F2013_</vt:lpstr>
      <vt:lpstr>F2014_</vt:lpstr>
      <vt:lpstr>F2015_</vt:lpstr>
      <vt:lpstr>F2016_</vt:lpstr>
      <vt:lpstr>F2017_</vt:lpstr>
      <vt:lpstr>F2018_</vt:lpstr>
      <vt:lpstr>F2019_</vt:lpstr>
      <vt:lpstr>F2020_</vt:lpstr>
      <vt:lpstr>F2021_</vt:lpstr>
      <vt:lpstr>F2022_</vt:lpstr>
      <vt:lpstr>FAS115_Adjmt</vt:lpstr>
      <vt:lpstr>Fee_RONR_Core</vt:lpstr>
      <vt:lpstr>Fee_TaxRate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IndLife_ROPF</vt:lpstr>
      <vt:lpstr>ImportantDisclosures!Industry</vt:lpstr>
      <vt:lpstr>IndustryId</vt:lpstr>
      <vt:lpstr>ImportantDisclosures!IndustryRating</vt:lpstr>
      <vt:lpstr>Int_Exp</vt:lpstr>
      <vt:lpstr>Intl_Avg.AUM</vt:lpstr>
      <vt:lpstr>Intl_CorePTMargin</vt:lpstr>
      <vt:lpstr>Intl_CoreRONR</vt:lpstr>
      <vt:lpstr>Intl_Deposits</vt:lpstr>
      <vt:lpstr>Intl_Exp</vt:lpstr>
      <vt:lpstr>Intl_Fees</vt:lpstr>
      <vt:lpstr>Intl_NII</vt:lpstr>
      <vt:lpstr>Intl_PTMargin</vt:lpstr>
      <vt:lpstr>Intl_Revenues</vt:lpstr>
      <vt:lpstr>Intl_ROA</vt:lpstr>
      <vt:lpstr>Intl_RONR</vt:lpstr>
      <vt:lpstr>Intl_Withdrawals</vt:lpstr>
      <vt:lpstr>Investments</vt:lpstr>
      <vt:lpstr>InvInc</vt:lpstr>
      <vt:lpstr>Issuance_Timing</vt:lpstr>
      <vt:lpstr>IndexInformation!KeepVersions</vt:lpstr>
      <vt:lpstr>Label</vt:lpstr>
      <vt:lpstr>LanguageCode</vt:lpstr>
      <vt:lpstr>ImportantDisclosures!LastCell</vt:lpstr>
      <vt:lpstr>Life_BenefitRatio</vt:lpstr>
      <vt:lpstr>Life_Exp</vt:lpstr>
      <vt:lpstr>Life_PTMargin</vt:lpstr>
      <vt:lpstr>Linking_Range_19</vt:lpstr>
      <vt:lpstr>Linking_Range_2</vt:lpstr>
      <vt:lpstr>Linking_Range_22</vt:lpstr>
      <vt:lpstr>Linking_Range_3</vt:lpstr>
      <vt:lpstr>LTD_to_Cap_ex115</vt:lpstr>
      <vt:lpstr>LTD_to_Cap_incl115</vt:lpstr>
      <vt:lpstr>LTD_to_Eq_ex115</vt:lpstr>
      <vt:lpstr>LTD_to_LTCap_ex115</vt:lpstr>
      <vt:lpstr>LTD_to_LTCap_incl115</vt:lpstr>
      <vt:lpstr>LTDebt</vt:lpstr>
      <vt:lpstr>IndexInformation!MacroVersion</vt:lpstr>
      <vt:lpstr>Margin_PT</vt:lpstr>
      <vt:lpstr>Mexico_EopAUM</vt:lpstr>
      <vt:lpstr>ImportantDisclosures!ModelPrice</vt:lpstr>
      <vt:lpstr>IndexInformation!Multiplier</vt:lpstr>
      <vt:lpstr>Net_EPS</vt:lpstr>
      <vt:lpstr>Net_Revenues</vt:lpstr>
      <vt:lpstr>NetEarns</vt:lpstr>
      <vt:lpstr>netflows_international</vt:lpstr>
      <vt:lpstr>IndexInformation!NextYearEPS</vt:lpstr>
      <vt:lpstr>IndexInformation!NextYearTotalRevenue</vt:lpstr>
      <vt:lpstr>IndexInformation!NextYearTotalRevenueActual</vt:lpstr>
      <vt:lpstr>NII_Life</vt:lpstr>
      <vt:lpstr>NOR_Intl</vt:lpstr>
      <vt:lpstr>NOR_RIS_Fee</vt:lpstr>
      <vt:lpstr>NOR_RIS_Spread</vt:lpstr>
      <vt:lpstr>O</vt:lpstr>
      <vt:lpstr>ObjectType</vt:lpstr>
      <vt:lpstr>Op_Earnings_PI</vt:lpstr>
      <vt:lpstr>Op_EPS</vt:lpstr>
      <vt:lpstr>Op_ROE</vt:lpstr>
      <vt:lpstr>OpEarns_AT</vt:lpstr>
      <vt:lpstr>OpEarns_ForConsensus</vt:lpstr>
      <vt:lpstr>OpEarns_PT</vt:lpstr>
      <vt:lpstr>OpExpense_Life</vt:lpstr>
      <vt:lpstr>OpExpenses_Group</vt:lpstr>
      <vt:lpstr>OpExpenses_Intl</vt:lpstr>
      <vt:lpstr>OtherNonOpItems</vt:lpstr>
      <vt:lpstr>ModPubIndex!PANA</vt:lpstr>
      <vt:lpstr>IndexInformation!PathName</vt:lpstr>
      <vt:lpstr>Pctcontrib_CO</vt:lpstr>
      <vt:lpstr>Pctcontrib_Disab</vt:lpstr>
      <vt:lpstr>Pctcontrib_Intl</vt:lpstr>
      <vt:lpstr>Pctcontrib_LifeIns</vt:lpstr>
      <vt:lpstr>Period</vt:lpstr>
      <vt:lpstr>PGI_Avg.AUM</vt:lpstr>
      <vt:lpstr>PGI_Core_Margin</vt:lpstr>
      <vt:lpstr>PGI_Core_ROAR</vt:lpstr>
      <vt:lpstr>PGI_Deposits</vt:lpstr>
      <vt:lpstr>PGI_EoPAUM</vt:lpstr>
      <vt:lpstr>PGI_Exp</vt:lpstr>
      <vt:lpstr>PGI_Fees</vt:lpstr>
      <vt:lpstr>PGI_NetFlows</vt:lpstr>
      <vt:lpstr>PGI_NII</vt:lpstr>
      <vt:lpstr>PGI_PTMargin</vt:lpstr>
      <vt:lpstr>PGI_Rev</vt:lpstr>
      <vt:lpstr>PGI_ROA_PT</vt:lpstr>
      <vt:lpstr>PI_CombNetRev</vt:lpstr>
      <vt:lpstr>PI_Deposits</vt:lpstr>
      <vt:lpstr>PI_Netflows</vt:lpstr>
      <vt:lpstr>PI_ROA_PT</vt:lpstr>
      <vt:lpstr>PI_Withdrawals</vt:lpstr>
      <vt:lpstr>PolicyLiabilities</vt:lpstr>
      <vt:lpstr>Pref_Div</vt:lpstr>
      <vt:lpstr>Preferred_Stock</vt:lpstr>
      <vt:lpstr>Premiums_Group</vt:lpstr>
      <vt:lpstr>Premiums_Life</vt:lpstr>
      <vt:lpstr>Premiums_Total</vt:lpstr>
      <vt:lpstr>'FORECAST-CORE'!Print_Area</vt:lpstr>
      <vt:lpstr>'FORECAST-REPORTED'!Print_Area</vt:lpstr>
      <vt:lpstr>INPUT!Print_Area</vt:lpstr>
      <vt:lpstr>INPUT!Print_Titles</vt:lpstr>
      <vt:lpstr>ModPubIndex!PRODUCT</vt:lpstr>
      <vt:lpstr>ModPubIndex!PSYM</vt:lpstr>
      <vt:lpstr>PTEarns_Annuity</vt:lpstr>
      <vt:lpstr>PTEarns_Assetmgmt</vt:lpstr>
      <vt:lpstr>PTEarns_C_O</vt:lpstr>
      <vt:lpstr>PTEarns_CO</vt:lpstr>
      <vt:lpstr>PTEarns_Corporate</vt:lpstr>
      <vt:lpstr>PTEarns_Disab</vt:lpstr>
      <vt:lpstr>PTEarns_Disab_InvInc</vt:lpstr>
      <vt:lpstr>PTEarns_Funds</vt:lpstr>
      <vt:lpstr>PTEarns_Health_InvInc</vt:lpstr>
      <vt:lpstr>PTEarns_Intl</vt:lpstr>
      <vt:lpstr>PTEarns_Life</vt:lpstr>
      <vt:lpstr>PTEarns_LifeIns</vt:lpstr>
      <vt:lpstr>PTEarns_Pension</vt:lpstr>
      <vt:lpstr>PTEarns_Specialty</vt:lpstr>
      <vt:lpstr>PTEarns_USAMA</vt:lpstr>
      <vt:lpstr>PTMargin_Life</vt:lpstr>
      <vt:lpstr>PTMargin_SB</vt:lpstr>
      <vt:lpstr>IndexInformation!PublishDate</vt:lpstr>
      <vt:lpstr>IndexInformation!Rating</vt:lpstr>
      <vt:lpstr>ImportantDisclosures!RatingsDefined</vt:lpstr>
      <vt:lpstr>RealGainLoss</vt:lpstr>
      <vt:lpstr>Rep_ROE_ex115</vt:lpstr>
      <vt:lpstr>Rep_ROE_incl115</vt:lpstr>
      <vt:lpstr>Rep_Timing</vt:lpstr>
      <vt:lpstr>reported_PT_Earning</vt:lpstr>
      <vt:lpstr>IndexInformation!ResearchTopic</vt:lpstr>
      <vt:lpstr>Rev</vt:lpstr>
      <vt:lpstr>Rev_CO</vt:lpstr>
      <vt:lpstr>Rev_Health</vt:lpstr>
      <vt:lpstr>Rev_Intl</vt:lpstr>
      <vt:lpstr>Rev_LifeIns</vt:lpstr>
      <vt:lpstr>Rev_PGI</vt:lpstr>
      <vt:lpstr>Rev_Specialty</vt:lpstr>
      <vt:lpstr>IndexInformation!RIC</vt:lpstr>
      <vt:lpstr>RIS_Fee_Avg.AUM</vt:lpstr>
      <vt:lpstr>RIS_Fee_Benefits</vt:lpstr>
      <vt:lpstr>RIS_Fee_Deposits</vt:lpstr>
      <vt:lpstr>RIS_Fee_Exp</vt:lpstr>
      <vt:lpstr>RIS_Fee_Fees</vt:lpstr>
      <vt:lpstr>RIS_Fee_NetFlows</vt:lpstr>
      <vt:lpstr>RIS_Fee_NII</vt:lpstr>
      <vt:lpstr>RIS_Fee_Rev</vt:lpstr>
      <vt:lpstr>RIS_Rev</vt:lpstr>
      <vt:lpstr>RIS_Spread_Avg.AUM</vt:lpstr>
      <vt:lpstr>RIS_Spread_Deposits</vt:lpstr>
      <vt:lpstr>RIS_Spread_Exp</vt:lpstr>
      <vt:lpstr>RIS_Spread_Fees</vt:lpstr>
      <vt:lpstr>RIS_Spread_NetFlows</vt:lpstr>
      <vt:lpstr>RIS_Spread_NII</vt:lpstr>
      <vt:lpstr>Risk_ATEarns</vt:lpstr>
      <vt:lpstr>Risk_TaxRate</vt:lpstr>
      <vt:lpstr>RONR_Fee</vt:lpstr>
      <vt:lpstr>RONR_Risk</vt:lpstr>
      <vt:lpstr>RONR_Spread</vt:lpstr>
      <vt:lpstr>Sales_LifeIns</vt:lpstr>
      <vt:lpstr>Sales_term</vt:lpstr>
      <vt:lpstr>Sales_UL</vt:lpstr>
      <vt:lpstr>IndexInformation!SEDOL</vt:lpstr>
      <vt:lpstr>SeptAcct</vt:lpstr>
      <vt:lpstr>ShareBuyback</vt:lpstr>
      <vt:lpstr>ShrsIssued</vt:lpstr>
      <vt:lpstr>ShrsRepurch</vt:lpstr>
      <vt:lpstr>SOI_Life_Sales</vt:lpstr>
      <vt:lpstr>SOI_VAFlows</vt:lpstr>
      <vt:lpstr>ImportantDisclosures!SourceDefined</vt:lpstr>
      <vt:lpstr>SpecBenef_CorePTMargin</vt:lpstr>
      <vt:lpstr>SpecBenef_PTMargin</vt:lpstr>
      <vt:lpstr>Specialty_Exp</vt:lpstr>
      <vt:lpstr>Specialty_NII</vt:lpstr>
      <vt:lpstr>Spread_RONR_Core</vt:lpstr>
      <vt:lpstr>Spread_TaxRate</vt:lpstr>
      <vt:lpstr>STDebt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Taxes</vt:lpstr>
      <vt:lpstr>TaxRate</vt:lpstr>
      <vt:lpstr>TemplateRegion</vt:lpstr>
      <vt:lpstr>ImportantDisclosures!Ticker</vt:lpstr>
      <vt:lpstr>TickerRegion</vt:lpstr>
      <vt:lpstr>IndexInformation!Tickers</vt:lpstr>
      <vt:lpstr>Tot_Debt</vt:lpstr>
      <vt:lpstr>Total_Cap_ex115</vt:lpstr>
      <vt:lpstr>Total_Cap_incl115</vt:lpstr>
      <vt:lpstr>Total_DAC</vt:lpstr>
      <vt:lpstr>Total_Expenses</vt:lpstr>
      <vt:lpstr>TotalAssets</vt:lpstr>
      <vt:lpstr>TotalNonOpItems</vt:lpstr>
      <vt:lpstr>TotalPI_EoPAUM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2002-10-21T15:29:34Z</dcterms:created>
  <dc:creator>raleyt</dc:creator>
  <cp:lastModifiedBy>Huang, Bob (Research)</cp:lastModifiedBy>
  <cp:lastPrinted>2018-04-04T19:43:17Z</cp:lastPrinted>
  <dcterms:modified xsi:type="dcterms:W3CDTF">2018-04-05T13:08:52Z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ModelwareExpressVersionNumber" pid="2">
    <vt:lpwstr>3.00</vt:lpwstr>
  </property>
  <property fmtid="{D5CDD505-2E9C-101B-9397-08002B2CF9AE}" name="LinkingAutoNameNumberLinking_Range_" pid="3">
    <vt:lpwstr>30</vt:lpwstr>
  </property>
  <property fmtid="{D5CDD505-2E9C-101B-9397-08002B2CF9AE}" name="{A44787D4-0540-4523-9961-78E4036D8C6D}" pid="4">
    <vt:lpwstr>{6A240113-212E-46D6-B733-F19ECAA4476F}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759676</vt:lpwstr>
  </property>
  <property fmtid="{D5CDD505-2E9C-101B-9397-08002B2CF9AE}" name="ERModPubCompanyName" pid="8">
    <vt:lpwstr>Principal Financial Group</vt:lpwstr>
  </property>
  <property fmtid="{D5CDD505-2E9C-101B-9397-08002B2CF9AE}" name="MSDH34TAG" pid="9">
    <vt:lpwstr>.TEZUF76X5TAHATHESADREYAK-00-INB160+*94600-06=7f4e5380/-38d2/-11e8/-bf62/-2af41e5950fc,MD=20180405093021/-0400,ZZ=000Z-550d.</vt:lpwstr>
  </property>
</Properties>
</file>